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30615A4C-3B8D-4833-ADC9-3F556D79D67B}" xr6:coauthVersionLast="47" xr6:coauthVersionMax="47" xr10:uidLastSave="{00000000-0000-0000-0000-000000000000}"/>
  <bookViews>
    <workbookView xWindow="-25875" yWindow="525" windowWidth="22845" windowHeight="13605" firstSheet="6" activeTab="6" xr2:uid="{00000000-000D-0000-FFFF-FFFF00000000}"/>
  </bookViews>
  <sheets>
    <sheet name="NOPA Crush chart" sheetId="18" r:id="rId1"/>
    <sheet name="Chart1" sheetId="5" r:id="rId2"/>
    <sheet name="Chart3" sheetId="6" r:id="rId3"/>
    <sheet name="Chart4" sheetId="4" r:id="rId4"/>
    <sheet name="Chart5" sheetId="10" r:id="rId5"/>
    <sheet name="Chart9" sheetId="12" r:id="rId6"/>
    <sheet name="NOPA Crush" sheetId="1" r:id="rId7"/>
    <sheet name="NASS Crush" sheetId="3" r:id="rId8"/>
    <sheet name="Census Crush" sheetId="2" r:id="rId9"/>
    <sheet name="COPA Weekly Crush" sheetId="9" r:id="rId10"/>
    <sheet name="NASS Low CI" sheetId="8" r:id="rId11"/>
    <sheet name="NASS Other Veg Oils" sheetId="11" r:id="rId12"/>
    <sheet name="China Weekly" sheetId="13" r:id="rId13"/>
    <sheet name="China Monthly" sheetId="14" r:id="rId14"/>
    <sheet name="Weekly Crush Vol - Port Stks" sheetId="15" r:id="rId15"/>
    <sheet name="Crush Margin - Dalian - Import" sheetId="16" r:id="rId16"/>
    <sheet name="SBO Production" sheetId="17" r:id="rId17"/>
    <sheet name="Japan" sheetId="7" r:id="rId18"/>
  </sheets>
  <externalReferences>
    <externalReference r:id="rId19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7" i="3" l="1"/>
  <c r="AB127" i="3"/>
  <c r="W127" i="3"/>
  <c r="X127" i="3" s="1"/>
  <c r="L123" i="3"/>
  <c r="L124" i="3"/>
  <c r="L125" i="3"/>
  <c r="J127" i="3"/>
  <c r="K127" i="3"/>
  <c r="L127" i="3" s="1"/>
  <c r="C127" i="3"/>
  <c r="B254" i="3"/>
  <c r="F254" i="3"/>
  <c r="G254" i="3"/>
  <c r="H254" i="3"/>
  <c r="I254" i="3"/>
  <c r="M254" i="3"/>
  <c r="N254" i="3"/>
  <c r="O254" i="3"/>
  <c r="P254" i="3"/>
  <c r="Q254" i="3"/>
  <c r="R254" i="3"/>
  <c r="S254" i="3"/>
  <c r="T254" i="3"/>
  <c r="Z254" i="3"/>
  <c r="AA254" i="3"/>
  <c r="AD254" i="3"/>
  <c r="AE254" i="3"/>
  <c r="AF254" i="3"/>
  <c r="AI254" i="3"/>
  <c r="AK254" i="3"/>
  <c r="AL254" i="3"/>
  <c r="AO254" i="3"/>
  <c r="AP254" i="3"/>
  <c r="AT254" i="3"/>
  <c r="AV254" i="3"/>
  <c r="AW254" i="3"/>
  <c r="AZ254" i="3"/>
  <c r="BA254" i="3"/>
  <c r="BE254" i="3"/>
  <c r="BG254" i="3"/>
  <c r="BH254" i="3"/>
  <c r="BK254" i="3"/>
  <c r="BL254" i="3"/>
  <c r="BP254" i="3"/>
  <c r="BR254" i="3"/>
  <c r="BS254" i="3"/>
  <c r="BV254" i="3"/>
  <c r="BW254" i="3"/>
  <c r="CA254" i="3"/>
  <c r="CC254" i="3"/>
  <c r="CD254" i="3"/>
  <c r="CG254" i="3"/>
  <c r="CH254" i="3"/>
  <c r="CL254" i="3"/>
  <c r="CN254" i="3"/>
  <c r="CO254" i="3"/>
  <c r="CR254" i="3"/>
  <c r="CS254" i="3"/>
  <c r="DE254" i="3"/>
  <c r="DF254" i="3"/>
  <c r="DG254" i="3"/>
  <c r="DH254" i="3"/>
  <c r="DI254" i="3"/>
  <c r="DJ254" i="3"/>
  <c r="DK254" i="3"/>
  <c r="DL254" i="3"/>
  <c r="DN254" i="3"/>
  <c r="DO254" i="3"/>
  <c r="DP254" i="3"/>
  <c r="DS254" i="3"/>
  <c r="DT254" i="3"/>
  <c r="DU254" i="3"/>
  <c r="DV254" i="3"/>
  <c r="DW254" i="3"/>
  <c r="DX254" i="3"/>
  <c r="DY254" i="3"/>
  <c r="DZ254" i="3"/>
  <c r="EA254" i="3"/>
  <c r="EB254" i="3"/>
  <c r="EC254" i="3"/>
  <c r="ED254" i="3"/>
  <c r="EE254" i="3"/>
  <c r="EF254" i="3"/>
  <c r="EG254" i="3"/>
  <c r="B255" i="3"/>
  <c r="F255" i="3"/>
  <c r="G255" i="3"/>
  <c r="H255" i="3"/>
  <c r="I255" i="3"/>
  <c r="M255" i="3"/>
  <c r="N255" i="3"/>
  <c r="O255" i="3"/>
  <c r="P255" i="3"/>
  <c r="Q255" i="3"/>
  <c r="R255" i="3"/>
  <c r="S255" i="3"/>
  <c r="T255" i="3"/>
  <c r="Z255" i="3"/>
  <c r="AA255" i="3"/>
  <c r="AD255" i="3"/>
  <c r="AE255" i="3"/>
  <c r="AF255" i="3"/>
  <c r="AI255" i="3"/>
  <c r="AK255" i="3"/>
  <c r="AL255" i="3"/>
  <c r="AO255" i="3"/>
  <c r="AP255" i="3"/>
  <c r="AT255" i="3"/>
  <c r="AV255" i="3"/>
  <c r="AW255" i="3"/>
  <c r="AZ255" i="3"/>
  <c r="BA255" i="3"/>
  <c r="BE255" i="3"/>
  <c r="BG255" i="3"/>
  <c r="BH255" i="3"/>
  <c r="BK255" i="3"/>
  <c r="BL255" i="3"/>
  <c r="BP255" i="3"/>
  <c r="BR255" i="3"/>
  <c r="BS255" i="3"/>
  <c r="BV255" i="3"/>
  <c r="BW255" i="3"/>
  <c r="CA255" i="3"/>
  <c r="CC255" i="3"/>
  <c r="CD255" i="3"/>
  <c r="CG255" i="3"/>
  <c r="CH255" i="3"/>
  <c r="CL255" i="3"/>
  <c r="CN255" i="3"/>
  <c r="CO255" i="3"/>
  <c r="CR255" i="3"/>
  <c r="CS255" i="3"/>
  <c r="DE255" i="3"/>
  <c r="DF255" i="3"/>
  <c r="DG255" i="3"/>
  <c r="DH255" i="3"/>
  <c r="DI255" i="3"/>
  <c r="DJ255" i="3"/>
  <c r="DK255" i="3"/>
  <c r="DL255" i="3"/>
  <c r="DN255" i="3"/>
  <c r="DO255" i="3"/>
  <c r="DP255" i="3"/>
  <c r="DQ255" i="3"/>
  <c r="DS255" i="3"/>
  <c r="DT255" i="3"/>
  <c r="DU255" i="3"/>
  <c r="DV255" i="3"/>
  <c r="DW255" i="3"/>
  <c r="DX255" i="3"/>
  <c r="DY255" i="3"/>
  <c r="DZ255" i="3"/>
  <c r="EA255" i="3"/>
  <c r="EB255" i="3"/>
  <c r="EC255" i="3"/>
  <c r="ED255" i="3"/>
  <c r="EE255" i="3"/>
  <c r="EF255" i="3"/>
  <c r="EG255" i="3"/>
  <c r="DQ126" i="3"/>
  <c r="DS126" i="3"/>
  <c r="DM126" i="3"/>
  <c r="DM255" i="3" s="1"/>
  <c r="DJ126" i="3"/>
  <c r="DH126" i="3"/>
  <c r="DQ125" i="3"/>
  <c r="DQ254" i="3" s="1"/>
  <c r="DS125" i="3"/>
  <c r="DM125" i="3"/>
  <c r="DM254" i="3" s="1"/>
  <c r="DJ125" i="3"/>
  <c r="DH125" i="3"/>
  <c r="B253" i="3"/>
  <c r="F253" i="3"/>
  <c r="G253" i="3"/>
  <c r="H253" i="3"/>
  <c r="I253" i="3"/>
  <c r="M253" i="3"/>
  <c r="N253" i="3"/>
  <c r="O253" i="3"/>
  <c r="P253" i="3"/>
  <c r="Q253" i="3"/>
  <c r="R253" i="3"/>
  <c r="S253" i="3"/>
  <c r="T253" i="3"/>
  <c r="Z253" i="3"/>
  <c r="AA253" i="3"/>
  <c r="AC253" i="3"/>
  <c r="AD253" i="3"/>
  <c r="AE253" i="3"/>
  <c r="AF253" i="3"/>
  <c r="AI253" i="3"/>
  <c r="AK253" i="3"/>
  <c r="AL253" i="3"/>
  <c r="AO253" i="3"/>
  <c r="AP253" i="3"/>
  <c r="AT253" i="3"/>
  <c r="AV253" i="3"/>
  <c r="AW253" i="3"/>
  <c r="AZ253" i="3"/>
  <c r="BA253" i="3"/>
  <c r="BE253" i="3"/>
  <c r="BG253" i="3"/>
  <c r="BH253" i="3"/>
  <c r="BK253" i="3"/>
  <c r="BL253" i="3"/>
  <c r="BP253" i="3"/>
  <c r="BR253" i="3"/>
  <c r="BS253" i="3"/>
  <c r="BV253" i="3"/>
  <c r="BW253" i="3"/>
  <c r="CA253" i="3"/>
  <c r="CC253" i="3"/>
  <c r="CD253" i="3"/>
  <c r="CG253" i="3"/>
  <c r="CH253" i="3"/>
  <c r="CL253" i="3"/>
  <c r="CN253" i="3"/>
  <c r="CO253" i="3"/>
  <c r="CR253" i="3"/>
  <c r="CS253" i="3"/>
  <c r="DE253" i="3"/>
  <c r="DF253" i="3"/>
  <c r="DG253" i="3"/>
  <c r="DI253" i="3"/>
  <c r="DK253" i="3"/>
  <c r="DL253" i="3"/>
  <c r="DM253" i="3"/>
  <c r="DN253" i="3"/>
  <c r="DO253" i="3"/>
  <c r="DP253" i="3"/>
  <c r="DT253" i="3"/>
  <c r="DU253" i="3"/>
  <c r="DV253" i="3"/>
  <c r="DW253" i="3"/>
  <c r="DX253" i="3"/>
  <c r="DY253" i="3"/>
  <c r="DZ253" i="3"/>
  <c r="EA253" i="3"/>
  <c r="EB253" i="3"/>
  <c r="EC253" i="3"/>
  <c r="ED253" i="3"/>
  <c r="EE253" i="3"/>
  <c r="EF253" i="3"/>
  <c r="EG253" i="3"/>
  <c r="DQ124" i="3"/>
  <c r="DQ253" i="3" s="1"/>
  <c r="DS124" i="3"/>
  <c r="DS253" i="3" s="1"/>
  <c r="DM124" i="3"/>
  <c r="DJ124" i="3"/>
  <c r="DJ253" i="3" s="1"/>
  <c r="DH124" i="3"/>
  <c r="DH253" i="3" s="1"/>
  <c r="B252" i="3"/>
  <c r="F252" i="3"/>
  <c r="G252" i="3"/>
  <c r="H252" i="3"/>
  <c r="I252" i="3"/>
  <c r="M252" i="3"/>
  <c r="N252" i="3"/>
  <c r="O252" i="3"/>
  <c r="P252" i="3"/>
  <c r="Q252" i="3"/>
  <c r="R252" i="3"/>
  <c r="T252" i="3"/>
  <c r="Z252" i="3"/>
  <c r="AA252" i="3"/>
  <c r="AD252" i="3"/>
  <c r="AE252" i="3"/>
  <c r="AF252" i="3"/>
  <c r="AI252" i="3"/>
  <c r="AK252" i="3"/>
  <c r="AL252" i="3"/>
  <c r="AO252" i="3"/>
  <c r="AP252" i="3"/>
  <c r="AT252" i="3"/>
  <c r="AV252" i="3"/>
  <c r="AW252" i="3"/>
  <c r="AZ252" i="3"/>
  <c r="BA252" i="3"/>
  <c r="BE252" i="3"/>
  <c r="BG252" i="3"/>
  <c r="BH252" i="3"/>
  <c r="BK252" i="3"/>
  <c r="BL252" i="3"/>
  <c r="BP252" i="3"/>
  <c r="BR252" i="3"/>
  <c r="BS252" i="3"/>
  <c r="BV252" i="3"/>
  <c r="BW252" i="3"/>
  <c r="CA252" i="3"/>
  <c r="CC252" i="3"/>
  <c r="CD252" i="3"/>
  <c r="CG252" i="3"/>
  <c r="CH252" i="3"/>
  <c r="CL252" i="3"/>
  <c r="CN252" i="3"/>
  <c r="CO252" i="3"/>
  <c r="CR252" i="3"/>
  <c r="CS252" i="3"/>
  <c r="DE252" i="3"/>
  <c r="DF252" i="3"/>
  <c r="DG252" i="3"/>
  <c r="DI252" i="3"/>
  <c r="DK252" i="3"/>
  <c r="DL252" i="3"/>
  <c r="DN252" i="3"/>
  <c r="DO252" i="3"/>
  <c r="DP252" i="3"/>
  <c r="DT252" i="3"/>
  <c r="DU252" i="3"/>
  <c r="DV252" i="3"/>
  <c r="DW252" i="3"/>
  <c r="DX252" i="3"/>
  <c r="DY252" i="3"/>
  <c r="DZ252" i="3"/>
  <c r="EA252" i="3"/>
  <c r="EB252" i="3"/>
  <c r="EC252" i="3"/>
  <c r="ED252" i="3"/>
  <c r="EE252" i="3"/>
  <c r="EF252" i="3"/>
  <c r="EG252" i="3"/>
  <c r="DS122" i="3"/>
  <c r="DQ123" i="3"/>
  <c r="DQ252" i="3" s="1"/>
  <c r="DS123" i="3"/>
  <c r="DS252" i="3" s="1"/>
  <c r="DM123" i="3"/>
  <c r="DM252" i="3" s="1"/>
  <c r="DJ123" i="3"/>
  <c r="DJ252" i="3" s="1"/>
  <c r="DH123" i="3"/>
  <c r="DH252" i="3" s="1"/>
  <c r="B251" i="3"/>
  <c r="F251" i="3"/>
  <c r="G251" i="3"/>
  <c r="H251" i="3"/>
  <c r="I251" i="3"/>
  <c r="M251" i="3"/>
  <c r="N251" i="3"/>
  <c r="O251" i="3"/>
  <c r="P251" i="3"/>
  <c r="Q251" i="3"/>
  <c r="R251" i="3"/>
  <c r="S251" i="3"/>
  <c r="T251" i="3"/>
  <c r="Z251" i="3"/>
  <c r="AA251" i="3"/>
  <c r="AC251" i="3"/>
  <c r="AD251" i="3"/>
  <c r="AE251" i="3"/>
  <c r="AF251" i="3"/>
  <c r="AI251" i="3"/>
  <c r="AK251" i="3"/>
  <c r="AL251" i="3"/>
  <c r="AO251" i="3"/>
  <c r="AP251" i="3"/>
  <c r="AT251" i="3"/>
  <c r="AV251" i="3"/>
  <c r="AW251" i="3"/>
  <c r="AZ251" i="3"/>
  <c r="BA251" i="3"/>
  <c r="BE251" i="3"/>
  <c r="BG251" i="3"/>
  <c r="BH251" i="3"/>
  <c r="BK251" i="3"/>
  <c r="BL251" i="3"/>
  <c r="BP251" i="3"/>
  <c r="BR251" i="3"/>
  <c r="BS251" i="3"/>
  <c r="BV251" i="3"/>
  <c r="BW251" i="3"/>
  <c r="CA251" i="3"/>
  <c r="CC251" i="3"/>
  <c r="CD251" i="3"/>
  <c r="CG251" i="3"/>
  <c r="CH251" i="3"/>
  <c r="CL251" i="3"/>
  <c r="CN251" i="3"/>
  <c r="CO251" i="3"/>
  <c r="CR251" i="3"/>
  <c r="CS251" i="3"/>
  <c r="DE251" i="3"/>
  <c r="DF251" i="3"/>
  <c r="DG251" i="3"/>
  <c r="DI251" i="3"/>
  <c r="DK251" i="3"/>
  <c r="DL251" i="3"/>
  <c r="DN251" i="3"/>
  <c r="DO251" i="3"/>
  <c r="DP251" i="3"/>
  <c r="DT251" i="3"/>
  <c r="DU251" i="3"/>
  <c r="DV251" i="3"/>
  <c r="DX251" i="3"/>
  <c r="DZ251" i="3"/>
  <c r="EA251" i="3"/>
  <c r="EC251" i="3"/>
  <c r="EE251" i="3"/>
  <c r="Y127" i="3" l="1"/>
  <c r="DR126" i="3"/>
  <c r="DR255" i="3" s="1"/>
  <c r="DR125" i="3"/>
  <c r="DR254" i="3" s="1"/>
  <c r="DR124" i="3"/>
  <c r="DR253" i="3" s="1"/>
  <c r="DR123" i="3"/>
  <c r="DR252" i="3" s="1"/>
  <c r="CY114" i="3" l="1"/>
  <c r="CZ114" i="3"/>
  <c r="DA114" i="3"/>
  <c r="DB114" i="3"/>
  <c r="DC114" i="3"/>
  <c r="CY115" i="3"/>
  <c r="DA115" i="3"/>
  <c r="DB115" i="3"/>
  <c r="DC115" i="3"/>
  <c r="CY116" i="3"/>
  <c r="CZ116" i="3"/>
  <c r="DA116" i="3"/>
  <c r="DB116" i="3"/>
  <c r="DC116" i="3"/>
  <c r="CY117" i="3"/>
  <c r="CZ117" i="3"/>
  <c r="DA117" i="3"/>
  <c r="DB117" i="3"/>
  <c r="DC117" i="3"/>
  <c r="CY118" i="3"/>
  <c r="CZ118" i="3"/>
  <c r="DA118" i="3"/>
  <c r="DB118" i="3"/>
  <c r="CY119" i="3"/>
  <c r="CZ119" i="3"/>
  <c r="DA119" i="3"/>
  <c r="DB119" i="3"/>
  <c r="DC119" i="3"/>
  <c r="CY120" i="3"/>
  <c r="CZ120" i="3"/>
  <c r="DA120" i="3"/>
  <c r="DB120" i="3"/>
  <c r="DC120" i="3"/>
  <c r="CY121" i="3"/>
  <c r="CZ121" i="3"/>
  <c r="DA121" i="3"/>
  <c r="DB121" i="3"/>
  <c r="DC121" i="3"/>
  <c r="CY122" i="3"/>
  <c r="CY251" i="3" s="1"/>
  <c r="CZ122" i="3"/>
  <c r="CZ251" i="3" s="1"/>
  <c r="DA122" i="3"/>
  <c r="DA251" i="3" s="1"/>
  <c r="DB122" i="3"/>
  <c r="DB251" i="3" s="1"/>
  <c r="DC122" i="3"/>
  <c r="DC251" i="3" s="1"/>
  <c r="CY123" i="3"/>
  <c r="CY252" i="3" s="1"/>
  <c r="CZ123" i="3"/>
  <c r="CZ252" i="3" s="1"/>
  <c r="DA123" i="3"/>
  <c r="DA252" i="3" s="1"/>
  <c r="DB123" i="3"/>
  <c r="DB252" i="3" s="1"/>
  <c r="CY124" i="3"/>
  <c r="CY253" i="3" s="1"/>
  <c r="CZ124" i="3"/>
  <c r="CZ253" i="3" s="1"/>
  <c r="DA124" i="3"/>
  <c r="DA253" i="3" s="1"/>
  <c r="DB124" i="3"/>
  <c r="DB253" i="3" s="1"/>
  <c r="DC124" i="3"/>
  <c r="DC253" i="3" s="1"/>
  <c r="CY125" i="3"/>
  <c r="CY254" i="3" s="1"/>
  <c r="CZ125" i="3"/>
  <c r="CZ254" i="3" s="1"/>
  <c r="DA125" i="3"/>
  <c r="DA254" i="3" s="1"/>
  <c r="DB125" i="3"/>
  <c r="DB254" i="3" s="1"/>
  <c r="DC125" i="3"/>
  <c r="DC254" i="3" s="1"/>
  <c r="CY126" i="3"/>
  <c r="CY255" i="3" s="1"/>
  <c r="CZ126" i="3"/>
  <c r="CZ255" i="3" s="1"/>
  <c r="DA126" i="3"/>
  <c r="DA255" i="3" s="1"/>
  <c r="DB126" i="3"/>
  <c r="DB255" i="3" s="1"/>
  <c r="DC126" i="3"/>
  <c r="DC255" i="3" s="1"/>
  <c r="R124" i="11"/>
  <c r="N124" i="11"/>
  <c r="J124" i="11"/>
  <c r="K124" i="11" s="1"/>
  <c r="I124" i="11"/>
  <c r="Z123" i="11"/>
  <c r="Z122" i="11"/>
  <c r="R123" i="11"/>
  <c r="N123" i="11"/>
  <c r="J123" i="11"/>
  <c r="K123" i="11" s="1"/>
  <c r="I123" i="11"/>
  <c r="R122" i="11"/>
  <c r="N122" i="11"/>
  <c r="G122" i="11"/>
  <c r="I122" i="11"/>
  <c r="J122" i="11"/>
  <c r="K122" i="11" s="1"/>
  <c r="R121" i="11"/>
  <c r="N121" i="11"/>
  <c r="K121" i="11"/>
  <c r="J121" i="11"/>
  <c r="I121" i="11"/>
  <c r="G121" i="11"/>
  <c r="R119" i="11"/>
  <c r="R120" i="11"/>
  <c r="N120" i="11"/>
  <c r="J120" i="11"/>
  <c r="K120" i="11" s="1"/>
  <c r="G119" i="11"/>
  <c r="G120" i="11"/>
  <c r="F114" i="11"/>
  <c r="Z119" i="11"/>
  <c r="N119" i="11"/>
  <c r="AM124" i="8"/>
  <c r="AN124" i="8"/>
  <c r="AO124" i="8"/>
  <c r="AK124" i="8"/>
  <c r="R124" i="8"/>
  <c r="AM123" i="8"/>
  <c r="AN123" i="8"/>
  <c r="AO123" i="8"/>
  <c r="AK123" i="8"/>
  <c r="R123" i="8"/>
  <c r="AM122" i="8"/>
  <c r="AN122" i="8"/>
  <c r="AO122" i="8"/>
  <c r="AK122" i="8"/>
  <c r="R122" i="8"/>
  <c r="AM121" i="8"/>
  <c r="AN121" i="8"/>
  <c r="AO121" i="8"/>
  <c r="AK121" i="8"/>
  <c r="R121" i="8"/>
  <c r="AM120" i="8"/>
  <c r="AN120" i="8"/>
  <c r="AO120" i="8"/>
  <c r="AK120" i="8"/>
  <c r="R120" i="8"/>
  <c r="AG126" i="3"/>
  <c r="CM126" i="3"/>
  <c r="CB126" i="3"/>
  <c r="BQ126" i="3"/>
  <c r="BF126" i="3"/>
  <c r="AU126" i="3"/>
  <c r="AJ126" i="3"/>
  <c r="AB126" i="3"/>
  <c r="AB255" i="3" s="1"/>
  <c r="C126" i="3"/>
  <c r="C125" i="3"/>
  <c r="C254" i="3" s="1"/>
  <c r="K131" i="3"/>
  <c r="F131" i="3"/>
  <c r="C131" i="3"/>
  <c r="CO115" i="3"/>
  <c r="E126" i="3" l="1"/>
  <c r="E255" i="3" s="1"/>
  <c r="C255" i="3"/>
  <c r="AM126" i="3"/>
  <c r="AM255" i="3" s="1"/>
  <c r="AJ255" i="3"/>
  <c r="CE126" i="3"/>
  <c r="CE255" i="3" s="1"/>
  <c r="CB255" i="3"/>
  <c r="CP126" i="3"/>
  <c r="CP255" i="3" s="1"/>
  <c r="CM255" i="3"/>
  <c r="BB126" i="3"/>
  <c r="BB255" i="3" s="1"/>
  <c r="AU255" i="3"/>
  <c r="BM126" i="3"/>
  <c r="BM255" i="3" s="1"/>
  <c r="BF255" i="3"/>
  <c r="BX126" i="3"/>
  <c r="BX255" i="3" s="1"/>
  <c r="BQ255" i="3"/>
  <c r="W126" i="3"/>
  <c r="BC126" i="3"/>
  <c r="BC255" i="3" s="1"/>
  <c r="J126" i="3"/>
  <c r="J255" i="3" s="1"/>
  <c r="K126" i="3"/>
  <c r="L126" i="3" s="1"/>
  <c r="BT126" i="3"/>
  <c r="CT126" i="3"/>
  <c r="CV126" i="3"/>
  <c r="CV255" i="3" s="1"/>
  <c r="CI126" i="3"/>
  <c r="CI255" i="3" s="1"/>
  <c r="CX126" i="3"/>
  <c r="CX255" i="3" s="1"/>
  <c r="AQ126" i="3"/>
  <c r="AX126" i="3"/>
  <c r="AX255" i="3" s="1"/>
  <c r="BI126" i="3"/>
  <c r="F119" i="11"/>
  <c r="I119" i="11" s="1"/>
  <c r="D126" i="3"/>
  <c r="D255" i="3" s="1"/>
  <c r="CY109" i="3"/>
  <c r="CY102" i="3"/>
  <c r="DA102" i="3"/>
  <c r="DB102" i="3"/>
  <c r="DC102" i="3"/>
  <c r="CY103" i="3"/>
  <c r="CZ103" i="3"/>
  <c r="DA103" i="3"/>
  <c r="DB103" i="3"/>
  <c r="DC103" i="3"/>
  <c r="CY104" i="3"/>
  <c r="CZ104" i="3"/>
  <c r="DA104" i="3"/>
  <c r="DB104" i="3"/>
  <c r="DC104" i="3"/>
  <c r="CY105" i="3"/>
  <c r="CZ105" i="3"/>
  <c r="DA105" i="3"/>
  <c r="DB105" i="3"/>
  <c r="DC105" i="3"/>
  <c r="CY106" i="3"/>
  <c r="CZ106" i="3"/>
  <c r="DA106" i="3"/>
  <c r="DB106" i="3"/>
  <c r="DC106" i="3"/>
  <c r="CY107" i="3"/>
  <c r="CZ107" i="3"/>
  <c r="DA107" i="3"/>
  <c r="DC107" i="3"/>
  <c r="CY108" i="3"/>
  <c r="CZ108" i="3"/>
  <c r="DA108" i="3"/>
  <c r="DB108" i="3"/>
  <c r="DC108" i="3"/>
  <c r="CZ109" i="3"/>
  <c r="DA109" i="3"/>
  <c r="DB109" i="3"/>
  <c r="DC109" i="3"/>
  <c r="CY110" i="3"/>
  <c r="CZ110" i="3"/>
  <c r="DA110" i="3"/>
  <c r="DB110" i="3"/>
  <c r="DC110" i="3"/>
  <c r="CY111" i="3"/>
  <c r="CZ111" i="3"/>
  <c r="DA111" i="3"/>
  <c r="DB111" i="3"/>
  <c r="DC111" i="3"/>
  <c r="CY112" i="3"/>
  <c r="CZ112" i="3"/>
  <c r="DA112" i="3"/>
  <c r="DB112" i="3"/>
  <c r="DC112" i="3"/>
  <c r="CY113" i="3"/>
  <c r="CZ113" i="3"/>
  <c r="DA113" i="3"/>
  <c r="DB113" i="3"/>
  <c r="DC113" i="3"/>
  <c r="CM123" i="3"/>
  <c r="CM252" i="3" s="1"/>
  <c r="CM124" i="3"/>
  <c r="CM253" i="3" s="1"/>
  <c r="CM125" i="3"/>
  <c r="CM254" i="3" s="1"/>
  <c r="EM122" i="3"/>
  <c r="EN122" i="3"/>
  <c r="EM120" i="3"/>
  <c r="EN120" i="3"/>
  <c r="EM121" i="3"/>
  <c r="EN121" i="3"/>
  <c r="EM118" i="3"/>
  <c r="EN118" i="3"/>
  <c r="EM119" i="3"/>
  <c r="EN119" i="3"/>
  <c r="EB122" i="3"/>
  <c r="EB251" i="3" s="1"/>
  <c r="DY122" i="3"/>
  <c r="DY251" i="3" s="1"/>
  <c r="DW122" i="3"/>
  <c r="DW251" i="3" s="1"/>
  <c r="DS251" i="3"/>
  <c r="DQ122" i="3"/>
  <c r="DQ251" i="3" s="1"/>
  <c r="DJ122" i="3"/>
  <c r="DJ251" i="3" s="1"/>
  <c r="DM122" i="3"/>
  <c r="DM251" i="3" s="1"/>
  <c r="DH122" i="3"/>
  <c r="DH251" i="3" s="1"/>
  <c r="DJ119" i="3"/>
  <c r="DJ120" i="3"/>
  <c r="DJ121" i="3"/>
  <c r="DM119" i="3"/>
  <c r="DM120" i="3"/>
  <c r="DM121" i="3"/>
  <c r="DG8" i="3"/>
  <c r="DH119" i="3"/>
  <c r="DH120" i="3"/>
  <c r="DH121" i="3"/>
  <c r="AG125" i="3"/>
  <c r="AB125" i="3"/>
  <c r="AB254" i="3" s="1"/>
  <c r="AN126" i="3" l="1"/>
  <c r="AN255" i="3" s="1"/>
  <c r="BZ126" i="3"/>
  <c r="BZ255" i="3" s="1"/>
  <c r="BT255" i="3"/>
  <c r="CU126" i="3"/>
  <c r="CU255" i="3" s="1"/>
  <c r="CT255" i="3"/>
  <c r="L255" i="3"/>
  <c r="K255" i="3"/>
  <c r="BJ126" i="3"/>
  <c r="BJ255" i="3" s="1"/>
  <c r="BI255" i="3"/>
  <c r="BO126" i="3"/>
  <c r="BO255" i="3" s="1"/>
  <c r="Y126" i="3"/>
  <c r="Y255" i="3" s="1"/>
  <c r="X126" i="3"/>
  <c r="X255" i="3" s="1"/>
  <c r="W255" i="3"/>
  <c r="BY126" i="3"/>
  <c r="BY255" i="3" s="1"/>
  <c r="AR126" i="3"/>
  <c r="AR255" i="3" s="1"/>
  <c r="AQ255" i="3"/>
  <c r="CQ126" i="3"/>
  <c r="CQ255" i="3" s="1"/>
  <c r="BU126" i="3"/>
  <c r="BU255" i="3" s="1"/>
  <c r="BN126" i="3"/>
  <c r="BN255" i="3" s="1"/>
  <c r="CF126" i="3"/>
  <c r="CF255" i="3" s="1"/>
  <c r="AY126" i="3"/>
  <c r="AY255" i="3" s="1"/>
  <c r="BD126" i="3"/>
  <c r="BD255" i="3" s="1"/>
  <c r="CP123" i="3"/>
  <c r="CP252" i="3" s="1"/>
  <c r="CJ126" i="3"/>
  <c r="CJ255" i="3" s="1"/>
  <c r="CK126" i="3"/>
  <c r="CK255" i="3" s="1"/>
  <c r="AS126" i="3"/>
  <c r="AS255" i="3" s="1"/>
  <c r="CT123" i="3"/>
  <c r="CT252" i="3" s="1"/>
  <c r="F120" i="11"/>
  <c r="I120" i="11" s="1"/>
  <c r="EG122" i="3"/>
  <c r="EG251" i="3" s="1"/>
  <c r="CP125" i="3"/>
  <c r="CP254" i="3" s="1"/>
  <c r="CT125" i="3"/>
  <c r="CT254" i="3" s="1"/>
  <c r="CT124" i="3"/>
  <c r="CT253" i="3" s="1"/>
  <c r="CP124" i="3"/>
  <c r="CP253" i="3" s="1"/>
  <c r="DR122" i="3"/>
  <c r="DR251" i="3" s="1"/>
  <c r="DG9" i="3"/>
  <c r="CV123" i="3" l="1"/>
  <c r="CV252" i="3" s="1"/>
  <c r="CV124" i="3"/>
  <c r="CV253" i="3" s="1"/>
  <c r="CV125" i="3"/>
  <c r="CV254" i="3" s="1"/>
  <c r="DG10" i="3"/>
  <c r="DG11" i="3" l="1"/>
  <c r="DG12" i="3" s="1"/>
  <c r="E125" i="3"/>
  <c r="E254" i="3" s="1"/>
  <c r="CB123" i="3"/>
  <c r="CB252" i="3" s="1"/>
  <c r="CB124" i="3"/>
  <c r="CB253" i="3" s="1"/>
  <c r="CB125" i="3"/>
  <c r="CB254" i="3" s="1"/>
  <c r="BQ123" i="3"/>
  <c r="BQ252" i="3" s="1"/>
  <c r="BQ124" i="3"/>
  <c r="BQ253" i="3" s="1"/>
  <c r="BQ125" i="3"/>
  <c r="BQ254" i="3" s="1"/>
  <c r="BX124" i="3" l="1"/>
  <c r="BX253" i="3" s="1"/>
  <c r="BT124" i="3"/>
  <c r="BT253" i="3" s="1"/>
  <c r="CI123" i="3"/>
  <c r="CI252" i="3" s="1"/>
  <c r="CE123" i="3"/>
  <c r="CE252" i="3" s="1"/>
  <c r="BT125" i="3"/>
  <c r="BT254" i="3" s="1"/>
  <c r="BX125" i="3"/>
  <c r="BX254" i="3" s="1"/>
  <c r="BT123" i="3"/>
  <c r="BT252" i="3" s="1"/>
  <c r="BX123" i="3"/>
  <c r="BX252" i="3" s="1"/>
  <c r="CE125" i="3"/>
  <c r="CE254" i="3" s="1"/>
  <c r="CI125" i="3"/>
  <c r="CI254" i="3" s="1"/>
  <c r="CI124" i="3"/>
  <c r="CI253" i="3" s="1"/>
  <c r="CE124" i="3"/>
  <c r="CE253" i="3" s="1"/>
  <c r="D125" i="3"/>
  <c r="D254" i="3" s="1"/>
  <c r="K125" i="3"/>
  <c r="K254" i="3" s="1"/>
  <c r="W125" i="3"/>
  <c r="J125" i="3"/>
  <c r="DG13" i="3"/>
  <c r="DG14" i="3" s="1"/>
  <c r="BF123" i="3"/>
  <c r="BF252" i="3" s="1"/>
  <c r="BF124" i="3"/>
  <c r="BF253" i="3" s="1"/>
  <c r="BF125" i="3"/>
  <c r="BF254" i="3" s="1"/>
  <c r="AU123" i="3"/>
  <c r="AU252" i="3" s="1"/>
  <c r="AU124" i="3"/>
  <c r="AU253" i="3" s="1"/>
  <c r="AU125" i="3"/>
  <c r="AU254" i="3" s="1"/>
  <c r="AJ123" i="3"/>
  <c r="AJ252" i="3" s="1"/>
  <c r="AJ124" i="3"/>
  <c r="AJ253" i="3" s="1"/>
  <c r="AJ125" i="3"/>
  <c r="AJ254" i="3" s="1"/>
  <c r="CM122" i="3"/>
  <c r="CB122" i="3"/>
  <c r="BQ122" i="3"/>
  <c r="BF122" i="3"/>
  <c r="AU122" i="3"/>
  <c r="AJ122" i="3"/>
  <c r="CQ125" i="3" l="1"/>
  <c r="CQ254" i="3" s="1"/>
  <c r="J254" i="3"/>
  <c r="CU125" i="3"/>
  <c r="CU254" i="3" s="1"/>
  <c r="W254" i="3"/>
  <c r="CX125" i="3"/>
  <c r="CX254" i="3" s="1"/>
  <c r="BT122" i="3"/>
  <c r="BT251" i="3" s="1"/>
  <c r="BQ251" i="3"/>
  <c r="CI122" i="3"/>
  <c r="CI251" i="3" s="1"/>
  <c r="CB251" i="3"/>
  <c r="CT122" i="3"/>
  <c r="CT251" i="3" s="1"/>
  <c r="CM251" i="3"/>
  <c r="AM122" i="3"/>
  <c r="AM251" i="3" s="1"/>
  <c r="AJ251" i="3"/>
  <c r="AX122" i="3"/>
  <c r="AX251" i="3" s="1"/>
  <c r="AU251" i="3"/>
  <c r="BI122" i="3"/>
  <c r="BI251" i="3" s="1"/>
  <c r="BF251" i="3"/>
  <c r="BB124" i="3"/>
  <c r="BB253" i="3" s="1"/>
  <c r="AX124" i="3"/>
  <c r="AX253" i="3" s="1"/>
  <c r="BZ123" i="3"/>
  <c r="BZ252" i="3" s="1"/>
  <c r="CK124" i="3"/>
  <c r="CK253" i="3" s="1"/>
  <c r="CK123" i="3"/>
  <c r="CK252" i="3" s="1"/>
  <c r="BB125" i="3"/>
  <c r="AX125" i="3"/>
  <c r="AX254" i="3" s="1"/>
  <c r="AX123" i="3"/>
  <c r="AX252" i="3" s="1"/>
  <c r="BB123" i="3"/>
  <c r="BB252" i="3" s="1"/>
  <c r="BY125" i="3"/>
  <c r="BY254" i="3" s="1"/>
  <c r="BM125" i="3"/>
  <c r="BM254" i="3" s="1"/>
  <c r="BI125" i="3"/>
  <c r="BU125" i="3"/>
  <c r="BU254" i="3" s="1"/>
  <c r="BZ125" i="3"/>
  <c r="BZ254" i="3" s="1"/>
  <c r="BM124" i="3"/>
  <c r="BM253" i="3" s="1"/>
  <c r="BI124" i="3"/>
  <c r="BI253" i="3" s="1"/>
  <c r="AM125" i="3"/>
  <c r="AM254" i="3" s="1"/>
  <c r="AQ125" i="3"/>
  <c r="BI123" i="3"/>
  <c r="BI252" i="3" s="1"/>
  <c r="BM123" i="3"/>
  <c r="BM252" i="3" s="1"/>
  <c r="AQ124" i="3"/>
  <c r="AQ253" i="3" s="1"/>
  <c r="AM124" i="3"/>
  <c r="AM253" i="3" s="1"/>
  <c r="BZ124" i="3"/>
  <c r="BZ253" i="3" s="1"/>
  <c r="CJ125" i="3"/>
  <c r="CJ254" i="3" s="1"/>
  <c r="CK125" i="3"/>
  <c r="CK254" i="3" s="1"/>
  <c r="CF125" i="3"/>
  <c r="CF254" i="3" s="1"/>
  <c r="AQ123" i="3"/>
  <c r="AQ252" i="3" s="1"/>
  <c r="AM123" i="3"/>
  <c r="AM252" i="3" s="1"/>
  <c r="X125" i="3"/>
  <c r="X254" i="3" s="1"/>
  <c r="BB122" i="3"/>
  <c r="BB251" i="3" s="1"/>
  <c r="L254" i="3"/>
  <c r="Y125" i="3"/>
  <c r="Y254" i="3" s="1"/>
  <c r="DG15" i="3"/>
  <c r="DG18" i="3" s="1"/>
  <c r="DG19" i="3" s="1"/>
  <c r="CP122" i="3"/>
  <c r="CP251" i="3" s="1"/>
  <c r="CE122" i="3"/>
  <c r="CE251" i="3" s="1"/>
  <c r="BX122" i="3"/>
  <c r="BM122" i="3"/>
  <c r="BM251" i="3" s="1"/>
  <c r="AQ122" i="3"/>
  <c r="AG124" i="3"/>
  <c r="AB124" i="3"/>
  <c r="AB253" i="3" s="1"/>
  <c r="AR125" i="3" l="1"/>
  <c r="AR254" i="3" s="1"/>
  <c r="AQ254" i="3"/>
  <c r="CV122" i="3"/>
  <c r="CV251" i="3" s="1"/>
  <c r="BJ125" i="3"/>
  <c r="BJ254" i="3" s="1"/>
  <c r="BI254" i="3"/>
  <c r="BC125" i="3"/>
  <c r="BC254" i="3" s="1"/>
  <c r="BB254" i="3"/>
  <c r="BD122" i="3"/>
  <c r="BD251" i="3" s="1"/>
  <c r="BZ122" i="3"/>
  <c r="BZ251" i="3" s="1"/>
  <c r="BX251" i="3"/>
  <c r="AS122" i="3"/>
  <c r="AS251" i="3" s="1"/>
  <c r="AQ251" i="3"/>
  <c r="AY125" i="3"/>
  <c r="AY254" i="3" s="1"/>
  <c r="BD125" i="3"/>
  <c r="BD254" i="3" s="1"/>
  <c r="BO124" i="3"/>
  <c r="BO253" i="3" s="1"/>
  <c r="BO123" i="3"/>
  <c r="BO252" i="3" s="1"/>
  <c r="BD124" i="3"/>
  <c r="BD253" i="3" s="1"/>
  <c r="BN125" i="3"/>
  <c r="BN254" i="3" s="1"/>
  <c r="BO125" i="3"/>
  <c r="BO254" i="3" s="1"/>
  <c r="AN125" i="3"/>
  <c r="AN254" i="3" s="1"/>
  <c r="AS125" i="3"/>
  <c r="AS254" i="3" s="1"/>
  <c r="BD123" i="3"/>
  <c r="BD252" i="3" s="1"/>
  <c r="CK122" i="3"/>
  <c r="CK251" i="3" s="1"/>
  <c r="AS124" i="3"/>
  <c r="AS253" i="3" s="1"/>
  <c r="AS123" i="3"/>
  <c r="AS252" i="3" s="1"/>
  <c r="DG20" i="3"/>
  <c r="BO122" i="3"/>
  <c r="BO251" i="3" s="1"/>
  <c r="C124" i="3"/>
  <c r="AG123" i="3"/>
  <c r="AB123" i="3"/>
  <c r="AB252" i="3" s="1"/>
  <c r="U494" i="1"/>
  <c r="C123" i="3"/>
  <c r="B250" i="3"/>
  <c r="F250" i="3"/>
  <c r="G250" i="3"/>
  <c r="H250" i="3"/>
  <c r="I250" i="3"/>
  <c r="M250" i="3"/>
  <c r="N250" i="3"/>
  <c r="O250" i="3"/>
  <c r="P250" i="3"/>
  <c r="Q250" i="3"/>
  <c r="R250" i="3"/>
  <c r="S250" i="3"/>
  <c r="T250" i="3"/>
  <c r="Z250" i="3"/>
  <c r="AA250" i="3"/>
  <c r="AC250" i="3"/>
  <c r="AD250" i="3"/>
  <c r="AE250" i="3"/>
  <c r="AF250" i="3"/>
  <c r="AI250" i="3"/>
  <c r="AK250" i="3"/>
  <c r="AL250" i="3"/>
  <c r="AO250" i="3"/>
  <c r="AP250" i="3"/>
  <c r="AT250" i="3"/>
  <c r="AV250" i="3"/>
  <c r="AW250" i="3"/>
  <c r="AZ250" i="3"/>
  <c r="BA250" i="3"/>
  <c r="BE250" i="3"/>
  <c r="BG250" i="3"/>
  <c r="BH250" i="3"/>
  <c r="BK250" i="3"/>
  <c r="BL250" i="3"/>
  <c r="BP250" i="3"/>
  <c r="BR250" i="3"/>
  <c r="BS250" i="3"/>
  <c r="BV250" i="3"/>
  <c r="BW250" i="3"/>
  <c r="CA250" i="3"/>
  <c r="CC250" i="3"/>
  <c r="CD250" i="3"/>
  <c r="CG250" i="3"/>
  <c r="CH250" i="3"/>
  <c r="CL250" i="3"/>
  <c r="CN250" i="3"/>
  <c r="CO250" i="3"/>
  <c r="CR250" i="3"/>
  <c r="CS250" i="3"/>
  <c r="DE250" i="3"/>
  <c r="DF250" i="3"/>
  <c r="DG250" i="3"/>
  <c r="DH250" i="3"/>
  <c r="DI250" i="3"/>
  <c r="DK250" i="3"/>
  <c r="DL250" i="3"/>
  <c r="DN250" i="3"/>
  <c r="DO250" i="3"/>
  <c r="DP250" i="3"/>
  <c r="DT250" i="3"/>
  <c r="DU250" i="3"/>
  <c r="DV250" i="3"/>
  <c r="DX250" i="3"/>
  <c r="DZ250" i="3"/>
  <c r="EA250" i="3"/>
  <c r="EC250" i="3"/>
  <c r="EE250" i="3"/>
  <c r="AM106" i="8"/>
  <c r="AE548" i="1"/>
  <c r="AG548" i="1" s="1"/>
  <c r="AE547" i="1"/>
  <c r="AG547" i="1"/>
  <c r="P548" i="1"/>
  <c r="AI548" i="1"/>
  <c r="AI547" i="1"/>
  <c r="AG122" i="3"/>
  <c r="AB122" i="3"/>
  <c r="AB251" i="3" s="1"/>
  <c r="C122" i="3"/>
  <c r="A165" i="8"/>
  <c r="B165" i="8"/>
  <c r="C165" i="8"/>
  <c r="D165" i="8"/>
  <c r="F165" i="8"/>
  <c r="G165" i="8"/>
  <c r="I165" i="8"/>
  <c r="J165" i="8"/>
  <c r="K165" i="8"/>
  <c r="M165" i="8"/>
  <c r="N165" i="8"/>
  <c r="P165" i="8"/>
  <c r="Q165" i="8"/>
  <c r="T165" i="8"/>
  <c r="U165" i="8"/>
  <c r="V165" i="8"/>
  <c r="X165" i="8"/>
  <c r="Y165" i="8"/>
  <c r="AA165" i="8"/>
  <c r="AB165" i="8"/>
  <c r="AC165" i="8"/>
  <c r="AE165" i="8"/>
  <c r="AF165" i="8"/>
  <c r="AG165" i="8"/>
  <c r="AI165" i="8"/>
  <c r="AJ165" i="8"/>
  <c r="B163" i="8"/>
  <c r="C163" i="8"/>
  <c r="D163" i="8"/>
  <c r="F163" i="8"/>
  <c r="G163" i="8"/>
  <c r="I163" i="8"/>
  <c r="J163" i="8"/>
  <c r="B164" i="8"/>
  <c r="C164" i="8"/>
  <c r="D164" i="8"/>
  <c r="F164" i="8"/>
  <c r="G164" i="8"/>
  <c r="I164" i="8"/>
  <c r="J164" i="8"/>
  <c r="EB121" i="3"/>
  <c r="EB250" i="3" s="1"/>
  <c r="DY121" i="3"/>
  <c r="DY250" i="3" s="1"/>
  <c r="DW121" i="3"/>
  <c r="DW250" i="3" s="1"/>
  <c r="DQ121" i="3"/>
  <c r="DQ250" i="3" s="1"/>
  <c r="DS121" i="3"/>
  <c r="DS250" i="3" s="1"/>
  <c r="DM250" i="3"/>
  <c r="DJ250" i="3"/>
  <c r="CY250" i="3"/>
  <c r="CZ250" i="3"/>
  <c r="DA250" i="3"/>
  <c r="DB250" i="3"/>
  <c r="DC250" i="3"/>
  <c r="CM121" i="3"/>
  <c r="CT121" i="3" s="1"/>
  <c r="CT250" i="3" s="1"/>
  <c r="CB121" i="3"/>
  <c r="CE121" i="3" s="1"/>
  <c r="B249" i="3"/>
  <c r="F249" i="3"/>
  <c r="G249" i="3"/>
  <c r="H249" i="3"/>
  <c r="I249" i="3"/>
  <c r="M249" i="3"/>
  <c r="N249" i="3"/>
  <c r="O249" i="3"/>
  <c r="P249" i="3"/>
  <c r="Q249" i="3"/>
  <c r="R249" i="3"/>
  <c r="S249" i="3"/>
  <c r="T249" i="3"/>
  <c r="Z249" i="3"/>
  <c r="AA249" i="3"/>
  <c r="AD249" i="3"/>
  <c r="AE249" i="3"/>
  <c r="AF249" i="3"/>
  <c r="AI249" i="3"/>
  <c r="AK249" i="3"/>
  <c r="AL249" i="3"/>
  <c r="AO249" i="3"/>
  <c r="AP249" i="3"/>
  <c r="AT249" i="3"/>
  <c r="AV249" i="3"/>
  <c r="AW249" i="3"/>
  <c r="AZ249" i="3"/>
  <c r="BA249" i="3"/>
  <c r="BE249" i="3"/>
  <c r="BG249" i="3"/>
  <c r="BH249" i="3"/>
  <c r="BK249" i="3"/>
  <c r="BL249" i="3"/>
  <c r="BP249" i="3"/>
  <c r="BR249" i="3"/>
  <c r="BS249" i="3"/>
  <c r="BV249" i="3"/>
  <c r="BW249" i="3"/>
  <c r="CA249" i="3"/>
  <c r="CC249" i="3"/>
  <c r="CD249" i="3"/>
  <c r="CG249" i="3"/>
  <c r="CH249" i="3"/>
  <c r="CL249" i="3"/>
  <c r="CN249" i="3"/>
  <c r="CO249" i="3"/>
  <c r="CR249" i="3"/>
  <c r="CS249" i="3"/>
  <c r="DE249" i="3"/>
  <c r="DF249" i="3"/>
  <c r="DG249" i="3"/>
  <c r="DI249" i="3"/>
  <c r="DK249" i="3"/>
  <c r="DL249" i="3"/>
  <c r="DN249" i="3"/>
  <c r="DO249" i="3"/>
  <c r="DP249" i="3"/>
  <c r="DT249" i="3"/>
  <c r="DU249" i="3"/>
  <c r="DV249" i="3"/>
  <c r="DX249" i="3"/>
  <c r="DZ249" i="3"/>
  <c r="EA249" i="3"/>
  <c r="EC249" i="3"/>
  <c r="EE249" i="3"/>
  <c r="BQ121" i="3"/>
  <c r="BT121" i="3" s="1"/>
  <c r="BT250" i="3" s="1"/>
  <c r="BF121" i="3"/>
  <c r="BM121" i="3" s="1"/>
  <c r="BM250" i="3" s="1"/>
  <c r="AU121" i="3"/>
  <c r="AX121" i="3" s="1"/>
  <c r="AX250" i="3" s="1"/>
  <c r="AJ121" i="3"/>
  <c r="AQ121" i="3" s="1"/>
  <c r="AQ250" i="3" s="1"/>
  <c r="AG121" i="3"/>
  <c r="AB121" i="3"/>
  <c r="AB250" i="3" s="1"/>
  <c r="U121" i="3"/>
  <c r="U250" i="3" s="1"/>
  <c r="V121" i="3"/>
  <c r="V250" i="3" s="1"/>
  <c r="C121" i="3"/>
  <c r="B248" i="3"/>
  <c r="F248" i="3"/>
  <c r="G248" i="3"/>
  <c r="H248" i="3"/>
  <c r="I248" i="3"/>
  <c r="M248" i="3"/>
  <c r="N248" i="3"/>
  <c r="O248" i="3"/>
  <c r="P248" i="3"/>
  <c r="Q248" i="3"/>
  <c r="R248" i="3"/>
  <c r="S248" i="3"/>
  <c r="T248" i="3"/>
  <c r="Z248" i="3"/>
  <c r="AA248" i="3"/>
  <c r="AD248" i="3"/>
  <c r="AE248" i="3"/>
  <c r="AF248" i="3"/>
  <c r="AI248" i="3"/>
  <c r="AK248" i="3"/>
  <c r="AL248" i="3"/>
  <c r="AO248" i="3"/>
  <c r="AP248" i="3"/>
  <c r="AT248" i="3"/>
  <c r="AV248" i="3"/>
  <c r="AW248" i="3"/>
  <c r="AZ248" i="3"/>
  <c r="BA248" i="3"/>
  <c r="BE248" i="3"/>
  <c r="BG248" i="3"/>
  <c r="BH248" i="3"/>
  <c r="BK248" i="3"/>
  <c r="BL248" i="3"/>
  <c r="BP248" i="3"/>
  <c r="BR248" i="3"/>
  <c r="BS248" i="3"/>
  <c r="BV248" i="3"/>
  <c r="BW248" i="3"/>
  <c r="CA248" i="3"/>
  <c r="CC248" i="3"/>
  <c r="CD248" i="3"/>
  <c r="CG248" i="3"/>
  <c r="CH248" i="3"/>
  <c r="CL248" i="3"/>
  <c r="CN248" i="3"/>
  <c r="CO248" i="3"/>
  <c r="CR248" i="3"/>
  <c r="CS248" i="3"/>
  <c r="DE248" i="3"/>
  <c r="DF248" i="3"/>
  <c r="DG248" i="3"/>
  <c r="DI248" i="3"/>
  <c r="DK248" i="3"/>
  <c r="DL248" i="3"/>
  <c r="DN248" i="3"/>
  <c r="DO248" i="3"/>
  <c r="DP248" i="3"/>
  <c r="DT248" i="3"/>
  <c r="DU248" i="3"/>
  <c r="DV248" i="3"/>
  <c r="DX248" i="3"/>
  <c r="DZ248" i="3"/>
  <c r="EA248" i="3"/>
  <c r="EC248" i="3"/>
  <c r="EE248" i="3"/>
  <c r="B177" i="14"/>
  <c r="C177" i="14"/>
  <c r="B178" i="14"/>
  <c r="C178" i="14"/>
  <c r="B179" i="14"/>
  <c r="C179" i="14"/>
  <c r="B180" i="14"/>
  <c r="C180" i="14"/>
  <c r="AH546" i="1"/>
  <c r="AF546" i="1"/>
  <c r="AE546" i="1"/>
  <c r="AG546" i="1" s="1"/>
  <c r="S546" i="1"/>
  <c r="R546" i="1" s="1"/>
  <c r="S545" i="1"/>
  <c r="R545" i="1" s="1"/>
  <c r="K546" i="1"/>
  <c r="AI546" i="1"/>
  <c r="CX124" i="3" l="1"/>
  <c r="CX253" i="3" s="1"/>
  <c r="C253" i="3"/>
  <c r="CX121" i="3"/>
  <c r="C251" i="3"/>
  <c r="CX122" i="3"/>
  <c r="CX251" i="3" s="1"/>
  <c r="C252" i="3"/>
  <c r="CX123" i="3"/>
  <c r="CX252" i="3" s="1"/>
  <c r="CE250" i="3"/>
  <c r="CM250" i="3"/>
  <c r="EJ122" i="3"/>
  <c r="EO122" i="3" s="1"/>
  <c r="D121" i="3"/>
  <c r="D250" i="3" s="1"/>
  <c r="EJ121" i="3"/>
  <c r="BF250" i="3"/>
  <c r="D123" i="3"/>
  <c r="D252" i="3" s="1"/>
  <c r="J124" i="3"/>
  <c r="J253" i="3" s="1"/>
  <c r="DG21" i="3"/>
  <c r="DG22" i="3" s="1"/>
  <c r="DG23" i="3" s="1"/>
  <c r="W122" i="3"/>
  <c r="W251" i="3" s="1"/>
  <c r="K124" i="3"/>
  <c r="K253" i="3" s="1"/>
  <c r="W124" i="3"/>
  <c r="W253" i="3" s="1"/>
  <c r="BQ250" i="3"/>
  <c r="W123" i="3"/>
  <c r="W252" i="3" s="1"/>
  <c r="J123" i="3"/>
  <c r="J252" i="3" s="1"/>
  <c r="K123" i="3"/>
  <c r="K252" i="3" s="1"/>
  <c r="E123" i="3"/>
  <c r="E252" i="3" s="1"/>
  <c r="AU250" i="3"/>
  <c r="CB250" i="3"/>
  <c r="DR121" i="3"/>
  <c r="DR250" i="3" s="1"/>
  <c r="AJ250" i="3"/>
  <c r="C250" i="3"/>
  <c r="BI121" i="3"/>
  <c r="BI250" i="3" s="1"/>
  <c r="K122" i="3"/>
  <c r="K251" i="3" s="1"/>
  <c r="J122" i="3"/>
  <c r="K121" i="3"/>
  <c r="CP121" i="3"/>
  <c r="EG121" i="3"/>
  <c r="EG250" i="3" s="1"/>
  <c r="BX121" i="3"/>
  <c r="BB121" i="3"/>
  <c r="BO121" i="3"/>
  <c r="BO250" i="3" s="1"/>
  <c r="AM121" i="3"/>
  <c r="AM250" i="3" s="1"/>
  <c r="E121" i="3"/>
  <c r="E250" i="3" s="1"/>
  <c r="CX250" i="3"/>
  <c r="J121" i="3"/>
  <c r="CF121" i="3" s="1"/>
  <c r="W121" i="3"/>
  <c r="CI121" i="3"/>
  <c r="CI250" i="3" s="1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B502" i="13"/>
  <c r="B503" i="13"/>
  <c r="B504" i="13"/>
  <c r="B505" i="13"/>
  <c r="B506" i="13"/>
  <c r="B507" i="13"/>
  <c r="B508" i="13"/>
  <c r="B509" i="13"/>
  <c r="B510" i="13"/>
  <c r="B511" i="13"/>
  <c r="B512" i="13"/>
  <c r="B513" i="13"/>
  <c r="B514" i="13"/>
  <c r="B515" i="13"/>
  <c r="B516" i="13"/>
  <c r="B517" i="13"/>
  <c r="B518" i="13"/>
  <c r="B519" i="13"/>
  <c r="B520" i="13"/>
  <c r="B521" i="13"/>
  <c r="B522" i="13"/>
  <c r="B523" i="13"/>
  <c r="B524" i="13"/>
  <c r="B525" i="13"/>
  <c r="B526" i="13"/>
  <c r="B527" i="13"/>
  <c r="B528" i="13"/>
  <c r="B529" i="13"/>
  <c r="B530" i="13"/>
  <c r="B531" i="13"/>
  <c r="B532" i="13"/>
  <c r="B533" i="13"/>
  <c r="B534" i="13"/>
  <c r="B535" i="13"/>
  <c r="B536" i="13"/>
  <c r="B537" i="13"/>
  <c r="B538" i="13"/>
  <c r="B539" i="13"/>
  <c r="B540" i="13"/>
  <c r="B541" i="13"/>
  <c r="B542" i="13"/>
  <c r="B543" i="13"/>
  <c r="B544" i="13"/>
  <c r="B545" i="13"/>
  <c r="B546" i="13"/>
  <c r="B547" i="13"/>
  <c r="B548" i="13"/>
  <c r="B549" i="13"/>
  <c r="B550" i="13"/>
  <c r="B551" i="13"/>
  <c r="B552" i="13"/>
  <c r="B553" i="13"/>
  <c r="B554" i="13"/>
  <c r="B555" i="13"/>
  <c r="B556" i="13"/>
  <c r="B557" i="13"/>
  <c r="B558" i="13"/>
  <c r="B559" i="13"/>
  <c r="B560" i="13"/>
  <c r="B561" i="13"/>
  <c r="B562" i="13"/>
  <c r="B563" i="13"/>
  <c r="B564" i="13"/>
  <c r="B565" i="13"/>
  <c r="B566" i="13"/>
  <c r="B567" i="13"/>
  <c r="B568" i="13"/>
  <c r="B569" i="13"/>
  <c r="B570" i="13"/>
  <c r="B571" i="13"/>
  <c r="B572" i="13"/>
  <c r="B573" i="13"/>
  <c r="B574" i="13"/>
  <c r="B575" i="13"/>
  <c r="B576" i="13"/>
  <c r="B577" i="13"/>
  <c r="B578" i="13"/>
  <c r="B579" i="13"/>
  <c r="B580" i="13"/>
  <c r="B581" i="13"/>
  <c r="B582" i="13"/>
  <c r="B583" i="13"/>
  <c r="B584" i="13"/>
  <c r="B585" i="13"/>
  <c r="B586" i="13"/>
  <c r="B587" i="13"/>
  <c r="B588" i="13"/>
  <c r="B589" i="13"/>
  <c r="B590" i="13"/>
  <c r="B591" i="13"/>
  <c r="B592" i="13"/>
  <c r="B593" i="13"/>
  <c r="B594" i="13"/>
  <c r="B595" i="13"/>
  <c r="B596" i="13"/>
  <c r="B597" i="13"/>
  <c r="B598" i="13"/>
  <c r="B599" i="13"/>
  <c r="B600" i="13"/>
  <c r="B601" i="13"/>
  <c r="B602" i="13"/>
  <c r="B603" i="13"/>
  <c r="B604" i="13"/>
  <c r="B605" i="13"/>
  <c r="B606" i="13"/>
  <c r="B607" i="13"/>
  <c r="B608" i="13"/>
  <c r="B609" i="13"/>
  <c r="B610" i="13"/>
  <c r="B611" i="13"/>
  <c r="B612" i="13"/>
  <c r="B613" i="13"/>
  <c r="B614" i="13"/>
  <c r="B615" i="13"/>
  <c r="B616" i="13"/>
  <c r="B617" i="13"/>
  <c r="B618" i="13"/>
  <c r="B619" i="13"/>
  <c r="B620" i="13"/>
  <c r="B621" i="13"/>
  <c r="B622" i="13"/>
  <c r="B623" i="13"/>
  <c r="B624" i="13"/>
  <c r="B625" i="13"/>
  <c r="B626" i="13"/>
  <c r="B627" i="13"/>
  <c r="B628" i="13"/>
  <c r="B629" i="13"/>
  <c r="B630" i="13"/>
  <c r="B631" i="13"/>
  <c r="B632" i="13"/>
  <c r="B633" i="13"/>
  <c r="B634" i="13"/>
  <c r="B635" i="13"/>
  <c r="B636" i="13"/>
  <c r="B637" i="13"/>
  <c r="B638" i="13"/>
  <c r="B639" i="13"/>
  <c r="B640" i="13"/>
  <c r="B641" i="13"/>
  <c r="B642" i="13"/>
  <c r="B643" i="13"/>
  <c r="B644" i="13"/>
  <c r="B645" i="13"/>
  <c r="B646" i="13"/>
  <c r="B647" i="13"/>
  <c r="B648" i="13"/>
  <c r="B649" i="13"/>
  <c r="B650" i="13"/>
  <c r="B651" i="13"/>
  <c r="B652" i="13"/>
  <c r="B653" i="13"/>
  <c r="B654" i="13"/>
  <c r="B655" i="13"/>
  <c r="B656" i="13"/>
  <c r="B657" i="13"/>
  <c r="B658" i="13"/>
  <c r="B659" i="13"/>
  <c r="B660" i="13"/>
  <c r="B661" i="13"/>
  <c r="B662" i="13"/>
  <c r="B663" i="13"/>
  <c r="B664" i="13"/>
  <c r="B665" i="13"/>
  <c r="B666" i="13"/>
  <c r="B667" i="13"/>
  <c r="B668" i="13"/>
  <c r="B669" i="13"/>
  <c r="B670" i="13"/>
  <c r="B671" i="13"/>
  <c r="B672" i="13"/>
  <c r="B673" i="13"/>
  <c r="B674" i="13"/>
  <c r="B675" i="13"/>
  <c r="B676" i="13"/>
  <c r="B677" i="13"/>
  <c r="B678" i="13"/>
  <c r="B679" i="13"/>
  <c r="B680" i="13"/>
  <c r="B681" i="13"/>
  <c r="B682" i="13"/>
  <c r="B683" i="13"/>
  <c r="B684" i="13"/>
  <c r="B685" i="13"/>
  <c r="B686" i="13"/>
  <c r="B687" i="13"/>
  <c r="B688" i="13"/>
  <c r="B689" i="13"/>
  <c r="B690" i="13"/>
  <c r="B691" i="13"/>
  <c r="B692" i="13"/>
  <c r="B693" i="13"/>
  <c r="B694" i="13"/>
  <c r="B695" i="13"/>
  <c r="B696" i="13"/>
  <c r="B697" i="13"/>
  <c r="B698" i="13"/>
  <c r="B699" i="13"/>
  <c r="B700" i="13"/>
  <c r="B701" i="13"/>
  <c r="B702" i="13"/>
  <c r="B703" i="13"/>
  <c r="B704" i="13"/>
  <c r="B705" i="13"/>
  <c r="B706" i="13"/>
  <c r="B707" i="13"/>
  <c r="B708" i="13"/>
  <c r="B709" i="13"/>
  <c r="B710" i="13"/>
  <c r="B711" i="13"/>
  <c r="B712" i="13"/>
  <c r="B713" i="13"/>
  <c r="B714" i="13"/>
  <c r="B715" i="13"/>
  <c r="B716" i="13"/>
  <c r="B717" i="13"/>
  <c r="B718" i="13"/>
  <c r="B719" i="13"/>
  <c r="B720" i="13"/>
  <c r="B721" i="13"/>
  <c r="B722" i="13"/>
  <c r="B723" i="13"/>
  <c r="B724" i="13"/>
  <c r="B725" i="13"/>
  <c r="B726" i="13"/>
  <c r="B727" i="13"/>
  <c r="B728" i="13"/>
  <c r="B729" i="13"/>
  <c r="B730" i="13"/>
  <c r="B731" i="13"/>
  <c r="B732" i="13"/>
  <c r="B733" i="13"/>
  <c r="B734" i="13"/>
  <c r="B735" i="13"/>
  <c r="B736" i="13"/>
  <c r="B737" i="13"/>
  <c r="B738" i="13"/>
  <c r="B739" i="13"/>
  <c r="B740" i="13"/>
  <c r="B741" i="13"/>
  <c r="B742" i="13"/>
  <c r="B743" i="13"/>
  <c r="B744" i="13"/>
  <c r="B745" i="13"/>
  <c r="B746" i="13"/>
  <c r="B747" i="13"/>
  <c r="B748" i="13"/>
  <c r="B749" i="13"/>
  <c r="B750" i="13"/>
  <c r="B751" i="13"/>
  <c r="B752" i="13"/>
  <c r="B753" i="13"/>
  <c r="B754" i="13"/>
  <c r="B755" i="13"/>
  <c r="B756" i="13"/>
  <c r="B757" i="13"/>
  <c r="B758" i="13"/>
  <c r="A759" i="13"/>
  <c r="C759" i="13" s="1"/>
  <c r="K163" i="8"/>
  <c r="M163" i="8"/>
  <c r="N163" i="8"/>
  <c r="P163" i="8"/>
  <c r="Q163" i="8"/>
  <c r="T163" i="8"/>
  <c r="U163" i="8"/>
  <c r="V163" i="8"/>
  <c r="X163" i="8"/>
  <c r="Y163" i="8"/>
  <c r="AA163" i="8"/>
  <c r="AB163" i="8"/>
  <c r="AC163" i="8"/>
  <c r="AE163" i="8"/>
  <c r="AF163" i="8"/>
  <c r="AG163" i="8"/>
  <c r="AI163" i="8"/>
  <c r="AJ163" i="8"/>
  <c r="K164" i="8"/>
  <c r="M164" i="8"/>
  <c r="N164" i="8"/>
  <c r="P164" i="8"/>
  <c r="Q164" i="8"/>
  <c r="T164" i="8"/>
  <c r="U164" i="8"/>
  <c r="V164" i="8"/>
  <c r="X164" i="8"/>
  <c r="Y164" i="8"/>
  <c r="AA164" i="8"/>
  <c r="AB164" i="8"/>
  <c r="AC164" i="8"/>
  <c r="AE164" i="8"/>
  <c r="AF164" i="8"/>
  <c r="AG164" i="8"/>
  <c r="AI164" i="8"/>
  <c r="AJ164" i="8"/>
  <c r="A163" i="8"/>
  <c r="A164" i="8"/>
  <c r="R1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A166" i="11"/>
  <c r="B166" i="11"/>
  <c r="C166" i="11"/>
  <c r="E166" i="11"/>
  <c r="F166" i="11"/>
  <c r="G166" i="11"/>
  <c r="H166" i="11"/>
  <c r="L166" i="11"/>
  <c r="M166" i="11"/>
  <c r="P166" i="11"/>
  <c r="Q166" i="11"/>
  <c r="S166" i="11"/>
  <c r="T166" i="11"/>
  <c r="V166" i="11"/>
  <c r="X166" i="11"/>
  <c r="Y166" i="11"/>
  <c r="EB120" i="3"/>
  <c r="EB249" i="3" s="1"/>
  <c r="DY120" i="3"/>
  <c r="DY249" i="3" s="1"/>
  <c r="DW120" i="3"/>
  <c r="DS120" i="3"/>
  <c r="DS249" i="3" s="1"/>
  <c r="DQ120" i="3"/>
  <c r="DQ249" i="3" s="1"/>
  <c r="DM249" i="3"/>
  <c r="DJ249" i="3"/>
  <c r="CY249" i="3"/>
  <c r="CZ249" i="3"/>
  <c r="DA249" i="3"/>
  <c r="DB249" i="3"/>
  <c r="DC249" i="3"/>
  <c r="CM120" i="3"/>
  <c r="CB120" i="3"/>
  <c r="CB249" i="3" s="1"/>
  <c r="BQ120" i="3"/>
  <c r="BF120" i="3"/>
  <c r="AU120" i="3"/>
  <c r="AJ120" i="3"/>
  <c r="AG120" i="3"/>
  <c r="AB120" i="3"/>
  <c r="AB249" i="3" s="1"/>
  <c r="U120" i="3"/>
  <c r="U249" i="3" s="1"/>
  <c r="V120" i="3"/>
  <c r="V249" i="3" s="1"/>
  <c r="C120" i="3"/>
  <c r="B247" i="3"/>
  <c r="F247" i="3"/>
  <c r="G247" i="3"/>
  <c r="H247" i="3"/>
  <c r="I247" i="3"/>
  <c r="M247" i="3"/>
  <c r="N247" i="3"/>
  <c r="O247" i="3"/>
  <c r="P247" i="3"/>
  <c r="Q247" i="3"/>
  <c r="T247" i="3"/>
  <c r="Z247" i="3"/>
  <c r="AA247" i="3"/>
  <c r="AC247" i="3"/>
  <c r="AD247" i="3"/>
  <c r="AE247" i="3"/>
  <c r="AF247" i="3"/>
  <c r="AI247" i="3"/>
  <c r="AK247" i="3"/>
  <c r="AL247" i="3"/>
  <c r="AO247" i="3"/>
  <c r="AP247" i="3"/>
  <c r="AT247" i="3"/>
  <c r="AV247" i="3"/>
  <c r="AW247" i="3"/>
  <c r="AZ247" i="3"/>
  <c r="BA247" i="3"/>
  <c r="BE247" i="3"/>
  <c r="BG247" i="3"/>
  <c r="BH247" i="3"/>
  <c r="BK247" i="3"/>
  <c r="BL247" i="3"/>
  <c r="BP247" i="3"/>
  <c r="BR247" i="3"/>
  <c r="BS247" i="3"/>
  <c r="BV247" i="3"/>
  <c r="BW247" i="3"/>
  <c r="CA247" i="3"/>
  <c r="CC247" i="3"/>
  <c r="CD247" i="3"/>
  <c r="CG247" i="3"/>
  <c r="CH247" i="3"/>
  <c r="CL247" i="3"/>
  <c r="CN247" i="3"/>
  <c r="CO247" i="3"/>
  <c r="CR247" i="3"/>
  <c r="CS247" i="3"/>
  <c r="DE247" i="3"/>
  <c r="DF247" i="3"/>
  <c r="DG247" i="3"/>
  <c r="DI247" i="3"/>
  <c r="DK247" i="3"/>
  <c r="DL247" i="3"/>
  <c r="DN247" i="3"/>
  <c r="DO247" i="3"/>
  <c r="DP247" i="3"/>
  <c r="DT247" i="3"/>
  <c r="DU247" i="3"/>
  <c r="DV247" i="3"/>
  <c r="DX247" i="3"/>
  <c r="DZ247" i="3"/>
  <c r="EA247" i="3"/>
  <c r="EC247" i="3"/>
  <c r="EE247" i="3"/>
  <c r="M545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AH544" i="1"/>
  <c r="AI544" i="1"/>
  <c r="AH545" i="1"/>
  <c r="AI545" i="1"/>
  <c r="AE545" i="1"/>
  <c r="AF545" i="1" s="1"/>
  <c r="AE544" i="1"/>
  <c r="AF544" i="1" s="1"/>
  <c r="S544" i="1"/>
  <c r="R544" i="1" s="1"/>
  <c r="E841" i="9"/>
  <c r="F841" i="9" s="1"/>
  <c r="E836" i="9"/>
  <c r="E840" i="9" s="1"/>
  <c r="E835" i="9"/>
  <c r="E831" i="9"/>
  <c r="F831" i="9" s="1"/>
  <c r="E826" i="9"/>
  <c r="E825" i="9"/>
  <c r="B812" i="9"/>
  <c r="CX120" i="3" l="1"/>
  <c r="CF122" i="3"/>
  <c r="CF251" i="3" s="1"/>
  <c r="J251" i="3"/>
  <c r="P547" i="1"/>
  <c r="CQ123" i="3"/>
  <c r="CQ252" i="3" s="1"/>
  <c r="BU123" i="3"/>
  <c r="BU252" i="3" s="1"/>
  <c r="CF123" i="3"/>
  <c r="CF252" i="3" s="1"/>
  <c r="AY123" i="3"/>
  <c r="AY252" i="3" s="1"/>
  <c r="BJ123" i="3"/>
  <c r="BJ252" i="3" s="1"/>
  <c r="EJ120" i="3"/>
  <c r="EO120" i="3" s="1"/>
  <c r="CX249" i="3"/>
  <c r="CU123" i="3"/>
  <c r="CU252" i="3" s="1"/>
  <c r="CJ123" i="3"/>
  <c r="CJ252" i="3" s="1"/>
  <c r="BY123" i="3"/>
  <c r="BY252" i="3" s="1"/>
  <c r="BC123" i="3"/>
  <c r="BC252" i="3" s="1"/>
  <c r="BN123" i="3"/>
  <c r="BN252" i="3" s="1"/>
  <c r="CQ124" i="3"/>
  <c r="CQ253" i="3" s="1"/>
  <c r="CF124" i="3"/>
  <c r="CF253" i="3" s="1"/>
  <c r="BU124" i="3"/>
  <c r="BU253" i="3" s="1"/>
  <c r="AY124" i="3"/>
  <c r="AY253" i="3" s="1"/>
  <c r="BJ124" i="3"/>
  <c r="BJ253" i="3" s="1"/>
  <c r="AN124" i="3"/>
  <c r="AN253" i="3" s="1"/>
  <c r="CU124" i="3"/>
  <c r="CU253" i="3" s="1"/>
  <c r="BY124" i="3"/>
  <c r="BY253" i="3" s="1"/>
  <c r="CJ124" i="3"/>
  <c r="CJ253" i="3" s="1"/>
  <c r="BN124" i="3"/>
  <c r="BN253" i="3" s="1"/>
  <c r="AR124" i="3"/>
  <c r="AR253" i="3" s="1"/>
  <c r="BC124" i="3"/>
  <c r="BC253" i="3" s="1"/>
  <c r="X123" i="3"/>
  <c r="X252" i="3" s="1"/>
  <c r="AR123" i="3"/>
  <c r="AR252" i="3" s="1"/>
  <c r="AN123" i="3"/>
  <c r="AN252" i="3" s="1"/>
  <c r="X124" i="3"/>
  <c r="X253" i="3" s="1"/>
  <c r="EO121" i="3"/>
  <c r="DG24" i="3"/>
  <c r="L122" i="3"/>
  <c r="L251" i="3" s="1"/>
  <c r="W250" i="3"/>
  <c r="X121" i="3"/>
  <c r="X250" i="3" s="1"/>
  <c r="Y123" i="3"/>
  <c r="Y252" i="3" s="1"/>
  <c r="L252" i="3"/>
  <c r="K250" i="3"/>
  <c r="L121" i="3"/>
  <c r="Y124" i="3"/>
  <c r="Y253" i="3" s="1"/>
  <c r="L253" i="3"/>
  <c r="BJ122" i="3"/>
  <c r="BJ251" i="3" s="1"/>
  <c r="AN122" i="3"/>
  <c r="AN251" i="3" s="1"/>
  <c r="BU122" i="3"/>
  <c r="BU251" i="3" s="1"/>
  <c r="AY122" i="3"/>
  <c r="AY251" i="3" s="1"/>
  <c r="CQ122" i="3"/>
  <c r="CQ251" i="3" s="1"/>
  <c r="CU122" i="3"/>
  <c r="CU251" i="3" s="1"/>
  <c r="CJ122" i="3"/>
  <c r="CJ251" i="3" s="1"/>
  <c r="BC122" i="3"/>
  <c r="BC251" i="3" s="1"/>
  <c r="AR122" i="3"/>
  <c r="AR251" i="3" s="1"/>
  <c r="X122" i="3"/>
  <c r="X251" i="3" s="1"/>
  <c r="BY122" i="3"/>
  <c r="BY251" i="3" s="1"/>
  <c r="BN122" i="3"/>
  <c r="BN251" i="3" s="1"/>
  <c r="CF250" i="3"/>
  <c r="J250" i="3"/>
  <c r="CV121" i="3"/>
  <c r="CV250" i="3" s="1"/>
  <c r="CP250" i="3"/>
  <c r="BD121" i="3"/>
  <c r="BD250" i="3" s="1"/>
  <c r="BB250" i="3"/>
  <c r="BZ121" i="3"/>
  <c r="BZ250" i="3" s="1"/>
  <c r="BX250" i="3"/>
  <c r="Y122" i="3"/>
  <c r="Y251" i="3" s="1"/>
  <c r="AG545" i="1"/>
  <c r="CE120" i="3"/>
  <c r="B759" i="13"/>
  <c r="CI120" i="3"/>
  <c r="CI249" i="3" s="1"/>
  <c r="AG544" i="1"/>
  <c r="P546" i="1"/>
  <c r="A760" i="13"/>
  <c r="Y121" i="3"/>
  <c r="Y250" i="3" s="1"/>
  <c r="EG120" i="3"/>
  <c r="EG249" i="3" s="1"/>
  <c r="DW249" i="3"/>
  <c r="AN121" i="3"/>
  <c r="AN250" i="3" s="1"/>
  <c r="CT120" i="3"/>
  <c r="CT249" i="3" s="1"/>
  <c r="CM249" i="3"/>
  <c r="BC121" i="3"/>
  <c r="BC250" i="3" s="1"/>
  <c r="K120" i="3"/>
  <c r="C249" i="3"/>
  <c r="BY121" i="3"/>
  <c r="BY250" i="3" s="1"/>
  <c r="AQ120" i="3"/>
  <c r="AQ249" i="3" s="1"/>
  <c r="AJ249" i="3"/>
  <c r="CQ121" i="3"/>
  <c r="CQ250" i="3" s="1"/>
  <c r="BB120" i="3"/>
  <c r="BB249" i="3" s="1"/>
  <c r="AU249" i="3"/>
  <c r="BU121" i="3"/>
  <c r="BU250" i="3" s="1"/>
  <c r="BJ121" i="3"/>
  <c r="BJ250" i="3" s="1"/>
  <c r="AR121" i="3"/>
  <c r="AR250" i="3" s="1"/>
  <c r="BI120" i="3"/>
  <c r="BI249" i="3" s="1"/>
  <c r="BF249" i="3"/>
  <c r="BM120" i="3"/>
  <c r="BM249" i="3" s="1"/>
  <c r="AS121" i="3"/>
  <c r="AS250" i="3" s="1"/>
  <c r="BT120" i="3"/>
  <c r="BT249" i="3" s="1"/>
  <c r="BQ249" i="3"/>
  <c r="CU121" i="3"/>
  <c r="CU250" i="3" s="1"/>
  <c r="BN121" i="3"/>
  <c r="BN250" i="3" s="1"/>
  <c r="AX120" i="3"/>
  <c r="AY121" i="3"/>
  <c r="AY250" i="3" s="1"/>
  <c r="DR120" i="3"/>
  <c r="DR249" i="3" s="1"/>
  <c r="DH249" i="3"/>
  <c r="CK121" i="3"/>
  <c r="CK250" i="3" s="1"/>
  <c r="CJ121" i="3"/>
  <c r="CJ250" i="3" s="1"/>
  <c r="BX120" i="3"/>
  <c r="AM120" i="3"/>
  <c r="CP120" i="3"/>
  <c r="CP249" i="3" s="1"/>
  <c r="D120" i="3"/>
  <c r="D249" i="3" s="1"/>
  <c r="E120" i="3"/>
  <c r="E249" i="3" s="1"/>
  <c r="J120" i="3"/>
  <c r="W120" i="3"/>
  <c r="X120" i="3" s="1"/>
  <c r="B813" i="9"/>
  <c r="E842" i="9"/>
  <c r="F840" i="9"/>
  <c r="F842" i="9" s="1"/>
  <c r="E830" i="9"/>
  <c r="F830" i="9" s="1"/>
  <c r="F832" i="9" s="1"/>
  <c r="CE249" i="3" l="1"/>
  <c r="CF120" i="3"/>
  <c r="CF249" i="3"/>
  <c r="DG25" i="3"/>
  <c r="K249" i="3"/>
  <c r="L120" i="3"/>
  <c r="CK120" i="3"/>
  <c r="CK249" i="3" s="1"/>
  <c r="CJ120" i="3"/>
  <c r="CJ249" i="3" s="1"/>
  <c r="AN120" i="3"/>
  <c r="AN249" i="3" s="1"/>
  <c r="CQ120" i="3"/>
  <c r="CQ249" i="3" s="1"/>
  <c r="A761" i="13"/>
  <c r="B760" i="13"/>
  <c r="C760" i="13"/>
  <c r="BJ120" i="3"/>
  <c r="BJ249" i="3" s="1"/>
  <c r="Y120" i="3"/>
  <c r="Y249" i="3" s="1"/>
  <c r="W249" i="3"/>
  <c r="K545" i="1"/>
  <c r="BU120" i="3"/>
  <c r="BU249" i="3" s="1"/>
  <c r="BD120" i="3"/>
  <c r="BD249" i="3" s="1"/>
  <c r="AX249" i="3"/>
  <c r="AY120" i="3"/>
  <c r="AY249" i="3" s="1"/>
  <c r="J249" i="3"/>
  <c r="BO120" i="3"/>
  <c r="BO249" i="3" s="1"/>
  <c r="CV120" i="3"/>
  <c r="CV249" i="3" s="1"/>
  <c r="AS120" i="3"/>
  <c r="AS249" i="3" s="1"/>
  <c r="AM249" i="3"/>
  <c r="BZ120" i="3"/>
  <c r="BZ249" i="3" s="1"/>
  <c r="BX249" i="3"/>
  <c r="BY120" i="3"/>
  <c r="BY249" i="3" s="1"/>
  <c r="P545" i="1"/>
  <c r="CU120" i="3"/>
  <c r="CU249" i="3" s="1"/>
  <c r="AR120" i="3"/>
  <c r="AR249" i="3" s="1"/>
  <c r="BC120" i="3"/>
  <c r="BC249" i="3" s="1"/>
  <c r="BN120" i="3"/>
  <c r="BN249" i="3" s="1"/>
  <c r="E832" i="9"/>
  <c r="DG26" i="3" l="1"/>
  <c r="A762" i="13"/>
  <c r="B761" i="13"/>
  <c r="C761" i="13"/>
  <c r="A163" i="11"/>
  <c r="B163" i="11"/>
  <c r="C163" i="11"/>
  <c r="E163" i="11"/>
  <c r="H163" i="11"/>
  <c r="L163" i="11"/>
  <c r="M163" i="11"/>
  <c r="P163" i="11"/>
  <c r="Q163" i="11"/>
  <c r="S163" i="11"/>
  <c r="T163" i="11"/>
  <c r="V163" i="11"/>
  <c r="W163" i="11"/>
  <c r="X163" i="11"/>
  <c r="Y163" i="11"/>
  <c r="A164" i="11"/>
  <c r="B164" i="11"/>
  <c r="C164" i="11"/>
  <c r="E164" i="11"/>
  <c r="F164" i="11"/>
  <c r="G164" i="11"/>
  <c r="H164" i="11"/>
  <c r="L164" i="11"/>
  <c r="M164" i="11"/>
  <c r="P164" i="11"/>
  <c r="Q164" i="11"/>
  <c r="S164" i="11"/>
  <c r="T164" i="11"/>
  <c r="V164" i="11"/>
  <c r="W164" i="11"/>
  <c r="X164" i="11"/>
  <c r="Y164" i="11"/>
  <c r="Z164" i="11"/>
  <c r="A165" i="11"/>
  <c r="B165" i="11"/>
  <c r="C165" i="11"/>
  <c r="E165" i="11"/>
  <c r="F165" i="11"/>
  <c r="G165" i="11"/>
  <c r="H165" i="11"/>
  <c r="L165" i="11"/>
  <c r="M165" i="11"/>
  <c r="P165" i="11"/>
  <c r="Q165" i="11"/>
  <c r="S165" i="11"/>
  <c r="T165" i="11"/>
  <c r="V165" i="11"/>
  <c r="W165" i="11"/>
  <c r="X165" i="11"/>
  <c r="Y165" i="11"/>
  <c r="Z165" i="11"/>
  <c r="W117" i="11"/>
  <c r="R117" i="11"/>
  <c r="R166" i="11" s="1"/>
  <c r="I117" i="11"/>
  <c r="R206" i="11"/>
  <c r="N206" i="11"/>
  <c r="J206" i="11"/>
  <c r="K206" i="11" s="1"/>
  <c r="EB119" i="3"/>
  <c r="EB248" i="3" s="1"/>
  <c r="DY119" i="3"/>
  <c r="DY248" i="3" s="1"/>
  <c r="DW119" i="3"/>
  <c r="DW248" i="3" s="1"/>
  <c r="DQ119" i="3"/>
  <c r="DQ248" i="3" s="1"/>
  <c r="DM248" i="3"/>
  <c r="DS119" i="3"/>
  <c r="DS248" i="3" s="1"/>
  <c r="DJ248" i="3"/>
  <c r="DH248" i="3"/>
  <c r="DC248" i="3"/>
  <c r="DB248" i="3"/>
  <c r="DA248" i="3"/>
  <c r="CZ248" i="3"/>
  <c r="CY248" i="3"/>
  <c r="CM119" i="3"/>
  <c r="CB119" i="3"/>
  <c r="BQ119" i="3"/>
  <c r="BF119" i="3"/>
  <c r="AU119" i="3"/>
  <c r="AJ119" i="3"/>
  <c r="AG119" i="3"/>
  <c r="AB119" i="3"/>
  <c r="AB248" i="3" s="1"/>
  <c r="C119" i="3"/>
  <c r="R115" i="11"/>
  <c r="R164" i="11" s="1"/>
  <c r="R116" i="11"/>
  <c r="I115" i="11"/>
  <c r="I116" i="11"/>
  <c r="A162" i="8"/>
  <c r="B162" i="8"/>
  <c r="C162" i="8"/>
  <c r="D162" i="8"/>
  <c r="F162" i="8"/>
  <c r="G162" i="8"/>
  <c r="I162" i="8"/>
  <c r="J162" i="8"/>
  <c r="K162" i="8"/>
  <c r="M162" i="8"/>
  <c r="N162" i="8"/>
  <c r="P162" i="8"/>
  <c r="Q162" i="8"/>
  <c r="T162" i="8"/>
  <c r="U162" i="8"/>
  <c r="V162" i="8"/>
  <c r="X162" i="8"/>
  <c r="Y162" i="8"/>
  <c r="AA162" i="8"/>
  <c r="AB162" i="8"/>
  <c r="AC162" i="8"/>
  <c r="AE162" i="8"/>
  <c r="AF162" i="8"/>
  <c r="AG162" i="8"/>
  <c r="AI162" i="8"/>
  <c r="AJ162" i="8"/>
  <c r="AH543" i="1"/>
  <c r="AE543" i="1"/>
  <c r="AG543" i="1" s="1"/>
  <c r="S543" i="1"/>
  <c r="R543" i="1" s="1"/>
  <c r="AI543" i="1"/>
  <c r="AH542" i="1"/>
  <c r="AI542" i="1"/>
  <c r="AE542" i="1"/>
  <c r="AG542" i="1" s="1"/>
  <c r="S541" i="1"/>
  <c r="S542" i="1"/>
  <c r="R542" i="1" s="1"/>
  <c r="EB118" i="3"/>
  <c r="EB247" i="3" s="1"/>
  <c r="DY118" i="3"/>
  <c r="DY247" i="3" s="1"/>
  <c r="DW118" i="3"/>
  <c r="DW247" i="3" s="1"/>
  <c r="DQ118" i="3"/>
  <c r="DM118" i="3"/>
  <c r="DM247" i="3" s="1"/>
  <c r="DS118" i="3"/>
  <c r="DS247" i="3" s="1"/>
  <c r="DJ118" i="3"/>
  <c r="DJ247" i="3" s="1"/>
  <c r="DH118" i="3"/>
  <c r="DH247" i="3" s="1"/>
  <c r="DB247" i="3"/>
  <c r="B246" i="3"/>
  <c r="F246" i="3"/>
  <c r="G246" i="3"/>
  <c r="H246" i="3"/>
  <c r="I246" i="3"/>
  <c r="M246" i="3"/>
  <c r="N246" i="3"/>
  <c r="O246" i="3"/>
  <c r="P246" i="3"/>
  <c r="Q246" i="3"/>
  <c r="R246" i="3"/>
  <c r="S246" i="3"/>
  <c r="T246" i="3"/>
  <c r="Z246" i="3"/>
  <c r="AA246" i="3"/>
  <c r="AC246" i="3"/>
  <c r="AD246" i="3"/>
  <c r="AE246" i="3"/>
  <c r="AF246" i="3"/>
  <c r="AI246" i="3"/>
  <c r="AK246" i="3"/>
  <c r="AL246" i="3"/>
  <c r="AO246" i="3"/>
  <c r="AP246" i="3"/>
  <c r="AT246" i="3"/>
  <c r="AV246" i="3"/>
  <c r="AW246" i="3"/>
  <c r="AZ246" i="3"/>
  <c r="BA246" i="3"/>
  <c r="BE246" i="3"/>
  <c r="BG246" i="3"/>
  <c r="BH246" i="3"/>
  <c r="BK246" i="3"/>
  <c r="BL246" i="3"/>
  <c r="BP246" i="3"/>
  <c r="BR246" i="3"/>
  <c r="BS246" i="3"/>
  <c r="BV246" i="3"/>
  <c r="BW246" i="3"/>
  <c r="CA246" i="3"/>
  <c r="CC246" i="3"/>
  <c r="CD246" i="3"/>
  <c r="CG246" i="3"/>
  <c r="CH246" i="3"/>
  <c r="CL246" i="3"/>
  <c r="CN246" i="3"/>
  <c r="CO246" i="3"/>
  <c r="CR246" i="3"/>
  <c r="CS246" i="3"/>
  <c r="DE246" i="3"/>
  <c r="DF246" i="3"/>
  <c r="DG246" i="3"/>
  <c r="DI246" i="3"/>
  <c r="DK246" i="3"/>
  <c r="DL246" i="3"/>
  <c r="DN246" i="3"/>
  <c r="DO246" i="3"/>
  <c r="DP246" i="3"/>
  <c r="DT246" i="3"/>
  <c r="DU246" i="3"/>
  <c r="DV246" i="3"/>
  <c r="DX246" i="3"/>
  <c r="DZ246" i="3"/>
  <c r="EA246" i="3"/>
  <c r="EC246" i="3"/>
  <c r="EE246" i="3"/>
  <c r="DA247" i="3"/>
  <c r="CZ247" i="3"/>
  <c r="CY247" i="3"/>
  <c r="CM118" i="3"/>
  <c r="CB118" i="3"/>
  <c r="BQ118" i="3"/>
  <c r="BF118" i="3"/>
  <c r="AU118" i="3"/>
  <c r="AU247" i="3" s="1"/>
  <c r="AJ118" i="3"/>
  <c r="AG118" i="3"/>
  <c r="AB118" i="3"/>
  <c r="AB247" i="3" s="1"/>
  <c r="R118" i="3"/>
  <c r="C118" i="3"/>
  <c r="B175" i="14"/>
  <c r="C175" i="14"/>
  <c r="B176" i="14"/>
  <c r="C176" i="14"/>
  <c r="E745" i="13"/>
  <c r="F745" i="13"/>
  <c r="N745" i="13"/>
  <c r="P745" i="13"/>
  <c r="E746" i="13"/>
  <c r="F746" i="13"/>
  <c r="N746" i="13"/>
  <c r="P746" i="13"/>
  <c r="E747" i="13"/>
  <c r="F747" i="13"/>
  <c r="N747" i="13"/>
  <c r="P747" i="13"/>
  <c r="E748" i="13"/>
  <c r="F748" i="13"/>
  <c r="N748" i="13"/>
  <c r="P748" i="13"/>
  <c r="E749" i="13"/>
  <c r="F749" i="13"/>
  <c r="N749" i="13"/>
  <c r="P749" i="13"/>
  <c r="E750" i="13"/>
  <c r="F750" i="13"/>
  <c r="N750" i="13"/>
  <c r="P750" i="13"/>
  <c r="E751" i="13"/>
  <c r="F751" i="13"/>
  <c r="N751" i="13"/>
  <c r="P751" i="13"/>
  <c r="AI161" i="8"/>
  <c r="AJ161" i="8"/>
  <c r="AE161" i="8"/>
  <c r="AF161" i="8"/>
  <c r="AA161" i="8"/>
  <c r="AB161" i="8"/>
  <c r="AC161" i="8"/>
  <c r="X161" i="8"/>
  <c r="Y161" i="8"/>
  <c r="T161" i="8"/>
  <c r="U161" i="8"/>
  <c r="V161" i="8"/>
  <c r="P161" i="8"/>
  <c r="Q161" i="8"/>
  <c r="M161" i="8"/>
  <c r="N161" i="8"/>
  <c r="I161" i="8"/>
  <c r="J161" i="8"/>
  <c r="K161" i="8"/>
  <c r="F161" i="8"/>
  <c r="G161" i="8"/>
  <c r="A161" i="8"/>
  <c r="B161" i="8"/>
  <c r="C161" i="8"/>
  <c r="D161" i="8"/>
  <c r="DE244" i="3"/>
  <c r="DF244" i="3"/>
  <c r="DG244" i="3"/>
  <c r="DI244" i="3"/>
  <c r="DK244" i="3"/>
  <c r="DL244" i="3"/>
  <c r="DN244" i="3"/>
  <c r="DO244" i="3"/>
  <c r="DP244" i="3"/>
  <c r="DT244" i="3"/>
  <c r="DU244" i="3"/>
  <c r="DV244" i="3"/>
  <c r="DX244" i="3"/>
  <c r="DZ244" i="3"/>
  <c r="EA244" i="3"/>
  <c r="EC244" i="3"/>
  <c r="EE244" i="3"/>
  <c r="DE245" i="3"/>
  <c r="DF245" i="3"/>
  <c r="DG245" i="3"/>
  <c r="DI245" i="3"/>
  <c r="DK245" i="3"/>
  <c r="DL245" i="3"/>
  <c r="DN245" i="3"/>
  <c r="DO245" i="3"/>
  <c r="DP245" i="3"/>
  <c r="DT245" i="3"/>
  <c r="DU245" i="3"/>
  <c r="DV245" i="3"/>
  <c r="DX245" i="3"/>
  <c r="DZ245" i="3"/>
  <c r="EA245" i="3"/>
  <c r="EC245" i="3"/>
  <c r="EE245" i="3"/>
  <c r="AI245" i="3"/>
  <c r="AK245" i="3"/>
  <c r="AL245" i="3"/>
  <c r="AO245" i="3"/>
  <c r="AP245" i="3"/>
  <c r="AT245" i="3"/>
  <c r="AV245" i="3"/>
  <c r="AW245" i="3"/>
  <c r="AZ245" i="3"/>
  <c r="BA245" i="3"/>
  <c r="BE245" i="3"/>
  <c r="BG245" i="3"/>
  <c r="BH245" i="3"/>
  <c r="BK245" i="3"/>
  <c r="BL245" i="3"/>
  <c r="BP245" i="3"/>
  <c r="BR245" i="3"/>
  <c r="BS245" i="3"/>
  <c r="BV245" i="3"/>
  <c r="BW245" i="3"/>
  <c r="CA245" i="3"/>
  <c r="CC245" i="3"/>
  <c r="CD245" i="3"/>
  <c r="CG245" i="3"/>
  <c r="CH245" i="3"/>
  <c r="CL245" i="3"/>
  <c r="CN245" i="3"/>
  <c r="CO245" i="3"/>
  <c r="CR245" i="3"/>
  <c r="CS245" i="3"/>
  <c r="B245" i="3"/>
  <c r="F245" i="3"/>
  <c r="G245" i="3"/>
  <c r="H245" i="3"/>
  <c r="I245" i="3"/>
  <c r="M245" i="3"/>
  <c r="N245" i="3"/>
  <c r="O245" i="3"/>
  <c r="P245" i="3"/>
  <c r="Q245" i="3"/>
  <c r="R245" i="3"/>
  <c r="S245" i="3"/>
  <c r="T245" i="3"/>
  <c r="Z245" i="3"/>
  <c r="AA245" i="3"/>
  <c r="AD245" i="3"/>
  <c r="AE245" i="3"/>
  <c r="AF245" i="3"/>
  <c r="CX119" i="3" l="1"/>
  <c r="CX118" i="3"/>
  <c r="EJ118" i="3"/>
  <c r="EO118" i="3" s="1"/>
  <c r="CX247" i="3"/>
  <c r="C248" i="3"/>
  <c r="EJ119" i="3"/>
  <c r="EO119" i="3" s="1"/>
  <c r="DG27" i="3"/>
  <c r="AF542" i="1"/>
  <c r="A763" i="13"/>
  <c r="B762" i="13"/>
  <c r="C762" i="13"/>
  <c r="BM119" i="3"/>
  <c r="BM248" i="3" s="1"/>
  <c r="BF248" i="3"/>
  <c r="CE119" i="3"/>
  <c r="CB248" i="3"/>
  <c r="AQ119" i="3"/>
  <c r="AQ248" i="3" s="1"/>
  <c r="AJ248" i="3"/>
  <c r="BT119" i="3"/>
  <c r="BT248" i="3" s="1"/>
  <c r="BQ248" i="3"/>
  <c r="CP119" i="3"/>
  <c r="CP248" i="3" s="1"/>
  <c r="CM248" i="3"/>
  <c r="BB119" i="3"/>
  <c r="BB248" i="3" s="1"/>
  <c r="AU248" i="3"/>
  <c r="AF543" i="1"/>
  <c r="W166" i="11"/>
  <c r="V118" i="11"/>
  <c r="R165" i="11"/>
  <c r="DQ247" i="3"/>
  <c r="CT119" i="3"/>
  <c r="CT248" i="3" s="1"/>
  <c r="AX118" i="3"/>
  <c r="AX247" i="3" s="1"/>
  <c r="AX119" i="3"/>
  <c r="DR119" i="3"/>
  <c r="DR248" i="3" s="1"/>
  <c r="S118" i="3"/>
  <c r="DC118" i="3" s="1"/>
  <c r="R247" i="3"/>
  <c r="CI119" i="3"/>
  <c r="CP118" i="3"/>
  <c r="CM247" i="3"/>
  <c r="BB118" i="3"/>
  <c r="BB247" i="3" s="1"/>
  <c r="AM119" i="3"/>
  <c r="BX119" i="3"/>
  <c r="BI118" i="3"/>
  <c r="BI247" i="3" s="1"/>
  <c r="BF247" i="3"/>
  <c r="CI118" i="3"/>
  <c r="CI247" i="3" s="1"/>
  <c r="CB247" i="3"/>
  <c r="W118" i="3"/>
  <c r="C247" i="3"/>
  <c r="CT118" i="3"/>
  <c r="AQ118" i="3"/>
  <c r="AQ247" i="3" s="1"/>
  <c r="AJ247" i="3"/>
  <c r="BX118" i="3"/>
  <c r="BX247" i="3" s="1"/>
  <c r="BQ247" i="3"/>
  <c r="D119" i="3"/>
  <c r="D248" i="3" s="1"/>
  <c r="BM118" i="3"/>
  <c r="E119" i="3"/>
  <c r="E248" i="3" s="1"/>
  <c r="BI119" i="3"/>
  <c r="BI248" i="3" s="1"/>
  <c r="J119" i="3"/>
  <c r="CX248" i="3"/>
  <c r="K119" i="3"/>
  <c r="CE118" i="3"/>
  <c r="W119" i="3"/>
  <c r="AM118" i="3"/>
  <c r="EG119" i="3"/>
  <c r="EG248" i="3" s="1"/>
  <c r="EG118" i="3"/>
  <c r="EG247" i="3" s="1"/>
  <c r="BT118" i="3"/>
  <c r="BT247" i="3" s="1"/>
  <c r="K118" i="3"/>
  <c r="J118" i="3"/>
  <c r="DR118" i="3"/>
  <c r="DR247" i="3" s="1"/>
  <c r="EM116" i="3"/>
  <c r="EN116" i="3"/>
  <c r="EM117" i="3"/>
  <c r="EN117" i="3"/>
  <c r="EB117" i="3"/>
  <c r="EB246" i="3" s="1"/>
  <c r="EB116" i="3"/>
  <c r="EB245" i="3" s="1"/>
  <c r="DY117" i="3"/>
  <c r="DY246" i="3" s="1"/>
  <c r="DY116" i="3"/>
  <c r="DY245" i="3" s="1"/>
  <c r="DW117" i="3"/>
  <c r="DW246" i="3" s="1"/>
  <c r="DW116" i="3"/>
  <c r="DW245" i="3" s="1"/>
  <c r="DQ117" i="3"/>
  <c r="DQ116" i="3"/>
  <c r="DM117" i="3"/>
  <c r="DM246" i="3" s="1"/>
  <c r="DM116" i="3"/>
  <c r="DM245" i="3" s="1"/>
  <c r="DS117" i="3"/>
  <c r="DS246" i="3" s="1"/>
  <c r="DS116" i="3"/>
  <c r="DS245" i="3" s="1"/>
  <c r="DJ117" i="3"/>
  <c r="DJ246" i="3" s="1"/>
  <c r="DJ116" i="3"/>
  <c r="DJ245" i="3" s="1"/>
  <c r="DH117" i="3"/>
  <c r="DH246" i="3" s="1"/>
  <c r="DH116" i="3"/>
  <c r="DH245" i="3" s="1"/>
  <c r="CZ246" i="3"/>
  <c r="DB246" i="3"/>
  <c r="DA246" i="3"/>
  <c r="CY246" i="3"/>
  <c r="CM117" i="3"/>
  <c r="CB117" i="3"/>
  <c r="BQ117" i="3"/>
  <c r="BF117" i="3"/>
  <c r="AU117" i="3"/>
  <c r="AJ117" i="3"/>
  <c r="AG117" i="3"/>
  <c r="AB117" i="3"/>
  <c r="AB246" i="3" s="1"/>
  <c r="DC246" i="3"/>
  <c r="C117" i="3"/>
  <c r="B160" i="8"/>
  <c r="C160" i="8"/>
  <c r="D160" i="8"/>
  <c r="F160" i="8"/>
  <c r="G160" i="8"/>
  <c r="I160" i="8"/>
  <c r="J160" i="8"/>
  <c r="K160" i="8"/>
  <c r="M160" i="8"/>
  <c r="N160" i="8"/>
  <c r="P160" i="8"/>
  <c r="Q160" i="8"/>
  <c r="T160" i="8"/>
  <c r="U160" i="8"/>
  <c r="V160" i="8"/>
  <c r="X160" i="8"/>
  <c r="Y160" i="8"/>
  <c r="AA160" i="8"/>
  <c r="AB160" i="8"/>
  <c r="AC160" i="8"/>
  <c r="AE160" i="8"/>
  <c r="AF160" i="8"/>
  <c r="AI160" i="8"/>
  <c r="AJ160" i="8"/>
  <c r="A160" i="8"/>
  <c r="A160" i="11"/>
  <c r="B160" i="11"/>
  <c r="C160" i="11"/>
  <c r="E160" i="11"/>
  <c r="F160" i="11"/>
  <c r="H160" i="11"/>
  <c r="L160" i="11"/>
  <c r="M160" i="11"/>
  <c r="T160" i="11"/>
  <c r="V160" i="11"/>
  <c r="W160" i="11"/>
  <c r="X160" i="11"/>
  <c r="Y160" i="11"/>
  <c r="Z160" i="11"/>
  <c r="A161" i="11"/>
  <c r="B161" i="11"/>
  <c r="C161" i="11"/>
  <c r="E161" i="11"/>
  <c r="F161" i="11"/>
  <c r="G161" i="11"/>
  <c r="H161" i="11"/>
  <c r="L161" i="11"/>
  <c r="M161" i="11"/>
  <c r="P161" i="11"/>
  <c r="Q161" i="11"/>
  <c r="R161" i="11"/>
  <c r="S161" i="11"/>
  <c r="T161" i="11"/>
  <c r="V161" i="11"/>
  <c r="W161" i="11"/>
  <c r="X161" i="11"/>
  <c r="Y161" i="11"/>
  <c r="A162" i="11"/>
  <c r="B162" i="11"/>
  <c r="C162" i="11"/>
  <c r="E162" i="11"/>
  <c r="F162" i="11"/>
  <c r="G162" i="11"/>
  <c r="H162" i="11"/>
  <c r="L162" i="11"/>
  <c r="P162" i="11"/>
  <c r="Q162" i="11"/>
  <c r="S162" i="11"/>
  <c r="T162" i="11"/>
  <c r="V162" i="11"/>
  <c r="W162" i="11"/>
  <c r="X162" i="11"/>
  <c r="Y162" i="11"/>
  <c r="R114" i="11"/>
  <c r="R163" i="11" s="1"/>
  <c r="CY244" i="3"/>
  <c r="DA244" i="3"/>
  <c r="DB244" i="3"/>
  <c r="DC244" i="3"/>
  <c r="CY245" i="3"/>
  <c r="CZ245" i="3"/>
  <c r="DA245" i="3"/>
  <c r="DB245" i="3"/>
  <c r="DC245" i="3"/>
  <c r="B244" i="3"/>
  <c r="F244" i="3"/>
  <c r="G244" i="3"/>
  <c r="H244" i="3"/>
  <c r="I244" i="3"/>
  <c r="M244" i="3"/>
  <c r="N244" i="3"/>
  <c r="O244" i="3"/>
  <c r="P244" i="3"/>
  <c r="Q244" i="3"/>
  <c r="R244" i="3"/>
  <c r="S244" i="3"/>
  <c r="T244" i="3"/>
  <c r="Z244" i="3"/>
  <c r="AA244" i="3"/>
  <c r="AD244" i="3"/>
  <c r="AE244" i="3"/>
  <c r="AF244" i="3"/>
  <c r="AI244" i="3"/>
  <c r="AK244" i="3"/>
  <c r="AO244" i="3"/>
  <c r="AP244" i="3"/>
  <c r="AT244" i="3"/>
  <c r="AV244" i="3"/>
  <c r="AW244" i="3"/>
  <c r="AZ244" i="3"/>
  <c r="BA244" i="3"/>
  <c r="BE244" i="3"/>
  <c r="BG244" i="3"/>
  <c r="BH244" i="3"/>
  <c r="BK244" i="3"/>
  <c r="BL244" i="3"/>
  <c r="BP244" i="3"/>
  <c r="BR244" i="3"/>
  <c r="BS244" i="3"/>
  <c r="BV244" i="3"/>
  <c r="BW244" i="3"/>
  <c r="CA244" i="3"/>
  <c r="CC244" i="3"/>
  <c r="CD244" i="3"/>
  <c r="CG244" i="3"/>
  <c r="CH244" i="3"/>
  <c r="CL244" i="3"/>
  <c r="CN244" i="3"/>
  <c r="CR244" i="3"/>
  <c r="CS244" i="3"/>
  <c r="CM115" i="3"/>
  <c r="CP115" i="3" s="1"/>
  <c r="CP244" i="3" s="1"/>
  <c r="CM116" i="3"/>
  <c r="CB115" i="3"/>
  <c r="CE115" i="3" s="1"/>
  <c r="CB116" i="3"/>
  <c r="BQ115" i="3"/>
  <c r="BX115" i="3" s="1"/>
  <c r="BX244" i="3" s="1"/>
  <c r="BQ116" i="3"/>
  <c r="BF115" i="3"/>
  <c r="BI115" i="3" s="1"/>
  <c r="BI244" i="3" s="1"/>
  <c r="BF116" i="3"/>
  <c r="AU115" i="3"/>
  <c r="AX115" i="3" s="1"/>
  <c r="AX244" i="3" s="1"/>
  <c r="AU116" i="3"/>
  <c r="AJ116" i="3"/>
  <c r="AJ115" i="3"/>
  <c r="AQ115" i="3" s="1"/>
  <c r="AQ244" i="3" s="1"/>
  <c r="AG116" i="3"/>
  <c r="AB116" i="3"/>
  <c r="AB245" i="3" s="1"/>
  <c r="V116" i="3"/>
  <c r="V245" i="3" s="1"/>
  <c r="U116" i="3"/>
  <c r="U245" i="3" s="1"/>
  <c r="C116" i="3"/>
  <c r="B174" i="14"/>
  <c r="C174" i="14"/>
  <c r="EJ54" i="3"/>
  <c r="EM5" i="3"/>
  <c r="EN5" i="3"/>
  <c r="EM6" i="3"/>
  <c r="EN6" i="3"/>
  <c r="EM7" i="3"/>
  <c r="EN7" i="3"/>
  <c r="EM8" i="3"/>
  <c r="EN8" i="3"/>
  <c r="EM9" i="3"/>
  <c r="EN9" i="3"/>
  <c r="EM10" i="3"/>
  <c r="EN10" i="3"/>
  <c r="EM11" i="3"/>
  <c r="EN11" i="3"/>
  <c r="EM12" i="3"/>
  <c r="EN12" i="3"/>
  <c r="EM13" i="3"/>
  <c r="EN13" i="3"/>
  <c r="EM14" i="3"/>
  <c r="EN14" i="3"/>
  <c r="EM15" i="3"/>
  <c r="EN15" i="3"/>
  <c r="EM16" i="3"/>
  <c r="EN16" i="3"/>
  <c r="EM17" i="3"/>
  <c r="EN17" i="3"/>
  <c r="EM18" i="3"/>
  <c r="EN18" i="3"/>
  <c r="EM19" i="3"/>
  <c r="EN19" i="3"/>
  <c r="EM20" i="3"/>
  <c r="EN20" i="3"/>
  <c r="EM21" i="3"/>
  <c r="EN21" i="3"/>
  <c r="EM22" i="3"/>
  <c r="EN22" i="3"/>
  <c r="EM23" i="3"/>
  <c r="EN23" i="3"/>
  <c r="EM24" i="3"/>
  <c r="EN24" i="3"/>
  <c r="EM25" i="3"/>
  <c r="EN25" i="3"/>
  <c r="EM26" i="3"/>
  <c r="EN26" i="3"/>
  <c r="EM27" i="3"/>
  <c r="EN27" i="3"/>
  <c r="EM28" i="3"/>
  <c r="EN28" i="3"/>
  <c r="EM29" i="3"/>
  <c r="EN29" i="3"/>
  <c r="EM30" i="3"/>
  <c r="EN30" i="3"/>
  <c r="EM31" i="3"/>
  <c r="EN31" i="3"/>
  <c r="EM32" i="3"/>
  <c r="EN32" i="3"/>
  <c r="EM33" i="3"/>
  <c r="EN33" i="3"/>
  <c r="EM34" i="3"/>
  <c r="EN34" i="3"/>
  <c r="EM35" i="3"/>
  <c r="EN35" i="3"/>
  <c r="EM36" i="3"/>
  <c r="EN36" i="3"/>
  <c r="EM37" i="3"/>
  <c r="EN37" i="3"/>
  <c r="EM38" i="3"/>
  <c r="EN38" i="3"/>
  <c r="EM39" i="3"/>
  <c r="EN39" i="3"/>
  <c r="EM40" i="3"/>
  <c r="EN40" i="3"/>
  <c r="EM41" i="3"/>
  <c r="EN41" i="3"/>
  <c r="EM42" i="3"/>
  <c r="EN42" i="3"/>
  <c r="EM43" i="3"/>
  <c r="EN43" i="3"/>
  <c r="EM44" i="3"/>
  <c r="EN44" i="3"/>
  <c r="EM45" i="3"/>
  <c r="EN45" i="3"/>
  <c r="EM46" i="3"/>
  <c r="EN46" i="3"/>
  <c r="EM47" i="3"/>
  <c r="EN47" i="3"/>
  <c r="EM48" i="3"/>
  <c r="EN48" i="3"/>
  <c r="EM49" i="3"/>
  <c r="EN49" i="3"/>
  <c r="EM50" i="3"/>
  <c r="EN50" i="3"/>
  <c r="EM51" i="3"/>
  <c r="EN51" i="3"/>
  <c r="EM52" i="3"/>
  <c r="EN52" i="3"/>
  <c r="EM53" i="3"/>
  <c r="EN53" i="3"/>
  <c r="EM54" i="3"/>
  <c r="EN54" i="3"/>
  <c r="EM55" i="3"/>
  <c r="EN55" i="3"/>
  <c r="EM56" i="3"/>
  <c r="EN56" i="3"/>
  <c r="EM57" i="3"/>
  <c r="EN57" i="3"/>
  <c r="EM58" i="3"/>
  <c r="EN58" i="3"/>
  <c r="EM59" i="3"/>
  <c r="EN59" i="3"/>
  <c r="EM60" i="3"/>
  <c r="EN60" i="3"/>
  <c r="EM61" i="3"/>
  <c r="EN61" i="3"/>
  <c r="EM62" i="3"/>
  <c r="EN62" i="3"/>
  <c r="EM63" i="3"/>
  <c r="EN63" i="3"/>
  <c r="EM64" i="3"/>
  <c r="EN64" i="3"/>
  <c r="EM65" i="3"/>
  <c r="EN65" i="3"/>
  <c r="EM66" i="3"/>
  <c r="EN66" i="3"/>
  <c r="EM67" i="3"/>
  <c r="EN67" i="3"/>
  <c r="EM68" i="3"/>
  <c r="EN68" i="3"/>
  <c r="EM69" i="3"/>
  <c r="EN69" i="3"/>
  <c r="EM70" i="3"/>
  <c r="EN70" i="3"/>
  <c r="EM71" i="3"/>
  <c r="EN71" i="3"/>
  <c r="EM72" i="3"/>
  <c r="EN72" i="3"/>
  <c r="EM73" i="3"/>
  <c r="EN73" i="3"/>
  <c r="EM74" i="3"/>
  <c r="EN74" i="3"/>
  <c r="EM75" i="3"/>
  <c r="EN75" i="3"/>
  <c r="EM76" i="3"/>
  <c r="EN76" i="3"/>
  <c r="EM77" i="3"/>
  <c r="EN77" i="3"/>
  <c r="EM78" i="3"/>
  <c r="EN78" i="3"/>
  <c r="EM79" i="3"/>
  <c r="EN79" i="3"/>
  <c r="EM80" i="3"/>
  <c r="EN80" i="3"/>
  <c r="EM81" i="3"/>
  <c r="EN81" i="3"/>
  <c r="EM82" i="3"/>
  <c r="EN82" i="3"/>
  <c r="EM83" i="3"/>
  <c r="EN83" i="3"/>
  <c r="EM84" i="3"/>
  <c r="EN84" i="3"/>
  <c r="EM85" i="3"/>
  <c r="EN85" i="3"/>
  <c r="EM86" i="3"/>
  <c r="EN86" i="3"/>
  <c r="EM87" i="3"/>
  <c r="EN87" i="3"/>
  <c r="EM88" i="3"/>
  <c r="EN88" i="3"/>
  <c r="EM89" i="3"/>
  <c r="EN89" i="3"/>
  <c r="EM90" i="3"/>
  <c r="EN90" i="3"/>
  <c r="EM91" i="3"/>
  <c r="EN91" i="3"/>
  <c r="EM92" i="3"/>
  <c r="EN92" i="3"/>
  <c r="EM93" i="3"/>
  <c r="EM94" i="3"/>
  <c r="EN94" i="3"/>
  <c r="EM95" i="3"/>
  <c r="EN95" i="3"/>
  <c r="EM96" i="3"/>
  <c r="EN96" i="3"/>
  <c r="EM97" i="3"/>
  <c r="EN97" i="3"/>
  <c r="EM98" i="3"/>
  <c r="EN98" i="3"/>
  <c r="EM99" i="3"/>
  <c r="EN99" i="3"/>
  <c r="EM100" i="3"/>
  <c r="EN100" i="3"/>
  <c r="EM101" i="3"/>
  <c r="EN101" i="3"/>
  <c r="EM102" i="3"/>
  <c r="EN102" i="3"/>
  <c r="EM103" i="3"/>
  <c r="EN103" i="3"/>
  <c r="EM104" i="3"/>
  <c r="EN104" i="3"/>
  <c r="EM105" i="3"/>
  <c r="EN105" i="3"/>
  <c r="EM106" i="3"/>
  <c r="EN106" i="3"/>
  <c r="EM107" i="3"/>
  <c r="EN107" i="3"/>
  <c r="EM108" i="3"/>
  <c r="EN108" i="3"/>
  <c r="EM109" i="3"/>
  <c r="EN109" i="3"/>
  <c r="EM110" i="3"/>
  <c r="EN110" i="3"/>
  <c r="EM111" i="3"/>
  <c r="EN111" i="3"/>
  <c r="EM112" i="3"/>
  <c r="EN112" i="3"/>
  <c r="EM113" i="3"/>
  <c r="EN113" i="3"/>
  <c r="EM114" i="3"/>
  <c r="EN114" i="3"/>
  <c r="EN115" i="3"/>
  <c r="EM115" i="3"/>
  <c r="EB115" i="3"/>
  <c r="EB244" i="3" s="1"/>
  <c r="DY115" i="3"/>
  <c r="DY244" i="3" s="1"/>
  <c r="DW115" i="3"/>
  <c r="DW244" i="3" s="1"/>
  <c r="DQ115" i="3"/>
  <c r="DS115" i="3"/>
  <c r="DS244" i="3" s="1"/>
  <c r="DM115" i="3"/>
  <c r="DM244" i="3" s="1"/>
  <c r="DJ115" i="3"/>
  <c r="DJ244" i="3" s="1"/>
  <c r="DH115" i="3"/>
  <c r="DH244" i="3" s="1"/>
  <c r="CX117" i="3" l="1"/>
  <c r="CX116" i="3"/>
  <c r="EJ117" i="3"/>
  <c r="CE248" i="3"/>
  <c r="CF119" i="3"/>
  <c r="CE244" i="3"/>
  <c r="CF118" i="3"/>
  <c r="CX245" i="3"/>
  <c r="DG30" i="3"/>
  <c r="K247" i="3"/>
  <c r="L118" i="3"/>
  <c r="P543" i="1"/>
  <c r="X118" i="3"/>
  <c r="X247" i="3" s="1"/>
  <c r="K248" i="3"/>
  <c r="L119" i="3"/>
  <c r="W248" i="3"/>
  <c r="X119" i="3"/>
  <c r="S247" i="3"/>
  <c r="S123" i="3"/>
  <c r="A764" i="13"/>
  <c r="B763" i="13"/>
  <c r="C763" i="13"/>
  <c r="CQ119" i="3"/>
  <c r="CQ248" i="3" s="1"/>
  <c r="J248" i="3"/>
  <c r="BD119" i="3"/>
  <c r="BD248" i="3" s="1"/>
  <c r="AX248" i="3"/>
  <c r="CV119" i="3"/>
  <c r="CV248" i="3" s="1"/>
  <c r="BZ119" i="3"/>
  <c r="BZ248" i="3" s="1"/>
  <c r="BX248" i="3"/>
  <c r="AS119" i="3"/>
  <c r="AS248" i="3" s="1"/>
  <c r="AM248" i="3"/>
  <c r="CK119" i="3"/>
  <c r="CK248" i="3" s="1"/>
  <c r="CI248" i="3"/>
  <c r="DC247" i="3"/>
  <c r="CJ118" i="3"/>
  <c r="CJ247" i="3" s="1"/>
  <c r="DQ244" i="3"/>
  <c r="DQ245" i="3"/>
  <c r="DQ246" i="3"/>
  <c r="BC119" i="3"/>
  <c r="BC248" i="3" s="1"/>
  <c r="BD118" i="3"/>
  <c r="BD247" i="3" s="1"/>
  <c r="W247" i="3"/>
  <c r="BY118" i="3"/>
  <c r="BY247" i="3" s="1"/>
  <c r="BY119" i="3"/>
  <c r="BY248" i="3" s="1"/>
  <c r="BC118" i="3"/>
  <c r="BC247" i="3" s="1"/>
  <c r="AN118" i="3"/>
  <c r="AN247" i="3" s="1"/>
  <c r="AM247" i="3"/>
  <c r="BN118" i="3"/>
  <c r="BN247" i="3" s="1"/>
  <c r="BM247" i="3"/>
  <c r="CK118" i="3"/>
  <c r="CK247" i="3" s="1"/>
  <c r="CE247" i="3"/>
  <c r="CJ119" i="3"/>
  <c r="CJ248" i="3" s="1"/>
  <c r="CF247" i="3"/>
  <c r="J247" i="3"/>
  <c r="AR118" i="3"/>
  <c r="AR247" i="3" s="1"/>
  <c r="AS118" i="3"/>
  <c r="AS247" i="3" s="1"/>
  <c r="BU119" i="3"/>
  <c r="BU248" i="3" s="1"/>
  <c r="CV118" i="3"/>
  <c r="CV247" i="3" s="1"/>
  <c r="CP247" i="3"/>
  <c r="BJ119" i="3"/>
  <c r="BJ248" i="3" s="1"/>
  <c r="CU118" i="3"/>
  <c r="CU247" i="3" s="1"/>
  <c r="CT247" i="3"/>
  <c r="AY118" i="3"/>
  <c r="AY247" i="3" s="1"/>
  <c r="BU118" i="3"/>
  <c r="BU247" i="3" s="1"/>
  <c r="Y119" i="3"/>
  <c r="Y248" i="3" s="1"/>
  <c r="P544" i="1"/>
  <c r="CU119" i="3"/>
  <c r="CU248" i="3" s="1"/>
  <c r="AR119" i="3"/>
  <c r="AR248" i="3" s="1"/>
  <c r="K544" i="1"/>
  <c r="BN119" i="3"/>
  <c r="BN248" i="3" s="1"/>
  <c r="BO118" i="3"/>
  <c r="BO247" i="3" s="1"/>
  <c r="CQ118" i="3"/>
  <c r="CQ247" i="3" s="1"/>
  <c r="BO119" i="3"/>
  <c r="BO248" i="3" s="1"/>
  <c r="AY119" i="3"/>
  <c r="AY248" i="3" s="1"/>
  <c r="AN119" i="3"/>
  <c r="AN248" i="3" s="1"/>
  <c r="CF248" i="3"/>
  <c r="AQ117" i="3"/>
  <c r="AQ246" i="3" s="1"/>
  <c r="AJ246" i="3"/>
  <c r="K543" i="1"/>
  <c r="AX117" i="3"/>
  <c r="AX246" i="3" s="1"/>
  <c r="AU246" i="3"/>
  <c r="BX117" i="3"/>
  <c r="BX246" i="3" s="1"/>
  <c r="BQ246" i="3"/>
  <c r="CI117" i="3"/>
  <c r="CI246" i="3" s="1"/>
  <c r="CB246" i="3"/>
  <c r="Y118" i="3"/>
  <c r="Y247" i="3" s="1"/>
  <c r="CT117" i="3"/>
  <c r="CT246" i="3" s="1"/>
  <c r="CM246" i="3"/>
  <c r="BI117" i="3"/>
  <c r="BI246" i="3" s="1"/>
  <c r="BF246" i="3"/>
  <c r="J117" i="3"/>
  <c r="J246" i="3" s="1"/>
  <c r="C246" i="3"/>
  <c r="BZ118" i="3"/>
  <c r="BZ247" i="3" s="1"/>
  <c r="BJ118" i="3"/>
  <c r="BJ247" i="3" s="1"/>
  <c r="EO117" i="3"/>
  <c r="AQ116" i="3"/>
  <c r="AQ245" i="3" s="1"/>
  <c r="AJ245" i="3"/>
  <c r="BB116" i="3"/>
  <c r="BB245" i="3" s="1"/>
  <c r="AU245" i="3"/>
  <c r="CP117" i="3"/>
  <c r="BM116" i="3"/>
  <c r="BM245" i="3" s="1"/>
  <c r="BF245" i="3"/>
  <c r="W117" i="3"/>
  <c r="X117" i="3" s="1"/>
  <c r="AJ244" i="3"/>
  <c r="BT116" i="3"/>
  <c r="BT245" i="3" s="1"/>
  <c r="BQ245" i="3"/>
  <c r="K117" i="3"/>
  <c r="L117" i="3" s="1"/>
  <c r="K116" i="3"/>
  <c r="K541" i="1" s="1"/>
  <c r="C245" i="3"/>
  <c r="BB117" i="3"/>
  <c r="CP116" i="3"/>
  <c r="CP245" i="3" s="1"/>
  <c r="CM245" i="3"/>
  <c r="CI116" i="3"/>
  <c r="CI245" i="3" s="1"/>
  <c r="CB245" i="3"/>
  <c r="CX246" i="3"/>
  <c r="BM117" i="3"/>
  <c r="BT117" i="3"/>
  <c r="BT246" i="3" s="1"/>
  <c r="AM117" i="3"/>
  <c r="EG116" i="3"/>
  <c r="EG245" i="3" s="1"/>
  <c r="EG117" i="3"/>
  <c r="EG246" i="3" s="1"/>
  <c r="AU244" i="3"/>
  <c r="DR116" i="3"/>
  <c r="DR245" i="3" s="1"/>
  <c r="EJ116" i="3"/>
  <c r="BT115" i="3"/>
  <c r="CE117" i="3"/>
  <c r="CF117" i="3" s="1"/>
  <c r="DR117" i="3"/>
  <c r="DR246" i="3" s="1"/>
  <c r="BQ244" i="3"/>
  <c r="CB244" i="3"/>
  <c r="BF244" i="3"/>
  <c r="CM244" i="3"/>
  <c r="BB115" i="3"/>
  <c r="BB244" i="3" s="1"/>
  <c r="CT116" i="3"/>
  <c r="BX116" i="3"/>
  <c r="AX116" i="3"/>
  <c r="CE116" i="3"/>
  <c r="BI116" i="3"/>
  <c r="CI115" i="3"/>
  <c r="CI244" i="3" s="1"/>
  <c r="BM115" i="3"/>
  <c r="BM244" i="3" s="1"/>
  <c r="D116" i="3"/>
  <c r="D245" i="3" s="1"/>
  <c r="AM116" i="3"/>
  <c r="AM245" i="3" s="1"/>
  <c r="E116" i="3"/>
  <c r="E245" i="3" s="1"/>
  <c r="AM115" i="3"/>
  <c r="J116" i="3"/>
  <c r="J245" i="3" s="1"/>
  <c r="W116" i="3"/>
  <c r="CT115" i="3"/>
  <c r="CT244" i="3" s="1"/>
  <c r="EO54" i="3"/>
  <c r="DR115" i="3"/>
  <c r="DR244" i="3" s="1"/>
  <c r="EG115" i="3"/>
  <c r="EG244" i="3" s="1"/>
  <c r="J575" i="1"/>
  <c r="S252" i="3" l="1"/>
  <c r="DC123" i="3"/>
  <c r="DC252" i="3" s="1"/>
  <c r="CF116" i="3"/>
  <c r="DG32" i="3"/>
  <c r="P541" i="1"/>
  <c r="X116" i="3"/>
  <c r="X245" i="3" s="1"/>
  <c r="C764" i="13"/>
  <c r="A765" i="13"/>
  <c r="B764" i="13"/>
  <c r="AY117" i="3"/>
  <c r="AY246" i="3" s="1"/>
  <c r="BJ117" i="3"/>
  <c r="BJ246" i="3" s="1"/>
  <c r="BD117" i="3"/>
  <c r="BD246" i="3" s="1"/>
  <c r="BB246" i="3"/>
  <c r="CK117" i="3"/>
  <c r="CK246" i="3" s="1"/>
  <c r="L246" i="3"/>
  <c r="K246" i="3"/>
  <c r="K542" i="1"/>
  <c r="BO117" i="3"/>
  <c r="BO246" i="3" s="1"/>
  <c r="BM246" i="3"/>
  <c r="CF246" i="3"/>
  <c r="CE246" i="3"/>
  <c r="P542" i="1"/>
  <c r="X246" i="3"/>
  <c r="W246" i="3"/>
  <c r="CV117" i="3"/>
  <c r="CV246" i="3" s="1"/>
  <c r="CP246" i="3"/>
  <c r="AN117" i="3"/>
  <c r="AN246" i="3" s="1"/>
  <c r="AM246" i="3"/>
  <c r="CQ117" i="3"/>
  <c r="CQ246" i="3" s="1"/>
  <c r="BO115" i="3"/>
  <c r="BO244" i="3" s="1"/>
  <c r="Y117" i="3"/>
  <c r="Y246" i="3" s="1"/>
  <c r="BO116" i="3"/>
  <c r="BO245" i="3" s="1"/>
  <c r="BI245" i="3"/>
  <c r="BY117" i="3"/>
  <c r="BY246" i="3" s="1"/>
  <c r="AR117" i="3"/>
  <c r="AR246" i="3" s="1"/>
  <c r="CU117" i="3"/>
  <c r="CU246" i="3" s="1"/>
  <c r="CF245" i="3"/>
  <c r="CE245" i="3"/>
  <c r="BD116" i="3"/>
  <c r="BD245" i="3" s="1"/>
  <c r="AX245" i="3"/>
  <c r="BZ116" i="3"/>
  <c r="BZ245" i="3" s="1"/>
  <c r="BX245" i="3"/>
  <c r="L116" i="3"/>
  <c r="L245" i="3" s="1"/>
  <c r="K245" i="3"/>
  <c r="CJ117" i="3"/>
  <c r="CJ246" i="3" s="1"/>
  <c r="BN117" i="3"/>
  <c r="BN246" i="3" s="1"/>
  <c r="BC117" i="3"/>
  <c r="BC246" i="3" s="1"/>
  <c r="W245" i="3"/>
  <c r="CV116" i="3"/>
  <c r="CV245" i="3" s="1"/>
  <c r="CT245" i="3"/>
  <c r="CK115" i="3"/>
  <c r="CK244" i="3" s="1"/>
  <c r="EO116" i="3"/>
  <c r="BU117" i="3"/>
  <c r="BU246" i="3" s="1"/>
  <c r="BZ117" i="3"/>
  <c r="BZ246" i="3" s="1"/>
  <c r="CJ116" i="3"/>
  <c r="CJ245" i="3" s="1"/>
  <c r="BZ115" i="3"/>
  <c r="BZ244" i="3" s="1"/>
  <c r="BT244" i="3"/>
  <c r="AS117" i="3"/>
  <c r="AS246" i="3" s="1"/>
  <c r="CK116" i="3"/>
  <c r="CK245" i="3" s="1"/>
  <c r="AS115" i="3"/>
  <c r="AS244" i="3" s="1"/>
  <c r="AM244" i="3"/>
  <c r="BD115" i="3"/>
  <c r="BD244" i="3" s="1"/>
  <c r="BC116" i="3"/>
  <c r="BC245" i="3" s="1"/>
  <c r="AN116" i="3"/>
  <c r="AN245" i="3" s="1"/>
  <c r="AS116" i="3"/>
  <c r="AS245" i="3" s="1"/>
  <c r="CV115" i="3"/>
  <c r="CV244" i="3" s="1"/>
  <c r="CQ116" i="3"/>
  <c r="CQ245" i="3" s="1"/>
  <c r="BJ116" i="3"/>
  <c r="BJ245" i="3" s="1"/>
  <c r="BU116" i="3"/>
  <c r="BU245" i="3" s="1"/>
  <c r="AR116" i="3"/>
  <c r="AR245" i="3" s="1"/>
  <c r="BY116" i="3"/>
  <c r="BY245" i="3" s="1"/>
  <c r="CU116" i="3"/>
  <c r="CU245" i="3" s="1"/>
  <c r="BN116" i="3"/>
  <c r="BN245" i="3" s="1"/>
  <c r="Y116" i="3"/>
  <c r="Y245" i="3" s="1"/>
  <c r="AY116" i="3"/>
  <c r="AY245" i="3" s="1"/>
  <c r="S540" i="1"/>
  <c r="DG33" i="3" l="1"/>
  <c r="B765" i="13"/>
  <c r="C765" i="13"/>
  <c r="A766" i="13"/>
  <c r="AH541" i="1"/>
  <c r="AI541" i="1"/>
  <c r="AE541" i="1"/>
  <c r="AG541" i="1" s="1"/>
  <c r="F242" i="3"/>
  <c r="G242" i="3"/>
  <c r="H242" i="3"/>
  <c r="I242" i="3"/>
  <c r="R93" i="11"/>
  <c r="R99" i="11"/>
  <c r="R98" i="11"/>
  <c r="R97" i="11"/>
  <c r="R102" i="11"/>
  <c r="R101" i="11"/>
  <c r="R110" i="11"/>
  <c r="R109" i="11"/>
  <c r="R108" i="11"/>
  <c r="R107" i="11"/>
  <c r="R113" i="11"/>
  <c r="R162" i="11" s="1"/>
  <c r="M113" i="11"/>
  <c r="M162" i="11" s="1"/>
  <c r="I113" i="11"/>
  <c r="A159" i="8"/>
  <c r="B159" i="8"/>
  <c r="C159" i="8"/>
  <c r="D159" i="8"/>
  <c r="F159" i="8"/>
  <c r="G159" i="8"/>
  <c r="I159" i="8"/>
  <c r="J159" i="8"/>
  <c r="M159" i="8"/>
  <c r="N159" i="8"/>
  <c r="P159" i="8"/>
  <c r="Q159" i="8"/>
  <c r="T159" i="8"/>
  <c r="U159" i="8"/>
  <c r="V159" i="8"/>
  <c r="X159" i="8"/>
  <c r="Y159" i="8"/>
  <c r="AA159" i="8"/>
  <c r="AB159" i="8"/>
  <c r="AC159" i="8"/>
  <c r="AE159" i="8"/>
  <c r="AF159" i="8"/>
  <c r="AI159" i="8"/>
  <c r="AJ159" i="8"/>
  <c r="AG115" i="3"/>
  <c r="AB115" i="3"/>
  <c r="AB244" i="3" s="1"/>
  <c r="U115" i="3"/>
  <c r="U244" i="3" s="1"/>
  <c r="V115" i="3"/>
  <c r="V244" i="3" s="1"/>
  <c r="C115" i="3"/>
  <c r="CX115" i="3" s="1"/>
  <c r="V130" i="3"/>
  <c r="O560" i="1"/>
  <c r="X248" i="3" s="1"/>
  <c r="O561" i="1"/>
  <c r="X249" i="3" s="1"/>
  <c r="R550" i="1"/>
  <c r="T550" i="1" s="1"/>
  <c r="R549" i="1"/>
  <c r="T549" i="1" s="1"/>
  <c r="AH540" i="1"/>
  <c r="AI540" i="1"/>
  <c r="AE540" i="1"/>
  <c r="AF540" i="1" s="1"/>
  <c r="S539" i="1"/>
  <c r="R539" i="1" s="1"/>
  <c r="DG34" i="3" l="1"/>
  <c r="B766" i="13"/>
  <c r="C766" i="13"/>
  <c r="A767" i="13"/>
  <c r="AF541" i="1"/>
  <c r="CX244" i="3"/>
  <c r="C244" i="3"/>
  <c r="EJ115" i="3"/>
  <c r="EO115" i="3" s="1"/>
  <c r="D115" i="3"/>
  <c r="D244" i="3" s="1"/>
  <c r="E115" i="3"/>
  <c r="E244" i="3" s="1"/>
  <c r="W115" i="3"/>
  <c r="X115" i="3" s="1"/>
  <c r="K115" i="3"/>
  <c r="J115" i="3"/>
  <c r="AG540" i="1"/>
  <c r="J244" i="3" l="1"/>
  <c r="CF115" i="3"/>
  <c r="DG35" i="3"/>
  <c r="DG37" i="3" s="1"/>
  <c r="B767" i="13"/>
  <c r="C767" i="13"/>
  <c r="A768" i="13"/>
  <c r="K244" i="3"/>
  <c r="K540" i="1"/>
  <c r="W244" i="3"/>
  <c r="P540" i="1"/>
  <c r="BU115" i="3"/>
  <c r="BU244" i="3" s="1"/>
  <c r="CF244" i="3"/>
  <c r="AY115" i="3"/>
  <c r="AY244" i="3" s="1"/>
  <c r="CQ115" i="3"/>
  <c r="CQ244" i="3" s="1"/>
  <c r="BJ115" i="3"/>
  <c r="BJ244" i="3" s="1"/>
  <c r="AN115" i="3"/>
  <c r="AN244" i="3" s="1"/>
  <c r="CJ115" i="3"/>
  <c r="CJ244" i="3" s="1"/>
  <c r="BY115" i="3"/>
  <c r="BY244" i="3" s="1"/>
  <c r="BC115" i="3"/>
  <c r="BC244" i="3" s="1"/>
  <c r="BN115" i="3"/>
  <c r="BN244" i="3" s="1"/>
  <c r="AR115" i="3"/>
  <c r="AR244" i="3" s="1"/>
  <c r="CU115" i="3"/>
  <c r="CU244" i="3" s="1"/>
  <c r="X244" i="3"/>
  <c r="L115" i="3"/>
  <c r="L244" i="3" s="1"/>
  <c r="Y115" i="3"/>
  <c r="Y244" i="3" s="1"/>
  <c r="A158" i="8"/>
  <c r="B158" i="8"/>
  <c r="C158" i="8"/>
  <c r="D158" i="8"/>
  <c r="F158" i="8"/>
  <c r="G158" i="8"/>
  <c r="I158" i="8"/>
  <c r="J158" i="8"/>
  <c r="M158" i="8"/>
  <c r="N158" i="8"/>
  <c r="P158" i="8"/>
  <c r="Q158" i="8"/>
  <c r="T158" i="8"/>
  <c r="U158" i="8"/>
  <c r="V158" i="8"/>
  <c r="X158" i="8"/>
  <c r="Y158" i="8"/>
  <c r="AA158" i="8"/>
  <c r="AB158" i="8"/>
  <c r="AC158" i="8"/>
  <c r="AE158" i="8"/>
  <c r="AF158" i="8"/>
  <c r="AG158" i="8"/>
  <c r="AI158" i="8"/>
  <c r="AJ158" i="8"/>
  <c r="AK158" i="8"/>
  <c r="Q111" i="11"/>
  <c r="Q160" i="11" s="1"/>
  <c r="I112" i="11"/>
  <c r="B173" i="14"/>
  <c r="C173" i="14"/>
  <c r="K783" i="9"/>
  <c r="K785" i="9"/>
  <c r="L784" i="9"/>
  <c r="L783" i="9"/>
  <c r="C782" i="9"/>
  <c r="C783" i="9"/>
  <c r="K784" i="9"/>
  <c r="L785" i="9"/>
  <c r="C785" i="9"/>
  <c r="L782" i="9"/>
  <c r="K782" i="9"/>
  <c r="C784" i="9"/>
  <c r="DG38" i="3" l="1"/>
  <c r="DG39" i="3" s="1"/>
  <c r="DG40" i="3" s="1"/>
  <c r="DG41" i="3" s="1"/>
  <c r="B768" i="13"/>
  <c r="C768" i="13"/>
  <c r="A769" i="13"/>
  <c r="R111" i="11"/>
  <c r="R160" i="11" s="1"/>
  <c r="E805" i="9"/>
  <c r="E804" i="9"/>
  <c r="D782" i="9"/>
  <c r="D783" i="9"/>
  <c r="D784" i="9"/>
  <c r="D785" i="9"/>
  <c r="B242" i="3"/>
  <c r="M242" i="3"/>
  <c r="N242" i="3"/>
  <c r="O242" i="3"/>
  <c r="P242" i="3"/>
  <c r="Q242" i="3"/>
  <c r="R242" i="3"/>
  <c r="S242" i="3"/>
  <c r="T242" i="3"/>
  <c r="Z242" i="3"/>
  <c r="AA242" i="3"/>
  <c r="AD242" i="3"/>
  <c r="AE242" i="3"/>
  <c r="AF242" i="3"/>
  <c r="AI242" i="3"/>
  <c r="AK242" i="3"/>
  <c r="AL242" i="3"/>
  <c r="AO242" i="3"/>
  <c r="AP242" i="3"/>
  <c r="AT242" i="3"/>
  <c r="AV242" i="3"/>
  <c r="AW242" i="3"/>
  <c r="AZ242" i="3"/>
  <c r="BA242" i="3"/>
  <c r="BE242" i="3"/>
  <c r="BG242" i="3"/>
  <c r="BH242" i="3"/>
  <c r="BK242" i="3"/>
  <c r="BL242" i="3"/>
  <c r="BP242" i="3"/>
  <c r="BR242" i="3"/>
  <c r="BS242" i="3"/>
  <c r="BV242" i="3"/>
  <c r="BW242" i="3"/>
  <c r="CA242" i="3"/>
  <c r="CC242" i="3"/>
  <c r="CD242" i="3"/>
  <c r="CG242" i="3"/>
  <c r="CH242" i="3"/>
  <c r="CL242" i="3"/>
  <c r="CN242" i="3"/>
  <c r="CO242" i="3"/>
  <c r="CR242" i="3"/>
  <c r="CS242" i="3"/>
  <c r="DE242" i="3"/>
  <c r="DF242" i="3"/>
  <c r="DG242" i="3"/>
  <c r="DI242" i="3"/>
  <c r="DK242" i="3"/>
  <c r="DL242" i="3"/>
  <c r="DN242" i="3"/>
  <c r="DO242" i="3"/>
  <c r="DP242" i="3"/>
  <c r="DT242" i="3"/>
  <c r="DU242" i="3"/>
  <c r="DV242" i="3"/>
  <c r="DX242" i="3"/>
  <c r="DZ242" i="3"/>
  <c r="EA242" i="3"/>
  <c r="EC242" i="3"/>
  <c r="EE242" i="3"/>
  <c r="B243" i="3"/>
  <c r="F243" i="3"/>
  <c r="G243" i="3"/>
  <c r="H243" i="3"/>
  <c r="I243" i="3"/>
  <c r="M243" i="3"/>
  <c r="N243" i="3"/>
  <c r="O243" i="3"/>
  <c r="P243" i="3"/>
  <c r="Q243" i="3"/>
  <c r="R243" i="3"/>
  <c r="S243" i="3"/>
  <c r="T243" i="3"/>
  <c r="Z243" i="3"/>
  <c r="AA243" i="3"/>
  <c r="AD243" i="3"/>
  <c r="AE243" i="3"/>
  <c r="AF243" i="3"/>
  <c r="AI243" i="3"/>
  <c r="AK243" i="3"/>
  <c r="AL243" i="3"/>
  <c r="AO243" i="3"/>
  <c r="AP243" i="3"/>
  <c r="AT243" i="3"/>
  <c r="AV243" i="3"/>
  <c r="AW243" i="3"/>
  <c r="AZ243" i="3"/>
  <c r="BA243" i="3"/>
  <c r="BE243" i="3"/>
  <c r="BG243" i="3"/>
  <c r="BH243" i="3"/>
  <c r="BK243" i="3"/>
  <c r="BL243" i="3"/>
  <c r="BP243" i="3"/>
  <c r="BR243" i="3"/>
  <c r="BS243" i="3"/>
  <c r="BV243" i="3"/>
  <c r="BW243" i="3"/>
  <c r="CA243" i="3"/>
  <c r="CC243" i="3"/>
  <c r="CD243" i="3"/>
  <c r="CG243" i="3"/>
  <c r="CH243" i="3"/>
  <c r="CL243" i="3"/>
  <c r="CN243" i="3"/>
  <c r="CO243" i="3"/>
  <c r="CR243" i="3"/>
  <c r="CS243" i="3"/>
  <c r="DE243" i="3"/>
  <c r="DF243" i="3"/>
  <c r="DG243" i="3"/>
  <c r="DI243" i="3"/>
  <c r="DK243" i="3"/>
  <c r="DL243" i="3"/>
  <c r="DN243" i="3"/>
  <c r="DO243" i="3"/>
  <c r="DP243" i="3"/>
  <c r="DT243" i="3"/>
  <c r="DU243" i="3"/>
  <c r="DV243" i="3"/>
  <c r="DX243" i="3"/>
  <c r="DZ243" i="3"/>
  <c r="EA243" i="3"/>
  <c r="EC243" i="3"/>
  <c r="EE243" i="3"/>
  <c r="ED366" i="3"/>
  <c r="EB366" i="3"/>
  <c r="DY366" i="3"/>
  <c r="DW366" i="3"/>
  <c r="DS366" i="3"/>
  <c r="DQ366" i="3"/>
  <c r="DM366" i="3"/>
  <c r="DJ366" i="3"/>
  <c r="DH366" i="3"/>
  <c r="DC366" i="3"/>
  <c r="DB366" i="3"/>
  <c r="DA366" i="3"/>
  <c r="CZ366" i="3"/>
  <c r="CY366" i="3"/>
  <c r="CM366" i="3"/>
  <c r="CT366" i="3" s="1"/>
  <c r="CB366" i="3"/>
  <c r="CE366" i="3" s="1"/>
  <c r="BQ366" i="3"/>
  <c r="BX366" i="3" s="1"/>
  <c r="BF366" i="3"/>
  <c r="BI366" i="3" s="1"/>
  <c r="AU366" i="3"/>
  <c r="BB366" i="3" s="1"/>
  <c r="AJ366" i="3"/>
  <c r="AQ366" i="3" s="1"/>
  <c r="AG366" i="3"/>
  <c r="AC366" i="3"/>
  <c r="AB366" i="3"/>
  <c r="U366" i="3"/>
  <c r="C366" i="3"/>
  <c r="J366" i="3" s="1"/>
  <c r="EB114" i="3"/>
  <c r="EB243" i="3" s="1"/>
  <c r="DY114" i="3"/>
  <c r="DY243" i="3" s="1"/>
  <c r="DW114" i="3"/>
  <c r="DW243" i="3" s="1"/>
  <c r="DQ114" i="3"/>
  <c r="DM114" i="3"/>
  <c r="DM243" i="3" s="1"/>
  <c r="DS114" i="3"/>
  <c r="DS243" i="3" s="1"/>
  <c r="DJ114" i="3"/>
  <c r="DJ243" i="3" s="1"/>
  <c r="DH114" i="3"/>
  <c r="DH243" i="3" s="1"/>
  <c r="DB243" i="3"/>
  <c r="DA243" i="3"/>
  <c r="CZ243" i="3"/>
  <c r="CY243" i="3"/>
  <c r="CM114" i="3"/>
  <c r="CT114" i="3" s="1"/>
  <c r="CT243" i="3" s="1"/>
  <c r="DG42" i="3" l="1"/>
  <c r="A770" i="13"/>
  <c r="C769" i="13"/>
  <c r="B769" i="13"/>
  <c r="DQ243" i="3"/>
  <c r="CM243" i="3"/>
  <c r="EG366" i="3"/>
  <c r="AM366" i="3"/>
  <c r="AS366" i="3" s="1"/>
  <c r="K366" i="3"/>
  <c r="BM366" i="3"/>
  <c r="W366" i="3"/>
  <c r="X366" i="3" s="1"/>
  <c r="DR366" i="3"/>
  <c r="CI366" i="3"/>
  <c r="CK366" i="3" s="1"/>
  <c r="CP114" i="3"/>
  <c r="CP243" i="3" s="1"/>
  <c r="EG114" i="3"/>
  <c r="EG243" i="3" s="1"/>
  <c r="DR114" i="3"/>
  <c r="DR243" i="3" s="1"/>
  <c r="EJ366" i="3"/>
  <c r="CF366" i="3"/>
  <c r="BJ366" i="3"/>
  <c r="EF366" i="3"/>
  <c r="AX366" i="3"/>
  <c r="BT366" i="3"/>
  <c r="CP366" i="3"/>
  <c r="CX366" i="3"/>
  <c r="D366" i="3"/>
  <c r="CB114" i="3"/>
  <c r="CB243" i="3" s="1"/>
  <c r="BQ114" i="3"/>
  <c r="BF114" i="3"/>
  <c r="AU114" i="3"/>
  <c r="AJ114" i="3"/>
  <c r="AG114" i="3"/>
  <c r="AB114" i="3"/>
  <c r="AB243" i="3" s="1"/>
  <c r="V114" i="3"/>
  <c r="V243" i="3" s="1"/>
  <c r="U114" i="3"/>
  <c r="U243" i="3" s="1"/>
  <c r="DC243" i="3"/>
  <c r="C114" i="3"/>
  <c r="CX114" i="3" s="1"/>
  <c r="C132" i="3" l="1"/>
  <c r="E132" i="3" s="1"/>
  <c r="DG43" i="3"/>
  <c r="DG44" i="3" s="1"/>
  <c r="DG45" i="3" s="1"/>
  <c r="DG46" i="3" s="1"/>
  <c r="DG47" i="3" s="1"/>
  <c r="DG48" i="3" s="1"/>
  <c r="DG49" i="3" s="1"/>
  <c r="DG50" i="3" s="1"/>
  <c r="DG51" i="3" s="1"/>
  <c r="DG52" i="3" s="1"/>
  <c r="AR366" i="3"/>
  <c r="B770" i="13"/>
  <c r="A771" i="13"/>
  <c r="C770" i="13"/>
  <c r="CU366" i="3"/>
  <c r="EJ114" i="3"/>
  <c r="EO114" i="3" s="1"/>
  <c r="AN366" i="3"/>
  <c r="E114" i="3"/>
  <c r="E243" i="3" s="1"/>
  <c r="BN366" i="3"/>
  <c r="W114" i="3"/>
  <c r="D539" i="1"/>
  <c r="C539" i="1" s="1"/>
  <c r="C243" i="3"/>
  <c r="AQ114" i="3"/>
  <c r="AQ243" i="3" s="1"/>
  <c r="AJ243" i="3"/>
  <c r="BB114" i="3"/>
  <c r="AU243" i="3"/>
  <c r="BI114" i="3"/>
  <c r="BI243" i="3" s="1"/>
  <c r="BF243" i="3"/>
  <c r="BX114" i="3"/>
  <c r="BX243" i="3" s="1"/>
  <c r="BQ243" i="3"/>
  <c r="BY366" i="3"/>
  <c r="Y366" i="3"/>
  <c r="BO366" i="3"/>
  <c r="CJ366" i="3"/>
  <c r="BM114" i="3"/>
  <c r="D114" i="3"/>
  <c r="D243" i="3" s="1"/>
  <c r="BC366" i="3"/>
  <c r="L366" i="3"/>
  <c r="CE114" i="3"/>
  <c r="CI114" i="3"/>
  <c r="CI243" i="3" s="1"/>
  <c r="BT114" i="3"/>
  <c r="K114" i="3"/>
  <c r="CV114" i="3"/>
  <c r="CV243" i="3" s="1"/>
  <c r="AX114" i="3"/>
  <c r="AM114" i="3"/>
  <c r="CX243" i="3"/>
  <c r="J114" i="3"/>
  <c r="CV366" i="3"/>
  <c r="CQ366" i="3"/>
  <c r="BD366" i="3"/>
  <c r="AY366" i="3"/>
  <c r="BZ366" i="3"/>
  <c r="BU366" i="3"/>
  <c r="J562" i="1"/>
  <c r="L250" i="3" s="1"/>
  <c r="J561" i="1"/>
  <c r="L249" i="3" s="1"/>
  <c r="J560" i="1"/>
  <c r="L248" i="3" s="1"/>
  <c r="J559" i="1"/>
  <c r="L247" i="3" s="1"/>
  <c r="AH539" i="1"/>
  <c r="AI539" i="1"/>
  <c r="AE539" i="1"/>
  <c r="AG539" i="1" s="1"/>
  <c r="S538" i="1"/>
  <c r="R538" i="1" s="1"/>
  <c r="CF114" i="3" l="1"/>
  <c r="DG53" i="3"/>
  <c r="DG54" i="3" s="1"/>
  <c r="DG55" i="3" s="1"/>
  <c r="B771" i="13"/>
  <c r="C771" i="13"/>
  <c r="A772" i="13"/>
  <c r="AR114" i="3"/>
  <c r="AR243" i="3" s="1"/>
  <c r="CU114" i="3"/>
  <c r="CU243" i="3" s="1"/>
  <c r="BM243" i="3"/>
  <c r="BN114" i="3"/>
  <c r="BN243" i="3" s="1"/>
  <c r="BO114" i="3"/>
  <c r="BO243" i="3" s="1"/>
  <c r="BD114" i="3"/>
  <c r="BD243" i="3" s="1"/>
  <c r="AX243" i="3"/>
  <c r="BC114" i="3"/>
  <c r="BC243" i="3" s="1"/>
  <c r="BB243" i="3"/>
  <c r="AS114" i="3"/>
  <c r="AS243" i="3" s="1"/>
  <c r="AM243" i="3"/>
  <c r="CF243" i="3"/>
  <c r="CE243" i="3"/>
  <c r="P539" i="1"/>
  <c r="W243" i="3"/>
  <c r="BJ114" i="3"/>
  <c r="BJ243" i="3" s="1"/>
  <c r="J243" i="3"/>
  <c r="BY114" i="3"/>
  <c r="BY243" i="3" s="1"/>
  <c r="L114" i="3"/>
  <c r="L243" i="3" s="1"/>
  <c r="K539" i="1"/>
  <c r="K243" i="3"/>
  <c r="BU114" i="3"/>
  <c r="BU243" i="3" s="1"/>
  <c r="BT243" i="3"/>
  <c r="X114" i="3"/>
  <c r="X243" i="3" s="1"/>
  <c r="CQ114" i="3"/>
  <c r="CQ243" i="3" s="1"/>
  <c r="BZ114" i="3"/>
  <c r="BZ243" i="3" s="1"/>
  <c r="CK114" i="3"/>
  <c r="CK243" i="3" s="1"/>
  <c r="CJ114" i="3"/>
  <c r="CJ243" i="3" s="1"/>
  <c r="Y114" i="3"/>
  <c r="Y243" i="3" s="1"/>
  <c r="AN114" i="3"/>
  <c r="AN243" i="3" s="1"/>
  <c r="AY114" i="3"/>
  <c r="AY243" i="3" s="1"/>
  <c r="AF539" i="1"/>
  <c r="S111" i="11"/>
  <c r="A159" i="11"/>
  <c r="B159" i="11"/>
  <c r="C159" i="11"/>
  <c r="E159" i="11"/>
  <c r="F159" i="11"/>
  <c r="G159" i="11"/>
  <c r="H159" i="11"/>
  <c r="L159" i="11"/>
  <c r="M159" i="11"/>
  <c r="P159" i="11"/>
  <c r="Q159" i="11"/>
  <c r="S159" i="11"/>
  <c r="T159" i="11"/>
  <c r="V159" i="11"/>
  <c r="W159" i="11"/>
  <c r="X159" i="11"/>
  <c r="Y159" i="11"/>
  <c r="Z159" i="11"/>
  <c r="A157" i="8"/>
  <c r="B157" i="8"/>
  <c r="C157" i="8"/>
  <c r="D157" i="8"/>
  <c r="F157" i="8"/>
  <c r="G157" i="8"/>
  <c r="I157" i="8"/>
  <c r="J157" i="8"/>
  <c r="M157" i="8"/>
  <c r="N157" i="8"/>
  <c r="P157" i="8"/>
  <c r="Q157" i="8"/>
  <c r="T157" i="8"/>
  <c r="U157" i="8"/>
  <c r="V157" i="8"/>
  <c r="X157" i="8"/>
  <c r="Y157" i="8"/>
  <c r="AA157" i="8"/>
  <c r="AB157" i="8"/>
  <c r="AC157" i="8"/>
  <c r="AE157" i="8"/>
  <c r="AF157" i="8"/>
  <c r="AG157" i="8"/>
  <c r="AI157" i="8"/>
  <c r="AJ157" i="8"/>
  <c r="EB113" i="3"/>
  <c r="EB242" i="3" s="1"/>
  <c r="DY113" i="3"/>
  <c r="DY242" i="3" s="1"/>
  <c r="DW113" i="3"/>
  <c r="DW242" i="3" s="1"/>
  <c r="DQ113" i="3"/>
  <c r="DS113" i="3"/>
  <c r="DS242" i="3" s="1"/>
  <c r="DM113" i="3"/>
  <c r="DM242" i="3" s="1"/>
  <c r="DJ113" i="3"/>
  <c r="DJ242" i="3" s="1"/>
  <c r="DH113" i="3"/>
  <c r="DH242" i="3" s="1"/>
  <c r="CY242" i="3"/>
  <c r="CZ242" i="3"/>
  <c r="DA242" i="3"/>
  <c r="DB242" i="3"/>
  <c r="DC242" i="3"/>
  <c r="CM113" i="3"/>
  <c r="CB113" i="3"/>
  <c r="BQ113" i="3"/>
  <c r="BF113" i="3"/>
  <c r="AU113" i="3"/>
  <c r="AU242" i="3" s="1"/>
  <c r="AJ113" i="3"/>
  <c r="AG113" i="3"/>
  <c r="AB113" i="3"/>
  <c r="AB242" i="3" s="1"/>
  <c r="V113" i="3"/>
  <c r="V242" i="3" s="1"/>
  <c r="U113" i="3"/>
  <c r="U242" i="3" s="1"/>
  <c r="C113" i="3"/>
  <c r="B241" i="3"/>
  <c r="F241" i="3"/>
  <c r="G241" i="3"/>
  <c r="H241" i="3"/>
  <c r="I241" i="3"/>
  <c r="M241" i="3"/>
  <c r="N241" i="3"/>
  <c r="O241" i="3"/>
  <c r="P241" i="3"/>
  <c r="Q241" i="3"/>
  <c r="R241" i="3"/>
  <c r="S241" i="3"/>
  <c r="T241" i="3"/>
  <c r="Z241" i="3"/>
  <c r="AA241" i="3"/>
  <c r="AD241" i="3"/>
  <c r="AE241" i="3"/>
  <c r="AF241" i="3"/>
  <c r="AI241" i="3"/>
  <c r="AK241" i="3"/>
  <c r="AL241" i="3"/>
  <c r="AO241" i="3"/>
  <c r="AP241" i="3"/>
  <c r="AT241" i="3"/>
  <c r="AV241" i="3"/>
  <c r="AW241" i="3"/>
  <c r="AZ241" i="3"/>
  <c r="BA241" i="3"/>
  <c r="BE241" i="3"/>
  <c r="BG241" i="3"/>
  <c r="BH241" i="3"/>
  <c r="BK241" i="3"/>
  <c r="BL241" i="3"/>
  <c r="BP241" i="3"/>
  <c r="BR241" i="3"/>
  <c r="BS241" i="3"/>
  <c r="BV241" i="3"/>
  <c r="BW241" i="3"/>
  <c r="CA241" i="3"/>
  <c r="CC241" i="3"/>
  <c r="CD241" i="3"/>
  <c r="CG241" i="3"/>
  <c r="CH241" i="3"/>
  <c r="CL241" i="3"/>
  <c r="CN241" i="3"/>
  <c r="CO241" i="3"/>
  <c r="CR241" i="3"/>
  <c r="CS241" i="3"/>
  <c r="DE241" i="3"/>
  <c r="DF241" i="3"/>
  <c r="DG241" i="3"/>
  <c r="DI241" i="3"/>
  <c r="DK241" i="3"/>
  <c r="DL241" i="3"/>
  <c r="DN241" i="3"/>
  <c r="DO241" i="3"/>
  <c r="DP241" i="3"/>
  <c r="DT241" i="3"/>
  <c r="DU241" i="3"/>
  <c r="DV241" i="3"/>
  <c r="DX241" i="3"/>
  <c r="DZ241" i="3"/>
  <c r="EA241" i="3"/>
  <c r="EC241" i="3"/>
  <c r="EE241" i="3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S778" i="9"/>
  <c r="S779" i="9"/>
  <c r="S780" i="9"/>
  <c r="J376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J778" i="9"/>
  <c r="J779" i="9"/>
  <c r="J780" i="9"/>
  <c r="C172" i="14"/>
  <c r="B172" i="14"/>
  <c r="Q761" i="9"/>
  <c r="S761" i="9"/>
  <c r="Q762" i="9"/>
  <c r="S762" i="9"/>
  <c r="Q763" i="9"/>
  <c r="S763" i="9"/>
  <c r="Q764" i="9"/>
  <c r="S764" i="9"/>
  <c r="Q765" i="9"/>
  <c r="S765" i="9"/>
  <c r="Q766" i="9"/>
  <c r="S766" i="9"/>
  <c r="Q767" i="9"/>
  <c r="S767" i="9"/>
  <c r="Q768" i="9"/>
  <c r="S768" i="9"/>
  <c r="Q769" i="9"/>
  <c r="S769" i="9"/>
  <c r="Q770" i="9"/>
  <c r="S770" i="9"/>
  <c r="Q771" i="9"/>
  <c r="S771" i="9"/>
  <c r="Q772" i="9"/>
  <c r="S772" i="9"/>
  <c r="Q773" i="9"/>
  <c r="S773" i="9"/>
  <c r="Q774" i="9"/>
  <c r="S774" i="9"/>
  <c r="Q775" i="9"/>
  <c r="S775" i="9"/>
  <c r="Q776" i="9"/>
  <c r="S776" i="9"/>
  <c r="S777" i="9"/>
  <c r="H761" i="9"/>
  <c r="J761" i="9"/>
  <c r="H762" i="9"/>
  <c r="J762" i="9"/>
  <c r="H763" i="9"/>
  <c r="J763" i="9"/>
  <c r="H764" i="9"/>
  <c r="J764" i="9"/>
  <c r="H765" i="9"/>
  <c r="J765" i="9"/>
  <c r="H766" i="9"/>
  <c r="J766" i="9"/>
  <c r="H767" i="9"/>
  <c r="J767" i="9"/>
  <c r="H768" i="9"/>
  <c r="J768" i="9"/>
  <c r="H769" i="9"/>
  <c r="J769" i="9"/>
  <c r="H770" i="9"/>
  <c r="J770" i="9"/>
  <c r="H771" i="9"/>
  <c r="J771" i="9"/>
  <c r="H772" i="9"/>
  <c r="J772" i="9"/>
  <c r="H773" i="9"/>
  <c r="J773" i="9"/>
  <c r="H774" i="9"/>
  <c r="J774" i="9"/>
  <c r="H775" i="9"/>
  <c r="J775" i="9"/>
  <c r="H776" i="9"/>
  <c r="J776" i="9"/>
  <c r="J777" i="9"/>
  <c r="C778" i="9"/>
  <c r="K781" i="9"/>
  <c r="C780" i="9"/>
  <c r="K778" i="9"/>
  <c r="C781" i="9"/>
  <c r="L780" i="9"/>
  <c r="C779" i="9"/>
  <c r="K780" i="9"/>
  <c r="L779" i="9"/>
  <c r="C777" i="9"/>
  <c r="K779" i="9"/>
  <c r="L781" i="9"/>
  <c r="L778" i="9"/>
  <c r="CX113" i="3" l="1"/>
  <c r="DG56" i="3"/>
  <c r="DG57" i="3" s="1"/>
  <c r="DG58" i="3" s="1"/>
  <c r="DG59" i="3" s="1"/>
  <c r="DG60" i="3" s="1"/>
  <c r="DG61" i="3" s="1"/>
  <c r="DG62" i="3" s="1"/>
  <c r="DG63" i="3" s="1"/>
  <c r="DG64" i="3" s="1"/>
  <c r="B772" i="13"/>
  <c r="C772" i="13"/>
  <c r="A773" i="13"/>
  <c r="S160" i="11"/>
  <c r="DQ242" i="3"/>
  <c r="C242" i="3"/>
  <c r="EJ113" i="3"/>
  <c r="EO113" i="3" s="1"/>
  <c r="AM113" i="3"/>
  <c r="AM242" i="3" s="1"/>
  <c r="AJ242" i="3"/>
  <c r="AX113" i="3"/>
  <c r="AX242" i="3" s="1"/>
  <c r="BB113" i="3"/>
  <c r="BB242" i="3" s="1"/>
  <c r="BI113" i="3"/>
  <c r="BI242" i="3" s="1"/>
  <c r="BF242" i="3"/>
  <c r="BT113" i="3"/>
  <c r="BT242" i="3" s="1"/>
  <c r="BQ242" i="3"/>
  <c r="CI113" i="3"/>
  <c r="CI242" i="3" s="1"/>
  <c r="CB242" i="3"/>
  <c r="CT113" i="3"/>
  <c r="CT242" i="3" s="1"/>
  <c r="CM242" i="3"/>
  <c r="EG113" i="3"/>
  <c r="EG242" i="3" s="1"/>
  <c r="AQ113" i="3"/>
  <c r="AQ242" i="3" s="1"/>
  <c r="DR113" i="3"/>
  <c r="DR242" i="3" s="1"/>
  <c r="CE113" i="3"/>
  <c r="CP113" i="3"/>
  <c r="CP242" i="3" s="1"/>
  <c r="J113" i="3"/>
  <c r="J242" i="3" s="1"/>
  <c r="E113" i="3"/>
  <c r="E242" i="3" s="1"/>
  <c r="D113" i="3"/>
  <c r="D242" i="3" s="1"/>
  <c r="W113" i="3"/>
  <c r="BX113" i="3"/>
  <c r="BM113" i="3"/>
  <c r="BM242" i="3" s="1"/>
  <c r="K113" i="3"/>
  <c r="D538" i="1"/>
  <c r="CX242" i="3"/>
  <c r="D781" i="9"/>
  <c r="D780" i="9"/>
  <c r="D779" i="9"/>
  <c r="D778" i="9"/>
  <c r="M781" i="9"/>
  <c r="I780" i="9"/>
  <c r="H780" i="9"/>
  <c r="Q779" i="9"/>
  <c r="R779" i="9"/>
  <c r="R778" i="9"/>
  <c r="Q780" i="9"/>
  <c r="R780" i="9"/>
  <c r="I778" i="9"/>
  <c r="I779" i="9"/>
  <c r="H779" i="9"/>
  <c r="M780" i="9"/>
  <c r="M779" i="9"/>
  <c r="M778" i="9"/>
  <c r="D767" i="9"/>
  <c r="D768" i="9"/>
  <c r="D769" i="9"/>
  <c r="D770" i="9"/>
  <c r="D771" i="9"/>
  <c r="D772" i="9"/>
  <c r="D773" i="9"/>
  <c r="D774" i="9"/>
  <c r="D775" i="9"/>
  <c r="D776" i="9"/>
  <c r="K777" i="9"/>
  <c r="G855" i="9"/>
  <c r="F855" i="9"/>
  <c r="L777" i="9"/>
  <c r="B773" i="13" l="1"/>
  <c r="C773" i="13"/>
  <c r="AY113" i="3"/>
  <c r="AY242" i="3" s="1"/>
  <c r="BD113" i="3"/>
  <c r="BD242" i="3" s="1"/>
  <c r="AS113" i="3"/>
  <c r="AS242" i="3" s="1"/>
  <c r="BZ113" i="3"/>
  <c r="BZ242" i="3" s="1"/>
  <c r="BX242" i="3"/>
  <c r="CV113" i="3"/>
  <c r="CV242" i="3" s="1"/>
  <c r="CJ113" i="3"/>
  <c r="CJ242" i="3" s="1"/>
  <c r="W242" i="3"/>
  <c r="BJ113" i="3"/>
  <c r="BJ242" i="3" s="1"/>
  <c r="CK113" i="3"/>
  <c r="CK242" i="3" s="1"/>
  <c r="CE242" i="3"/>
  <c r="L113" i="3"/>
  <c r="L242" i="3" s="1"/>
  <c r="K242" i="3"/>
  <c r="X113" i="3"/>
  <c r="X242" i="3" s="1"/>
  <c r="AN113" i="3"/>
  <c r="AN242" i="3" s="1"/>
  <c r="CF113" i="3"/>
  <c r="CF242" i="3" s="1"/>
  <c r="BU113" i="3"/>
  <c r="BU242" i="3" s="1"/>
  <c r="BN113" i="3"/>
  <c r="BN242" i="3" s="1"/>
  <c r="BO113" i="3"/>
  <c r="BO242" i="3" s="1"/>
  <c r="BY113" i="3"/>
  <c r="BY242" i="3" s="1"/>
  <c r="CQ113" i="3"/>
  <c r="CQ242" i="3" s="1"/>
  <c r="CU113" i="3"/>
  <c r="CU242" i="3" s="1"/>
  <c r="BC113" i="3"/>
  <c r="BC242" i="3" s="1"/>
  <c r="P538" i="1"/>
  <c r="Y113" i="3"/>
  <c r="Y242" i="3" s="1"/>
  <c r="AR113" i="3"/>
  <c r="AR242" i="3" s="1"/>
  <c r="K538" i="1"/>
  <c r="R777" i="9"/>
  <c r="Q778" i="9"/>
  <c r="Q777" i="9"/>
  <c r="M765" i="9"/>
  <c r="M764" i="9"/>
  <c r="M763" i="9"/>
  <c r="M762" i="9"/>
  <c r="M761" i="9"/>
  <c r="M760" i="9"/>
  <c r="M777" i="9"/>
  <c r="M775" i="9"/>
  <c r="M774" i="9"/>
  <c r="M773" i="9"/>
  <c r="M772" i="9"/>
  <c r="M771" i="9"/>
  <c r="M770" i="9"/>
  <c r="M769" i="9"/>
  <c r="M776" i="9"/>
  <c r="M768" i="9"/>
  <c r="M767" i="9"/>
  <c r="M766" i="9"/>
  <c r="N761" i="9"/>
  <c r="N760" i="9"/>
  <c r="N793" i="9" l="1"/>
  <c r="I777" i="9" l="1"/>
  <c r="H778" i="9"/>
  <c r="K786" i="9"/>
  <c r="K787" i="9" s="1"/>
  <c r="K788" i="9" s="1"/>
  <c r="K789" i="9" s="1"/>
  <c r="K790" i="9" s="1"/>
  <c r="K791" i="9" s="1"/>
  <c r="K792" i="9" s="1"/>
  <c r="K793" i="9" s="1"/>
  <c r="K794" i="9" s="1"/>
  <c r="K795" i="9" s="1"/>
  <c r="K796" i="9" s="1"/>
  <c r="K797" i="9" s="1"/>
  <c r="K798" i="9" s="1"/>
  <c r="K799" i="9" s="1"/>
  <c r="K800" i="9" s="1"/>
  <c r="K801" i="9" s="1"/>
  <c r="K802" i="9" s="1"/>
  <c r="K803" i="9" s="1"/>
  <c r="K804" i="9" s="1"/>
  <c r="K805" i="9" s="1"/>
  <c r="K806" i="9" s="1"/>
  <c r="K807" i="9" s="1"/>
  <c r="K808" i="9" s="1"/>
  <c r="K809" i="9" s="1"/>
  <c r="K810" i="9" s="1"/>
  <c r="K811" i="9" s="1"/>
  <c r="K812" i="9" s="1"/>
  <c r="K813" i="9" s="1"/>
  <c r="K814" i="9" s="1"/>
  <c r="K815" i="9" s="1"/>
  <c r="K816" i="9" s="1"/>
  <c r="K817" i="9" s="1"/>
  <c r="K818" i="9" s="1"/>
  <c r="K819" i="9" s="1"/>
  <c r="K820" i="9" s="1"/>
  <c r="K821" i="9" s="1"/>
  <c r="K822" i="9" s="1"/>
  <c r="K823" i="9" s="1"/>
  <c r="K824" i="9" s="1"/>
  <c r="K825" i="9" s="1"/>
  <c r="K826" i="9" s="1"/>
  <c r="K827" i="9" s="1"/>
  <c r="K828" i="9" s="1"/>
  <c r="K829" i="9" s="1"/>
  <c r="K830" i="9" s="1"/>
  <c r="K831" i="9" s="1"/>
  <c r="K832" i="9" s="1"/>
  <c r="K833" i="9" s="1"/>
  <c r="K834" i="9" s="1"/>
  <c r="K835" i="9" s="1"/>
  <c r="K836" i="9" s="1"/>
  <c r="K837" i="9" s="1"/>
  <c r="K838" i="9" s="1"/>
  <c r="K839" i="9" s="1"/>
  <c r="K840" i="9" s="1"/>
  <c r="K841" i="9" s="1"/>
  <c r="K842" i="9" s="1"/>
  <c r="K843" i="9" s="1"/>
  <c r="K844" i="9" s="1"/>
  <c r="K845" i="9" s="1"/>
  <c r="N794" i="9"/>
  <c r="N797" i="9" s="1"/>
  <c r="H777" i="9"/>
  <c r="D777" i="9"/>
  <c r="E773" i="9"/>
  <c r="E772" i="9"/>
  <c r="E782" i="9" l="1"/>
  <c r="F782" i="9" s="1"/>
  <c r="F784" i="9" s="1"/>
  <c r="O797" i="9"/>
  <c r="O799" i="9" s="1"/>
  <c r="N799" i="9"/>
  <c r="AI538" i="1"/>
  <c r="AH538" i="1"/>
  <c r="AE538" i="1"/>
  <c r="S537" i="1"/>
  <c r="R537" i="1" l="1"/>
  <c r="AF538" i="1"/>
  <c r="AG538" i="1"/>
  <c r="I97" i="11"/>
  <c r="I98" i="11"/>
  <c r="I99" i="11"/>
  <c r="I100" i="11"/>
  <c r="I101" i="11"/>
  <c r="I102" i="11"/>
  <c r="I103" i="11"/>
  <c r="I104" i="11"/>
  <c r="I105" i="11"/>
  <c r="I108" i="11"/>
  <c r="I109" i="11"/>
  <c r="I110" i="11"/>
  <c r="R159" i="11" l="1"/>
  <c r="A158" i="11"/>
  <c r="B158" i="11"/>
  <c r="C158" i="11"/>
  <c r="E158" i="11"/>
  <c r="F158" i="11"/>
  <c r="G158" i="11"/>
  <c r="H158" i="11"/>
  <c r="L158" i="11"/>
  <c r="M158" i="11"/>
  <c r="P158" i="11"/>
  <c r="Q158" i="11"/>
  <c r="S158" i="11"/>
  <c r="T158" i="11"/>
  <c r="V158" i="11"/>
  <c r="W158" i="11"/>
  <c r="X158" i="11"/>
  <c r="Y158" i="11"/>
  <c r="Z158" i="11"/>
  <c r="A156" i="8"/>
  <c r="B156" i="8"/>
  <c r="C156" i="8"/>
  <c r="D156" i="8"/>
  <c r="F156" i="8"/>
  <c r="G156" i="8"/>
  <c r="I156" i="8"/>
  <c r="J156" i="8"/>
  <c r="M156" i="8"/>
  <c r="N156" i="8"/>
  <c r="P156" i="8"/>
  <c r="Q156" i="8"/>
  <c r="T156" i="8"/>
  <c r="U156" i="8"/>
  <c r="V156" i="8"/>
  <c r="X156" i="8"/>
  <c r="Y156" i="8"/>
  <c r="AA156" i="8"/>
  <c r="AB156" i="8"/>
  <c r="AC156" i="8"/>
  <c r="AE156" i="8"/>
  <c r="AF156" i="8"/>
  <c r="AG156" i="8"/>
  <c r="AI156" i="8"/>
  <c r="AJ156" i="8"/>
  <c r="EB112" i="3" l="1"/>
  <c r="EB241" i="3" s="1"/>
  <c r="DY112" i="3"/>
  <c r="DW112" i="3"/>
  <c r="DW241" i="3" s="1"/>
  <c r="DQ112" i="3"/>
  <c r="DS112" i="3"/>
  <c r="DS241" i="3" s="1"/>
  <c r="DM112" i="3"/>
  <c r="DM241" i="3" s="1"/>
  <c r="DJ112" i="3"/>
  <c r="DJ241" i="3" s="1"/>
  <c r="DH112" i="3"/>
  <c r="DH241" i="3" s="1"/>
  <c r="CY241" i="3"/>
  <c r="CZ241" i="3"/>
  <c r="DA241" i="3"/>
  <c r="DB241" i="3"/>
  <c r="DC241" i="3"/>
  <c r="CM112" i="3"/>
  <c r="CM241" i="3" s="1"/>
  <c r="CB112" i="3"/>
  <c r="BQ112" i="3"/>
  <c r="BF112" i="3"/>
  <c r="AU112" i="3"/>
  <c r="AJ112" i="3"/>
  <c r="DQ241" i="3" l="1"/>
  <c r="CT112" i="3"/>
  <c r="CT241" i="3" s="1"/>
  <c r="EG112" i="3"/>
  <c r="EG241" i="3" s="1"/>
  <c r="DY241" i="3"/>
  <c r="DR112" i="3"/>
  <c r="DR241" i="3" s="1"/>
  <c r="CP112" i="3"/>
  <c r="CP241" i="3" s="1"/>
  <c r="CE112" i="3"/>
  <c r="CE241" i="3" s="1"/>
  <c r="CB241" i="3"/>
  <c r="BX112" i="3"/>
  <c r="BX241" i="3" s="1"/>
  <c r="BQ241" i="3"/>
  <c r="BI112" i="3"/>
  <c r="BI241" i="3" s="1"/>
  <c r="BF241" i="3"/>
  <c r="BB112" i="3"/>
  <c r="BB241" i="3" s="1"/>
  <c r="AU241" i="3"/>
  <c r="AM112" i="3"/>
  <c r="AM241" i="3" s="1"/>
  <c r="AJ241" i="3"/>
  <c r="BM112" i="3"/>
  <c r="BM241" i="3" s="1"/>
  <c r="BT112" i="3"/>
  <c r="BT241" i="3" s="1"/>
  <c r="AQ112" i="3"/>
  <c r="AQ241" i="3" s="1"/>
  <c r="AX112" i="3"/>
  <c r="AX241" i="3" s="1"/>
  <c r="CI112" i="3"/>
  <c r="AG112" i="3"/>
  <c r="AB112" i="3"/>
  <c r="AB241" i="3" s="1"/>
  <c r="U112" i="3"/>
  <c r="U241" i="3" s="1"/>
  <c r="V112" i="3"/>
  <c r="V241" i="3" s="1"/>
  <c r="C112" i="3"/>
  <c r="CX112" i="3" s="1"/>
  <c r="B238" i="3"/>
  <c r="F238" i="3"/>
  <c r="G238" i="3"/>
  <c r="H238" i="3"/>
  <c r="I238" i="3"/>
  <c r="M238" i="3"/>
  <c r="N238" i="3"/>
  <c r="O238" i="3"/>
  <c r="P238" i="3"/>
  <c r="Q238" i="3"/>
  <c r="R238" i="3"/>
  <c r="S238" i="3"/>
  <c r="T238" i="3"/>
  <c r="Z238" i="3"/>
  <c r="AA238" i="3"/>
  <c r="AD238" i="3"/>
  <c r="AE238" i="3"/>
  <c r="AF238" i="3"/>
  <c r="AI238" i="3"/>
  <c r="AK238" i="3"/>
  <c r="AL238" i="3"/>
  <c r="AO238" i="3"/>
  <c r="AP238" i="3"/>
  <c r="AT238" i="3"/>
  <c r="AV238" i="3"/>
  <c r="AW238" i="3"/>
  <c r="AZ238" i="3"/>
  <c r="BA238" i="3"/>
  <c r="BE238" i="3"/>
  <c r="BG238" i="3"/>
  <c r="BH238" i="3"/>
  <c r="BK238" i="3"/>
  <c r="BL238" i="3"/>
  <c r="BP238" i="3"/>
  <c r="BR238" i="3"/>
  <c r="BS238" i="3"/>
  <c r="BV238" i="3"/>
  <c r="BW238" i="3"/>
  <c r="CA238" i="3"/>
  <c r="CC238" i="3"/>
  <c r="CD238" i="3"/>
  <c r="CG238" i="3"/>
  <c r="CH238" i="3"/>
  <c r="CL238" i="3"/>
  <c r="CN238" i="3"/>
  <c r="CO238" i="3"/>
  <c r="CR238" i="3"/>
  <c r="CS238" i="3"/>
  <c r="DE238" i="3"/>
  <c r="DF238" i="3"/>
  <c r="DI238" i="3"/>
  <c r="DK238" i="3"/>
  <c r="DL238" i="3"/>
  <c r="DN238" i="3"/>
  <c r="DO238" i="3"/>
  <c r="DP238" i="3"/>
  <c r="DT238" i="3"/>
  <c r="DU238" i="3"/>
  <c r="DV238" i="3"/>
  <c r="DX238" i="3"/>
  <c r="DZ238" i="3"/>
  <c r="EA238" i="3"/>
  <c r="EC238" i="3"/>
  <c r="EE238" i="3"/>
  <c r="B239" i="3"/>
  <c r="F239" i="3"/>
  <c r="G239" i="3"/>
  <c r="H239" i="3"/>
  <c r="I239" i="3"/>
  <c r="M239" i="3"/>
  <c r="N239" i="3"/>
  <c r="O239" i="3"/>
  <c r="P239" i="3"/>
  <c r="Q239" i="3"/>
  <c r="R239" i="3"/>
  <c r="S239" i="3"/>
  <c r="T239" i="3"/>
  <c r="Z239" i="3"/>
  <c r="AA239" i="3"/>
  <c r="AD239" i="3"/>
  <c r="AE239" i="3"/>
  <c r="AF239" i="3"/>
  <c r="AI239" i="3"/>
  <c r="AK239" i="3"/>
  <c r="AL239" i="3"/>
  <c r="AO239" i="3"/>
  <c r="AP239" i="3"/>
  <c r="AT239" i="3"/>
  <c r="AV239" i="3"/>
  <c r="AW239" i="3"/>
  <c r="AZ239" i="3"/>
  <c r="BA239" i="3"/>
  <c r="BE239" i="3"/>
  <c r="BG239" i="3"/>
  <c r="BH239" i="3"/>
  <c r="BK239" i="3"/>
  <c r="BL239" i="3"/>
  <c r="BP239" i="3"/>
  <c r="BR239" i="3"/>
  <c r="BS239" i="3"/>
  <c r="BV239" i="3"/>
  <c r="BW239" i="3"/>
  <c r="CA239" i="3"/>
  <c r="CC239" i="3"/>
  <c r="CD239" i="3"/>
  <c r="CG239" i="3"/>
  <c r="CH239" i="3"/>
  <c r="CL239" i="3"/>
  <c r="CN239" i="3"/>
  <c r="CO239" i="3"/>
  <c r="CR239" i="3"/>
  <c r="CS239" i="3"/>
  <c r="DE239" i="3"/>
  <c r="DF239" i="3"/>
  <c r="DI239" i="3"/>
  <c r="DK239" i="3"/>
  <c r="DL239" i="3"/>
  <c r="DN239" i="3"/>
  <c r="DP239" i="3"/>
  <c r="DT239" i="3"/>
  <c r="DU239" i="3"/>
  <c r="DV239" i="3"/>
  <c r="DX239" i="3"/>
  <c r="DZ239" i="3"/>
  <c r="EA239" i="3"/>
  <c r="EC239" i="3"/>
  <c r="EE239" i="3"/>
  <c r="B240" i="3"/>
  <c r="F240" i="3"/>
  <c r="G240" i="3"/>
  <c r="H240" i="3"/>
  <c r="I240" i="3"/>
  <c r="M240" i="3"/>
  <c r="N240" i="3"/>
  <c r="O240" i="3"/>
  <c r="P240" i="3"/>
  <c r="Q240" i="3"/>
  <c r="R240" i="3"/>
  <c r="S240" i="3"/>
  <c r="T240" i="3"/>
  <c r="Z240" i="3"/>
  <c r="AA240" i="3"/>
  <c r="AC240" i="3"/>
  <c r="AD240" i="3"/>
  <c r="AE240" i="3"/>
  <c r="AF240" i="3"/>
  <c r="AI240" i="3"/>
  <c r="AK240" i="3"/>
  <c r="AL240" i="3"/>
  <c r="AO240" i="3"/>
  <c r="AP240" i="3"/>
  <c r="AT240" i="3"/>
  <c r="AV240" i="3"/>
  <c r="AW240" i="3"/>
  <c r="AZ240" i="3"/>
  <c r="BA240" i="3"/>
  <c r="BE240" i="3"/>
  <c r="BG240" i="3"/>
  <c r="BH240" i="3"/>
  <c r="BK240" i="3"/>
  <c r="BL240" i="3"/>
  <c r="BP240" i="3"/>
  <c r="BR240" i="3"/>
  <c r="BS240" i="3"/>
  <c r="BV240" i="3"/>
  <c r="BW240" i="3"/>
  <c r="CA240" i="3"/>
  <c r="CC240" i="3"/>
  <c r="CD240" i="3"/>
  <c r="CG240" i="3"/>
  <c r="CH240" i="3"/>
  <c r="CL240" i="3"/>
  <c r="CN240" i="3"/>
  <c r="CO240" i="3"/>
  <c r="CR240" i="3"/>
  <c r="CS240" i="3"/>
  <c r="DE240" i="3"/>
  <c r="DF240" i="3"/>
  <c r="DG240" i="3"/>
  <c r="DI240" i="3"/>
  <c r="DK240" i="3"/>
  <c r="DL240" i="3"/>
  <c r="DN240" i="3"/>
  <c r="DO240" i="3"/>
  <c r="DP240" i="3"/>
  <c r="DT240" i="3"/>
  <c r="DU240" i="3"/>
  <c r="DV240" i="3"/>
  <c r="DX240" i="3"/>
  <c r="DZ240" i="3"/>
  <c r="EA240" i="3"/>
  <c r="EC240" i="3"/>
  <c r="EE240" i="3"/>
  <c r="S536" i="1"/>
  <c r="M798" i="9"/>
  <c r="AH537" i="1"/>
  <c r="AI537" i="1"/>
  <c r="EJ112" i="3" l="1"/>
  <c r="EO112" i="3" s="1"/>
  <c r="CV112" i="3"/>
  <c r="CV241" i="3" s="1"/>
  <c r="CK112" i="3"/>
  <c r="CK241" i="3" s="1"/>
  <c r="CI241" i="3"/>
  <c r="BO112" i="3"/>
  <c r="BO241" i="3" s="1"/>
  <c r="AS112" i="3"/>
  <c r="AS241" i="3" s="1"/>
  <c r="D112" i="3"/>
  <c r="D241" i="3" s="1"/>
  <c r="C241" i="3"/>
  <c r="E112" i="3"/>
  <c r="E241" i="3" s="1"/>
  <c r="D537" i="1"/>
  <c r="CX241" i="3"/>
  <c r="K112" i="3"/>
  <c r="K241" i="3" s="1"/>
  <c r="J112" i="3"/>
  <c r="AY112" i="3" s="1"/>
  <c r="AY241" i="3" s="1"/>
  <c r="BZ112" i="3"/>
  <c r="BZ241" i="3" s="1"/>
  <c r="W112" i="3"/>
  <c r="BD112" i="3"/>
  <c r="BD241" i="3" s="1"/>
  <c r="E768" i="9"/>
  <c r="E769" i="9"/>
  <c r="AE537" i="1"/>
  <c r="J729" i="13"/>
  <c r="B3" i="13"/>
  <c r="C3" i="13"/>
  <c r="B4" i="13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169" i="14"/>
  <c r="C169" i="14"/>
  <c r="B170" i="14"/>
  <c r="C170" i="14"/>
  <c r="B171" i="14"/>
  <c r="C171" i="14"/>
  <c r="R158" i="11"/>
  <c r="A157" i="11"/>
  <c r="B157" i="11"/>
  <c r="C157" i="11"/>
  <c r="E157" i="11"/>
  <c r="F157" i="11"/>
  <c r="G157" i="11"/>
  <c r="H157" i="11"/>
  <c r="L157" i="11"/>
  <c r="M157" i="11"/>
  <c r="P157" i="11"/>
  <c r="Q157" i="11"/>
  <c r="S157" i="11"/>
  <c r="T157" i="11"/>
  <c r="V157" i="11"/>
  <c r="W157" i="11"/>
  <c r="X157" i="11"/>
  <c r="Y157" i="11"/>
  <c r="EB102" i="3"/>
  <c r="EB103" i="3"/>
  <c r="EB104" i="3"/>
  <c r="EB105" i="3"/>
  <c r="EB106" i="3"/>
  <c r="EB107" i="3"/>
  <c r="EB108" i="3"/>
  <c r="EB109" i="3"/>
  <c r="EB238" i="3" s="1"/>
  <c r="EB110" i="3"/>
  <c r="EB239" i="3" s="1"/>
  <c r="EB111" i="3"/>
  <c r="EB240" i="3" s="1"/>
  <c r="DY103" i="3"/>
  <c r="DY104" i="3"/>
  <c r="DY105" i="3"/>
  <c r="DY106" i="3"/>
  <c r="DY107" i="3"/>
  <c r="DY108" i="3"/>
  <c r="DY109" i="3"/>
  <c r="DY110" i="3"/>
  <c r="DY111" i="3"/>
  <c r="DY240" i="3" s="1"/>
  <c r="DW101" i="3"/>
  <c r="DW102" i="3"/>
  <c r="DW103" i="3"/>
  <c r="DW104" i="3"/>
  <c r="DW105" i="3"/>
  <c r="DW106" i="3"/>
  <c r="DW107" i="3"/>
  <c r="DW108" i="3"/>
  <c r="DW109" i="3"/>
  <c r="DW238" i="3" s="1"/>
  <c r="DW110" i="3"/>
  <c r="DW239" i="3" s="1"/>
  <c r="DW111" i="3"/>
  <c r="DW240" i="3" s="1"/>
  <c r="DS111" i="3"/>
  <c r="DS240" i="3" s="1"/>
  <c r="DQ111" i="3"/>
  <c r="DO110" i="3"/>
  <c r="DO239" i="3" s="1"/>
  <c r="DM108" i="3"/>
  <c r="DM109" i="3"/>
  <c r="DM238" i="3" s="1"/>
  <c r="DM110" i="3"/>
  <c r="DM239" i="3" s="1"/>
  <c r="DM111" i="3"/>
  <c r="DM240" i="3" s="1"/>
  <c r="DJ111" i="3"/>
  <c r="DJ240" i="3" s="1"/>
  <c r="DH110" i="3"/>
  <c r="DH239" i="3" s="1"/>
  <c r="DH111" i="3"/>
  <c r="DH240" i="3" s="1"/>
  <c r="CZ99" i="3"/>
  <c r="CY100" i="3"/>
  <c r="CZ100" i="3"/>
  <c r="DA100" i="3"/>
  <c r="DB100" i="3"/>
  <c r="DC100" i="3"/>
  <c r="CY101" i="3"/>
  <c r="CZ101" i="3"/>
  <c r="DA101" i="3"/>
  <c r="DB101" i="3"/>
  <c r="DC101" i="3"/>
  <c r="CY238" i="3"/>
  <c r="CZ238" i="3"/>
  <c r="DA238" i="3"/>
  <c r="DB238" i="3"/>
  <c r="DC238" i="3"/>
  <c r="CY239" i="3"/>
  <c r="CZ239" i="3"/>
  <c r="DA239" i="3"/>
  <c r="DB239" i="3"/>
  <c r="DC239" i="3"/>
  <c r="CY240" i="3"/>
  <c r="CZ240" i="3"/>
  <c r="DA240" i="3"/>
  <c r="DB240" i="3"/>
  <c r="DC240" i="3"/>
  <c r="CY99" i="3"/>
  <c r="DA99" i="3"/>
  <c r="DB99" i="3"/>
  <c r="DC99" i="3"/>
  <c r="CM111" i="3"/>
  <c r="CB111" i="3"/>
  <c r="BQ111" i="3"/>
  <c r="BF111" i="3"/>
  <c r="AU111" i="3"/>
  <c r="AJ111" i="3"/>
  <c r="AG111" i="3"/>
  <c r="AB111" i="3"/>
  <c r="AB240" i="3" s="1"/>
  <c r="U99" i="3"/>
  <c r="V99" i="3"/>
  <c r="U111" i="3"/>
  <c r="U240" i="3" s="1"/>
  <c r="V111" i="3"/>
  <c r="V240" i="3" s="1"/>
  <c r="C111" i="3"/>
  <c r="S534" i="1"/>
  <c r="S535" i="1"/>
  <c r="CX111" i="3" l="1"/>
  <c r="CX240" i="3" s="1"/>
  <c r="W241" i="3"/>
  <c r="EJ111" i="3"/>
  <c r="EO111" i="3" s="1"/>
  <c r="DQ240" i="3"/>
  <c r="BU112" i="3"/>
  <c r="BU241" i="3" s="1"/>
  <c r="J241" i="3"/>
  <c r="X112" i="3"/>
  <c r="X241" i="3" s="1"/>
  <c r="P537" i="1"/>
  <c r="CU112" i="3"/>
  <c r="CU241" i="3" s="1"/>
  <c r="BC112" i="3"/>
  <c r="BC241" i="3" s="1"/>
  <c r="BY112" i="3"/>
  <c r="BY241" i="3" s="1"/>
  <c r="BN112" i="3"/>
  <c r="BN241" i="3" s="1"/>
  <c r="D536" i="1"/>
  <c r="EG110" i="3"/>
  <c r="EG239" i="3" s="1"/>
  <c r="DY239" i="3"/>
  <c r="EG109" i="3"/>
  <c r="EG238" i="3" s="1"/>
  <c r="DY238" i="3"/>
  <c r="CQ112" i="3"/>
  <c r="CQ241" i="3" s="1"/>
  <c r="BJ112" i="3"/>
  <c r="BJ241" i="3" s="1"/>
  <c r="AN112" i="3"/>
  <c r="AN241" i="3" s="1"/>
  <c r="CF112" i="3"/>
  <c r="CF241" i="3" s="1"/>
  <c r="AR112" i="3"/>
  <c r="AR241" i="3" s="1"/>
  <c r="L112" i="3"/>
  <c r="L241" i="3" s="1"/>
  <c r="K537" i="1"/>
  <c r="Y112" i="3"/>
  <c r="Y241" i="3" s="1"/>
  <c r="CJ112" i="3"/>
  <c r="CJ241" i="3" s="1"/>
  <c r="CP111" i="3"/>
  <c r="CP240" i="3" s="1"/>
  <c r="CM240" i="3"/>
  <c r="CE111" i="3"/>
  <c r="CE240" i="3" s="1"/>
  <c r="CB240" i="3"/>
  <c r="BX111" i="3"/>
  <c r="BX240" i="3" s="1"/>
  <c r="BQ240" i="3"/>
  <c r="BI111" i="3"/>
  <c r="BI240" i="3" s="1"/>
  <c r="BF240" i="3"/>
  <c r="BB111" i="3"/>
  <c r="BB240" i="3" s="1"/>
  <c r="AU240" i="3"/>
  <c r="AQ111" i="3"/>
  <c r="AQ240" i="3" s="1"/>
  <c r="AJ240" i="3"/>
  <c r="W111" i="3"/>
  <c r="C240" i="3"/>
  <c r="EG106" i="3"/>
  <c r="EG103" i="3"/>
  <c r="D111" i="3"/>
  <c r="D240" i="3" s="1"/>
  <c r="K111" i="3"/>
  <c r="K240" i="3" s="1"/>
  <c r="EG104" i="3"/>
  <c r="AG537" i="1"/>
  <c r="AF537" i="1"/>
  <c r="CT111" i="3"/>
  <c r="EG111" i="3"/>
  <c r="EG240" i="3" s="1"/>
  <c r="CI111" i="3"/>
  <c r="AX111" i="3"/>
  <c r="EG108" i="3"/>
  <c r="EG107" i="3"/>
  <c r="DR111" i="3"/>
  <c r="DR240" i="3" s="1"/>
  <c r="EG105" i="3"/>
  <c r="AM111" i="3"/>
  <c r="J111" i="3"/>
  <c r="BM111" i="3"/>
  <c r="BT111" i="3"/>
  <c r="E111" i="3"/>
  <c r="E240" i="3" s="1"/>
  <c r="I535" i="1"/>
  <c r="J567" i="1"/>
  <c r="M560" i="1"/>
  <c r="W240" i="3" l="1"/>
  <c r="BC111" i="3"/>
  <c r="BC240" i="3" s="1"/>
  <c r="BY111" i="3"/>
  <c r="BY240" i="3" s="1"/>
  <c r="X111" i="3"/>
  <c r="X240" i="3" s="1"/>
  <c r="P536" i="1"/>
  <c r="E784" i="9"/>
  <c r="CV111" i="3"/>
  <c r="CV240" i="3" s="1"/>
  <c r="CT240" i="3"/>
  <c r="CK111" i="3"/>
  <c r="CK240" i="3" s="1"/>
  <c r="CI240" i="3"/>
  <c r="BZ111" i="3"/>
  <c r="BZ240" i="3" s="1"/>
  <c r="BT240" i="3"/>
  <c r="BN111" i="3"/>
  <c r="BN240" i="3" s="1"/>
  <c r="BM240" i="3"/>
  <c r="BD111" i="3"/>
  <c r="BD240" i="3" s="1"/>
  <c r="AX240" i="3"/>
  <c r="AR111" i="3"/>
  <c r="AR240" i="3" s="1"/>
  <c r="AS111" i="3"/>
  <c r="AS240" i="3" s="1"/>
  <c r="AM240" i="3"/>
  <c r="CF111" i="3"/>
  <c r="CF240" i="3" s="1"/>
  <c r="J240" i="3"/>
  <c r="AY111" i="3"/>
  <c r="AY240" i="3" s="1"/>
  <c r="CU111" i="3"/>
  <c r="CU240" i="3" s="1"/>
  <c r="L111" i="3"/>
  <c r="L240" i="3" s="1"/>
  <c r="K536" i="1"/>
  <c r="Y111" i="3"/>
  <c r="Y240" i="3" s="1"/>
  <c r="CJ111" i="3"/>
  <c r="CJ240" i="3" s="1"/>
  <c r="AN111" i="3"/>
  <c r="AN240" i="3" s="1"/>
  <c r="BO111" i="3"/>
  <c r="BO240" i="3" s="1"/>
  <c r="BJ111" i="3"/>
  <c r="BJ240" i="3" s="1"/>
  <c r="BU111" i="3"/>
  <c r="BU240" i="3" s="1"/>
  <c r="CQ111" i="3"/>
  <c r="CQ240" i="3" s="1"/>
  <c r="F728" i="13"/>
  <c r="E725" i="13"/>
  <c r="F725" i="13"/>
  <c r="E726" i="13"/>
  <c r="F726" i="13"/>
  <c r="E727" i="13"/>
  <c r="F727" i="13"/>
  <c r="E728" i="13"/>
  <c r="AH536" i="1"/>
  <c r="AI536" i="1"/>
  <c r="AE536" i="1"/>
  <c r="AF536" i="1" s="1"/>
  <c r="D762" i="9"/>
  <c r="D763" i="9"/>
  <c r="D764" i="9"/>
  <c r="D765" i="9"/>
  <c r="D766" i="9"/>
  <c r="AG536" i="1" l="1"/>
  <c r="A156" i="11" l="1"/>
  <c r="B156" i="11"/>
  <c r="C156" i="11"/>
  <c r="E156" i="11"/>
  <c r="H156" i="11"/>
  <c r="L156" i="11"/>
  <c r="M156" i="11"/>
  <c r="P156" i="11"/>
  <c r="Q156" i="11"/>
  <c r="S156" i="11"/>
  <c r="T156" i="11"/>
  <c r="V156" i="11"/>
  <c r="W156" i="11"/>
  <c r="X156" i="11"/>
  <c r="Y156" i="11"/>
  <c r="Z156" i="11"/>
  <c r="R197" i="11"/>
  <c r="N197" i="11"/>
  <c r="J197" i="11"/>
  <c r="K197" i="11" s="1"/>
  <c r="G197" i="11"/>
  <c r="G204" i="11" s="1"/>
  <c r="R157" i="11"/>
  <c r="A154" i="8"/>
  <c r="B154" i="8"/>
  <c r="C154" i="8"/>
  <c r="D154" i="8"/>
  <c r="F154" i="8"/>
  <c r="G154" i="8"/>
  <c r="I154" i="8"/>
  <c r="J154" i="8"/>
  <c r="M154" i="8"/>
  <c r="N154" i="8"/>
  <c r="P154" i="8"/>
  <c r="Q154" i="8"/>
  <c r="T154" i="8"/>
  <c r="U154" i="8"/>
  <c r="V154" i="8"/>
  <c r="X154" i="8"/>
  <c r="Y154" i="8"/>
  <c r="AA154" i="8"/>
  <c r="AB154" i="8"/>
  <c r="AC154" i="8"/>
  <c r="AE154" i="8"/>
  <c r="AF154" i="8"/>
  <c r="AG154" i="8"/>
  <c r="AI154" i="8"/>
  <c r="AJ154" i="8"/>
  <c r="A155" i="8"/>
  <c r="B155" i="8"/>
  <c r="C155" i="8"/>
  <c r="D155" i="8"/>
  <c r="F155" i="8"/>
  <c r="G155" i="8"/>
  <c r="I155" i="8"/>
  <c r="J155" i="8"/>
  <c r="M155" i="8"/>
  <c r="N155" i="8"/>
  <c r="P155" i="8"/>
  <c r="Q155" i="8"/>
  <c r="T155" i="8"/>
  <c r="U155" i="8"/>
  <c r="V155" i="8"/>
  <c r="X155" i="8"/>
  <c r="Y155" i="8"/>
  <c r="AA155" i="8"/>
  <c r="AB155" i="8"/>
  <c r="AC155" i="8"/>
  <c r="AE155" i="8"/>
  <c r="AF155" i="8"/>
  <c r="AG155" i="8"/>
  <c r="AI155" i="8"/>
  <c r="AJ155" i="8"/>
  <c r="DQ110" i="3"/>
  <c r="DS110" i="3"/>
  <c r="DS239" i="3" s="1"/>
  <c r="DJ110" i="3"/>
  <c r="CM110" i="3"/>
  <c r="CB110" i="3"/>
  <c r="BQ110" i="3"/>
  <c r="BQ239" i="3" s="1"/>
  <c r="BF110" i="3"/>
  <c r="AU110" i="3"/>
  <c r="AJ110" i="3"/>
  <c r="AG110" i="3"/>
  <c r="AB110" i="3"/>
  <c r="AB239" i="3" s="1"/>
  <c r="U110" i="3"/>
  <c r="U239" i="3" s="1"/>
  <c r="V110" i="3"/>
  <c r="V239" i="3" s="1"/>
  <c r="C110" i="3"/>
  <c r="CX110" i="3" l="1"/>
  <c r="EJ110" i="3"/>
  <c r="EO110" i="3" s="1"/>
  <c r="DQ239" i="3"/>
  <c r="CP110" i="3"/>
  <c r="CP239" i="3" s="1"/>
  <c r="CM239" i="3"/>
  <c r="AX110" i="3"/>
  <c r="AX239" i="3" s="1"/>
  <c r="AU239" i="3"/>
  <c r="DR110" i="3"/>
  <c r="DR239" i="3" s="1"/>
  <c r="DJ239" i="3"/>
  <c r="AQ110" i="3"/>
  <c r="AQ239" i="3" s="1"/>
  <c r="AJ239" i="3"/>
  <c r="BM110" i="3"/>
  <c r="BM239" i="3" s="1"/>
  <c r="BF239" i="3"/>
  <c r="CE110" i="3"/>
  <c r="CE239" i="3" s="1"/>
  <c r="CB239" i="3"/>
  <c r="D535" i="1"/>
  <c r="C239" i="3"/>
  <c r="BX110" i="3"/>
  <c r="BX239" i="3" s="1"/>
  <c r="BT110" i="3"/>
  <c r="BT239" i="3" s="1"/>
  <c r="W110" i="3"/>
  <c r="CX239" i="3"/>
  <c r="CT110" i="3"/>
  <c r="BB110" i="3"/>
  <c r="K110" i="3"/>
  <c r="AM110" i="3"/>
  <c r="AM239" i="3" s="1"/>
  <c r="CI110" i="3"/>
  <c r="BI110" i="3"/>
  <c r="BI239" i="3" s="1"/>
  <c r="D110" i="3"/>
  <c r="D239" i="3" s="1"/>
  <c r="E110" i="3"/>
  <c r="J110" i="3"/>
  <c r="E239" i="3" l="1"/>
  <c r="AR110" i="3"/>
  <c r="AR239" i="3" s="1"/>
  <c r="X110" i="3"/>
  <c r="X239" i="3" s="1"/>
  <c r="W239" i="3"/>
  <c r="L110" i="3"/>
  <c r="L239" i="3" s="1"/>
  <c r="K239" i="3"/>
  <c r="CV110" i="3"/>
  <c r="CV239" i="3" s="1"/>
  <c r="CT239" i="3"/>
  <c r="BC110" i="3"/>
  <c r="BC239" i="3" s="1"/>
  <c r="BB239" i="3"/>
  <c r="CF110" i="3"/>
  <c r="CF239" i="3" s="1"/>
  <c r="J239" i="3"/>
  <c r="CK110" i="3"/>
  <c r="CK239" i="3" s="1"/>
  <c r="CI239" i="3"/>
  <c r="CU110" i="3"/>
  <c r="CU239" i="3" s="1"/>
  <c r="BY110" i="3"/>
  <c r="BY239" i="3" s="1"/>
  <c r="BJ110" i="3"/>
  <c r="BJ239" i="3" s="1"/>
  <c r="BO110" i="3"/>
  <c r="BO239" i="3" s="1"/>
  <c r="CQ110" i="3"/>
  <c r="CQ239" i="3" s="1"/>
  <c r="BN110" i="3"/>
  <c r="BN239" i="3" s="1"/>
  <c r="AN110" i="3"/>
  <c r="AN239" i="3" s="1"/>
  <c r="BU110" i="3"/>
  <c r="BU239" i="3" s="1"/>
  <c r="BD110" i="3"/>
  <c r="BD239" i="3" s="1"/>
  <c r="K535" i="1"/>
  <c r="Y110" i="3"/>
  <c r="Y239" i="3" s="1"/>
  <c r="AS110" i="3"/>
  <c r="AS239" i="3" s="1"/>
  <c r="CJ110" i="3"/>
  <c r="CJ239" i="3" s="1"/>
  <c r="BZ110" i="3"/>
  <c r="BZ239" i="3" s="1"/>
  <c r="AY110" i="3"/>
  <c r="AY239" i="3" s="1"/>
  <c r="AH535" i="1" l="1"/>
  <c r="AI535" i="1"/>
  <c r="AE535" i="1"/>
  <c r="AF535" i="1" s="1"/>
  <c r="P535" i="1"/>
  <c r="AG535" i="1" l="1"/>
  <c r="E718" i="13"/>
  <c r="F718" i="13"/>
  <c r="E719" i="13"/>
  <c r="F719" i="13"/>
  <c r="E720" i="13"/>
  <c r="F720" i="13"/>
  <c r="E721" i="13"/>
  <c r="F721" i="13"/>
  <c r="E722" i="13"/>
  <c r="F722" i="13"/>
  <c r="E723" i="13"/>
  <c r="F723" i="13"/>
  <c r="E724" i="13"/>
  <c r="F724" i="13"/>
  <c r="B168" i="14" l="1"/>
  <c r="C168" i="14"/>
  <c r="R156" i="11"/>
  <c r="A153" i="11"/>
  <c r="A154" i="11"/>
  <c r="A155" i="11"/>
  <c r="V155" i="11"/>
  <c r="AN150" i="8"/>
  <c r="A153" i="8"/>
  <c r="B153" i="8"/>
  <c r="C153" i="8"/>
  <c r="D153" i="8"/>
  <c r="F153" i="8"/>
  <c r="G153" i="8"/>
  <c r="I153" i="8"/>
  <c r="J153" i="8"/>
  <c r="K153" i="8"/>
  <c r="M153" i="8"/>
  <c r="N153" i="8"/>
  <c r="P153" i="8"/>
  <c r="Q153" i="8"/>
  <c r="T153" i="8"/>
  <c r="U153" i="8"/>
  <c r="V153" i="8"/>
  <c r="X153" i="8"/>
  <c r="Y153" i="8"/>
  <c r="AA153" i="8"/>
  <c r="AB153" i="8"/>
  <c r="AC153" i="8"/>
  <c r="AE153" i="8"/>
  <c r="AF153" i="8"/>
  <c r="AG153" i="8"/>
  <c r="AI153" i="8"/>
  <c r="AJ153" i="8"/>
  <c r="DL233" i="3"/>
  <c r="AI233" i="3"/>
  <c r="AK233" i="3"/>
  <c r="AL233" i="3"/>
  <c r="AO233" i="3"/>
  <c r="AP233" i="3"/>
  <c r="AT233" i="3"/>
  <c r="AV233" i="3"/>
  <c r="AW233" i="3"/>
  <c r="AZ233" i="3"/>
  <c r="BA233" i="3"/>
  <c r="BE233" i="3"/>
  <c r="BG233" i="3"/>
  <c r="BH233" i="3"/>
  <c r="BK233" i="3"/>
  <c r="BL233" i="3"/>
  <c r="BP233" i="3"/>
  <c r="BR233" i="3"/>
  <c r="BS233" i="3"/>
  <c r="BV233" i="3"/>
  <c r="BW233" i="3"/>
  <c r="CA233" i="3"/>
  <c r="CC233" i="3"/>
  <c r="CD233" i="3"/>
  <c r="CG233" i="3"/>
  <c r="CH233" i="3"/>
  <c r="CL233" i="3"/>
  <c r="CN233" i="3"/>
  <c r="CO233" i="3"/>
  <c r="CR233" i="3"/>
  <c r="CS233" i="3"/>
  <c r="DE233" i="3"/>
  <c r="DF233" i="3"/>
  <c r="DG233" i="3"/>
  <c r="DI233" i="3"/>
  <c r="DK233" i="3"/>
  <c r="DN233" i="3"/>
  <c r="DO233" i="3"/>
  <c r="DP233" i="3"/>
  <c r="DT233" i="3"/>
  <c r="DU233" i="3"/>
  <c r="DV233" i="3"/>
  <c r="DX233" i="3"/>
  <c r="DZ233" i="3"/>
  <c r="EA233" i="3"/>
  <c r="EC233" i="3"/>
  <c r="EE233" i="3"/>
  <c r="AI234" i="3"/>
  <c r="AK234" i="3"/>
  <c r="AL234" i="3"/>
  <c r="AO234" i="3"/>
  <c r="AP234" i="3"/>
  <c r="AT234" i="3"/>
  <c r="AV234" i="3"/>
  <c r="AW234" i="3"/>
  <c r="AZ234" i="3"/>
  <c r="BA234" i="3"/>
  <c r="BE234" i="3"/>
  <c r="BG234" i="3"/>
  <c r="BH234" i="3"/>
  <c r="BK234" i="3"/>
  <c r="BL234" i="3"/>
  <c r="BP234" i="3"/>
  <c r="BR234" i="3"/>
  <c r="BS234" i="3"/>
  <c r="BV234" i="3"/>
  <c r="BW234" i="3"/>
  <c r="CA234" i="3"/>
  <c r="CC234" i="3"/>
  <c r="CD234" i="3"/>
  <c r="CG234" i="3"/>
  <c r="CH234" i="3"/>
  <c r="CL234" i="3"/>
  <c r="CN234" i="3"/>
  <c r="CO234" i="3"/>
  <c r="CR234" i="3"/>
  <c r="CS234" i="3"/>
  <c r="DE234" i="3"/>
  <c r="DF234" i="3"/>
  <c r="DG234" i="3"/>
  <c r="DI234" i="3"/>
  <c r="DK234" i="3"/>
  <c r="DL234" i="3"/>
  <c r="DN234" i="3"/>
  <c r="DO234" i="3"/>
  <c r="DP234" i="3"/>
  <c r="DT234" i="3"/>
  <c r="DU234" i="3"/>
  <c r="DV234" i="3"/>
  <c r="DX234" i="3"/>
  <c r="DZ234" i="3"/>
  <c r="EA234" i="3"/>
  <c r="EC234" i="3"/>
  <c r="EE234" i="3"/>
  <c r="AI235" i="3"/>
  <c r="AK235" i="3"/>
  <c r="AL235" i="3"/>
  <c r="AO235" i="3"/>
  <c r="AP235" i="3"/>
  <c r="AT235" i="3"/>
  <c r="AV235" i="3"/>
  <c r="AW235" i="3"/>
  <c r="AZ235" i="3"/>
  <c r="BA235" i="3"/>
  <c r="BE235" i="3"/>
  <c r="BG235" i="3"/>
  <c r="BH235" i="3"/>
  <c r="BK235" i="3"/>
  <c r="BL235" i="3"/>
  <c r="BP235" i="3"/>
  <c r="BR235" i="3"/>
  <c r="BS235" i="3"/>
  <c r="BV235" i="3"/>
  <c r="BW235" i="3"/>
  <c r="CA235" i="3"/>
  <c r="CC235" i="3"/>
  <c r="CD235" i="3"/>
  <c r="CG235" i="3"/>
  <c r="CH235" i="3"/>
  <c r="CL235" i="3"/>
  <c r="CN235" i="3"/>
  <c r="CO235" i="3"/>
  <c r="CR235" i="3"/>
  <c r="CS235" i="3"/>
  <c r="DE235" i="3"/>
  <c r="DF235" i="3"/>
  <c r="DI235" i="3"/>
  <c r="DK235" i="3"/>
  <c r="DL235" i="3"/>
  <c r="DN235" i="3"/>
  <c r="DO235" i="3"/>
  <c r="DP235" i="3"/>
  <c r="DT235" i="3"/>
  <c r="DU235" i="3"/>
  <c r="DV235" i="3"/>
  <c r="DX235" i="3"/>
  <c r="DZ235" i="3"/>
  <c r="EA235" i="3"/>
  <c r="EC235" i="3"/>
  <c r="EE235" i="3"/>
  <c r="AI236" i="3"/>
  <c r="AK236" i="3"/>
  <c r="AL236" i="3"/>
  <c r="AO236" i="3"/>
  <c r="AP236" i="3"/>
  <c r="AT236" i="3"/>
  <c r="AV236" i="3"/>
  <c r="AW236" i="3"/>
  <c r="AZ236" i="3"/>
  <c r="BA236" i="3"/>
  <c r="BE236" i="3"/>
  <c r="BG236" i="3"/>
  <c r="BH236" i="3"/>
  <c r="BK236" i="3"/>
  <c r="BL236" i="3"/>
  <c r="BP236" i="3"/>
  <c r="BR236" i="3"/>
  <c r="BS236" i="3"/>
  <c r="BV236" i="3"/>
  <c r="BW236" i="3"/>
  <c r="CA236" i="3"/>
  <c r="CC236" i="3"/>
  <c r="CD236" i="3"/>
  <c r="CG236" i="3"/>
  <c r="CL236" i="3"/>
  <c r="CN236" i="3"/>
  <c r="CO236" i="3"/>
  <c r="CR236" i="3"/>
  <c r="DE236" i="3"/>
  <c r="DF236" i="3"/>
  <c r="DI236" i="3"/>
  <c r="DK236" i="3"/>
  <c r="DL236" i="3"/>
  <c r="DN236" i="3"/>
  <c r="DO236" i="3"/>
  <c r="DP236" i="3"/>
  <c r="DT236" i="3"/>
  <c r="DU236" i="3"/>
  <c r="DV236" i="3"/>
  <c r="DX236" i="3"/>
  <c r="DZ236" i="3"/>
  <c r="EA236" i="3"/>
  <c r="EC236" i="3"/>
  <c r="EE236" i="3"/>
  <c r="AI237" i="3"/>
  <c r="AK237" i="3"/>
  <c r="AL237" i="3"/>
  <c r="AO237" i="3"/>
  <c r="AP237" i="3"/>
  <c r="AT237" i="3"/>
  <c r="AV237" i="3"/>
  <c r="AW237" i="3"/>
  <c r="AZ237" i="3"/>
  <c r="BA237" i="3"/>
  <c r="BE237" i="3"/>
  <c r="BG237" i="3"/>
  <c r="BH237" i="3"/>
  <c r="BK237" i="3"/>
  <c r="BL237" i="3"/>
  <c r="BP237" i="3"/>
  <c r="BR237" i="3"/>
  <c r="BS237" i="3"/>
  <c r="BV237" i="3"/>
  <c r="BW237" i="3"/>
  <c r="CA237" i="3"/>
  <c r="CC237" i="3"/>
  <c r="CD237" i="3"/>
  <c r="CG237" i="3"/>
  <c r="CH237" i="3"/>
  <c r="CL237" i="3"/>
  <c r="CN237" i="3"/>
  <c r="CO237" i="3"/>
  <c r="CR237" i="3"/>
  <c r="CS237" i="3"/>
  <c r="DE237" i="3"/>
  <c r="DF237" i="3"/>
  <c r="DI237" i="3"/>
  <c r="DK237" i="3"/>
  <c r="DL237" i="3"/>
  <c r="DN237" i="3"/>
  <c r="DO237" i="3"/>
  <c r="DP237" i="3"/>
  <c r="DT237" i="3"/>
  <c r="DU237" i="3"/>
  <c r="DV237" i="3"/>
  <c r="DX237" i="3"/>
  <c r="DZ237" i="3"/>
  <c r="EA237" i="3"/>
  <c r="EC237" i="3"/>
  <c r="EE237" i="3"/>
  <c r="EB236" i="3"/>
  <c r="DO9" i="3"/>
  <c r="DQ109" i="3"/>
  <c r="DS109" i="3"/>
  <c r="DS238" i="3" s="1"/>
  <c r="DJ109" i="3"/>
  <c r="DJ238" i="3" s="1"/>
  <c r="DH109" i="3"/>
  <c r="DH238" i="3" s="1"/>
  <c r="CM109" i="3"/>
  <c r="CB109" i="3"/>
  <c r="BQ109" i="3"/>
  <c r="BQ238" i="3" s="1"/>
  <c r="BF109" i="3"/>
  <c r="BF238" i="3" s="1"/>
  <c r="AU109" i="3"/>
  <c r="AJ109" i="3"/>
  <c r="AG109" i="3"/>
  <c r="AB109" i="3"/>
  <c r="AB238" i="3" s="1"/>
  <c r="U109" i="3"/>
  <c r="U238" i="3" s="1"/>
  <c r="V109" i="3"/>
  <c r="V238" i="3" s="1"/>
  <c r="C109" i="3"/>
  <c r="B237" i="3"/>
  <c r="CX109" i="3" l="1"/>
  <c r="DQ238" i="3"/>
  <c r="DO10" i="3"/>
  <c r="DO11" i="3" s="1"/>
  <c r="C238" i="3"/>
  <c r="EJ109" i="3"/>
  <c r="EO109" i="3" s="1"/>
  <c r="AQ109" i="3"/>
  <c r="AQ238" i="3" s="1"/>
  <c r="AJ238" i="3"/>
  <c r="BB109" i="3"/>
  <c r="BB238" i="3" s="1"/>
  <c r="AU238" i="3"/>
  <c r="CE109" i="3"/>
  <c r="CE238" i="3" s="1"/>
  <c r="CB238" i="3"/>
  <c r="CP109" i="3"/>
  <c r="CP238" i="3" s="1"/>
  <c r="CM238" i="3"/>
  <c r="D534" i="1"/>
  <c r="CX238" i="3"/>
  <c r="BI109" i="3"/>
  <c r="BI238" i="3" s="1"/>
  <c r="BM109" i="3"/>
  <c r="BM238" i="3" s="1"/>
  <c r="K109" i="3"/>
  <c r="K238" i="3" s="1"/>
  <c r="DR109" i="3"/>
  <c r="DR238" i="3" s="1"/>
  <c r="E109" i="3"/>
  <c r="E238" i="3" s="1"/>
  <c r="J109" i="3"/>
  <c r="K534" i="1"/>
  <c r="CI109" i="3"/>
  <c r="AM109" i="3"/>
  <c r="CT109" i="3"/>
  <c r="CT238" i="3" s="1"/>
  <c r="D109" i="3"/>
  <c r="D238" i="3" s="1"/>
  <c r="AX109" i="3"/>
  <c r="AX238" i="3" s="1"/>
  <c r="BX109" i="3"/>
  <c r="BX238" i="3" s="1"/>
  <c r="BT109" i="3"/>
  <c r="BT238" i="3" s="1"/>
  <c r="W109" i="3"/>
  <c r="D761" i="9"/>
  <c r="L109" i="3" l="1"/>
  <c r="L238" i="3" s="1"/>
  <c r="Y109" i="3"/>
  <c r="Y238" i="3" s="1"/>
  <c r="DO12" i="3"/>
  <c r="DO13" i="3" s="1"/>
  <c r="CV109" i="3"/>
  <c r="CV238" i="3" s="1"/>
  <c r="AN109" i="3"/>
  <c r="AN238" i="3" s="1"/>
  <c r="AM238" i="3"/>
  <c r="CK109" i="3"/>
  <c r="CK238" i="3" s="1"/>
  <c r="CI238" i="3"/>
  <c r="BC109" i="3"/>
  <c r="BC238" i="3" s="1"/>
  <c r="W238" i="3"/>
  <c r="CF109" i="3"/>
  <c r="CF238" i="3" s="1"/>
  <c r="J238" i="3"/>
  <c r="CQ109" i="3"/>
  <c r="CQ238" i="3" s="1"/>
  <c r="BY109" i="3"/>
  <c r="BY238" i="3" s="1"/>
  <c r="BU109" i="3"/>
  <c r="BU238" i="3" s="1"/>
  <c r="BJ109" i="3"/>
  <c r="BJ238" i="3" s="1"/>
  <c r="AY109" i="3"/>
  <c r="AY238" i="3" s="1"/>
  <c r="AS109" i="3"/>
  <c r="AS238" i="3" s="1"/>
  <c r="BO109" i="3"/>
  <c r="BO238" i="3" s="1"/>
  <c r="BD109" i="3"/>
  <c r="BD238" i="3" s="1"/>
  <c r="BZ109" i="3"/>
  <c r="BZ238" i="3" s="1"/>
  <c r="X109" i="3"/>
  <c r="X238" i="3" s="1"/>
  <c r="P534" i="1"/>
  <c r="CJ109" i="3"/>
  <c r="CJ238" i="3" s="1"/>
  <c r="AR109" i="3"/>
  <c r="AR238" i="3" s="1"/>
  <c r="BN109" i="3"/>
  <c r="BN238" i="3" s="1"/>
  <c r="CU109" i="3"/>
  <c r="CU238" i="3" s="1"/>
  <c r="DO14" i="3" l="1"/>
  <c r="DO15" i="3" s="1"/>
  <c r="DO16" i="3" l="1"/>
  <c r="DO17" i="3" s="1"/>
  <c r="AE534" i="1"/>
  <c r="AG534" i="1" s="1"/>
  <c r="AH534" i="1"/>
  <c r="AI534" i="1"/>
  <c r="S531" i="1"/>
  <c r="R531" i="1" s="1"/>
  <c r="S532" i="1"/>
  <c r="R532" i="1" s="1"/>
  <c r="S533" i="1"/>
  <c r="R533" i="1" s="1"/>
  <c r="H755" i="9"/>
  <c r="J755" i="9"/>
  <c r="H756" i="9"/>
  <c r="J756" i="9"/>
  <c r="H757" i="9"/>
  <c r="J757" i="9"/>
  <c r="H758" i="9"/>
  <c r="J758" i="9"/>
  <c r="H759" i="9"/>
  <c r="J759" i="9"/>
  <c r="H760" i="9"/>
  <c r="J760" i="9"/>
  <c r="Q755" i="9"/>
  <c r="S755" i="9"/>
  <c r="Q756" i="9"/>
  <c r="S756" i="9"/>
  <c r="Q757" i="9"/>
  <c r="S757" i="9"/>
  <c r="Q758" i="9"/>
  <c r="S758" i="9"/>
  <c r="Q759" i="9"/>
  <c r="S759" i="9"/>
  <c r="Q760" i="9"/>
  <c r="S760" i="9"/>
  <c r="D759" i="9"/>
  <c r="D760" i="9"/>
  <c r="L743" i="9"/>
  <c r="L741" i="9"/>
  <c r="L744" i="9"/>
  <c r="L742" i="9"/>
  <c r="L745" i="9"/>
  <c r="DO18" i="3" l="1"/>
  <c r="AF534" i="1"/>
  <c r="DO19" i="3" l="1"/>
  <c r="N756" i="9"/>
  <c r="N755" i="9"/>
  <c r="AI149" i="8" l="1"/>
  <c r="AJ149" i="8"/>
  <c r="AI150" i="8"/>
  <c r="AJ150" i="8"/>
  <c r="AI151" i="8"/>
  <c r="AJ151" i="8"/>
  <c r="AI152" i="8"/>
  <c r="AJ152" i="8"/>
  <c r="AE151" i="8"/>
  <c r="AF151" i="8"/>
  <c r="AE152" i="8"/>
  <c r="AF152" i="8"/>
  <c r="A152" i="8"/>
  <c r="B152" i="8"/>
  <c r="C152" i="8"/>
  <c r="D152" i="8"/>
  <c r="F152" i="8"/>
  <c r="G152" i="8"/>
  <c r="I152" i="8"/>
  <c r="J152" i="8"/>
  <c r="K152" i="8"/>
  <c r="M152" i="8"/>
  <c r="N152" i="8"/>
  <c r="P152" i="8"/>
  <c r="Q152" i="8"/>
  <c r="T152" i="8"/>
  <c r="U152" i="8"/>
  <c r="V152" i="8"/>
  <c r="X152" i="8"/>
  <c r="Y152" i="8"/>
  <c r="AA152" i="8"/>
  <c r="AB152" i="8"/>
  <c r="AC152" i="8"/>
  <c r="AM152" i="8"/>
  <c r="AN152" i="8"/>
  <c r="AO152" i="8"/>
  <c r="AO106" i="8"/>
  <c r="AN106" i="8"/>
  <c r="W155" i="11"/>
  <c r="T155" i="11"/>
  <c r="P155" i="11"/>
  <c r="M155" i="11"/>
  <c r="H155" i="11"/>
  <c r="C155" i="11"/>
  <c r="B155" i="11"/>
  <c r="W154" i="11"/>
  <c r="S154" i="11"/>
  <c r="Q154" i="11"/>
  <c r="P154" i="11"/>
  <c r="H154" i="11"/>
  <c r="C154" i="11"/>
  <c r="B154" i="11"/>
  <c r="E154" i="11"/>
  <c r="F154" i="11"/>
  <c r="G154" i="11"/>
  <c r="L154" i="11"/>
  <c r="M154" i="11"/>
  <c r="R154" i="11"/>
  <c r="T154" i="11"/>
  <c r="V154" i="11"/>
  <c r="X154" i="11"/>
  <c r="Y154" i="11"/>
  <c r="E155" i="11"/>
  <c r="L155" i="11"/>
  <c r="Q155" i="11"/>
  <c r="R155" i="11"/>
  <c r="S155" i="11"/>
  <c r="X155" i="11"/>
  <c r="Y155" i="11"/>
  <c r="F106" i="11"/>
  <c r="B236" i="3"/>
  <c r="F236" i="3"/>
  <c r="G236" i="3"/>
  <c r="H236" i="3"/>
  <c r="I236" i="3"/>
  <c r="M236" i="3"/>
  <c r="N236" i="3"/>
  <c r="O236" i="3"/>
  <c r="P236" i="3"/>
  <c r="Q236" i="3"/>
  <c r="R236" i="3"/>
  <c r="S236" i="3"/>
  <c r="T236" i="3"/>
  <c r="Z236" i="3"/>
  <c r="AA236" i="3"/>
  <c r="AC236" i="3"/>
  <c r="AD236" i="3"/>
  <c r="AE236" i="3"/>
  <c r="AF236" i="3"/>
  <c r="F237" i="3"/>
  <c r="G237" i="3"/>
  <c r="H237" i="3"/>
  <c r="I237" i="3"/>
  <c r="M237" i="3"/>
  <c r="N237" i="3"/>
  <c r="O237" i="3"/>
  <c r="P237" i="3"/>
  <c r="Q237" i="3"/>
  <c r="R237" i="3"/>
  <c r="S237" i="3"/>
  <c r="T237" i="3"/>
  <c r="Z237" i="3"/>
  <c r="AA237" i="3"/>
  <c r="AD237" i="3"/>
  <c r="AE237" i="3"/>
  <c r="AF237" i="3"/>
  <c r="AF235" i="3"/>
  <c r="AE235" i="3"/>
  <c r="AD235" i="3"/>
  <c r="AA235" i="3"/>
  <c r="Z235" i="3"/>
  <c r="T235" i="3"/>
  <c r="S235" i="3"/>
  <c r="R235" i="3"/>
  <c r="Q235" i="3"/>
  <c r="P235" i="3"/>
  <c r="O235" i="3"/>
  <c r="N235" i="3"/>
  <c r="M235" i="3"/>
  <c r="I235" i="3"/>
  <c r="H235" i="3"/>
  <c r="G235" i="3"/>
  <c r="F235" i="3"/>
  <c r="B235" i="3"/>
  <c r="EB237" i="3"/>
  <c r="DY237" i="3"/>
  <c r="DW237" i="3"/>
  <c r="DQ108" i="3"/>
  <c r="DM237" i="3"/>
  <c r="DS108" i="3"/>
  <c r="DS237" i="3" s="1"/>
  <c r="DJ108" i="3"/>
  <c r="DJ237" i="3" s="1"/>
  <c r="DH108" i="3"/>
  <c r="DH237" i="3" s="1"/>
  <c r="DB237" i="3"/>
  <c r="DA237" i="3"/>
  <c r="CZ237" i="3"/>
  <c r="CY237" i="3"/>
  <c r="CM108" i="3"/>
  <c r="CB108" i="3"/>
  <c r="BQ108" i="3"/>
  <c r="BF108" i="3"/>
  <c r="BM108" i="3" s="1"/>
  <c r="AU108" i="3"/>
  <c r="AJ108" i="3"/>
  <c r="AG108" i="3"/>
  <c r="AC216" i="3"/>
  <c r="AB108" i="3"/>
  <c r="AB237" i="3" s="1"/>
  <c r="U108" i="3"/>
  <c r="U237" i="3" s="1"/>
  <c r="V108" i="3"/>
  <c r="V237" i="3" s="1"/>
  <c r="DC237" i="3"/>
  <c r="C108" i="3"/>
  <c r="AS533" i="1"/>
  <c r="AE533" i="1"/>
  <c r="AH533" i="1"/>
  <c r="AI533" i="1"/>
  <c r="CX108" i="3" l="1"/>
  <c r="EJ108" i="3"/>
  <c r="EO108" i="3" s="1"/>
  <c r="I106" i="11"/>
  <c r="F107" i="11"/>
  <c r="AG533" i="1"/>
  <c r="AF533" i="1"/>
  <c r="CX237" i="3"/>
  <c r="G106" i="11"/>
  <c r="G155" i="11" s="1"/>
  <c r="DQ237" i="3"/>
  <c r="BX108" i="3"/>
  <c r="BX237" i="3" s="1"/>
  <c r="BQ237" i="3"/>
  <c r="CE108" i="3"/>
  <c r="CE237" i="3" s="1"/>
  <c r="CB237" i="3"/>
  <c r="AX108" i="3"/>
  <c r="AX237" i="3" s="1"/>
  <c r="AU237" i="3"/>
  <c r="AM108" i="3"/>
  <c r="AM237" i="3" s="1"/>
  <c r="AJ237" i="3"/>
  <c r="BM237" i="3"/>
  <c r="BF237" i="3"/>
  <c r="CT108" i="3"/>
  <c r="CT237" i="3" s="1"/>
  <c r="CM237" i="3"/>
  <c r="F155" i="11"/>
  <c r="AM153" i="8"/>
  <c r="AM107" i="8"/>
  <c r="AO153" i="8"/>
  <c r="AO107" i="8"/>
  <c r="AN153" i="8"/>
  <c r="AN107" i="8"/>
  <c r="K108" i="3"/>
  <c r="D533" i="1"/>
  <c r="C237" i="3"/>
  <c r="AQ108" i="3"/>
  <c r="D755" i="9"/>
  <c r="D756" i="9"/>
  <c r="D757" i="9"/>
  <c r="D758" i="9"/>
  <c r="EG237" i="3"/>
  <c r="CI108" i="3"/>
  <c r="BI108" i="3"/>
  <c r="BT108" i="3"/>
  <c r="BT237" i="3" s="1"/>
  <c r="DR108" i="3"/>
  <c r="DR237" i="3" s="1"/>
  <c r="W108" i="3"/>
  <c r="BB108" i="3"/>
  <c r="BB237" i="3" s="1"/>
  <c r="D108" i="3"/>
  <c r="D237" i="3" s="1"/>
  <c r="E108" i="3"/>
  <c r="E237" i="3" s="1"/>
  <c r="J108" i="3"/>
  <c r="CP108" i="3"/>
  <c r="CP237" i="3" s="1"/>
  <c r="F163" i="11" l="1"/>
  <c r="I114" i="11"/>
  <c r="G107" i="11"/>
  <c r="G156" i="11" s="1"/>
  <c r="I107" i="11"/>
  <c r="F156" i="11"/>
  <c r="AN108" i="8"/>
  <c r="AN154" i="8"/>
  <c r="AM108" i="8"/>
  <c r="AM154" i="8"/>
  <c r="AO108" i="8"/>
  <c r="AO154" i="8"/>
  <c r="BO108" i="3"/>
  <c r="BO237" i="3" s="1"/>
  <c r="BI237" i="3"/>
  <c r="AS108" i="3"/>
  <c r="AS237" i="3" s="1"/>
  <c r="AQ237" i="3"/>
  <c r="CK108" i="3"/>
  <c r="CK237" i="3" s="1"/>
  <c r="CI237" i="3"/>
  <c r="CF108" i="3"/>
  <c r="CF237" i="3" s="1"/>
  <c r="J237" i="3"/>
  <c r="BC108" i="3"/>
  <c r="BC237" i="3" s="1"/>
  <c r="BY108" i="3"/>
  <c r="BY237" i="3" s="1"/>
  <c r="P533" i="1"/>
  <c r="W237" i="3"/>
  <c r="L108" i="3"/>
  <c r="L237" i="3" s="1"/>
  <c r="K533" i="1"/>
  <c r="K237" i="3"/>
  <c r="BJ108" i="3"/>
  <c r="BJ237" i="3" s="1"/>
  <c r="AY108" i="3"/>
  <c r="AY237" i="3" s="1"/>
  <c r="BD108" i="3"/>
  <c r="BD237" i="3" s="1"/>
  <c r="AN108" i="3"/>
  <c r="AN237" i="3" s="1"/>
  <c r="BN108" i="3"/>
  <c r="BN237" i="3" s="1"/>
  <c r="CU108" i="3"/>
  <c r="CU237" i="3" s="1"/>
  <c r="CQ108" i="3"/>
  <c r="CQ237" i="3" s="1"/>
  <c r="Y108" i="3"/>
  <c r="Y237" i="3" s="1"/>
  <c r="CJ108" i="3"/>
  <c r="CJ237" i="3" s="1"/>
  <c r="AR108" i="3"/>
  <c r="AR237" i="3" s="1"/>
  <c r="X108" i="3"/>
  <c r="X237" i="3" s="1"/>
  <c r="BU108" i="3"/>
  <c r="BU237" i="3" s="1"/>
  <c r="BZ108" i="3"/>
  <c r="BZ237" i="3" s="1"/>
  <c r="CV108" i="3"/>
  <c r="CV237" i="3" s="1"/>
  <c r="B153" i="11"/>
  <c r="I118" i="11" l="1"/>
  <c r="G111" i="11"/>
  <c r="G160" i="11" s="1"/>
  <c r="I111" i="11"/>
  <c r="AM155" i="8"/>
  <c r="AM109" i="8"/>
  <c r="AO155" i="8"/>
  <c r="AO109" i="8"/>
  <c r="AN155" i="8"/>
  <c r="AN109" i="8"/>
  <c r="H754" i="9"/>
  <c r="J754" i="9"/>
  <c r="D751" i="9"/>
  <c r="D752" i="9"/>
  <c r="D753" i="9"/>
  <c r="D754" i="9"/>
  <c r="Q754" i="9"/>
  <c r="S754" i="9"/>
  <c r="E674" i="13"/>
  <c r="F674" i="13"/>
  <c r="E675" i="13"/>
  <c r="F675" i="13"/>
  <c r="E676" i="13"/>
  <c r="F676" i="13"/>
  <c r="E677" i="13"/>
  <c r="F677" i="13"/>
  <c r="E678" i="13"/>
  <c r="F678" i="13"/>
  <c r="E679" i="13"/>
  <c r="F679" i="13"/>
  <c r="E680" i="13"/>
  <c r="F680" i="13"/>
  <c r="E681" i="13"/>
  <c r="F681" i="13"/>
  <c r="E682" i="13"/>
  <c r="F682" i="13"/>
  <c r="E683" i="13"/>
  <c r="F683" i="13"/>
  <c r="E684" i="13"/>
  <c r="F684" i="13"/>
  <c r="E685" i="13"/>
  <c r="F685" i="13"/>
  <c r="E686" i="13"/>
  <c r="F686" i="13"/>
  <c r="E687" i="13"/>
  <c r="F687" i="13"/>
  <c r="E688" i="13"/>
  <c r="F688" i="13"/>
  <c r="E689" i="13"/>
  <c r="F689" i="13"/>
  <c r="E690" i="13"/>
  <c r="F690" i="13"/>
  <c r="E691" i="13"/>
  <c r="F691" i="13"/>
  <c r="E692" i="13"/>
  <c r="F692" i="13"/>
  <c r="E693" i="13"/>
  <c r="F693" i="13"/>
  <c r="E694" i="13"/>
  <c r="F694" i="13"/>
  <c r="E695" i="13"/>
  <c r="F695" i="13"/>
  <c r="E696" i="13"/>
  <c r="F696" i="13"/>
  <c r="E697" i="13"/>
  <c r="F697" i="13"/>
  <c r="E698" i="13"/>
  <c r="F698" i="13"/>
  <c r="E699" i="13"/>
  <c r="F699" i="13"/>
  <c r="E700" i="13"/>
  <c r="F700" i="13"/>
  <c r="E701" i="13"/>
  <c r="F701" i="13"/>
  <c r="E702" i="13"/>
  <c r="F702" i="13"/>
  <c r="E703" i="13"/>
  <c r="F703" i="13"/>
  <c r="E704" i="13"/>
  <c r="F704" i="13"/>
  <c r="E705" i="13"/>
  <c r="F705" i="13"/>
  <c r="E706" i="13"/>
  <c r="F706" i="13"/>
  <c r="E707" i="13"/>
  <c r="F707" i="13"/>
  <c r="E708" i="13"/>
  <c r="F708" i="13"/>
  <c r="E709" i="13"/>
  <c r="F709" i="13"/>
  <c r="E710" i="13"/>
  <c r="F710" i="13"/>
  <c r="E711" i="13"/>
  <c r="F711" i="13"/>
  <c r="E712" i="13"/>
  <c r="F712" i="13"/>
  <c r="E713" i="13"/>
  <c r="F713" i="13"/>
  <c r="E714" i="13"/>
  <c r="F714" i="13"/>
  <c r="E715" i="13"/>
  <c r="F715" i="13"/>
  <c r="E716" i="13"/>
  <c r="F716" i="13"/>
  <c r="E717" i="13"/>
  <c r="F717" i="13"/>
  <c r="B165" i="14"/>
  <c r="C165" i="14"/>
  <c r="B166" i="14"/>
  <c r="C166" i="14"/>
  <c r="B167" i="14"/>
  <c r="C167" i="14"/>
  <c r="DY236" i="3"/>
  <c r="DW236" i="3"/>
  <c r="DQ107" i="3"/>
  <c r="DM107" i="3"/>
  <c r="DM236" i="3" s="1"/>
  <c r="DS107" i="3"/>
  <c r="DS236" i="3" s="1"/>
  <c r="DJ107" i="3"/>
  <c r="DJ236" i="3" s="1"/>
  <c r="DH107" i="3"/>
  <c r="DH236" i="3" s="1"/>
  <c r="DA236" i="3"/>
  <c r="CZ236" i="3"/>
  <c r="CY236" i="3"/>
  <c r="CM107" i="3"/>
  <c r="CB107" i="3"/>
  <c r="BQ107" i="3"/>
  <c r="BF107" i="3"/>
  <c r="BM107" i="3" s="1"/>
  <c r="AU107" i="3"/>
  <c r="AJ107" i="3"/>
  <c r="AG107" i="3"/>
  <c r="AB107" i="3"/>
  <c r="AB236" i="3" s="1"/>
  <c r="U107" i="3"/>
  <c r="U236" i="3" s="1"/>
  <c r="V107" i="3"/>
  <c r="V236" i="3" s="1"/>
  <c r="DC236" i="3"/>
  <c r="C107" i="3"/>
  <c r="AH532" i="1"/>
  <c r="AE532" i="1"/>
  <c r="CX107" i="3" l="1"/>
  <c r="EJ107" i="3"/>
  <c r="EO107" i="3" s="1"/>
  <c r="G114" i="11"/>
  <c r="AM110" i="8"/>
  <c r="AN156" i="8"/>
  <c r="AN110" i="8"/>
  <c r="AM156" i="8"/>
  <c r="AO156" i="8"/>
  <c r="AO110" i="8"/>
  <c r="AF532" i="1"/>
  <c r="AG532" i="1"/>
  <c r="CX236" i="3"/>
  <c r="DQ236" i="3"/>
  <c r="AM107" i="3"/>
  <c r="AM236" i="3" s="1"/>
  <c r="AJ236" i="3"/>
  <c r="BM236" i="3"/>
  <c r="BF236" i="3"/>
  <c r="CE107" i="3"/>
  <c r="CE236" i="3" s="1"/>
  <c r="CB236" i="3"/>
  <c r="BB107" i="3"/>
  <c r="BB236" i="3" s="1"/>
  <c r="AU236" i="3"/>
  <c r="BX107" i="3"/>
  <c r="BX236" i="3" s="1"/>
  <c r="BQ236" i="3"/>
  <c r="CT107" i="3"/>
  <c r="CT236" i="3" s="1"/>
  <c r="CM236" i="3"/>
  <c r="E107" i="3"/>
  <c r="E236" i="3" s="1"/>
  <c r="D532" i="1"/>
  <c r="C236" i="3"/>
  <c r="J563" i="1"/>
  <c r="EG236" i="3"/>
  <c r="CI107" i="3"/>
  <c r="CP107" i="3"/>
  <c r="AQ107" i="3"/>
  <c r="J107" i="3"/>
  <c r="J236" i="3" s="1"/>
  <c r="BI107" i="3"/>
  <c r="BI236" i="3" s="1"/>
  <c r="K107" i="3"/>
  <c r="K236" i="3" s="1"/>
  <c r="W107" i="3"/>
  <c r="BT107" i="3"/>
  <c r="BT236" i="3" s="1"/>
  <c r="DR107" i="3"/>
  <c r="DR236" i="3" s="1"/>
  <c r="AX107" i="3"/>
  <c r="AX236" i="3" s="1"/>
  <c r="D107" i="3"/>
  <c r="D236" i="3" s="1"/>
  <c r="AS532" i="1"/>
  <c r="AI532" i="1"/>
  <c r="G163" i="11" l="1"/>
  <c r="G118" i="11"/>
  <c r="AO157" i="8"/>
  <c r="AO111" i="8"/>
  <c r="AM157" i="8"/>
  <c r="AM111" i="8"/>
  <c r="AN157" i="8"/>
  <c r="AN111" i="8"/>
  <c r="AS107" i="3"/>
  <c r="AS236" i="3" s="1"/>
  <c r="AQ236" i="3"/>
  <c r="CV107" i="3"/>
  <c r="CV236" i="3" s="1"/>
  <c r="CP236" i="3"/>
  <c r="CK107" i="3"/>
  <c r="CK236" i="3" s="1"/>
  <c r="CI236" i="3"/>
  <c r="W236" i="3"/>
  <c r="X107" i="3"/>
  <c r="X236" i="3" s="1"/>
  <c r="P532" i="1"/>
  <c r="L107" i="3"/>
  <c r="L236" i="3" s="1"/>
  <c r="K532" i="1"/>
  <c r="CQ107" i="3"/>
  <c r="CQ236" i="3" s="1"/>
  <c r="AR107" i="3"/>
  <c r="AR236" i="3" s="1"/>
  <c r="BJ107" i="3"/>
  <c r="BJ236" i="3" s="1"/>
  <c r="CJ107" i="3"/>
  <c r="CJ236" i="3" s="1"/>
  <c r="AY107" i="3"/>
  <c r="AY236" i="3" s="1"/>
  <c r="BD107" i="3"/>
  <c r="BD236" i="3" s="1"/>
  <c r="BU107" i="3"/>
  <c r="BU236" i="3" s="1"/>
  <c r="BZ107" i="3"/>
  <c r="BZ236" i="3" s="1"/>
  <c r="BY107" i="3"/>
  <c r="BY236" i="3" s="1"/>
  <c r="Y107" i="3"/>
  <c r="Y236" i="3" s="1"/>
  <c r="BO107" i="3"/>
  <c r="BO236" i="3" s="1"/>
  <c r="BC107" i="3"/>
  <c r="BC236" i="3" s="1"/>
  <c r="AN107" i="3"/>
  <c r="AN236" i="3" s="1"/>
  <c r="BN107" i="3"/>
  <c r="BN236" i="3" s="1"/>
  <c r="CU107" i="3"/>
  <c r="CU236" i="3" s="1"/>
  <c r="CF107" i="3"/>
  <c r="CF236" i="3" s="1"/>
  <c r="S752" i="9"/>
  <c r="S753" i="9"/>
  <c r="J752" i="9"/>
  <c r="J753" i="9"/>
  <c r="H751" i="9"/>
  <c r="J751" i="9"/>
  <c r="S751" i="9"/>
  <c r="D745" i="9"/>
  <c r="D746" i="9"/>
  <c r="D747" i="9"/>
  <c r="D748" i="9"/>
  <c r="D749" i="9"/>
  <c r="D750" i="9"/>
  <c r="S749" i="9"/>
  <c r="S750" i="9"/>
  <c r="H749" i="9"/>
  <c r="J749" i="9"/>
  <c r="H750" i="9"/>
  <c r="J750" i="9"/>
  <c r="H753" i="9"/>
  <c r="H752" i="9"/>
  <c r="AO112" i="8" l="1"/>
  <c r="AM112" i="8"/>
  <c r="AN112" i="8"/>
  <c r="N751" i="9"/>
  <c r="Q751" i="9"/>
  <c r="Q750" i="9"/>
  <c r="AN159" i="8" l="1"/>
  <c r="AN113" i="8"/>
  <c r="AM159" i="8"/>
  <c r="AM113" i="8"/>
  <c r="AO159" i="8"/>
  <c r="AO113" i="8"/>
  <c r="A151" i="11"/>
  <c r="B151" i="11"/>
  <c r="C151" i="11"/>
  <c r="E151" i="11"/>
  <c r="F151" i="11"/>
  <c r="G151" i="11"/>
  <c r="H151" i="11"/>
  <c r="L151" i="11"/>
  <c r="M151" i="11"/>
  <c r="P151" i="11"/>
  <c r="Q151" i="11"/>
  <c r="S151" i="11"/>
  <c r="T151" i="11"/>
  <c r="V151" i="11"/>
  <c r="W151" i="11"/>
  <c r="X151" i="11"/>
  <c r="Y151" i="11"/>
  <c r="A152" i="11"/>
  <c r="B152" i="11"/>
  <c r="C152" i="11"/>
  <c r="E152" i="11"/>
  <c r="F152" i="11"/>
  <c r="G152" i="11"/>
  <c r="H152" i="11"/>
  <c r="L152" i="11"/>
  <c r="M152" i="11"/>
  <c r="P152" i="11"/>
  <c r="Q152" i="11"/>
  <c r="R152" i="11"/>
  <c r="S152" i="11"/>
  <c r="T152" i="11"/>
  <c r="X152" i="11"/>
  <c r="Y152" i="11"/>
  <c r="C153" i="11"/>
  <c r="E153" i="11"/>
  <c r="F153" i="11"/>
  <c r="G153" i="11"/>
  <c r="H153" i="11"/>
  <c r="L153" i="11"/>
  <c r="M153" i="11"/>
  <c r="P153" i="11"/>
  <c r="Q153" i="11"/>
  <c r="R153" i="11"/>
  <c r="S153" i="11"/>
  <c r="T153" i="11"/>
  <c r="V153" i="11"/>
  <c r="W153" i="11"/>
  <c r="X153" i="11"/>
  <c r="Y153" i="11"/>
  <c r="B149" i="8"/>
  <c r="C149" i="8"/>
  <c r="D149" i="8"/>
  <c r="F149" i="8"/>
  <c r="G149" i="8"/>
  <c r="I149" i="8"/>
  <c r="J149" i="8"/>
  <c r="K149" i="8"/>
  <c r="M149" i="8"/>
  <c r="N149" i="8"/>
  <c r="P149" i="8"/>
  <c r="Q149" i="8"/>
  <c r="T149" i="8"/>
  <c r="U149" i="8"/>
  <c r="V149" i="8"/>
  <c r="X149" i="8"/>
  <c r="Y149" i="8"/>
  <c r="AA149" i="8"/>
  <c r="AB149" i="8"/>
  <c r="AC149" i="8"/>
  <c r="AE149" i="8"/>
  <c r="AF149" i="8"/>
  <c r="AG149" i="8"/>
  <c r="AM149" i="8"/>
  <c r="AN149" i="8"/>
  <c r="AO149" i="8"/>
  <c r="B150" i="8"/>
  <c r="C150" i="8"/>
  <c r="D150" i="8"/>
  <c r="F150" i="8"/>
  <c r="G150" i="8"/>
  <c r="I150" i="8"/>
  <c r="J150" i="8"/>
  <c r="K150" i="8"/>
  <c r="M150" i="8"/>
  <c r="N150" i="8"/>
  <c r="P150" i="8"/>
  <c r="Q150" i="8"/>
  <c r="T150" i="8"/>
  <c r="U150" i="8"/>
  <c r="V150" i="8"/>
  <c r="X150" i="8"/>
  <c r="Y150" i="8"/>
  <c r="AA150" i="8"/>
  <c r="AB150" i="8"/>
  <c r="AC150" i="8"/>
  <c r="AE150" i="8"/>
  <c r="AF150" i="8"/>
  <c r="AG150" i="8"/>
  <c r="AM150" i="8"/>
  <c r="AO150" i="8"/>
  <c r="B151" i="8"/>
  <c r="C151" i="8"/>
  <c r="D151" i="8"/>
  <c r="F151" i="8"/>
  <c r="G151" i="8"/>
  <c r="I151" i="8"/>
  <c r="J151" i="8"/>
  <c r="K151" i="8"/>
  <c r="M151" i="8"/>
  <c r="N151" i="8"/>
  <c r="P151" i="8"/>
  <c r="Q151" i="8"/>
  <c r="T151" i="8"/>
  <c r="U151" i="8"/>
  <c r="V151" i="8"/>
  <c r="X151" i="8"/>
  <c r="Y151" i="8"/>
  <c r="AA151" i="8"/>
  <c r="AB151" i="8"/>
  <c r="AC151" i="8"/>
  <c r="AM151" i="8"/>
  <c r="AN151" i="8"/>
  <c r="AO151" i="8"/>
  <c r="A151" i="8"/>
  <c r="A149" i="8"/>
  <c r="A150" i="8"/>
  <c r="B233" i="3"/>
  <c r="F233" i="3"/>
  <c r="G233" i="3"/>
  <c r="H233" i="3"/>
  <c r="I233" i="3"/>
  <c r="M233" i="3"/>
  <c r="N233" i="3"/>
  <c r="O233" i="3"/>
  <c r="P233" i="3"/>
  <c r="Q233" i="3"/>
  <c r="R233" i="3"/>
  <c r="S233" i="3"/>
  <c r="T233" i="3"/>
  <c r="Z233" i="3"/>
  <c r="AA233" i="3"/>
  <c r="AC233" i="3"/>
  <c r="AD233" i="3"/>
  <c r="AE233" i="3"/>
  <c r="AF233" i="3"/>
  <c r="B234" i="3"/>
  <c r="F234" i="3"/>
  <c r="G234" i="3"/>
  <c r="H234" i="3"/>
  <c r="I234" i="3"/>
  <c r="M234" i="3"/>
  <c r="N234" i="3"/>
  <c r="O234" i="3"/>
  <c r="P234" i="3"/>
  <c r="Q234" i="3"/>
  <c r="R234" i="3"/>
  <c r="S234" i="3"/>
  <c r="T234" i="3"/>
  <c r="Z234" i="3"/>
  <c r="AA234" i="3"/>
  <c r="AC234" i="3"/>
  <c r="AD234" i="3"/>
  <c r="AE234" i="3"/>
  <c r="AF234" i="3"/>
  <c r="AO114" i="8" l="1"/>
  <c r="AO160" i="8"/>
  <c r="AM114" i="8"/>
  <c r="AM160" i="8"/>
  <c r="AN114" i="8"/>
  <c r="AN160" i="8"/>
  <c r="EB235" i="3"/>
  <c r="DY235" i="3"/>
  <c r="DW235" i="3"/>
  <c r="DQ106" i="3"/>
  <c r="DM106" i="3"/>
  <c r="DM235" i="3" s="1"/>
  <c r="DS106" i="3"/>
  <c r="DS235" i="3" s="1"/>
  <c r="DJ106" i="3"/>
  <c r="DJ235" i="3" s="1"/>
  <c r="DH106" i="3"/>
  <c r="DH235" i="3" s="1"/>
  <c r="DB235" i="3"/>
  <c r="DA235" i="3"/>
  <c r="CZ235" i="3"/>
  <c r="CY235" i="3"/>
  <c r="CM106" i="3"/>
  <c r="CB106" i="3"/>
  <c r="BQ106" i="3"/>
  <c r="BF106" i="3"/>
  <c r="BM106" i="3" s="1"/>
  <c r="AU106" i="3"/>
  <c r="AJ106" i="3"/>
  <c r="AG106" i="3"/>
  <c r="AB106" i="3"/>
  <c r="AB235" i="3" s="1"/>
  <c r="U106" i="3"/>
  <c r="U235" i="3" s="1"/>
  <c r="V106" i="3"/>
  <c r="V235" i="3" s="1"/>
  <c r="DC235" i="3"/>
  <c r="C106" i="3"/>
  <c r="CX106" i="3" l="1"/>
  <c r="AM115" i="8"/>
  <c r="AM161" i="8"/>
  <c r="AN115" i="8"/>
  <c r="AN162" i="8" s="1"/>
  <c r="AN161" i="8"/>
  <c r="AO115" i="8"/>
  <c r="AO161" i="8"/>
  <c r="CX235" i="3"/>
  <c r="EJ106" i="3"/>
  <c r="EO106" i="3" s="1"/>
  <c r="DQ235" i="3"/>
  <c r="BI106" i="3"/>
  <c r="BI235" i="3" s="1"/>
  <c r="BF235" i="3"/>
  <c r="CT106" i="3"/>
  <c r="CT235" i="3" s="1"/>
  <c r="CM235" i="3"/>
  <c r="CI106" i="3"/>
  <c r="CI235" i="3" s="1"/>
  <c r="CB235" i="3"/>
  <c r="AQ106" i="3"/>
  <c r="AQ235" i="3" s="1"/>
  <c r="AJ235" i="3"/>
  <c r="BX106" i="3"/>
  <c r="BX235" i="3" s="1"/>
  <c r="BQ235" i="3"/>
  <c r="AX106" i="3"/>
  <c r="AX235" i="3" s="1"/>
  <c r="AU235" i="3"/>
  <c r="C235" i="3"/>
  <c r="D531" i="1"/>
  <c r="C531" i="1" s="1"/>
  <c r="BT106" i="3"/>
  <c r="DR106" i="3"/>
  <c r="DR235" i="3" s="1"/>
  <c r="EG235" i="3"/>
  <c r="AM106" i="3"/>
  <c r="AM235" i="3" s="1"/>
  <c r="CE106" i="3"/>
  <c r="CE235" i="3" s="1"/>
  <c r="D106" i="3"/>
  <c r="D235" i="3" s="1"/>
  <c r="E106" i="3"/>
  <c r="E235" i="3" s="1"/>
  <c r="J106" i="3"/>
  <c r="J235" i="3" s="1"/>
  <c r="BB106" i="3"/>
  <c r="BB235" i="3" s="1"/>
  <c r="K106" i="3"/>
  <c r="K235" i="3" s="1"/>
  <c r="W106" i="3"/>
  <c r="CP106" i="3"/>
  <c r="CP235" i="3" s="1"/>
  <c r="H745" i="9"/>
  <c r="J745" i="9"/>
  <c r="H746" i="9"/>
  <c r="J746" i="9"/>
  <c r="H747" i="9"/>
  <c r="J747" i="9"/>
  <c r="H748" i="9"/>
  <c r="J748" i="9"/>
  <c r="S745" i="9"/>
  <c r="S746" i="9"/>
  <c r="S747" i="9"/>
  <c r="S748" i="9"/>
  <c r="AM162" i="8" l="1"/>
  <c r="AO116" i="8"/>
  <c r="AO162" i="8"/>
  <c r="AN116" i="8"/>
  <c r="AM116" i="8"/>
  <c r="BZ106" i="3"/>
  <c r="BZ235" i="3" s="1"/>
  <c r="BT235" i="3"/>
  <c r="BO106" i="3"/>
  <c r="BO235" i="3" s="1"/>
  <c r="BM235" i="3"/>
  <c r="W235" i="3"/>
  <c r="BU106" i="3"/>
  <c r="BU235" i="3" s="1"/>
  <c r="BN106" i="3"/>
  <c r="BN235" i="3" s="1"/>
  <c r="P531" i="1"/>
  <c r="L106" i="3"/>
  <c r="L235" i="3" s="1"/>
  <c r="K531" i="1"/>
  <c r="Q749" i="9"/>
  <c r="CQ106" i="3"/>
  <c r="CQ235" i="3" s="1"/>
  <c r="CV106" i="3"/>
  <c r="CV235" i="3" s="1"/>
  <c r="CF106" i="3"/>
  <c r="CF235" i="3" s="1"/>
  <c r="Y106" i="3"/>
  <c r="Y235" i="3" s="1"/>
  <c r="CU106" i="3"/>
  <c r="CU235" i="3" s="1"/>
  <c r="X106" i="3"/>
  <c r="X235" i="3" s="1"/>
  <c r="AN106" i="3"/>
  <c r="AN235" i="3" s="1"/>
  <c r="AS106" i="3"/>
  <c r="AS235" i="3" s="1"/>
  <c r="BY106" i="3"/>
  <c r="BY235" i="3" s="1"/>
  <c r="CK106" i="3"/>
  <c r="CK235" i="3" s="1"/>
  <c r="BD106" i="3"/>
  <c r="BD235" i="3" s="1"/>
  <c r="BC106" i="3"/>
  <c r="BC235" i="3" s="1"/>
  <c r="CJ106" i="3"/>
  <c r="CJ235" i="3" s="1"/>
  <c r="BJ106" i="3"/>
  <c r="BJ235" i="3" s="1"/>
  <c r="AY106" i="3"/>
  <c r="AY235" i="3" s="1"/>
  <c r="AR106" i="3"/>
  <c r="AR235" i="3" s="1"/>
  <c r="Q746" i="9"/>
  <c r="Q748" i="9"/>
  <c r="Q747" i="9"/>
  <c r="AN117" i="8" l="1"/>
  <c r="AN163" i="8"/>
  <c r="AM117" i="8"/>
  <c r="AM163" i="8"/>
  <c r="AO117" i="8"/>
  <c r="AO163" i="8"/>
  <c r="AH531" i="1"/>
  <c r="AI531" i="1"/>
  <c r="AE531" i="1"/>
  <c r="S530" i="1"/>
  <c r="EB234" i="3"/>
  <c r="DY234" i="3"/>
  <c r="DW234" i="3"/>
  <c r="DQ105" i="3"/>
  <c r="DM105" i="3"/>
  <c r="DM234" i="3" s="1"/>
  <c r="DS105" i="3"/>
  <c r="DS234" i="3" s="1"/>
  <c r="DJ105" i="3"/>
  <c r="DJ234" i="3" s="1"/>
  <c r="DH105" i="3"/>
  <c r="DH234" i="3" s="1"/>
  <c r="DB234" i="3"/>
  <c r="DA234" i="3"/>
  <c r="CZ234" i="3"/>
  <c r="CY234" i="3"/>
  <c r="CM105" i="3"/>
  <c r="CB105" i="3"/>
  <c r="BQ105" i="3"/>
  <c r="BF105" i="3"/>
  <c r="BM105" i="3" s="1"/>
  <c r="AU105" i="3"/>
  <c r="AJ105" i="3"/>
  <c r="AG105" i="3"/>
  <c r="AB105" i="3"/>
  <c r="U105" i="3"/>
  <c r="V105" i="3"/>
  <c r="DC234" i="3"/>
  <c r="C105" i="3"/>
  <c r="CX105" i="3" l="1"/>
  <c r="EJ105" i="3"/>
  <c r="EO105" i="3" s="1"/>
  <c r="AM118" i="8"/>
  <c r="AO118" i="8"/>
  <c r="AN118" i="8"/>
  <c r="R530" i="1"/>
  <c r="T530" i="1" s="1"/>
  <c r="AG531" i="1"/>
  <c r="AF531" i="1"/>
  <c r="CX234" i="3"/>
  <c r="DQ234" i="3"/>
  <c r="BB105" i="3"/>
  <c r="BB234" i="3" s="1"/>
  <c r="AU234" i="3"/>
  <c r="BI105" i="3"/>
  <c r="BI234" i="3" s="1"/>
  <c r="BF234" i="3"/>
  <c r="BX105" i="3"/>
  <c r="BX234" i="3" s="1"/>
  <c r="BQ234" i="3"/>
  <c r="CI105" i="3"/>
  <c r="CI234" i="3" s="1"/>
  <c r="CB234" i="3"/>
  <c r="AQ105" i="3"/>
  <c r="AQ234" i="3" s="1"/>
  <c r="AJ234" i="3"/>
  <c r="CT105" i="3"/>
  <c r="CT234" i="3" s="1"/>
  <c r="CM234" i="3"/>
  <c r="D530" i="1"/>
  <c r="C234" i="3"/>
  <c r="V234" i="3"/>
  <c r="U234" i="3"/>
  <c r="AB234" i="3"/>
  <c r="DR105" i="3"/>
  <c r="DR234" i="3" s="1"/>
  <c r="AX105" i="3"/>
  <c r="AX234" i="3" s="1"/>
  <c r="BT105" i="3"/>
  <c r="CE105" i="3"/>
  <c r="CE234" i="3" s="1"/>
  <c r="EG234" i="3"/>
  <c r="AM105" i="3"/>
  <c r="CP105" i="3"/>
  <c r="J105" i="3"/>
  <c r="D105" i="3"/>
  <c r="K105" i="3"/>
  <c r="W105" i="3"/>
  <c r="E105" i="3"/>
  <c r="AN165" i="8" l="1"/>
  <c r="AN119" i="8"/>
  <c r="AO165" i="8"/>
  <c r="AO119" i="8"/>
  <c r="AM165" i="8"/>
  <c r="AM119" i="8"/>
  <c r="CV105" i="3"/>
  <c r="CV234" i="3" s="1"/>
  <c r="CP234" i="3"/>
  <c r="AS105" i="3"/>
  <c r="AS234" i="3" s="1"/>
  <c r="AM234" i="3"/>
  <c r="BO105" i="3"/>
  <c r="BO234" i="3" s="1"/>
  <c r="BM234" i="3"/>
  <c r="BZ105" i="3"/>
  <c r="BZ234" i="3" s="1"/>
  <c r="BT234" i="3"/>
  <c r="E234" i="3"/>
  <c r="W234" i="3"/>
  <c r="L105" i="3"/>
  <c r="L234" i="3" s="1"/>
  <c r="K234" i="3"/>
  <c r="D234" i="3"/>
  <c r="BJ105" i="3"/>
  <c r="BJ234" i="3" s="1"/>
  <c r="J234" i="3"/>
  <c r="CF105" i="3"/>
  <c r="CF234" i="3" s="1"/>
  <c r="CK105" i="3"/>
  <c r="CK234" i="3" s="1"/>
  <c r="AN105" i="3"/>
  <c r="AN234" i="3" s="1"/>
  <c r="BU105" i="3"/>
  <c r="BU234" i="3" s="1"/>
  <c r="AY105" i="3"/>
  <c r="AY234" i="3" s="1"/>
  <c r="CJ105" i="3"/>
  <c r="CJ234" i="3" s="1"/>
  <c r="CQ105" i="3"/>
  <c r="CQ234" i="3" s="1"/>
  <c r="BD105" i="3"/>
  <c r="BD234" i="3" s="1"/>
  <c r="K530" i="1"/>
  <c r="Y105" i="3"/>
  <c r="BN105" i="3"/>
  <c r="BN234" i="3" s="1"/>
  <c r="BY105" i="3"/>
  <c r="BY234" i="3" s="1"/>
  <c r="X105" i="3"/>
  <c r="P530" i="1"/>
  <c r="AR105" i="3"/>
  <c r="AR234" i="3" s="1"/>
  <c r="CU105" i="3"/>
  <c r="CU234" i="3" s="1"/>
  <c r="BC105" i="3"/>
  <c r="BC234" i="3" s="1"/>
  <c r="X234" i="3" l="1"/>
  <c r="Y234" i="3"/>
  <c r="S739" i="9"/>
  <c r="S740" i="9"/>
  <c r="S741" i="9"/>
  <c r="S742" i="9"/>
  <c r="S743" i="9"/>
  <c r="S744" i="9"/>
  <c r="H739" i="9"/>
  <c r="J739" i="9"/>
  <c r="H740" i="9"/>
  <c r="J740" i="9"/>
  <c r="H741" i="9"/>
  <c r="J741" i="9"/>
  <c r="H742" i="9"/>
  <c r="J742" i="9"/>
  <c r="H743" i="9"/>
  <c r="J743" i="9"/>
  <c r="H744" i="9"/>
  <c r="J744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D743" i="9"/>
  <c r="D744" i="9"/>
  <c r="Q745" i="9" l="1"/>
  <c r="Q744" i="9"/>
  <c r="BH522" i="1" l="1"/>
  <c r="BI522" i="1"/>
  <c r="BH523" i="1"/>
  <c r="BI523" i="1"/>
  <c r="BH524" i="1"/>
  <c r="BI524" i="1"/>
  <c r="BH525" i="1"/>
  <c r="BI525" i="1"/>
  <c r="BH526" i="1"/>
  <c r="BI526" i="1"/>
  <c r="BH527" i="1"/>
  <c r="BI527" i="1"/>
  <c r="BH528" i="1"/>
  <c r="BI528" i="1"/>
  <c r="BH529" i="1"/>
  <c r="BI529" i="1"/>
  <c r="BF522" i="1"/>
  <c r="BG522" i="1" s="1"/>
  <c r="BF523" i="1"/>
  <c r="BG523" i="1" s="1"/>
  <c r="BF524" i="1"/>
  <c r="BG524" i="1" s="1"/>
  <c r="BF525" i="1"/>
  <c r="BG525" i="1" s="1"/>
  <c r="BF526" i="1"/>
  <c r="BG526" i="1" s="1"/>
  <c r="BF527" i="1"/>
  <c r="BG527" i="1" s="1"/>
  <c r="BF528" i="1"/>
  <c r="BG528" i="1" s="1"/>
  <c r="BF529" i="1"/>
  <c r="BG529" i="1" s="1"/>
  <c r="AE530" i="1"/>
  <c r="AH530" i="1"/>
  <c r="AI530" i="1"/>
  <c r="S529" i="1"/>
  <c r="AG530" i="1" l="1"/>
  <c r="AF530" i="1"/>
  <c r="R529" i="1"/>
  <c r="D740" i="9"/>
  <c r="D741" i="9"/>
  <c r="D742" i="9"/>
  <c r="D739" i="9"/>
  <c r="G742" i="9"/>
  <c r="Q742" i="9" l="1"/>
  <c r="Q743" i="9"/>
  <c r="N743" i="9" l="1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5" i="3"/>
  <c r="AB42" i="3"/>
  <c r="AD216" i="3"/>
  <c r="AE216" i="3"/>
  <c r="AF216" i="3"/>
  <c r="AC217" i="3"/>
  <c r="AD217" i="3"/>
  <c r="AE217" i="3"/>
  <c r="AF217" i="3"/>
  <c r="AC218" i="3"/>
  <c r="AD218" i="3"/>
  <c r="AE218" i="3"/>
  <c r="AF218" i="3"/>
  <c r="AC219" i="3"/>
  <c r="AD219" i="3"/>
  <c r="AE219" i="3"/>
  <c r="AF219" i="3"/>
  <c r="AC220" i="3"/>
  <c r="AD220" i="3"/>
  <c r="AE220" i="3"/>
  <c r="AF220" i="3"/>
  <c r="AC221" i="3"/>
  <c r="AD221" i="3"/>
  <c r="AE221" i="3"/>
  <c r="AF221" i="3"/>
  <c r="AC222" i="3"/>
  <c r="AD222" i="3"/>
  <c r="AE222" i="3"/>
  <c r="AF222" i="3"/>
  <c r="AC223" i="3"/>
  <c r="AD223" i="3"/>
  <c r="AE223" i="3"/>
  <c r="AF223" i="3"/>
  <c r="AC224" i="3"/>
  <c r="AD224" i="3"/>
  <c r="AE224" i="3"/>
  <c r="AF224" i="3"/>
  <c r="AD225" i="3"/>
  <c r="AE225" i="3"/>
  <c r="AF225" i="3"/>
  <c r="AD226" i="3"/>
  <c r="AE226" i="3"/>
  <c r="AF226" i="3"/>
  <c r="AD227" i="3"/>
  <c r="AE227" i="3"/>
  <c r="AF227" i="3"/>
  <c r="AD228" i="3"/>
  <c r="AE228" i="3"/>
  <c r="AF228" i="3"/>
  <c r="AD229" i="3"/>
  <c r="AE229" i="3"/>
  <c r="AF229" i="3"/>
  <c r="AD230" i="3"/>
  <c r="AE230" i="3"/>
  <c r="AF230" i="3"/>
  <c r="AD231" i="3"/>
  <c r="AE231" i="3"/>
  <c r="AF231" i="3"/>
  <c r="AD232" i="3"/>
  <c r="AE232" i="3"/>
  <c r="AF232" i="3"/>
  <c r="V150" i="11"/>
  <c r="W150" i="11"/>
  <c r="X150" i="11"/>
  <c r="Y150" i="11"/>
  <c r="Z150" i="11"/>
  <c r="P150" i="11"/>
  <c r="Q150" i="11"/>
  <c r="S150" i="11"/>
  <c r="T150" i="11"/>
  <c r="L150" i="11"/>
  <c r="M150" i="11"/>
  <c r="E150" i="11"/>
  <c r="F150" i="11"/>
  <c r="G150" i="11"/>
  <c r="H150" i="11"/>
  <c r="A150" i="11"/>
  <c r="B150" i="11"/>
  <c r="C150" i="11"/>
  <c r="AM148" i="8"/>
  <c r="AN148" i="8"/>
  <c r="AO148" i="8"/>
  <c r="AI148" i="8"/>
  <c r="AJ148" i="8"/>
  <c r="AE148" i="8"/>
  <c r="AF148" i="8"/>
  <c r="AA148" i="8"/>
  <c r="AB148" i="8"/>
  <c r="AC148" i="8"/>
  <c r="X148" i="8"/>
  <c r="Y148" i="8"/>
  <c r="T148" i="8"/>
  <c r="U148" i="8"/>
  <c r="V148" i="8"/>
  <c r="P148" i="8"/>
  <c r="Q148" i="8"/>
  <c r="M148" i="8"/>
  <c r="N148" i="8"/>
  <c r="I148" i="8"/>
  <c r="J148" i="8"/>
  <c r="K148" i="8"/>
  <c r="F148" i="8"/>
  <c r="G148" i="8"/>
  <c r="A148" i="8"/>
  <c r="B148" i="8"/>
  <c r="C148" i="8"/>
  <c r="D148" i="8"/>
  <c r="EB233" i="3"/>
  <c r="DY233" i="3"/>
  <c r="DW233" i="3"/>
  <c r="DQ104" i="3"/>
  <c r="DS104" i="3"/>
  <c r="DS233" i="3" s="1"/>
  <c r="DM104" i="3"/>
  <c r="DM233" i="3" s="1"/>
  <c r="DJ104" i="3"/>
  <c r="DJ233" i="3" s="1"/>
  <c r="DH104" i="3"/>
  <c r="DH233" i="3" s="1"/>
  <c r="CY233" i="3"/>
  <c r="CZ233" i="3"/>
  <c r="DA233" i="3"/>
  <c r="DB233" i="3"/>
  <c r="DC233" i="3"/>
  <c r="CM104" i="3"/>
  <c r="CB104" i="3"/>
  <c r="BQ104" i="3"/>
  <c r="BF104" i="3"/>
  <c r="AU104" i="3"/>
  <c r="AJ104" i="3"/>
  <c r="AB104" i="3"/>
  <c r="AB233" i="3" s="1"/>
  <c r="U104" i="3"/>
  <c r="U233" i="3" s="1"/>
  <c r="V104" i="3"/>
  <c r="C104" i="3"/>
  <c r="DE232" i="3"/>
  <c r="DF232" i="3"/>
  <c r="DG232" i="3"/>
  <c r="DI232" i="3"/>
  <c r="DK232" i="3"/>
  <c r="DL232" i="3"/>
  <c r="DN232" i="3"/>
  <c r="DO232" i="3"/>
  <c r="DP232" i="3"/>
  <c r="DT232" i="3"/>
  <c r="DU232" i="3"/>
  <c r="DV232" i="3"/>
  <c r="DX232" i="3"/>
  <c r="DZ232" i="3"/>
  <c r="EA232" i="3"/>
  <c r="EC232" i="3"/>
  <c r="EE232" i="3"/>
  <c r="AI232" i="3"/>
  <c r="AK232" i="3"/>
  <c r="AL232" i="3"/>
  <c r="AO232" i="3"/>
  <c r="AP232" i="3"/>
  <c r="AT232" i="3"/>
  <c r="AV232" i="3"/>
  <c r="AW232" i="3"/>
  <c r="AZ232" i="3"/>
  <c r="BA232" i="3"/>
  <c r="BE232" i="3"/>
  <c r="BG232" i="3"/>
  <c r="BH232" i="3"/>
  <c r="BK232" i="3"/>
  <c r="BL232" i="3"/>
  <c r="BP232" i="3"/>
  <c r="BR232" i="3"/>
  <c r="BS232" i="3"/>
  <c r="BV232" i="3"/>
  <c r="BW232" i="3"/>
  <c r="CA232" i="3"/>
  <c r="CC232" i="3"/>
  <c r="CD232" i="3"/>
  <c r="CG232" i="3"/>
  <c r="CH232" i="3"/>
  <c r="CL232" i="3"/>
  <c r="CN232" i="3"/>
  <c r="CO232" i="3"/>
  <c r="CR232" i="3"/>
  <c r="CS232" i="3"/>
  <c r="B232" i="3"/>
  <c r="F232" i="3"/>
  <c r="G232" i="3"/>
  <c r="H232" i="3"/>
  <c r="I232" i="3"/>
  <c r="M232" i="3"/>
  <c r="N232" i="3"/>
  <c r="O232" i="3"/>
  <c r="P232" i="3"/>
  <c r="Q232" i="3"/>
  <c r="R232" i="3"/>
  <c r="S232" i="3"/>
  <c r="T232" i="3"/>
  <c r="Z232" i="3"/>
  <c r="AA232" i="3"/>
  <c r="CX104" i="3" l="1"/>
  <c r="EJ104" i="3"/>
  <c r="EO104" i="3" s="1"/>
  <c r="CX233" i="3"/>
  <c r="DQ233" i="3"/>
  <c r="BT104" i="3"/>
  <c r="BT233" i="3" s="1"/>
  <c r="BQ233" i="3"/>
  <c r="BI104" i="3"/>
  <c r="BI233" i="3" s="1"/>
  <c r="BF233" i="3"/>
  <c r="CT104" i="3"/>
  <c r="CT233" i="3" s="1"/>
  <c r="CM233" i="3"/>
  <c r="CI104" i="3"/>
  <c r="CI233" i="3" s="1"/>
  <c r="CB233" i="3"/>
  <c r="AQ104" i="3"/>
  <c r="AQ233" i="3" s="1"/>
  <c r="AJ233" i="3"/>
  <c r="AX104" i="3"/>
  <c r="AX233" i="3" s="1"/>
  <c r="AU233" i="3"/>
  <c r="C233" i="3"/>
  <c r="D529" i="1"/>
  <c r="C529" i="1" s="1"/>
  <c r="T529" i="1"/>
  <c r="V233" i="3"/>
  <c r="Q752" i="9"/>
  <c r="BB104" i="3"/>
  <c r="BM104" i="3"/>
  <c r="E104" i="3"/>
  <c r="DR104" i="3"/>
  <c r="DR233" i="3" s="1"/>
  <c r="N746" i="9"/>
  <c r="N747" i="9"/>
  <c r="D104" i="3"/>
  <c r="D233" i="3" s="1"/>
  <c r="K104" i="3"/>
  <c r="J104" i="3"/>
  <c r="EG233" i="3"/>
  <c r="BX104" i="3"/>
  <c r="BX233" i="3" s="1"/>
  <c r="W104" i="3"/>
  <c r="CP104" i="3"/>
  <c r="CP233" i="3" s="1"/>
  <c r="AM104" i="3"/>
  <c r="CE104" i="3"/>
  <c r="CE233" i="3" s="1"/>
  <c r="E233" i="3" l="1"/>
  <c r="AS104" i="3"/>
  <c r="AS233" i="3" s="1"/>
  <c r="AM233" i="3"/>
  <c r="BO104" i="3"/>
  <c r="BO233" i="3" s="1"/>
  <c r="BM233" i="3"/>
  <c r="BD104" i="3"/>
  <c r="BD233" i="3" s="1"/>
  <c r="BB233" i="3"/>
  <c r="W233" i="3"/>
  <c r="K529" i="1"/>
  <c r="K233" i="3"/>
  <c r="AY104" i="3"/>
  <c r="AY233" i="3" s="1"/>
  <c r="J233" i="3"/>
  <c r="Q753" i="9"/>
  <c r="CJ104" i="3"/>
  <c r="CJ233" i="3" s="1"/>
  <c r="CF104" i="3"/>
  <c r="CF233" i="3" s="1"/>
  <c r="CQ104" i="3"/>
  <c r="CQ233" i="3" s="1"/>
  <c r="BY104" i="3"/>
  <c r="BY233" i="3" s="1"/>
  <c r="CK104" i="3"/>
  <c r="CK233" i="3" s="1"/>
  <c r="BN104" i="3"/>
  <c r="BN233" i="3" s="1"/>
  <c r="L104" i="3"/>
  <c r="L233" i="3" s="1"/>
  <c r="BC104" i="3"/>
  <c r="BC233" i="3" s="1"/>
  <c r="P529" i="1"/>
  <c r="X104" i="3"/>
  <c r="X233" i="3" s="1"/>
  <c r="Y104" i="3"/>
  <c r="Y233" i="3" s="1"/>
  <c r="BU104" i="3"/>
  <c r="BU233" i="3" s="1"/>
  <c r="CU104" i="3"/>
  <c r="CU233" i="3" s="1"/>
  <c r="CV104" i="3"/>
  <c r="CV233" i="3" s="1"/>
  <c r="BZ104" i="3"/>
  <c r="BZ233" i="3" s="1"/>
  <c r="BJ104" i="3"/>
  <c r="BJ233" i="3" s="1"/>
  <c r="AN104" i="3"/>
  <c r="AN233" i="3" s="1"/>
  <c r="AR104" i="3"/>
  <c r="AR233" i="3" s="1"/>
  <c r="AE529" i="1"/>
  <c r="AH529" i="1"/>
  <c r="AI529" i="1"/>
  <c r="S528" i="1"/>
  <c r="R528" i="1" s="1"/>
  <c r="AG529" i="1" l="1"/>
  <c r="AF529" i="1"/>
  <c r="N752" i="9"/>
  <c r="Q740" i="9"/>
  <c r="Q741" i="9"/>
  <c r="N742" i="9"/>
  <c r="B2" i="14"/>
  <c r="C2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98" i="14"/>
  <c r="C98" i="14"/>
  <c r="B99" i="14"/>
  <c r="C99" i="14"/>
  <c r="B100" i="14"/>
  <c r="C100" i="14"/>
  <c r="B101" i="14"/>
  <c r="C101" i="14"/>
  <c r="B102" i="14"/>
  <c r="C102" i="14"/>
  <c r="B103" i="14"/>
  <c r="C103" i="14"/>
  <c r="B104" i="14"/>
  <c r="C104" i="14"/>
  <c r="B105" i="14"/>
  <c r="C105" i="14"/>
  <c r="B106" i="14"/>
  <c r="C106" i="14"/>
  <c r="B107" i="14"/>
  <c r="C107" i="14"/>
  <c r="B108" i="14"/>
  <c r="C108" i="14"/>
  <c r="B109" i="14"/>
  <c r="C109" i="14"/>
  <c r="B110" i="14"/>
  <c r="C110" i="14"/>
  <c r="B111" i="14"/>
  <c r="C111" i="14"/>
  <c r="B112" i="14"/>
  <c r="C112" i="14"/>
  <c r="B113" i="14"/>
  <c r="C113" i="14"/>
  <c r="B114" i="14"/>
  <c r="C114" i="14"/>
  <c r="B115" i="14"/>
  <c r="C115" i="14"/>
  <c r="B116" i="14"/>
  <c r="C116" i="14"/>
  <c r="B117" i="14"/>
  <c r="C117" i="14"/>
  <c r="B118" i="14"/>
  <c r="C118" i="14"/>
  <c r="B119" i="14"/>
  <c r="C119" i="14"/>
  <c r="B120" i="14"/>
  <c r="C120" i="14"/>
  <c r="B121" i="14"/>
  <c r="C121" i="14"/>
  <c r="B122" i="14"/>
  <c r="C122" i="14"/>
  <c r="B123" i="14"/>
  <c r="C123" i="14"/>
  <c r="B124" i="14"/>
  <c r="C124" i="14"/>
  <c r="B125" i="14"/>
  <c r="C125" i="14"/>
  <c r="B126" i="14"/>
  <c r="C126" i="14"/>
  <c r="B127" i="14"/>
  <c r="C127" i="14"/>
  <c r="B128" i="14"/>
  <c r="C128" i="14"/>
  <c r="B129" i="14"/>
  <c r="C129" i="14"/>
  <c r="B130" i="14"/>
  <c r="C130" i="14"/>
  <c r="B131" i="14"/>
  <c r="C131" i="14"/>
  <c r="B132" i="14"/>
  <c r="C132" i="14"/>
  <c r="B133" i="14"/>
  <c r="C133" i="14"/>
  <c r="B134" i="14"/>
  <c r="C134" i="14"/>
  <c r="B135" i="14"/>
  <c r="C135" i="14"/>
  <c r="B136" i="14"/>
  <c r="C136" i="14"/>
  <c r="B137" i="14"/>
  <c r="C137" i="14"/>
  <c r="B138" i="14"/>
  <c r="C138" i="14"/>
  <c r="B139" i="14"/>
  <c r="C139" i="14"/>
  <c r="B140" i="14"/>
  <c r="C140" i="14"/>
  <c r="B141" i="14"/>
  <c r="C141" i="14"/>
  <c r="B142" i="14"/>
  <c r="C142" i="14"/>
  <c r="B143" i="14"/>
  <c r="C143" i="14"/>
  <c r="B144" i="14"/>
  <c r="C144" i="14"/>
  <c r="B145" i="14"/>
  <c r="C145" i="14"/>
  <c r="B146" i="14"/>
  <c r="C146" i="14"/>
  <c r="B147" i="14"/>
  <c r="C147" i="14"/>
  <c r="B148" i="14"/>
  <c r="C148" i="14"/>
  <c r="B149" i="14"/>
  <c r="C149" i="14"/>
  <c r="B150" i="14"/>
  <c r="C150" i="14"/>
  <c r="B151" i="14"/>
  <c r="C151" i="14"/>
  <c r="B152" i="14"/>
  <c r="C152" i="14"/>
  <c r="B153" i="14"/>
  <c r="C153" i="14"/>
  <c r="B154" i="14"/>
  <c r="C154" i="14"/>
  <c r="B155" i="14"/>
  <c r="C155" i="14"/>
  <c r="B156" i="14"/>
  <c r="C156" i="14"/>
  <c r="B157" i="14"/>
  <c r="C157" i="14"/>
  <c r="B158" i="14"/>
  <c r="C158" i="14"/>
  <c r="B159" i="14"/>
  <c r="C159" i="14"/>
  <c r="B160" i="14"/>
  <c r="C160" i="14"/>
  <c r="B161" i="14"/>
  <c r="C161" i="14"/>
  <c r="B162" i="14"/>
  <c r="C162" i="14"/>
  <c r="B163" i="14"/>
  <c r="C163" i="14"/>
  <c r="B164" i="14"/>
  <c r="C164" i="14"/>
  <c r="B2" i="13"/>
  <c r="C2" i="13"/>
  <c r="P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Q20" i="13"/>
  <c r="P21" i="13"/>
  <c r="Q21" i="13"/>
  <c r="P22" i="13"/>
  <c r="Q22" i="13"/>
  <c r="P23" i="13"/>
  <c r="Q23" i="13"/>
  <c r="P24" i="13"/>
  <c r="Q24" i="13"/>
  <c r="P25" i="13"/>
  <c r="Q25" i="13"/>
  <c r="P26" i="13"/>
  <c r="Q26" i="13"/>
  <c r="P27" i="13"/>
  <c r="Q27" i="13"/>
  <c r="P28" i="13"/>
  <c r="Q28" i="13"/>
  <c r="P29" i="13"/>
  <c r="Q29" i="13"/>
  <c r="P30" i="13"/>
  <c r="Q30" i="13"/>
  <c r="P31" i="13"/>
  <c r="Q31" i="13"/>
  <c r="P32" i="13"/>
  <c r="Q32" i="13"/>
  <c r="P33" i="13"/>
  <c r="Q33" i="13"/>
  <c r="P34" i="13"/>
  <c r="Q34" i="13"/>
  <c r="P35" i="13"/>
  <c r="Q35" i="13"/>
  <c r="P36" i="13"/>
  <c r="Q36" i="13"/>
  <c r="P37" i="13"/>
  <c r="Q37" i="13"/>
  <c r="P38" i="13"/>
  <c r="Q38" i="13"/>
  <c r="P39" i="13"/>
  <c r="Q39" i="13"/>
  <c r="P40" i="13"/>
  <c r="Q40" i="13"/>
  <c r="D41" i="13"/>
  <c r="P41" i="13" s="1"/>
  <c r="Q41" i="13"/>
  <c r="P42" i="13"/>
  <c r="Q42" i="13"/>
  <c r="P43" i="13"/>
  <c r="Q43" i="13"/>
  <c r="P44" i="13"/>
  <c r="Q44" i="13"/>
  <c r="P45" i="13"/>
  <c r="Q45" i="13"/>
  <c r="P46" i="13"/>
  <c r="Q46" i="13"/>
  <c r="P47" i="13"/>
  <c r="Q47" i="13"/>
  <c r="P48" i="13"/>
  <c r="Q48" i="13"/>
  <c r="P49" i="13"/>
  <c r="Q49" i="13"/>
  <c r="P50" i="13"/>
  <c r="Q50" i="13"/>
  <c r="P51" i="13"/>
  <c r="Q51" i="13"/>
  <c r="P52" i="13"/>
  <c r="Q52" i="13"/>
  <c r="P53" i="13"/>
  <c r="Q53" i="13"/>
  <c r="P54" i="13"/>
  <c r="Q54" i="13"/>
  <c r="P55" i="13"/>
  <c r="Q55" i="13"/>
  <c r="P56" i="13"/>
  <c r="Q56" i="13"/>
  <c r="P57" i="13"/>
  <c r="Q57" i="13"/>
  <c r="P58" i="13"/>
  <c r="Q58" i="13"/>
  <c r="P59" i="13"/>
  <c r="Q59" i="13"/>
  <c r="P60" i="13"/>
  <c r="Q60" i="13"/>
  <c r="P61" i="13"/>
  <c r="Q61" i="13"/>
  <c r="P62" i="13"/>
  <c r="Q62" i="13"/>
  <c r="P63" i="13"/>
  <c r="Q63" i="13"/>
  <c r="P64" i="13"/>
  <c r="Q64" i="13"/>
  <c r="P65" i="13"/>
  <c r="Q65" i="13"/>
  <c r="P66" i="13"/>
  <c r="Q66" i="13"/>
  <c r="P67" i="13"/>
  <c r="Q67" i="13"/>
  <c r="P68" i="13"/>
  <c r="Q68" i="13"/>
  <c r="P69" i="13"/>
  <c r="Q69" i="13"/>
  <c r="P70" i="13"/>
  <c r="Q70" i="13"/>
  <c r="P71" i="13"/>
  <c r="Q71" i="13"/>
  <c r="P72" i="13"/>
  <c r="Q72" i="13"/>
  <c r="P73" i="13"/>
  <c r="Q73" i="13"/>
  <c r="P74" i="13"/>
  <c r="Q74" i="13"/>
  <c r="P75" i="13"/>
  <c r="Q75" i="13"/>
  <c r="P76" i="13"/>
  <c r="Q76" i="13"/>
  <c r="P77" i="13"/>
  <c r="Q77" i="13"/>
  <c r="P78" i="13"/>
  <c r="Q78" i="13"/>
  <c r="P79" i="13"/>
  <c r="Q79" i="13"/>
  <c r="P80" i="13"/>
  <c r="Q80" i="13"/>
  <c r="D81" i="13"/>
  <c r="P81" i="13" s="1"/>
  <c r="P82" i="13"/>
  <c r="Q82" i="13"/>
  <c r="P83" i="13"/>
  <c r="Q83" i="13"/>
  <c r="P84" i="13"/>
  <c r="Q84" i="13"/>
  <c r="P85" i="13"/>
  <c r="Q85" i="13"/>
  <c r="P86" i="13"/>
  <c r="Q86" i="13"/>
  <c r="P87" i="13"/>
  <c r="Q87" i="13"/>
  <c r="P88" i="13"/>
  <c r="Q88" i="13"/>
  <c r="P89" i="13"/>
  <c r="Q89" i="13"/>
  <c r="P90" i="13"/>
  <c r="Q90" i="13"/>
  <c r="D91" i="13"/>
  <c r="Q91" i="13" s="1"/>
  <c r="I91" i="13"/>
  <c r="P92" i="13"/>
  <c r="Q92" i="13"/>
  <c r="P93" i="13"/>
  <c r="Q93" i="13"/>
  <c r="I94" i="13"/>
  <c r="P94" i="13"/>
  <c r="Q94" i="13"/>
  <c r="P95" i="13"/>
  <c r="Q95" i="13"/>
  <c r="P96" i="13"/>
  <c r="Q96" i="13"/>
  <c r="P97" i="13"/>
  <c r="Q97" i="13"/>
  <c r="P98" i="13"/>
  <c r="Q98" i="13"/>
  <c r="P99" i="13"/>
  <c r="Q99" i="13"/>
  <c r="P100" i="13"/>
  <c r="Q100" i="13"/>
  <c r="P101" i="13"/>
  <c r="Q101" i="13"/>
  <c r="P102" i="13"/>
  <c r="Q102" i="13"/>
  <c r="P103" i="13"/>
  <c r="Q103" i="13"/>
  <c r="I104" i="13"/>
  <c r="P104" i="13"/>
  <c r="Q104" i="13"/>
  <c r="P105" i="13"/>
  <c r="Q105" i="13"/>
  <c r="P106" i="13"/>
  <c r="Q106" i="13"/>
  <c r="P107" i="13"/>
  <c r="Q107" i="13"/>
  <c r="I108" i="13"/>
  <c r="P108" i="13"/>
  <c r="Q108" i="13"/>
  <c r="P109" i="13"/>
  <c r="Q109" i="13"/>
  <c r="P110" i="13"/>
  <c r="Q110" i="13"/>
  <c r="P111" i="13"/>
  <c r="Q111" i="13"/>
  <c r="P112" i="13"/>
  <c r="Q112" i="13"/>
  <c r="P113" i="13"/>
  <c r="Q113" i="13"/>
  <c r="P114" i="13"/>
  <c r="Q114" i="13"/>
  <c r="P115" i="13"/>
  <c r="Q115" i="13"/>
  <c r="P116" i="13"/>
  <c r="Q116" i="13"/>
  <c r="P117" i="13"/>
  <c r="Q117" i="13"/>
  <c r="P118" i="13"/>
  <c r="Q118" i="13"/>
  <c r="P119" i="13"/>
  <c r="Q119" i="13"/>
  <c r="P120" i="13"/>
  <c r="Q120" i="13"/>
  <c r="P121" i="13"/>
  <c r="Q121" i="13"/>
  <c r="P122" i="13"/>
  <c r="Q122" i="13"/>
  <c r="P123" i="13"/>
  <c r="Q123" i="13"/>
  <c r="P124" i="13"/>
  <c r="Q124" i="13"/>
  <c r="P125" i="13"/>
  <c r="Q125" i="13"/>
  <c r="P126" i="13"/>
  <c r="Q126" i="13"/>
  <c r="P127" i="13"/>
  <c r="Q127" i="13"/>
  <c r="P128" i="13"/>
  <c r="Q128" i="13"/>
  <c r="P129" i="13"/>
  <c r="Q129" i="13"/>
  <c r="I130" i="13"/>
  <c r="P130" i="13"/>
  <c r="Q130" i="13"/>
  <c r="P131" i="13"/>
  <c r="Q131" i="13"/>
  <c r="P132" i="13"/>
  <c r="Q132" i="13"/>
  <c r="P133" i="13"/>
  <c r="Q133" i="13"/>
  <c r="P134" i="13"/>
  <c r="Q134" i="13"/>
  <c r="P135" i="13"/>
  <c r="Q135" i="13"/>
  <c r="P136" i="13"/>
  <c r="Q136" i="13"/>
  <c r="P137" i="13"/>
  <c r="Q137" i="13"/>
  <c r="P138" i="13"/>
  <c r="Q138" i="13"/>
  <c r="P139" i="13"/>
  <c r="Q139" i="13"/>
  <c r="P140" i="13"/>
  <c r="Q140" i="13"/>
  <c r="P141" i="13"/>
  <c r="Q141" i="13"/>
  <c r="P142" i="13"/>
  <c r="Q142" i="13"/>
  <c r="I143" i="13"/>
  <c r="P143" i="13"/>
  <c r="Q143" i="13"/>
  <c r="P144" i="13"/>
  <c r="Q144" i="13"/>
  <c r="P145" i="13"/>
  <c r="Q145" i="13"/>
  <c r="P146" i="13"/>
  <c r="Q146" i="13"/>
  <c r="P147" i="13"/>
  <c r="Q147" i="13"/>
  <c r="P148" i="13"/>
  <c r="Q148" i="13"/>
  <c r="P149" i="13"/>
  <c r="Q149" i="13"/>
  <c r="P150" i="13"/>
  <c r="Q150" i="13"/>
  <c r="P151" i="13"/>
  <c r="Q151" i="13"/>
  <c r="P152" i="13"/>
  <c r="Q152" i="13"/>
  <c r="P153" i="13"/>
  <c r="Q153" i="13"/>
  <c r="P154" i="13"/>
  <c r="Q154" i="13"/>
  <c r="P155" i="13"/>
  <c r="Q155" i="13"/>
  <c r="P156" i="13"/>
  <c r="Q156" i="13"/>
  <c r="P157" i="13"/>
  <c r="Q157" i="13"/>
  <c r="P158" i="13"/>
  <c r="Q158" i="13"/>
  <c r="P159" i="13"/>
  <c r="Q159" i="13"/>
  <c r="P160" i="13"/>
  <c r="Q160" i="13"/>
  <c r="P161" i="13"/>
  <c r="Q161" i="13"/>
  <c r="P162" i="13"/>
  <c r="Q162" i="13"/>
  <c r="P163" i="13"/>
  <c r="Q163" i="13"/>
  <c r="P164" i="13"/>
  <c r="Q164" i="13"/>
  <c r="P165" i="13"/>
  <c r="Q165" i="13"/>
  <c r="L166" i="13"/>
  <c r="M166" i="13"/>
  <c r="P166" i="13"/>
  <c r="Q166" i="13"/>
  <c r="D167" i="13"/>
  <c r="P167" i="13" s="1"/>
  <c r="E167" i="13"/>
  <c r="F167" i="13"/>
  <c r="L168" i="13"/>
  <c r="M168" i="13"/>
  <c r="P168" i="13"/>
  <c r="Q168" i="13"/>
  <c r="L169" i="13"/>
  <c r="M169" i="13"/>
  <c r="P169" i="13"/>
  <c r="Q169" i="13"/>
  <c r="L170" i="13"/>
  <c r="M170" i="13"/>
  <c r="P170" i="13"/>
  <c r="Q170" i="13"/>
  <c r="L171" i="13"/>
  <c r="M171" i="13"/>
  <c r="P171" i="13"/>
  <c r="Q171" i="13"/>
  <c r="L172" i="13"/>
  <c r="M172" i="13"/>
  <c r="P172" i="13"/>
  <c r="Q172" i="13"/>
  <c r="L173" i="13"/>
  <c r="M173" i="13"/>
  <c r="P173" i="13"/>
  <c r="Q173" i="13"/>
  <c r="L174" i="13"/>
  <c r="M174" i="13"/>
  <c r="P174" i="13"/>
  <c r="Q174" i="13"/>
  <c r="L175" i="13"/>
  <c r="M175" i="13"/>
  <c r="P175" i="13"/>
  <c r="Q175" i="13"/>
  <c r="L176" i="13"/>
  <c r="M176" i="13"/>
  <c r="P176" i="13"/>
  <c r="Q176" i="13"/>
  <c r="L177" i="13"/>
  <c r="M177" i="13"/>
  <c r="P177" i="13"/>
  <c r="Q177" i="13"/>
  <c r="L178" i="13"/>
  <c r="M178" i="13"/>
  <c r="P178" i="13"/>
  <c r="Q178" i="13"/>
  <c r="L179" i="13"/>
  <c r="M179" i="13"/>
  <c r="P179" i="13"/>
  <c r="Q179" i="13"/>
  <c r="L180" i="13"/>
  <c r="M180" i="13"/>
  <c r="P180" i="13"/>
  <c r="Q180" i="13"/>
  <c r="L181" i="13"/>
  <c r="M181" i="13"/>
  <c r="P181" i="13"/>
  <c r="Q181" i="13"/>
  <c r="L182" i="13"/>
  <c r="M182" i="13"/>
  <c r="P182" i="13"/>
  <c r="Q182" i="13"/>
  <c r="L183" i="13"/>
  <c r="M183" i="13"/>
  <c r="P183" i="13"/>
  <c r="Q183" i="13"/>
  <c r="L184" i="13"/>
  <c r="M184" i="13"/>
  <c r="P184" i="13"/>
  <c r="Q184" i="13"/>
  <c r="L185" i="13"/>
  <c r="M185" i="13"/>
  <c r="P185" i="13"/>
  <c r="Q185" i="13"/>
  <c r="L186" i="13"/>
  <c r="M186" i="13"/>
  <c r="P186" i="13"/>
  <c r="Q186" i="13"/>
  <c r="L187" i="13"/>
  <c r="M187" i="13"/>
  <c r="P187" i="13"/>
  <c r="Q187" i="13"/>
  <c r="L188" i="13"/>
  <c r="M188" i="13"/>
  <c r="P188" i="13"/>
  <c r="Q188" i="13"/>
  <c r="L189" i="13"/>
  <c r="M189" i="13"/>
  <c r="P189" i="13"/>
  <c r="Q189" i="13"/>
  <c r="L190" i="13"/>
  <c r="M190" i="13"/>
  <c r="P190" i="13"/>
  <c r="Q190" i="13"/>
  <c r="L191" i="13"/>
  <c r="M191" i="13"/>
  <c r="P191" i="13"/>
  <c r="Q191" i="13"/>
  <c r="L192" i="13"/>
  <c r="M192" i="13"/>
  <c r="P192" i="13"/>
  <c r="Q192" i="13"/>
  <c r="L193" i="13"/>
  <c r="M193" i="13"/>
  <c r="P193" i="13"/>
  <c r="Q193" i="13"/>
  <c r="L194" i="13"/>
  <c r="M194" i="13"/>
  <c r="N194" i="13" s="1"/>
  <c r="P194" i="13"/>
  <c r="Q194" i="13"/>
  <c r="L195" i="13"/>
  <c r="M195" i="13"/>
  <c r="P195" i="13"/>
  <c r="Q195" i="13"/>
  <c r="L196" i="13"/>
  <c r="M196" i="13"/>
  <c r="P196" i="13"/>
  <c r="Q196" i="13"/>
  <c r="L197" i="13"/>
  <c r="M197" i="13"/>
  <c r="N197" i="13" s="1"/>
  <c r="P197" i="13"/>
  <c r="Q197" i="13"/>
  <c r="L198" i="13"/>
  <c r="M198" i="13"/>
  <c r="P198" i="13"/>
  <c r="Q198" i="13"/>
  <c r="L199" i="13"/>
  <c r="M199" i="13"/>
  <c r="P199" i="13"/>
  <c r="Q199" i="13"/>
  <c r="L200" i="13"/>
  <c r="M200" i="13"/>
  <c r="P200" i="13"/>
  <c r="Q200" i="13"/>
  <c r="L201" i="13"/>
  <c r="M201" i="13"/>
  <c r="P201" i="13"/>
  <c r="Q201" i="13"/>
  <c r="L202" i="13"/>
  <c r="M202" i="13"/>
  <c r="P202" i="13"/>
  <c r="Q202" i="13"/>
  <c r="L203" i="13"/>
  <c r="M203" i="13"/>
  <c r="P203" i="13"/>
  <c r="Q203" i="13"/>
  <c r="L204" i="13"/>
  <c r="M204" i="13"/>
  <c r="P204" i="13"/>
  <c r="Q204" i="13"/>
  <c r="L205" i="13"/>
  <c r="M205" i="13"/>
  <c r="P205" i="13"/>
  <c r="Q205" i="13"/>
  <c r="L206" i="13"/>
  <c r="M206" i="13"/>
  <c r="P206" i="13"/>
  <c r="Q206" i="13"/>
  <c r="L207" i="13"/>
  <c r="M207" i="13"/>
  <c r="P207" i="13"/>
  <c r="Q207" i="13"/>
  <c r="L208" i="13"/>
  <c r="M208" i="13"/>
  <c r="P208" i="13"/>
  <c r="Q208" i="13"/>
  <c r="L209" i="13"/>
  <c r="M209" i="13"/>
  <c r="P209" i="13"/>
  <c r="Q209" i="13"/>
  <c r="L210" i="13"/>
  <c r="M210" i="13"/>
  <c r="P210" i="13"/>
  <c r="Q210" i="13"/>
  <c r="L211" i="13"/>
  <c r="M211" i="13"/>
  <c r="P211" i="13"/>
  <c r="Q211" i="13"/>
  <c r="L212" i="13"/>
  <c r="M212" i="13"/>
  <c r="P212" i="13"/>
  <c r="Q212" i="13"/>
  <c r="L213" i="13"/>
  <c r="M213" i="13"/>
  <c r="P213" i="13"/>
  <c r="Q213" i="13"/>
  <c r="L214" i="13"/>
  <c r="M214" i="13"/>
  <c r="P214" i="13"/>
  <c r="Q214" i="13"/>
  <c r="L215" i="13"/>
  <c r="M215" i="13"/>
  <c r="P215" i="13"/>
  <c r="Q215" i="13"/>
  <c r="L216" i="13"/>
  <c r="M216" i="13"/>
  <c r="P216" i="13"/>
  <c r="Q216" i="13"/>
  <c r="L217" i="13"/>
  <c r="M217" i="13"/>
  <c r="P217" i="13"/>
  <c r="Q217" i="13"/>
  <c r="L218" i="13"/>
  <c r="M218" i="13"/>
  <c r="P218" i="13"/>
  <c r="Q218" i="13"/>
  <c r="L219" i="13"/>
  <c r="M219" i="13"/>
  <c r="P219" i="13"/>
  <c r="Q219" i="13"/>
  <c r="L220" i="13"/>
  <c r="M220" i="13"/>
  <c r="P220" i="13"/>
  <c r="Q220" i="13"/>
  <c r="L221" i="13"/>
  <c r="M221" i="13"/>
  <c r="P221" i="13"/>
  <c r="Q221" i="13"/>
  <c r="I222" i="13"/>
  <c r="L222" i="13"/>
  <c r="M222" i="13"/>
  <c r="P222" i="13"/>
  <c r="Q222" i="13"/>
  <c r="L223" i="13"/>
  <c r="M223" i="13"/>
  <c r="P223" i="13"/>
  <c r="Q223" i="13"/>
  <c r="L224" i="13"/>
  <c r="M224" i="13"/>
  <c r="P224" i="13"/>
  <c r="Q224" i="13"/>
  <c r="L225" i="13"/>
  <c r="M225" i="13"/>
  <c r="P225" i="13"/>
  <c r="Q225" i="13"/>
  <c r="L226" i="13"/>
  <c r="M226" i="13"/>
  <c r="P226" i="13"/>
  <c r="Q226" i="13"/>
  <c r="L227" i="13"/>
  <c r="M227" i="13"/>
  <c r="P227" i="13"/>
  <c r="Q227" i="13"/>
  <c r="L228" i="13"/>
  <c r="M228" i="13"/>
  <c r="P228" i="13"/>
  <c r="Q228" i="13"/>
  <c r="L229" i="13"/>
  <c r="M229" i="13"/>
  <c r="P229" i="13"/>
  <c r="Q229" i="13"/>
  <c r="L230" i="13"/>
  <c r="M230" i="13"/>
  <c r="P230" i="13"/>
  <c r="Q230" i="13"/>
  <c r="L231" i="13"/>
  <c r="M231" i="13"/>
  <c r="P231" i="13"/>
  <c r="Q231" i="13"/>
  <c r="L232" i="13"/>
  <c r="M232" i="13"/>
  <c r="P232" i="13"/>
  <c r="Q232" i="13"/>
  <c r="L233" i="13"/>
  <c r="M233" i="13"/>
  <c r="P233" i="13"/>
  <c r="Q233" i="13"/>
  <c r="L234" i="13"/>
  <c r="M234" i="13"/>
  <c r="P234" i="13"/>
  <c r="Q234" i="13"/>
  <c r="I235" i="13"/>
  <c r="L235" i="13"/>
  <c r="M235" i="13"/>
  <c r="P235" i="13"/>
  <c r="Q235" i="13"/>
  <c r="L236" i="13"/>
  <c r="M236" i="13"/>
  <c r="P236" i="13"/>
  <c r="Q236" i="13"/>
  <c r="L237" i="13"/>
  <c r="M237" i="13"/>
  <c r="P237" i="13"/>
  <c r="Q237" i="13"/>
  <c r="L238" i="13"/>
  <c r="M238" i="13"/>
  <c r="P238" i="13"/>
  <c r="Q238" i="13"/>
  <c r="L239" i="13"/>
  <c r="M239" i="13"/>
  <c r="P239" i="13"/>
  <c r="Q239" i="13"/>
  <c r="L240" i="13"/>
  <c r="M240" i="13"/>
  <c r="P240" i="13"/>
  <c r="Q240" i="13"/>
  <c r="L241" i="13"/>
  <c r="M241" i="13"/>
  <c r="P241" i="13"/>
  <c r="Q241" i="13"/>
  <c r="L242" i="13"/>
  <c r="M242" i="13"/>
  <c r="P242" i="13"/>
  <c r="Q242" i="13"/>
  <c r="L243" i="13"/>
  <c r="M243" i="13"/>
  <c r="P243" i="13"/>
  <c r="Q243" i="13"/>
  <c r="L244" i="13"/>
  <c r="M244" i="13"/>
  <c r="P244" i="13"/>
  <c r="Q244" i="13"/>
  <c r="L245" i="13"/>
  <c r="M245" i="13"/>
  <c r="P245" i="13"/>
  <c r="Q245" i="13"/>
  <c r="L246" i="13"/>
  <c r="M246" i="13"/>
  <c r="P246" i="13"/>
  <c r="Q246" i="13"/>
  <c r="Q247" i="13"/>
  <c r="L248" i="13"/>
  <c r="M248" i="13"/>
  <c r="P248" i="13"/>
  <c r="Q248" i="13"/>
  <c r="L249" i="13"/>
  <c r="M249" i="13"/>
  <c r="P249" i="13"/>
  <c r="Q249" i="13"/>
  <c r="L250" i="13"/>
  <c r="M250" i="13"/>
  <c r="P250" i="13"/>
  <c r="Q250" i="13"/>
  <c r="L251" i="13"/>
  <c r="M251" i="13"/>
  <c r="P251" i="13"/>
  <c r="Q251" i="13"/>
  <c r="L252" i="13"/>
  <c r="M252" i="13"/>
  <c r="P252" i="13"/>
  <c r="Q252" i="13"/>
  <c r="I253" i="13"/>
  <c r="I254" i="13" s="1"/>
  <c r="I255" i="13" s="1"/>
  <c r="I256" i="13" s="1"/>
  <c r="I257" i="13" s="1"/>
  <c r="I258" i="13" s="1"/>
  <c r="L253" i="13"/>
  <c r="M253" i="13"/>
  <c r="P253" i="13"/>
  <c r="Q253" i="13"/>
  <c r="L254" i="13"/>
  <c r="M254" i="13"/>
  <c r="P254" i="13"/>
  <c r="Q254" i="13"/>
  <c r="L255" i="13"/>
  <c r="M255" i="13"/>
  <c r="P255" i="13"/>
  <c r="Q255" i="13"/>
  <c r="L256" i="13"/>
  <c r="M256" i="13"/>
  <c r="P256" i="13"/>
  <c r="Q256" i="13"/>
  <c r="L257" i="13"/>
  <c r="M257" i="13"/>
  <c r="N257" i="13" s="1"/>
  <c r="P257" i="13"/>
  <c r="Q257" i="13"/>
  <c r="L258" i="13"/>
  <c r="M258" i="13"/>
  <c r="P258" i="13"/>
  <c r="Q258" i="13"/>
  <c r="L259" i="13"/>
  <c r="M259" i="13"/>
  <c r="P259" i="13"/>
  <c r="Q259" i="13"/>
  <c r="L260" i="13"/>
  <c r="M260" i="13"/>
  <c r="P260" i="13"/>
  <c r="Q260" i="13"/>
  <c r="L261" i="13"/>
  <c r="M261" i="13"/>
  <c r="P261" i="13"/>
  <c r="Q261" i="13"/>
  <c r="L262" i="13"/>
  <c r="M262" i="13"/>
  <c r="P262" i="13"/>
  <c r="Q262" i="13"/>
  <c r="L263" i="13"/>
  <c r="M263" i="13"/>
  <c r="P263" i="13"/>
  <c r="Q263" i="13"/>
  <c r="L264" i="13"/>
  <c r="M264" i="13"/>
  <c r="P264" i="13"/>
  <c r="Q264" i="13"/>
  <c r="I265" i="13"/>
  <c r="L265" i="13"/>
  <c r="M265" i="13"/>
  <c r="P265" i="13"/>
  <c r="Q265" i="13"/>
  <c r="L266" i="13"/>
  <c r="M266" i="13"/>
  <c r="P266" i="13"/>
  <c r="Q266" i="13"/>
  <c r="L267" i="13"/>
  <c r="M267" i="13"/>
  <c r="P267" i="13"/>
  <c r="Q267" i="13"/>
  <c r="L268" i="13"/>
  <c r="M268" i="13"/>
  <c r="P268" i="13"/>
  <c r="Q268" i="13"/>
  <c r="L269" i="13"/>
  <c r="M269" i="13"/>
  <c r="P269" i="13"/>
  <c r="Q269" i="13"/>
  <c r="L270" i="13"/>
  <c r="M270" i="13"/>
  <c r="P270" i="13"/>
  <c r="Q270" i="13"/>
  <c r="L271" i="13"/>
  <c r="M271" i="13"/>
  <c r="P271" i="13"/>
  <c r="Q271" i="13"/>
  <c r="L272" i="13"/>
  <c r="M272" i="13"/>
  <c r="P272" i="13"/>
  <c r="Q272" i="13"/>
  <c r="L273" i="13"/>
  <c r="M273" i="13"/>
  <c r="P273" i="13"/>
  <c r="Q273" i="13"/>
  <c r="I274" i="13"/>
  <c r="L274" i="13"/>
  <c r="M274" i="13"/>
  <c r="P274" i="13"/>
  <c r="Q274" i="13"/>
  <c r="L275" i="13"/>
  <c r="M275" i="13"/>
  <c r="P275" i="13"/>
  <c r="Q275" i="13"/>
  <c r="L276" i="13"/>
  <c r="M276" i="13"/>
  <c r="P276" i="13"/>
  <c r="Q276" i="13"/>
  <c r="L277" i="13"/>
  <c r="M277" i="13"/>
  <c r="P277" i="13"/>
  <c r="Q277" i="13"/>
  <c r="L278" i="13"/>
  <c r="M278" i="13"/>
  <c r="P278" i="13"/>
  <c r="Q278" i="13"/>
  <c r="L279" i="13"/>
  <c r="M279" i="13"/>
  <c r="P279" i="13"/>
  <c r="Q279" i="13"/>
  <c r="L280" i="13"/>
  <c r="M280" i="13"/>
  <c r="P280" i="13"/>
  <c r="Q280" i="13"/>
  <c r="L281" i="13"/>
  <c r="M281" i="13"/>
  <c r="P281" i="13"/>
  <c r="Q281" i="13"/>
  <c r="I282" i="13"/>
  <c r="I283" i="13" s="1"/>
  <c r="L282" i="13"/>
  <c r="M282" i="13"/>
  <c r="P282" i="13"/>
  <c r="Q282" i="13"/>
  <c r="L283" i="13"/>
  <c r="M283" i="13"/>
  <c r="P283" i="13"/>
  <c r="Q283" i="13"/>
  <c r="L284" i="13"/>
  <c r="M284" i="13"/>
  <c r="P284" i="13"/>
  <c r="Q284" i="13"/>
  <c r="L285" i="13"/>
  <c r="M285" i="13"/>
  <c r="P285" i="13"/>
  <c r="Q285" i="13"/>
  <c r="I286" i="13"/>
  <c r="I287" i="13" s="1"/>
  <c r="I288" i="13" s="1"/>
  <c r="L286" i="13"/>
  <c r="M286" i="13"/>
  <c r="P286" i="13"/>
  <c r="Q286" i="13"/>
  <c r="L287" i="13"/>
  <c r="M287" i="13"/>
  <c r="P287" i="13"/>
  <c r="Q287" i="13"/>
  <c r="L288" i="13"/>
  <c r="M288" i="13"/>
  <c r="P288" i="13"/>
  <c r="Q288" i="13"/>
  <c r="L289" i="13"/>
  <c r="M289" i="13"/>
  <c r="P289" i="13"/>
  <c r="Q289" i="13"/>
  <c r="L290" i="13"/>
  <c r="M290" i="13"/>
  <c r="P290" i="13"/>
  <c r="Q290" i="13"/>
  <c r="I291" i="13"/>
  <c r="I292" i="13" s="1"/>
  <c r="L291" i="13"/>
  <c r="M291" i="13"/>
  <c r="P291" i="13"/>
  <c r="Q291" i="13"/>
  <c r="L292" i="13"/>
  <c r="M292" i="13"/>
  <c r="P292" i="13"/>
  <c r="Q292" i="13"/>
  <c r="L293" i="13"/>
  <c r="M293" i="13"/>
  <c r="P293" i="13"/>
  <c r="Q293" i="13"/>
  <c r="L294" i="13"/>
  <c r="M294" i="13"/>
  <c r="P294" i="13"/>
  <c r="Q294" i="13"/>
  <c r="L295" i="13"/>
  <c r="M295" i="13"/>
  <c r="P295" i="13"/>
  <c r="Q295" i="13"/>
  <c r="L296" i="13"/>
  <c r="M296" i="13"/>
  <c r="P296" i="13"/>
  <c r="Q296" i="13"/>
  <c r="L297" i="13"/>
  <c r="M297" i="13"/>
  <c r="P297" i="13"/>
  <c r="Q297" i="13"/>
  <c r="L298" i="13"/>
  <c r="M298" i="13"/>
  <c r="P298" i="13"/>
  <c r="Q298" i="13"/>
  <c r="I299" i="13"/>
  <c r="I300" i="13" s="1"/>
  <c r="I301" i="13" s="1"/>
  <c r="L299" i="13"/>
  <c r="M299" i="13"/>
  <c r="P299" i="13"/>
  <c r="Q299" i="13"/>
  <c r="L300" i="13"/>
  <c r="M300" i="13"/>
  <c r="P300" i="13"/>
  <c r="Q300" i="13"/>
  <c r="L301" i="13"/>
  <c r="M301" i="13"/>
  <c r="P301" i="13"/>
  <c r="Q301" i="13"/>
  <c r="L302" i="13"/>
  <c r="M302" i="13"/>
  <c r="P302" i="13"/>
  <c r="Q302" i="13"/>
  <c r="L303" i="13"/>
  <c r="M303" i="13"/>
  <c r="N303" i="13" s="1"/>
  <c r="P303" i="13"/>
  <c r="Q303" i="13"/>
  <c r="I304" i="13"/>
  <c r="I305" i="13" s="1"/>
  <c r="I306" i="13" s="1"/>
  <c r="L304" i="13"/>
  <c r="M304" i="13"/>
  <c r="P304" i="13"/>
  <c r="Q304" i="13"/>
  <c r="L305" i="13"/>
  <c r="M305" i="13"/>
  <c r="P305" i="13"/>
  <c r="Q305" i="13"/>
  <c r="L306" i="13"/>
  <c r="M306" i="13"/>
  <c r="P306" i="13"/>
  <c r="Q306" i="13"/>
  <c r="L307" i="13"/>
  <c r="M307" i="13"/>
  <c r="P307" i="13"/>
  <c r="Q307" i="13"/>
  <c r="L308" i="13"/>
  <c r="M308" i="13"/>
  <c r="P308" i="13"/>
  <c r="Q308" i="13"/>
  <c r="L309" i="13"/>
  <c r="M309" i="13"/>
  <c r="P309" i="13"/>
  <c r="Q309" i="13"/>
  <c r="L310" i="13"/>
  <c r="M310" i="13"/>
  <c r="P310" i="13"/>
  <c r="Q310" i="13"/>
  <c r="L311" i="13"/>
  <c r="M311" i="13"/>
  <c r="P311" i="13"/>
  <c r="Q311" i="13"/>
  <c r="D312" i="13"/>
  <c r="E312" i="13"/>
  <c r="F312" i="13"/>
  <c r="L313" i="13"/>
  <c r="M313" i="13"/>
  <c r="P313" i="13"/>
  <c r="Q313" i="13"/>
  <c r="L314" i="13"/>
  <c r="M314" i="13"/>
  <c r="P314" i="13"/>
  <c r="Q314" i="13"/>
  <c r="L315" i="13"/>
  <c r="M315" i="13"/>
  <c r="N315" i="13" s="1"/>
  <c r="P315" i="13"/>
  <c r="Q315" i="13"/>
  <c r="L316" i="13"/>
  <c r="M316" i="13"/>
  <c r="P316" i="13"/>
  <c r="Q316" i="13"/>
  <c r="L317" i="13"/>
  <c r="M317" i="13"/>
  <c r="P317" i="13"/>
  <c r="Q317" i="13"/>
  <c r="L318" i="13"/>
  <c r="M318" i="13"/>
  <c r="P318" i="13"/>
  <c r="Q318" i="13"/>
  <c r="L319" i="13"/>
  <c r="M319" i="13"/>
  <c r="P319" i="13"/>
  <c r="Q319" i="13"/>
  <c r="L320" i="13"/>
  <c r="M320" i="13"/>
  <c r="P320" i="13"/>
  <c r="Q320" i="13"/>
  <c r="L321" i="13"/>
  <c r="M321" i="13"/>
  <c r="P321" i="13"/>
  <c r="Q321" i="13"/>
  <c r="I322" i="13"/>
  <c r="L322" i="13"/>
  <c r="M322" i="13"/>
  <c r="P322" i="13"/>
  <c r="Q322" i="13"/>
  <c r="L323" i="13"/>
  <c r="M323" i="13"/>
  <c r="P323" i="13"/>
  <c r="Q323" i="13"/>
  <c r="L324" i="13"/>
  <c r="M324" i="13"/>
  <c r="P324" i="13"/>
  <c r="Q324" i="13"/>
  <c r="L325" i="13"/>
  <c r="M325" i="13"/>
  <c r="P325" i="13"/>
  <c r="Q325" i="13"/>
  <c r="L326" i="13"/>
  <c r="M326" i="13"/>
  <c r="P326" i="13"/>
  <c r="Q326" i="13"/>
  <c r="L327" i="13"/>
  <c r="M327" i="13"/>
  <c r="P327" i="13"/>
  <c r="Q327" i="13"/>
  <c r="L328" i="13"/>
  <c r="M328" i="13"/>
  <c r="P328" i="13"/>
  <c r="Q328" i="13"/>
  <c r="L329" i="13"/>
  <c r="M329" i="13"/>
  <c r="P329" i="13"/>
  <c r="Q329" i="13"/>
  <c r="L330" i="13"/>
  <c r="M330" i="13"/>
  <c r="P330" i="13"/>
  <c r="Q330" i="13"/>
  <c r="L331" i="13"/>
  <c r="M331" i="13"/>
  <c r="P331" i="13"/>
  <c r="Q331" i="13"/>
  <c r="L332" i="13"/>
  <c r="M332" i="13"/>
  <c r="P332" i="13"/>
  <c r="Q332" i="13"/>
  <c r="E333" i="13"/>
  <c r="L333" i="13" s="1"/>
  <c r="F333" i="13"/>
  <c r="M333" i="13" s="1"/>
  <c r="P333" i="13"/>
  <c r="Q333" i="13"/>
  <c r="L334" i="13"/>
  <c r="M334" i="13"/>
  <c r="P334" i="13"/>
  <c r="Q334" i="13"/>
  <c r="L335" i="13"/>
  <c r="M335" i="13"/>
  <c r="P335" i="13"/>
  <c r="Q335" i="13"/>
  <c r="L336" i="13"/>
  <c r="M336" i="13"/>
  <c r="P336" i="13"/>
  <c r="Q336" i="13"/>
  <c r="L337" i="13"/>
  <c r="M337" i="13"/>
  <c r="P337" i="13"/>
  <c r="Q337" i="13"/>
  <c r="L338" i="13"/>
  <c r="M338" i="13"/>
  <c r="P338" i="13"/>
  <c r="Q338" i="13"/>
  <c r="D339" i="13"/>
  <c r="P339" i="13" s="1"/>
  <c r="E339" i="13"/>
  <c r="F339" i="13"/>
  <c r="I339" i="13"/>
  <c r="I340" i="13" s="1"/>
  <c r="Q339" i="13"/>
  <c r="L340" i="13"/>
  <c r="M340" i="13"/>
  <c r="P340" i="13"/>
  <c r="Q340" i="13"/>
  <c r="L341" i="13"/>
  <c r="M341" i="13"/>
  <c r="P341" i="13"/>
  <c r="Q341" i="13"/>
  <c r="E342" i="13"/>
  <c r="L342" i="13" s="1"/>
  <c r="F342" i="13"/>
  <c r="M342" i="13" s="1"/>
  <c r="P342" i="13"/>
  <c r="Q342" i="13"/>
  <c r="L343" i="13"/>
  <c r="M343" i="13"/>
  <c r="P343" i="13"/>
  <c r="Q343" i="13"/>
  <c r="L344" i="13"/>
  <c r="M344" i="13"/>
  <c r="P344" i="13"/>
  <c r="Q344" i="13"/>
  <c r="L345" i="13"/>
  <c r="M345" i="13"/>
  <c r="P345" i="13"/>
  <c r="Q345" i="13"/>
  <c r="L346" i="13"/>
  <c r="M346" i="13"/>
  <c r="P346" i="13"/>
  <c r="Q346" i="13"/>
  <c r="E347" i="13"/>
  <c r="L347" i="13" s="1"/>
  <c r="F347" i="13"/>
  <c r="M347" i="13" s="1"/>
  <c r="P347" i="13"/>
  <c r="Q347" i="13"/>
  <c r="L348" i="13"/>
  <c r="M348" i="13"/>
  <c r="P348" i="13"/>
  <c r="Q348" i="13"/>
  <c r="L349" i="13"/>
  <c r="M349" i="13"/>
  <c r="P349" i="13"/>
  <c r="Q349" i="13"/>
  <c r="L350" i="13"/>
  <c r="M350" i="13"/>
  <c r="P350" i="13"/>
  <c r="Q350" i="13"/>
  <c r="L351" i="13"/>
  <c r="M351" i="13"/>
  <c r="P351" i="13"/>
  <c r="Q351" i="13"/>
  <c r="L352" i="13"/>
  <c r="M352" i="13"/>
  <c r="P352" i="13"/>
  <c r="Q352" i="13"/>
  <c r="L353" i="13"/>
  <c r="M353" i="13"/>
  <c r="P353" i="13"/>
  <c r="Q353" i="13"/>
  <c r="L354" i="13"/>
  <c r="M354" i="13"/>
  <c r="P354" i="13"/>
  <c r="Q354" i="13"/>
  <c r="I355" i="13"/>
  <c r="I356" i="13" s="1"/>
  <c r="I357" i="13" s="1"/>
  <c r="L355" i="13"/>
  <c r="M355" i="13"/>
  <c r="P355" i="13"/>
  <c r="Q355" i="13"/>
  <c r="L356" i="13"/>
  <c r="M356" i="13"/>
  <c r="P356" i="13"/>
  <c r="Q356" i="13"/>
  <c r="L357" i="13"/>
  <c r="M357" i="13"/>
  <c r="P357" i="13"/>
  <c r="Q357" i="13"/>
  <c r="L358" i="13"/>
  <c r="M358" i="13"/>
  <c r="P358" i="13"/>
  <c r="Q358" i="13"/>
  <c r="L359" i="13"/>
  <c r="M359" i="13"/>
  <c r="P359" i="13"/>
  <c r="Q359" i="13"/>
  <c r="L360" i="13"/>
  <c r="M360" i="13"/>
  <c r="P360" i="13"/>
  <c r="Q360" i="13"/>
  <c r="L361" i="13"/>
  <c r="M361" i="13"/>
  <c r="P361" i="13"/>
  <c r="Q361" i="13"/>
  <c r="L362" i="13"/>
  <c r="M362" i="13"/>
  <c r="P362" i="13"/>
  <c r="Q362" i="13"/>
  <c r="L363" i="13"/>
  <c r="M363" i="13"/>
  <c r="P363" i="13"/>
  <c r="Q363" i="13"/>
  <c r="L364" i="13"/>
  <c r="M364" i="13"/>
  <c r="P364" i="13"/>
  <c r="Q364" i="13"/>
  <c r="L365" i="13"/>
  <c r="M365" i="13"/>
  <c r="P365" i="13"/>
  <c r="Q365" i="13"/>
  <c r="D366" i="13"/>
  <c r="P366" i="13" s="1"/>
  <c r="E366" i="13"/>
  <c r="F366" i="13"/>
  <c r="Q366" i="13"/>
  <c r="L367" i="13"/>
  <c r="M367" i="13"/>
  <c r="P367" i="13"/>
  <c r="Q367" i="13"/>
  <c r="L368" i="13"/>
  <c r="M368" i="13"/>
  <c r="P368" i="13"/>
  <c r="Q368" i="13"/>
  <c r="L369" i="13"/>
  <c r="M369" i="13"/>
  <c r="P369" i="13"/>
  <c r="Q369" i="13"/>
  <c r="L370" i="13"/>
  <c r="M370" i="13"/>
  <c r="P370" i="13"/>
  <c r="Q370" i="13"/>
  <c r="L371" i="13"/>
  <c r="M371" i="13"/>
  <c r="P371" i="13"/>
  <c r="Q371" i="13"/>
  <c r="L372" i="13"/>
  <c r="M372" i="13"/>
  <c r="P372" i="13"/>
  <c r="Q372" i="13"/>
  <c r="L373" i="13"/>
  <c r="M373" i="13"/>
  <c r="P373" i="13"/>
  <c r="Q373" i="13"/>
  <c r="L374" i="13"/>
  <c r="M374" i="13"/>
  <c r="P374" i="13"/>
  <c r="Q374" i="13"/>
  <c r="L375" i="13"/>
  <c r="M375" i="13"/>
  <c r="P375" i="13"/>
  <c r="Q375" i="13"/>
  <c r="L376" i="13"/>
  <c r="M376" i="13"/>
  <c r="P376" i="13"/>
  <c r="Q376" i="13"/>
  <c r="D377" i="13"/>
  <c r="Q377" i="13" s="1"/>
  <c r="E377" i="13"/>
  <c r="F377" i="13"/>
  <c r="L378" i="13"/>
  <c r="M378" i="13"/>
  <c r="P378" i="13"/>
  <c r="Q378" i="13"/>
  <c r="L379" i="13"/>
  <c r="M379" i="13"/>
  <c r="P379" i="13"/>
  <c r="Q379" i="13"/>
  <c r="L380" i="13"/>
  <c r="M380" i="13"/>
  <c r="P380" i="13"/>
  <c r="Q380" i="13"/>
  <c r="L381" i="13"/>
  <c r="M381" i="13"/>
  <c r="P381" i="13"/>
  <c r="Q381" i="13"/>
  <c r="L382" i="13"/>
  <c r="M382" i="13"/>
  <c r="P382" i="13"/>
  <c r="Q382" i="13"/>
  <c r="L383" i="13"/>
  <c r="M383" i="13"/>
  <c r="P383" i="13"/>
  <c r="Q383" i="13"/>
  <c r="L384" i="13"/>
  <c r="M384" i="13"/>
  <c r="P384" i="13"/>
  <c r="Q384" i="13"/>
  <c r="L385" i="13"/>
  <c r="M385" i="13"/>
  <c r="P385" i="13"/>
  <c r="Q385" i="13"/>
  <c r="L386" i="13"/>
  <c r="M386" i="13"/>
  <c r="P386" i="13"/>
  <c r="Q386" i="13"/>
  <c r="L387" i="13"/>
  <c r="M387" i="13"/>
  <c r="P387" i="13"/>
  <c r="Q387" i="13"/>
  <c r="L388" i="13"/>
  <c r="M388" i="13"/>
  <c r="P388" i="13"/>
  <c r="Q388" i="13"/>
  <c r="L389" i="13"/>
  <c r="M389" i="13"/>
  <c r="P389" i="13"/>
  <c r="Q389" i="13"/>
  <c r="L390" i="13"/>
  <c r="M390" i="13"/>
  <c r="P390" i="13"/>
  <c r="Q390" i="13"/>
  <c r="L391" i="13"/>
  <c r="M391" i="13"/>
  <c r="P391" i="13"/>
  <c r="Q391" i="13"/>
  <c r="D392" i="13"/>
  <c r="P392" i="13" s="1"/>
  <c r="E392" i="13"/>
  <c r="F392" i="13"/>
  <c r="I392" i="13"/>
  <c r="Q392" i="13"/>
  <c r="L393" i="13"/>
  <c r="M393" i="13"/>
  <c r="P393" i="13"/>
  <c r="Q393" i="13"/>
  <c r="L394" i="13"/>
  <c r="M394" i="13"/>
  <c r="P394" i="13"/>
  <c r="Q394" i="13"/>
  <c r="L395" i="13"/>
  <c r="M395" i="13"/>
  <c r="P395" i="13"/>
  <c r="Q395" i="13"/>
  <c r="L396" i="13"/>
  <c r="M396" i="13"/>
  <c r="P396" i="13"/>
  <c r="Q396" i="13"/>
  <c r="L397" i="13"/>
  <c r="M397" i="13"/>
  <c r="P397" i="13"/>
  <c r="Q397" i="13"/>
  <c r="L398" i="13"/>
  <c r="M398" i="13"/>
  <c r="P398" i="13"/>
  <c r="Q398" i="13"/>
  <c r="L399" i="13"/>
  <c r="M399" i="13"/>
  <c r="P399" i="13"/>
  <c r="Q399" i="13"/>
  <c r="L400" i="13"/>
  <c r="M400" i="13"/>
  <c r="P400" i="13"/>
  <c r="Q400" i="13"/>
  <c r="L401" i="13"/>
  <c r="M401" i="13"/>
  <c r="P401" i="13"/>
  <c r="Q401" i="13"/>
  <c r="L402" i="13"/>
  <c r="M402" i="13"/>
  <c r="P402" i="13"/>
  <c r="Q402" i="13"/>
  <c r="L403" i="13"/>
  <c r="M403" i="13"/>
  <c r="P403" i="13"/>
  <c r="Q403" i="13"/>
  <c r="L404" i="13"/>
  <c r="M404" i="13"/>
  <c r="P404" i="13"/>
  <c r="Q404" i="13"/>
  <c r="L405" i="13"/>
  <c r="M405" i="13"/>
  <c r="P405" i="13"/>
  <c r="Q405" i="13"/>
  <c r="L406" i="13"/>
  <c r="M406" i="13"/>
  <c r="P406" i="13"/>
  <c r="Q406" i="13"/>
  <c r="L407" i="13"/>
  <c r="M407" i="13"/>
  <c r="P407" i="13"/>
  <c r="Q407" i="13"/>
  <c r="L408" i="13"/>
  <c r="M408" i="13"/>
  <c r="P408" i="13"/>
  <c r="Q408" i="13"/>
  <c r="L409" i="13"/>
  <c r="M409" i="13"/>
  <c r="P409" i="13"/>
  <c r="Q409" i="13"/>
  <c r="L410" i="13"/>
  <c r="M410" i="13"/>
  <c r="P410" i="13"/>
  <c r="Q410" i="13"/>
  <c r="L411" i="13"/>
  <c r="M411" i="13"/>
  <c r="P411" i="13"/>
  <c r="Q411" i="13"/>
  <c r="D412" i="13"/>
  <c r="E412" i="13"/>
  <c r="F412" i="13"/>
  <c r="Q412" i="13"/>
  <c r="L413" i="13"/>
  <c r="M413" i="13"/>
  <c r="P413" i="13"/>
  <c r="Q413" i="13"/>
  <c r="L414" i="13"/>
  <c r="M414" i="13"/>
  <c r="P414" i="13"/>
  <c r="Q414" i="13"/>
  <c r="L415" i="13"/>
  <c r="M415" i="13"/>
  <c r="P415" i="13"/>
  <c r="Q415" i="13"/>
  <c r="L416" i="13"/>
  <c r="M416" i="13"/>
  <c r="P416" i="13"/>
  <c r="Q416" i="13"/>
  <c r="L417" i="13"/>
  <c r="M417" i="13"/>
  <c r="P417" i="13"/>
  <c r="Q417" i="13"/>
  <c r="D418" i="13"/>
  <c r="P418" i="13" s="1"/>
  <c r="E418" i="13"/>
  <c r="F418" i="13"/>
  <c r="I418" i="13"/>
  <c r="Q418" i="13"/>
  <c r="L419" i="13"/>
  <c r="M419" i="13"/>
  <c r="P419" i="13"/>
  <c r="Q419" i="13"/>
  <c r="L420" i="13"/>
  <c r="M420" i="13"/>
  <c r="P420" i="13"/>
  <c r="Q420" i="13"/>
  <c r="L421" i="13"/>
  <c r="M421" i="13"/>
  <c r="P421" i="13"/>
  <c r="Q421" i="13"/>
  <c r="D422" i="13"/>
  <c r="P422" i="13" s="1"/>
  <c r="E422" i="13"/>
  <c r="F422" i="13"/>
  <c r="L423" i="13"/>
  <c r="M423" i="13"/>
  <c r="P423" i="13"/>
  <c r="Q423" i="13"/>
  <c r="L424" i="13"/>
  <c r="M424" i="13"/>
  <c r="P424" i="13"/>
  <c r="Q424" i="13"/>
  <c r="L425" i="13"/>
  <c r="M425" i="13"/>
  <c r="P425" i="13"/>
  <c r="Q425" i="13"/>
  <c r="L426" i="13"/>
  <c r="M426" i="13"/>
  <c r="P426" i="13"/>
  <c r="Q426" i="13"/>
  <c r="L427" i="13"/>
  <c r="M427" i="13"/>
  <c r="P427" i="13"/>
  <c r="Q427" i="13"/>
  <c r="L428" i="13"/>
  <c r="M428" i="13"/>
  <c r="P428" i="13"/>
  <c r="Q428" i="13"/>
  <c r="D429" i="13"/>
  <c r="P429" i="13" s="1"/>
  <c r="E429" i="13"/>
  <c r="F429" i="13"/>
  <c r="L430" i="13"/>
  <c r="M430" i="13"/>
  <c r="P430" i="13"/>
  <c r="Q430" i="13"/>
  <c r="L431" i="13"/>
  <c r="M431" i="13"/>
  <c r="P431" i="13"/>
  <c r="Q431" i="13"/>
  <c r="L432" i="13"/>
  <c r="M432" i="13"/>
  <c r="P432" i="13"/>
  <c r="Q432" i="13"/>
  <c r="L433" i="13"/>
  <c r="M433" i="13"/>
  <c r="P433" i="13"/>
  <c r="Q433" i="13"/>
  <c r="L434" i="13"/>
  <c r="M434" i="13"/>
  <c r="P434" i="13"/>
  <c r="Q434" i="13"/>
  <c r="L435" i="13"/>
  <c r="M435" i="13"/>
  <c r="P435" i="13"/>
  <c r="Q435" i="13"/>
  <c r="L436" i="13"/>
  <c r="M436" i="13"/>
  <c r="P436" i="13"/>
  <c r="Q436" i="13"/>
  <c r="L437" i="13"/>
  <c r="M437" i="13"/>
  <c r="P437" i="13"/>
  <c r="Q437" i="13"/>
  <c r="L438" i="13"/>
  <c r="M438" i="13"/>
  <c r="P438" i="13"/>
  <c r="Q438" i="13"/>
  <c r="L439" i="13"/>
  <c r="M439" i="13"/>
  <c r="P439" i="13"/>
  <c r="Q439" i="13"/>
  <c r="L440" i="13"/>
  <c r="M440" i="13"/>
  <c r="P440" i="13"/>
  <c r="Q440" i="13"/>
  <c r="L441" i="13"/>
  <c r="M441" i="13"/>
  <c r="P441" i="13"/>
  <c r="Q441" i="13"/>
  <c r="L442" i="13"/>
  <c r="M442" i="13"/>
  <c r="P442" i="13"/>
  <c r="Q442" i="13"/>
  <c r="L443" i="13"/>
  <c r="M443" i="13"/>
  <c r="P443" i="13"/>
  <c r="Q443" i="13"/>
  <c r="I444" i="13"/>
  <c r="P444" i="13"/>
  <c r="Q444" i="13"/>
  <c r="L445" i="13"/>
  <c r="M445" i="13"/>
  <c r="P445" i="13"/>
  <c r="Q445" i="13"/>
  <c r="L446" i="13"/>
  <c r="M446" i="13"/>
  <c r="P446" i="13"/>
  <c r="Q446" i="13"/>
  <c r="L447" i="13"/>
  <c r="M447" i="13"/>
  <c r="P447" i="13"/>
  <c r="Q447" i="13"/>
  <c r="L448" i="13"/>
  <c r="M448" i="13"/>
  <c r="P448" i="13"/>
  <c r="Q448" i="13"/>
  <c r="L449" i="13"/>
  <c r="M449" i="13"/>
  <c r="P449" i="13"/>
  <c r="Q449" i="13"/>
  <c r="L450" i="13"/>
  <c r="M450" i="13"/>
  <c r="P450" i="13"/>
  <c r="Q450" i="13"/>
  <c r="L451" i="13"/>
  <c r="M451" i="13"/>
  <c r="P451" i="13"/>
  <c r="Q451" i="13"/>
  <c r="L452" i="13"/>
  <c r="M452" i="13"/>
  <c r="P452" i="13"/>
  <c r="Q452" i="13"/>
  <c r="L453" i="13"/>
  <c r="M453" i="13"/>
  <c r="P453" i="13"/>
  <c r="Q453" i="13"/>
  <c r="L454" i="13"/>
  <c r="M454" i="13"/>
  <c r="P454" i="13"/>
  <c r="Q454" i="13"/>
  <c r="L455" i="13"/>
  <c r="M455" i="13"/>
  <c r="P455" i="13"/>
  <c r="Q455" i="13"/>
  <c r="L456" i="13"/>
  <c r="M456" i="13"/>
  <c r="P456" i="13"/>
  <c r="Q456" i="13"/>
  <c r="P457" i="13"/>
  <c r="Q457" i="13"/>
  <c r="L458" i="13"/>
  <c r="M458" i="13"/>
  <c r="P458" i="13"/>
  <c r="Q458" i="13"/>
  <c r="P459" i="13"/>
  <c r="Q459" i="13"/>
  <c r="L460" i="13"/>
  <c r="M460" i="13"/>
  <c r="P460" i="13"/>
  <c r="Q460" i="13"/>
  <c r="L461" i="13"/>
  <c r="M461" i="13"/>
  <c r="P461" i="13"/>
  <c r="Q461" i="13"/>
  <c r="L462" i="13"/>
  <c r="M462" i="13"/>
  <c r="P462" i="13"/>
  <c r="Q462" i="13"/>
  <c r="P463" i="13"/>
  <c r="Q463" i="13"/>
  <c r="L464" i="13"/>
  <c r="M464" i="13"/>
  <c r="P464" i="13"/>
  <c r="Q464" i="13"/>
  <c r="L465" i="13"/>
  <c r="M465" i="13"/>
  <c r="P465" i="13"/>
  <c r="Q465" i="13"/>
  <c r="L466" i="13"/>
  <c r="M466" i="13"/>
  <c r="P466" i="13"/>
  <c r="Q466" i="13"/>
  <c r="L467" i="13"/>
  <c r="M467" i="13"/>
  <c r="P467" i="13"/>
  <c r="Q467" i="13"/>
  <c r="L468" i="13"/>
  <c r="M468" i="13"/>
  <c r="P468" i="13"/>
  <c r="Q468" i="13"/>
  <c r="L469" i="13"/>
  <c r="M469" i="13"/>
  <c r="P469" i="13"/>
  <c r="Q469" i="13"/>
  <c r="L470" i="13"/>
  <c r="M470" i="13"/>
  <c r="P470" i="13"/>
  <c r="Q470" i="13"/>
  <c r="L471" i="13"/>
  <c r="M471" i="13"/>
  <c r="P471" i="13"/>
  <c r="Q471" i="13"/>
  <c r="L472" i="13"/>
  <c r="M472" i="13"/>
  <c r="P472" i="13"/>
  <c r="Q472" i="13"/>
  <c r="L473" i="13"/>
  <c r="M473" i="13"/>
  <c r="P473" i="13"/>
  <c r="Q473" i="13"/>
  <c r="L474" i="13"/>
  <c r="M474" i="13"/>
  <c r="P474" i="13"/>
  <c r="Q474" i="13"/>
  <c r="L475" i="13"/>
  <c r="M475" i="13"/>
  <c r="P475" i="13"/>
  <c r="Q475" i="13"/>
  <c r="L476" i="13"/>
  <c r="M476" i="13"/>
  <c r="P476" i="13"/>
  <c r="Q476" i="13"/>
  <c r="L477" i="13"/>
  <c r="M477" i="13"/>
  <c r="P477" i="13"/>
  <c r="Q477" i="13"/>
  <c r="L478" i="13"/>
  <c r="M478" i="13"/>
  <c r="P478" i="13"/>
  <c r="Q478" i="13"/>
  <c r="L479" i="13"/>
  <c r="M479" i="13"/>
  <c r="P479" i="13"/>
  <c r="Q479" i="13"/>
  <c r="L480" i="13"/>
  <c r="M480" i="13"/>
  <c r="P480" i="13"/>
  <c r="Q480" i="13"/>
  <c r="L481" i="13"/>
  <c r="M481" i="13"/>
  <c r="P481" i="13"/>
  <c r="Q481" i="13"/>
  <c r="L482" i="13"/>
  <c r="M482" i="13"/>
  <c r="P482" i="13"/>
  <c r="Q482" i="13"/>
  <c r="L483" i="13"/>
  <c r="M483" i="13"/>
  <c r="P483" i="13"/>
  <c r="Q483" i="13"/>
  <c r="L484" i="13"/>
  <c r="M484" i="13"/>
  <c r="P484" i="13"/>
  <c r="Q484" i="13"/>
  <c r="L485" i="13"/>
  <c r="M485" i="13"/>
  <c r="P485" i="13"/>
  <c r="Q485" i="13"/>
  <c r="L486" i="13"/>
  <c r="M486" i="13"/>
  <c r="P486" i="13"/>
  <c r="Q486" i="13"/>
  <c r="L487" i="13"/>
  <c r="M487" i="13"/>
  <c r="P487" i="13"/>
  <c r="Q487" i="13"/>
  <c r="L488" i="13"/>
  <c r="M488" i="13"/>
  <c r="P488" i="13"/>
  <c r="Q488" i="13"/>
  <c r="P489" i="13"/>
  <c r="Q489" i="13"/>
  <c r="L490" i="13"/>
  <c r="M490" i="13"/>
  <c r="P490" i="13"/>
  <c r="Q490" i="13"/>
  <c r="L491" i="13"/>
  <c r="M491" i="13"/>
  <c r="P491" i="13"/>
  <c r="Q491" i="13"/>
  <c r="L492" i="13"/>
  <c r="M492" i="13"/>
  <c r="P492" i="13"/>
  <c r="Q492" i="13"/>
  <c r="L493" i="13"/>
  <c r="M493" i="13"/>
  <c r="P493" i="13"/>
  <c r="Q493" i="13"/>
  <c r="L494" i="13"/>
  <c r="M494" i="13"/>
  <c r="P494" i="13"/>
  <c r="Q494" i="13"/>
  <c r="L495" i="13"/>
  <c r="M495" i="13"/>
  <c r="N495" i="13" s="1"/>
  <c r="P495" i="13"/>
  <c r="Q495" i="13"/>
  <c r="L496" i="13"/>
  <c r="M496" i="13"/>
  <c r="P496" i="13"/>
  <c r="Q496" i="13"/>
  <c r="P497" i="13"/>
  <c r="Q497" i="13"/>
  <c r="L498" i="13"/>
  <c r="M498" i="13"/>
  <c r="P498" i="13"/>
  <c r="Q498" i="13"/>
  <c r="L499" i="13"/>
  <c r="M499" i="13"/>
  <c r="P499" i="13"/>
  <c r="Q499" i="13"/>
  <c r="L500" i="13"/>
  <c r="M500" i="13"/>
  <c r="P500" i="13"/>
  <c r="Q500" i="13"/>
  <c r="L501" i="13"/>
  <c r="M501" i="13"/>
  <c r="P501" i="13"/>
  <c r="Q501" i="13"/>
  <c r="L502" i="13"/>
  <c r="M502" i="13"/>
  <c r="P502" i="13"/>
  <c r="Q502" i="13"/>
  <c r="L503" i="13"/>
  <c r="M503" i="13"/>
  <c r="P503" i="13"/>
  <c r="Q503" i="13"/>
  <c r="L504" i="13"/>
  <c r="M504" i="13"/>
  <c r="P504" i="13"/>
  <c r="Q504" i="13"/>
  <c r="L505" i="13"/>
  <c r="M505" i="13"/>
  <c r="P505" i="13"/>
  <c r="Q505" i="13"/>
  <c r="L506" i="13"/>
  <c r="M506" i="13"/>
  <c r="P506" i="13"/>
  <c r="Q506" i="13"/>
  <c r="L507" i="13"/>
  <c r="M507" i="13"/>
  <c r="P507" i="13"/>
  <c r="Q507" i="13"/>
  <c r="L508" i="13"/>
  <c r="M508" i="13"/>
  <c r="P508" i="13"/>
  <c r="Q508" i="13"/>
  <c r="L509" i="13"/>
  <c r="M509" i="13"/>
  <c r="P509" i="13"/>
  <c r="Q509" i="13"/>
  <c r="L511" i="13"/>
  <c r="M511" i="13"/>
  <c r="P511" i="13"/>
  <c r="Q511" i="13"/>
  <c r="E512" i="13"/>
  <c r="L512" i="13" s="1"/>
  <c r="M512" i="13"/>
  <c r="P512" i="13"/>
  <c r="Q512" i="13"/>
  <c r="I513" i="13"/>
  <c r="I514" i="13" s="1"/>
  <c r="L513" i="13"/>
  <c r="M513" i="13"/>
  <c r="P513" i="13"/>
  <c r="Q513" i="13"/>
  <c r="L514" i="13"/>
  <c r="M514" i="13"/>
  <c r="P514" i="13"/>
  <c r="Q514" i="13"/>
  <c r="L515" i="13"/>
  <c r="M515" i="13"/>
  <c r="P515" i="13"/>
  <c r="Q515" i="13"/>
  <c r="L516" i="13"/>
  <c r="M516" i="13"/>
  <c r="P516" i="13"/>
  <c r="Q516" i="13"/>
  <c r="L517" i="13"/>
  <c r="M517" i="13"/>
  <c r="P517" i="13"/>
  <c r="Q517" i="13"/>
  <c r="L518" i="13"/>
  <c r="M518" i="13"/>
  <c r="P518" i="13"/>
  <c r="Q518" i="13"/>
  <c r="L519" i="13"/>
  <c r="M519" i="13"/>
  <c r="P519" i="13"/>
  <c r="Q519" i="13"/>
  <c r="L520" i="13"/>
  <c r="M520" i="13"/>
  <c r="P520" i="13"/>
  <c r="Q520" i="13"/>
  <c r="L521" i="13"/>
  <c r="M521" i="13"/>
  <c r="P521" i="13"/>
  <c r="Q521" i="13"/>
  <c r="L522" i="13"/>
  <c r="M522" i="13"/>
  <c r="P522" i="13"/>
  <c r="Q522" i="13"/>
  <c r="L523" i="13"/>
  <c r="M523" i="13"/>
  <c r="P523" i="13"/>
  <c r="Q523" i="13"/>
  <c r="L524" i="13"/>
  <c r="M524" i="13"/>
  <c r="P524" i="13"/>
  <c r="Q524" i="13"/>
  <c r="L525" i="13"/>
  <c r="M525" i="13"/>
  <c r="P525" i="13"/>
  <c r="Q525" i="13"/>
  <c r="L526" i="13"/>
  <c r="M526" i="13"/>
  <c r="P526" i="13"/>
  <c r="Q526" i="13"/>
  <c r="L527" i="13"/>
  <c r="M527" i="13"/>
  <c r="P527" i="13"/>
  <c r="Q527" i="13"/>
  <c r="L528" i="13"/>
  <c r="M528" i="13"/>
  <c r="P528" i="13"/>
  <c r="Q528" i="13"/>
  <c r="L529" i="13"/>
  <c r="M529" i="13"/>
  <c r="P529" i="13"/>
  <c r="Q529" i="13"/>
  <c r="L530" i="13"/>
  <c r="M530" i="13"/>
  <c r="P530" i="13"/>
  <c r="Q530" i="13"/>
  <c r="L531" i="13"/>
  <c r="M531" i="13"/>
  <c r="P531" i="13"/>
  <c r="Q531" i="13"/>
  <c r="L532" i="13"/>
  <c r="M532" i="13"/>
  <c r="P532" i="13"/>
  <c r="Q532" i="13"/>
  <c r="L533" i="13"/>
  <c r="M533" i="13"/>
  <c r="P533" i="13"/>
  <c r="Q533" i="13"/>
  <c r="L534" i="13"/>
  <c r="M534" i="13"/>
  <c r="P534" i="13"/>
  <c r="Q534" i="13"/>
  <c r="L535" i="13"/>
  <c r="M535" i="13"/>
  <c r="P535" i="13"/>
  <c r="Q535" i="13"/>
  <c r="L536" i="13"/>
  <c r="M536" i="13"/>
  <c r="P536" i="13"/>
  <c r="Q536" i="13"/>
  <c r="L537" i="13"/>
  <c r="M537" i="13"/>
  <c r="P537" i="13"/>
  <c r="Q537" i="13"/>
  <c r="L538" i="13"/>
  <c r="M538" i="13"/>
  <c r="P538" i="13"/>
  <c r="Q538" i="13"/>
  <c r="E539" i="13"/>
  <c r="L539" i="13" s="1"/>
  <c r="F539" i="13"/>
  <c r="M539" i="13" s="1"/>
  <c r="H539" i="13"/>
  <c r="Q539" i="13" s="1"/>
  <c r="I539" i="13"/>
  <c r="J539" i="13"/>
  <c r="P539" i="13"/>
  <c r="S539" i="13"/>
  <c r="E179" i="14" l="1"/>
  <c r="D177" i="14"/>
  <c r="E177" i="14"/>
  <c r="F179" i="14"/>
  <c r="G179" i="14" s="1"/>
  <c r="E178" i="14"/>
  <c r="D178" i="14"/>
  <c r="D179" i="14"/>
  <c r="F177" i="14"/>
  <c r="G177" i="14" s="1"/>
  <c r="F178" i="14"/>
  <c r="G178" i="14" s="1"/>
  <c r="F180" i="14"/>
  <c r="G180" i="14" s="1"/>
  <c r="E180" i="14"/>
  <c r="D180" i="14"/>
  <c r="F175" i="14"/>
  <c r="F176" i="14"/>
  <c r="D175" i="14"/>
  <c r="E176" i="14"/>
  <c r="E175" i="14"/>
  <c r="N530" i="13"/>
  <c r="N524" i="13"/>
  <c r="M422" i="13"/>
  <c r="N447" i="13"/>
  <c r="N268" i="13"/>
  <c r="N409" i="13"/>
  <c r="N406" i="13"/>
  <c r="N273" i="13"/>
  <c r="N270" i="13"/>
  <c r="N518" i="13"/>
  <c r="N233" i="13"/>
  <c r="N333" i="13"/>
  <c r="N324" i="13"/>
  <c r="N176" i="13"/>
  <c r="N509" i="13"/>
  <c r="N487" i="13"/>
  <c r="N466" i="13"/>
  <c r="N428" i="13"/>
  <c r="N413" i="13"/>
  <c r="N401" i="13"/>
  <c r="L377" i="13"/>
  <c r="N493" i="13"/>
  <c r="N255" i="13"/>
  <c r="N249" i="13"/>
  <c r="D174" i="14"/>
  <c r="F174" i="14"/>
  <c r="E174" i="14"/>
  <c r="D173" i="14"/>
  <c r="F173" i="14"/>
  <c r="E173" i="14"/>
  <c r="N507" i="13"/>
  <c r="N501" i="13"/>
  <c r="N498" i="13"/>
  <c r="N488" i="13"/>
  <c r="N482" i="13"/>
  <c r="N426" i="13"/>
  <c r="N396" i="13"/>
  <c r="N375" i="13"/>
  <c r="N372" i="13"/>
  <c r="N369" i="13"/>
  <c r="N298" i="13"/>
  <c r="N359" i="13"/>
  <c r="N291" i="13"/>
  <c r="N262" i="13"/>
  <c r="N461" i="13"/>
  <c r="N439" i="13"/>
  <c r="N228" i="13"/>
  <c r="N225" i="13"/>
  <c r="N325" i="13"/>
  <c r="N210" i="13"/>
  <c r="N207" i="13"/>
  <c r="N239" i="13"/>
  <c r="N186" i="13"/>
  <c r="F172" i="14"/>
  <c r="E172" i="14"/>
  <c r="D172" i="14"/>
  <c r="D170" i="14"/>
  <c r="E170" i="14"/>
  <c r="F170" i="14"/>
  <c r="D169" i="14"/>
  <c r="D171" i="14"/>
  <c r="F171" i="14"/>
  <c r="F169" i="14"/>
  <c r="E169" i="14"/>
  <c r="E171" i="14"/>
  <c r="N378" i="13"/>
  <c r="N354" i="13"/>
  <c r="N251" i="13"/>
  <c r="N170" i="13"/>
  <c r="N271" i="13"/>
  <c r="N474" i="13"/>
  <c r="N468" i="13"/>
  <c r="N458" i="13"/>
  <c r="N320" i="13"/>
  <c r="N202" i="13"/>
  <c r="N181" i="13"/>
  <c r="M418" i="13"/>
  <c r="N223" i="13"/>
  <c r="N254" i="13"/>
  <c r="N266" i="13"/>
  <c r="N285" i="13"/>
  <c r="N208" i="13"/>
  <c r="N520" i="13"/>
  <c r="N329" i="13"/>
  <c r="N290" i="13"/>
  <c r="N269" i="13"/>
  <c r="N219" i="13"/>
  <c r="N446" i="13"/>
  <c r="N232" i="13"/>
  <c r="N531" i="13"/>
  <c r="N499" i="13"/>
  <c r="N469" i="13"/>
  <c r="N436" i="13"/>
  <c r="N338" i="13"/>
  <c r="N330" i="13"/>
  <c r="N278" i="13"/>
  <c r="N265" i="13"/>
  <c r="N252" i="13"/>
  <c r="N241" i="13"/>
  <c r="N215" i="13"/>
  <c r="N536" i="13"/>
  <c r="N348" i="13"/>
  <c r="N246" i="13"/>
  <c r="N212" i="13"/>
  <c r="N525" i="13"/>
  <c r="N358" i="13"/>
  <c r="N319" i="13"/>
  <c r="N350" i="13"/>
  <c r="N337" i="13"/>
  <c r="N308" i="13"/>
  <c r="N521" i="13"/>
  <c r="N535" i="13"/>
  <c r="N437" i="13"/>
  <c r="L392" i="13"/>
  <c r="L339" i="13"/>
  <c r="N356" i="13"/>
  <c r="N353" i="13"/>
  <c r="N390" i="13"/>
  <c r="N346" i="13"/>
  <c r="N322" i="13"/>
  <c r="N492" i="13"/>
  <c r="N473" i="13"/>
  <c r="N462" i="13"/>
  <c r="N395" i="13"/>
  <c r="N387" i="13"/>
  <c r="N347" i="13"/>
  <c r="N300" i="13"/>
  <c r="N295" i="13"/>
  <c r="N527" i="13"/>
  <c r="L429" i="13"/>
  <c r="N400" i="13"/>
  <c r="N376" i="13"/>
  <c r="N360" i="13"/>
  <c r="N305" i="13"/>
  <c r="N534" i="13"/>
  <c r="N478" i="13"/>
  <c r="N282" i="13"/>
  <c r="N441" i="13"/>
  <c r="N417" i="13"/>
  <c r="N483" i="13"/>
  <c r="L418" i="13"/>
  <c r="N336" i="13"/>
  <c r="N302" i="13"/>
  <c r="N297" i="13"/>
  <c r="N253" i="13"/>
  <c r="N203" i="13"/>
  <c r="N402" i="13"/>
  <c r="N370" i="13"/>
  <c r="N328" i="13"/>
  <c r="N307" i="13"/>
  <c r="D62" i="14"/>
  <c r="D78" i="14"/>
  <c r="N286" i="13"/>
  <c r="N296" i="13"/>
  <c r="N244" i="13"/>
  <c r="N218" i="13"/>
  <c r="N260" i="13"/>
  <c r="N503" i="13"/>
  <c r="N484" i="13"/>
  <c r="M412" i="13"/>
  <c r="N391" i="13"/>
  <c r="D70" i="14"/>
  <c r="N281" i="13"/>
  <c r="N277" i="13"/>
  <c r="E86" i="14"/>
  <c r="N519" i="13"/>
  <c r="N508" i="13"/>
  <c r="N438" i="13"/>
  <c r="N430" i="13"/>
  <c r="L422" i="13"/>
  <c r="N422" i="13" s="1"/>
  <c r="N388" i="13"/>
  <c r="N364" i="13"/>
  <c r="N287" i="13"/>
  <c r="N214" i="13"/>
  <c r="N201" i="13"/>
  <c r="N180" i="13"/>
  <c r="D54" i="14"/>
  <c r="N537" i="13"/>
  <c r="N451" i="13"/>
  <c r="F30" i="14"/>
  <c r="G30" i="14" s="1"/>
  <c r="N443" i="13"/>
  <c r="N393" i="13"/>
  <c r="D46" i="14"/>
  <c r="N345" i="13"/>
  <c r="L510" i="13"/>
  <c r="N510" i="13" s="1"/>
  <c r="N245" i="13"/>
  <c r="P91" i="13"/>
  <c r="N529" i="13"/>
  <c r="N432" i="13"/>
  <c r="Q429" i="13"/>
  <c r="N382" i="13"/>
  <c r="N299" i="13"/>
  <c r="N289" i="13"/>
  <c r="E102" i="14"/>
  <c r="N453" i="13"/>
  <c r="M429" i="13"/>
  <c r="N411" i="13"/>
  <c r="N403" i="13"/>
  <c r="N371" i="13"/>
  <c r="N363" i="13"/>
  <c r="N340" i="13"/>
  <c r="N335" i="13"/>
  <c r="N309" i="13"/>
  <c r="N171" i="13"/>
  <c r="F93" i="14"/>
  <c r="G93" i="14" s="1"/>
  <c r="F77" i="14"/>
  <c r="G77" i="14" s="1"/>
  <c r="F53" i="14"/>
  <c r="G53" i="14" s="1"/>
  <c r="F37" i="14"/>
  <c r="G37" i="14" s="1"/>
  <c r="N280" i="13"/>
  <c r="F108" i="14"/>
  <c r="G108" i="14" s="1"/>
  <c r="D76" i="14"/>
  <c r="F28" i="14"/>
  <c r="G28" i="14" s="1"/>
  <c r="F12" i="14"/>
  <c r="G12" i="14" s="1"/>
  <c r="F38" i="14"/>
  <c r="G38" i="14" s="1"/>
  <c r="F85" i="14"/>
  <c r="G85" i="14" s="1"/>
  <c r="F7" i="14"/>
  <c r="G7" i="14" s="1"/>
  <c r="N452" i="13"/>
  <c r="N292" i="13"/>
  <c r="D116" i="14"/>
  <c r="Q167" i="13"/>
  <c r="D124" i="14"/>
  <c r="D100" i="14"/>
  <c r="D84" i="14"/>
  <c r="D68" i="14"/>
  <c r="D60" i="14"/>
  <c r="D52" i="14"/>
  <c r="F36" i="14"/>
  <c r="G36" i="14" s="1"/>
  <c r="F20" i="14"/>
  <c r="G20" i="14" s="1"/>
  <c r="F4" i="14"/>
  <c r="G4" i="14" s="1"/>
  <c r="N522" i="13"/>
  <c r="N275" i="13"/>
  <c r="N192" i="13"/>
  <c r="N514" i="13"/>
  <c r="F109" i="14"/>
  <c r="G109" i="14" s="1"/>
  <c r="N431" i="13"/>
  <c r="F124" i="14"/>
  <c r="G124" i="14" s="1"/>
  <c r="N410" i="13"/>
  <c r="L312" i="13"/>
  <c r="F92" i="14"/>
  <c r="G92" i="14" s="1"/>
  <c r="N433" i="13"/>
  <c r="N415" i="13"/>
  <c r="N407" i="13"/>
  <c r="N389" i="13"/>
  <c r="N365" i="13"/>
  <c r="N317" i="13"/>
  <c r="N259" i="13"/>
  <c r="N235" i="13"/>
  <c r="N230" i="13"/>
  <c r="N217" i="13"/>
  <c r="N204" i="13"/>
  <c r="N178" i="13"/>
  <c r="M167" i="13"/>
  <c r="F117" i="14"/>
  <c r="G117" i="14" s="1"/>
  <c r="N481" i="13"/>
  <c r="N454" i="13"/>
  <c r="N399" i="13"/>
  <c r="N381" i="13"/>
  <c r="N274" i="13"/>
  <c r="N222" i="13"/>
  <c r="N209" i="13"/>
  <c r="N191" i="13"/>
  <c r="N183" i="13"/>
  <c r="N175" i="13"/>
  <c r="L167" i="13"/>
  <c r="F35" i="14"/>
  <c r="G35" i="14" s="1"/>
  <c r="F27" i="14"/>
  <c r="G27" i="14" s="1"/>
  <c r="F19" i="14"/>
  <c r="G19" i="14" s="1"/>
  <c r="F11" i="14"/>
  <c r="G11" i="14" s="1"/>
  <c r="D114" i="14"/>
  <c r="D98" i="14"/>
  <c r="D82" i="14"/>
  <c r="F66" i="14"/>
  <c r="G66" i="14" s="1"/>
  <c r="D58" i="14"/>
  <c r="D50" i="14"/>
  <c r="F2" i="14"/>
  <c r="G2" i="14" s="1"/>
  <c r="F69" i="14"/>
  <c r="G69" i="14" s="1"/>
  <c r="L412" i="13"/>
  <c r="N386" i="13"/>
  <c r="N352" i="13"/>
  <c r="N314" i="13"/>
  <c r="N284" i="13"/>
  <c r="N279" i="13"/>
  <c r="N264" i="13"/>
  <c r="N227" i="13"/>
  <c r="N196" i="13"/>
  <c r="N188" i="13"/>
  <c r="D122" i="14"/>
  <c r="F114" i="14"/>
  <c r="G114" i="14" s="1"/>
  <c r="D106" i="14"/>
  <c r="E90" i="14"/>
  <c r="E82" i="14"/>
  <c r="E74" i="14"/>
  <c r="D66" i="14"/>
  <c r="E58" i="14"/>
  <c r="F50" i="14"/>
  <c r="G50" i="14" s="1"/>
  <c r="F34" i="14"/>
  <c r="G34" i="14" s="1"/>
  <c r="F26" i="14"/>
  <c r="G26" i="14" s="1"/>
  <c r="F18" i="14"/>
  <c r="G18" i="14" s="1"/>
  <c r="F10" i="14"/>
  <c r="G10" i="14" s="1"/>
  <c r="F33" i="14"/>
  <c r="G33" i="14" s="1"/>
  <c r="N538" i="13"/>
  <c r="N523" i="13"/>
  <c r="N470" i="13"/>
  <c r="N456" i="13"/>
  <c r="N448" i="13"/>
  <c r="N427" i="13"/>
  <c r="N414" i="13"/>
  <c r="N349" i="13"/>
  <c r="M339" i="13"/>
  <c r="N276" i="13"/>
  <c r="N248" i="13"/>
  <c r="N237" i="13"/>
  <c r="N193" i="13"/>
  <c r="N169" i="13"/>
  <c r="F41" i="14"/>
  <c r="G41" i="14" s="1"/>
  <c r="N528" i="13"/>
  <c r="N515" i="13"/>
  <c r="N504" i="13"/>
  <c r="N496" i="13"/>
  <c r="N475" i="13"/>
  <c r="N440" i="13"/>
  <c r="N229" i="13"/>
  <c r="N216" i="13"/>
  <c r="N198" i="13"/>
  <c r="D104" i="14"/>
  <c r="D88" i="14"/>
  <c r="D72" i="14"/>
  <c r="F40" i="14"/>
  <c r="G40" i="14" s="1"/>
  <c r="N398" i="13"/>
  <c r="N380" i="13"/>
  <c r="M377" i="13"/>
  <c r="N377" i="13" s="1"/>
  <c r="N326" i="13"/>
  <c r="N321" i="13"/>
  <c r="N293" i="13"/>
  <c r="N250" i="13"/>
  <c r="N234" i="13"/>
  <c r="N182" i="13"/>
  <c r="N174" i="13"/>
  <c r="N166" i="13"/>
  <c r="D112" i="14"/>
  <c r="D96" i="14"/>
  <c r="E48" i="14"/>
  <c r="D40" i="14"/>
  <c r="F32" i="14"/>
  <c r="G32" i="14" s="1"/>
  <c r="F24" i="14"/>
  <c r="G24" i="14" s="1"/>
  <c r="F87" i="14"/>
  <c r="G87" i="14" s="1"/>
  <c r="F79" i="14"/>
  <c r="G79" i="14" s="1"/>
  <c r="F47" i="14"/>
  <c r="G47" i="14" s="1"/>
  <c r="F23" i="14"/>
  <c r="G23" i="14" s="1"/>
  <c r="F15" i="14"/>
  <c r="G15" i="14" s="1"/>
  <c r="N467" i="13"/>
  <c r="M366" i="13"/>
  <c r="N213" i="13"/>
  <c r="F111" i="14"/>
  <c r="G111" i="14" s="1"/>
  <c r="F103" i="14"/>
  <c r="G103" i="14" s="1"/>
  <c r="F95" i="14"/>
  <c r="G95" i="14" s="1"/>
  <c r="F71" i="14"/>
  <c r="G71" i="14" s="1"/>
  <c r="F55" i="14"/>
  <c r="G55" i="14" s="1"/>
  <c r="F39" i="14"/>
  <c r="G39" i="14" s="1"/>
  <c r="F31" i="14"/>
  <c r="G31" i="14" s="1"/>
  <c r="N512" i="13"/>
  <c r="N506" i="13"/>
  <c r="N490" i="13"/>
  <c r="N477" i="13"/>
  <c r="N472" i="13"/>
  <c r="N464" i="13"/>
  <c r="N442" i="13"/>
  <c r="N434" i="13"/>
  <c r="N421" i="13"/>
  <c r="N408" i="13"/>
  <c r="L366" i="13"/>
  <c r="N351" i="13"/>
  <c r="N323" i="13"/>
  <c r="N318" i="13"/>
  <c r="N310" i="13"/>
  <c r="N236" i="13"/>
  <c r="N226" i="13"/>
  <c r="N205" i="13"/>
  <c r="N200" i="13"/>
  <c r="N187" i="13"/>
  <c r="N179" i="13"/>
  <c r="D110" i="14"/>
  <c r="N516" i="13"/>
  <c r="N485" i="13"/>
  <c r="N425" i="13"/>
  <c r="P412" i="13"/>
  <c r="N405" i="13"/>
  <c r="N383" i="13"/>
  <c r="N263" i="13"/>
  <c r="N258" i="13"/>
  <c r="N240" i="13"/>
  <c r="F122" i="14"/>
  <c r="G122" i="14" s="1"/>
  <c r="F118" i="14"/>
  <c r="G118" i="14" s="1"/>
  <c r="F113" i="14"/>
  <c r="G113" i="14" s="1"/>
  <c r="E108" i="14"/>
  <c r="D99" i="14"/>
  <c r="F84" i="14"/>
  <c r="G84" i="14" s="1"/>
  <c r="E80" i="14"/>
  <c r="D61" i="14"/>
  <c r="E56" i="14"/>
  <c r="D51" i="14"/>
  <c r="E46" i="14"/>
  <c r="N480" i="13"/>
  <c r="N460" i="13"/>
  <c r="N313" i="13"/>
  <c r="E122" i="14"/>
  <c r="D113" i="14"/>
  <c r="D108" i="14"/>
  <c r="F98" i="14"/>
  <c r="G98" i="14" s="1"/>
  <c r="F94" i="14"/>
  <c r="G94" i="14" s="1"/>
  <c r="F89" i="14"/>
  <c r="G89" i="14" s="1"/>
  <c r="E84" i="14"/>
  <c r="F75" i="14"/>
  <c r="G75" i="14" s="1"/>
  <c r="E60" i="14"/>
  <c r="F21" i="14"/>
  <c r="G21" i="14" s="1"/>
  <c r="N533" i="13"/>
  <c r="N373" i="13"/>
  <c r="N368" i="13"/>
  <c r="D103" i="14"/>
  <c r="E98" i="14"/>
  <c r="D89" i="14"/>
  <c r="F74" i="14"/>
  <c r="G74" i="14" s="1"/>
  <c r="F70" i="14"/>
  <c r="G70" i="14" s="1"/>
  <c r="F65" i="14"/>
  <c r="G65" i="14" s="1"/>
  <c r="E50" i="14"/>
  <c r="F9" i="14"/>
  <c r="G9" i="14" s="1"/>
  <c r="F3" i="14"/>
  <c r="G3" i="14" s="1"/>
  <c r="N465" i="13"/>
  <c r="N449" i="13"/>
  <c r="N397" i="13"/>
  <c r="N242" i="13"/>
  <c r="N220" i="13"/>
  <c r="D117" i="14"/>
  <c r="D79" i="14"/>
  <c r="D65" i="14"/>
  <c r="D55" i="14"/>
  <c r="F46" i="14"/>
  <c r="G46" i="14" s="1"/>
  <c r="D41" i="14"/>
  <c r="N513" i="13"/>
  <c r="N505" i="13"/>
  <c r="N385" i="13"/>
  <c r="N344" i="13"/>
  <c r="N332" i="13"/>
  <c r="N327" i="13"/>
  <c r="N173" i="13"/>
  <c r="N168" i="13"/>
  <c r="F116" i="14"/>
  <c r="G116" i="14" s="1"/>
  <c r="E112" i="14"/>
  <c r="D102" i="14"/>
  <c r="D93" i="14"/>
  <c r="E78" i="14"/>
  <c r="D74" i="14"/>
  <c r="D64" i="14"/>
  <c r="F60" i="14"/>
  <c r="G60" i="14" s="1"/>
  <c r="E54" i="14"/>
  <c r="F45" i="14"/>
  <c r="G45" i="14" s="1"/>
  <c r="F14" i="14"/>
  <c r="G14" i="14" s="1"/>
  <c r="F8" i="14"/>
  <c r="G8" i="14" s="1"/>
  <c r="N539" i="13"/>
  <c r="N500" i="13"/>
  <c r="N419" i="13"/>
  <c r="M392" i="13"/>
  <c r="N392" i="13" s="1"/>
  <c r="N272" i="13"/>
  <c r="N267" i="13"/>
  <c r="F121" i="14"/>
  <c r="G121" i="14" s="1"/>
  <c r="E116" i="14"/>
  <c r="F107" i="14"/>
  <c r="G107" i="14" s="1"/>
  <c r="E88" i="14"/>
  <c r="D69" i="14"/>
  <c r="E40" i="14"/>
  <c r="N424" i="13"/>
  <c r="D121" i="14"/>
  <c r="F106" i="14"/>
  <c r="G106" i="14" s="1"/>
  <c r="F102" i="14"/>
  <c r="G102" i="14" s="1"/>
  <c r="F97" i="14"/>
  <c r="G97" i="14" s="1"/>
  <c r="E92" i="14"/>
  <c r="D83" i="14"/>
  <c r="F68" i="14"/>
  <c r="G68" i="14" s="1"/>
  <c r="E64" i="14"/>
  <c r="D59" i="14"/>
  <c r="F49" i="14"/>
  <c r="G49" i="14" s="1"/>
  <c r="D45" i="14"/>
  <c r="F25" i="14"/>
  <c r="G25" i="14" s="1"/>
  <c r="N479" i="13"/>
  <c r="N404" i="13"/>
  <c r="N341" i="13"/>
  <c r="N334" i="13"/>
  <c r="N195" i="13"/>
  <c r="N190" i="13"/>
  <c r="N185" i="13"/>
  <c r="D120" i="14"/>
  <c r="D111" i="14"/>
  <c r="E106" i="14"/>
  <c r="F101" i="14"/>
  <c r="G101" i="14" s="1"/>
  <c r="D97" i="14"/>
  <c r="D92" i="14"/>
  <c r="F82" i="14"/>
  <c r="G82" i="14" s="1"/>
  <c r="F78" i="14"/>
  <c r="G78" i="14" s="1"/>
  <c r="F73" i="14"/>
  <c r="G73" i="14" s="1"/>
  <c r="E68" i="14"/>
  <c r="F63" i="14"/>
  <c r="G63" i="14" s="1"/>
  <c r="F58" i="14"/>
  <c r="G58" i="14" s="1"/>
  <c r="F54" i="14"/>
  <c r="G54" i="14" s="1"/>
  <c r="D49" i="14"/>
  <c r="D44" i="14"/>
  <c r="F13" i="14"/>
  <c r="G13" i="14" s="1"/>
  <c r="N532" i="13"/>
  <c r="N416" i="13"/>
  <c r="N394" i="13"/>
  <c r="N367" i="13"/>
  <c r="N355" i="13"/>
  <c r="N288" i="13"/>
  <c r="E110" i="14"/>
  <c r="D87" i="14"/>
  <c r="D73" i="14"/>
  <c r="F48" i="14"/>
  <c r="G48" i="14" s="1"/>
  <c r="N502" i="13"/>
  <c r="N331" i="13"/>
  <c r="N224" i="13"/>
  <c r="E120" i="14"/>
  <c r="D101" i="14"/>
  <c r="D63" i="14"/>
  <c r="E44" i="14"/>
  <c r="N517" i="13"/>
  <c r="N494" i="13"/>
  <c r="N486" i="13"/>
  <c r="N362" i="13"/>
  <c r="N357" i="13"/>
  <c r="N343" i="13"/>
  <c r="N304" i="13"/>
  <c r="N177" i="13"/>
  <c r="N172" i="13"/>
  <c r="E124" i="14"/>
  <c r="D115" i="14"/>
  <c r="F100" i="14"/>
  <c r="G100" i="14" s="1"/>
  <c r="E96" i="14"/>
  <c r="D86" i="14"/>
  <c r="D77" i="14"/>
  <c r="E62" i="14"/>
  <c r="D53" i="14"/>
  <c r="D48" i="14"/>
  <c r="F29" i="14"/>
  <c r="G29" i="14" s="1"/>
  <c r="F6" i="14"/>
  <c r="G6" i="14" s="1"/>
  <c r="N384" i="13"/>
  <c r="N379" i="13"/>
  <c r="N374" i="13"/>
  <c r="N311" i="13"/>
  <c r="N283" i="13"/>
  <c r="D119" i="14"/>
  <c r="F110" i="14"/>
  <c r="G110" i="14" s="1"/>
  <c r="F105" i="14"/>
  <c r="G105" i="14" s="1"/>
  <c r="E100" i="14"/>
  <c r="D91" i="14"/>
  <c r="F76" i="14"/>
  <c r="G76" i="14" s="1"/>
  <c r="E72" i="14"/>
  <c r="E52" i="14"/>
  <c r="D43" i="14"/>
  <c r="N476" i="13"/>
  <c r="N471" i="13"/>
  <c r="N435" i="13"/>
  <c r="N423" i="13"/>
  <c r="N316" i="13"/>
  <c r="N306" i="13"/>
  <c r="N261" i="13"/>
  <c r="N256" i="13"/>
  <c r="N238" i="13"/>
  <c r="N231" i="13"/>
  <c r="N199" i="13"/>
  <c r="E114" i="14"/>
  <c r="D105" i="14"/>
  <c r="F90" i="14"/>
  <c r="G90" i="14" s="1"/>
  <c r="F86" i="14"/>
  <c r="G86" i="14" s="1"/>
  <c r="F81" i="14"/>
  <c r="G81" i="14" s="1"/>
  <c r="E76" i="14"/>
  <c r="D67" i="14"/>
  <c r="F57" i="14"/>
  <c r="G57" i="14" s="1"/>
  <c r="F42" i="14"/>
  <c r="G42" i="14" s="1"/>
  <c r="F17" i="14"/>
  <c r="G17" i="14" s="1"/>
  <c r="N491" i="13"/>
  <c r="N455" i="13"/>
  <c r="N450" i="13"/>
  <c r="N243" i="13"/>
  <c r="N221" i="13"/>
  <c r="N189" i="13"/>
  <c r="N184" i="13"/>
  <c r="E118" i="14"/>
  <c r="D95" i="14"/>
  <c r="D81" i="14"/>
  <c r="F62" i="14"/>
  <c r="G62" i="14" s="1"/>
  <c r="D57" i="14"/>
  <c r="E42" i="14"/>
  <c r="F5" i="14"/>
  <c r="G5" i="14" s="1"/>
  <c r="N445" i="13"/>
  <c r="N420" i="13"/>
  <c r="N294" i="13"/>
  <c r="D118" i="14"/>
  <c r="D109" i="14"/>
  <c r="E94" i="14"/>
  <c r="D90" i="14"/>
  <c r="D80" i="14"/>
  <c r="D71" i="14"/>
  <c r="E66" i="14"/>
  <c r="F61" i="14"/>
  <c r="G61" i="14" s="1"/>
  <c r="D56" i="14"/>
  <c r="F52" i="14"/>
  <c r="G52" i="14" s="1"/>
  <c r="D42" i="14"/>
  <c r="F22" i="14"/>
  <c r="G22" i="14" s="1"/>
  <c r="F16" i="14"/>
  <c r="G16" i="14" s="1"/>
  <c r="N526" i="13"/>
  <c r="N361" i="13"/>
  <c r="N301" i="13"/>
  <c r="N211" i="13"/>
  <c r="N206" i="13"/>
  <c r="D123" i="14"/>
  <c r="E104" i="14"/>
  <c r="D94" i="14"/>
  <c r="D85" i="14"/>
  <c r="E70" i="14"/>
  <c r="D47" i="14"/>
  <c r="F83" i="14"/>
  <c r="G83" i="14" s="1"/>
  <c r="F51" i="14"/>
  <c r="G51" i="14" s="1"/>
  <c r="F115" i="14"/>
  <c r="G115" i="14" s="1"/>
  <c r="F91" i="14"/>
  <c r="G91" i="14" s="1"/>
  <c r="F59" i="14"/>
  <c r="G59" i="14" s="1"/>
  <c r="F43" i="14"/>
  <c r="G43" i="14" s="1"/>
  <c r="E123" i="14"/>
  <c r="E115" i="14"/>
  <c r="E107" i="14"/>
  <c r="E99" i="14"/>
  <c r="E91" i="14"/>
  <c r="E83" i="14"/>
  <c r="E75" i="14"/>
  <c r="E67" i="14"/>
  <c r="E59" i="14"/>
  <c r="E51" i="14"/>
  <c r="E43" i="14"/>
  <c r="F123" i="14"/>
  <c r="G123" i="14" s="1"/>
  <c r="F99" i="14"/>
  <c r="G99" i="14" s="1"/>
  <c r="F67" i="14"/>
  <c r="G67" i="14" s="1"/>
  <c r="F120" i="14"/>
  <c r="G120" i="14" s="1"/>
  <c r="F112" i="14"/>
  <c r="G112" i="14" s="1"/>
  <c r="D107" i="14"/>
  <c r="F104" i="14"/>
  <c r="G104" i="14" s="1"/>
  <c r="F96" i="14"/>
  <c r="G96" i="14" s="1"/>
  <c r="F88" i="14"/>
  <c r="G88" i="14" s="1"/>
  <c r="F80" i="14"/>
  <c r="G80" i="14" s="1"/>
  <c r="D75" i="14"/>
  <c r="F72" i="14"/>
  <c r="G72" i="14" s="1"/>
  <c r="F64" i="14"/>
  <c r="G64" i="14" s="1"/>
  <c r="F56" i="14"/>
  <c r="G56" i="14" s="1"/>
  <c r="E117" i="14"/>
  <c r="E109" i="14"/>
  <c r="E101" i="14"/>
  <c r="E93" i="14"/>
  <c r="E85" i="14"/>
  <c r="E77" i="14"/>
  <c r="E69" i="14"/>
  <c r="E61" i="14"/>
  <c r="E53" i="14"/>
  <c r="E45" i="14"/>
  <c r="E111" i="14"/>
  <c r="E103" i="14"/>
  <c r="E95" i="14"/>
  <c r="E87" i="14"/>
  <c r="E79" i="14"/>
  <c r="E71" i="14"/>
  <c r="E63" i="14"/>
  <c r="E55" i="14"/>
  <c r="E47" i="14"/>
  <c r="F44" i="14"/>
  <c r="G44" i="14" s="1"/>
  <c r="E121" i="14"/>
  <c r="E113" i="14"/>
  <c r="E105" i="14"/>
  <c r="E97" i="14"/>
  <c r="E89" i="14"/>
  <c r="E81" i="14"/>
  <c r="E73" i="14"/>
  <c r="E65" i="14"/>
  <c r="E57" i="14"/>
  <c r="E49" i="14"/>
  <c r="E41" i="14"/>
  <c r="N342" i="13"/>
  <c r="P377" i="13"/>
  <c r="Q81" i="13"/>
  <c r="Q422" i="13"/>
  <c r="N511" i="13"/>
  <c r="Q312" i="13"/>
  <c r="P312" i="13"/>
  <c r="M312" i="13"/>
  <c r="N312" i="13" s="1"/>
  <c r="E572" i="13"/>
  <c r="F572" i="13"/>
  <c r="H572" i="13"/>
  <c r="G169" i="14" l="1"/>
  <c r="G171" i="14"/>
  <c r="G174" i="14"/>
  <c r="G176" i="14"/>
  <c r="G175" i="14"/>
  <c r="G170" i="14"/>
  <c r="G172" i="14"/>
  <c r="G173" i="14"/>
  <c r="N418" i="13"/>
  <c r="N366" i="13"/>
  <c r="N339" i="13"/>
  <c r="D510" i="13"/>
  <c r="F119" i="14" s="1"/>
  <c r="G119" i="14" s="1"/>
  <c r="N412" i="13"/>
  <c r="N429" i="13"/>
  <c r="N167" i="13"/>
  <c r="E125" i="14"/>
  <c r="D126" i="14"/>
  <c r="E126" i="14"/>
  <c r="F126" i="14"/>
  <c r="G126" i="14" s="1"/>
  <c r="D125" i="14"/>
  <c r="F125" i="14"/>
  <c r="G125" i="14" s="1"/>
  <c r="N572" i="13"/>
  <c r="P572" i="13"/>
  <c r="Q572" i="13"/>
  <c r="E573" i="13"/>
  <c r="F573" i="13"/>
  <c r="N573" i="13"/>
  <c r="P573" i="13"/>
  <c r="E574" i="13"/>
  <c r="F574" i="13"/>
  <c r="N574" i="13"/>
  <c r="P574" i="13"/>
  <c r="E575" i="13"/>
  <c r="F575" i="13"/>
  <c r="N575" i="13"/>
  <c r="P575" i="13"/>
  <c r="E576" i="13"/>
  <c r="F576" i="13"/>
  <c r="N576" i="13"/>
  <c r="P576" i="13"/>
  <c r="E577" i="13"/>
  <c r="F577" i="13"/>
  <c r="N577" i="13"/>
  <c r="P577" i="13"/>
  <c r="E578" i="13"/>
  <c r="F578" i="13"/>
  <c r="E580" i="13"/>
  <c r="F580" i="13"/>
  <c r="E581" i="13"/>
  <c r="F581" i="13"/>
  <c r="E582" i="13"/>
  <c r="F582" i="13"/>
  <c r="E583" i="13"/>
  <c r="F583" i="13"/>
  <c r="E584" i="13"/>
  <c r="F584" i="13"/>
  <c r="E585" i="13"/>
  <c r="F585" i="13"/>
  <c r="E586" i="13"/>
  <c r="F586" i="13"/>
  <c r="E587" i="13"/>
  <c r="F587" i="13"/>
  <c r="E588" i="13"/>
  <c r="F588" i="13"/>
  <c r="E589" i="13"/>
  <c r="F589" i="13"/>
  <c r="E590" i="13"/>
  <c r="F590" i="13"/>
  <c r="E591" i="13"/>
  <c r="F591" i="13"/>
  <c r="E592" i="13"/>
  <c r="F592" i="13"/>
  <c r="E593" i="13"/>
  <c r="F593" i="13"/>
  <c r="E594" i="13"/>
  <c r="F594" i="13"/>
  <c r="E595" i="13"/>
  <c r="F595" i="13"/>
  <c r="E596" i="13"/>
  <c r="F596" i="13"/>
  <c r="E597" i="13"/>
  <c r="F597" i="13"/>
  <c r="E598" i="13"/>
  <c r="F598" i="13"/>
  <c r="E599" i="13"/>
  <c r="F599" i="13"/>
  <c r="E601" i="13"/>
  <c r="F601" i="13"/>
  <c r="E602" i="13"/>
  <c r="F602" i="13"/>
  <c r="E603" i="13"/>
  <c r="F603" i="13"/>
  <c r="E604" i="13"/>
  <c r="F604" i="13"/>
  <c r="E605" i="13"/>
  <c r="F605" i="13"/>
  <c r="E606" i="13"/>
  <c r="F606" i="13"/>
  <c r="E607" i="13"/>
  <c r="F607" i="13"/>
  <c r="E608" i="13"/>
  <c r="F608" i="13"/>
  <c r="E609" i="13"/>
  <c r="F609" i="13"/>
  <c r="E610" i="13"/>
  <c r="F610" i="13"/>
  <c r="E611" i="13"/>
  <c r="F611" i="13"/>
  <c r="E612" i="13"/>
  <c r="F612" i="13"/>
  <c r="E613" i="13"/>
  <c r="F613" i="13"/>
  <c r="E614" i="13"/>
  <c r="F614" i="13"/>
  <c r="E615" i="13"/>
  <c r="F615" i="13"/>
  <c r="E616" i="13"/>
  <c r="F616" i="13"/>
  <c r="E618" i="13"/>
  <c r="F618" i="13"/>
  <c r="E619" i="13"/>
  <c r="F619" i="13"/>
  <c r="E620" i="13"/>
  <c r="F620" i="13"/>
  <c r="E621" i="13"/>
  <c r="F621" i="13"/>
  <c r="E622" i="13"/>
  <c r="F622" i="13"/>
  <c r="E623" i="13"/>
  <c r="F623" i="13"/>
  <c r="E624" i="13"/>
  <c r="F624" i="13"/>
  <c r="E625" i="13"/>
  <c r="F625" i="13"/>
  <c r="E626" i="13"/>
  <c r="F626" i="13"/>
  <c r="E627" i="13"/>
  <c r="F627" i="13"/>
  <c r="E628" i="13"/>
  <c r="F628" i="13"/>
  <c r="E629" i="13"/>
  <c r="F629" i="13"/>
  <c r="E630" i="13"/>
  <c r="F630" i="13"/>
  <c r="E631" i="13"/>
  <c r="F631" i="13"/>
  <c r="E632" i="13"/>
  <c r="F632" i="13"/>
  <c r="E633" i="13"/>
  <c r="F633" i="13"/>
  <c r="E634" i="13"/>
  <c r="F634" i="13"/>
  <c r="E635" i="13"/>
  <c r="F635" i="13"/>
  <c r="E636" i="13"/>
  <c r="F636" i="13"/>
  <c r="E637" i="13"/>
  <c r="F637" i="13"/>
  <c r="E638" i="13"/>
  <c r="F638" i="13"/>
  <c r="E639" i="13"/>
  <c r="F639" i="13"/>
  <c r="E640" i="13"/>
  <c r="F640" i="13"/>
  <c r="E641" i="13"/>
  <c r="F641" i="13"/>
  <c r="E642" i="13"/>
  <c r="F642" i="13"/>
  <c r="E643" i="13"/>
  <c r="F643" i="13"/>
  <c r="E644" i="13"/>
  <c r="F644" i="13"/>
  <c r="E645" i="13"/>
  <c r="F645" i="13"/>
  <c r="E646" i="13"/>
  <c r="F646" i="13"/>
  <c r="E647" i="13"/>
  <c r="F647" i="13"/>
  <c r="E648" i="13"/>
  <c r="F648" i="13"/>
  <c r="E649" i="13"/>
  <c r="F649" i="13"/>
  <c r="E650" i="13"/>
  <c r="F650" i="13"/>
  <c r="E651" i="13"/>
  <c r="F651" i="13"/>
  <c r="E652" i="13"/>
  <c r="F652" i="13"/>
  <c r="E654" i="13"/>
  <c r="F654" i="13"/>
  <c r="E655" i="13"/>
  <c r="F655" i="13"/>
  <c r="E656" i="13"/>
  <c r="F656" i="13"/>
  <c r="E657" i="13"/>
  <c r="F657" i="13"/>
  <c r="E658" i="13"/>
  <c r="F658" i="13"/>
  <c r="E659" i="13"/>
  <c r="F659" i="13"/>
  <c r="E660" i="13"/>
  <c r="F660" i="13"/>
  <c r="E661" i="13"/>
  <c r="F661" i="13"/>
  <c r="E662" i="13"/>
  <c r="F662" i="13"/>
  <c r="E663" i="13"/>
  <c r="F663" i="13"/>
  <c r="E664" i="13"/>
  <c r="F664" i="13"/>
  <c r="E665" i="13"/>
  <c r="F665" i="13"/>
  <c r="E667" i="13"/>
  <c r="F667" i="13"/>
  <c r="E668" i="13"/>
  <c r="F668" i="13"/>
  <c r="E670" i="13"/>
  <c r="F670" i="13"/>
  <c r="E671" i="13"/>
  <c r="F671" i="13"/>
  <c r="E672" i="13"/>
  <c r="F672" i="13"/>
  <c r="E673" i="13"/>
  <c r="F673" i="13"/>
  <c r="S614" i="13"/>
  <c r="S645" i="13"/>
  <c r="S625" i="13"/>
  <c r="S610" i="13"/>
  <c r="S579" i="13"/>
  <c r="J579" i="13"/>
  <c r="S593" i="13"/>
  <c r="S643" i="13"/>
  <c r="S588" i="13"/>
  <c r="S573" i="13"/>
  <c r="S628" i="13"/>
  <c r="S647" i="13"/>
  <c r="S633" i="13"/>
  <c r="S638" i="13"/>
  <c r="S611" i="13"/>
  <c r="S578" i="13"/>
  <c r="S587" i="13"/>
  <c r="S617" i="13"/>
  <c r="S583" i="13"/>
  <c r="S594" i="13"/>
  <c r="S575" i="13"/>
  <c r="S655" i="13"/>
  <c r="S656" i="13"/>
  <c r="S597" i="13"/>
  <c r="S637" i="13"/>
  <c r="S607" i="13"/>
  <c r="S595" i="13"/>
  <c r="S619" i="13"/>
  <c r="S653" i="13"/>
  <c r="S592" i="13"/>
  <c r="S618" i="13"/>
  <c r="S646" i="13"/>
  <c r="S627" i="13"/>
  <c r="S622" i="13"/>
  <c r="S650" i="13"/>
  <c r="S620" i="13"/>
  <c r="H574" i="13"/>
  <c r="S581" i="13"/>
  <c r="S600" i="13"/>
  <c r="S629" i="13"/>
  <c r="S606" i="13"/>
  <c r="S577" i="13"/>
  <c r="S626" i="13"/>
  <c r="S651" i="13"/>
  <c r="S601" i="13"/>
  <c r="S580" i="13"/>
  <c r="S636" i="13"/>
  <c r="S640" i="13"/>
  <c r="S631" i="13"/>
  <c r="S657" i="13"/>
  <c r="H576" i="13"/>
  <c r="S602" i="13"/>
  <c r="S582" i="13"/>
  <c r="S586" i="13"/>
  <c r="S599" i="13"/>
  <c r="S634" i="13"/>
  <c r="S589" i="13"/>
  <c r="S649" i="13"/>
  <c r="S609" i="13"/>
  <c r="S608" i="13"/>
  <c r="S644" i="13"/>
  <c r="S612" i="13"/>
  <c r="S659" i="13"/>
  <c r="S584" i="13"/>
  <c r="S616" i="13"/>
  <c r="S613" i="13"/>
  <c r="S598" i="13"/>
  <c r="S574" i="13"/>
  <c r="S654" i="13"/>
  <c r="H573" i="13"/>
  <c r="S639" i="13"/>
  <c r="S635" i="13"/>
  <c r="S603" i="13"/>
  <c r="S615" i="13"/>
  <c r="I579" i="13"/>
  <c r="S604" i="13"/>
  <c r="S621" i="13"/>
  <c r="S652" i="13"/>
  <c r="S605" i="13"/>
  <c r="S648" i="13"/>
  <c r="S585" i="13"/>
  <c r="S642" i="13"/>
  <c r="H575" i="13"/>
  <c r="H577" i="13"/>
  <c r="S572" i="13"/>
  <c r="S641" i="13"/>
  <c r="S624" i="13"/>
  <c r="S623" i="13"/>
  <c r="S630" i="13"/>
  <c r="S591" i="13"/>
  <c r="S596" i="13"/>
  <c r="S658" i="13"/>
  <c r="S632" i="13"/>
  <c r="S576" i="13"/>
  <c r="S590" i="13"/>
  <c r="P510" i="13" l="1"/>
  <c r="F510" i="13"/>
  <c r="E119" i="14" s="1"/>
  <c r="N768" i="9"/>
  <c r="N765" i="9"/>
  <c r="N764" i="9"/>
  <c r="D129" i="14"/>
  <c r="Q510" i="13"/>
  <c r="F150" i="14"/>
  <c r="G150" i="14" s="1"/>
  <c r="F155" i="14"/>
  <c r="G155" i="14" s="1"/>
  <c r="E150" i="14"/>
  <c r="F159" i="14"/>
  <c r="G159" i="14" s="1"/>
  <c r="D151" i="14"/>
  <c r="D156" i="14"/>
  <c r="F147" i="14"/>
  <c r="G147" i="14" s="1"/>
  <c r="E168" i="14"/>
  <c r="F168" i="14"/>
  <c r="D168" i="14"/>
  <c r="E144" i="14"/>
  <c r="F127" i="14"/>
  <c r="G127" i="14" s="1"/>
  <c r="F152" i="14"/>
  <c r="G152" i="14" s="1"/>
  <c r="E158" i="14"/>
  <c r="F134" i="14"/>
  <c r="G134" i="14" s="1"/>
  <c r="F158" i="14"/>
  <c r="G158" i="14" s="1"/>
  <c r="F154" i="14"/>
  <c r="G154" i="14" s="1"/>
  <c r="F141" i="14"/>
  <c r="G141" i="14" s="1"/>
  <c r="E153" i="14"/>
  <c r="F146" i="14"/>
  <c r="G146" i="14" s="1"/>
  <c r="E149" i="14"/>
  <c r="E141" i="14"/>
  <c r="F136" i="14"/>
  <c r="G136" i="14" s="1"/>
  <c r="E129" i="14"/>
  <c r="F165" i="14"/>
  <c r="E147" i="14"/>
  <c r="E137" i="14"/>
  <c r="D139" i="14"/>
  <c r="E163" i="14"/>
  <c r="F130" i="14"/>
  <c r="G130" i="14" s="1"/>
  <c r="F161" i="14"/>
  <c r="G161" i="14" s="1"/>
  <c r="F151" i="14"/>
  <c r="G151" i="14" s="1"/>
  <c r="D148" i="14"/>
  <c r="D140" i="14"/>
  <c r="E132" i="14"/>
  <c r="F128" i="14"/>
  <c r="G128" i="14" s="1"/>
  <c r="E140" i="14"/>
  <c r="D131" i="14"/>
  <c r="F149" i="14"/>
  <c r="G149" i="14" s="1"/>
  <c r="E156" i="14"/>
  <c r="D149" i="14"/>
  <c r="E160" i="14"/>
  <c r="F133" i="14"/>
  <c r="G133" i="14" s="1"/>
  <c r="F142" i="14"/>
  <c r="G142" i="14" s="1"/>
  <c r="D132" i="14"/>
  <c r="D141" i="14"/>
  <c r="D150" i="14"/>
  <c r="D165" i="14"/>
  <c r="D167" i="14"/>
  <c r="D128" i="14"/>
  <c r="D135" i="14"/>
  <c r="E162" i="14"/>
  <c r="F140" i="14"/>
  <c r="G140" i="14" s="1"/>
  <c r="D159" i="14"/>
  <c r="F164" i="14"/>
  <c r="E148" i="14"/>
  <c r="F156" i="14"/>
  <c r="D158" i="14"/>
  <c r="E159" i="14"/>
  <c r="E161" i="14"/>
  <c r="F129" i="14"/>
  <c r="G129" i="14" s="1"/>
  <c r="E142" i="14"/>
  <c r="E155" i="14"/>
  <c r="F160" i="14"/>
  <c r="G160" i="14" s="1"/>
  <c r="E139" i="14"/>
  <c r="F148" i="14"/>
  <c r="G148" i="14" s="1"/>
  <c r="E134" i="14"/>
  <c r="E152" i="14"/>
  <c r="F132" i="14"/>
  <c r="G132" i="14" s="1"/>
  <c r="D144" i="14"/>
  <c r="D136" i="14"/>
  <c r="E130" i="14"/>
  <c r="E145" i="14"/>
  <c r="E164" i="14"/>
  <c r="F138" i="14"/>
  <c r="G138" i="14" s="1"/>
  <c r="F131" i="14"/>
  <c r="G131" i="14" s="1"/>
  <c r="D138" i="14"/>
  <c r="D155" i="14"/>
  <c r="E143" i="14"/>
  <c r="E133" i="14"/>
  <c r="F135" i="14"/>
  <c r="G135" i="14" s="1"/>
  <c r="F166" i="14"/>
  <c r="E166" i="14"/>
  <c r="F143" i="14"/>
  <c r="G143" i="14" s="1"/>
  <c r="D127" i="14"/>
  <c r="D163" i="14"/>
  <c r="D146" i="14"/>
  <c r="D160" i="14"/>
  <c r="E138" i="14"/>
  <c r="E165" i="14"/>
  <c r="D134" i="14"/>
  <c r="D137" i="14"/>
  <c r="D162" i="14"/>
  <c r="F162" i="14"/>
  <c r="G162" i="14" s="1"/>
  <c r="F145" i="14"/>
  <c r="G145" i="14" s="1"/>
  <c r="F139" i="14"/>
  <c r="G139" i="14" s="1"/>
  <c r="F144" i="14"/>
  <c r="G144" i="14" s="1"/>
  <c r="D152" i="14"/>
  <c r="E151" i="14"/>
  <c r="E127" i="14"/>
  <c r="E154" i="14"/>
  <c r="D166" i="14"/>
  <c r="F157" i="14"/>
  <c r="G157" i="14" s="1"/>
  <c r="D147" i="14"/>
  <c r="F153" i="14"/>
  <c r="G153" i="14" s="1"/>
  <c r="E146" i="14"/>
  <c r="E136" i="14"/>
  <c r="E167" i="14"/>
  <c r="D153" i="14"/>
  <c r="E157" i="14"/>
  <c r="D145" i="14"/>
  <c r="D164" i="14"/>
  <c r="D154" i="14"/>
  <c r="D161" i="14"/>
  <c r="F163" i="14"/>
  <c r="D133" i="14"/>
  <c r="D157" i="14"/>
  <c r="E135" i="14"/>
  <c r="F167" i="14"/>
  <c r="E131" i="14"/>
  <c r="D143" i="14"/>
  <c r="D130" i="14"/>
  <c r="D142" i="14"/>
  <c r="E128" i="14"/>
  <c r="F137" i="14"/>
  <c r="G137" i="14" s="1"/>
  <c r="Q577" i="13"/>
  <c r="Q573" i="13"/>
  <c r="Q576" i="13"/>
  <c r="Q574" i="13"/>
  <c r="Q575" i="13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AA742" i="9"/>
  <c r="AA743" i="9"/>
  <c r="AA744" i="9"/>
  <c r="AA745" i="9"/>
  <c r="AA746" i="9"/>
  <c r="AA747" i="9"/>
  <c r="AA748" i="9"/>
  <c r="AA749" i="9"/>
  <c r="AA741" i="9"/>
  <c r="S738" i="9"/>
  <c r="G163" i="14" l="1"/>
  <c r="G164" i="14"/>
  <c r="G165" i="14"/>
  <c r="G166" i="14"/>
  <c r="G168" i="14"/>
  <c r="G167" i="14"/>
  <c r="G156" i="14"/>
  <c r="I156" i="14"/>
  <c r="Q739" i="9"/>
  <c r="J738" i="9"/>
  <c r="H738" i="9"/>
  <c r="H736" i="9"/>
  <c r="J736" i="9"/>
  <c r="H737" i="9"/>
  <c r="J737" i="9"/>
  <c r="S736" i="9"/>
  <c r="S737" i="9"/>
  <c r="A149" i="11"/>
  <c r="B149" i="11"/>
  <c r="C149" i="11"/>
  <c r="E149" i="11"/>
  <c r="F149" i="11"/>
  <c r="G149" i="11"/>
  <c r="H149" i="11"/>
  <c r="L149" i="11"/>
  <c r="M149" i="11"/>
  <c r="P149" i="11"/>
  <c r="Q149" i="11"/>
  <c r="R149" i="11"/>
  <c r="S149" i="11"/>
  <c r="T149" i="11"/>
  <c r="V149" i="11"/>
  <c r="W149" i="11"/>
  <c r="X149" i="11"/>
  <c r="Y149" i="11"/>
  <c r="A147" i="8"/>
  <c r="B147" i="8"/>
  <c r="C147" i="8"/>
  <c r="D147" i="8"/>
  <c r="F147" i="8"/>
  <c r="G147" i="8"/>
  <c r="I147" i="8"/>
  <c r="J147" i="8"/>
  <c r="M147" i="8"/>
  <c r="N147" i="8"/>
  <c r="P147" i="8"/>
  <c r="Q147" i="8"/>
  <c r="T147" i="8"/>
  <c r="U147" i="8"/>
  <c r="V147" i="8"/>
  <c r="X147" i="8"/>
  <c r="Y147" i="8"/>
  <c r="AA147" i="8"/>
  <c r="AB147" i="8"/>
  <c r="AC147" i="8"/>
  <c r="AE147" i="8"/>
  <c r="AF147" i="8"/>
  <c r="AI147" i="8"/>
  <c r="AJ147" i="8"/>
  <c r="AM147" i="8"/>
  <c r="AN147" i="8"/>
  <c r="AO147" i="8"/>
  <c r="EB232" i="3"/>
  <c r="DY232" i="3"/>
  <c r="DW232" i="3"/>
  <c r="DQ103" i="3"/>
  <c r="DS103" i="3"/>
  <c r="DS232" i="3" s="1"/>
  <c r="DM103" i="3"/>
  <c r="DM232" i="3" s="1"/>
  <c r="DJ103" i="3"/>
  <c r="DJ232" i="3" s="1"/>
  <c r="DH103" i="3"/>
  <c r="DH232" i="3" s="1"/>
  <c r="CY232" i="3"/>
  <c r="CZ232" i="3"/>
  <c r="DA232" i="3"/>
  <c r="DB232" i="3"/>
  <c r="DC232" i="3"/>
  <c r="CM103" i="3"/>
  <c r="CM232" i="3" s="1"/>
  <c r="CB103" i="3"/>
  <c r="CB232" i="3" s="1"/>
  <c r="BQ103" i="3"/>
  <c r="BF103" i="3"/>
  <c r="BF232" i="3" s="1"/>
  <c r="AU103" i="3"/>
  <c r="AU232" i="3" s="1"/>
  <c r="AJ103" i="3"/>
  <c r="AJ232" i="3" s="1"/>
  <c r="AB103" i="3"/>
  <c r="AB232" i="3" s="1"/>
  <c r="V103" i="3"/>
  <c r="U103" i="3"/>
  <c r="U232" i="3" s="1"/>
  <c r="C103" i="3"/>
  <c r="B231" i="3"/>
  <c r="F231" i="3"/>
  <c r="G231" i="3"/>
  <c r="H231" i="3"/>
  <c r="I231" i="3"/>
  <c r="M231" i="3"/>
  <c r="N231" i="3"/>
  <c r="O231" i="3"/>
  <c r="P231" i="3"/>
  <c r="Q231" i="3"/>
  <c r="R231" i="3"/>
  <c r="S231" i="3"/>
  <c r="T231" i="3"/>
  <c r="Z231" i="3"/>
  <c r="AA231" i="3"/>
  <c r="AI231" i="3"/>
  <c r="AK231" i="3"/>
  <c r="AO231" i="3"/>
  <c r="AP231" i="3"/>
  <c r="AT231" i="3"/>
  <c r="AV231" i="3"/>
  <c r="AW231" i="3"/>
  <c r="AZ231" i="3"/>
  <c r="BA231" i="3"/>
  <c r="BE231" i="3"/>
  <c r="BG231" i="3"/>
  <c r="BH231" i="3"/>
  <c r="BK231" i="3"/>
  <c r="BL231" i="3"/>
  <c r="BP231" i="3"/>
  <c r="BR231" i="3"/>
  <c r="BS231" i="3"/>
  <c r="BV231" i="3"/>
  <c r="BW231" i="3"/>
  <c r="CA231" i="3"/>
  <c r="CC231" i="3"/>
  <c r="CG231" i="3"/>
  <c r="CH231" i="3"/>
  <c r="CL231" i="3"/>
  <c r="CN231" i="3"/>
  <c r="CO231" i="3"/>
  <c r="CR231" i="3"/>
  <c r="CS231" i="3"/>
  <c r="DE231" i="3"/>
  <c r="DF231" i="3"/>
  <c r="DI231" i="3"/>
  <c r="DK231" i="3"/>
  <c r="DL231" i="3"/>
  <c r="DN231" i="3"/>
  <c r="DO231" i="3"/>
  <c r="DP231" i="3"/>
  <c r="DT231" i="3"/>
  <c r="DU231" i="3"/>
  <c r="DV231" i="3"/>
  <c r="DX231" i="3"/>
  <c r="DZ231" i="3"/>
  <c r="EA231" i="3"/>
  <c r="EC231" i="3"/>
  <c r="EE231" i="3"/>
  <c r="CX103" i="3" l="1"/>
  <c r="EJ103" i="3"/>
  <c r="EO103" i="3" s="1"/>
  <c r="CX232" i="3"/>
  <c r="N772" i="9"/>
  <c r="D528" i="1"/>
  <c r="C528" i="1" s="1"/>
  <c r="AQ103" i="3"/>
  <c r="AQ232" i="3" s="1"/>
  <c r="DQ232" i="3"/>
  <c r="BB103" i="3"/>
  <c r="BB232" i="3" s="1"/>
  <c r="BQ232" i="3"/>
  <c r="BX103" i="3"/>
  <c r="BX232" i="3" s="1"/>
  <c r="D103" i="3"/>
  <c r="D232" i="3" s="1"/>
  <c r="C232" i="3"/>
  <c r="BT103" i="3"/>
  <c r="BT232" i="3" s="1"/>
  <c r="V232" i="3"/>
  <c r="T528" i="1"/>
  <c r="CE103" i="3"/>
  <c r="CE232" i="3" s="1"/>
  <c r="BM103" i="3"/>
  <c r="BM232" i="3" s="1"/>
  <c r="CI103" i="3"/>
  <c r="DR103" i="3"/>
  <c r="DR232" i="3" s="1"/>
  <c r="BI103" i="3"/>
  <c r="BI232" i="3" s="1"/>
  <c r="CP103" i="3"/>
  <c r="CP232" i="3" s="1"/>
  <c r="AM103" i="3"/>
  <c r="AM232" i="3" s="1"/>
  <c r="CT103" i="3"/>
  <c r="CT232" i="3" s="1"/>
  <c r="AX103" i="3"/>
  <c r="AX232" i="3" s="1"/>
  <c r="EG232" i="3"/>
  <c r="J103" i="3"/>
  <c r="W103" i="3"/>
  <c r="K103" i="3"/>
  <c r="P789" i="9"/>
  <c r="P790" i="9"/>
  <c r="Q738" i="9"/>
  <c r="Q737" i="9"/>
  <c r="E103" i="3"/>
  <c r="E232" i="3" s="1"/>
  <c r="E730" i="9"/>
  <c r="E729" i="9"/>
  <c r="N773" i="9" l="1"/>
  <c r="N782" i="9" s="1"/>
  <c r="N769" i="9"/>
  <c r="E731" i="9"/>
  <c r="AS103" i="3"/>
  <c r="AS232" i="3" s="1"/>
  <c r="BD103" i="3"/>
  <c r="BD232" i="3" s="1"/>
  <c r="AY103" i="3"/>
  <c r="AY232" i="3" s="1"/>
  <c r="AR103" i="3"/>
  <c r="AR232" i="3" s="1"/>
  <c r="BC103" i="3"/>
  <c r="BC232" i="3" s="1"/>
  <c r="BN103" i="3"/>
  <c r="BN232" i="3" s="1"/>
  <c r="BZ103" i="3"/>
  <c r="BZ232" i="3" s="1"/>
  <c r="BU103" i="3"/>
  <c r="BU232" i="3" s="1"/>
  <c r="L103" i="3"/>
  <c r="L232" i="3" s="1"/>
  <c r="K232" i="3"/>
  <c r="K528" i="1"/>
  <c r="CK103" i="3"/>
  <c r="CK232" i="3" s="1"/>
  <c r="CI232" i="3"/>
  <c r="BO103" i="3"/>
  <c r="BO232" i="3" s="1"/>
  <c r="CQ103" i="3"/>
  <c r="CQ232" i="3" s="1"/>
  <c r="CF103" i="3"/>
  <c r="CF232" i="3" s="1"/>
  <c r="J232" i="3"/>
  <c r="CJ103" i="3"/>
  <c r="CJ232" i="3" s="1"/>
  <c r="CV103" i="3"/>
  <c r="CV232" i="3" s="1"/>
  <c r="CU103" i="3"/>
  <c r="CU232" i="3" s="1"/>
  <c r="X103" i="3"/>
  <c r="X232" i="3" s="1"/>
  <c r="W232" i="3"/>
  <c r="P528" i="1"/>
  <c r="BJ103" i="3"/>
  <c r="BJ232" i="3" s="1"/>
  <c r="AN103" i="3"/>
  <c r="AN232" i="3" s="1"/>
  <c r="BY103" i="3"/>
  <c r="BY232" i="3" s="1"/>
  <c r="Y103" i="3"/>
  <c r="Y232" i="3" s="1"/>
  <c r="Q725" i="9"/>
  <c r="S725" i="9"/>
  <c r="Q726" i="9"/>
  <c r="S726" i="9"/>
  <c r="Q727" i="9"/>
  <c r="S727" i="9"/>
  <c r="Q728" i="9"/>
  <c r="S728" i="9"/>
  <c r="Q729" i="9"/>
  <c r="S729" i="9"/>
  <c r="Q730" i="9"/>
  <c r="S730" i="9"/>
  <c r="Q731" i="9"/>
  <c r="S731" i="9"/>
  <c r="Q732" i="9"/>
  <c r="S732" i="9"/>
  <c r="Q733" i="9"/>
  <c r="S733" i="9"/>
  <c r="Q734" i="9"/>
  <c r="S734" i="9"/>
  <c r="S735" i="9"/>
  <c r="H733" i="9"/>
  <c r="J733" i="9"/>
  <c r="H734" i="9"/>
  <c r="J734" i="9"/>
  <c r="H735" i="9"/>
  <c r="J735" i="9"/>
  <c r="AE528" i="1"/>
  <c r="AH528" i="1"/>
  <c r="AI528" i="1"/>
  <c r="S527" i="1"/>
  <c r="R527" i="1" s="1"/>
  <c r="AF528" i="1" l="1"/>
  <c r="AG528" i="1"/>
  <c r="O782" i="9"/>
  <c r="O784" i="9" s="1"/>
  <c r="N784" i="9"/>
  <c r="P787" i="9"/>
  <c r="P788" i="9"/>
  <c r="Q736" i="9"/>
  <c r="Q735" i="9"/>
  <c r="N730" i="9"/>
  <c r="N729" i="9"/>
  <c r="H732" i="9"/>
  <c r="J732" i="9"/>
  <c r="A148" i="11"/>
  <c r="B148" i="11"/>
  <c r="C148" i="11"/>
  <c r="E148" i="11"/>
  <c r="F148" i="11"/>
  <c r="G148" i="11"/>
  <c r="H148" i="11"/>
  <c r="L148" i="11"/>
  <c r="M148" i="11"/>
  <c r="P148" i="11"/>
  <c r="Q148" i="11"/>
  <c r="S148" i="11"/>
  <c r="T148" i="11"/>
  <c r="X148" i="11"/>
  <c r="Y148" i="11"/>
  <c r="K100" i="8"/>
  <c r="AM146" i="8"/>
  <c r="AN146" i="8"/>
  <c r="AO146" i="8"/>
  <c r="AI146" i="8"/>
  <c r="AJ146" i="8"/>
  <c r="AE146" i="8"/>
  <c r="AF146" i="8"/>
  <c r="AA146" i="8"/>
  <c r="AB146" i="8"/>
  <c r="AC146" i="8"/>
  <c r="X146" i="8"/>
  <c r="Y146" i="8"/>
  <c r="T146" i="8"/>
  <c r="U146" i="8"/>
  <c r="V146" i="8"/>
  <c r="P146" i="8"/>
  <c r="Q146" i="8"/>
  <c r="M146" i="8"/>
  <c r="N146" i="8"/>
  <c r="I146" i="8"/>
  <c r="J146" i="8"/>
  <c r="K146" i="8"/>
  <c r="F146" i="8"/>
  <c r="G146" i="8"/>
  <c r="A146" i="8"/>
  <c r="B146" i="8"/>
  <c r="C146" i="8"/>
  <c r="D146" i="8"/>
  <c r="EB231" i="3"/>
  <c r="DY102" i="3"/>
  <c r="DW231" i="3"/>
  <c r="DQ102" i="3"/>
  <c r="DS102" i="3"/>
  <c r="DS231" i="3" s="1"/>
  <c r="DM102" i="3"/>
  <c r="DM231" i="3" s="1"/>
  <c r="DJ102" i="3"/>
  <c r="DH102" i="3"/>
  <c r="DH231" i="3" s="1"/>
  <c r="CY231" i="3"/>
  <c r="DA231" i="3"/>
  <c r="DB231" i="3"/>
  <c r="DC231" i="3"/>
  <c r="CM102" i="3"/>
  <c r="CB102" i="3"/>
  <c r="BQ102" i="3"/>
  <c r="BF102" i="3"/>
  <c r="BM102" i="3" s="1"/>
  <c r="AU102" i="3"/>
  <c r="AJ102" i="3"/>
  <c r="AB102" i="3"/>
  <c r="AB231" i="3" s="1"/>
  <c r="U102" i="3"/>
  <c r="U231" i="3" s="1"/>
  <c r="V102" i="3"/>
  <c r="V231" i="3" s="1"/>
  <c r="C102" i="3"/>
  <c r="DE230" i="3"/>
  <c r="DF230" i="3"/>
  <c r="DI230" i="3"/>
  <c r="DK230" i="3"/>
  <c r="DL230" i="3"/>
  <c r="DN230" i="3"/>
  <c r="DO230" i="3"/>
  <c r="DP230" i="3"/>
  <c r="DT230" i="3"/>
  <c r="DU230" i="3"/>
  <c r="DV230" i="3"/>
  <c r="DX230" i="3"/>
  <c r="DZ230" i="3"/>
  <c r="EA230" i="3"/>
  <c r="EC230" i="3"/>
  <c r="EE230" i="3"/>
  <c r="AI230" i="3"/>
  <c r="AK230" i="3"/>
  <c r="AL230" i="3"/>
  <c r="AO230" i="3"/>
  <c r="AP230" i="3"/>
  <c r="AT230" i="3"/>
  <c r="AV230" i="3"/>
  <c r="AW230" i="3"/>
  <c r="AZ230" i="3"/>
  <c r="BA230" i="3"/>
  <c r="BE230" i="3"/>
  <c r="BG230" i="3"/>
  <c r="BH230" i="3"/>
  <c r="BK230" i="3"/>
  <c r="BL230" i="3"/>
  <c r="BP230" i="3"/>
  <c r="BR230" i="3"/>
  <c r="BS230" i="3"/>
  <c r="BV230" i="3"/>
  <c r="BW230" i="3"/>
  <c r="CA230" i="3"/>
  <c r="CC230" i="3"/>
  <c r="CD230" i="3"/>
  <c r="CG230" i="3"/>
  <c r="CH230" i="3"/>
  <c r="CL230" i="3"/>
  <c r="CN230" i="3"/>
  <c r="CO230" i="3"/>
  <c r="CR230" i="3"/>
  <c r="CS230" i="3"/>
  <c r="B230" i="3"/>
  <c r="F230" i="3"/>
  <c r="G230" i="3"/>
  <c r="H230" i="3"/>
  <c r="I230" i="3"/>
  <c r="M230" i="3"/>
  <c r="N230" i="3"/>
  <c r="O230" i="3"/>
  <c r="P230" i="3"/>
  <c r="Q230" i="3"/>
  <c r="R230" i="3"/>
  <c r="S230" i="3"/>
  <c r="T230" i="3"/>
  <c r="Z230" i="3"/>
  <c r="AA230" i="3"/>
  <c r="CX102" i="3" l="1"/>
  <c r="EJ102" i="3"/>
  <c r="EO102" i="3" s="1"/>
  <c r="N777" i="9"/>
  <c r="CX231" i="3"/>
  <c r="K147" i="8"/>
  <c r="K107" i="8"/>
  <c r="D527" i="1"/>
  <c r="C527" i="1" s="1"/>
  <c r="DQ231" i="3"/>
  <c r="T527" i="1"/>
  <c r="C231" i="3"/>
  <c r="DR102" i="3"/>
  <c r="DR231" i="3" s="1"/>
  <c r="DJ231" i="3"/>
  <c r="BM231" i="3"/>
  <c r="BF231" i="3"/>
  <c r="BT102" i="3"/>
  <c r="BT231" i="3" s="1"/>
  <c r="BQ231" i="3"/>
  <c r="CE102" i="3"/>
  <c r="CE231" i="3" s="1"/>
  <c r="CB231" i="3"/>
  <c r="CP102" i="3"/>
  <c r="CP231" i="3" s="1"/>
  <c r="CM231" i="3"/>
  <c r="AM102" i="3"/>
  <c r="AM231" i="3" s="1"/>
  <c r="AJ231" i="3"/>
  <c r="EG102" i="3"/>
  <c r="EG231" i="3" s="1"/>
  <c r="DY231" i="3"/>
  <c r="AX102" i="3"/>
  <c r="AX231" i="3" s="1"/>
  <c r="AU231" i="3"/>
  <c r="AQ102" i="3"/>
  <c r="AQ231" i="3" s="1"/>
  <c r="E102" i="3"/>
  <c r="E231" i="3" s="1"/>
  <c r="CT102" i="3"/>
  <c r="CT231" i="3" s="1"/>
  <c r="K102" i="3"/>
  <c r="L102" i="3" s="1"/>
  <c r="L231" i="3" s="1"/>
  <c r="BX102" i="3"/>
  <c r="D102" i="3"/>
  <c r="D231" i="3" s="1"/>
  <c r="J102" i="3"/>
  <c r="BI102" i="3"/>
  <c r="BI231" i="3" s="1"/>
  <c r="CI102" i="3"/>
  <c r="CI231" i="3" s="1"/>
  <c r="W102" i="3"/>
  <c r="BB102" i="3"/>
  <c r="BB231" i="3" s="1"/>
  <c r="N778" i="9" l="1"/>
  <c r="N787" i="9" s="1"/>
  <c r="K108" i="8"/>
  <c r="K154" i="8"/>
  <c r="CV102" i="3"/>
  <c r="CV231" i="3" s="1"/>
  <c r="P527" i="1"/>
  <c r="W231" i="3"/>
  <c r="Y102" i="3"/>
  <c r="Y231" i="3" s="1"/>
  <c r="AS102" i="3"/>
  <c r="AS231" i="3" s="1"/>
  <c r="BD102" i="3"/>
  <c r="BD231" i="3" s="1"/>
  <c r="BZ102" i="3"/>
  <c r="BZ231" i="3" s="1"/>
  <c r="BX231" i="3"/>
  <c r="K527" i="1"/>
  <c r="K231" i="3"/>
  <c r="CQ102" i="3"/>
  <c r="CQ231" i="3" s="1"/>
  <c r="J231" i="3"/>
  <c r="AY102" i="3"/>
  <c r="AY231" i="3" s="1"/>
  <c r="AN102" i="3"/>
  <c r="AN231" i="3" s="1"/>
  <c r="BC102" i="3"/>
  <c r="BC231" i="3" s="1"/>
  <c r="BJ102" i="3"/>
  <c r="BJ231" i="3" s="1"/>
  <c r="X102" i="3"/>
  <c r="X231" i="3" s="1"/>
  <c r="BY102" i="3"/>
  <c r="BY231" i="3" s="1"/>
  <c r="AR102" i="3"/>
  <c r="AR231" i="3" s="1"/>
  <c r="CK102" i="3"/>
  <c r="CK231" i="3" s="1"/>
  <c r="CJ102" i="3"/>
  <c r="CJ231" i="3" s="1"/>
  <c r="CF102" i="3"/>
  <c r="CF231" i="3" s="1"/>
  <c r="BU102" i="3"/>
  <c r="BU231" i="3" s="1"/>
  <c r="CU102" i="3"/>
  <c r="CU231" i="3" s="1"/>
  <c r="BO102" i="3"/>
  <c r="BO231" i="3" s="1"/>
  <c r="BN102" i="3"/>
  <c r="BN231" i="3" s="1"/>
  <c r="D124" i="3" l="1"/>
  <c r="D253" i="3" s="1"/>
  <c r="E124" i="3"/>
  <c r="E253" i="3" s="1"/>
  <c r="K155" i="8"/>
  <c r="N789" i="9"/>
  <c r="O787" i="9"/>
  <c r="O789" i="9" s="1"/>
  <c r="K109" i="8"/>
  <c r="K156" i="8" s="1"/>
  <c r="H725" i="9"/>
  <c r="J725" i="9"/>
  <c r="H726" i="9"/>
  <c r="J726" i="9"/>
  <c r="H727" i="9"/>
  <c r="J727" i="9"/>
  <c r="H728" i="9"/>
  <c r="J728" i="9"/>
  <c r="H729" i="9"/>
  <c r="J729" i="9"/>
  <c r="H730" i="9"/>
  <c r="J730" i="9"/>
  <c r="H731" i="9"/>
  <c r="J731" i="9"/>
  <c r="K110" i="8" l="1"/>
  <c r="S526" i="1"/>
  <c r="R526" i="1" s="1"/>
  <c r="AE527" i="1"/>
  <c r="AH527" i="1"/>
  <c r="AI527" i="1"/>
  <c r="M72" i="11"/>
  <c r="M73" i="11" s="1"/>
  <c r="M74" i="11" s="1"/>
  <c r="A147" i="11"/>
  <c r="B147" i="11"/>
  <c r="C147" i="11"/>
  <c r="E147" i="11"/>
  <c r="F147" i="11"/>
  <c r="G147" i="11"/>
  <c r="H147" i="11"/>
  <c r="L147" i="11"/>
  <c r="M147" i="11"/>
  <c r="P147" i="11"/>
  <c r="Q147" i="11"/>
  <c r="S147" i="11"/>
  <c r="T147" i="11"/>
  <c r="X147" i="11"/>
  <c r="Y147" i="11"/>
  <c r="A145" i="8"/>
  <c r="B145" i="8"/>
  <c r="C145" i="8"/>
  <c r="D145" i="8"/>
  <c r="F145" i="8"/>
  <c r="G145" i="8"/>
  <c r="I145" i="8"/>
  <c r="J145" i="8"/>
  <c r="K145" i="8"/>
  <c r="M145" i="8"/>
  <c r="N145" i="8"/>
  <c r="P145" i="8"/>
  <c r="Q145" i="8"/>
  <c r="T145" i="8"/>
  <c r="U145" i="8"/>
  <c r="V145" i="8"/>
  <c r="X145" i="8"/>
  <c r="Y145" i="8"/>
  <c r="AA145" i="8"/>
  <c r="AB145" i="8"/>
  <c r="AC145" i="8"/>
  <c r="AE145" i="8"/>
  <c r="AF145" i="8"/>
  <c r="AI145" i="8"/>
  <c r="AJ145" i="8"/>
  <c r="AM145" i="8"/>
  <c r="AN145" i="8"/>
  <c r="AO145" i="8"/>
  <c r="EB101" i="3"/>
  <c r="EB230" i="3" s="1"/>
  <c r="DY101" i="3"/>
  <c r="DY230" i="3" s="1"/>
  <c r="DW230" i="3"/>
  <c r="DQ101" i="3"/>
  <c r="DS101" i="3"/>
  <c r="DS230" i="3" s="1"/>
  <c r="DM101" i="3"/>
  <c r="DM230" i="3" s="1"/>
  <c r="DJ101" i="3"/>
  <c r="DJ230" i="3" s="1"/>
  <c r="DH101" i="3"/>
  <c r="DH230" i="3" s="1"/>
  <c r="CY230" i="3"/>
  <c r="CZ230" i="3"/>
  <c r="DA230" i="3"/>
  <c r="DB230" i="3"/>
  <c r="DC230" i="3"/>
  <c r="CM101" i="3"/>
  <c r="CM230" i="3" s="1"/>
  <c r="CB101" i="3"/>
  <c r="CB230" i="3" s="1"/>
  <c r="BQ101" i="3"/>
  <c r="BQ230" i="3" s="1"/>
  <c r="BF101" i="3"/>
  <c r="BF230" i="3" s="1"/>
  <c r="AU101" i="3"/>
  <c r="AU230" i="3" s="1"/>
  <c r="AJ101" i="3"/>
  <c r="AJ230" i="3" s="1"/>
  <c r="AB101" i="3"/>
  <c r="AB230" i="3" s="1"/>
  <c r="U101" i="3"/>
  <c r="U230" i="3" s="1"/>
  <c r="V101" i="3"/>
  <c r="V230" i="3" s="1"/>
  <c r="C101" i="3"/>
  <c r="B229" i="3"/>
  <c r="F229" i="3"/>
  <c r="G229" i="3"/>
  <c r="H229" i="3"/>
  <c r="I229" i="3"/>
  <c r="M229" i="3"/>
  <c r="N229" i="3"/>
  <c r="O229" i="3"/>
  <c r="P229" i="3"/>
  <c r="Q229" i="3"/>
  <c r="R229" i="3"/>
  <c r="S229" i="3"/>
  <c r="T229" i="3"/>
  <c r="Z229" i="3"/>
  <c r="AA229" i="3"/>
  <c r="AI229" i="3"/>
  <c r="AK229" i="3"/>
  <c r="AL229" i="3"/>
  <c r="AO229" i="3"/>
  <c r="AP229" i="3"/>
  <c r="AT229" i="3"/>
  <c r="AV229" i="3"/>
  <c r="AW229" i="3"/>
  <c r="AZ229" i="3"/>
  <c r="BA229" i="3"/>
  <c r="BE229" i="3"/>
  <c r="BG229" i="3"/>
  <c r="BH229" i="3"/>
  <c r="BK229" i="3"/>
  <c r="BL229" i="3"/>
  <c r="BP229" i="3"/>
  <c r="BR229" i="3"/>
  <c r="BS229" i="3"/>
  <c r="BV229" i="3"/>
  <c r="BW229" i="3"/>
  <c r="CA229" i="3"/>
  <c r="CC229" i="3"/>
  <c r="CD229" i="3"/>
  <c r="CG229" i="3"/>
  <c r="CH229" i="3"/>
  <c r="CL229" i="3"/>
  <c r="CN229" i="3"/>
  <c r="CO229" i="3"/>
  <c r="CR229" i="3"/>
  <c r="CS229" i="3"/>
  <c r="DE229" i="3"/>
  <c r="DF229" i="3"/>
  <c r="DI229" i="3"/>
  <c r="DK229" i="3"/>
  <c r="DL229" i="3"/>
  <c r="DN229" i="3"/>
  <c r="DO229" i="3"/>
  <c r="DP229" i="3"/>
  <c r="DT229" i="3"/>
  <c r="DU229" i="3"/>
  <c r="DV229" i="3"/>
  <c r="DX229" i="3"/>
  <c r="DZ229" i="3"/>
  <c r="EA229" i="3"/>
  <c r="EC229" i="3"/>
  <c r="EE229" i="3"/>
  <c r="AH526" i="1"/>
  <c r="AE526" i="1"/>
  <c r="AI526" i="1"/>
  <c r="Q722" i="9"/>
  <c r="S722" i="9"/>
  <c r="Q723" i="9"/>
  <c r="S723" i="9"/>
  <c r="S724" i="9"/>
  <c r="Q724" i="9"/>
  <c r="J724" i="9"/>
  <c r="J722" i="9"/>
  <c r="J723" i="9"/>
  <c r="S525" i="1"/>
  <c r="W98" i="11"/>
  <c r="A146" i="11"/>
  <c r="B146" i="11"/>
  <c r="C146" i="11"/>
  <c r="E146" i="11"/>
  <c r="F146" i="11"/>
  <c r="G146" i="11"/>
  <c r="H146" i="11"/>
  <c r="L146" i="11"/>
  <c r="M146" i="11"/>
  <c r="P146" i="11"/>
  <c r="Q146" i="11"/>
  <c r="S146" i="11"/>
  <c r="T146" i="11"/>
  <c r="V146" i="11"/>
  <c r="W146" i="11"/>
  <c r="X146" i="11"/>
  <c r="Y146" i="11"/>
  <c r="A144" i="8"/>
  <c r="B144" i="8"/>
  <c r="C144" i="8"/>
  <c r="D144" i="8"/>
  <c r="F144" i="8"/>
  <c r="G144" i="8"/>
  <c r="I144" i="8"/>
  <c r="J144" i="8"/>
  <c r="K144" i="8"/>
  <c r="M144" i="8"/>
  <c r="N144" i="8"/>
  <c r="P144" i="8"/>
  <c r="Q144" i="8"/>
  <c r="T144" i="8"/>
  <c r="U144" i="8"/>
  <c r="V144" i="8"/>
  <c r="X144" i="8"/>
  <c r="Y144" i="8"/>
  <c r="AA144" i="8"/>
  <c r="AB144" i="8"/>
  <c r="AE144" i="8"/>
  <c r="AF144" i="8"/>
  <c r="AG144" i="8"/>
  <c r="AI144" i="8"/>
  <c r="AJ144" i="8"/>
  <c r="AM144" i="8"/>
  <c r="AN144" i="8"/>
  <c r="AO144" i="8"/>
  <c r="EJ101" i="3" l="1"/>
  <c r="EO101" i="3" s="1"/>
  <c r="AF526" i="1"/>
  <c r="AG526" i="1"/>
  <c r="AF527" i="1"/>
  <c r="AG527" i="1"/>
  <c r="K157" i="8"/>
  <c r="K111" i="8"/>
  <c r="K112" i="8" s="1"/>
  <c r="K159" i="8" s="1"/>
  <c r="CX101" i="3"/>
  <c r="CX230" i="3" s="1"/>
  <c r="D526" i="1"/>
  <c r="C526" i="1" s="1"/>
  <c r="V98" i="11"/>
  <c r="DQ230" i="3"/>
  <c r="CT101" i="3"/>
  <c r="T526" i="1"/>
  <c r="W101" i="3"/>
  <c r="BI101" i="3"/>
  <c r="BI230" i="3" s="1"/>
  <c r="BM101" i="3"/>
  <c r="BM230" i="3" s="1"/>
  <c r="BT101" i="3"/>
  <c r="BT230" i="3" s="1"/>
  <c r="BX101" i="3"/>
  <c r="EG101" i="3"/>
  <c r="EG230" i="3" s="1"/>
  <c r="K101" i="3"/>
  <c r="K526" i="1" s="1"/>
  <c r="AM101" i="3"/>
  <c r="DR101" i="3"/>
  <c r="DR230" i="3" s="1"/>
  <c r="AX101" i="3"/>
  <c r="AQ101" i="3"/>
  <c r="CE101" i="3"/>
  <c r="CI101" i="3"/>
  <c r="CP101" i="3"/>
  <c r="BB101" i="3"/>
  <c r="D101" i="3"/>
  <c r="D230" i="3" s="1"/>
  <c r="C230" i="3"/>
  <c r="J101" i="3"/>
  <c r="H724" i="9"/>
  <c r="W147" i="11"/>
  <c r="W99" i="11"/>
  <c r="W103" i="11" s="1"/>
  <c r="W152" i="11" s="1"/>
  <c r="M75" i="11"/>
  <c r="E101" i="3"/>
  <c r="E230" i="3" s="1"/>
  <c r="H723" i="9"/>
  <c r="EB100" i="3"/>
  <c r="EB229" i="3" s="1"/>
  <c r="DY100" i="3"/>
  <c r="DW100" i="3"/>
  <c r="DW229" i="3" s="1"/>
  <c r="DQ100" i="3"/>
  <c r="DS100" i="3"/>
  <c r="DS229" i="3" s="1"/>
  <c r="DM100" i="3"/>
  <c r="DM229" i="3" s="1"/>
  <c r="DJ100" i="3"/>
  <c r="DH100" i="3"/>
  <c r="DH229" i="3" s="1"/>
  <c r="CY229" i="3"/>
  <c r="CZ229" i="3"/>
  <c r="DA229" i="3"/>
  <c r="DB229" i="3"/>
  <c r="DC229" i="3"/>
  <c r="CM100" i="3"/>
  <c r="CB100" i="3"/>
  <c r="BQ100" i="3"/>
  <c r="BF100" i="3"/>
  <c r="AU100" i="3"/>
  <c r="AJ100" i="3"/>
  <c r="AB100" i="3"/>
  <c r="AB229" i="3" s="1"/>
  <c r="U100" i="3"/>
  <c r="U229" i="3" s="1"/>
  <c r="V100" i="3"/>
  <c r="V229" i="3" s="1"/>
  <c r="C100" i="3"/>
  <c r="B228" i="3"/>
  <c r="F228" i="3"/>
  <c r="G228" i="3"/>
  <c r="H228" i="3"/>
  <c r="I228" i="3"/>
  <c r="M228" i="3"/>
  <c r="N228" i="3"/>
  <c r="O228" i="3"/>
  <c r="P228" i="3"/>
  <c r="Q228" i="3"/>
  <c r="R228" i="3"/>
  <c r="S228" i="3"/>
  <c r="T228" i="3"/>
  <c r="Z228" i="3"/>
  <c r="AA228" i="3"/>
  <c r="AI228" i="3"/>
  <c r="AK228" i="3"/>
  <c r="AL228" i="3"/>
  <c r="AO228" i="3"/>
  <c r="AP228" i="3"/>
  <c r="AT228" i="3"/>
  <c r="AV228" i="3"/>
  <c r="AW228" i="3"/>
  <c r="AZ228" i="3"/>
  <c r="BA228" i="3"/>
  <c r="BE228" i="3"/>
  <c r="BG228" i="3"/>
  <c r="BH228" i="3"/>
  <c r="BK228" i="3"/>
  <c r="BL228" i="3"/>
  <c r="BP228" i="3"/>
  <c r="BR228" i="3"/>
  <c r="BS228" i="3"/>
  <c r="BV228" i="3"/>
  <c r="BW228" i="3"/>
  <c r="CA228" i="3"/>
  <c r="CC228" i="3"/>
  <c r="CD228" i="3"/>
  <c r="CG228" i="3"/>
  <c r="CH228" i="3"/>
  <c r="CL228" i="3"/>
  <c r="CN228" i="3"/>
  <c r="CO228" i="3"/>
  <c r="CR228" i="3"/>
  <c r="CS228" i="3"/>
  <c r="DE228" i="3"/>
  <c r="DF228" i="3"/>
  <c r="DI228" i="3"/>
  <c r="DK228" i="3"/>
  <c r="DL228" i="3"/>
  <c r="DN228" i="3"/>
  <c r="DO228" i="3"/>
  <c r="DP228" i="3"/>
  <c r="DT228" i="3"/>
  <c r="DU228" i="3"/>
  <c r="DV228" i="3"/>
  <c r="DX228" i="3"/>
  <c r="DZ228" i="3"/>
  <c r="EA228" i="3"/>
  <c r="EC228" i="3"/>
  <c r="EE228" i="3"/>
  <c r="EJ100" i="3" l="1"/>
  <c r="EO100" i="3" s="1"/>
  <c r="CX100" i="3"/>
  <c r="CX229" i="3" s="1"/>
  <c r="BY101" i="3"/>
  <c r="BY230" i="3" s="1"/>
  <c r="D525" i="1"/>
  <c r="C525" i="1" s="1"/>
  <c r="V147" i="11"/>
  <c r="BO101" i="3"/>
  <c r="BO230" i="3" s="1"/>
  <c r="CU101" i="3"/>
  <c r="CU230" i="3" s="1"/>
  <c r="BX230" i="3"/>
  <c r="W230" i="3"/>
  <c r="CT230" i="3"/>
  <c r="L101" i="3"/>
  <c r="L230" i="3" s="1"/>
  <c r="BZ101" i="3"/>
  <c r="BZ230" i="3" s="1"/>
  <c r="Y101" i="3"/>
  <c r="Y230" i="3" s="1"/>
  <c r="X101" i="3"/>
  <c r="X230" i="3" s="1"/>
  <c r="DQ229" i="3"/>
  <c r="K230" i="3"/>
  <c r="P526" i="1"/>
  <c r="BN101" i="3"/>
  <c r="BN230" i="3" s="1"/>
  <c r="AS101" i="3"/>
  <c r="AS230" i="3" s="1"/>
  <c r="CK101" i="3"/>
  <c r="CK230" i="3" s="1"/>
  <c r="V99" i="11"/>
  <c r="V148" i="11" s="1"/>
  <c r="W148" i="11"/>
  <c r="BD101" i="3"/>
  <c r="BD230" i="3" s="1"/>
  <c r="BB230" i="3"/>
  <c r="BC101" i="3"/>
  <c r="BC230" i="3" s="1"/>
  <c r="AR101" i="3"/>
  <c r="AR230" i="3" s="1"/>
  <c r="AQ230" i="3"/>
  <c r="J230" i="3"/>
  <c r="BU101" i="3"/>
  <c r="BU230" i="3" s="1"/>
  <c r="CF101" i="3"/>
  <c r="CF230" i="3" s="1"/>
  <c r="CE230" i="3"/>
  <c r="AY101" i="3"/>
  <c r="AY230" i="3" s="1"/>
  <c r="AX230" i="3"/>
  <c r="CJ101" i="3"/>
  <c r="CJ230" i="3" s="1"/>
  <c r="CI230" i="3"/>
  <c r="BJ101" i="3"/>
  <c r="BJ230" i="3" s="1"/>
  <c r="CQ101" i="3"/>
  <c r="CQ230" i="3" s="1"/>
  <c r="CP230" i="3"/>
  <c r="CV101" i="3"/>
  <c r="CV230" i="3" s="1"/>
  <c r="AN101" i="3"/>
  <c r="AN230" i="3" s="1"/>
  <c r="AM230" i="3"/>
  <c r="M76" i="11"/>
  <c r="M77" i="11" s="1"/>
  <c r="EG100" i="3"/>
  <c r="EG229" i="3" s="1"/>
  <c r="DY229" i="3"/>
  <c r="DR100" i="3"/>
  <c r="DR229" i="3" s="1"/>
  <c r="DJ229" i="3"/>
  <c r="CT100" i="3"/>
  <c r="CT229" i="3" s="1"/>
  <c r="CM229" i="3"/>
  <c r="CE100" i="3"/>
  <c r="CE229" i="3" s="1"/>
  <c r="CB229" i="3"/>
  <c r="BX100" i="3"/>
  <c r="BX229" i="3" s="1"/>
  <c r="BQ229" i="3"/>
  <c r="BM100" i="3"/>
  <c r="BM229" i="3" s="1"/>
  <c r="BF229" i="3"/>
  <c r="BB100" i="3"/>
  <c r="BB229" i="3" s="1"/>
  <c r="AU229" i="3"/>
  <c r="AQ100" i="3"/>
  <c r="AQ229" i="3" s="1"/>
  <c r="AJ229" i="3"/>
  <c r="E100" i="3"/>
  <c r="E229" i="3" s="1"/>
  <c r="C229" i="3"/>
  <c r="CP100" i="3"/>
  <c r="CP229" i="3" s="1"/>
  <c r="CI100" i="3"/>
  <c r="CI229" i="3" s="1"/>
  <c r="BI100" i="3"/>
  <c r="BI229" i="3" s="1"/>
  <c r="AX100" i="3"/>
  <c r="AX229" i="3" s="1"/>
  <c r="D100" i="3"/>
  <c r="D229" i="3" s="1"/>
  <c r="K100" i="3"/>
  <c r="K229" i="3" s="1"/>
  <c r="J100" i="3"/>
  <c r="AM100" i="3"/>
  <c r="W100" i="3"/>
  <c r="BT100" i="3"/>
  <c r="BT229" i="3" s="1"/>
  <c r="AH525" i="1"/>
  <c r="AE525" i="1"/>
  <c r="AI525" i="1"/>
  <c r="AF525" i="1" l="1"/>
  <c r="AG525" i="1"/>
  <c r="V103" i="11"/>
  <c r="V152" i="11" s="1"/>
  <c r="W229" i="3"/>
  <c r="CV100" i="3"/>
  <c r="CV229" i="3" s="1"/>
  <c r="CK100" i="3"/>
  <c r="CK229" i="3" s="1"/>
  <c r="BJ100" i="3"/>
  <c r="BJ229" i="3" s="1"/>
  <c r="BO100" i="3"/>
  <c r="BO229" i="3" s="1"/>
  <c r="AN100" i="3"/>
  <c r="AN229" i="3" s="1"/>
  <c r="AM229" i="3"/>
  <c r="CF100" i="3"/>
  <c r="CF229" i="3" s="1"/>
  <c r="J229" i="3"/>
  <c r="X100" i="3"/>
  <c r="X229" i="3" s="1"/>
  <c r="P525" i="1"/>
  <c r="CJ100" i="3"/>
  <c r="CJ229" i="3" s="1"/>
  <c r="K525" i="1"/>
  <c r="L100" i="3"/>
  <c r="L229" i="3" s="1"/>
  <c r="AY100" i="3"/>
  <c r="AY229" i="3" s="1"/>
  <c r="BD100" i="3"/>
  <c r="BD229" i="3" s="1"/>
  <c r="BC100" i="3"/>
  <c r="BC229" i="3" s="1"/>
  <c r="BY100" i="3"/>
  <c r="BY229" i="3" s="1"/>
  <c r="AS100" i="3"/>
  <c r="AS229" i="3" s="1"/>
  <c r="CQ100" i="3"/>
  <c r="CQ229" i="3" s="1"/>
  <c r="Y100" i="3"/>
  <c r="Y229" i="3" s="1"/>
  <c r="AR100" i="3"/>
  <c r="AR229" i="3" s="1"/>
  <c r="CU100" i="3"/>
  <c r="CU229" i="3" s="1"/>
  <c r="BU100" i="3"/>
  <c r="BU229" i="3" s="1"/>
  <c r="BZ100" i="3"/>
  <c r="BZ229" i="3" s="1"/>
  <c r="BN100" i="3"/>
  <c r="BN229" i="3" s="1"/>
  <c r="S524" i="1" l="1"/>
  <c r="R524" i="1" s="1"/>
  <c r="S721" i="9"/>
  <c r="J721" i="9"/>
  <c r="S719" i="9"/>
  <c r="S720" i="9"/>
  <c r="J719" i="9"/>
  <c r="J720" i="9"/>
  <c r="A145" i="11"/>
  <c r="B145" i="11"/>
  <c r="C145" i="11"/>
  <c r="E145" i="11"/>
  <c r="F145" i="11"/>
  <c r="G145" i="11"/>
  <c r="H145" i="11"/>
  <c r="L145" i="11"/>
  <c r="M145" i="11"/>
  <c r="P145" i="11"/>
  <c r="Q145" i="11"/>
  <c r="R145" i="11"/>
  <c r="S145" i="11"/>
  <c r="T145" i="11"/>
  <c r="V145" i="11"/>
  <c r="W145" i="11"/>
  <c r="X145" i="11"/>
  <c r="Y145" i="11"/>
  <c r="A143" i="8"/>
  <c r="B143" i="8"/>
  <c r="C143" i="8"/>
  <c r="D143" i="8"/>
  <c r="F143" i="8"/>
  <c r="G143" i="8"/>
  <c r="I143" i="8"/>
  <c r="J143" i="8"/>
  <c r="K143" i="8"/>
  <c r="M143" i="8"/>
  <c r="N143" i="8"/>
  <c r="P143" i="8"/>
  <c r="Q143" i="8"/>
  <c r="T143" i="8"/>
  <c r="U143" i="8"/>
  <c r="V143" i="8"/>
  <c r="X143" i="8"/>
  <c r="Y143" i="8"/>
  <c r="AA143" i="8"/>
  <c r="AB143" i="8"/>
  <c r="AC143" i="8"/>
  <c r="AE143" i="8"/>
  <c r="AF143" i="8"/>
  <c r="AG143" i="8"/>
  <c r="AI143" i="8"/>
  <c r="AJ143" i="8"/>
  <c r="AM143" i="8"/>
  <c r="AN143" i="8"/>
  <c r="AO143" i="8"/>
  <c r="EB99" i="3"/>
  <c r="EB228" i="3" s="1"/>
  <c r="DY99" i="3"/>
  <c r="DW99" i="3"/>
  <c r="DW228" i="3" s="1"/>
  <c r="DQ99" i="3"/>
  <c r="DS99" i="3"/>
  <c r="DS228" i="3" s="1"/>
  <c r="DM99" i="3"/>
  <c r="DM228" i="3" s="1"/>
  <c r="DJ99" i="3"/>
  <c r="DH99" i="3"/>
  <c r="DH228" i="3" s="1"/>
  <c r="CY228" i="3"/>
  <c r="CZ228" i="3"/>
  <c r="DA228" i="3"/>
  <c r="DB228" i="3"/>
  <c r="DC228" i="3"/>
  <c r="CM99" i="3"/>
  <c r="CB99" i="3"/>
  <c r="BQ99" i="3"/>
  <c r="BQ228" i="3" s="1"/>
  <c r="BF99" i="3"/>
  <c r="BI99" i="3" s="1"/>
  <c r="BI228" i="3" s="1"/>
  <c r="AU99" i="3"/>
  <c r="AU228" i="3" s="1"/>
  <c r="AJ99" i="3"/>
  <c r="AJ98" i="3"/>
  <c r="AQ98" i="3" s="1"/>
  <c r="EB98" i="3"/>
  <c r="EB227" i="3" s="1"/>
  <c r="DY98" i="3"/>
  <c r="DY227" i="3" s="1"/>
  <c r="DW98" i="3"/>
  <c r="DW227" i="3" s="1"/>
  <c r="CY98" i="3"/>
  <c r="CY227" i="3" s="1"/>
  <c r="CZ98" i="3"/>
  <c r="CZ227" i="3" s="1"/>
  <c r="DA98" i="3"/>
  <c r="DA227" i="3" s="1"/>
  <c r="DC98" i="3"/>
  <c r="DC227" i="3" s="1"/>
  <c r="CM98" i="3"/>
  <c r="CT98" i="3" s="1"/>
  <c r="CB98" i="3"/>
  <c r="CB227" i="3" s="1"/>
  <c r="BQ98" i="3"/>
  <c r="BT98" i="3" s="1"/>
  <c r="BF98" i="3"/>
  <c r="BF227" i="3" s="1"/>
  <c r="AU98" i="3"/>
  <c r="AX98" i="3" s="1"/>
  <c r="CD97" i="3"/>
  <c r="CD102" i="3" s="1"/>
  <c r="CY97" i="3"/>
  <c r="DA97" i="3"/>
  <c r="DC97" i="3"/>
  <c r="CM97" i="3"/>
  <c r="CP97" i="3" s="1"/>
  <c r="CB97" i="3"/>
  <c r="CI97" i="3" s="1"/>
  <c r="BQ97" i="3"/>
  <c r="BX97" i="3" s="1"/>
  <c r="BF97" i="3"/>
  <c r="BI97" i="3" s="1"/>
  <c r="AU97" i="3"/>
  <c r="BB97" i="3" s="1"/>
  <c r="AJ97" i="3"/>
  <c r="AB99" i="3"/>
  <c r="AB228" i="3" s="1"/>
  <c r="U228" i="3"/>
  <c r="V228" i="3"/>
  <c r="C99" i="3"/>
  <c r="B227" i="3"/>
  <c r="F227" i="3"/>
  <c r="G227" i="3"/>
  <c r="H227" i="3"/>
  <c r="I227" i="3"/>
  <c r="M227" i="3"/>
  <c r="N227" i="3"/>
  <c r="O227" i="3"/>
  <c r="P227" i="3"/>
  <c r="Q227" i="3"/>
  <c r="R227" i="3"/>
  <c r="S227" i="3"/>
  <c r="T227" i="3"/>
  <c r="Z227" i="3"/>
  <c r="AA227" i="3"/>
  <c r="AI227" i="3"/>
  <c r="AK227" i="3"/>
  <c r="AL227" i="3"/>
  <c r="AO227" i="3"/>
  <c r="AT227" i="3"/>
  <c r="AV227" i="3"/>
  <c r="AW227" i="3"/>
  <c r="AZ227" i="3"/>
  <c r="BA227" i="3"/>
  <c r="BE227" i="3"/>
  <c r="BG227" i="3"/>
  <c r="BH227" i="3"/>
  <c r="BK227" i="3"/>
  <c r="BL227" i="3"/>
  <c r="BP227" i="3"/>
  <c r="BR227" i="3"/>
  <c r="BS227" i="3"/>
  <c r="BV227" i="3"/>
  <c r="BW227" i="3"/>
  <c r="CA227" i="3"/>
  <c r="CC227" i="3"/>
  <c r="CD227" i="3"/>
  <c r="CG227" i="3"/>
  <c r="CL227" i="3"/>
  <c r="CN227" i="3"/>
  <c r="CO227" i="3"/>
  <c r="CR227" i="3"/>
  <c r="CS227" i="3"/>
  <c r="DE227" i="3"/>
  <c r="DF227" i="3"/>
  <c r="DI227" i="3"/>
  <c r="DK227" i="3"/>
  <c r="DL227" i="3"/>
  <c r="DN227" i="3"/>
  <c r="DO227" i="3"/>
  <c r="DP227" i="3"/>
  <c r="DT227" i="3"/>
  <c r="DU227" i="3"/>
  <c r="DV227" i="3"/>
  <c r="DX227" i="3"/>
  <c r="DZ227" i="3"/>
  <c r="EA227" i="3"/>
  <c r="EC227" i="3"/>
  <c r="EE227" i="3"/>
  <c r="S717" i="9"/>
  <c r="S718" i="9"/>
  <c r="J717" i="9"/>
  <c r="J718" i="9"/>
  <c r="S715" i="9"/>
  <c r="S716" i="9"/>
  <c r="J715" i="9"/>
  <c r="J716" i="9"/>
  <c r="EJ99" i="3" l="1"/>
  <c r="EO99" i="3" s="1"/>
  <c r="CX99" i="3"/>
  <c r="CX228" i="3" s="1"/>
  <c r="W99" i="3"/>
  <c r="D524" i="1"/>
  <c r="C524" i="1" s="1"/>
  <c r="DQ228" i="3"/>
  <c r="BQ227" i="3"/>
  <c r="C228" i="3"/>
  <c r="AL97" i="3"/>
  <c r="CZ97" i="3" s="1"/>
  <c r="CI98" i="3"/>
  <c r="CI227" i="3" s="1"/>
  <c r="H722" i="9"/>
  <c r="R146" i="11"/>
  <c r="R147" i="11"/>
  <c r="BT99" i="3"/>
  <c r="BT228" i="3" s="1"/>
  <c r="BX99" i="3"/>
  <c r="E99" i="3"/>
  <c r="E228" i="3" s="1"/>
  <c r="K99" i="3"/>
  <c r="BM97" i="3"/>
  <c r="BO97" i="3" s="1"/>
  <c r="BB98" i="3"/>
  <c r="BD98" i="3" s="1"/>
  <c r="BD227" i="3" s="1"/>
  <c r="AX99" i="3"/>
  <c r="CI99" i="3"/>
  <c r="CB228" i="3"/>
  <c r="CT99" i="3"/>
  <c r="CM228" i="3"/>
  <c r="DR99" i="3"/>
  <c r="DR228" i="3" s="1"/>
  <c r="DJ228" i="3"/>
  <c r="BB99" i="3"/>
  <c r="CP99" i="3"/>
  <c r="AQ99" i="3"/>
  <c r="AJ228" i="3"/>
  <c r="EG98" i="3"/>
  <c r="EG227" i="3" s="1"/>
  <c r="BM99" i="3"/>
  <c r="BO99" i="3" s="1"/>
  <c r="BO228" i="3" s="1"/>
  <c r="BF228" i="3"/>
  <c r="EG99" i="3"/>
  <c r="EG228" i="3" s="1"/>
  <c r="DY228" i="3"/>
  <c r="AU227" i="3"/>
  <c r="J99" i="3"/>
  <c r="BJ99" i="3" s="1"/>
  <c r="BJ228" i="3" s="1"/>
  <c r="T524" i="1"/>
  <c r="BM98" i="3"/>
  <c r="BM227" i="3" s="1"/>
  <c r="CP98" i="3"/>
  <c r="CP227" i="3" s="1"/>
  <c r="CM227" i="3"/>
  <c r="CT97" i="3"/>
  <c r="CV97" i="3" s="1"/>
  <c r="BX98" i="3"/>
  <c r="BX227" i="3" s="1"/>
  <c r="CE99" i="3"/>
  <c r="AM99" i="3"/>
  <c r="D99" i="3"/>
  <c r="D228" i="3" s="1"/>
  <c r="CE98" i="3"/>
  <c r="CE227" i="3" s="1"/>
  <c r="H721" i="9"/>
  <c r="H720" i="9"/>
  <c r="H719" i="9"/>
  <c r="H718" i="9"/>
  <c r="Q717" i="9"/>
  <c r="Q718" i="9"/>
  <c r="CT227" i="3"/>
  <c r="BT227" i="3"/>
  <c r="BI98" i="3"/>
  <c r="AX227" i="3"/>
  <c r="AJ227" i="3"/>
  <c r="AM98" i="3"/>
  <c r="CE97" i="3"/>
  <c r="BT97" i="3"/>
  <c r="AX97" i="3"/>
  <c r="BD97" i="3" s="1"/>
  <c r="AQ227" i="3"/>
  <c r="AM97" i="3"/>
  <c r="AQ97" i="3"/>
  <c r="Q716" i="9"/>
  <c r="X99" i="3" l="1"/>
  <c r="L99" i="3"/>
  <c r="L228" i="3" s="1"/>
  <c r="Y99" i="3"/>
  <c r="Y228" i="3" s="1"/>
  <c r="P524" i="1"/>
  <c r="BY99" i="3"/>
  <c r="BY228" i="3" s="1"/>
  <c r="W228" i="3"/>
  <c r="X228" i="3"/>
  <c r="BX228" i="3"/>
  <c r="AL102" i="3"/>
  <c r="CZ102" i="3" s="1"/>
  <c r="CD231" i="3"/>
  <c r="CK98" i="3"/>
  <c r="CK227" i="3" s="1"/>
  <c r="R148" i="11"/>
  <c r="BO98" i="3"/>
  <c r="BO227" i="3" s="1"/>
  <c r="K524" i="1"/>
  <c r="BB227" i="3"/>
  <c r="CK99" i="3"/>
  <c r="CK228" i="3" s="1"/>
  <c r="BZ99" i="3"/>
  <c r="BZ228" i="3" s="1"/>
  <c r="K228" i="3"/>
  <c r="AR99" i="3"/>
  <c r="AR228" i="3" s="1"/>
  <c r="AQ228" i="3"/>
  <c r="CJ99" i="3"/>
  <c r="CJ228" i="3" s="1"/>
  <c r="CI228" i="3"/>
  <c r="CQ99" i="3"/>
  <c r="CQ228" i="3" s="1"/>
  <c r="CP228" i="3"/>
  <c r="BD99" i="3"/>
  <c r="BD228" i="3" s="1"/>
  <c r="AX228" i="3"/>
  <c r="CU99" i="3"/>
  <c r="CU228" i="3" s="1"/>
  <c r="CT228" i="3"/>
  <c r="BB228" i="3"/>
  <c r="BC99" i="3"/>
  <c r="BC228" i="3" s="1"/>
  <c r="BU99" i="3"/>
  <c r="BU228" i="3" s="1"/>
  <c r="J228" i="3"/>
  <c r="AN99" i="3"/>
  <c r="AN228" i="3" s="1"/>
  <c r="AM228" i="3"/>
  <c r="CV98" i="3"/>
  <c r="CV227" i="3" s="1"/>
  <c r="CV99" i="3"/>
  <c r="CV228" i="3" s="1"/>
  <c r="BN99" i="3"/>
  <c r="BN228" i="3" s="1"/>
  <c r="BM228" i="3"/>
  <c r="CF99" i="3"/>
  <c r="CF228" i="3" s="1"/>
  <c r="CE228" i="3"/>
  <c r="AY99" i="3"/>
  <c r="AY228" i="3" s="1"/>
  <c r="BZ98" i="3"/>
  <c r="BZ227" i="3" s="1"/>
  <c r="AS99" i="3"/>
  <c r="AS228" i="3" s="1"/>
  <c r="BI227" i="3"/>
  <c r="AM227" i="3"/>
  <c r="AS98" i="3"/>
  <c r="AS227" i="3" s="1"/>
  <c r="CK97" i="3"/>
  <c r="BZ97" i="3"/>
  <c r="AS97" i="3"/>
  <c r="F130" i="3"/>
  <c r="R150" i="11" l="1"/>
  <c r="CZ231" i="3"/>
  <c r="AL231" i="3"/>
  <c r="AE523" i="1"/>
  <c r="AF523" i="1" s="1"/>
  <c r="AH523" i="1"/>
  <c r="AH524" i="1"/>
  <c r="AE524" i="1"/>
  <c r="AF524" i="1" s="1"/>
  <c r="S523" i="1"/>
  <c r="R523" i="1" s="1"/>
  <c r="AI524" i="1"/>
  <c r="S714" i="9"/>
  <c r="J714" i="9"/>
  <c r="A144" i="11"/>
  <c r="B144" i="11"/>
  <c r="C144" i="11"/>
  <c r="E144" i="11"/>
  <c r="F144" i="11"/>
  <c r="G144" i="11"/>
  <c r="H144" i="11"/>
  <c r="L144" i="11"/>
  <c r="M144" i="11"/>
  <c r="P144" i="11"/>
  <c r="Q144" i="11"/>
  <c r="R144" i="11"/>
  <c r="S144" i="11"/>
  <c r="T144" i="11"/>
  <c r="V144" i="11"/>
  <c r="W144" i="11"/>
  <c r="X144" i="11"/>
  <c r="Y144" i="11"/>
  <c r="A142" i="8"/>
  <c r="B142" i="8"/>
  <c r="C142" i="8"/>
  <c r="D142" i="8"/>
  <c r="F142" i="8"/>
  <c r="G142" i="8"/>
  <c r="I142" i="8"/>
  <c r="J142" i="8"/>
  <c r="K142" i="8"/>
  <c r="M142" i="8"/>
  <c r="N142" i="8"/>
  <c r="P142" i="8"/>
  <c r="Q142" i="8"/>
  <c r="T142" i="8"/>
  <c r="U142" i="8"/>
  <c r="V142" i="8"/>
  <c r="X142" i="8"/>
  <c r="Y142" i="8"/>
  <c r="AA142" i="8"/>
  <c r="AB142" i="8"/>
  <c r="AC142" i="8"/>
  <c r="AE142" i="8"/>
  <c r="AF142" i="8"/>
  <c r="AG142" i="8"/>
  <c r="AI142" i="8"/>
  <c r="AJ142" i="8"/>
  <c r="AM142" i="8"/>
  <c r="AN142" i="8"/>
  <c r="AO142" i="8"/>
  <c r="DQ98" i="3"/>
  <c r="DS98" i="3"/>
  <c r="DS227" i="3" s="1"/>
  <c r="DM98" i="3"/>
  <c r="DM227" i="3" s="1"/>
  <c r="DJ98" i="3"/>
  <c r="DJ227" i="3" s="1"/>
  <c r="DH98" i="3"/>
  <c r="DH227" i="3" s="1"/>
  <c r="AB98" i="3"/>
  <c r="AB227" i="3" s="1"/>
  <c r="V98" i="3"/>
  <c r="V227" i="3" s="1"/>
  <c r="U98" i="3"/>
  <c r="U227" i="3" s="1"/>
  <c r="C98" i="3"/>
  <c r="B226" i="3"/>
  <c r="F226" i="3"/>
  <c r="G226" i="3"/>
  <c r="H226" i="3"/>
  <c r="I226" i="3"/>
  <c r="M226" i="3"/>
  <c r="N226" i="3"/>
  <c r="O226" i="3"/>
  <c r="P226" i="3"/>
  <c r="Q226" i="3"/>
  <c r="R226" i="3"/>
  <c r="S226" i="3"/>
  <c r="T226" i="3"/>
  <c r="Z226" i="3"/>
  <c r="AA226" i="3"/>
  <c r="AI226" i="3"/>
  <c r="AJ226" i="3"/>
  <c r="AK226" i="3"/>
  <c r="AL226" i="3"/>
  <c r="AM226" i="3"/>
  <c r="AO226" i="3"/>
  <c r="AQ226" i="3"/>
  <c r="AS226" i="3"/>
  <c r="AT226" i="3"/>
  <c r="AU226" i="3"/>
  <c r="AV226" i="3"/>
  <c r="AW226" i="3"/>
  <c r="AX226" i="3"/>
  <c r="AZ226" i="3"/>
  <c r="BA226" i="3"/>
  <c r="BB226" i="3"/>
  <c r="BD226" i="3"/>
  <c r="BE226" i="3"/>
  <c r="BF226" i="3"/>
  <c r="BG226" i="3"/>
  <c r="BH226" i="3"/>
  <c r="BI226" i="3"/>
  <c r="BK226" i="3"/>
  <c r="BL226" i="3"/>
  <c r="BM226" i="3"/>
  <c r="BO226" i="3"/>
  <c r="BP226" i="3"/>
  <c r="BQ226" i="3"/>
  <c r="BR226" i="3"/>
  <c r="BS226" i="3"/>
  <c r="BT226" i="3"/>
  <c r="BV226" i="3"/>
  <c r="BW226" i="3"/>
  <c r="BX226" i="3"/>
  <c r="BZ226" i="3"/>
  <c r="CA226" i="3"/>
  <c r="CB226" i="3"/>
  <c r="CC226" i="3"/>
  <c r="CD226" i="3"/>
  <c r="CE226" i="3"/>
  <c r="CG226" i="3"/>
  <c r="CI226" i="3"/>
  <c r="CK226" i="3"/>
  <c r="CL226" i="3"/>
  <c r="CM226" i="3"/>
  <c r="CN226" i="3"/>
  <c r="CO226" i="3"/>
  <c r="CP226" i="3"/>
  <c r="CR226" i="3"/>
  <c r="CS226" i="3"/>
  <c r="CT226" i="3"/>
  <c r="CV226" i="3"/>
  <c r="CY226" i="3"/>
  <c r="CZ226" i="3"/>
  <c r="DA226" i="3"/>
  <c r="DC226" i="3"/>
  <c r="DE226" i="3"/>
  <c r="DF226" i="3"/>
  <c r="DG226" i="3"/>
  <c r="DI226" i="3"/>
  <c r="DK226" i="3"/>
  <c r="DL226" i="3"/>
  <c r="DN226" i="3"/>
  <c r="DO226" i="3"/>
  <c r="DP226" i="3"/>
  <c r="DT226" i="3"/>
  <c r="DU226" i="3"/>
  <c r="DV226" i="3"/>
  <c r="DX226" i="3"/>
  <c r="DZ226" i="3"/>
  <c r="EA226" i="3"/>
  <c r="EC226" i="3"/>
  <c r="EE226" i="3"/>
  <c r="S712" i="9"/>
  <c r="S713" i="9"/>
  <c r="J712" i="9"/>
  <c r="J713" i="9"/>
  <c r="AI523" i="1"/>
  <c r="S522" i="1"/>
  <c r="R522" i="1" s="1"/>
  <c r="S707" i="9"/>
  <c r="S708" i="9"/>
  <c r="S709" i="9"/>
  <c r="S710" i="9"/>
  <c r="S711" i="9"/>
  <c r="H707" i="9"/>
  <c r="J707" i="9"/>
  <c r="H708" i="9"/>
  <c r="J708" i="9"/>
  <c r="J709" i="9"/>
  <c r="J710" i="9"/>
  <c r="J711" i="9"/>
  <c r="A142" i="11"/>
  <c r="B142" i="11"/>
  <c r="C142" i="11"/>
  <c r="E142" i="11"/>
  <c r="F142" i="11"/>
  <c r="G142" i="11"/>
  <c r="H142" i="11"/>
  <c r="L142" i="11"/>
  <c r="M142" i="11"/>
  <c r="P142" i="11"/>
  <c r="Q142" i="11"/>
  <c r="R142" i="11"/>
  <c r="S142" i="11"/>
  <c r="T142" i="11"/>
  <c r="V142" i="11"/>
  <c r="W142" i="11"/>
  <c r="X142" i="11"/>
  <c r="Y142" i="11"/>
  <c r="A143" i="11"/>
  <c r="B143" i="11"/>
  <c r="C143" i="11"/>
  <c r="E143" i="11"/>
  <c r="F143" i="11"/>
  <c r="G143" i="11"/>
  <c r="H143" i="11"/>
  <c r="L143" i="11"/>
  <c r="M143" i="11"/>
  <c r="P143" i="11"/>
  <c r="Q143" i="11"/>
  <c r="R143" i="11"/>
  <c r="S143" i="11"/>
  <c r="T143" i="11"/>
  <c r="V143" i="11"/>
  <c r="W143" i="11"/>
  <c r="X143" i="11"/>
  <c r="Y143" i="11"/>
  <c r="A141" i="8"/>
  <c r="B141" i="8"/>
  <c r="C141" i="8"/>
  <c r="D141" i="8"/>
  <c r="F141" i="8"/>
  <c r="G141" i="8"/>
  <c r="I141" i="8"/>
  <c r="J141" i="8"/>
  <c r="K141" i="8"/>
  <c r="M141" i="8"/>
  <c r="N141" i="8"/>
  <c r="P141" i="8"/>
  <c r="Q141" i="8"/>
  <c r="T141" i="8"/>
  <c r="U141" i="8"/>
  <c r="V141" i="8"/>
  <c r="X141" i="8"/>
  <c r="Y141" i="8"/>
  <c r="AA141" i="8"/>
  <c r="AB141" i="8"/>
  <c r="AE141" i="8"/>
  <c r="AF141" i="8"/>
  <c r="AG141" i="8"/>
  <c r="AI141" i="8"/>
  <c r="AJ141" i="8"/>
  <c r="AM141" i="8"/>
  <c r="AN141" i="8"/>
  <c r="AO141" i="8"/>
  <c r="EB97" i="3"/>
  <c r="EB226" i="3" s="1"/>
  <c r="DY97" i="3"/>
  <c r="DW97" i="3"/>
  <c r="DW226" i="3" s="1"/>
  <c r="DQ97" i="3"/>
  <c r="DS97" i="3"/>
  <c r="DS226" i="3" s="1"/>
  <c r="DM97" i="3"/>
  <c r="DM226" i="3" s="1"/>
  <c r="DJ97" i="3"/>
  <c r="DH97" i="3"/>
  <c r="DH226" i="3" s="1"/>
  <c r="AB97" i="3"/>
  <c r="AB226" i="3" s="1"/>
  <c r="U97" i="3"/>
  <c r="U226" i="3" s="1"/>
  <c r="V97" i="3"/>
  <c r="V226" i="3" s="1"/>
  <c r="C97" i="3"/>
  <c r="B225" i="3"/>
  <c r="F225" i="3"/>
  <c r="G225" i="3"/>
  <c r="H225" i="3"/>
  <c r="I225" i="3"/>
  <c r="M225" i="3"/>
  <c r="N225" i="3"/>
  <c r="O225" i="3"/>
  <c r="P225" i="3"/>
  <c r="Q225" i="3"/>
  <c r="R225" i="3"/>
  <c r="S225" i="3"/>
  <c r="T225" i="3"/>
  <c r="Z225" i="3"/>
  <c r="AA225" i="3"/>
  <c r="AI225" i="3"/>
  <c r="AK225" i="3"/>
  <c r="AL225" i="3"/>
  <c r="AO225" i="3"/>
  <c r="AT225" i="3"/>
  <c r="AV225" i="3"/>
  <c r="AW225" i="3"/>
  <c r="AZ225" i="3"/>
  <c r="BA225" i="3"/>
  <c r="BE225" i="3"/>
  <c r="BG225" i="3"/>
  <c r="BH225" i="3"/>
  <c r="BK225" i="3"/>
  <c r="BL225" i="3"/>
  <c r="BP225" i="3"/>
  <c r="BR225" i="3"/>
  <c r="BS225" i="3"/>
  <c r="BV225" i="3"/>
  <c r="BW225" i="3"/>
  <c r="CA225" i="3"/>
  <c r="CC225" i="3"/>
  <c r="CD225" i="3"/>
  <c r="CG225" i="3"/>
  <c r="CL225" i="3"/>
  <c r="CN225" i="3"/>
  <c r="CO225" i="3"/>
  <c r="CR225" i="3"/>
  <c r="CS225" i="3"/>
  <c r="DE225" i="3"/>
  <c r="DF225" i="3"/>
  <c r="DG225" i="3"/>
  <c r="DI225" i="3"/>
  <c r="DK225" i="3"/>
  <c r="DL225" i="3"/>
  <c r="DN225" i="3"/>
  <c r="DO225" i="3"/>
  <c r="DP225" i="3"/>
  <c r="DT225" i="3"/>
  <c r="DU225" i="3"/>
  <c r="DV225" i="3"/>
  <c r="DX225" i="3"/>
  <c r="DZ225" i="3"/>
  <c r="EA225" i="3"/>
  <c r="EC225" i="3"/>
  <c r="EE225" i="3"/>
  <c r="AE522" i="1"/>
  <c r="AF522" i="1" s="1"/>
  <c r="AH522" i="1"/>
  <c r="EJ97" i="3" l="1"/>
  <c r="EO97" i="3" s="1"/>
  <c r="EJ98" i="3"/>
  <c r="EO98" i="3" s="1"/>
  <c r="D522" i="1"/>
  <c r="D523" i="1"/>
  <c r="DQ226" i="3"/>
  <c r="CX98" i="3"/>
  <c r="CX227" i="3" s="1"/>
  <c r="DQ227" i="3"/>
  <c r="R151" i="11"/>
  <c r="K97" i="3"/>
  <c r="K226" i="3" s="1"/>
  <c r="CX97" i="3"/>
  <c r="CX226" i="3" s="1"/>
  <c r="H717" i="9"/>
  <c r="EG97" i="3"/>
  <c r="EG226" i="3" s="1"/>
  <c r="E98" i="3"/>
  <c r="E227" i="3" s="1"/>
  <c r="C227" i="3"/>
  <c r="DR98" i="3"/>
  <c r="DR227" i="3" s="1"/>
  <c r="J98" i="3"/>
  <c r="W98" i="3"/>
  <c r="K98" i="3"/>
  <c r="K227" i="3" s="1"/>
  <c r="Q715" i="9"/>
  <c r="H716" i="9"/>
  <c r="H715" i="9"/>
  <c r="T523" i="1"/>
  <c r="AG524" i="1"/>
  <c r="AG523" i="1"/>
  <c r="H714" i="9"/>
  <c r="Q714" i="9"/>
  <c r="DR97" i="3"/>
  <c r="DR226" i="3" s="1"/>
  <c r="D98" i="3"/>
  <c r="D227" i="3" s="1"/>
  <c r="C226" i="3"/>
  <c r="DJ226" i="3"/>
  <c r="DY226" i="3"/>
  <c r="J97" i="3"/>
  <c r="W97" i="3"/>
  <c r="E97" i="3"/>
  <c r="D97" i="3"/>
  <c r="H713" i="9"/>
  <c r="H712" i="9"/>
  <c r="Q712" i="9"/>
  <c r="Q713" i="9"/>
  <c r="T522" i="1"/>
  <c r="Q708" i="9"/>
  <c r="Q709" i="9"/>
  <c r="H710" i="9"/>
  <c r="H711" i="9"/>
  <c r="H709" i="9"/>
  <c r="Q711" i="9"/>
  <c r="Q710" i="9"/>
  <c r="D708" i="9"/>
  <c r="AG522" i="1"/>
  <c r="M562" i="1" l="1"/>
  <c r="M563" i="1" s="1"/>
  <c r="D226" i="3"/>
  <c r="K522" i="1"/>
  <c r="L97" i="3"/>
  <c r="L226" i="3" s="1"/>
  <c r="Y97" i="3"/>
  <c r="Y226" i="3" s="1"/>
  <c r="BC97" i="3"/>
  <c r="BC226" i="3" s="1"/>
  <c r="BY97" i="3"/>
  <c r="BY226" i="3" s="1"/>
  <c r="BN97" i="3"/>
  <c r="BN226" i="3" s="1"/>
  <c r="CJ97" i="3"/>
  <c r="CJ226" i="3" s="1"/>
  <c r="AR97" i="3"/>
  <c r="AR226" i="3" s="1"/>
  <c r="CU97" i="3"/>
  <c r="CU226" i="3" s="1"/>
  <c r="W227" i="3"/>
  <c r="CJ98" i="3"/>
  <c r="CJ227" i="3" s="1"/>
  <c r="CU98" i="3"/>
  <c r="CU227" i="3" s="1"/>
  <c r="AR98" i="3"/>
  <c r="AR227" i="3" s="1"/>
  <c r="BC98" i="3"/>
  <c r="BC227" i="3" s="1"/>
  <c r="BY98" i="3"/>
  <c r="BY227" i="3" s="1"/>
  <c r="BN98" i="3"/>
  <c r="BN227" i="3" s="1"/>
  <c r="J226" i="3"/>
  <c r="CQ97" i="3"/>
  <c r="CQ226" i="3" s="1"/>
  <c r="BJ97" i="3"/>
  <c r="BJ226" i="3" s="1"/>
  <c r="BU97" i="3"/>
  <c r="BU226" i="3" s="1"/>
  <c r="CF97" i="3"/>
  <c r="CF226" i="3" s="1"/>
  <c r="AN97" i="3"/>
  <c r="AN226" i="3" s="1"/>
  <c r="AY97" i="3"/>
  <c r="AY226" i="3" s="1"/>
  <c r="J227" i="3"/>
  <c r="AY98" i="3"/>
  <c r="AY227" i="3" s="1"/>
  <c r="BU98" i="3"/>
  <c r="BU227" i="3" s="1"/>
  <c r="CQ98" i="3"/>
  <c r="CQ227" i="3" s="1"/>
  <c r="CF98" i="3"/>
  <c r="CF227" i="3" s="1"/>
  <c r="AN98" i="3"/>
  <c r="AN227" i="3" s="1"/>
  <c r="BJ98" i="3"/>
  <c r="BJ227" i="3" s="1"/>
  <c r="X98" i="3"/>
  <c r="X227" i="3" s="1"/>
  <c r="L98" i="3"/>
  <c r="L227" i="3" s="1"/>
  <c r="K523" i="1"/>
  <c r="Y98" i="3"/>
  <c r="Y227" i="3" s="1"/>
  <c r="P523" i="1"/>
  <c r="E226" i="3"/>
  <c r="X97" i="3"/>
  <c r="X226" i="3" s="1"/>
  <c r="W226" i="3"/>
  <c r="P522" i="1"/>
  <c r="S521" i="1"/>
  <c r="R521" i="1" s="1"/>
  <c r="AI522" i="1"/>
  <c r="S706" i="9"/>
  <c r="J706" i="9"/>
  <c r="Q707" i="9" l="1"/>
  <c r="D707" i="9"/>
  <c r="D706" i="9" l="1"/>
  <c r="EB96" i="3"/>
  <c r="EB225" i="3" s="1"/>
  <c r="DY96" i="3"/>
  <c r="DW96" i="3"/>
  <c r="DW225" i="3" s="1"/>
  <c r="DQ96" i="3"/>
  <c r="DS96" i="3"/>
  <c r="DS225" i="3" s="1"/>
  <c r="DM96" i="3"/>
  <c r="DM225" i="3" s="1"/>
  <c r="DJ96" i="3"/>
  <c r="DH96" i="3"/>
  <c r="DH225" i="3" s="1"/>
  <c r="CY96" i="3"/>
  <c r="CY225" i="3" s="1"/>
  <c r="CZ96" i="3"/>
  <c r="CZ225" i="3" s="1"/>
  <c r="DA96" i="3"/>
  <c r="DA225" i="3" s="1"/>
  <c r="DC96" i="3"/>
  <c r="DC225" i="3" s="1"/>
  <c r="CM96" i="3"/>
  <c r="CM225" i="3" s="1"/>
  <c r="CB96" i="3"/>
  <c r="BQ96" i="3"/>
  <c r="BF96" i="3"/>
  <c r="AU96" i="3"/>
  <c r="AJ96" i="3"/>
  <c r="AC96" i="3"/>
  <c r="AB96" i="3"/>
  <c r="AB225" i="3" s="1"/>
  <c r="U96" i="3"/>
  <c r="U225" i="3" s="1"/>
  <c r="V96" i="3"/>
  <c r="C96" i="3"/>
  <c r="A140" i="8"/>
  <c r="B140" i="8"/>
  <c r="C140" i="8"/>
  <c r="D140" i="8"/>
  <c r="F140" i="8"/>
  <c r="G140" i="8"/>
  <c r="I140" i="8"/>
  <c r="J140" i="8"/>
  <c r="K140" i="8"/>
  <c r="M140" i="8"/>
  <c r="N140" i="8"/>
  <c r="P140" i="8"/>
  <c r="Q140" i="8"/>
  <c r="T140" i="8"/>
  <c r="U140" i="8"/>
  <c r="V140" i="8"/>
  <c r="X140" i="8"/>
  <c r="Y140" i="8"/>
  <c r="AA140" i="8"/>
  <c r="AB140" i="8"/>
  <c r="AE140" i="8"/>
  <c r="AF140" i="8"/>
  <c r="AI140" i="8"/>
  <c r="AJ140" i="8"/>
  <c r="AM140" i="8"/>
  <c r="AN140" i="8"/>
  <c r="AO140" i="8"/>
  <c r="B224" i="3"/>
  <c r="F224" i="3"/>
  <c r="G224" i="3"/>
  <c r="H224" i="3"/>
  <c r="I224" i="3"/>
  <c r="M224" i="3"/>
  <c r="N224" i="3"/>
  <c r="O224" i="3"/>
  <c r="P224" i="3"/>
  <c r="Q224" i="3"/>
  <c r="R224" i="3"/>
  <c r="S224" i="3"/>
  <c r="T224" i="3"/>
  <c r="Z224" i="3"/>
  <c r="AA224" i="3"/>
  <c r="AI224" i="3"/>
  <c r="AK224" i="3"/>
  <c r="AL224" i="3"/>
  <c r="AO224" i="3"/>
  <c r="AT224" i="3"/>
  <c r="AV224" i="3"/>
  <c r="AW224" i="3"/>
  <c r="AZ224" i="3"/>
  <c r="BA224" i="3"/>
  <c r="BE224" i="3"/>
  <c r="BG224" i="3"/>
  <c r="BH224" i="3"/>
  <c r="BK224" i="3"/>
  <c r="BL224" i="3"/>
  <c r="BP224" i="3"/>
  <c r="BR224" i="3"/>
  <c r="BS224" i="3"/>
  <c r="BV224" i="3"/>
  <c r="BW224" i="3"/>
  <c r="CA224" i="3"/>
  <c r="CC224" i="3"/>
  <c r="CD224" i="3"/>
  <c r="CG224" i="3"/>
  <c r="CL224" i="3"/>
  <c r="CN224" i="3"/>
  <c r="CO224" i="3"/>
  <c r="CR224" i="3"/>
  <c r="CS224" i="3"/>
  <c r="DE224" i="3"/>
  <c r="DF224" i="3"/>
  <c r="DG224" i="3"/>
  <c r="DI224" i="3"/>
  <c r="DK224" i="3"/>
  <c r="DL224" i="3"/>
  <c r="DN224" i="3"/>
  <c r="DO224" i="3"/>
  <c r="DP224" i="3"/>
  <c r="DT224" i="3"/>
  <c r="DU224" i="3"/>
  <c r="DV224" i="3"/>
  <c r="DX224" i="3"/>
  <c r="DZ224" i="3"/>
  <c r="EA224" i="3"/>
  <c r="EC224" i="3"/>
  <c r="EE224" i="3"/>
  <c r="S705" i="9"/>
  <c r="J705" i="9"/>
  <c r="H703" i="9"/>
  <c r="J703" i="9"/>
  <c r="J704" i="9"/>
  <c r="Q703" i="9"/>
  <c r="S703" i="9"/>
  <c r="S704" i="9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3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78" i="1"/>
  <c r="AE521" i="1"/>
  <c r="AF521" i="1" s="1"/>
  <c r="AH521" i="1"/>
  <c r="S520" i="1"/>
  <c r="R520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2" i="1"/>
  <c r="BB479" i="1"/>
  <c r="BF493" i="1"/>
  <c r="BG493" i="1" s="1"/>
  <c r="BF494" i="1"/>
  <c r="BG494" i="1" s="1"/>
  <c r="BF495" i="1"/>
  <c r="BG495" i="1" s="1"/>
  <c r="BF496" i="1"/>
  <c r="BG496" i="1" s="1"/>
  <c r="BF497" i="1"/>
  <c r="BG497" i="1" s="1"/>
  <c r="BF498" i="1"/>
  <c r="BG498" i="1" s="1"/>
  <c r="BF499" i="1"/>
  <c r="BG499" i="1" s="1"/>
  <c r="BF500" i="1"/>
  <c r="BG500" i="1" s="1"/>
  <c r="BF501" i="1"/>
  <c r="BG501" i="1" s="1"/>
  <c r="BF502" i="1"/>
  <c r="BG502" i="1" s="1"/>
  <c r="BF503" i="1"/>
  <c r="BG503" i="1" s="1"/>
  <c r="BF504" i="1"/>
  <c r="BG504" i="1" s="1"/>
  <c r="BF505" i="1"/>
  <c r="BG505" i="1" s="1"/>
  <c r="BF506" i="1"/>
  <c r="BG506" i="1" s="1"/>
  <c r="BF507" i="1"/>
  <c r="BG507" i="1" s="1"/>
  <c r="BF508" i="1"/>
  <c r="BG508" i="1" s="1"/>
  <c r="BF509" i="1"/>
  <c r="BG509" i="1" s="1"/>
  <c r="BF510" i="1"/>
  <c r="BG510" i="1" s="1"/>
  <c r="BF511" i="1"/>
  <c r="BG511" i="1" s="1"/>
  <c r="BF512" i="1"/>
  <c r="BG512" i="1" s="1"/>
  <c r="BF513" i="1"/>
  <c r="BG513" i="1" s="1"/>
  <c r="BF514" i="1"/>
  <c r="BG514" i="1" s="1"/>
  <c r="BF515" i="1"/>
  <c r="BG515" i="1" s="1"/>
  <c r="BF516" i="1"/>
  <c r="BG516" i="1" s="1"/>
  <c r="BF517" i="1"/>
  <c r="BG517" i="1" s="1"/>
  <c r="BF518" i="1"/>
  <c r="BG518" i="1" s="1"/>
  <c r="BF519" i="1"/>
  <c r="BG519" i="1" s="1"/>
  <c r="BF520" i="1"/>
  <c r="BG520" i="1" s="1"/>
  <c r="BF521" i="1"/>
  <c r="BG521" i="1" s="1"/>
  <c r="EJ96" i="3" l="1"/>
  <c r="EO96" i="3" s="1"/>
  <c r="AC225" i="3"/>
  <c r="J96" i="3"/>
  <c r="J225" i="3" s="1"/>
  <c r="DQ225" i="3"/>
  <c r="AC97" i="3"/>
  <c r="BB96" i="3"/>
  <c r="BB225" i="3" s="1"/>
  <c r="K96" i="3"/>
  <c r="K225" i="3" s="1"/>
  <c r="T521" i="1"/>
  <c r="V225" i="3"/>
  <c r="BM96" i="3"/>
  <c r="BM225" i="3" s="1"/>
  <c r="BF225" i="3"/>
  <c r="BT96" i="3"/>
  <c r="BQ225" i="3"/>
  <c r="EG96" i="3"/>
  <c r="EG225" i="3" s="1"/>
  <c r="DY225" i="3"/>
  <c r="BX96" i="3"/>
  <c r="BX225" i="3" s="1"/>
  <c r="CI96" i="3"/>
  <c r="CI225" i="3" s="1"/>
  <c r="CB225" i="3"/>
  <c r="E96" i="3"/>
  <c r="E225" i="3" s="1"/>
  <c r="C225" i="3"/>
  <c r="AQ96" i="3"/>
  <c r="AQ225" i="3" s="1"/>
  <c r="AJ225" i="3"/>
  <c r="CP96" i="3"/>
  <c r="DR96" i="3"/>
  <c r="DR225" i="3" s="1"/>
  <c r="DJ225" i="3"/>
  <c r="AX96" i="3"/>
  <c r="AU225" i="3"/>
  <c r="CT96" i="3"/>
  <c r="CT225" i="3" s="1"/>
  <c r="AM96" i="3"/>
  <c r="AM225" i="3" s="1"/>
  <c r="BI96" i="3"/>
  <c r="CE96" i="3"/>
  <c r="W96" i="3"/>
  <c r="D96" i="3"/>
  <c r="D225" i="3" s="1"/>
  <c r="D521" i="1"/>
  <c r="CX96" i="3"/>
  <c r="CX225" i="3" s="1"/>
  <c r="H706" i="9"/>
  <c r="Q706" i="9"/>
  <c r="H705" i="9"/>
  <c r="Q705" i="9"/>
  <c r="D705" i="9"/>
  <c r="H704" i="9"/>
  <c r="Q704" i="9"/>
  <c r="D704" i="9"/>
  <c r="AG521" i="1"/>
  <c r="BD96" i="3" l="1"/>
  <c r="BD225" i="3" s="1"/>
  <c r="AC98" i="3"/>
  <c r="AC226" i="3"/>
  <c r="BN96" i="3"/>
  <c r="BN225" i="3" s="1"/>
  <c r="BC96" i="3"/>
  <c r="BC225" i="3" s="1"/>
  <c r="BZ96" i="3"/>
  <c r="BZ225" i="3" s="1"/>
  <c r="CK96" i="3"/>
  <c r="CK225" i="3" s="1"/>
  <c r="CU96" i="3"/>
  <c r="CU225" i="3" s="1"/>
  <c r="L96" i="3"/>
  <c r="L225" i="3" s="1"/>
  <c r="K521" i="1"/>
  <c r="CV96" i="3"/>
  <c r="CV225" i="3" s="1"/>
  <c r="CP225" i="3"/>
  <c r="CJ96" i="3"/>
  <c r="CJ225" i="3" s="1"/>
  <c r="W225" i="3"/>
  <c r="BU96" i="3"/>
  <c r="BU225" i="3" s="1"/>
  <c r="BT225" i="3"/>
  <c r="CF96" i="3"/>
  <c r="CF225" i="3" s="1"/>
  <c r="CE225" i="3"/>
  <c r="BJ96" i="3"/>
  <c r="BJ225" i="3" s="1"/>
  <c r="BI225" i="3"/>
  <c r="AY96" i="3"/>
  <c r="AY225" i="3" s="1"/>
  <c r="AX225" i="3"/>
  <c r="CQ96" i="3"/>
  <c r="CQ225" i="3" s="1"/>
  <c r="Y96" i="3"/>
  <c r="Y225" i="3" s="1"/>
  <c r="AN96" i="3"/>
  <c r="AN225" i="3" s="1"/>
  <c r="AS96" i="3"/>
  <c r="AS225" i="3" s="1"/>
  <c r="BY96" i="3"/>
  <c r="BY225" i="3" s="1"/>
  <c r="P521" i="1"/>
  <c r="X96" i="3"/>
  <c r="X225" i="3" s="1"/>
  <c r="AR96" i="3"/>
  <c r="AR225" i="3" s="1"/>
  <c r="BO96" i="3"/>
  <c r="BO225" i="3" s="1"/>
  <c r="S702" i="9"/>
  <c r="J702" i="9"/>
  <c r="A141" i="11"/>
  <c r="B141" i="11"/>
  <c r="C141" i="11"/>
  <c r="E141" i="11"/>
  <c r="F141" i="11"/>
  <c r="G141" i="11"/>
  <c r="H141" i="11"/>
  <c r="L141" i="11"/>
  <c r="M141" i="11"/>
  <c r="P141" i="11"/>
  <c r="Q141" i="11"/>
  <c r="R141" i="11"/>
  <c r="T141" i="11"/>
  <c r="V141" i="11"/>
  <c r="W141" i="11"/>
  <c r="X141" i="11"/>
  <c r="Y141" i="11"/>
  <c r="A139" i="8"/>
  <c r="B139" i="8"/>
  <c r="C139" i="8"/>
  <c r="D139" i="8"/>
  <c r="F139" i="8"/>
  <c r="G139" i="8"/>
  <c r="I139" i="8"/>
  <c r="J139" i="8"/>
  <c r="K139" i="8"/>
  <c r="M139" i="8"/>
  <c r="N139" i="8"/>
  <c r="P139" i="8"/>
  <c r="Q139" i="8"/>
  <c r="T139" i="8"/>
  <c r="U139" i="8"/>
  <c r="V139" i="8"/>
  <c r="X139" i="8"/>
  <c r="Y139" i="8"/>
  <c r="AA139" i="8"/>
  <c r="AB139" i="8"/>
  <c r="AE139" i="8"/>
  <c r="AF139" i="8"/>
  <c r="AG139" i="8"/>
  <c r="AI139" i="8"/>
  <c r="AJ139" i="8"/>
  <c r="AM139" i="8"/>
  <c r="AN139" i="8"/>
  <c r="AO139" i="8"/>
  <c r="EB95" i="3"/>
  <c r="EB224" i="3" s="1"/>
  <c r="DY95" i="3"/>
  <c r="DW95" i="3"/>
  <c r="DW224" i="3" s="1"/>
  <c r="DS95" i="3"/>
  <c r="DS224" i="3" s="1"/>
  <c r="DQ95" i="3"/>
  <c r="DM95" i="3"/>
  <c r="DM224" i="3" s="1"/>
  <c r="DJ95" i="3"/>
  <c r="DH95" i="3"/>
  <c r="DH224" i="3" s="1"/>
  <c r="CY95" i="3"/>
  <c r="CY224" i="3" s="1"/>
  <c r="CZ95" i="3"/>
  <c r="CZ224" i="3" s="1"/>
  <c r="DA95" i="3"/>
  <c r="DA224" i="3" s="1"/>
  <c r="DC95" i="3"/>
  <c r="DC224" i="3" s="1"/>
  <c r="CM95" i="3"/>
  <c r="CB95" i="3"/>
  <c r="BQ95" i="3"/>
  <c r="BF95" i="3"/>
  <c r="AU95" i="3"/>
  <c r="AJ95" i="3"/>
  <c r="AB95" i="3"/>
  <c r="AB224" i="3" s="1"/>
  <c r="U95" i="3"/>
  <c r="U224" i="3" s="1"/>
  <c r="V95" i="3"/>
  <c r="C95" i="3"/>
  <c r="B223" i="3"/>
  <c r="F223" i="3"/>
  <c r="G223" i="3"/>
  <c r="H223" i="3"/>
  <c r="I223" i="3"/>
  <c r="M223" i="3"/>
  <c r="N223" i="3"/>
  <c r="O223" i="3"/>
  <c r="P223" i="3"/>
  <c r="Q223" i="3"/>
  <c r="R223" i="3"/>
  <c r="S223" i="3"/>
  <c r="T223" i="3"/>
  <c r="Z223" i="3"/>
  <c r="AA223" i="3"/>
  <c r="AI223" i="3"/>
  <c r="AK223" i="3"/>
  <c r="AL223" i="3"/>
  <c r="AO223" i="3"/>
  <c r="AT223" i="3"/>
  <c r="AV223" i="3"/>
  <c r="AW223" i="3"/>
  <c r="AZ223" i="3"/>
  <c r="BA223" i="3"/>
  <c r="BE223" i="3"/>
  <c r="BG223" i="3"/>
  <c r="BH223" i="3"/>
  <c r="BK223" i="3"/>
  <c r="BL223" i="3"/>
  <c r="BP223" i="3"/>
  <c r="BR223" i="3"/>
  <c r="BS223" i="3"/>
  <c r="BV223" i="3"/>
  <c r="BW223" i="3"/>
  <c r="CA223" i="3"/>
  <c r="CC223" i="3"/>
  <c r="CD223" i="3"/>
  <c r="CG223" i="3"/>
  <c r="CL223" i="3"/>
  <c r="CN223" i="3"/>
  <c r="CO223" i="3"/>
  <c r="CR223" i="3"/>
  <c r="CS223" i="3"/>
  <c r="DE223" i="3"/>
  <c r="DF223" i="3"/>
  <c r="DG223" i="3"/>
  <c r="DI223" i="3"/>
  <c r="DK223" i="3"/>
  <c r="DL223" i="3"/>
  <c r="DN223" i="3"/>
  <c r="DO223" i="3"/>
  <c r="DP223" i="3"/>
  <c r="DT223" i="3"/>
  <c r="DU223" i="3"/>
  <c r="DV223" i="3"/>
  <c r="DX223" i="3"/>
  <c r="DZ223" i="3"/>
  <c r="EA223" i="3"/>
  <c r="EC223" i="3"/>
  <c r="EE223" i="3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Q695" i="9"/>
  <c r="S695" i="9"/>
  <c r="Q696" i="9"/>
  <c r="S696" i="9"/>
  <c r="Q697" i="9"/>
  <c r="S697" i="9"/>
  <c r="Q698" i="9"/>
  <c r="S698" i="9"/>
  <c r="Q699" i="9"/>
  <c r="S699" i="9"/>
  <c r="Q700" i="9"/>
  <c r="S700" i="9"/>
  <c r="S701" i="9"/>
  <c r="H700" i="9"/>
  <c r="J700" i="9"/>
  <c r="J701" i="9"/>
  <c r="J698" i="9"/>
  <c r="J699" i="9"/>
  <c r="EJ95" i="3" l="1"/>
  <c r="EO95" i="3" s="1"/>
  <c r="AC227" i="3"/>
  <c r="DQ224" i="3"/>
  <c r="AC99" i="3"/>
  <c r="C224" i="3"/>
  <c r="D520" i="1"/>
  <c r="EG95" i="3"/>
  <c r="EG224" i="3" s="1"/>
  <c r="DY224" i="3"/>
  <c r="DR95" i="3"/>
  <c r="DR224" i="3" s="1"/>
  <c r="DJ224" i="3"/>
  <c r="CT95" i="3"/>
  <c r="CT224" i="3" s="1"/>
  <c r="CM224" i="3"/>
  <c r="CI95" i="3"/>
  <c r="CI224" i="3" s="1"/>
  <c r="CB224" i="3"/>
  <c r="BX95" i="3"/>
  <c r="BX224" i="3" s="1"/>
  <c r="BQ224" i="3"/>
  <c r="BM95" i="3"/>
  <c r="BM224" i="3" s="1"/>
  <c r="BF224" i="3"/>
  <c r="BI95" i="3"/>
  <c r="BI224" i="3" s="1"/>
  <c r="BB95" i="3"/>
  <c r="BB224" i="3" s="1"/>
  <c r="AU224" i="3"/>
  <c r="AQ95" i="3"/>
  <c r="AQ224" i="3" s="1"/>
  <c r="AJ224" i="3"/>
  <c r="T520" i="1"/>
  <c r="V224" i="3"/>
  <c r="AX95" i="3"/>
  <c r="CX95" i="3"/>
  <c r="CX224" i="3" s="1"/>
  <c r="BT95" i="3"/>
  <c r="K95" i="3"/>
  <c r="K224" i="3" s="1"/>
  <c r="CP95" i="3"/>
  <c r="CP224" i="3" s="1"/>
  <c r="J95" i="3"/>
  <c r="AM95" i="3"/>
  <c r="AM224" i="3" s="1"/>
  <c r="CE95" i="3"/>
  <c r="CE224" i="3" s="1"/>
  <c r="W95" i="3"/>
  <c r="D95" i="3"/>
  <c r="BB520" i="1"/>
  <c r="H702" i="9"/>
  <c r="Q702" i="9"/>
  <c r="Q701" i="9"/>
  <c r="H701" i="9"/>
  <c r="E95" i="3"/>
  <c r="E224" i="3" s="1"/>
  <c r="D224" i="3" l="1"/>
  <c r="AC100" i="3"/>
  <c r="AC228" i="3"/>
  <c r="BC95" i="3"/>
  <c r="BC224" i="3" s="1"/>
  <c r="BZ95" i="3"/>
  <c r="BZ224" i="3" s="1"/>
  <c r="BT224" i="3"/>
  <c r="BO95" i="3"/>
  <c r="BO224" i="3" s="1"/>
  <c r="BD95" i="3"/>
  <c r="BD224" i="3" s="1"/>
  <c r="AX224" i="3"/>
  <c r="BY95" i="3"/>
  <c r="BY224" i="3" s="1"/>
  <c r="W224" i="3"/>
  <c r="AY95" i="3"/>
  <c r="AY224" i="3" s="1"/>
  <c r="J224" i="3"/>
  <c r="BU95" i="3"/>
  <c r="BU224" i="3" s="1"/>
  <c r="CF95" i="3"/>
  <c r="CF224" i="3" s="1"/>
  <c r="AN95" i="3"/>
  <c r="AN224" i="3" s="1"/>
  <c r="BJ95" i="3"/>
  <c r="BJ224" i="3" s="1"/>
  <c r="L95" i="3"/>
  <c r="L224" i="3" s="1"/>
  <c r="K520" i="1"/>
  <c r="Y95" i="3"/>
  <c r="Y224" i="3" s="1"/>
  <c r="AR95" i="3"/>
  <c r="AR224" i="3" s="1"/>
  <c r="CJ95" i="3"/>
  <c r="CJ224" i="3" s="1"/>
  <c r="P520" i="1"/>
  <c r="X95" i="3"/>
  <c r="X224" i="3" s="1"/>
  <c r="BN95" i="3"/>
  <c r="BN224" i="3" s="1"/>
  <c r="AS95" i="3"/>
  <c r="AS224" i="3" s="1"/>
  <c r="CQ95" i="3"/>
  <c r="CQ224" i="3" s="1"/>
  <c r="CV95" i="3"/>
  <c r="CV224" i="3" s="1"/>
  <c r="CK95" i="3"/>
  <c r="CK224" i="3" s="1"/>
  <c r="CU95" i="3"/>
  <c r="CU224" i="3" s="1"/>
  <c r="AE520" i="1"/>
  <c r="AF520" i="1" s="1"/>
  <c r="AH520" i="1"/>
  <c r="S519" i="1"/>
  <c r="J695" i="9"/>
  <c r="J696" i="9"/>
  <c r="J697" i="9"/>
  <c r="AC229" i="3" l="1"/>
  <c r="AC101" i="3"/>
  <c r="H698" i="9"/>
  <c r="H699" i="9"/>
  <c r="AG520" i="1"/>
  <c r="H697" i="9"/>
  <c r="AC102" i="3" l="1"/>
  <c r="AC230" i="3"/>
  <c r="A140" i="11"/>
  <c r="B140" i="11"/>
  <c r="C140" i="11"/>
  <c r="E140" i="11"/>
  <c r="F140" i="11"/>
  <c r="G140" i="11"/>
  <c r="H140" i="11"/>
  <c r="M140" i="11"/>
  <c r="P140" i="11"/>
  <c r="Q140" i="11"/>
  <c r="R140" i="11"/>
  <c r="T140" i="11"/>
  <c r="V140" i="11"/>
  <c r="W140" i="11"/>
  <c r="X140" i="11"/>
  <c r="Y140" i="11"/>
  <c r="A138" i="8"/>
  <c r="B138" i="8"/>
  <c r="C138" i="8"/>
  <c r="D138" i="8"/>
  <c r="F138" i="8"/>
  <c r="G138" i="8"/>
  <c r="I138" i="8"/>
  <c r="J138" i="8"/>
  <c r="K138" i="8"/>
  <c r="M138" i="8"/>
  <c r="N138" i="8"/>
  <c r="P138" i="8"/>
  <c r="Q138" i="8"/>
  <c r="T138" i="8"/>
  <c r="U138" i="8"/>
  <c r="V138" i="8"/>
  <c r="X138" i="8"/>
  <c r="Y138" i="8"/>
  <c r="AA138" i="8"/>
  <c r="AB138" i="8"/>
  <c r="AE138" i="8"/>
  <c r="AF138" i="8"/>
  <c r="AG138" i="8"/>
  <c r="AI138" i="8"/>
  <c r="AJ138" i="8"/>
  <c r="AM138" i="8"/>
  <c r="AN138" i="8"/>
  <c r="AO138" i="8"/>
  <c r="EB94" i="3"/>
  <c r="EB223" i="3" s="1"/>
  <c r="DY94" i="3"/>
  <c r="DW94" i="3"/>
  <c r="DW223" i="3" s="1"/>
  <c r="DS94" i="3"/>
  <c r="DS223" i="3" s="1"/>
  <c r="DQ94" i="3"/>
  <c r="DM94" i="3"/>
  <c r="DM223" i="3" s="1"/>
  <c r="DJ94" i="3"/>
  <c r="DJ223" i="3" s="1"/>
  <c r="DH94" i="3"/>
  <c r="DH223" i="3" s="1"/>
  <c r="CY94" i="3"/>
  <c r="CY223" i="3" s="1"/>
  <c r="CZ94" i="3"/>
  <c r="CZ223" i="3" s="1"/>
  <c r="DA94" i="3"/>
  <c r="DA223" i="3" s="1"/>
  <c r="DC94" i="3"/>
  <c r="DC223" i="3" s="1"/>
  <c r="CM94" i="3"/>
  <c r="CH94" i="3"/>
  <c r="CB94" i="3"/>
  <c r="BQ94" i="3"/>
  <c r="BX94" i="3" s="1"/>
  <c r="BX223" i="3" s="1"/>
  <c r="BF94" i="3"/>
  <c r="AU94" i="3"/>
  <c r="BB94" i="3" s="1"/>
  <c r="BB223" i="3" s="1"/>
  <c r="AJ94" i="3"/>
  <c r="AB94" i="3"/>
  <c r="AB223" i="3" s="1"/>
  <c r="U94" i="3"/>
  <c r="U223" i="3" s="1"/>
  <c r="V94" i="3"/>
  <c r="V223" i="3" s="1"/>
  <c r="C94" i="3"/>
  <c r="B222" i="3"/>
  <c r="F222" i="3"/>
  <c r="G222" i="3"/>
  <c r="H222" i="3"/>
  <c r="I222" i="3"/>
  <c r="M222" i="3"/>
  <c r="N222" i="3"/>
  <c r="O222" i="3"/>
  <c r="P222" i="3"/>
  <c r="Q222" i="3"/>
  <c r="R222" i="3"/>
  <c r="S222" i="3"/>
  <c r="T222" i="3"/>
  <c r="Z222" i="3"/>
  <c r="AA222" i="3"/>
  <c r="AI222" i="3"/>
  <c r="AK222" i="3"/>
  <c r="AL222" i="3"/>
  <c r="AO222" i="3"/>
  <c r="AP222" i="3"/>
  <c r="AT222" i="3"/>
  <c r="AV222" i="3"/>
  <c r="AW222" i="3"/>
  <c r="AZ222" i="3"/>
  <c r="BA222" i="3"/>
  <c r="BE222" i="3"/>
  <c r="BG222" i="3"/>
  <c r="BH222" i="3"/>
  <c r="BK222" i="3"/>
  <c r="BL222" i="3"/>
  <c r="BP222" i="3"/>
  <c r="BR222" i="3"/>
  <c r="BS222" i="3"/>
  <c r="BV222" i="3"/>
  <c r="BW222" i="3"/>
  <c r="CA222" i="3"/>
  <c r="CC222" i="3"/>
  <c r="CD222" i="3"/>
  <c r="CG222" i="3"/>
  <c r="CH222" i="3"/>
  <c r="CL222" i="3"/>
  <c r="CN222" i="3"/>
  <c r="CO222" i="3"/>
  <c r="CR222" i="3"/>
  <c r="CS222" i="3"/>
  <c r="DE222" i="3"/>
  <c r="DF222" i="3"/>
  <c r="DG222" i="3"/>
  <c r="DI222" i="3"/>
  <c r="DK222" i="3"/>
  <c r="DL222" i="3"/>
  <c r="DN222" i="3"/>
  <c r="DO222" i="3"/>
  <c r="DP222" i="3"/>
  <c r="DV222" i="3"/>
  <c r="EC222" i="3"/>
  <c r="EE222" i="3"/>
  <c r="AE519" i="1"/>
  <c r="AF519" i="1" s="1"/>
  <c r="AH519" i="1"/>
  <c r="S518" i="1"/>
  <c r="S692" i="9"/>
  <c r="S693" i="9"/>
  <c r="S694" i="9"/>
  <c r="J693" i="9"/>
  <c r="J694" i="9"/>
  <c r="EJ94" i="3" l="1"/>
  <c r="EO94" i="3" s="1"/>
  <c r="AC231" i="3"/>
  <c r="AC103" i="3"/>
  <c r="R518" i="1"/>
  <c r="DQ223" i="3"/>
  <c r="D519" i="1"/>
  <c r="C519" i="1" s="1"/>
  <c r="CH95" i="3"/>
  <c r="CH96" i="3" s="1"/>
  <c r="E94" i="3"/>
  <c r="E223" i="3" s="1"/>
  <c r="BB519" i="1"/>
  <c r="DR94" i="3"/>
  <c r="DR223" i="3" s="1"/>
  <c r="AP94" i="3"/>
  <c r="CH223" i="3"/>
  <c r="AQ94" i="3"/>
  <c r="AQ223" i="3" s="1"/>
  <c r="AJ223" i="3"/>
  <c r="CX94" i="3"/>
  <c r="CX223" i="3" s="1"/>
  <c r="C223" i="3"/>
  <c r="BM94" i="3"/>
  <c r="BM223" i="3" s="1"/>
  <c r="BF223" i="3"/>
  <c r="CT94" i="3"/>
  <c r="CT223" i="3" s="1"/>
  <c r="CM223" i="3"/>
  <c r="BT94" i="3"/>
  <c r="BT223" i="3" s="1"/>
  <c r="BQ223" i="3"/>
  <c r="EG94" i="3"/>
  <c r="EG223" i="3" s="1"/>
  <c r="DY223" i="3"/>
  <c r="AX94" i="3"/>
  <c r="AX223" i="3" s="1"/>
  <c r="AU223" i="3"/>
  <c r="CI94" i="3"/>
  <c r="CI223" i="3" s="1"/>
  <c r="CB223" i="3"/>
  <c r="CP94" i="3"/>
  <c r="CP223" i="3" s="1"/>
  <c r="D94" i="3"/>
  <c r="D223" i="3" s="1"/>
  <c r="K94" i="3"/>
  <c r="K223" i="3" s="1"/>
  <c r="BI94" i="3"/>
  <c r="AM94" i="3"/>
  <c r="AM223" i="3" s="1"/>
  <c r="J94" i="3"/>
  <c r="CE94" i="3"/>
  <c r="W94" i="3"/>
  <c r="H696" i="9"/>
  <c r="AG519" i="1"/>
  <c r="Q694" i="9"/>
  <c r="Q693" i="9"/>
  <c r="AC232" i="3" l="1"/>
  <c r="AC106" i="3"/>
  <c r="W223" i="3"/>
  <c r="CH97" i="3"/>
  <c r="AP95" i="3"/>
  <c r="DB95" i="3" s="1"/>
  <c r="DB224" i="3" s="1"/>
  <c r="CH224" i="3"/>
  <c r="AP96" i="3"/>
  <c r="CH225" i="3"/>
  <c r="BU94" i="3"/>
  <c r="BU223" i="3" s="1"/>
  <c r="BN94" i="3"/>
  <c r="BN223" i="3" s="1"/>
  <c r="CF94" i="3"/>
  <c r="CF223" i="3" s="1"/>
  <c r="CE223" i="3"/>
  <c r="AS94" i="3"/>
  <c r="AS223" i="3" s="1"/>
  <c r="BD94" i="3"/>
  <c r="BD223" i="3" s="1"/>
  <c r="BJ94" i="3"/>
  <c r="BJ223" i="3" s="1"/>
  <c r="BI223" i="3"/>
  <c r="BZ94" i="3"/>
  <c r="BZ223" i="3" s="1"/>
  <c r="CJ94" i="3"/>
  <c r="CJ223" i="3" s="1"/>
  <c r="AY94" i="3"/>
  <c r="AY223" i="3" s="1"/>
  <c r="J223" i="3"/>
  <c r="DB94" i="3"/>
  <c r="DB223" i="3" s="1"/>
  <c r="AP223" i="3"/>
  <c r="L94" i="3"/>
  <c r="L223" i="3" s="1"/>
  <c r="K519" i="1"/>
  <c r="X94" i="3"/>
  <c r="X223" i="3" s="1"/>
  <c r="P519" i="1"/>
  <c r="BY94" i="3"/>
  <c r="BY223" i="3" s="1"/>
  <c r="AR94" i="3"/>
  <c r="AR223" i="3" s="1"/>
  <c r="BO94" i="3"/>
  <c r="BO223" i="3" s="1"/>
  <c r="CQ94" i="3"/>
  <c r="CQ223" i="3" s="1"/>
  <c r="CV94" i="3"/>
  <c r="CV223" i="3" s="1"/>
  <c r="Y94" i="3"/>
  <c r="Y223" i="3" s="1"/>
  <c r="BC94" i="3"/>
  <c r="BC223" i="3" s="1"/>
  <c r="AN94" i="3"/>
  <c r="AN223" i="3" s="1"/>
  <c r="CK94" i="3"/>
  <c r="CK223" i="3" s="1"/>
  <c r="CU94" i="3"/>
  <c r="CU223" i="3" s="1"/>
  <c r="S82" i="11"/>
  <c r="A139" i="11"/>
  <c r="B139" i="11"/>
  <c r="C139" i="11"/>
  <c r="E139" i="11"/>
  <c r="F139" i="11"/>
  <c r="G139" i="11"/>
  <c r="H139" i="11"/>
  <c r="M139" i="11"/>
  <c r="P139" i="11"/>
  <c r="Q139" i="11"/>
  <c r="R139" i="11"/>
  <c r="T139" i="11"/>
  <c r="V139" i="11"/>
  <c r="W139" i="11"/>
  <c r="X139" i="11"/>
  <c r="Y139" i="11"/>
  <c r="A137" i="8"/>
  <c r="B137" i="8"/>
  <c r="C137" i="8"/>
  <c r="D137" i="8"/>
  <c r="F137" i="8"/>
  <c r="G137" i="8"/>
  <c r="I137" i="8"/>
  <c r="J137" i="8"/>
  <c r="K137" i="8"/>
  <c r="M137" i="8"/>
  <c r="N137" i="8"/>
  <c r="P137" i="8"/>
  <c r="Q137" i="8"/>
  <c r="T137" i="8"/>
  <c r="U137" i="8"/>
  <c r="V137" i="8"/>
  <c r="X137" i="8"/>
  <c r="Y137" i="8"/>
  <c r="AA137" i="8"/>
  <c r="AB137" i="8"/>
  <c r="AC137" i="8"/>
  <c r="AE137" i="8"/>
  <c r="AF137" i="8"/>
  <c r="AI137" i="8"/>
  <c r="AJ137" i="8"/>
  <c r="AM137" i="8"/>
  <c r="AN137" i="8"/>
  <c r="AO137" i="8"/>
  <c r="DT93" i="3"/>
  <c r="DQ93" i="3"/>
  <c r="DS93" i="3"/>
  <c r="DS222" i="3" s="1"/>
  <c r="DM93" i="3"/>
  <c r="DJ93" i="3"/>
  <c r="DH93" i="3"/>
  <c r="DH222" i="3" s="1"/>
  <c r="CY93" i="3"/>
  <c r="CY222" i="3" s="1"/>
  <c r="CZ93" i="3"/>
  <c r="CZ222" i="3" s="1"/>
  <c r="DA93" i="3"/>
  <c r="DA222" i="3" s="1"/>
  <c r="DB93" i="3"/>
  <c r="DB222" i="3" s="1"/>
  <c r="DC93" i="3"/>
  <c r="DC222" i="3" s="1"/>
  <c r="CM93" i="3"/>
  <c r="CM222" i="3" s="1"/>
  <c r="CB93" i="3"/>
  <c r="CB222" i="3" s="1"/>
  <c r="BQ93" i="3"/>
  <c r="BF93" i="3"/>
  <c r="AU93" i="3"/>
  <c r="BB93" i="3" s="1"/>
  <c r="AJ93" i="3"/>
  <c r="G216" i="3"/>
  <c r="H216" i="3"/>
  <c r="G217" i="3"/>
  <c r="H217" i="3"/>
  <c r="G218" i="3"/>
  <c r="H218" i="3"/>
  <c r="G219" i="3"/>
  <c r="H219" i="3"/>
  <c r="G220" i="3"/>
  <c r="H220" i="3"/>
  <c r="G221" i="3"/>
  <c r="H221" i="3"/>
  <c r="AB93" i="3"/>
  <c r="AB222" i="3" s="1"/>
  <c r="U93" i="3"/>
  <c r="U222" i="3" s="1"/>
  <c r="V93" i="3"/>
  <c r="C93" i="3"/>
  <c r="B221" i="3"/>
  <c r="F221" i="3"/>
  <c r="I221" i="3"/>
  <c r="M221" i="3"/>
  <c r="N221" i="3"/>
  <c r="O221" i="3"/>
  <c r="P221" i="3"/>
  <c r="Q221" i="3"/>
  <c r="R221" i="3"/>
  <c r="S221" i="3"/>
  <c r="T221" i="3"/>
  <c r="Z221" i="3"/>
  <c r="AA221" i="3"/>
  <c r="AI221" i="3"/>
  <c r="AK221" i="3"/>
  <c r="AL221" i="3"/>
  <c r="AO221" i="3"/>
  <c r="AP221" i="3"/>
  <c r="AT221" i="3"/>
  <c r="AV221" i="3"/>
  <c r="AW221" i="3"/>
  <c r="AZ221" i="3"/>
  <c r="BA221" i="3"/>
  <c r="BE221" i="3"/>
  <c r="BG221" i="3"/>
  <c r="BH221" i="3"/>
  <c r="BK221" i="3"/>
  <c r="BL221" i="3"/>
  <c r="BP221" i="3"/>
  <c r="BR221" i="3"/>
  <c r="BS221" i="3"/>
  <c r="BV221" i="3"/>
  <c r="BW221" i="3"/>
  <c r="CA221" i="3"/>
  <c r="CC221" i="3"/>
  <c r="CD221" i="3"/>
  <c r="CG221" i="3"/>
  <c r="CH221" i="3"/>
  <c r="CL221" i="3"/>
  <c r="CN221" i="3"/>
  <c r="CO221" i="3"/>
  <c r="CR221" i="3"/>
  <c r="CS221" i="3"/>
  <c r="DE221" i="3"/>
  <c r="DF221" i="3"/>
  <c r="DG221" i="3"/>
  <c r="DI221" i="3"/>
  <c r="DK221" i="3"/>
  <c r="DL221" i="3"/>
  <c r="DN221" i="3"/>
  <c r="DO221" i="3"/>
  <c r="DP221" i="3"/>
  <c r="DT221" i="3"/>
  <c r="DU221" i="3"/>
  <c r="DV221" i="3"/>
  <c r="DX221" i="3"/>
  <c r="EA221" i="3"/>
  <c r="EC221" i="3"/>
  <c r="EE221" i="3"/>
  <c r="J692" i="9"/>
  <c r="S688" i="9"/>
  <c r="S689" i="9"/>
  <c r="S690" i="9"/>
  <c r="S691" i="9"/>
  <c r="J691" i="9"/>
  <c r="AE518" i="1"/>
  <c r="AF518" i="1" s="1"/>
  <c r="AH518" i="1"/>
  <c r="S517" i="1"/>
  <c r="R517" i="1" s="1"/>
  <c r="EJ93" i="3" l="1"/>
  <c r="EN93" i="3"/>
  <c r="EO93" i="3" s="1"/>
  <c r="DM222" i="3"/>
  <c r="AP97" i="3"/>
  <c r="DB97" i="3" s="1"/>
  <c r="DB226" i="3" s="1"/>
  <c r="AC108" i="3"/>
  <c r="AC235" i="3"/>
  <c r="AG518" i="1"/>
  <c r="CH98" i="3"/>
  <c r="CH107" i="3" s="1"/>
  <c r="CH226" i="3"/>
  <c r="D518" i="1"/>
  <c r="C518" i="1" s="1"/>
  <c r="DQ222" i="3"/>
  <c r="DT222" i="3"/>
  <c r="S83" i="11"/>
  <c r="AP224" i="3"/>
  <c r="DB96" i="3"/>
  <c r="DB225" i="3" s="1"/>
  <c r="AP225" i="3"/>
  <c r="E93" i="3"/>
  <c r="E222" i="3" s="1"/>
  <c r="BB518" i="1"/>
  <c r="D93" i="3"/>
  <c r="D222" i="3" s="1"/>
  <c r="H695" i="9"/>
  <c r="DR93" i="3"/>
  <c r="DR222" i="3" s="1"/>
  <c r="DJ222" i="3"/>
  <c r="CT93" i="3"/>
  <c r="CT222" i="3" s="1"/>
  <c r="CP93" i="3"/>
  <c r="CE93" i="3"/>
  <c r="CE222" i="3" s="1"/>
  <c r="CI93" i="3"/>
  <c r="BT93" i="3"/>
  <c r="BT222" i="3" s="1"/>
  <c r="BQ222" i="3"/>
  <c r="BM93" i="3"/>
  <c r="BM222" i="3" s="1"/>
  <c r="BF222" i="3"/>
  <c r="AX93" i="3"/>
  <c r="AX222" i="3" s="1"/>
  <c r="AU222" i="3"/>
  <c r="AQ93" i="3"/>
  <c r="AQ222" i="3" s="1"/>
  <c r="AJ222" i="3"/>
  <c r="T518" i="1"/>
  <c r="V222" i="3"/>
  <c r="C222" i="3"/>
  <c r="AM93" i="3"/>
  <c r="AM222" i="3" s="1"/>
  <c r="BX93" i="3"/>
  <c r="CX93" i="3"/>
  <c r="CX222" i="3" s="1"/>
  <c r="K93" i="3"/>
  <c r="K222" i="3" s="1"/>
  <c r="BI93" i="3"/>
  <c r="J93" i="3"/>
  <c r="W93" i="3"/>
  <c r="Q692" i="9"/>
  <c r="H693" i="9"/>
  <c r="H694" i="9"/>
  <c r="Q691" i="9"/>
  <c r="H692" i="9"/>
  <c r="J690" i="9"/>
  <c r="J689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AC109" i="3" l="1"/>
  <c r="AC110" i="3" s="1"/>
  <c r="AP226" i="3"/>
  <c r="CS107" i="3"/>
  <c r="CS236" i="3" s="1"/>
  <c r="CH236" i="3"/>
  <c r="AC237" i="3"/>
  <c r="CH227" i="3"/>
  <c r="AP98" i="3"/>
  <c r="DB98" i="3" s="1"/>
  <c r="DB227" i="3" s="1"/>
  <c r="CV93" i="3"/>
  <c r="CV222" i="3" s="1"/>
  <c r="CP222" i="3"/>
  <c r="CK93" i="3"/>
  <c r="CK222" i="3" s="1"/>
  <c r="CI222" i="3"/>
  <c r="BY93" i="3"/>
  <c r="BY222" i="3" s="1"/>
  <c r="BX222" i="3"/>
  <c r="BJ93" i="3"/>
  <c r="BJ222" i="3" s="1"/>
  <c r="BI222" i="3"/>
  <c r="BD93" i="3"/>
  <c r="BD222" i="3" s="1"/>
  <c r="BB222" i="3"/>
  <c r="BN93" i="3"/>
  <c r="BN222" i="3" s="1"/>
  <c r="W222" i="3"/>
  <c r="AY93" i="3"/>
  <c r="AY222" i="3" s="1"/>
  <c r="J222" i="3"/>
  <c r="AR93" i="3"/>
  <c r="AR222" i="3" s="1"/>
  <c r="BZ93" i="3"/>
  <c r="BZ222" i="3" s="1"/>
  <c r="BO93" i="3"/>
  <c r="BO222" i="3" s="1"/>
  <c r="L93" i="3"/>
  <c r="L222" i="3" s="1"/>
  <c r="K518" i="1"/>
  <c r="Y93" i="3"/>
  <c r="Y222" i="3" s="1"/>
  <c r="BU93" i="3"/>
  <c r="BU222" i="3" s="1"/>
  <c r="P518" i="1"/>
  <c r="X93" i="3"/>
  <c r="X222" i="3" s="1"/>
  <c r="CU93" i="3"/>
  <c r="CU222" i="3" s="1"/>
  <c r="CQ93" i="3"/>
  <c r="CQ222" i="3" s="1"/>
  <c r="AS93" i="3"/>
  <c r="AS222" i="3" s="1"/>
  <c r="AN93" i="3"/>
  <c r="AN222" i="3" s="1"/>
  <c r="CJ93" i="3"/>
  <c r="CJ222" i="3" s="1"/>
  <c r="CF93" i="3"/>
  <c r="CF222" i="3" s="1"/>
  <c r="BC93" i="3"/>
  <c r="BC222" i="3" s="1"/>
  <c r="Q690" i="9"/>
  <c r="S84" i="11"/>
  <c r="H691" i="9"/>
  <c r="H689" i="9"/>
  <c r="E686" i="9"/>
  <c r="E687" i="9"/>
  <c r="H690" i="9"/>
  <c r="J688" i="9"/>
  <c r="DB107" i="3" l="1"/>
  <c r="AC238" i="3"/>
  <c r="AC239" i="3"/>
  <c r="AC112" i="3"/>
  <c r="DB236" i="3"/>
  <c r="AP227" i="3"/>
  <c r="S85" i="11"/>
  <c r="Q689" i="9"/>
  <c r="E688" i="9"/>
  <c r="AC113" i="3" l="1"/>
  <c r="AC241" i="3"/>
  <c r="S86" i="11"/>
  <c r="A138" i="11"/>
  <c r="B138" i="11"/>
  <c r="C138" i="11"/>
  <c r="E138" i="11"/>
  <c r="F138" i="11"/>
  <c r="G138" i="11"/>
  <c r="H138" i="11"/>
  <c r="L138" i="11"/>
  <c r="M138" i="11"/>
  <c r="P138" i="11"/>
  <c r="Q138" i="11"/>
  <c r="R138" i="11"/>
  <c r="T138" i="11"/>
  <c r="V138" i="11"/>
  <c r="W138" i="11"/>
  <c r="X138" i="11"/>
  <c r="Y138" i="11"/>
  <c r="R72" i="8"/>
  <c r="R79" i="8"/>
  <c r="A136" i="8"/>
  <c r="B136" i="8"/>
  <c r="C136" i="8"/>
  <c r="D136" i="8"/>
  <c r="F136" i="8"/>
  <c r="G136" i="8"/>
  <c r="I136" i="8"/>
  <c r="J136" i="8"/>
  <c r="K136" i="8"/>
  <c r="M136" i="8"/>
  <c r="N136" i="8"/>
  <c r="P136" i="8"/>
  <c r="Q136" i="8"/>
  <c r="T136" i="8"/>
  <c r="U136" i="8"/>
  <c r="V136" i="8"/>
  <c r="X136" i="8"/>
  <c r="Y136" i="8"/>
  <c r="AA136" i="8"/>
  <c r="AB136" i="8"/>
  <c r="AC136" i="8"/>
  <c r="AE136" i="8"/>
  <c r="AF136" i="8"/>
  <c r="AG136" i="8"/>
  <c r="AI136" i="8"/>
  <c r="AJ136" i="8"/>
  <c r="AM136" i="8"/>
  <c r="AN136" i="8"/>
  <c r="AO136" i="8"/>
  <c r="DZ92" i="3"/>
  <c r="DY92" i="3"/>
  <c r="DW92" i="3"/>
  <c r="DW221" i="3" s="1"/>
  <c r="DS92" i="3"/>
  <c r="DS221" i="3" s="1"/>
  <c r="DQ92" i="3"/>
  <c r="DM92" i="3"/>
  <c r="DJ92" i="3"/>
  <c r="DH92" i="3"/>
  <c r="DH221" i="3" s="1"/>
  <c r="CY92" i="3"/>
  <c r="CY221" i="3" s="1"/>
  <c r="CZ92" i="3"/>
  <c r="CZ221" i="3" s="1"/>
  <c r="DA92" i="3"/>
  <c r="DA221" i="3" s="1"/>
  <c r="DB92" i="3"/>
  <c r="DB221" i="3" s="1"/>
  <c r="DC92" i="3"/>
  <c r="DC221" i="3" s="1"/>
  <c r="CM92" i="3"/>
  <c r="CB92" i="3"/>
  <c r="BQ92" i="3"/>
  <c r="BX92" i="3" s="1"/>
  <c r="BF92" i="3"/>
  <c r="BF221" i="3" s="1"/>
  <c r="AU92" i="3"/>
  <c r="AU91" i="3"/>
  <c r="AJ92" i="3"/>
  <c r="AQ92" i="3" s="1"/>
  <c r="AQ221" i="3" s="1"/>
  <c r="AB92" i="3"/>
  <c r="AB221" i="3" s="1"/>
  <c r="V92" i="3"/>
  <c r="U92" i="3"/>
  <c r="U221" i="3" s="1"/>
  <c r="C92" i="3"/>
  <c r="B220" i="3"/>
  <c r="F220" i="3"/>
  <c r="I220" i="3"/>
  <c r="M220" i="3"/>
  <c r="N220" i="3"/>
  <c r="O220" i="3"/>
  <c r="P220" i="3"/>
  <c r="Q220" i="3"/>
  <c r="R220" i="3"/>
  <c r="S220" i="3"/>
  <c r="T220" i="3"/>
  <c r="Z220" i="3"/>
  <c r="AA220" i="3"/>
  <c r="AI220" i="3"/>
  <c r="AK220" i="3"/>
  <c r="AL220" i="3"/>
  <c r="AO220" i="3"/>
  <c r="AP220" i="3"/>
  <c r="AT220" i="3"/>
  <c r="AV220" i="3"/>
  <c r="AW220" i="3"/>
  <c r="AZ220" i="3"/>
  <c r="BA220" i="3"/>
  <c r="BE220" i="3"/>
  <c r="BG220" i="3"/>
  <c r="BH220" i="3"/>
  <c r="BK220" i="3"/>
  <c r="BL220" i="3"/>
  <c r="BP220" i="3"/>
  <c r="BR220" i="3"/>
  <c r="BS220" i="3"/>
  <c r="BV220" i="3"/>
  <c r="BW220" i="3"/>
  <c r="CA220" i="3"/>
  <c r="CC220" i="3"/>
  <c r="CD220" i="3"/>
  <c r="CG220" i="3"/>
  <c r="CH220" i="3"/>
  <c r="CL220" i="3"/>
  <c r="CN220" i="3"/>
  <c r="CO220" i="3"/>
  <c r="CR220" i="3"/>
  <c r="CS220" i="3"/>
  <c r="DE220" i="3"/>
  <c r="DF220" i="3"/>
  <c r="DG220" i="3"/>
  <c r="DI220" i="3"/>
  <c r="DK220" i="3"/>
  <c r="DL220" i="3"/>
  <c r="DN220" i="3"/>
  <c r="DO220" i="3"/>
  <c r="DP220" i="3"/>
  <c r="DT220" i="3"/>
  <c r="DU220" i="3"/>
  <c r="DV220" i="3"/>
  <c r="DX220" i="3"/>
  <c r="DZ220" i="3"/>
  <c r="EA220" i="3"/>
  <c r="EC220" i="3"/>
  <c r="EE220" i="3"/>
  <c r="S685" i="9"/>
  <c r="S686" i="9"/>
  <c r="S687" i="9"/>
  <c r="J687" i="9"/>
  <c r="EJ92" i="3" l="1"/>
  <c r="EO92" i="3" s="1"/>
  <c r="DM221" i="3"/>
  <c r="AC114" i="3"/>
  <c r="AC242" i="3"/>
  <c r="R85" i="8"/>
  <c r="R91" i="8" s="1"/>
  <c r="R97" i="8" s="1"/>
  <c r="R71" i="8"/>
  <c r="DQ221" i="3"/>
  <c r="BB517" i="1"/>
  <c r="D517" i="1"/>
  <c r="C517" i="1" s="1"/>
  <c r="S87" i="11"/>
  <c r="W92" i="3"/>
  <c r="DZ93" i="3"/>
  <c r="Q688" i="9"/>
  <c r="BM92" i="3"/>
  <c r="BM221" i="3" s="1"/>
  <c r="T517" i="1"/>
  <c r="V221" i="3"/>
  <c r="BI92" i="3"/>
  <c r="BI221" i="3" s="1"/>
  <c r="EB92" i="3"/>
  <c r="EB221" i="3" s="1"/>
  <c r="DZ221" i="3"/>
  <c r="CE92" i="3"/>
  <c r="CE221" i="3" s="1"/>
  <c r="CB221" i="3"/>
  <c r="D92" i="3"/>
  <c r="D221" i="3" s="1"/>
  <c r="C221" i="3"/>
  <c r="CI92" i="3"/>
  <c r="CI221" i="3" s="1"/>
  <c r="DR92" i="3"/>
  <c r="DR221" i="3" s="1"/>
  <c r="DJ221" i="3"/>
  <c r="EG92" i="3"/>
  <c r="EG221" i="3" s="1"/>
  <c r="DY221" i="3"/>
  <c r="AM92" i="3"/>
  <c r="AM221" i="3" s="1"/>
  <c r="AJ221" i="3"/>
  <c r="BQ221" i="3"/>
  <c r="BB92" i="3"/>
  <c r="AU221" i="3"/>
  <c r="CT92" i="3"/>
  <c r="CM221" i="3"/>
  <c r="CX92" i="3"/>
  <c r="CX221" i="3" s="1"/>
  <c r="CP92" i="3"/>
  <c r="AX92" i="3"/>
  <c r="AX221" i="3" s="1"/>
  <c r="BT92" i="3"/>
  <c r="BT221" i="3" s="1"/>
  <c r="K92" i="3"/>
  <c r="K221" i="3" s="1"/>
  <c r="J92" i="3"/>
  <c r="E92" i="3"/>
  <c r="AC243" i="3" l="1"/>
  <c r="AC115" i="3"/>
  <c r="R144" i="8"/>
  <c r="R103" i="8"/>
  <c r="R138" i="8"/>
  <c r="R70" i="8"/>
  <c r="W221" i="3"/>
  <c r="X92" i="3"/>
  <c r="X221" i="3" s="1"/>
  <c r="S89" i="11"/>
  <c r="P517" i="1"/>
  <c r="AR92" i="3"/>
  <c r="AR221" i="3" s="1"/>
  <c r="E221" i="3"/>
  <c r="EA93" i="3"/>
  <c r="EA222" i="3" s="1"/>
  <c r="DZ222" i="3"/>
  <c r="BN92" i="3"/>
  <c r="BN221" i="3" s="1"/>
  <c r="BO92" i="3"/>
  <c r="BO221" i="3" s="1"/>
  <c r="AS92" i="3"/>
  <c r="AS221" i="3" s="1"/>
  <c r="CQ92" i="3"/>
  <c r="CQ221" i="3" s="1"/>
  <c r="CP221" i="3"/>
  <c r="CU92" i="3"/>
  <c r="CU221" i="3" s="1"/>
  <c r="CT221" i="3"/>
  <c r="CJ92" i="3"/>
  <c r="CJ221" i="3" s="1"/>
  <c r="AN92" i="3"/>
  <c r="AN221" i="3" s="1"/>
  <c r="J221" i="3"/>
  <c r="BC92" i="3"/>
  <c r="BC221" i="3" s="1"/>
  <c r="BB221" i="3"/>
  <c r="BZ92" i="3"/>
  <c r="BZ221" i="3" s="1"/>
  <c r="BY92" i="3"/>
  <c r="BY221" i="3" s="1"/>
  <c r="BX221" i="3"/>
  <c r="CK92" i="3"/>
  <c r="CK221" i="3" s="1"/>
  <c r="BJ92" i="3"/>
  <c r="BJ221" i="3" s="1"/>
  <c r="K517" i="1"/>
  <c r="Y92" i="3"/>
  <c r="Y221" i="3" s="1"/>
  <c r="L92" i="3"/>
  <c r="L221" i="3" s="1"/>
  <c r="BU92" i="3"/>
  <c r="BU221" i="3" s="1"/>
  <c r="CF92" i="3"/>
  <c r="CF221" i="3" s="1"/>
  <c r="CV92" i="3"/>
  <c r="CV221" i="3" s="1"/>
  <c r="AY92" i="3"/>
  <c r="AY221" i="3" s="1"/>
  <c r="BD92" i="3"/>
  <c r="BD221" i="3" s="1"/>
  <c r="P685" i="9"/>
  <c r="P686" i="9"/>
  <c r="P687" i="9"/>
  <c r="J685" i="9"/>
  <c r="J686" i="9"/>
  <c r="AC116" i="3" l="1"/>
  <c r="AC244" i="3"/>
  <c r="R150" i="8"/>
  <c r="R109" i="8"/>
  <c r="S90" i="11"/>
  <c r="R69" i="8"/>
  <c r="S141" i="11"/>
  <c r="N687" i="9"/>
  <c r="N686" i="9"/>
  <c r="G738" i="9"/>
  <c r="G739" i="9"/>
  <c r="G740" i="9"/>
  <c r="H688" i="9"/>
  <c r="Q686" i="9"/>
  <c r="Q687" i="9"/>
  <c r="H687" i="9"/>
  <c r="H686" i="9"/>
  <c r="AE517" i="1"/>
  <c r="AG517" i="1" s="1"/>
  <c r="AH517" i="1"/>
  <c r="S684" i="9"/>
  <c r="S516" i="1"/>
  <c r="R516" i="1" s="1"/>
  <c r="CB309" i="7"/>
  <c r="CB320" i="7"/>
  <c r="CB321" i="7"/>
  <c r="BO309" i="7"/>
  <c r="BO320" i="7"/>
  <c r="BO321" i="7"/>
  <c r="BC309" i="7"/>
  <c r="BC320" i="7"/>
  <c r="BC321" i="7"/>
  <c r="AO309" i="7"/>
  <c r="AO321" i="7"/>
  <c r="AO320" i="7"/>
  <c r="Z309" i="7"/>
  <c r="Z297" i="7"/>
  <c r="Z320" i="7"/>
  <c r="Z321" i="7"/>
  <c r="N309" i="7"/>
  <c r="N320" i="7"/>
  <c r="N321" i="7"/>
  <c r="A137" i="11"/>
  <c r="B137" i="11"/>
  <c r="C137" i="11"/>
  <c r="E137" i="11"/>
  <c r="F137" i="11"/>
  <c r="G137" i="11"/>
  <c r="H137" i="11"/>
  <c r="L137" i="11"/>
  <c r="M137" i="11"/>
  <c r="P137" i="11"/>
  <c r="Q137" i="11"/>
  <c r="R137" i="11"/>
  <c r="S137" i="11"/>
  <c r="T137" i="11"/>
  <c r="V137" i="11"/>
  <c r="W137" i="11"/>
  <c r="X137" i="11"/>
  <c r="Y137" i="11"/>
  <c r="A135" i="8"/>
  <c r="B135" i="8"/>
  <c r="C135" i="8"/>
  <c r="D135" i="8"/>
  <c r="F135" i="8"/>
  <c r="G135" i="8"/>
  <c r="I135" i="8"/>
  <c r="J135" i="8"/>
  <c r="K135" i="8"/>
  <c r="M135" i="8"/>
  <c r="N135" i="8"/>
  <c r="P135" i="8"/>
  <c r="Q135" i="8"/>
  <c r="T135" i="8"/>
  <c r="U135" i="8"/>
  <c r="V135" i="8"/>
  <c r="X135" i="8"/>
  <c r="Y135" i="8"/>
  <c r="AA135" i="8"/>
  <c r="AB135" i="8"/>
  <c r="AC135" i="8"/>
  <c r="AE135" i="8"/>
  <c r="AF135" i="8"/>
  <c r="AI135" i="8"/>
  <c r="AJ135" i="8"/>
  <c r="AM135" i="8"/>
  <c r="AN135" i="8"/>
  <c r="AO135" i="8"/>
  <c r="EB91" i="3"/>
  <c r="EB220" i="3" s="1"/>
  <c r="DY91" i="3"/>
  <c r="DY220" i="3" s="1"/>
  <c r="DW91" i="3"/>
  <c r="DW220" i="3" s="1"/>
  <c r="DQ91" i="3"/>
  <c r="DS91" i="3"/>
  <c r="DS220" i="3" s="1"/>
  <c r="DM91" i="3"/>
  <c r="DJ91" i="3"/>
  <c r="DJ220" i="3" s="1"/>
  <c r="DH91" i="3"/>
  <c r="DH220" i="3" s="1"/>
  <c r="CY91" i="3"/>
  <c r="CY220" i="3" s="1"/>
  <c r="CZ91" i="3"/>
  <c r="CZ220" i="3" s="1"/>
  <c r="DA91" i="3"/>
  <c r="DA220" i="3" s="1"/>
  <c r="DB91" i="3"/>
  <c r="DB220" i="3" s="1"/>
  <c r="DC91" i="3"/>
  <c r="DC220" i="3" s="1"/>
  <c r="CM91" i="3"/>
  <c r="CB91" i="3"/>
  <c r="BQ91" i="3"/>
  <c r="BF91" i="3"/>
  <c r="AJ91" i="3"/>
  <c r="AB91" i="3"/>
  <c r="AB220" i="3" s="1"/>
  <c r="U91" i="3"/>
  <c r="U220" i="3" s="1"/>
  <c r="V91" i="3"/>
  <c r="V220" i="3" s="1"/>
  <c r="C91" i="3"/>
  <c r="B219" i="3"/>
  <c r="F219" i="3"/>
  <c r="I219" i="3"/>
  <c r="M219" i="3"/>
  <c r="N219" i="3"/>
  <c r="O219" i="3"/>
  <c r="P219" i="3"/>
  <c r="Q219" i="3"/>
  <c r="R219" i="3"/>
  <c r="S219" i="3"/>
  <c r="T219" i="3"/>
  <c r="Z219" i="3"/>
  <c r="AA219" i="3"/>
  <c r="AI219" i="3"/>
  <c r="AK219" i="3"/>
  <c r="AL219" i="3"/>
  <c r="AO219" i="3"/>
  <c r="AP219" i="3"/>
  <c r="AT219" i="3"/>
  <c r="AV219" i="3"/>
  <c r="AW219" i="3"/>
  <c r="AZ219" i="3"/>
  <c r="BA219" i="3"/>
  <c r="BE219" i="3"/>
  <c r="BG219" i="3"/>
  <c r="BH219" i="3"/>
  <c r="BK219" i="3"/>
  <c r="BL219" i="3"/>
  <c r="BP219" i="3"/>
  <c r="BR219" i="3"/>
  <c r="BS219" i="3"/>
  <c r="BV219" i="3"/>
  <c r="BW219" i="3"/>
  <c r="CA219" i="3"/>
  <c r="CC219" i="3"/>
  <c r="CD219" i="3"/>
  <c r="CG219" i="3"/>
  <c r="CH219" i="3"/>
  <c r="CL219" i="3"/>
  <c r="CN219" i="3"/>
  <c r="CO219" i="3"/>
  <c r="CR219" i="3"/>
  <c r="CS219" i="3"/>
  <c r="DE219" i="3"/>
  <c r="DF219" i="3"/>
  <c r="DG219" i="3"/>
  <c r="DI219" i="3"/>
  <c r="DK219" i="3"/>
  <c r="DL219" i="3"/>
  <c r="DN219" i="3"/>
  <c r="DO219" i="3"/>
  <c r="DP219" i="3"/>
  <c r="DT219" i="3"/>
  <c r="DU219" i="3"/>
  <c r="DV219" i="3"/>
  <c r="DX219" i="3"/>
  <c r="DZ219" i="3"/>
  <c r="EA219" i="3"/>
  <c r="EC219" i="3"/>
  <c r="EE219" i="3"/>
  <c r="S683" i="9"/>
  <c r="J684" i="9"/>
  <c r="S682" i="9"/>
  <c r="J683" i="9"/>
  <c r="EJ91" i="3" l="1"/>
  <c r="EO91" i="3" s="1"/>
  <c r="AC245" i="3"/>
  <c r="AC119" i="3"/>
  <c r="R156" i="8"/>
  <c r="R115" i="8"/>
  <c r="R162" i="8" s="1"/>
  <c r="DM220" i="3"/>
  <c r="S91" i="11"/>
  <c r="R68" i="8"/>
  <c r="DQ220" i="3"/>
  <c r="BB516" i="1"/>
  <c r="D516" i="1"/>
  <c r="C516" i="1" s="1"/>
  <c r="W91" i="3"/>
  <c r="DR91" i="3"/>
  <c r="DR220" i="3" s="1"/>
  <c r="N688" i="9"/>
  <c r="G737" i="9"/>
  <c r="BX91" i="3"/>
  <c r="BQ220" i="3"/>
  <c r="BI91" i="3"/>
  <c r="BI220" i="3" s="1"/>
  <c r="BF220" i="3"/>
  <c r="BM91" i="3"/>
  <c r="CE91" i="3"/>
  <c r="CE220" i="3" s="1"/>
  <c r="CB220" i="3"/>
  <c r="AM91" i="3"/>
  <c r="AM220" i="3" s="1"/>
  <c r="AJ220" i="3"/>
  <c r="CP91" i="3"/>
  <c r="CP220" i="3" s="1"/>
  <c r="CM220" i="3"/>
  <c r="EG91" i="3"/>
  <c r="EG220" i="3" s="1"/>
  <c r="AQ91" i="3"/>
  <c r="AQ220" i="3" s="1"/>
  <c r="CT91" i="3"/>
  <c r="T516" i="1"/>
  <c r="CI91" i="3"/>
  <c r="D91" i="3"/>
  <c r="D220" i="3" s="1"/>
  <c r="C220" i="3"/>
  <c r="BB91" i="3"/>
  <c r="AU220" i="3"/>
  <c r="AX91" i="3"/>
  <c r="AX220" i="3" s="1"/>
  <c r="BT91" i="3"/>
  <c r="BT220" i="3" s="1"/>
  <c r="J91" i="3"/>
  <c r="CX91" i="3"/>
  <c r="CX220" i="3" s="1"/>
  <c r="K91" i="3"/>
  <c r="K220" i="3" s="1"/>
  <c r="Q685" i="9"/>
  <c r="H685" i="9"/>
  <c r="AF517" i="1"/>
  <c r="Q684" i="9"/>
  <c r="Q683" i="9"/>
  <c r="E91" i="3"/>
  <c r="AC120" i="3" l="1"/>
  <c r="AC248" i="3"/>
  <c r="S140" i="11"/>
  <c r="R67" i="8"/>
  <c r="P516" i="1"/>
  <c r="X91" i="3"/>
  <c r="X220" i="3" s="1"/>
  <c r="W220" i="3"/>
  <c r="E220" i="3"/>
  <c r="CQ91" i="3"/>
  <c r="CQ220" i="3" s="1"/>
  <c r="AN91" i="3"/>
  <c r="AN220" i="3" s="1"/>
  <c r="AR91" i="3"/>
  <c r="AR220" i="3" s="1"/>
  <c r="CU91" i="3"/>
  <c r="CU220" i="3" s="1"/>
  <c r="CT220" i="3"/>
  <c r="CF91" i="3"/>
  <c r="CF220" i="3" s="1"/>
  <c r="J220" i="3"/>
  <c r="BN91" i="3"/>
  <c r="BN220" i="3" s="1"/>
  <c r="BM220" i="3"/>
  <c r="CK91" i="3"/>
  <c r="CK220" i="3" s="1"/>
  <c r="AS91" i="3"/>
  <c r="AS220" i="3" s="1"/>
  <c r="CJ91" i="3"/>
  <c r="CJ220" i="3" s="1"/>
  <c r="CI220" i="3"/>
  <c r="BC91" i="3"/>
  <c r="BC220" i="3" s="1"/>
  <c r="BB220" i="3"/>
  <c r="BO91" i="3"/>
  <c r="BO220" i="3" s="1"/>
  <c r="CV91" i="3"/>
  <c r="CV220" i="3" s="1"/>
  <c r="BY91" i="3"/>
  <c r="BY220" i="3" s="1"/>
  <c r="BX220" i="3"/>
  <c r="BD91" i="3"/>
  <c r="BD220" i="3" s="1"/>
  <c r="AY91" i="3"/>
  <c r="AY220" i="3" s="1"/>
  <c r="BZ91" i="3"/>
  <c r="BZ220" i="3" s="1"/>
  <c r="BU91" i="3"/>
  <c r="BU220" i="3" s="1"/>
  <c r="L91" i="3"/>
  <c r="L220" i="3" s="1"/>
  <c r="K516" i="1"/>
  <c r="Y91" i="3"/>
  <c r="Y220" i="3" s="1"/>
  <c r="BJ91" i="3"/>
  <c r="BJ220" i="3" s="1"/>
  <c r="J682" i="9"/>
  <c r="AE516" i="1"/>
  <c r="AG516" i="1" s="1"/>
  <c r="AH516" i="1"/>
  <c r="AC249" i="3" l="1"/>
  <c r="AC123" i="3"/>
  <c r="AC252" i="3" s="1"/>
  <c r="R66" i="8"/>
  <c r="G735" i="9"/>
  <c r="G736" i="9"/>
  <c r="G732" i="9"/>
  <c r="H684" i="9"/>
  <c r="H683" i="9"/>
  <c r="AF516" i="1"/>
  <c r="AC125" i="3" l="1"/>
  <c r="R65" i="8"/>
  <c r="S681" i="9"/>
  <c r="J681" i="9"/>
  <c r="S680" i="9"/>
  <c r="J680" i="9"/>
  <c r="AC126" i="3" l="1"/>
  <c r="AC254" i="3"/>
  <c r="R64" i="8"/>
  <c r="G733" i="9"/>
  <c r="G734" i="9"/>
  <c r="Q682" i="9"/>
  <c r="H682" i="9"/>
  <c r="H681" i="9"/>
  <c r="Q681" i="9"/>
  <c r="AC255" i="3" l="1"/>
  <c r="AC127" i="3"/>
  <c r="R63" i="8"/>
  <c r="S511" i="1"/>
  <c r="S512" i="1"/>
  <c r="S513" i="1"/>
  <c r="R513" i="1" s="1"/>
  <c r="S514" i="1"/>
  <c r="R514" i="1" s="1"/>
  <c r="S515" i="1"/>
  <c r="R515" i="1" s="1"/>
  <c r="R62" i="8" l="1"/>
  <c r="S679" i="9"/>
  <c r="J679" i="9"/>
  <c r="A136" i="11"/>
  <c r="B136" i="11"/>
  <c r="C136" i="11"/>
  <c r="E136" i="11"/>
  <c r="F136" i="11"/>
  <c r="G136" i="11"/>
  <c r="H136" i="11"/>
  <c r="J136" i="11"/>
  <c r="K136" i="11"/>
  <c r="L136" i="11"/>
  <c r="M136" i="11"/>
  <c r="P136" i="11"/>
  <c r="Q136" i="11"/>
  <c r="R136" i="11"/>
  <c r="T136" i="11"/>
  <c r="V136" i="11"/>
  <c r="W136" i="11"/>
  <c r="X136" i="11"/>
  <c r="Y136" i="11"/>
  <c r="A134" i="8"/>
  <c r="B134" i="8"/>
  <c r="C134" i="8"/>
  <c r="D134" i="8"/>
  <c r="F134" i="8"/>
  <c r="G134" i="8"/>
  <c r="I134" i="8"/>
  <c r="J134" i="8"/>
  <c r="K134" i="8"/>
  <c r="M134" i="8"/>
  <c r="N134" i="8"/>
  <c r="P134" i="8"/>
  <c r="Q134" i="8"/>
  <c r="T134" i="8"/>
  <c r="U134" i="8"/>
  <c r="V134" i="8"/>
  <c r="X134" i="8"/>
  <c r="Y134" i="8"/>
  <c r="AA134" i="8"/>
  <c r="AB134" i="8"/>
  <c r="AC134" i="8"/>
  <c r="AE134" i="8"/>
  <c r="AF134" i="8"/>
  <c r="AG134" i="8"/>
  <c r="AI134" i="8"/>
  <c r="AJ134" i="8"/>
  <c r="AM134" i="8"/>
  <c r="AN134" i="8"/>
  <c r="AO134" i="8"/>
  <c r="EB90" i="3"/>
  <c r="EB219" i="3" s="1"/>
  <c r="DY90" i="3"/>
  <c r="DW90" i="3"/>
  <c r="DW219" i="3" s="1"/>
  <c r="DQ90" i="3"/>
  <c r="DS90" i="3"/>
  <c r="DS219" i="3" s="1"/>
  <c r="DM90" i="3"/>
  <c r="DJ90" i="3"/>
  <c r="DJ219" i="3" s="1"/>
  <c r="DH90" i="3"/>
  <c r="CY90" i="3"/>
  <c r="CY219" i="3" s="1"/>
  <c r="CZ90" i="3"/>
  <c r="CZ219" i="3" s="1"/>
  <c r="DA90" i="3"/>
  <c r="DA219" i="3" s="1"/>
  <c r="DB90" i="3"/>
  <c r="DB219" i="3" s="1"/>
  <c r="DC90" i="3"/>
  <c r="DC219" i="3" s="1"/>
  <c r="CM90" i="3"/>
  <c r="CM219" i="3" s="1"/>
  <c r="CB90" i="3"/>
  <c r="CE90" i="3" s="1"/>
  <c r="CE219" i="3" s="1"/>
  <c r="BQ90" i="3"/>
  <c r="BT90" i="3" s="1"/>
  <c r="BT219" i="3" s="1"/>
  <c r="BF90" i="3"/>
  <c r="BF219" i="3" s="1"/>
  <c r="AU90" i="3"/>
  <c r="AU219" i="3" s="1"/>
  <c r="AJ90" i="3"/>
  <c r="AB90" i="3"/>
  <c r="AB219" i="3" s="1"/>
  <c r="U90" i="3"/>
  <c r="U219" i="3" s="1"/>
  <c r="V90" i="3"/>
  <c r="C90" i="3"/>
  <c r="B218" i="3"/>
  <c r="F218" i="3"/>
  <c r="I218" i="3"/>
  <c r="M218" i="3"/>
  <c r="N218" i="3"/>
  <c r="O218" i="3"/>
  <c r="P218" i="3"/>
  <c r="Q218" i="3"/>
  <c r="R218" i="3"/>
  <c r="S218" i="3"/>
  <c r="T218" i="3"/>
  <c r="Z218" i="3"/>
  <c r="AA218" i="3"/>
  <c r="AI218" i="3"/>
  <c r="AK218" i="3"/>
  <c r="AL218" i="3"/>
  <c r="AO218" i="3"/>
  <c r="AP218" i="3"/>
  <c r="AT218" i="3"/>
  <c r="AV218" i="3"/>
  <c r="AW218" i="3"/>
  <c r="AZ218" i="3"/>
  <c r="BA218" i="3"/>
  <c r="BE218" i="3"/>
  <c r="BG218" i="3"/>
  <c r="BH218" i="3"/>
  <c r="BK218" i="3"/>
  <c r="BL218" i="3"/>
  <c r="BP218" i="3"/>
  <c r="BR218" i="3"/>
  <c r="BS218" i="3"/>
  <c r="BV218" i="3"/>
  <c r="BW218" i="3"/>
  <c r="CA218" i="3"/>
  <c r="CC218" i="3"/>
  <c r="CD218" i="3"/>
  <c r="CG218" i="3"/>
  <c r="CH218" i="3"/>
  <c r="CL218" i="3"/>
  <c r="CN218" i="3"/>
  <c r="CO218" i="3"/>
  <c r="CR218" i="3"/>
  <c r="CS218" i="3"/>
  <c r="DE218" i="3"/>
  <c r="DF218" i="3"/>
  <c r="DG218" i="3"/>
  <c r="DI218" i="3"/>
  <c r="DK218" i="3"/>
  <c r="DL218" i="3"/>
  <c r="DN218" i="3"/>
  <c r="DO218" i="3"/>
  <c r="DP218" i="3"/>
  <c r="DT218" i="3"/>
  <c r="DU218" i="3"/>
  <c r="DV218" i="3"/>
  <c r="DX218" i="3"/>
  <c r="DZ218" i="3"/>
  <c r="EA218" i="3"/>
  <c r="EC218" i="3"/>
  <c r="EE218" i="3"/>
  <c r="P703" i="9"/>
  <c r="P702" i="9"/>
  <c r="P701" i="9"/>
  <c r="P700" i="9"/>
  <c r="P699" i="9"/>
  <c r="P698" i="9"/>
  <c r="P697" i="9"/>
  <c r="P696" i="9"/>
  <c r="P695" i="9"/>
  <c r="P694" i="9"/>
  <c r="P693" i="9"/>
  <c r="P692" i="9"/>
  <c r="P691" i="9"/>
  <c r="P690" i="9"/>
  <c r="P689" i="9"/>
  <c r="P688" i="9"/>
  <c r="P684" i="9"/>
  <c r="P683" i="9"/>
  <c r="P682" i="9"/>
  <c r="P681" i="9"/>
  <c r="P680" i="9"/>
  <c r="P679" i="9"/>
  <c r="S678" i="9"/>
  <c r="P678" i="9"/>
  <c r="S677" i="9"/>
  <c r="P677" i="9"/>
  <c r="S676" i="9"/>
  <c r="P676" i="9"/>
  <c r="S675" i="9"/>
  <c r="P675" i="9"/>
  <c r="S674" i="9"/>
  <c r="Q674" i="9"/>
  <c r="P674" i="9"/>
  <c r="S673" i="9"/>
  <c r="Q673" i="9"/>
  <c r="P673" i="9"/>
  <c r="S672" i="9"/>
  <c r="Q672" i="9"/>
  <c r="P672" i="9"/>
  <c r="S671" i="9"/>
  <c r="Q671" i="9"/>
  <c r="P671" i="9"/>
  <c r="S670" i="9"/>
  <c r="Q670" i="9"/>
  <c r="P670" i="9"/>
  <c r="S669" i="9"/>
  <c r="Q669" i="9"/>
  <c r="P669" i="9"/>
  <c r="S668" i="9"/>
  <c r="Q668" i="9"/>
  <c r="P668" i="9"/>
  <c r="S667" i="9"/>
  <c r="Q667" i="9"/>
  <c r="P667" i="9"/>
  <c r="S666" i="9"/>
  <c r="Q666" i="9"/>
  <c r="P666" i="9"/>
  <c r="S665" i="9"/>
  <c r="Q665" i="9"/>
  <c r="P665" i="9"/>
  <c r="S664" i="9"/>
  <c r="Q664" i="9"/>
  <c r="P664" i="9"/>
  <c r="S663" i="9"/>
  <c r="Q663" i="9"/>
  <c r="P663" i="9"/>
  <c r="S662" i="9"/>
  <c r="Q662" i="9"/>
  <c r="P662" i="9"/>
  <c r="S661" i="9"/>
  <c r="Q661" i="9"/>
  <c r="P661" i="9"/>
  <c r="S660" i="9"/>
  <c r="Q660" i="9"/>
  <c r="P660" i="9"/>
  <c r="S659" i="9"/>
  <c r="Q659" i="9"/>
  <c r="P659" i="9"/>
  <c r="S658" i="9"/>
  <c r="Q658" i="9"/>
  <c r="P658" i="9"/>
  <c r="S657" i="9"/>
  <c r="Q657" i="9"/>
  <c r="P657" i="9"/>
  <c r="S656" i="9"/>
  <c r="Q656" i="9"/>
  <c r="P656" i="9"/>
  <c r="S655" i="9"/>
  <c r="Q655" i="9"/>
  <c r="P655" i="9"/>
  <c r="S654" i="9"/>
  <c r="Q654" i="9"/>
  <c r="P654" i="9"/>
  <c r="S653" i="9"/>
  <c r="Q653" i="9"/>
  <c r="P653" i="9"/>
  <c r="S652" i="9"/>
  <c r="Q652" i="9"/>
  <c r="P652" i="9"/>
  <c r="S651" i="9"/>
  <c r="Q651" i="9"/>
  <c r="P651" i="9"/>
  <c r="S650" i="9"/>
  <c r="Q650" i="9"/>
  <c r="P650" i="9"/>
  <c r="S649" i="9"/>
  <c r="Q649" i="9"/>
  <c r="P649" i="9"/>
  <c r="S648" i="9"/>
  <c r="Q648" i="9"/>
  <c r="P648" i="9"/>
  <c r="S647" i="9"/>
  <c r="Q647" i="9"/>
  <c r="P647" i="9"/>
  <c r="S646" i="9"/>
  <c r="Q646" i="9"/>
  <c r="P646" i="9"/>
  <c r="S645" i="9"/>
  <c r="Q645" i="9"/>
  <c r="P645" i="9"/>
  <c r="S644" i="9"/>
  <c r="Q644" i="9"/>
  <c r="P644" i="9"/>
  <c r="S643" i="9"/>
  <c r="Q643" i="9"/>
  <c r="P643" i="9"/>
  <c r="S642" i="9"/>
  <c r="Q642" i="9"/>
  <c r="P642" i="9"/>
  <c r="S641" i="9"/>
  <c r="Q641" i="9"/>
  <c r="P641" i="9"/>
  <c r="S640" i="9"/>
  <c r="Q640" i="9"/>
  <c r="P640" i="9"/>
  <c r="S639" i="9"/>
  <c r="Q639" i="9"/>
  <c r="P639" i="9"/>
  <c r="S638" i="9"/>
  <c r="Q638" i="9"/>
  <c r="P638" i="9"/>
  <c r="S637" i="9"/>
  <c r="Q637" i="9"/>
  <c r="P637" i="9"/>
  <c r="S636" i="9"/>
  <c r="Q636" i="9"/>
  <c r="P636" i="9"/>
  <c r="S635" i="9"/>
  <c r="Q635" i="9"/>
  <c r="P635" i="9"/>
  <c r="S634" i="9"/>
  <c r="Q634" i="9"/>
  <c r="P634" i="9"/>
  <c r="S633" i="9"/>
  <c r="Q633" i="9"/>
  <c r="P633" i="9"/>
  <c r="S632" i="9"/>
  <c r="Q632" i="9"/>
  <c r="P632" i="9"/>
  <c r="S631" i="9"/>
  <c r="Q631" i="9"/>
  <c r="P631" i="9"/>
  <c r="S630" i="9"/>
  <c r="Q630" i="9"/>
  <c r="P630" i="9"/>
  <c r="S629" i="9"/>
  <c r="Q629" i="9"/>
  <c r="P629" i="9"/>
  <c r="S628" i="9"/>
  <c r="Q628" i="9"/>
  <c r="P628" i="9"/>
  <c r="S627" i="9"/>
  <c r="Q627" i="9"/>
  <c r="P627" i="9"/>
  <c r="S626" i="9"/>
  <c r="Q626" i="9"/>
  <c r="P626" i="9"/>
  <c r="S625" i="9"/>
  <c r="Q625" i="9"/>
  <c r="P625" i="9"/>
  <c r="S624" i="9"/>
  <c r="Q624" i="9"/>
  <c r="P624" i="9"/>
  <c r="S623" i="9"/>
  <c r="Q623" i="9"/>
  <c r="P623" i="9"/>
  <c r="S622" i="9"/>
  <c r="Q622" i="9"/>
  <c r="P622" i="9"/>
  <c r="S621" i="9"/>
  <c r="Q621" i="9"/>
  <c r="P621" i="9"/>
  <c r="S620" i="9"/>
  <c r="Q620" i="9"/>
  <c r="P620" i="9"/>
  <c r="S619" i="9"/>
  <c r="Q619" i="9"/>
  <c r="P619" i="9"/>
  <c r="S618" i="9"/>
  <c r="Q618" i="9"/>
  <c r="P618" i="9"/>
  <c r="S617" i="9"/>
  <c r="Q617" i="9"/>
  <c r="P617" i="9"/>
  <c r="S616" i="9"/>
  <c r="Q616" i="9"/>
  <c r="P616" i="9"/>
  <c r="S615" i="9"/>
  <c r="Q615" i="9"/>
  <c r="P615" i="9"/>
  <c r="S614" i="9"/>
  <c r="Q614" i="9"/>
  <c r="P614" i="9"/>
  <c r="S613" i="9"/>
  <c r="Q613" i="9"/>
  <c r="P613" i="9"/>
  <c r="S612" i="9"/>
  <c r="Q612" i="9"/>
  <c r="P612" i="9"/>
  <c r="S611" i="9"/>
  <c r="Q611" i="9"/>
  <c r="P611" i="9"/>
  <c r="S610" i="9"/>
  <c r="Q610" i="9"/>
  <c r="P610" i="9"/>
  <c r="S609" i="9"/>
  <c r="Q609" i="9"/>
  <c r="P609" i="9"/>
  <c r="S608" i="9"/>
  <c r="Q608" i="9"/>
  <c r="P608" i="9"/>
  <c r="S607" i="9"/>
  <c r="Q607" i="9"/>
  <c r="P607" i="9"/>
  <c r="S606" i="9"/>
  <c r="Q606" i="9"/>
  <c r="P606" i="9"/>
  <c r="S605" i="9"/>
  <c r="Q605" i="9"/>
  <c r="P605" i="9"/>
  <c r="S604" i="9"/>
  <c r="Q604" i="9"/>
  <c r="P604" i="9"/>
  <c r="S603" i="9"/>
  <c r="Q603" i="9"/>
  <c r="P603" i="9"/>
  <c r="S602" i="9"/>
  <c r="Q602" i="9"/>
  <c r="P602" i="9"/>
  <c r="S601" i="9"/>
  <c r="Q601" i="9"/>
  <c r="P601" i="9"/>
  <c r="S600" i="9"/>
  <c r="Q600" i="9"/>
  <c r="P600" i="9"/>
  <c r="S599" i="9"/>
  <c r="Q599" i="9"/>
  <c r="P599" i="9"/>
  <c r="S598" i="9"/>
  <c r="Q598" i="9"/>
  <c r="P598" i="9"/>
  <c r="S597" i="9"/>
  <c r="Q597" i="9"/>
  <c r="P597" i="9"/>
  <c r="S596" i="9"/>
  <c r="Q596" i="9"/>
  <c r="P596" i="9"/>
  <c r="S595" i="9"/>
  <c r="Q595" i="9"/>
  <c r="P595" i="9"/>
  <c r="S594" i="9"/>
  <c r="Q594" i="9"/>
  <c r="P594" i="9"/>
  <c r="S593" i="9"/>
  <c r="Q593" i="9"/>
  <c r="P593" i="9"/>
  <c r="S592" i="9"/>
  <c r="Q592" i="9"/>
  <c r="P592" i="9"/>
  <c r="S591" i="9"/>
  <c r="Q591" i="9"/>
  <c r="P591" i="9"/>
  <c r="S590" i="9"/>
  <c r="Q590" i="9"/>
  <c r="P590" i="9"/>
  <c r="S589" i="9"/>
  <c r="Q589" i="9"/>
  <c r="P589" i="9"/>
  <c r="S588" i="9"/>
  <c r="Q588" i="9"/>
  <c r="P588" i="9"/>
  <c r="S587" i="9"/>
  <c r="Q587" i="9"/>
  <c r="P587" i="9"/>
  <c r="S586" i="9"/>
  <c r="Q586" i="9"/>
  <c r="P586" i="9"/>
  <c r="S585" i="9"/>
  <c r="Q585" i="9"/>
  <c r="P585" i="9"/>
  <c r="S584" i="9"/>
  <c r="Q584" i="9"/>
  <c r="P584" i="9"/>
  <c r="S583" i="9"/>
  <c r="Q583" i="9"/>
  <c r="P583" i="9"/>
  <c r="S582" i="9"/>
  <c r="Q582" i="9"/>
  <c r="P582" i="9"/>
  <c r="S581" i="9"/>
  <c r="Q581" i="9"/>
  <c r="P581" i="9"/>
  <c r="S580" i="9"/>
  <c r="Q580" i="9"/>
  <c r="P580" i="9"/>
  <c r="S579" i="9"/>
  <c r="Q579" i="9"/>
  <c r="P579" i="9"/>
  <c r="S578" i="9"/>
  <c r="Q578" i="9"/>
  <c r="P578" i="9"/>
  <c r="S577" i="9"/>
  <c r="Q577" i="9"/>
  <c r="P577" i="9"/>
  <c r="S576" i="9"/>
  <c r="Q576" i="9"/>
  <c r="P576" i="9"/>
  <c r="S575" i="9"/>
  <c r="Q575" i="9"/>
  <c r="P575" i="9"/>
  <c r="S574" i="9"/>
  <c r="Q574" i="9"/>
  <c r="P574" i="9"/>
  <c r="S573" i="9"/>
  <c r="Q573" i="9"/>
  <c r="P573" i="9"/>
  <c r="S572" i="9"/>
  <c r="Q572" i="9"/>
  <c r="P572" i="9"/>
  <c r="S571" i="9"/>
  <c r="Q571" i="9"/>
  <c r="P571" i="9"/>
  <c r="S570" i="9"/>
  <c r="Q570" i="9"/>
  <c r="P570" i="9"/>
  <c r="S569" i="9"/>
  <c r="Q569" i="9"/>
  <c r="P569" i="9"/>
  <c r="S568" i="9"/>
  <c r="Q568" i="9"/>
  <c r="P568" i="9"/>
  <c r="S567" i="9"/>
  <c r="Q567" i="9"/>
  <c r="P567" i="9"/>
  <c r="S566" i="9"/>
  <c r="Q566" i="9"/>
  <c r="P566" i="9"/>
  <c r="S565" i="9"/>
  <c r="Q565" i="9"/>
  <c r="P565" i="9"/>
  <c r="S564" i="9"/>
  <c r="Q564" i="9"/>
  <c r="P564" i="9"/>
  <c r="S563" i="9"/>
  <c r="Q563" i="9"/>
  <c r="P563" i="9"/>
  <c r="S562" i="9"/>
  <c r="Q562" i="9"/>
  <c r="P562" i="9"/>
  <c r="S561" i="9"/>
  <c r="Q561" i="9"/>
  <c r="P561" i="9"/>
  <c r="S560" i="9"/>
  <c r="Q560" i="9"/>
  <c r="P560" i="9"/>
  <c r="S559" i="9"/>
  <c r="Q559" i="9"/>
  <c r="P559" i="9"/>
  <c r="S558" i="9"/>
  <c r="Q558" i="9"/>
  <c r="P558" i="9"/>
  <c r="S557" i="9"/>
  <c r="Q557" i="9"/>
  <c r="P557" i="9"/>
  <c r="S556" i="9"/>
  <c r="Q556" i="9"/>
  <c r="P556" i="9"/>
  <c r="S555" i="9"/>
  <c r="Q555" i="9"/>
  <c r="P555" i="9"/>
  <c r="S554" i="9"/>
  <c r="Q554" i="9"/>
  <c r="P554" i="9"/>
  <c r="S553" i="9"/>
  <c r="Q553" i="9"/>
  <c r="P553" i="9"/>
  <c r="S552" i="9"/>
  <c r="Q552" i="9"/>
  <c r="P552" i="9"/>
  <c r="S551" i="9"/>
  <c r="Q551" i="9"/>
  <c r="P551" i="9"/>
  <c r="S550" i="9"/>
  <c r="Q550" i="9"/>
  <c r="P550" i="9"/>
  <c r="S549" i="9"/>
  <c r="Q549" i="9"/>
  <c r="P549" i="9"/>
  <c r="S548" i="9"/>
  <c r="Q548" i="9"/>
  <c r="P548" i="9"/>
  <c r="S547" i="9"/>
  <c r="Q547" i="9"/>
  <c r="P547" i="9"/>
  <c r="S546" i="9"/>
  <c r="Q546" i="9"/>
  <c r="P546" i="9"/>
  <c r="S545" i="9"/>
  <c r="Q545" i="9"/>
  <c r="P545" i="9"/>
  <c r="S544" i="9"/>
  <c r="Q544" i="9"/>
  <c r="P544" i="9"/>
  <c r="S543" i="9"/>
  <c r="Q543" i="9"/>
  <c r="P543" i="9"/>
  <c r="S542" i="9"/>
  <c r="Q542" i="9"/>
  <c r="P542" i="9"/>
  <c r="S541" i="9"/>
  <c r="Q541" i="9"/>
  <c r="P541" i="9"/>
  <c r="S540" i="9"/>
  <c r="Q540" i="9"/>
  <c r="P540" i="9"/>
  <c r="S539" i="9"/>
  <c r="Q539" i="9"/>
  <c r="P539" i="9"/>
  <c r="S538" i="9"/>
  <c r="Q538" i="9"/>
  <c r="P538" i="9"/>
  <c r="S537" i="9"/>
  <c r="Q537" i="9"/>
  <c r="P537" i="9"/>
  <c r="S536" i="9"/>
  <c r="Q536" i="9"/>
  <c r="P536" i="9"/>
  <c r="S535" i="9"/>
  <c r="Q535" i="9"/>
  <c r="P535" i="9"/>
  <c r="S534" i="9"/>
  <c r="Q534" i="9"/>
  <c r="P534" i="9"/>
  <c r="S533" i="9"/>
  <c r="Q533" i="9"/>
  <c r="P533" i="9"/>
  <c r="S532" i="9"/>
  <c r="Q532" i="9"/>
  <c r="P532" i="9"/>
  <c r="S531" i="9"/>
  <c r="Q531" i="9"/>
  <c r="P531" i="9"/>
  <c r="S530" i="9"/>
  <c r="Q530" i="9"/>
  <c r="P530" i="9"/>
  <c r="S529" i="9"/>
  <c r="Q529" i="9"/>
  <c r="P529" i="9"/>
  <c r="S528" i="9"/>
  <c r="Q528" i="9"/>
  <c r="P528" i="9"/>
  <c r="S527" i="9"/>
  <c r="Q527" i="9"/>
  <c r="P527" i="9"/>
  <c r="S526" i="9"/>
  <c r="Q526" i="9"/>
  <c r="P526" i="9"/>
  <c r="S525" i="9"/>
  <c r="Q525" i="9"/>
  <c r="P525" i="9"/>
  <c r="S524" i="9"/>
  <c r="Q524" i="9"/>
  <c r="P524" i="9"/>
  <c r="S523" i="9"/>
  <c r="Q523" i="9"/>
  <c r="P523" i="9"/>
  <c r="S522" i="9"/>
  <c r="Q522" i="9"/>
  <c r="P522" i="9"/>
  <c r="S521" i="9"/>
  <c r="Q521" i="9"/>
  <c r="P521" i="9"/>
  <c r="S520" i="9"/>
  <c r="Q520" i="9"/>
  <c r="P520" i="9"/>
  <c r="S519" i="9"/>
  <c r="Q519" i="9"/>
  <c r="P519" i="9"/>
  <c r="S518" i="9"/>
  <c r="Q518" i="9"/>
  <c r="P518" i="9"/>
  <c r="S517" i="9"/>
  <c r="Q517" i="9"/>
  <c r="P517" i="9"/>
  <c r="S516" i="9"/>
  <c r="Q516" i="9"/>
  <c r="P516" i="9"/>
  <c r="S515" i="9"/>
  <c r="Q515" i="9"/>
  <c r="P515" i="9"/>
  <c r="S514" i="9"/>
  <c r="Q514" i="9"/>
  <c r="P514" i="9"/>
  <c r="S513" i="9"/>
  <c r="Q513" i="9"/>
  <c r="P513" i="9"/>
  <c r="S512" i="9"/>
  <c r="Q512" i="9"/>
  <c r="P512" i="9"/>
  <c r="S511" i="9"/>
  <c r="Q511" i="9"/>
  <c r="P511" i="9"/>
  <c r="S510" i="9"/>
  <c r="Q510" i="9"/>
  <c r="P510" i="9"/>
  <c r="S509" i="9"/>
  <c r="Q509" i="9"/>
  <c r="P509" i="9"/>
  <c r="S508" i="9"/>
  <c r="Q508" i="9"/>
  <c r="P508" i="9"/>
  <c r="S507" i="9"/>
  <c r="Q507" i="9"/>
  <c r="P507" i="9"/>
  <c r="S506" i="9"/>
  <c r="Q506" i="9"/>
  <c r="P506" i="9"/>
  <c r="S505" i="9"/>
  <c r="Q505" i="9"/>
  <c r="P505" i="9"/>
  <c r="S504" i="9"/>
  <c r="Q504" i="9"/>
  <c r="P504" i="9"/>
  <c r="S503" i="9"/>
  <c r="Q503" i="9"/>
  <c r="P503" i="9"/>
  <c r="S502" i="9"/>
  <c r="Q502" i="9"/>
  <c r="P502" i="9"/>
  <c r="S501" i="9"/>
  <c r="Q501" i="9"/>
  <c r="P501" i="9"/>
  <c r="S500" i="9"/>
  <c r="Q500" i="9"/>
  <c r="P500" i="9"/>
  <c r="S499" i="9"/>
  <c r="Q499" i="9"/>
  <c r="P499" i="9"/>
  <c r="S498" i="9"/>
  <c r="Q498" i="9"/>
  <c r="P498" i="9"/>
  <c r="S497" i="9"/>
  <c r="Q497" i="9"/>
  <c r="P497" i="9"/>
  <c r="S496" i="9"/>
  <c r="Q496" i="9"/>
  <c r="P496" i="9"/>
  <c r="S495" i="9"/>
  <c r="Q495" i="9"/>
  <c r="P495" i="9"/>
  <c r="S494" i="9"/>
  <c r="Q494" i="9"/>
  <c r="P494" i="9"/>
  <c r="S493" i="9"/>
  <c r="Q493" i="9"/>
  <c r="P493" i="9"/>
  <c r="S492" i="9"/>
  <c r="Q492" i="9"/>
  <c r="P492" i="9"/>
  <c r="S491" i="9"/>
  <c r="Q491" i="9"/>
  <c r="P491" i="9"/>
  <c r="S490" i="9"/>
  <c r="Q490" i="9"/>
  <c r="P490" i="9"/>
  <c r="S489" i="9"/>
  <c r="Q489" i="9"/>
  <c r="P489" i="9"/>
  <c r="S488" i="9"/>
  <c r="Q488" i="9"/>
  <c r="P488" i="9"/>
  <c r="S487" i="9"/>
  <c r="Q487" i="9"/>
  <c r="P487" i="9"/>
  <c r="S486" i="9"/>
  <c r="Q486" i="9"/>
  <c r="P486" i="9"/>
  <c r="S485" i="9"/>
  <c r="Q485" i="9"/>
  <c r="P485" i="9"/>
  <c r="S484" i="9"/>
  <c r="Q484" i="9"/>
  <c r="P484" i="9"/>
  <c r="S483" i="9"/>
  <c r="Q483" i="9"/>
  <c r="P483" i="9"/>
  <c r="S482" i="9"/>
  <c r="Q482" i="9"/>
  <c r="P482" i="9"/>
  <c r="S481" i="9"/>
  <c r="Q481" i="9"/>
  <c r="P481" i="9"/>
  <c r="S480" i="9"/>
  <c r="Q480" i="9"/>
  <c r="P480" i="9"/>
  <c r="S479" i="9"/>
  <c r="Q479" i="9"/>
  <c r="P479" i="9"/>
  <c r="S478" i="9"/>
  <c r="Q478" i="9"/>
  <c r="P478" i="9"/>
  <c r="S477" i="9"/>
  <c r="Q477" i="9"/>
  <c r="P477" i="9"/>
  <c r="S476" i="9"/>
  <c r="Q476" i="9"/>
  <c r="P476" i="9"/>
  <c r="S475" i="9"/>
  <c r="Q475" i="9"/>
  <c r="P475" i="9"/>
  <c r="S474" i="9"/>
  <c r="Q474" i="9"/>
  <c r="P474" i="9"/>
  <c r="S473" i="9"/>
  <c r="Q473" i="9"/>
  <c r="P473" i="9"/>
  <c r="S472" i="9"/>
  <c r="Q472" i="9"/>
  <c r="P472" i="9"/>
  <c r="S471" i="9"/>
  <c r="Q471" i="9"/>
  <c r="P471" i="9"/>
  <c r="S470" i="9"/>
  <c r="Q470" i="9"/>
  <c r="P470" i="9"/>
  <c r="S469" i="9"/>
  <c r="Q469" i="9"/>
  <c r="P469" i="9"/>
  <c r="S468" i="9"/>
  <c r="Q468" i="9"/>
  <c r="P468" i="9"/>
  <c r="S467" i="9"/>
  <c r="Q467" i="9"/>
  <c r="P467" i="9"/>
  <c r="S466" i="9"/>
  <c r="Q466" i="9"/>
  <c r="P466" i="9"/>
  <c r="S465" i="9"/>
  <c r="Q465" i="9"/>
  <c r="P465" i="9"/>
  <c r="S464" i="9"/>
  <c r="Q464" i="9"/>
  <c r="P464" i="9"/>
  <c r="S463" i="9"/>
  <c r="Q463" i="9"/>
  <c r="P463" i="9"/>
  <c r="S462" i="9"/>
  <c r="Q462" i="9"/>
  <c r="P462" i="9"/>
  <c r="S461" i="9"/>
  <c r="Q461" i="9"/>
  <c r="P461" i="9"/>
  <c r="S460" i="9"/>
  <c r="Q460" i="9"/>
  <c r="P460" i="9"/>
  <c r="S459" i="9"/>
  <c r="Q459" i="9"/>
  <c r="P459" i="9"/>
  <c r="S458" i="9"/>
  <c r="Q458" i="9"/>
  <c r="P458" i="9"/>
  <c r="S457" i="9"/>
  <c r="Q457" i="9"/>
  <c r="P457" i="9"/>
  <c r="S456" i="9"/>
  <c r="Q456" i="9"/>
  <c r="P456" i="9"/>
  <c r="S455" i="9"/>
  <c r="Q455" i="9"/>
  <c r="P455" i="9"/>
  <c r="S454" i="9"/>
  <c r="Q454" i="9"/>
  <c r="P454" i="9"/>
  <c r="S453" i="9"/>
  <c r="Q453" i="9"/>
  <c r="P453" i="9"/>
  <c r="S452" i="9"/>
  <c r="Q452" i="9"/>
  <c r="P452" i="9"/>
  <c r="S451" i="9"/>
  <c r="Q451" i="9"/>
  <c r="P451" i="9"/>
  <c r="S450" i="9"/>
  <c r="Q450" i="9"/>
  <c r="P450" i="9"/>
  <c r="S449" i="9"/>
  <c r="Q449" i="9"/>
  <c r="P449" i="9"/>
  <c r="S448" i="9"/>
  <c r="Q448" i="9"/>
  <c r="P448" i="9"/>
  <c r="S447" i="9"/>
  <c r="Q447" i="9"/>
  <c r="P447" i="9"/>
  <c r="S446" i="9"/>
  <c r="Q446" i="9"/>
  <c r="P446" i="9"/>
  <c r="S445" i="9"/>
  <c r="Q445" i="9"/>
  <c r="P445" i="9"/>
  <c r="S444" i="9"/>
  <c r="Q444" i="9"/>
  <c r="P444" i="9"/>
  <c r="S443" i="9"/>
  <c r="Q443" i="9"/>
  <c r="P443" i="9"/>
  <c r="S442" i="9"/>
  <c r="Q442" i="9"/>
  <c r="P442" i="9"/>
  <c r="S441" i="9"/>
  <c r="Q441" i="9"/>
  <c r="P441" i="9"/>
  <c r="S440" i="9"/>
  <c r="Q440" i="9"/>
  <c r="P440" i="9"/>
  <c r="S439" i="9"/>
  <c r="Q439" i="9"/>
  <c r="P439" i="9"/>
  <c r="S438" i="9"/>
  <c r="Q438" i="9"/>
  <c r="P438" i="9"/>
  <c r="S437" i="9"/>
  <c r="Q437" i="9"/>
  <c r="P437" i="9"/>
  <c r="S436" i="9"/>
  <c r="Q436" i="9"/>
  <c r="P436" i="9"/>
  <c r="S435" i="9"/>
  <c r="Q435" i="9"/>
  <c r="P435" i="9"/>
  <c r="S434" i="9"/>
  <c r="Q434" i="9"/>
  <c r="P434" i="9"/>
  <c r="S433" i="9"/>
  <c r="Q433" i="9"/>
  <c r="P433" i="9"/>
  <c r="S432" i="9"/>
  <c r="Q432" i="9"/>
  <c r="P432" i="9"/>
  <c r="S431" i="9"/>
  <c r="Q431" i="9"/>
  <c r="P431" i="9"/>
  <c r="S430" i="9"/>
  <c r="Q430" i="9"/>
  <c r="P430" i="9"/>
  <c r="S429" i="9"/>
  <c r="Q429" i="9"/>
  <c r="P429" i="9"/>
  <c r="S428" i="9"/>
  <c r="Q428" i="9"/>
  <c r="P428" i="9"/>
  <c r="S427" i="9"/>
  <c r="Q427" i="9"/>
  <c r="P427" i="9"/>
  <c r="S426" i="9"/>
  <c r="Q426" i="9"/>
  <c r="P426" i="9"/>
  <c r="S425" i="9"/>
  <c r="Q425" i="9"/>
  <c r="P425" i="9"/>
  <c r="S424" i="9"/>
  <c r="Q424" i="9"/>
  <c r="P424" i="9"/>
  <c r="S423" i="9"/>
  <c r="Q423" i="9"/>
  <c r="P423" i="9"/>
  <c r="S422" i="9"/>
  <c r="Q422" i="9"/>
  <c r="P422" i="9"/>
  <c r="S421" i="9"/>
  <c r="Q421" i="9"/>
  <c r="P421" i="9"/>
  <c r="S420" i="9"/>
  <c r="Q420" i="9"/>
  <c r="P420" i="9"/>
  <c r="S419" i="9"/>
  <c r="Q419" i="9"/>
  <c r="P419" i="9"/>
  <c r="S418" i="9"/>
  <c r="Q418" i="9"/>
  <c r="P418" i="9"/>
  <c r="S417" i="9"/>
  <c r="Q417" i="9"/>
  <c r="P417" i="9"/>
  <c r="S416" i="9"/>
  <c r="Q416" i="9"/>
  <c r="P416" i="9"/>
  <c r="S415" i="9"/>
  <c r="Q415" i="9"/>
  <c r="P415" i="9"/>
  <c r="S414" i="9"/>
  <c r="Q414" i="9"/>
  <c r="P414" i="9"/>
  <c r="S413" i="9"/>
  <c r="Q413" i="9"/>
  <c r="P413" i="9"/>
  <c r="S412" i="9"/>
  <c r="Q412" i="9"/>
  <c r="P412" i="9"/>
  <c r="S411" i="9"/>
  <c r="Q411" i="9"/>
  <c r="P411" i="9"/>
  <c r="S410" i="9"/>
  <c r="Q410" i="9"/>
  <c r="P410" i="9"/>
  <c r="S409" i="9"/>
  <c r="Q409" i="9"/>
  <c r="P409" i="9"/>
  <c r="S408" i="9"/>
  <c r="Q408" i="9"/>
  <c r="P408" i="9"/>
  <c r="S407" i="9"/>
  <c r="Q407" i="9"/>
  <c r="P407" i="9"/>
  <c r="S406" i="9"/>
  <c r="Q406" i="9"/>
  <c r="P406" i="9"/>
  <c r="S405" i="9"/>
  <c r="Q405" i="9"/>
  <c r="P405" i="9"/>
  <c r="S404" i="9"/>
  <c r="Q404" i="9"/>
  <c r="P404" i="9"/>
  <c r="S403" i="9"/>
  <c r="Q403" i="9"/>
  <c r="P403" i="9"/>
  <c r="S402" i="9"/>
  <c r="Q402" i="9"/>
  <c r="P402" i="9"/>
  <c r="S401" i="9"/>
  <c r="Q401" i="9"/>
  <c r="P401" i="9"/>
  <c r="S400" i="9"/>
  <c r="Q400" i="9"/>
  <c r="P400" i="9"/>
  <c r="S399" i="9"/>
  <c r="Q399" i="9"/>
  <c r="P399" i="9"/>
  <c r="S398" i="9"/>
  <c r="Q398" i="9"/>
  <c r="P398" i="9"/>
  <c r="S397" i="9"/>
  <c r="Q397" i="9"/>
  <c r="P397" i="9"/>
  <c r="S396" i="9"/>
  <c r="Q396" i="9"/>
  <c r="P396" i="9"/>
  <c r="S395" i="9"/>
  <c r="Q395" i="9"/>
  <c r="P395" i="9"/>
  <c r="S394" i="9"/>
  <c r="Q394" i="9"/>
  <c r="P394" i="9"/>
  <c r="S393" i="9"/>
  <c r="Q393" i="9"/>
  <c r="P393" i="9"/>
  <c r="S392" i="9"/>
  <c r="Q392" i="9"/>
  <c r="P392" i="9"/>
  <c r="S391" i="9"/>
  <c r="Q391" i="9"/>
  <c r="P391" i="9"/>
  <c r="S390" i="9"/>
  <c r="Q390" i="9"/>
  <c r="P390" i="9"/>
  <c r="S389" i="9"/>
  <c r="Q389" i="9"/>
  <c r="P389" i="9"/>
  <c r="S388" i="9"/>
  <c r="Q388" i="9"/>
  <c r="P388" i="9"/>
  <c r="S387" i="9"/>
  <c r="Q387" i="9"/>
  <c r="P387" i="9"/>
  <c r="S386" i="9"/>
  <c r="Q386" i="9"/>
  <c r="P386" i="9"/>
  <c r="S385" i="9"/>
  <c r="Q385" i="9"/>
  <c r="P385" i="9"/>
  <c r="S384" i="9"/>
  <c r="Q384" i="9"/>
  <c r="P384" i="9"/>
  <c r="S383" i="9"/>
  <c r="Q383" i="9"/>
  <c r="P383" i="9"/>
  <c r="S382" i="9"/>
  <c r="Q382" i="9"/>
  <c r="P382" i="9"/>
  <c r="S381" i="9"/>
  <c r="Q381" i="9"/>
  <c r="P381" i="9"/>
  <c r="S380" i="9"/>
  <c r="Q380" i="9"/>
  <c r="P380" i="9"/>
  <c r="S379" i="9"/>
  <c r="Q379" i="9"/>
  <c r="P379" i="9"/>
  <c r="S378" i="9"/>
  <c r="Q378" i="9"/>
  <c r="P378" i="9"/>
  <c r="S377" i="9"/>
  <c r="Q377" i="9"/>
  <c r="P377" i="9"/>
  <c r="S376" i="9"/>
  <c r="Q376" i="9"/>
  <c r="P376" i="9"/>
  <c r="Q375" i="9"/>
  <c r="P375" i="9"/>
  <c r="Q374" i="9"/>
  <c r="P374" i="9"/>
  <c r="Q373" i="9"/>
  <c r="P373" i="9"/>
  <c r="Q372" i="9"/>
  <c r="P372" i="9"/>
  <c r="Q371" i="9"/>
  <c r="P371" i="9"/>
  <c r="Q370" i="9"/>
  <c r="P370" i="9"/>
  <c r="Q369" i="9"/>
  <c r="P369" i="9"/>
  <c r="Q368" i="9"/>
  <c r="P368" i="9"/>
  <c r="Q367" i="9"/>
  <c r="P367" i="9"/>
  <c r="Q366" i="9"/>
  <c r="P366" i="9"/>
  <c r="Q365" i="9"/>
  <c r="P365" i="9"/>
  <c r="Q364" i="9"/>
  <c r="P364" i="9"/>
  <c r="Q363" i="9"/>
  <c r="P363" i="9"/>
  <c r="Q362" i="9"/>
  <c r="P362" i="9"/>
  <c r="Q361" i="9"/>
  <c r="P361" i="9"/>
  <c r="Q360" i="9"/>
  <c r="P360" i="9"/>
  <c r="Q359" i="9"/>
  <c r="P359" i="9"/>
  <c r="Q358" i="9"/>
  <c r="P358" i="9"/>
  <c r="Q357" i="9"/>
  <c r="P357" i="9"/>
  <c r="Q356" i="9"/>
  <c r="P356" i="9"/>
  <c r="Q355" i="9"/>
  <c r="P355" i="9"/>
  <c r="Q354" i="9"/>
  <c r="P354" i="9"/>
  <c r="Q353" i="9"/>
  <c r="P353" i="9"/>
  <c r="Q352" i="9"/>
  <c r="P352" i="9"/>
  <c r="Q351" i="9"/>
  <c r="P351" i="9"/>
  <c r="Q350" i="9"/>
  <c r="P350" i="9"/>
  <c r="Q349" i="9"/>
  <c r="P349" i="9"/>
  <c r="Q348" i="9"/>
  <c r="P348" i="9"/>
  <c r="Q347" i="9"/>
  <c r="P347" i="9"/>
  <c r="Q346" i="9"/>
  <c r="P346" i="9"/>
  <c r="Q345" i="9"/>
  <c r="P345" i="9"/>
  <c r="Q344" i="9"/>
  <c r="P344" i="9"/>
  <c r="Q343" i="9"/>
  <c r="P343" i="9"/>
  <c r="Q342" i="9"/>
  <c r="P342" i="9"/>
  <c r="Q341" i="9"/>
  <c r="P341" i="9"/>
  <c r="Q340" i="9"/>
  <c r="P340" i="9"/>
  <c r="Q339" i="9"/>
  <c r="P339" i="9"/>
  <c r="Q338" i="9"/>
  <c r="P338" i="9"/>
  <c r="Q337" i="9"/>
  <c r="P337" i="9"/>
  <c r="Q336" i="9"/>
  <c r="P336" i="9"/>
  <c r="Q335" i="9"/>
  <c r="P335" i="9"/>
  <c r="Q334" i="9"/>
  <c r="P334" i="9"/>
  <c r="Q333" i="9"/>
  <c r="P333" i="9"/>
  <c r="Q332" i="9"/>
  <c r="P332" i="9"/>
  <c r="Q331" i="9"/>
  <c r="P331" i="9"/>
  <c r="Q330" i="9"/>
  <c r="P330" i="9"/>
  <c r="Q329" i="9"/>
  <c r="P329" i="9"/>
  <c r="Q328" i="9"/>
  <c r="P328" i="9"/>
  <c r="Q327" i="9"/>
  <c r="P327" i="9"/>
  <c r="Q326" i="9"/>
  <c r="P326" i="9"/>
  <c r="Q325" i="9"/>
  <c r="P325" i="9"/>
  <c r="Q324" i="9"/>
  <c r="P324" i="9"/>
  <c r="Q323" i="9"/>
  <c r="P323" i="9"/>
  <c r="Q322" i="9"/>
  <c r="P322" i="9"/>
  <c r="Q321" i="9"/>
  <c r="P321" i="9"/>
  <c r="Q320" i="9"/>
  <c r="P320" i="9"/>
  <c r="Q319" i="9"/>
  <c r="P319" i="9"/>
  <c r="Q318" i="9"/>
  <c r="P318" i="9"/>
  <c r="Q317" i="9"/>
  <c r="P317" i="9"/>
  <c r="Q316" i="9"/>
  <c r="P316" i="9"/>
  <c r="Q315" i="9"/>
  <c r="P315" i="9"/>
  <c r="Q314" i="9"/>
  <c r="P314" i="9"/>
  <c r="Q313" i="9"/>
  <c r="P313" i="9"/>
  <c r="Q312" i="9"/>
  <c r="P312" i="9"/>
  <c r="Q311" i="9"/>
  <c r="P311" i="9"/>
  <c r="Q310" i="9"/>
  <c r="P310" i="9"/>
  <c r="Q309" i="9"/>
  <c r="P309" i="9"/>
  <c r="Q308" i="9"/>
  <c r="P308" i="9"/>
  <c r="Q307" i="9"/>
  <c r="P307" i="9"/>
  <c r="Q306" i="9"/>
  <c r="P306" i="9"/>
  <c r="Q305" i="9"/>
  <c r="P305" i="9"/>
  <c r="Q304" i="9"/>
  <c r="P304" i="9"/>
  <c r="Q303" i="9"/>
  <c r="P303" i="9"/>
  <c r="Q302" i="9"/>
  <c r="P302" i="9"/>
  <c r="Q301" i="9"/>
  <c r="P301" i="9"/>
  <c r="Q300" i="9"/>
  <c r="P300" i="9"/>
  <c r="Q299" i="9"/>
  <c r="P299" i="9"/>
  <c r="Q298" i="9"/>
  <c r="P298" i="9"/>
  <c r="Q297" i="9"/>
  <c r="P297" i="9"/>
  <c r="Q296" i="9"/>
  <c r="P296" i="9"/>
  <c r="Q295" i="9"/>
  <c r="P295" i="9"/>
  <c r="Q294" i="9"/>
  <c r="P294" i="9"/>
  <c r="Q293" i="9"/>
  <c r="P293" i="9"/>
  <c r="Q292" i="9"/>
  <c r="P292" i="9"/>
  <c r="Q291" i="9"/>
  <c r="P291" i="9"/>
  <c r="Q290" i="9"/>
  <c r="P290" i="9"/>
  <c r="Q289" i="9"/>
  <c r="P289" i="9"/>
  <c r="Q288" i="9"/>
  <c r="P288" i="9"/>
  <c r="Q287" i="9"/>
  <c r="P287" i="9"/>
  <c r="Q286" i="9"/>
  <c r="P286" i="9"/>
  <c r="Q285" i="9"/>
  <c r="P285" i="9"/>
  <c r="Q284" i="9"/>
  <c r="Q283" i="9"/>
  <c r="Q282" i="9"/>
  <c r="Q281" i="9"/>
  <c r="Q280" i="9"/>
  <c r="Q279" i="9"/>
  <c r="Q278" i="9"/>
  <c r="Q277" i="9"/>
  <c r="Q276" i="9"/>
  <c r="Q275" i="9"/>
  <c r="Q274" i="9"/>
  <c r="Q273" i="9"/>
  <c r="Q272" i="9"/>
  <c r="Q271" i="9"/>
  <c r="Q270" i="9"/>
  <c r="Q269" i="9"/>
  <c r="Q268" i="9"/>
  <c r="Q267" i="9"/>
  <c r="Q266" i="9"/>
  <c r="Q265" i="9"/>
  <c r="Q264" i="9"/>
  <c r="Q263" i="9"/>
  <c r="Q262" i="9"/>
  <c r="Q261" i="9"/>
  <c r="Q260" i="9"/>
  <c r="Q259" i="9"/>
  <c r="Q258" i="9"/>
  <c r="Q257" i="9"/>
  <c r="Q256" i="9"/>
  <c r="Q255" i="9"/>
  <c r="Q254" i="9"/>
  <c r="Q253" i="9"/>
  <c r="Q252" i="9"/>
  <c r="Q251" i="9"/>
  <c r="Q250" i="9"/>
  <c r="Q249" i="9"/>
  <c r="Q248" i="9"/>
  <c r="Q247" i="9"/>
  <c r="Q246" i="9"/>
  <c r="Q245" i="9"/>
  <c r="Q244" i="9"/>
  <c r="Q243" i="9"/>
  <c r="Q242" i="9"/>
  <c r="Q241" i="9"/>
  <c r="Q240" i="9"/>
  <c r="Q239" i="9"/>
  <c r="Q238" i="9"/>
  <c r="Q237" i="9"/>
  <c r="Q236" i="9"/>
  <c r="Q235" i="9"/>
  <c r="Q234" i="9"/>
  <c r="Q233" i="9"/>
  <c r="Q232" i="9"/>
  <c r="Q231" i="9"/>
  <c r="Q230" i="9"/>
  <c r="Q229" i="9"/>
  <c r="Q228" i="9"/>
  <c r="Q227" i="9"/>
  <c r="Q226" i="9"/>
  <c r="Q225" i="9"/>
  <c r="Q224" i="9"/>
  <c r="Q223" i="9"/>
  <c r="Q222" i="9"/>
  <c r="Q221" i="9"/>
  <c r="Q220" i="9"/>
  <c r="Q219" i="9"/>
  <c r="Q218" i="9"/>
  <c r="Q217" i="9"/>
  <c r="Q216" i="9"/>
  <c r="Q215" i="9"/>
  <c r="Q214" i="9"/>
  <c r="Q213" i="9"/>
  <c r="Q212" i="9"/>
  <c r="Q211" i="9"/>
  <c r="Q210" i="9"/>
  <c r="Q209" i="9"/>
  <c r="Q208" i="9"/>
  <c r="Q207" i="9"/>
  <c r="Q206" i="9"/>
  <c r="Q205" i="9"/>
  <c r="Q204" i="9"/>
  <c r="Q203" i="9"/>
  <c r="Q202" i="9"/>
  <c r="Q201" i="9"/>
  <c r="Q200" i="9"/>
  <c r="Q199" i="9"/>
  <c r="Q198" i="9"/>
  <c r="Q197" i="9"/>
  <c r="Q196" i="9"/>
  <c r="Q195" i="9"/>
  <c r="Q194" i="9"/>
  <c r="Q193" i="9"/>
  <c r="Q192" i="9"/>
  <c r="Q191" i="9"/>
  <c r="Q190" i="9"/>
  <c r="Q189" i="9"/>
  <c r="Q188" i="9"/>
  <c r="Q187" i="9"/>
  <c r="Q186" i="9"/>
  <c r="Q185" i="9"/>
  <c r="Q184" i="9"/>
  <c r="Q183" i="9"/>
  <c r="Q182" i="9"/>
  <c r="Q181" i="9"/>
  <c r="Q180" i="9"/>
  <c r="Q179" i="9"/>
  <c r="Q178" i="9"/>
  <c r="Q177" i="9"/>
  <c r="Q176" i="9"/>
  <c r="Q175" i="9"/>
  <c r="Q174" i="9"/>
  <c r="Q173" i="9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59" i="9"/>
  <c r="Q158" i="9"/>
  <c r="Q157" i="9"/>
  <c r="Q156" i="9"/>
  <c r="Q155" i="9"/>
  <c r="Q154" i="9"/>
  <c r="Q153" i="9"/>
  <c r="Q152" i="9"/>
  <c r="Q151" i="9"/>
  <c r="Q150" i="9"/>
  <c r="Q149" i="9"/>
  <c r="Q148" i="9"/>
  <c r="Q147" i="9"/>
  <c r="Q146" i="9"/>
  <c r="Q145" i="9"/>
  <c r="Q144" i="9"/>
  <c r="Q143" i="9"/>
  <c r="Q142" i="9"/>
  <c r="Q141" i="9"/>
  <c r="Q140" i="9"/>
  <c r="Q139" i="9"/>
  <c r="Q138" i="9"/>
  <c r="Q137" i="9"/>
  <c r="Q136" i="9"/>
  <c r="Q135" i="9"/>
  <c r="Q134" i="9"/>
  <c r="Q133" i="9"/>
  <c r="Q132" i="9"/>
  <c r="Q131" i="9"/>
  <c r="Q130" i="9"/>
  <c r="Q129" i="9"/>
  <c r="Q128" i="9"/>
  <c r="Q127" i="9"/>
  <c r="Q126" i="9"/>
  <c r="Q125" i="9"/>
  <c r="Q124" i="9"/>
  <c r="Q12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G285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J377" i="9"/>
  <c r="H378" i="9"/>
  <c r="J378" i="9"/>
  <c r="H379" i="9"/>
  <c r="J379" i="9"/>
  <c r="H380" i="9"/>
  <c r="J380" i="9"/>
  <c r="H381" i="9"/>
  <c r="J381" i="9"/>
  <c r="H382" i="9"/>
  <c r="J382" i="9"/>
  <c r="H383" i="9"/>
  <c r="J383" i="9"/>
  <c r="H384" i="9"/>
  <c r="J384" i="9"/>
  <c r="H385" i="9"/>
  <c r="J385" i="9"/>
  <c r="H386" i="9"/>
  <c r="J386" i="9"/>
  <c r="H387" i="9"/>
  <c r="J387" i="9"/>
  <c r="H388" i="9"/>
  <c r="J388" i="9"/>
  <c r="H389" i="9"/>
  <c r="J389" i="9"/>
  <c r="H390" i="9"/>
  <c r="J390" i="9"/>
  <c r="H391" i="9"/>
  <c r="J391" i="9"/>
  <c r="H392" i="9"/>
  <c r="J392" i="9"/>
  <c r="H393" i="9"/>
  <c r="J393" i="9"/>
  <c r="H394" i="9"/>
  <c r="J394" i="9"/>
  <c r="H395" i="9"/>
  <c r="J395" i="9"/>
  <c r="H396" i="9"/>
  <c r="J396" i="9"/>
  <c r="H397" i="9"/>
  <c r="J397" i="9"/>
  <c r="H398" i="9"/>
  <c r="J398" i="9"/>
  <c r="H399" i="9"/>
  <c r="J399" i="9"/>
  <c r="H400" i="9"/>
  <c r="J400" i="9"/>
  <c r="H401" i="9"/>
  <c r="J401" i="9"/>
  <c r="H402" i="9"/>
  <c r="J402" i="9"/>
  <c r="H403" i="9"/>
  <c r="J403" i="9"/>
  <c r="H404" i="9"/>
  <c r="J404" i="9"/>
  <c r="H405" i="9"/>
  <c r="J405" i="9"/>
  <c r="H406" i="9"/>
  <c r="J406" i="9"/>
  <c r="H407" i="9"/>
  <c r="J407" i="9"/>
  <c r="H408" i="9"/>
  <c r="J408" i="9"/>
  <c r="H409" i="9"/>
  <c r="J409" i="9"/>
  <c r="H410" i="9"/>
  <c r="J410" i="9"/>
  <c r="H411" i="9"/>
  <c r="J411" i="9"/>
  <c r="H412" i="9"/>
  <c r="J412" i="9"/>
  <c r="H413" i="9"/>
  <c r="J413" i="9"/>
  <c r="H414" i="9"/>
  <c r="J414" i="9"/>
  <c r="H415" i="9"/>
  <c r="J415" i="9"/>
  <c r="H416" i="9"/>
  <c r="J416" i="9"/>
  <c r="H417" i="9"/>
  <c r="J417" i="9"/>
  <c r="H418" i="9"/>
  <c r="J418" i="9"/>
  <c r="H419" i="9"/>
  <c r="J419" i="9"/>
  <c r="H420" i="9"/>
  <c r="J420" i="9"/>
  <c r="H421" i="9"/>
  <c r="J421" i="9"/>
  <c r="H422" i="9"/>
  <c r="J422" i="9"/>
  <c r="H423" i="9"/>
  <c r="J423" i="9"/>
  <c r="H424" i="9"/>
  <c r="J424" i="9"/>
  <c r="H425" i="9"/>
  <c r="J425" i="9"/>
  <c r="H426" i="9"/>
  <c r="J426" i="9"/>
  <c r="H427" i="9"/>
  <c r="J427" i="9"/>
  <c r="H428" i="9"/>
  <c r="J428" i="9"/>
  <c r="H429" i="9"/>
  <c r="J429" i="9"/>
  <c r="H430" i="9"/>
  <c r="J430" i="9"/>
  <c r="H431" i="9"/>
  <c r="J431" i="9"/>
  <c r="H432" i="9"/>
  <c r="J432" i="9"/>
  <c r="H433" i="9"/>
  <c r="J433" i="9"/>
  <c r="H434" i="9"/>
  <c r="J434" i="9"/>
  <c r="H435" i="9"/>
  <c r="J435" i="9"/>
  <c r="H436" i="9"/>
  <c r="J436" i="9"/>
  <c r="H437" i="9"/>
  <c r="J437" i="9"/>
  <c r="H438" i="9"/>
  <c r="J438" i="9"/>
  <c r="H439" i="9"/>
  <c r="J439" i="9"/>
  <c r="H440" i="9"/>
  <c r="J440" i="9"/>
  <c r="H441" i="9"/>
  <c r="J441" i="9"/>
  <c r="H442" i="9"/>
  <c r="J442" i="9"/>
  <c r="H443" i="9"/>
  <c r="J443" i="9"/>
  <c r="H444" i="9"/>
  <c r="J444" i="9"/>
  <c r="H445" i="9"/>
  <c r="J445" i="9"/>
  <c r="H446" i="9"/>
  <c r="J446" i="9"/>
  <c r="H447" i="9"/>
  <c r="J447" i="9"/>
  <c r="H448" i="9"/>
  <c r="J448" i="9"/>
  <c r="H449" i="9"/>
  <c r="J449" i="9"/>
  <c r="H450" i="9"/>
  <c r="J450" i="9"/>
  <c r="H451" i="9"/>
  <c r="J451" i="9"/>
  <c r="H452" i="9"/>
  <c r="J452" i="9"/>
  <c r="H453" i="9"/>
  <c r="J453" i="9"/>
  <c r="H454" i="9"/>
  <c r="J454" i="9"/>
  <c r="H455" i="9"/>
  <c r="J455" i="9"/>
  <c r="H456" i="9"/>
  <c r="J456" i="9"/>
  <c r="H457" i="9"/>
  <c r="J457" i="9"/>
  <c r="H458" i="9"/>
  <c r="J458" i="9"/>
  <c r="H459" i="9"/>
  <c r="J459" i="9"/>
  <c r="H460" i="9"/>
  <c r="J460" i="9"/>
  <c r="H461" i="9"/>
  <c r="J461" i="9"/>
  <c r="H462" i="9"/>
  <c r="J462" i="9"/>
  <c r="H463" i="9"/>
  <c r="J463" i="9"/>
  <c r="H464" i="9"/>
  <c r="J464" i="9"/>
  <c r="H465" i="9"/>
  <c r="J465" i="9"/>
  <c r="H466" i="9"/>
  <c r="J466" i="9"/>
  <c r="H467" i="9"/>
  <c r="J467" i="9"/>
  <c r="H468" i="9"/>
  <c r="J468" i="9"/>
  <c r="H469" i="9"/>
  <c r="J469" i="9"/>
  <c r="H470" i="9"/>
  <c r="J470" i="9"/>
  <c r="H471" i="9"/>
  <c r="J471" i="9"/>
  <c r="H472" i="9"/>
  <c r="J472" i="9"/>
  <c r="H473" i="9"/>
  <c r="J473" i="9"/>
  <c r="H474" i="9"/>
  <c r="J474" i="9"/>
  <c r="H475" i="9"/>
  <c r="J475" i="9"/>
  <c r="H476" i="9"/>
  <c r="J476" i="9"/>
  <c r="H477" i="9"/>
  <c r="J477" i="9"/>
  <c r="H478" i="9"/>
  <c r="J478" i="9"/>
  <c r="H479" i="9"/>
  <c r="J479" i="9"/>
  <c r="H480" i="9"/>
  <c r="J480" i="9"/>
  <c r="H481" i="9"/>
  <c r="J481" i="9"/>
  <c r="H482" i="9"/>
  <c r="J482" i="9"/>
  <c r="H483" i="9"/>
  <c r="J483" i="9"/>
  <c r="H484" i="9"/>
  <c r="J484" i="9"/>
  <c r="H485" i="9"/>
  <c r="J485" i="9"/>
  <c r="H486" i="9"/>
  <c r="J486" i="9"/>
  <c r="H487" i="9"/>
  <c r="J487" i="9"/>
  <c r="H488" i="9"/>
  <c r="J488" i="9"/>
  <c r="H489" i="9"/>
  <c r="J489" i="9"/>
  <c r="H490" i="9"/>
  <c r="J490" i="9"/>
  <c r="H491" i="9"/>
  <c r="J491" i="9"/>
  <c r="H492" i="9"/>
  <c r="J492" i="9"/>
  <c r="H493" i="9"/>
  <c r="J493" i="9"/>
  <c r="H494" i="9"/>
  <c r="J494" i="9"/>
  <c r="H495" i="9"/>
  <c r="J495" i="9"/>
  <c r="H496" i="9"/>
  <c r="J496" i="9"/>
  <c r="H497" i="9"/>
  <c r="J497" i="9"/>
  <c r="H498" i="9"/>
  <c r="J498" i="9"/>
  <c r="H499" i="9"/>
  <c r="J499" i="9"/>
  <c r="H500" i="9"/>
  <c r="J500" i="9"/>
  <c r="H501" i="9"/>
  <c r="J501" i="9"/>
  <c r="H502" i="9"/>
  <c r="J502" i="9"/>
  <c r="H503" i="9"/>
  <c r="J503" i="9"/>
  <c r="H504" i="9"/>
  <c r="J504" i="9"/>
  <c r="H505" i="9"/>
  <c r="J505" i="9"/>
  <c r="H506" i="9"/>
  <c r="J506" i="9"/>
  <c r="H507" i="9"/>
  <c r="J507" i="9"/>
  <c r="H508" i="9"/>
  <c r="J508" i="9"/>
  <c r="H509" i="9"/>
  <c r="J509" i="9"/>
  <c r="H510" i="9"/>
  <c r="J510" i="9"/>
  <c r="H511" i="9"/>
  <c r="J511" i="9"/>
  <c r="H512" i="9"/>
  <c r="J512" i="9"/>
  <c r="H513" i="9"/>
  <c r="J513" i="9"/>
  <c r="H514" i="9"/>
  <c r="J514" i="9"/>
  <c r="H515" i="9"/>
  <c r="J515" i="9"/>
  <c r="H516" i="9"/>
  <c r="J516" i="9"/>
  <c r="H517" i="9"/>
  <c r="J517" i="9"/>
  <c r="H518" i="9"/>
  <c r="J518" i="9"/>
  <c r="H519" i="9"/>
  <c r="J519" i="9"/>
  <c r="H520" i="9"/>
  <c r="J520" i="9"/>
  <c r="H521" i="9"/>
  <c r="J521" i="9"/>
  <c r="H522" i="9"/>
  <c r="J522" i="9"/>
  <c r="H523" i="9"/>
  <c r="J523" i="9"/>
  <c r="H524" i="9"/>
  <c r="J524" i="9"/>
  <c r="H525" i="9"/>
  <c r="J525" i="9"/>
  <c r="H526" i="9"/>
  <c r="J526" i="9"/>
  <c r="H527" i="9"/>
  <c r="J527" i="9"/>
  <c r="H528" i="9"/>
  <c r="J528" i="9"/>
  <c r="H529" i="9"/>
  <c r="J529" i="9"/>
  <c r="H530" i="9"/>
  <c r="J530" i="9"/>
  <c r="H531" i="9"/>
  <c r="J531" i="9"/>
  <c r="H532" i="9"/>
  <c r="J532" i="9"/>
  <c r="H533" i="9"/>
  <c r="J533" i="9"/>
  <c r="H534" i="9"/>
  <c r="J534" i="9"/>
  <c r="H535" i="9"/>
  <c r="J535" i="9"/>
  <c r="H536" i="9"/>
  <c r="J536" i="9"/>
  <c r="H537" i="9"/>
  <c r="J537" i="9"/>
  <c r="H538" i="9"/>
  <c r="J538" i="9"/>
  <c r="H539" i="9"/>
  <c r="J539" i="9"/>
  <c r="H540" i="9"/>
  <c r="J540" i="9"/>
  <c r="H541" i="9"/>
  <c r="J541" i="9"/>
  <c r="H542" i="9"/>
  <c r="J542" i="9"/>
  <c r="H543" i="9"/>
  <c r="J543" i="9"/>
  <c r="H544" i="9"/>
  <c r="J544" i="9"/>
  <c r="H545" i="9"/>
  <c r="J545" i="9"/>
  <c r="H546" i="9"/>
  <c r="J546" i="9"/>
  <c r="H547" i="9"/>
  <c r="J547" i="9"/>
  <c r="H548" i="9"/>
  <c r="J548" i="9"/>
  <c r="H549" i="9"/>
  <c r="J549" i="9"/>
  <c r="H550" i="9"/>
  <c r="J550" i="9"/>
  <c r="H551" i="9"/>
  <c r="J551" i="9"/>
  <c r="H552" i="9"/>
  <c r="J552" i="9"/>
  <c r="H553" i="9"/>
  <c r="J553" i="9"/>
  <c r="H554" i="9"/>
  <c r="J554" i="9"/>
  <c r="H555" i="9"/>
  <c r="J555" i="9"/>
  <c r="H556" i="9"/>
  <c r="J556" i="9"/>
  <c r="H557" i="9"/>
  <c r="J557" i="9"/>
  <c r="H558" i="9"/>
  <c r="J558" i="9"/>
  <c r="H559" i="9"/>
  <c r="J559" i="9"/>
  <c r="H560" i="9"/>
  <c r="J560" i="9"/>
  <c r="H561" i="9"/>
  <c r="J561" i="9"/>
  <c r="H562" i="9"/>
  <c r="J562" i="9"/>
  <c r="H563" i="9"/>
  <c r="J563" i="9"/>
  <c r="H564" i="9"/>
  <c r="J564" i="9"/>
  <c r="H565" i="9"/>
  <c r="J565" i="9"/>
  <c r="H566" i="9"/>
  <c r="J566" i="9"/>
  <c r="H567" i="9"/>
  <c r="J567" i="9"/>
  <c r="H568" i="9"/>
  <c r="J568" i="9"/>
  <c r="H569" i="9"/>
  <c r="J569" i="9"/>
  <c r="H570" i="9"/>
  <c r="J570" i="9"/>
  <c r="H571" i="9"/>
  <c r="J571" i="9"/>
  <c r="H572" i="9"/>
  <c r="J572" i="9"/>
  <c r="H573" i="9"/>
  <c r="J573" i="9"/>
  <c r="H574" i="9"/>
  <c r="J574" i="9"/>
  <c r="H575" i="9"/>
  <c r="J575" i="9"/>
  <c r="H576" i="9"/>
  <c r="J576" i="9"/>
  <c r="H577" i="9"/>
  <c r="J577" i="9"/>
  <c r="H578" i="9"/>
  <c r="J578" i="9"/>
  <c r="H579" i="9"/>
  <c r="J579" i="9"/>
  <c r="H580" i="9"/>
  <c r="J580" i="9"/>
  <c r="H581" i="9"/>
  <c r="J581" i="9"/>
  <c r="H582" i="9"/>
  <c r="J582" i="9"/>
  <c r="H583" i="9"/>
  <c r="J583" i="9"/>
  <c r="H584" i="9"/>
  <c r="J584" i="9"/>
  <c r="H585" i="9"/>
  <c r="J585" i="9"/>
  <c r="H586" i="9"/>
  <c r="J586" i="9"/>
  <c r="H587" i="9"/>
  <c r="J587" i="9"/>
  <c r="H588" i="9"/>
  <c r="J588" i="9"/>
  <c r="H589" i="9"/>
  <c r="J589" i="9"/>
  <c r="H590" i="9"/>
  <c r="J590" i="9"/>
  <c r="H591" i="9"/>
  <c r="J591" i="9"/>
  <c r="H592" i="9"/>
  <c r="J592" i="9"/>
  <c r="H593" i="9"/>
  <c r="J593" i="9"/>
  <c r="H594" i="9"/>
  <c r="J594" i="9"/>
  <c r="H595" i="9"/>
  <c r="J595" i="9"/>
  <c r="H596" i="9"/>
  <c r="J596" i="9"/>
  <c r="H597" i="9"/>
  <c r="J597" i="9"/>
  <c r="H598" i="9"/>
  <c r="J598" i="9"/>
  <c r="H599" i="9"/>
  <c r="J599" i="9"/>
  <c r="H600" i="9"/>
  <c r="J600" i="9"/>
  <c r="H601" i="9"/>
  <c r="J601" i="9"/>
  <c r="H602" i="9"/>
  <c r="J602" i="9"/>
  <c r="H603" i="9"/>
  <c r="J603" i="9"/>
  <c r="H604" i="9"/>
  <c r="J604" i="9"/>
  <c r="H605" i="9"/>
  <c r="J605" i="9"/>
  <c r="H606" i="9"/>
  <c r="J606" i="9"/>
  <c r="H607" i="9"/>
  <c r="J607" i="9"/>
  <c r="H608" i="9"/>
  <c r="J608" i="9"/>
  <c r="H609" i="9"/>
  <c r="J609" i="9"/>
  <c r="H610" i="9"/>
  <c r="J610" i="9"/>
  <c r="H611" i="9"/>
  <c r="J611" i="9"/>
  <c r="H612" i="9"/>
  <c r="J612" i="9"/>
  <c r="H613" i="9"/>
  <c r="J613" i="9"/>
  <c r="H614" i="9"/>
  <c r="J614" i="9"/>
  <c r="H615" i="9"/>
  <c r="J615" i="9"/>
  <c r="H616" i="9"/>
  <c r="J616" i="9"/>
  <c r="H617" i="9"/>
  <c r="J617" i="9"/>
  <c r="H618" i="9"/>
  <c r="J618" i="9"/>
  <c r="H619" i="9"/>
  <c r="J619" i="9"/>
  <c r="H620" i="9"/>
  <c r="J620" i="9"/>
  <c r="H621" i="9"/>
  <c r="J621" i="9"/>
  <c r="H622" i="9"/>
  <c r="J622" i="9"/>
  <c r="H623" i="9"/>
  <c r="J623" i="9"/>
  <c r="H624" i="9"/>
  <c r="J624" i="9"/>
  <c r="H625" i="9"/>
  <c r="J625" i="9"/>
  <c r="H626" i="9"/>
  <c r="J626" i="9"/>
  <c r="H627" i="9"/>
  <c r="J627" i="9"/>
  <c r="H628" i="9"/>
  <c r="J628" i="9"/>
  <c r="H629" i="9"/>
  <c r="J629" i="9"/>
  <c r="H630" i="9"/>
  <c r="J630" i="9"/>
  <c r="H631" i="9"/>
  <c r="J631" i="9"/>
  <c r="H632" i="9"/>
  <c r="J632" i="9"/>
  <c r="H633" i="9"/>
  <c r="J633" i="9"/>
  <c r="H634" i="9"/>
  <c r="J634" i="9"/>
  <c r="H635" i="9"/>
  <c r="J635" i="9"/>
  <c r="H636" i="9"/>
  <c r="J636" i="9"/>
  <c r="H637" i="9"/>
  <c r="J637" i="9"/>
  <c r="H638" i="9"/>
  <c r="J638" i="9"/>
  <c r="H639" i="9"/>
  <c r="J639" i="9"/>
  <c r="H640" i="9"/>
  <c r="J640" i="9"/>
  <c r="H641" i="9"/>
  <c r="J641" i="9"/>
  <c r="H642" i="9"/>
  <c r="J642" i="9"/>
  <c r="H643" i="9"/>
  <c r="J643" i="9"/>
  <c r="H644" i="9"/>
  <c r="J644" i="9"/>
  <c r="H645" i="9"/>
  <c r="J645" i="9"/>
  <c r="H646" i="9"/>
  <c r="J646" i="9"/>
  <c r="H647" i="9"/>
  <c r="J647" i="9"/>
  <c r="H648" i="9"/>
  <c r="J648" i="9"/>
  <c r="H649" i="9"/>
  <c r="J649" i="9"/>
  <c r="H650" i="9"/>
  <c r="J650" i="9"/>
  <c r="H651" i="9"/>
  <c r="J651" i="9"/>
  <c r="H652" i="9"/>
  <c r="J652" i="9"/>
  <c r="H653" i="9"/>
  <c r="J653" i="9"/>
  <c r="H654" i="9"/>
  <c r="J654" i="9"/>
  <c r="H655" i="9"/>
  <c r="J655" i="9"/>
  <c r="H656" i="9"/>
  <c r="J656" i="9"/>
  <c r="H657" i="9"/>
  <c r="J657" i="9"/>
  <c r="H658" i="9"/>
  <c r="J658" i="9"/>
  <c r="J678" i="9"/>
  <c r="EJ90" i="3" l="1"/>
  <c r="EO90" i="3" s="1"/>
  <c r="DM219" i="3"/>
  <c r="R61" i="8"/>
  <c r="D515" i="1"/>
  <c r="DQ219" i="3"/>
  <c r="D90" i="3"/>
  <c r="D219" i="3" s="1"/>
  <c r="BB515" i="1"/>
  <c r="BI90" i="3"/>
  <c r="BI219" i="3" s="1"/>
  <c r="CP90" i="3"/>
  <c r="DR90" i="3"/>
  <c r="DR219" i="3" s="1"/>
  <c r="DH219" i="3"/>
  <c r="T515" i="1"/>
  <c r="V219" i="3"/>
  <c r="BM90" i="3"/>
  <c r="CT90" i="3"/>
  <c r="CT219" i="3" s="1"/>
  <c r="AQ90" i="3"/>
  <c r="AQ219" i="3" s="1"/>
  <c r="AJ219" i="3"/>
  <c r="BX90" i="3"/>
  <c r="BX219" i="3" s="1"/>
  <c r="BQ219" i="3"/>
  <c r="CX90" i="3"/>
  <c r="CX219" i="3" s="1"/>
  <c r="C219" i="3"/>
  <c r="K90" i="3"/>
  <c r="AX90" i="3"/>
  <c r="AX219" i="3" s="1"/>
  <c r="CI90" i="3"/>
  <c r="CI219" i="3" s="1"/>
  <c r="CB219" i="3"/>
  <c r="J90" i="3"/>
  <c r="J219" i="3" s="1"/>
  <c r="BB90" i="3"/>
  <c r="BB219" i="3" s="1"/>
  <c r="EG90" i="3"/>
  <c r="EG219" i="3" s="1"/>
  <c r="DY219" i="3"/>
  <c r="AM90" i="3"/>
  <c r="W90" i="3"/>
  <c r="E90" i="3"/>
  <c r="H680" i="9"/>
  <c r="Q680" i="9"/>
  <c r="Q679" i="9"/>
  <c r="R60" i="8" l="1"/>
  <c r="W219" i="3"/>
  <c r="BZ90" i="3"/>
  <c r="BZ219" i="3" s="1"/>
  <c r="Y90" i="3"/>
  <c r="Y219" i="3" s="1"/>
  <c r="E219" i="3"/>
  <c r="BJ90" i="3"/>
  <c r="BJ219" i="3" s="1"/>
  <c r="CK90" i="3"/>
  <c r="CK219" i="3" s="1"/>
  <c r="BC90" i="3"/>
  <c r="BC219" i="3" s="1"/>
  <c r="AY90" i="3"/>
  <c r="AY219" i="3" s="1"/>
  <c r="K515" i="1"/>
  <c r="K219" i="3"/>
  <c r="BU90" i="3"/>
  <c r="BU219" i="3" s="1"/>
  <c r="CJ90" i="3"/>
  <c r="CJ219" i="3" s="1"/>
  <c r="CQ90" i="3"/>
  <c r="CQ219" i="3" s="1"/>
  <c r="BM219" i="3"/>
  <c r="BO90" i="3"/>
  <c r="BO219" i="3" s="1"/>
  <c r="BD90" i="3"/>
  <c r="BD219" i="3" s="1"/>
  <c r="L90" i="3"/>
  <c r="L219" i="3" s="1"/>
  <c r="AN90" i="3"/>
  <c r="AN219" i="3" s="1"/>
  <c r="AM219" i="3"/>
  <c r="CF90" i="3"/>
  <c r="CF219" i="3" s="1"/>
  <c r="CP219" i="3"/>
  <c r="CV90" i="3"/>
  <c r="CV219" i="3" s="1"/>
  <c r="P515" i="1"/>
  <c r="X90" i="3"/>
  <c r="X219" i="3" s="1"/>
  <c r="BY90" i="3"/>
  <c r="BY219" i="3" s="1"/>
  <c r="AS90" i="3"/>
  <c r="AS219" i="3" s="1"/>
  <c r="CU90" i="3"/>
  <c r="CU219" i="3" s="1"/>
  <c r="BN90" i="3"/>
  <c r="BN219" i="3" s="1"/>
  <c r="AR90" i="3"/>
  <c r="AR219" i="3" s="1"/>
  <c r="H679" i="9"/>
  <c r="R59" i="8" l="1"/>
  <c r="J677" i="9"/>
  <c r="R58" i="8" l="1"/>
  <c r="Q678" i="9"/>
  <c r="H678" i="9"/>
  <c r="R57" i="8" l="1"/>
  <c r="AE515" i="1"/>
  <c r="AF515" i="1" s="1"/>
  <c r="AH515" i="1"/>
  <c r="DS6" i="3"/>
  <c r="DS135" i="3" s="1"/>
  <c r="DS7" i="3"/>
  <c r="DS136" i="3" s="1"/>
  <c r="DS8" i="3"/>
  <c r="DS137" i="3" s="1"/>
  <c r="DS9" i="3"/>
  <c r="DS138" i="3" s="1"/>
  <c r="DS10" i="3"/>
  <c r="DS139" i="3" s="1"/>
  <c r="DS11" i="3"/>
  <c r="DS140" i="3" s="1"/>
  <c r="DS12" i="3"/>
  <c r="DS141" i="3" s="1"/>
  <c r="DS13" i="3"/>
  <c r="DS142" i="3" s="1"/>
  <c r="DS14" i="3"/>
  <c r="DS143" i="3" s="1"/>
  <c r="DS15" i="3"/>
  <c r="DS144" i="3" s="1"/>
  <c r="DS16" i="3"/>
  <c r="DS145" i="3" s="1"/>
  <c r="DS17" i="3"/>
  <c r="DS146" i="3" s="1"/>
  <c r="DS18" i="3"/>
  <c r="DS147" i="3" s="1"/>
  <c r="DS19" i="3"/>
  <c r="DS148" i="3" s="1"/>
  <c r="DS20" i="3"/>
  <c r="DS149" i="3" s="1"/>
  <c r="DS21" i="3"/>
  <c r="DS150" i="3" s="1"/>
  <c r="DS22" i="3"/>
  <c r="DS151" i="3" s="1"/>
  <c r="DS23" i="3"/>
  <c r="DS152" i="3" s="1"/>
  <c r="DS24" i="3"/>
  <c r="DS153" i="3" s="1"/>
  <c r="DS25" i="3"/>
  <c r="DS154" i="3" s="1"/>
  <c r="DS26" i="3"/>
  <c r="DS155" i="3" s="1"/>
  <c r="DS27" i="3"/>
  <c r="DS156" i="3" s="1"/>
  <c r="DS28" i="3"/>
  <c r="DS157" i="3" s="1"/>
  <c r="DS29" i="3"/>
  <c r="DS158" i="3" s="1"/>
  <c r="DS30" i="3"/>
  <c r="DS159" i="3" s="1"/>
  <c r="DS31" i="3"/>
  <c r="DS160" i="3" s="1"/>
  <c r="DS32" i="3"/>
  <c r="DS161" i="3" s="1"/>
  <c r="DS33" i="3"/>
  <c r="DS162" i="3" s="1"/>
  <c r="DS34" i="3"/>
  <c r="DS163" i="3" s="1"/>
  <c r="DS35" i="3"/>
  <c r="DS164" i="3" s="1"/>
  <c r="DS36" i="3"/>
  <c r="DS165" i="3" s="1"/>
  <c r="DS37" i="3"/>
  <c r="DS166" i="3" s="1"/>
  <c r="DS38" i="3"/>
  <c r="DS167" i="3" s="1"/>
  <c r="DS39" i="3"/>
  <c r="DS168" i="3" s="1"/>
  <c r="DS40" i="3"/>
  <c r="DS169" i="3" s="1"/>
  <c r="DS41" i="3"/>
  <c r="DS170" i="3" s="1"/>
  <c r="DS42" i="3"/>
  <c r="DS171" i="3" s="1"/>
  <c r="DS43" i="3"/>
  <c r="DS172" i="3" s="1"/>
  <c r="DS44" i="3"/>
  <c r="DS173" i="3" s="1"/>
  <c r="DS45" i="3"/>
  <c r="DS174" i="3" s="1"/>
  <c r="DS46" i="3"/>
  <c r="DS175" i="3" s="1"/>
  <c r="DS47" i="3"/>
  <c r="DS176" i="3" s="1"/>
  <c r="DS48" i="3"/>
  <c r="DS177" i="3" s="1"/>
  <c r="DS49" i="3"/>
  <c r="DS178" i="3" s="1"/>
  <c r="DS50" i="3"/>
  <c r="DS179" i="3" s="1"/>
  <c r="DS51" i="3"/>
  <c r="DS180" i="3" s="1"/>
  <c r="DS52" i="3"/>
  <c r="DS181" i="3" s="1"/>
  <c r="DS53" i="3"/>
  <c r="DS182" i="3" s="1"/>
  <c r="DS54" i="3"/>
  <c r="DS183" i="3" s="1"/>
  <c r="DS55" i="3"/>
  <c r="DS184" i="3" s="1"/>
  <c r="DS56" i="3"/>
  <c r="DS185" i="3" s="1"/>
  <c r="DS57" i="3"/>
  <c r="DS186" i="3" s="1"/>
  <c r="DS58" i="3"/>
  <c r="DS187" i="3" s="1"/>
  <c r="DS59" i="3"/>
  <c r="DS188" i="3" s="1"/>
  <c r="DS60" i="3"/>
  <c r="DS189" i="3" s="1"/>
  <c r="DS61" i="3"/>
  <c r="DS190" i="3" s="1"/>
  <c r="DS62" i="3"/>
  <c r="DS191" i="3" s="1"/>
  <c r="DS63" i="3"/>
  <c r="DS192" i="3" s="1"/>
  <c r="DS64" i="3"/>
  <c r="DS193" i="3" s="1"/>
  <c r="DS65" i="3"/>
  <c r="DS194" i="3" s="1"/>
  <c r="DS66" i="3"/>
  <c r="DS195" i="3" s="1"/>
  <c r="DS67" i="3"/>
  <c r="DS196" i="3" s="1"/>
  <c r="DS68" i="3"/>
  <c r="DS197" i="3" s="1"/>
  <c r="DS69" i="3"/>
  <c r="DS198" i="3" s="1"/>
  <c r="DS70" i="3"/>
  <c r="DS199" i="3" s="1"/>
  <c r="DS71" i="3"/>
  <c r="DS200" i="3" s="1"/>
  <c r="DS72" i="3"/>
  <c r="DS201" i="3" s="1"/>
  <c r="DS73" i="3"/>
  <c r="DS202" i="3" s="1"/>
  <c r="DS74" i="3"/>
  <c r="DS203" i="3" s="1"/>
  <c r="DS75" i="3"/>
  <c r="DS204" i="3" s="1"/>
  <c r="DS76" i="3"/>
  <c r="DS205" i="3" s="1"/>
  <c r="DS77" i="3"/>
  <c r="DS206" i="3" s="1"/>
  <c r="DS78" i="3"/>
  <c r="DS207" i="3" s="1"/>
  <c r="DS79" i="3"/>
  <c r="DS208" i="3" s="1"/>
  <c r="DS80" i="3"/>
  <c r="DS209" i="3" s="1"/>
  <c r="DS81" i="3"/>
  <c r="DS210" i="3" s="1"/>
  <c r="DS82" i="3"/>
  <c r="DS211" i="3" s="1"/>
  <c r="DS83" i="3"/>
  <c r="DS212" i="3" s="1"/>
  <c r="DS84" i="3"/>
  <c r="DS213" i="3" s="1"/>
  <c r="DS85" i="3"/>
  <c r="DS214" i="3" s="1"/>
  <c r="DS86" i="3"/>
  <c r="DS215" i="3" s="1"/>
  <c r="DS87" i="3"/>
  <c r="DS216" i="3" s="1"/>
  <c r="DS88" i="3"/>
  <c r="DS217" i="3" s="1"/>
  <c r="DS89" i="3"/>
  <c r="DS218" i="3" s="1"/>
  <c r="DS5" i="3"/>
  <c r="DS134" i="3" s="1"/>
  <c r="J676" i="9"/>
  <c r="A135" i="11"/>
  <c r="B135" i="11"/>
  <c r="C135" i="11"/>
  <c r="E135" i="11"/>
  <c r="F135" i="11"/>
  <c r="G135" i="11"/>
  <c r="H135" i="11"/>
  <c r="M135" i="11"/>
  <c r="P135" i="11"/>
  <c r="Q135" i="11"/>
  <c r="R135" i="11"/>
  <c r="T135" i="11"/>
  <c r="V135" i="11"/>
  <c r="W135" i="11"/>
  <c r="X135" i="11"/>
  <c r="Y135" i="11"/>
  <c r="A133" i="8"/>
  <c r="B133" i="8"/>
  <c r="C133" i="8"/>
  <c r="D133" i="8"/>
  <c r="F133" i="8"/>
  <c r="G133" i="8"/>
  <c r="I133" i="8"/>
  <c r="J133" i="8"/>
  <c r="K133" i="8"/>
  <c r="M133" i="8"/>
  <c r="N133" i="8"/>
  <c r="P133" i="8"/>
  <c r="Q133" i="8"/>
  <c r="T133" i="8"/>
  <c r="U133" i="8"/>
  <c r="V133" i="8"/>
  <c r="X133" i="8"/>
  <c r="Y133" i="8"/>
  <c r="AA133" i="8"/>
  <c r="AB133" i="8"/>
  <c r="AC133" i="8"/>
  <c r="AE133" i="8"/>
  <c r="AF133" i="8"/>
  <c r="AG133" i="8"/>
  <c r="AI133" i="8"/>
  <c r="AJ133" i="8"/>
  <c r="AM133" i="8"/>
  <c r="AN133" i="8"/>
  <c r="AO133" i="8"/>
  <c r="EB89" i="3"/>
  <c r="EB218" i="3" s="1"/>
  <c r="DY89" i="3"/>
  <c r="DW89" i="3"/>
  <c r="DW218" i="3" s="1"/>
  <c r="DQ89" i="3"/>
  <c r="DM89" i="3"/>
  <c r="DJ89" i="3"/>
  <c r="DJ218" i="3" s="1"/>
  <c r="DH89" i="3"/>
  <c r="DH218" i="3" s="1"/>
  <c r="CY89" i="3"/>
  <c r="CY218" i="3" s="1"/>
  <c r="CZ89" i="3"/>
  <c r="CZ218" i="3" s="1"/>
  <c r="DA89" i="3"/>
  <c r="DA218" i="3" s="1"/>
  <c r="DB89" i="3"/>
  <c r="DB218" i="3" s="1"/>
  <c r="DC89" i="3"/>
  <c r="DC218" i="3" s="1"/>
  <c r="CM89" i="3"/>
  <c r="CB89" i="3"/>
  <c r="BQ89" i="3"/>
  <c r="BQ88" i="3"/>
  <c r="BQ217" i="3" s="1"/>
  <c r="BF89" i="3"/>
  <c r="AU89" i="3"/>
  <c r="AJ89" i="3"/>
  <c r="AB89" i="3"/>
  <c r="AB218" i="3" s="1"/>
  <c r="U89" i="3"/>
  <c r="U218" i="3" s="1"/>
  <c r="V89" i="3"/>
  <c r="V218" i="3" s="1"/>
  <c r="C89" i="3"/>
  <c r="B217" i="3"/>
  <c r="F217" i="3"/>
  <c r="I217" i="3"/>
  <c r="M217" i="3"/>
  <c r="N217" i="3"/>
  <c r="O217" i="3"/>
  <c r="P217" i="3"/>
  <c r="Q217" i="3"/>
  <c r="R217" i="3"/>
  <c r="S217" i="3"/>
  <c r="T217" i="3"/>
  <c r="Z217" i="3"/>
  <c r="AA217" i="3"/>
  <c r="AI217" i="3"/>
  <c r="AK217" i="3"/>
  <c r="AL217" i="3"/>
  <c r="AO217" i="3"/>
  <c r="AP217" i="3"/>
  <c r="AT217" i="3"/>
  <c r="AV217" i="3"/>
  <c r="AW217" i="3"/>
  <c r="AZ217" i="3"/>
  <c r="BA217" i="3"/>
  <c r="BE217" i="3"/>
  <c r="BG217" i="3"/>
  <c r="BH217" i="3"/>
  <c r="BK217" i="3"/>
  <c r="BL217" i="3"/>
  <c r="BP217" i="3"/>
  <c r="BR217" i="3"/>
  <c r="BS217" i="3"/>
  <c r="BV217" i="3"/>
  <c r="BW217" i="3"/>
  <c r="CA217" i="3"/>
  <c r="CC217" i="3"/>
  <c r="CD217" i="3"/>
  <c r="CG217" i="3"/>
  <c r="CH217" i="3"/>
  <c r="CL217" i="3"/>
  <c r="CN217" i="3"/>
  <c r="CO217" i="3"/>
  <c r="CR217" i="3"/>
  <c r="CS217" i="3"/>
  <c r="DE217" i="3"/>
  <c r="DF217" i="3"/>
  <c r="DG217" i="3"/>
  <c r="DI217" i="3"/>
  <c r="DK217" i="3"/>
  <c r="DL217" i="3"/>
  <c r="DN217" i="3"/>
  <c r="DO217" i="3"/>
  <c r="DP217" i="3"/>
  <c r="DT217" i="3"/>
  <c r="DU217" i="3"/>
  <c r="DV217" i="3"/>
  <c r="DX217" i="3"/>
  <c r="DZ217" i="3"/>
  <c r="EA217" i="3"/>
  <c r="EC217" i="3"/>
  <c r="EE217" i="3"/>
  <c r="B216" i="3"/>
  <c r="F216" i="3"/>
  <c r="I216" i="3"/>
  <c r="M216" i="3"/>
  <c r="N216" i="3"/>
  <c r="O216" i="3"/>
  <c r="P216" i="3"/>
  <c r="Q216" i="3"/>
  <c r="R216" i="3"/>
  <c r="S216" i="3"/>
  <c r="T216" i="3"/>
  <c r="Z216" i="3"/>
  <c r="AA216" i="3"/>
  <c r="AI216" i="3"/>
  <c r="AK216" i="3"/>
  <c r="AL216" i="3"/>
  <c r="AO216" i="3"/>
  <c r="AP216" i="3"/>
  <c r="AT216" i="3"/>
  <c r="AV216" i="3"/>
  <c r="AW216" i="3"/>
  <c r="AZ216" i="3"/>
  <c r="BA216" i="3"/>
  <c r="BE216" i="3"/>
  <c r="BG216" i="3"/>
  <c r="BH216" i="3"/>
  <c r="BK216" i="3"/>
  <c r="BL216" i="3"/>
  <c r="BP216" i="3"/>
  <c r="BR216" i="3"/>
  <c r="BS216" i="3"/>
  <c r="BV216" i="3"/>
  <c r="BW216" i="3"/>
  <c r="CA216" i="3"/>
  <c r="CC216" i="3"/>
  <c r="CD216" i="3"/>
  <c r="CG216" i="3"/>
  <c r="CH216" i="3"/>
  <c r="CL216" i="3"/>
  <c r="CN216" i="3"/>
  <c r="CO216" i="3"/>
  <c r="CR216" i="3"/>
  <c r="CS216" i="3"/>
  <c r="DE216" i="3"/>
  <c r="DF216" i="3"/>
  <c r="DG216" i="3"/>
  <c r="DI216" i="3"/>
  <c r="DK216" i="3"/>
  <c r="DL216" i="3"/>
  <c r="DN216" i="3"/>
  <c r="DO216" i="3"/>
  <c r="DP216" i="3"/>
  <c r="DT216" i="3"/>
  <c r="DU216" i="3"/>
  <c r="DV216" i="3"/>
  <c r="DX216" i="3"/>
  <c r="DZ216" i="3"/>
  <c r="EA216" i="3"/>
  <c r="EC216" i="3"/>
  <c r="EE216" i="3"/>
  <c r="D524" i="9"/>
  <c r="D471" i="9"/>
  <c r="D419" i="9"/>
  <c r="D367" i="9"/>
  <c r="D315" i="9"/>
  <c r="D314" i="9"/>
  <c r="G698" i="9"/>
  <c r="G699" i="9"/>
  <c r="G700" i="9"/>
  <c r="G701" i="9"/>
  <c r="G702" i="9"/>
  <c r="G703" i="9"/>
  <c r="G689" i="9"/>
  <c r="G690" i="9"/>
  <c r="G691" i="9"/>
  <c r="G692" i="9"/>
  <c r="G693" i="9"/>
  <c r="G694" i="9"/>
  <c r="G695" i="9"/>
  <c r="G696" i="9"/>
  <c r="G697" i="9"/>
  <c r="G683" i="9"/>
  <c r="G684" i="9"/>
  <c r="G685" i="9"/>
  <c r="G686" i="9"/>
  <c r="G687" i="9"/>
  <c r="G688" i="9"/>
  <c r="G676" i="9"/>
  <c r="G677" i="9"/>
  <c r="G678" i="9"/>
  <c r="G682" i="9"/>
  <c r="G675" i="9"/>
  <c r="J67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21" i="9"/>
  <c r="G622" i="9"/>
  <c r="G623" i="9"/>
  <c r="G624" i="9"/>
  <c r="G625" i="9"/>
  <c r="G626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3" i="9"/>
  <c r="G674" i="9"/>
  <c r="EJ89" i="3" l="1"/>
  <c r="EO89" i="3" s="1"/>
  <c r="DM218" i="3"/>
  <c r="R56" i="8"/>
  <c r="DQ218" i="3"/>
  <c r="BB514" i="1"/>
  <c r="D514" i="1"/>
  <c r="EG89" i="3"/>
  <c r="EG218" i="3" s="1"/>
  <c r="DY218" i="3"/>
  <c r="DR89" i="3"/>
  <c r="DR218" i="3" s="1"/>
  <c r="CT89" i="3"/>
  <c r="CT218" i="3" s="1"/>
  <c r="CM218" i="3"/>
  <c r="CI89" i="3"/>
  <c r="CI218" i="3" s="1"/>
  <c r="CB218" i="3"/>
  <c r="BX89" i="3"/>
  <c r="BX218" i="3" s="1"/>
  <c r="BQ218" i="3"/>
  <c r="BM89" i="3"/>
  <c r="BM218" i="3" s="1"/>
  <c r="BF218" i="3"/>
  <c r="AX89" i="3"/>
  <c r="AX218" i="3" s="1"/>
  <c r="AU218" i="3"/>
  <c r="AM89" i="3"/>
  <c r="AM218" i="3" s="1"/>
  <c r="AJ218" i="3"/>
  <c r="AQ89" i="3"/>
  <c r="AQ218" i="3" s="1"/>
  <c r="D89" i="3"/>
  <c r="D218" i="3" s="1"/>
  <c r="C218" i="3"/>
  <c r="BT89" i="3"/>
  <c r="BT218" i="3" s="1"/>
  <c r="E89" i="3"/>
  <c r="K89" i="3"/>
  <c r="CE89" i="3"/>
  <c r="CE218" i="3" s="1"/>
  <c r="BB89" i="3"/>
  <c r="BB218" i="3" s="1"/>
  <c r="J89" i="3"/>
  <c r="J218" i="3" s="1"/>
  <c r="BI89" i="3"/>
  <c r="W89" i="3"/>
  <c r="CX89" i="3"/>
  <c r="CX218" i="3" s="1"/>
  <c r="CP89" i="3"/>
  <c r="Q676" i="9"/>
  <c r="Q677" i="9"/>
  <c r="Q675" i="9"/>
  <c r="H677" i="9"/>
  <c r="AG515" i="1"/>
  <c r="H676" i="9"/>
  <c r="G366" i="9"/>
  <c r="G574" i="9"/>
  <c r="G418" i="9"/>
  <c r="G470" i="9"/>
  <c r="G522" i="9"/>
  <c r="G367" i="9"/>
  <c r="G368" i="9"/>
  <c r="G420" i="9"/>
  <c r="G419" i="9"/>
  <c r="G472" i="9"/>
  <c r="G471" i="9"/>
  <c r="G627" i="9"/>
  <c r="G679" i="9"/>
  <c r="G575" i="9"/>
  <c r="G524" i="9"/>
  <c r="G523" i="9"/>
  <c r="G680" i="9"/>
  <c r="G681" i="9"/>
  <c r="G576" i="9"/>
  <c r="G577" i="9"/>
  <c r="G628" i="9"/>
  <c r="G629" i="9"/>
  <c r="G670" i="9"/>
  <c r="G618" i="9"/>
  <c r="G620" i="9"/>
  <c r="G672" i="9"/>
  <c r="G671" i="9"/>
  <c r="G619" i="9"/>
  <c r="AE514" i="1"/>
  <c r="AG514" i="1" s="1"/>
  <c r="AH514" i="1"/>
  <c r="J674" i="9"/>
  <c r="J673" i="9"/>
  <c r="J672" i="9"/>
  <c r="A134" i="11"/>
  <c r="B134" i="11"/>
  <c r="C134" i="11"/>
  <c r="E134" i="11"/>
  <c r="F134" i="11"/>
  <c r="G134" i="11"/>
  <c r="H134" i="11"/>
  <c r="L134" i="11"/>
  <c r="P134" i="11"/>
  <c r="Q134" i="11"/>
  <c r="R134" i="11"/>
  <c r="T134" i="11"/>
  <c r="V134" i="11"/>
  <c r="W134" i="11"/>
  <c r="X134" i="11"/>
  <c r="Y134" i="11"/>
  <c r="A132" i="8"/>
  <c r="B132" i="8"/>
  <c r="C132" i="8"/>
  <c r="D132" i="8"/>
  <c r="F132" i="8"/>
  <c r="G132" i="8"/>
  <c r="I132" i="8"/>
  <c r="J132" i="8"/>
  <c r="K132" i="8"/>
  <c r="M132" i="8"/>
  <c r="N132" i="8"/>
  <c r="P132" i="8"/>
  <c r="Q132" i="8"/>
  <c r="T132" i="8"/>
  <c r="U132" i="8"/>
  <c r="V132" i="8"/>
  <c r="X132" i="8"/>
  <c r="Y132" i="8"/>
  <c r="AA132" i="8"/>
  <c r="AB132" i="8"/>
  <c r="AC132" i="8"/>
  <c r="AE132" i="8"/>
  <c r="AF132" i="8"/>
  <c r="AG132" i="8"/>
  <c r="AI132" i="8"/>
  <c r="AJ132" i="8"/>
  <c r="AM132" i="8"/>
  <c r="AN132" i="8"/>
  <c r="AO132" i="8"/>
  <c r="EB88" i="3"/>
  <c r="EB217" i="3" s="1"/>
  <c r="DY88" i="3"/>
  <c r="DY217" i="3" s="1"/>
  <c r="DW88" i="3"/>
  <c r="DW217" i="3" s="1"/>
  <c r="DQ88" i="3"/>
  <c r="DM88" i="3"/>
  <c r="DJ88" i="3"/>
  <c r="DH88" i="3"/>
  <c r="DH217" i="3" s="1"/>
  <c r="CY88" i="3"/>
  <c r="CY217" i="3" s="1"/>
  <c r="CZ88" i="3"/>
  <c r="CZ217" i="3" s="1"/>
  <c r="DA88" i="3"/>
  <c r="DA217" i="3" s="1"/>
  <c r="DB88" i="3"/>
  <c r="DB217" i="3" s="1"/>
  <c r="DC88" i="3"/>
  <c r="DC217" i="3" s="1"/>
  <c r="CM88" i="3"/>
  <c r="CB88" i="3"/>
  <c r="BX88" i="3"/>
  <c r="BX217" i="3" s="1"/>
  <c r="BF88" i="3"/>
  <c r="AU88" i="3"/>
  <c r="AJ88" i="3"/>
  <c r="AB88" i="3"/>
  <c r="AB217" i="3" s="1"/>
  <c r="U88" i="3"/>
  <c r="U217" i="3" s="1"/>
  <c r="V88" i="3"/>
  <c r="V217" i="3" s="1"/>
  <c r="C88" i="3"/>
  <c r="EJ88" i="3" l="1"/>
  <c r="EO88" i="3" s="1"/>
  <c r="DM217" i="3"/>
  <c r="R55" i="8"/>
  <c r="DQ217" i="3"/>
  <c r="BB513" i="1"/>
  <c r="D513" i="1"/>
  <c r="E218" i="3"/>
  <c r="CF89" i="3"/>
  <c r="CF218" i="3" s="1"/>
  <c r="CV89" i="3"/>
  <c r="CV218" i="3" s="1"/>
  <c r="CQ89" i="3"/>
  <c r="CQ218" i="3" s="1"/>
  <c r="CP218" i="3"/>
  <c r="CK89" i="3"/>
  <c r="CK218" i="3" s="1"/>
  <c r="BU89" i="3"/>
  <c r="BU218" i="3" s="1"/>
  <c r="BZ89" i="3"/>
  <c r="BZ218" i="3" s="1"/>
  <c r="BJ89" i="3"/>
  <c r="BJ218" i="3" s="1"/>
  <c r="BI218" i="3"/>
  <c r="BD89" i="3"/>
  <c r="BD218" i="3" s="1"/>
  <c r="AR89" i="3"/>
  <c r="AR218" i="3" s="1"/>
  <c r="AS89" i="3"/>
  <c r="AS218" i="3" s="1"/>
  <c r="AN89" i="3"/>
  <c r="AN218" i="3" s="1"/>
  <c r="AY89" i="3"/>
  <c r="AY218" i="3" s="1"/>
  <c r="BC89" i="3"/>
  <c r="BC218" i="3" s="1"/>
  <c r="CU89" i="3"/>
  <c r="CU218" i="3" s="1"/>
  <c r="W218" i="3"/>
  <c r="L89" i="3"/>
  <c r="L218" i="3" s="1"/>
  <c r="K218" i="3"/>
  <c r="BO89" i="3"/>
  <c r="BO218" i="3" s="1"/>
  <c r="BN89" i="3"/>
  <c r="BN218" i="3" s="1"/>
  <c r="K514" i="1"/>
  <c r="Y89" i="3"/>
  <c r="Y218" i="3" s="1"/>
  <c r="P514" i="1"/>
  <c r="X89" i="3"/>
  <c r="X218" i="3" s="1"/>
  <c r="CJ89" i="3"/>
  <c r="CJ218" i="3" s="1"/>
  <c r="BY89" i="3"/>
  <c r="BY218" i="3" s="1"/>
  <c r="DR88" i="3"/>
  <c r="DR217" i="3" s="1"/>
  <c r="DJ217" i="3"/>
  <c r="CT88" i="3"/>
  <c r="CT217" i="3" s="1"/>
  <c r="CM217" i="3"/>
  <c r="CE88" i="3"/>
  <c r="CE217" i="3" s="1"/>
  <c r="CB217" i="3"/>
  <c r="BM88" i="3"/>
  <c r="BM217" i="3" s="1"/>
  <c r="BF217" i="3"/>
  <c r="BB88" i="3"/>
  <c r="BB217" i="3" s="1"/>
  <c r="AU217" i="3"/>
  <c r="AQ88" i="3"/>
  <c r="AQ217" i="3" s="1"/>
  <c r="AJ217" i="3"/>
  <c r="D88" i="3"/>
  <c r="D217" i="3" s="1"/>
  <c r="C217" i="3"/>
  <c r="AX88" i="3"/>
  <c r="AX217" i="3" s="1"/>
  <c r="BT88" i="3"/>
  <c r="BT217" i="3" s="1"/>
  <c r="EG88" i="3"/>
  <c r="EG217" i="3" s="1"/>
  <c r="K88" i="3"/>
  <c r="K217" i="3" s="1"/>
  <c r="J88" i="3"/>
  <c r="AM88" i="3"/>
  <c r="AM217" i="3" s="1"/>
  <c r="BI88" i="3"/>
  <c r="BI217" i="3" s="1"/>
  <c r="CI88" i="3"/>
  <c r="CI217" i="3" s="1"/>
  <c r="CX88" i="3"/>
  <c r="CX217" i="3" s="1"/>
  <c r="CP88" i="3"/>
  <c r="CP217" i="3" s="1"/>
  <c r="W88" i="3"/>
  <c r="T513" i="1"/>
  <c r="AF514" i="1"/>
  <c r="E88" i="3"/>
  <c r="R54" i="8" l="1"/>
  <c r="E217" i="3"/>
  <c r="CK88" i="3"/>
  <c r="CK217" i="3" s="1"/>
  <c r="BZ88" i="3"/>
  <c r="BZ217" i="3" s="1"/>
  <c r="BO88" i="3"/>
  <c r="BO217" i="3" s="1"/>
  <c r="BD88" i="3"/>
  <c r="BD217" i="3" s="1"/>
  <c r="CF88" i="3"/>
  <c r="CF217" i="3" s="1"/>
  <c r="J217" i="3"/>
  <c r="BY88" i="3"/>
  <c r="BY217" i="3" s="1"/>
  <c r="W217" i="3"/>
  <c r="BU88" i="3"/>
  <c r="BU217" i="3" s="1"/>
  <c r="BJ88" i="3"/>
  <c r="BJ217" i="3" s="1"/>
  <c r="AY88" i="3"/>
  <c r="AY217" i="3" s="1"/>
  <c r="CJ88" i="3"/>
  <c r="CJ217" i="3" s="1"/>
  <c r="BC88" i="3"/>
  <c r="BC217" i="3" s="1"/>
  <c r="CU88" i="3"/>
  <c r="CU217" i="3" s="1"/>
  <c r="AR88" i="3"/>
  <c r="AR217" i="3" s="1"/>
  <c r="CQ88" i="3"/>
  <c r="CQ217" i="3" s="1"/>
  <c r="CV88" i="3"/>
  <c r="CV217" i="3" s="1"/>
  <c r="AN88" i="3"/>
  <c r="AN217" i="3" s="1"/>
  <c r="AS88" i="3"/>
  <c r="AS217" i="3" s="1"/>
  <c r="P513" i="1"/>
  <c r="X88" i="3"/>
  <c r="X217" i="3" s="1"/>
  <c r="L88" i="3"/>
  <c r="L217" i="3" s="1"/>
  <c r="K513" i="1"/>
  <c r="Y88" i="3"/>
  <c r="Y217" i="3" s="1"/>
  <c r="BN88" i="3"/>
  <c r="BN217" i="3" s="1"/>
  <c r="J671" i="9"/>
  <c r="R53" i="8" l="1"/>
  <c r="J670" i="9"/>
  <c r="R52" i="8" l="1"/>
  <c r="H670" i="9"/>
  <c r="R51" i="8" l="1"/>
  <c r="AC66" i="3"/>
  <c r="AC65" i="3" l="1"/>
  <c r="R50" i="8"/>
  <c r="H660" i="9"/>
  <c r="H661" i="9"/>
  <c r="H662" i="9"/>
  <c r="H663" i="9"/>
  <c r="H659" i="9"/>
  <c r="J660" i="9"/>
  <c r="J661" i="9"/>
  <c r="J662" i="9"/>
  <c r="J663" i="9"/>
  <c r="J664" i="9"/>
  <c r="J665" i="9"/>
  <c r="J666" i="9"/>
  <c r="J667" i="9"/>
  <c r="J668" i="9"/>
  <c r="J669" i="9"/>
  <c r="J659" i="9"/>
  <c r="AC58" i="3" l="1"/>
  <c r="R49" i="8"/>
  <c r="H664" i="9"/>
  <c r="H669" i="9"/>
  <c r="AE513" i="1"/>
  <c r="AF513" i="1" s="1"/>
  <c r="AH513" i="1"/>
  <c r="R512" i="1"/>
  <c r="A133" i="11"/>
  <c r="B133" i="11"/>
  <c r="C133" i="11"/>
  <c r="E133" i="11"/>
  <c r="F133" i="11"/>
  <c r="G133" i="11"/>
  <c r="H133" i="11"/>
  <c r="L133" i="11"/>
  <c r="N133" i="11"/>
  <c r="P133" i="11"/>
  <c r="Q133" i="11"/>
  <c r="R133" i="11"/>
  <c r="T133" i="11"/>
  <c r="V133" i="11"/>
  <c r="W133" i="11"/>
  <c r="X133" i="11"/>
  <c r="Y133" i="11"/>
  <c r="A131" i="8"/>
  <c r="B131" i="8"/>
  <c r="C131" i="8"/>
  <c r="D131" i="8"/>
  <c r="F131" i="8"/>
  <c r="G131" i="8"/>
  <c r="I131" i="8"/>
  <c r="J131" i="8"/>
  <c r="K131" i="8"/>
  <c r="M131" i="8"/>
  <c r="N131" i="8"/>
  <c r="P131" i="8"/>
  <c r="Q131" i="8"/>
  <c r="T131" i="8"/>
  <c r="U131" i="8"/>
  <c r="V131" i="8"/>
  <c r="X131" i="8"/>
  <c r="Y131" i="8"/>
  <c r="AA131" i="8"/>
  <c r="AB131" i="8"/>
  <c r="AE131" i="8"/>
  <c r="AF131" i="8"/>
  <c r="AI131" i="8"/>
  <c r="AJ131" i="8"/>
  <c r="AM131" i="8"/>
  <c r="AN131" i="8"/>
  <c r="AO131" i="8"/>
  <c r="F205" i="3"/>
  <c r="EB87" i="3"/>
  <c r="EB216" i="3" s="1"/>
  <c r="DY87" i="3"/>
  <c r="DY216" i="3" s="1"/>
  <c r="DW87" i="3"/>
  <c r="DW216" i="3" s="1"/>
  <c r="DQ87" i="3"/>
  <c r="DM87" i="3"/>
  <c r="DJ87" i="3"/>
  <c r="DJ216" i="3" s="1"/>
  <c r="DH87" i="3"/>
  <c r="DH216" i="3" s="1"/>
  <c r="CY87" i="3"/>
  <c r="CY216" i="3" s="1"/>
  <c r="CZ87" i="3"/>
  <c r="CZ216" i="3" s="1"/>
  <c r="DA87" i="3"/>
  <c r="DA216" i="3" s="1"/>
  <c r="DB87" i="3"/>
  <c r="DB216" i="3" s="1"/>
  <c r="DC87" i="3"/>
  <c r="DC216" i="3" s="1"/>
  <c r="CM87" i="3"/>
  <c r="CB87" i="3"/>
  <c r="BQ87" i="3"/>
  <c r="BF87" i="3"/>
  <c r="AU87" i="3"/>
  <c r="AJ87" i="3"/>
  <c r="AB87" i="3"/>
  <c r="AB216" i="3" s="1"/>
  <c r="U87" i="3"/>
  <c r="U216" i="3" s="1"/>
  <c r="V87" i="3"/>
  <c r="V216" i="3" s="1"/>
  <c r="C87" i="3"/>
  <c r="B215" i="3"/>
  <c r="F215" i="3"/>
  <c r="I215" i="3"/>
  <c r="M215" i="3"/>
  <c r="N215" i="3"/>
  <c r="O215" i="3"/>
  <c r="P215" i="3"/>
  <c r="Q215" i="3"/>
  <c r="R215" i="3"/>
  <c r="S215" i="3"/>
  <c r="T215" i="3"/>
  <c r="Z215" i="3"/>
  <c r="AA215" i="3"/>
  <c r="AI215" i="3"/>
  <c r="AK215" i="3"/>
  <c r="AL215" i="3"/>
  <c r="AO215" i="3"/>
  <c r="AP215" i="3"/>
  <c r="AT215" i="3"/>
  <c r="AV215" i="3"/>
  <c r="AW215" i="3"/>
  <c r="AZ215" i="3"/>
  <c r="BA215" i="3"/>
  <c r="BE215" i="3"/>
  <c r="BG215" i="3"/>
  <c r="BH215" i="3"/>
  <c r="BK215" i="3"/>
  <c r="BL215" i="3"/>
  <c r="BP215" i="3"/>
  <c r="BR215" i="3"/>
  <c r="BS215" i="3"/>
  <c r="BV215" i="3"/>
  <c r="BW215" i="3"/>
  <c r="CA215" i="3"/>
  <c r="CC215" i="3"/>
  <c r="CD215" i="3"/>
  <c r="CG215" i="3"/>
  <c r="CH215" i="3"/>
  <c r="CL215" i="3"/>
  <c r="CN215" i="3"/>
  <c r="CO215" i="3"/>
  <c r="CR215" i="3"/>
  <c r="CS215" i="3"/>
  <c r="DE215" i="3"/>
  <c r="DF215" i="3"/>
  <c r="DG215" i="3"/>
  <c r="DI215" i="3"/>
  <c r="DK215" i="3"/>
  <c r="DL215" i="3"/>
  <c r="DN215" i="3"/>
  <c r="DO215" i="3"/>
  <c r="DP215" i="3"/>
  <c r="DT215" i="3"/>
  <c r="DU215" i="3"/>
  <c r="DV215" i="3"/>
  <c r="DX215" i="3"/>
  <c r="DZ215" i="3"/>
  <c r="EA215" i="3"/>
  <c r="EC215" i="3"/>
  <c r="EE215" i="3"/>
  <c r="EJ87" i="3" l="1"/>
  <c r="EO87" i="3" s="1"/>
  <c r="DM216" i="3"/>
  <c r="R48" i="8"/>
  <c r="DQ216" i="3"/>
  <c r="D512" i="1"/>
  <c r="C216" i="3"/>
  <c r="BB512" i="1"/>
  <c r="BX87" i="3"/>
  <c r="BX216" i="3" s="1"/>
  <c r="BQ216" i="3"/>
  <c r="CI87" i="3"/>
  <c r="CI216" i="3" s="1"/>
  <c r="CB216" i="3"/>
  <c r="CP87" i="3"/>
  <c r="CP216" i="3" s="1"/>
  <c r="CM216" i="3"/>
  <c r="AQ87" i="3"/>
  <c r="AQ216" i="3" s="1"/>
  <c r="AJ216" i="3"/>
  <c r="BB87" i="3"/>
  <c r="BB216" i="3" s="1"/>
  <c r="AU216" i="3"/>
  <c r="BM87" i="3"/>
  <c r="BM216" i="3" s="1"/>
  <c r="BF216" i="3"/>
  <c r="D87" i="3"/>
  <c r="D216" i="3" s="1"/>
  <c r="CT87" i="3"/>
  <c r="CT216" i="3" s="1"/>
  <c r="DR87" i="3"/>
  <c r="DR216" i="3" s="1"/>
  <c r="E669" i="9"/>
  <c r="E668" i="9"/>
  <c r="H671" i="9"/>
  <c r="CE87" i="3"/>
  <c r="BT87" i="3"/>
  <c r="H667" i="9"/>
  <c r="H668" i="9"/>
  <c r="T512" i="1"/>
  <c r="AG513" i="1"/>
  <c r="K87" i="3"/>
  <c r="K216" i="3" s="1"/>
  <c r="J87" i="3"/>
  <c r="J216" i="3" s="1"/>
  <c r="W87" i="3"/>
  <c r="EG87" i="3"/>
  <c r="EG216" i="3" s="1"/>
  <c r="AM87" i="3"/>
  <c r="BI87" i="3"/>
  <c r="BI216" i="3" s="1"/>
  <c r="CX87" i="3"/>
  <c r="CX216" i="3" s="1"/>
  <c r="AX87" i="3"/>
  <c r="AX216" i="3" s="1"/>
  <c r="E87" i="3"/>
  <c r="E670" i="9" l="1"/>
  <c r="R47" i="8"/>
  <c r="E216" i="3"/>
  <c r="BY87" i="3"/>
  <c r="BY216" i="3" s="1"/>
  <c r="W216" i="3"/>
  <c r="CK87" i="3"/>
  <c r="CK216" i="3" s="1"/>
  <c r="CE216" i="3"/>
  <c r="AS87" i="3"/>
  <c r="AS216" i="3" s="1"/>
  <c r="AM216" i="3"/>
  <c r="CV87" i="3"/>
  <c r="CV216" i="3" s="1"/>
  <c r="BZ87" i="3"/>
  <c r="BZ216" i="3" s="1"/>
  <c r="BT216" i="3"/>
  <c r="H672" i="9"/>
  <c r="CF87" i="3"/>
  <c r="CF216" i="3" s="1"/>
  <c r="CJ87" i="3"/>
  <c r="CJ216" i="3" s="1"/>
  <c r="BN87" i="3"/>
  <c r="BN216" i="3" s="1"/>
  <c r="L87" i="3"/>
  <c r="L216" i="3" s="1"/>
  <c r="K512" i="1"/>
  <c r="Y87" i="3"/>
  <c r="Y216" i="3" s="1"/>
  <c r="X87" i="3"/>
  <c r="X216" i="3" s="1"/>
  <c r="P512" i="1"/>
  <c r="AR87" i="3"/>
  <c r="AR216" i="3" s="1"/>
  <c r="H665" i="9"/>
  <c r="H666" i="9"/>
  <c r="BU87" i="3"/>
  <c r="BU216" i="3" s="1"/>
  <c r="CQ87" i="3"/>
  <c r="CQ216" i="3" s="1"/>
  <c r="BJ87" i="3"/>
  <c r="BJ216" i="3" s="1"/>
  <c r="BC87" i="3"/>
  <c r="BC216" i="3" s="1"/>
  <c r="AN87" i="3"/>
  <c r="AN216" i="3" s="1"/>
  <c r="CU87" i="3"/>
  <c r="CU216" i="3" s="1"/>
  <c r="AY87" i="3"/>
  <c r="AY216" i="3" s="1"/>
  <c r="BD87" i="3"/>
  <c r="BD216" i="3" s="1"/>
  <c r="BO87" i="3"/>
  <c r="BO216" i="3" s="1"/>
  <c r="R46" i="8" l="1"/>
  <c r="H673" i="9"/>
  <c r="R45" i="8" l="1"/>
  <c r="H674" i="9"/>
  <c r="R44" i="8" l="1"/>
  <c r="H675" i="9"/>
  <c r="R43" i="8" l="1"/>
  <c r="E672" i="9"/>
  <c r="E673" i="9"/>
  <c r="DO21" i="3"/>
  <c r="DO22" i="3" l="1"/>
  <c r="R42" i="8"/>
  <c r="E674" i="9"/>
  <c r="E677" i="9"/>
  <c r="E678" i="9"/>
  <c r="E665" i="9"/>
  <c r="DO25" i="3" l="1"/>
  <c r="R41" i="8"/>
  <c r="E679" i="9"/>
  <c r="AE512" i="1"/>
  <c r="AF512" i="1" s="1"/>
  <c r="AH512" i="1"/>
  <c r="R511" i="1"/>
  <c r="A132" i="11"/>
  <c r="B132" i="11"/>
  <c r="C132" i="11"/>
  <c r="E132" i="11"/>
  <c r="F132" i="11"/>
  <c r="H132" i="11"/>
  <c r="P132" i="11"/>
  <c r="Q132" i="11"/>
  <c r="R132" i="11"/>
  <c r="T132" i="11"/>
  <c r="V132" i="11"/>
  <c r="W132" i="11"/>
  <c r="X132" i="11"/>
  <c r="Y132" i="11"/>
  <c r="G83" i="11"/>
  <c r="G132" i="11" s="1"/>
  <c r="A131" i="11"/>
  <c r="B131" i="11"/>
  <c r="C131" i="11"/>
  <c r="E131" i="11"/>
  <c r="F131" i="11"/>
  <c r="G131" i="11"/>
  <c r="H131" i="11"/>
  <c r="L131" i="11"/>
  <c r="P131" i="11"/>
  <c r="Q131" i="11"/>
  <c r="R131" i="11"/>
  <c r="T131" i="11"/>
  <c r="V131" i="11"/>
  <c r="W131" i="11"/>
  <c r="X131" i="11"/>
  <c r="Y131" i="11"/>
  <c r="A130" i="8"/>
  <c r="B130" i="8"/>
  <c r="C130" i="8"/>
  <c r="D130" i="8"/>
  <c r="F130" i="8"/>
  <c r="G130" i="8"/>
  <c r="I130" i="8"/>
  <c r="J130" i="8"/>
  <c r="K130" i="8"/>
  <c r="M130" i="8"/>
  <c r="N130" i="8"/>
  <c r="P130" i="8"/>
  <c r="Q130" i="8"/>
  <c r="T130" i="8"/>
  <c r="U130" i="8"/>
  <c r="V130" i="8"/>
  <c r="X130" i="8"/>
  <c r="Y130" i="8"/>
  <c r="AA130" i="8"/>
  <c r="AB130" i="8"/>
  <c r="AC130" i="8"/>
  <c r="AE130" i="8"/>
  <c r="AF130" i="8"/>
  <c r="AI130" i="8"/>
  <c r="AJ130" i="8"/>
  <c r="AM130" i="8"/>
  <c r="AN130" i="8"/>
  <c r="AO130" i="8"/>
  <c r="EB86" i="3"/>
  <c r="EB215" i="3" s="1"/>
  <c r="DY86" i="3"/>
  <c r="DY215" i="3" s="1"/>
  <c r="DW86" i="3"/>
  <c r="DW215" i="3" s="1"/>
  <c r="DQ86" i="3"/>
  <c r="DM86" i="3"/>
  <c r="DJ86" i="3"/>
  <c r="DH86" i="3"/>
  <c r="DH215" i="3" s="1"/>
  <c r="CY86" i="3"/>
  <c r="CY215" i="3" s="1"/>
  <c r="CZ86" i="3"/>
  <c r="CZ215" i="3" s="1"/>
  <c r="DA86" i="3"/>
  <c r="DA215" i="3" s="1"/>
  <c r="DB86" i="3"/>
  <c r="DB215" i="3" s="1"/>
  <c r="DC86" i="3"/>
  <c r="DC215" i="3" s="1"/>
  <c r="CM86" i="3"/>
  <c r="CB86" i="3"/>
  <c r="BQ86" i="3"/>
  <c r="BF86" i="3"/>
  <c r="AU86" i="3"/>
  <c r="AJ86" i="3"/>
  <c r="AB86" i="3"/>
  <c r="AB215" i="3" s="1"/>
  <c r="U86" i="3"/>
  <c r="U215" i="3" s="1"/>
  <c r="V86" i="3"/>
  <c r="V215" i="3" s="1"/>
  <c r="C86" i="3"/>
  <c r="B214" i="3"/>
  <c r="F214" i="3"/>
  <c r="I214" i="3"/>
  <c r="M214" i="3"/>
  <c r="N214" i="3"/>
  <c r="O214" i="3"/>
  <c r="P214" i="3"/>
  <c r="Q214" i="3"/>
  <c r="R214" i="3"/>
  <c r="S214" i="3"/>
  <c r="T214" i="3"/>
  <c r="Z214" i="3"/>
  <c r="AA214" i="3"/>
  <c r="AI214" i="3"/>
  <c r="AK214" i="3"/>
  <c r="AL214" i="3"/>
  <c r="AO214" i="3"/>
  <c r="AP214" i="3"/>
  <c r="AT214" i="3"/>
  <c r="AV214" i="3"/>
  <c r="AW214" i="3"/>
  <c r="AZ214" i="3"/>
  <c r="BA214" i="3"/>
  <c r="BE214" i="3"/>
  <c r="BG214" i="3"/>
  <c r="BH214" i="3"/>
  <c r="BK214" i="3"/>
  <c r="BL214" i="3"/>
  <c r="BP214" i="3"/>
  <c r="BR214" i="3"/>
  <c r="BS214" i="3"/>
  <c r="BV214" i="3"/>
  <c r="BW214" i="3"/>
  <c r="CA214" i="3"/>
  <c r="CC214" i="3"/>
  <c r="CD214" i="3"/>
  <c r="CG214" i="3"/>
  <c r="CH214" i="3"/>
  <c r="CL214" i="3"/>
  <c r="CN214" i="3"/>
  <c r="CO214" i="3"/>
  <c r="CR214" i="3"/>
  <c r="CS214" i="3"/>
  <c r="DE214" i="3"/>
  <c r="DF214" i="3"/>
  <c r="DG214" i="3"/>
  <c r="DI214" i="3"/>
  <c r="DK214" i="3"/>
  <c r="DL214" i="3"/>
  <c r="DN214" i="3"/>
  <c r="DO214" i="3"/>
  <c r="DP214" i="3"/>
  <c r="DT214" i="3"/>
  <c r="DU214" i="3"/>
  <c r="DV214" i="3"/>
  <c r="DX214" i="3"/>
  <c r="DZ214" i="3"/>
  <c r="EA214" i="3"/>
  <c r="EC214" i="3"/>
  <c r="EE214" i="3"/>
  <c r="EJ86" i="3" l="1"/>
  <c r="EO86" i="3" s="1"/>
  <c r="DO26" i="3"/>
  <c r="DM215" i="3"/>
  <c r="R40" i="8"/>
  <c r="DQ215" i="3"/>
  <c r="D511" i="1"/>
  <c r="BB511" i="1"/>
  <c r="G741" i="9"/>
  <c r="E682" i="9"/>
  <c r="E681" i="9"/>
  <c r="DR86" i="3"/>
  <c r="DR215" i="3" s="1"/>
  <c r="DJ215" i="3"/>
  <c r="CT86" i="3"/>
  <c r="CT215" i="3" s="1"/>
  <c r="CM215" i="3"/>
  <c r="CP86" i="3"/>
  <c r="CP215" i="3" s="1"/>
  <c r="CE86" i="3"/>
  <c r="CE215" i="3" s="1"/>
  <c r="CB215" i="3"/>
  <c r="BX86" i="3"/>
  <c r="BX215" i="3" s="1"/>
  <c r="BQ215" i="3"/>
  <c r="BM86" i="3"/>
  <c r="BM215" i="3" s="1"/>
  <c r="BF215" i="3"/>
  <c r="BB86" i="3"/>
  <c r="BB215" i="3" s="1"/>
  <c r="AU215" i="3"/>
  <c r="AQ86" i="3"/>
  <c r="AQ215" i="3" s="1"/>
  <c r="AJ215" i="3"/>
  <c r="E86" i="3"/>
  <c r="C215" i="3"/>
  <c r="EG86" i="3"/>
  <c r="EG215" i="3" s="1"/>
  <c r="CI86" i="3"/>
  <c r="CI215" i="3" s="1"/>
  <c r="BI86" i="3"/>
  <c r="BI215" i="3" s="1"/>
  <c r="K86" i="3"/>
  <c r="K215" i="3" s="1"/>
  <c r="J86" i="3"/>
  <c r="AM86" i="3"/>
  <c r="AM215" i="3" s="1"/>
  <c r="CX86" i="3"/>
  <c r="CX215" i="3" s="1"/>
  <c r="BT86" i="3"/>
  <c r="BT215" i="3" s="1"/>
  <c r="AX86" i="3"/>
  <c r="AX215" i="3" s="1"/>
  <c r="W86" i="3"/>
  <c r="D86" i="3"/>
  <c r="D215" i="3" s="1"/>
  <c r="T511" i="1"/>
  <c r="AG512" i="1"/>
  <c r="AE511" i="1"/>
  <c r="AF511" i="1" s="1"/>
  <c r="AH511" i="1"/>
  <c r="S510" i="1"/>
  <c r="R510" i="1" s="1"/>
  <c r="A129" i="8"/>
  <c r="B129" i="8"/>
  <c r="C129" i="8"/>
  <c r="D129" i="8"/>
  <c r="F129" i="8"/>
  <c r="G129" i="8"/>
  <c r="I129" i="8"/>
  <c r="J129" i="8"/>
  <c r="K129" i="8"/>
  <c r="M129" i="8"/>
  <c r="N129" i="8"/>
  <c r="P129" i="8"/>
  <c r="Q129" i="8"/>
  <c r="T129" i="8"/>
  <c r="U129" i="8"/>
  <c r="V129" i="8"/>
  <c r="X129" i="8"/>
  <c r="Y129" i="8"/>
  <c r="AA129" i="8"/>
  <c r="AB129" i="8"/>
  <c r="AC129" i="8"/>
  <c r="AE129" i="8"/>
  <c r="AF129" i="8"/>
  <c r="AI129" i="8"/>
  <c r="AJ129" i="8"/>
  <c r="AM129" i="8"/>
  <c r="AN129" i="8"/>
  <c r="AO129" i="8"/>
  <c r="EB85" i="3"/>
  <c r="EB214" i="3" s="1"/>
  <c r="DY85" i="3"/>
  <c r="DW85" i="3"/>
  <c r="DW214" i="3" s="1"/>
  <c r="DQ85" i="3"/>
  <c r="DM85" i="3"/>
  <c r="DJ85" i="3"/>
  <c r="DJ214" i="3" s="1"/>
  <c r="DH85" i="3"/>
  <c r="DH214" i="3" s="1"/>
  <c r="CY85" i="3"/>
  <c r="CY214" i="3" s="1"/>
  <c r="CZ85" i="3"/>
  <c r="CZ214" i="3" s="1"/>
  <c r="DA85" i="3"/>
  <c r="DA214" i="3" s="1"/>
  <c r="DB85" i="3"/>
  <c r="DB214" i="3" s="1"/>
  <c r="DC85" i="3"/>
  <c r="DC214" i="3" s="1"/>
  <c r="CM85" i="3"/>
  <c r="CM214" i="3" s="1"/>
  <c r="CB85" i="3"/>
  <c r="BQ85" i="3"/>
  <c r="BX85" i="3" s="1"/>
  <c r="BX214" i="3" s="1"/>
  <c r="BF85" i="3"/>
  <c r="AU85" i="3"/>
  <c r="AJ85" i="3"/>
  <c r="AB85" i="3"/>
  <c r="AB214" i="3" s="1"/>
  <c r="U85" i="3"/>
  <c r="U214" i="3" s="1"/>
  <c r="V85" i="3"/>
  <c r="V214" i="3" s="1"/>
  <c r="C85" i="3"/>
  <c r="B213" i="3"/>
  <c r="F213" i="3"/>
  <c r="I213" i="3"/>
  <c r="M213" i="3"/>
  <c r="N213" i="3"/>
  <c r="O213" i="3"/>
  <c r="P213" i="3"/>
  <c r="Q213" i="3"/>
  <c r="R213" i="3"/>
  <c r="S213" i="3"/>
  <c r="T213" i="3"/>
  <c r="Z213" i="3"/>
  <c r="AA213" i="3"/>
  <c r="AI213" i="3"/>
  <c r="AK213" i="3"/>
  <c r="AL213" i="3"/>
  <c r="AO213" i="3"/>
  <c r="AP213" i="3"/>
  <c r="AT213" i="3"/>
  <c r="AV213" i="3"/>
  <c r="AW213" i="3"/>
  <c r="AZ213" i="3"/>
  <c r="BA213" i="3"/>
  <c r="BE213" i="3"/>
  <c r="BG213" i="3"/>
  <c r="BH213" i="3"/>
  <c r="BK213" i="3"/>
  <c r="BL213" i="3"/>
  <c r="BP213" i="3"/>
  <c r="BR213" i="3"/>
  <c r="BS213" i="3"/>
  <c r="BV213" i="3"/>
  <c r="BW213" i="3"/>
  <c r="CA213" i="3"/>
  <c r="CC213" i="3"/>
  <c r="CD213" i="3"/>
  <c r="CG213" i="3"/>
  <c r="CH213" i="3"/>
  <c r="CL213" i="3"/>
  <c r="CN213" i="3"/>
  <c r="CO213" i="3"/>
  <c r="CR213" i="3"/>
  <c r="CS213" i="3"/>
  <c r="DE213" i="3"/>
  <c r="DF213" i="3"/>
  <c r="DI213" i="3"/>
  <c r="DK213" i="3"/>
  <c r="DL213" i="3"/>
  <c r="DN213" i="3"/>
  <c r="DO213" i="3"/>
  <c r="DP213" i="3"/>
  <c r="DT213" i="3"/>
  <c r="DU213" i="3"/>
  <c r="DV213" i="3"/>
  <c r="DX213" i="3"/>
  <c r="DZ213" i="3"/>
  <c r="EA213" i="3"/>
  <c r="EC213" i="3"/>
  <c r="EE213" i="3"/>
  <c r="AE510" i="1"/>
  <c r="AF510" i="1" s="1"/>
  <c r="AH510" i="1"/>
  <c r="S509" i="1"/>
  <c r="R509" i="1" s="1"/>
  <c r="EJ85" i="3" l="1"/>
  <c r="EO85" i="3" s="1"/>
  <c r="DO33" i="3"/>
  <c r="DM214" i="3"/>
  <c r="R39" i="8"/>
  <c r="W215" i="3"/>
  <c r="DQ214" i="3"/>
  <c r="BB510" i="1"/>
  <c r="E215" i="3"/>
  <c r="E683" i="9"/>
  <c r="CK86" i="3"/>
  <c r="CK215" i="3" s="1"/>
  <c r="CV86" i="3"/>
  <c r="CV215" i="3" s="1"/>
  <c r="BZ86" i="3"/>
  <c r="BZ215" i="3" s="1"/>
  <c r="BY86" i="3"/>
  <c r="BY215" i="3" s="1"/>
  <c r="BO86" i="3"/>
  <c r="BO215" i="3" s="1"/>
  <c r="AS86" i="3"/>
  <c r="AS215" i="3" s="1"/>
  <c r="AR86" i="3"/>
  <c r="AR215" i="3" s="1"/>
  <c r="CU86" i="3"/>
  <c r="CU215" i="3" s="1"/>
  <c r="CJ86" i="3"/>
  <c r="CJ215" i="3" s="1"/>
  <c r="BC86" i="3"/>
  <c r="BC215" i="3" s="1"/>
  <c r="CF86" i="3"/>
  <c r="CF215" i="3" s="1"/>
  <c r="J215" i="3"/>
  <c r="CQ86" i="3"/>
  <c r="CQ215" i="3" s="1"/>
  <c r="L86" i="3"/>
  <c r="L215" i="3" s="1"/>
  <c r="Y86" i="3"/>
  <c r="Y215" i="3" s="1"/>
  <c r="K511" i="1"/>
  <c r="AY86" i="3"/>
  <c r="AY215" i="3" s="1"/>
  <c r="BD86" i="3"/>
  <c r="BD215" i="3" s="1"/>
  <c r="BU86" i="3"/>
  <c r="BU215" i="3" s="1"/>
  <c r="BJ86" i="3"/>
  <c r="BJ215" i="3" s="1"/>
  <c r="P511" i="1"/>
  <c r="X86" i="3"/>
  <c r="X215" i="3" s="1"/>
  <c r="BN86" i="3"/>
  <c r="BN215" i="3" s="1"/>
  <c r="AN86" i="3"/>
  <c r="AN215" i="3" s="1"/>
  <c r="EG85" i="3"/>
  <c r="EG214" i="3" s="1"/>
  <c r="DY214" i="3"/>
  <c r="CT85" i="3"/>
  <c r="CT214" i="3" s="1"/>
  <c r="CP85" i="3"/>
  <c r="CE85" i="3"/>
  <c r="CE214" i="3" s="1"/>
  <c r="CB214" i="3"/>
  <c r="CI85" i="3"/>
  <c r="CI214" i="3" s="1"/>
  <c r="BT85" i="3"/>
  <c r="BQ214" i="3"/>
  <c r="BI85" i="3"/>
  <c r="BI214" i="3" s="1"/>
  <c r="BF214" i="3"/>
  <c r="BM85" i="3"/>
  <c r="BM214" i="3" s="1"/>
  <c r="BB85" i="3"/>
  <c r="BB214" i="3" s="1"/>
  <c r="AU214" i="3"/>
  <c r="AQ85" i="3"/>
  <c r="AQ214" i="3" s="1"/>
  <c r="AJ214" i="3"/>
  <c r="D85" i="3"/>
  <c r="D214" i="3" s="1"/>
  <c r="C214" i="3"/>
  <c r="DR85" i="3"/>
  <c r="DR214" i="3" s="1"/>
  <c r="D510" i="1"/>
  <c r="C510" i="1" s="1"/>
  <c r="AX85" i="3"/>
  <c r="AX214" i="3" s="1"/>
  <c r="J85" i="3"/>
  <c r="K85" i="3"/>
  <c r="K214" i="3" s="1"/>
  <c r="AM85" i="3"/>
  <c r="AM214" i="3" s="1"/>
  <c r="T510" i="1"/>
  <c r="W85" i="3"/>
  <c r="CX85" i="3"/>
  <c r="CX214" i="3" s="1"/>
  <c r="AG511" i="1"/>
  <c r="E85" i="3"/>
  <c r="AG510" i="1"/>
  <c r="DO38" i="3" l="1"/>
  <c r="R38" i="8"/>
  <c r="W214" i="3"/>
  <c r="E214" i="3"/>
  <c r="E690" i="9"/>
  <c r="CQ85" i="3"/>
  <c r="CQ214" i="3" s="1"/>
  <c r="CV85" i="3"/>
  <c r="CV214" i="3" s="1"/>
  <c r="CP214" i="3"/>
  <c r="CK85" i="3"/>
  <c r="CK214" i="3" s="1"/>
  <c r="BZ85" i="3"/>
  <c r="BZ214" i="3" s="1"/>
  <c r="BT214" i="3"/>
  <c r="BO85" i="3"/>
  <c r="BO214" i="3" s="1"/>
  <c r="BD85" i="3"/>
  <c r="BD214" i="3" s="1"/>
  <c r="BJ85" i="3"/>
  <c r="BJ214" i="3" s="1"/>
  <c r="BU85" i="3"/>
  <c r="BU214" i="3" s="1"/>
  <c r="J214" i="3"/>
  <c r="CF85" i="3"/>
  <c r="CF214" i="3" s="1"/>
  <c r="AY85" i="3"/>
  <c r="AY214" i="3" s="1"/>
  <c r="X85" i="3"/>
  <c r="X214" i="3" s="1"/>
  <c r="BY85" i="3"/>
  <c r="BY214" i="3" s="1"/>
  <c r="P510" i="1"/>
  <c r="L85" i="3"/>
  <c r="L214" i="3" s="1"/>
  <c r="K510" i="1"/>
  <c r="Y85" i="3"/>
  <c r="Y214" i="3" s="1"/>
  <c r="CU85" i="3"/>
  <c r="CU214" i="3" s="1"/>
  <c r="CJ85" i="3"/>
  <c r="CJ214" i="3" s="1"/>
  <c r="AN85" i="3"/>
  <c r="AN214" i="3" s="1"/>
  <c r="AS85" i="3"/>
  <c r="AS214" i="3" s="1"/>
  <c r="BC85" i="3"/>
  <c r="BC214" i="3" s="1"/>
  <c r="BN85" i="3"/>
  <c r="BN214" i="3" s="1"/>
  <c r="AR85" i="3"/>
  <c r="AR214" i="3" s="1"/>
  <c r="N656" i="9"/>
  <c r="N655" i="9"/>
  <c r="DO39" i="3" l="1"/>
  <c r="R37" i="8"/>
  <c r="N657" i="9"/>
  <c r="E691" i="9"/>
  <c r="E692" i="9" s="1"/>
  <c r="N659" i="9"/>
  <c r="A130" i="11"/>
  <c r="B130" i="11"/>
  <c r="C130" i="11"/>
  <c r="E130" i="11"/>
  <c r="F130" i="11"/>
  <c r="G130" i="11"/>
  <c r="H130" i="11"/>
  <c r="P130" i="11"/>
  <c r="Q130" i="11"/>
  <c r="R130" i="11"/>
  <c r="S130" i="11"/>
  <c r="T130" i="11"/>
  <c r="V130" i="11"/>
  <c r="W130" i="11"/>
  <c r="X130" i="11"/>
  <c r="Y130" i="11"/>
  <c r="A128" i="8"/>
  <c r="B128" i="8"/>
  <c r="C128" i="8"/>
  <c r="D128" i="8"/>
  <c r="F128" i="8"/>
  <c r="G128" i="8"/>
  <c r="I128" i="8"/>
  <c r="J128" i="8"/>
  <c r="K128" i="8"/>
  <c r="M128" i="8"/>
  <c r="N128" i="8"/>
  <c r="P128" i="8"/>
  <c r="Q128" i="8"/>
  <c r="T128" i="8"/>
  <c r="U128" i="8"/>
  <c r="V128" i="8"/>
  <c r="X128" i="8"/>
  <c r="Y128" i="8"/>
  <c r="AA128" i="8"/>
  <c r="AB128" i="8"/>
  <c r="AC128" i="8"/>
  <c r="AE128" i="8"/>
  <c r="AF128" i="8"/>
  <c r="AI128" i="8"/>
  <c r="AJ128" i="8"/>
  <c r="AM128" i="8"/>
  <c r="AN128" i="8"/>
  <c r="AO128" i="8"/>
  <c r="EB84" i="3"/>
  <c r="EB213" i="3" s="1"/>
  <c r="DY84" i="3"/>
  <c r="DY213" i="3" s="1"/>
  <c r="DW84" i="3"/>
  <c r="DW213" i="3" s="1"/>
  <c r="DQ84" i="3"/>
  <c r="DM84" i="3"/>
  <c r="DJ84" i="3"/>
  <c r="DH84" i="3"/>
  <c r="DH213" i="3" s="1"/>
  <c r="CY84" i="3"/>
  <c r="CY213" i="3" s="1"/>
  <c r="CZ84" i="3"/>
  <c r="CZ213" i="3" s="1"/>
  <c r="DA84" i="3"/>
  <c r="DA213" i="3" s="1"/>
  <c r="DB84" i="3"/>
  <c r="DB213" i="3" s="1"/>
  <c r="DC84" i="3"/>
  <c r="DC213" i="3" s="1"/>
  <c r="CM84" i="3"/>
  <c r="CB84" i="3"/>
  <c r="BQ84" i="3"/>
  <c r="BF84" i="3"/>
  <c r="AU84" i="3"/>
  <c r="AJ84" i="3"/>
  <c r="AB84" i="3"/>
  <c r="AB213" i="3" s="1"/>
  <c r="U84" i="3"/>
  <c r="U213" i="3" s="1"/>
  <c r="V84" i="3"/>
  <c r="C84" i="3"/>
  <c r="B212" i="3"/>
  <c r="F212" i="3"/>
  <c r="I212" i="3"/>
  <c r="M212" i="3"/>
  <c r="N212" i="3"/>
  <c r="O212" i="3"/>
  <c r="P212" i="3"/>
  <c r="Q212" i="3"/>
  <c r="R212" i="3"/>
  <c r="S212" i="3"/>
  <c r="T212" i="3"/>
  <c r="Z212" i="3"/>
  <c r="AA212" i="3"/>
  <c r="AI212" i="3"/>
  <c r="AK212" i="3"/>
  <c r="AL212" i="3"/>
  <c r="AO212" i="3"/>
  <c r="AP212" i="3"/>
  <c r="AT212" i="3"/>
  <c r="AV212" i="3"/>
  <c r="AW212" i="3"/>
  <c r="AZ212" i="3"/>
  <c r="BA212" i="3"/>
  <c r="BE212" i="3"/>
  <c r="BG212" i="3"/>
  <c r="BH212" i="3"/>
  <c r="BK212" i="3"/>
  <c r="BL212" i="3"/>
  <c r="BP212" i="3"/>
  <c r="BR212" i="3"/>
  <c r="BS212" i="3"/>
  <c r="BV212" i="3"/>
  <c r="BW212" i="3"/>
  <c r="CA212" i="3"/>
  <c r="CC212" i="3"/>
  <c r="CD212" i="3"/>
  <c r="CG212" i="3"/>
  <c r="CH212" i="3"/>
  <c r="CL212" i="3"/>
  <c r="CN212" i="3"/>
  <c r="CO212" i="3"/>
  <c r="CR212" i="3"/>
  <c r="CS212" i="3"/>
  <c r="DE212" i="3"/>
  <c r="DF212" i="3"/>
  <c r="DG212" i="3"/>
  <c r="DI212" i="3"/>
  <c r="DK212" i="3"/>
  <c r="DL212" i="3"/>
  <c r="DN212" i="3"/>
  <c r="DO212" i="3"/>
  <c r="DP212" i="3"/>
  <c r="DT212" i="3"/>
  <c r="DU212" i="3"/>
  <c r="DV212" i="3"/>
  <c r="DX212" i="3"/>
  <c r="DZ212" i="3"/>
  <c r="EA212" i="3"/>
  <c r="EC212" i="3"/>
  <c r="EE212" i="3"/>
  <c r="EJ84" i="3" l="1"/>
  <c r="EO84" i="3" s="1"/>
  <c r="DO44" i="3"/>
  <c r="DM213" i="3"/>
  <c r="R36" i="8"/>
  <c r="DQ213" i="3"/>
  <c r="BB509" i="1"/>
  <c r="S131" i="11"/>
  <c r="N660" i="9"/>
  <c r="N661" i="9" s="1"/>
  <c r="T509" i="1"/>
  <c r="V213" i="3"/>
  <c r="CT84" i="3"/>
  <c r="CT213" i="3" s="1"/>
  <c r="CM213" i="3"/>
  <c r="AX84" i="3"/>
  <c r="AX213" i="3" s="1"/>
  <c r="AU213" i="3"/>
  <c r="AQ84" i="3"/>
  <c r="AQ213" i="3" s="1"/>
  <c r="AJ213" i="3"/>
  <c r="BM84" i="3"/>
  <c r="BM213" i="3" s="1"/>
  <c r="BF213" i="3"/>
  <c r="BX84" i="3"/>
  <c r="BX213" i="3" s="1"/>
  <c r="BQ213" i="3"/>
  <c r="K84" i="3"/>
  <c r="K213" i="3" s="1"/>
  <c r="C213" i="3"/>
  <c r="CI84" i="3"/>
  <c r="CI213" i="3" s="1"/>
  <c r="CB213" i="3"/>
  <c r="DR84" i="3"/>
  <c r="DR213" i="3" s="1"/>
  <c r="DJ213" i="3"/>
  <c r="BB84" i="3"/>
  <c r="BI84" i="3"/>
  <c r="EG84" i="3"/>
  <c r="EG213" i="3" s="1"/>
  <c r="BT84" i="3"/>
  <c r="AM84" i="3"/>
  <c r="E84" i="3"/>
  <c r="CP84" i="3"/>
  <c r="D84" i="3"/>
  <c r="D213" i="3" s="1"/>
  <c r="D509" i="1"/>
  <c r="C509" i="1" s="1"/>
  <c r="J84" i="3"/>
  <c r="CE84" i="3"/>
  <c r="CE213" i="3" s="1"/>
  <c r="W84" i="3"/>
  <c r="CX84" i="3"/>
  <c r="CX213" i="3" s="1"/>
  <c r="R35" i="8" l="1"/>
  <c r="E213" i="3"/>
  <c r="E694" i="9"/>
  <c r="S132" i="11"/>
  <c r="S133" i="11"/>
  <c r="L84" i="3"/>
  <c r="L213" i="3" s="1"/>
  <c r="AR84" i="3"/>
  <c r="AR213" i="3" s="1"/>
  <c r="W213" i="3"/>
  <c r="BZ84" i="3"/>
  <c r="BZ213" i="3" s="1"/>
  <c r="BT213" i="3"/>
  <c r="BU84" i="3"/>
  <c r="BU213" i="3" s="1"/>
  <c r="J213" i="3"/>
  <c r="AS84" i="3"/>
  <c r="AS213" i="3" s="1"/>
  <c r="AM213" i="3"/>
  <c r="BO84" i="3"/>
  <c r="BO213" i="3" s="1"/>
  <c r="BI213" i="3"/>
  <c r="BD84" i="3"/>
  <c r="BD213" i="3" s="1"/>
  <c r="BB213" i="3"/>
  <c r="CV84" i="3"/>
  <c r="CV213" i="3" s="1"/>
  <c r="CP213" i="3"/>
  <c r="K509" i="1"/>
  <c r="BJ84" i="3"/>
  <c r="BJ213" i="3" s="1"/>
  <c r="AY84" i="3"/>
  <c r="AY213" i="3" s="1"/>
  <c r="P509" i="1"/>
  <c r="X84" i="3"/>
  <c r="X213" i="3" s="1"/>
  <c r="BC84" i="3"/>
  <c r="BC213" i="3" s="1"/>
  <c r="BY84" i="3"/>
  <c r="BY213" i="3" s="1"/>
  <c r="CQ84" i="3"/>
  <c r="CQ213" i="3" s="1"/>
  <c r="AN84" i="3"/>
  <c r="AN213" i="3" s="1"/>
  <c r="BN84" i="3"/>
  <c r="BN213" i="3" s="1"/>
  <c r="CF84" i="3"/>
  <c r="CF213" i="3" s="1"/>
  <c r="CK84" i="3"/>
  <c r="CK213" i="3" s="1"/>
  <c r="Y84" i="3"/>
  <c r="Y213" i="3" s="1"/>
  <c r="CJ84" i="3"/>
  <c r="CJ213" i="3" s="1"/>
  <c r="CU84" i="3"/>
  <c r="CU213" i="3" s="1"/>
  <c r="AE509" i="1"/>
  <c r="AF509" i="1" s="1"/>
  <c r="AH509" i="1"/>
  <c r="S508" i="1"/>
  <c r="R508" i="1" s="1"/>
  <c r="C129" i="11"/>
  <c r="E129" i="11"/>
  <c r="F129" i="11"/>
  <c r="G129" i="11"/>
  <c r="H129" i="11"/>
  <c r="L129" i="11"/>
  <c r="P129" i="11"/>
  <c r="Q129" i="11"/>
  <c r="R129" i="11"/>
  <c r="S129" i="11"/>
  <c r="T129" i="11"/>
  <c r="V129" i="11"/>
  <c r="W129" i="11"/>
  <c r="X129" i="11"/>
  <c r="Y129" i="11"/>
  <c r="B129" i="11"/>
  <c r="A129" i="11"/>
  <c r="C127" i="8"/>
  <c r="D127" i="8"/>
  <c r="F127" i="8"/>
  <c r="G127" i="8"/>
  <c r="I127" i="8"/>
  <c r="J127" i="8"/>
  <c r="K127" i="8"/>
  <c r="M127" i="8"/>
  <c r="N127" i="8"/>
  <c r="P127" i="8"/>
  <c r="Q127" i="8"/>
  <c r="T127" i="8"/>
  <c r="U127" i="8"/>
  <c r="V127" i="8"/>
  <c r="X127" i="8"/>
  <c r="Y127" i="8"/>
  <c r="AA127" i="8"/>
  <c r="AB127" i="8"/>
  <c r="AC127" i="8"/>
  <c r="AE127" i="8"/>
  <c r="AF127" i="8"/>
  <c r="AI127" i="8"/>
  <c r="AJ127" i="8"/>
  <c r="AM127" i="8"/>
  <c r="AN127" i="8"/>
  <c r="AO127" i="8"/>
  <c r="B127" i="8"/>
  <c r="A127" i="8"/>
  <c r="EB83" i="3"/>
  <c r="EB212" i="3" s="1"/>
  <c r="DY83" i="3"/>
  <c r="DW83" i="3"/>
  <c r="DW212" i="3" s="1"/>
  <c r="DQ83" i="3"/>
  <c r="DM83" i="3"/>
  <c r="DJ83" i="3"/>
  <c r="DJ212" i="3" s="1"/>
  <c r="DH83" i="3"/>
  <c r="DH212" i="3" s="1"/>
  <c r="CY83" i="3"/>
  <c r="CY212" i="3" s="1"/>
  <c r="CZ83" i="3"/>
  <c r="CZ212" i="3" s="1"/>
  <c r="DA83" i="3"/>
  <c r="DA212" i="3" s="1"/>
  <c r="DB83" i="3"/>
  <c r="DB212" i="3" s="1"/>
  <c r="DC83" i="3"/>
  <c r="DC212" i="3" s="1"/>
  <c r="CM83" i="3"/>
  <c r="CB83" i="3"/>
  <c r="BQ83" i="3"/>
  <c r="BF83" i="3"/>
  <c r="AU83" i="3"/>
  <c r="AJ83" i="3"/>
  <c r="AQ83" i="3" s="1"/>
  <c r="AQ212" i="3" s="1"/>
  <c r="AB83" i="3"/>
  <c r="AB212" i="3" s="1"/>
  <c r="U83" i="3"/>
  <c r="U212" i="3" s="1"/>
  <c r="V83" i="3"/>
  <c r="V212" i="3" s="1"/>
  <c r="C83" i="3"/>
  <c r="B211" i="3"/>
  <c r="F211" i="3"/>
  <c r="I211" i="3"/>
  <c r="M211" i="3"/>
  <c r="N211" i="3"/>
  <c r="O211" i="3"/>
  <c r="P211" i="3"/>
  <c r="Q211" i="3"/>
  <c r="R211" i="3"/>
  <c r="S211" i="3"/>
  <c r="T211" i="3"/>
  <c r="Z211" i="3"/>
  <c r="AA211" i="3"/>
  <c r="AI211" i="3"/>
  <c r="AK211" i="3"/>
  <c r="AL211" i="3"/>
  <c r="AO211" i="3"/>
  <c r="AP211" i="3"/>
  <c r="AT211" i="3"/>
  <c r="AV211" i="3"/>
  <c r="AW211" i="3"/>
  <c r="AZ211" i="3"/>
  <c r="BA211" i="3"/>
  <c r="BE211" i="3"/>
  <c r="BG211" i="3"/>
  <c r="BH211" i="3"/>
  <c r="BK211" i="3"/>
  <c r="BL211" i="3"/>
  <c r="BP211" i="3"/>
  <c r="BR211" i="3"/>
  <c r="BS211" i="3"/>
  <c r="BV211" i="3"/>
  <c r="BW211" i="3"/>
  <c r="CA211" i="3"/>
  <c r="CC211" i="3"/>
  <c r="CD211" i="3"/>
  <c r="CG211" i="3"/>
  <c r="CH211" i="3"/>
  <c r="CL211" i="3"/>
  <c r="CN211" i="3"/>
  <c r="CO211" i="3"/>
  <c r="CR211" i="3"/>
  <c r="CS211" i="3"/>
  <c r="DE211" i="3"/>
  <c r="DF211" i="3"/>
  <c r="DG211" i="3"/>
  <c r="DI211" i="3"/>
  <c r="DK211" i="3"/>
  <c r="DL211" i="3"/>
  <c r="DN211" i="3"/>
  <c r="DO211" i="3"/>
  <c r="DP211" i="3"/>
  <c r="DT211" i="3"/>
  <c r="DU211" i="3"/>
  <c r="DV211" i="3"/>
  <c r="DX211" i="3"/>
  <c r="DZ211" i="3"/>
  <c r="EA211" i="3"/>
  <c r="EC211" i="3"/>
  <c r="EE211" i="3"/>
  <c r="AE508" i="1"/>
  <c r="AF508" i="1" s="1"/>
  <c r="AH508" i="1"/>
  <c r="S507" i="1"/>
  <c r="R507" i="1" s="1"/>
  <c r="EJ83" i="3" l="1"/>
  <c r="EO83" i="3" s="1"/>
  <c r="DM212" i="3"/>
  <c r="R34" i="8"/>
  <c r="DQ212" i="3"/>
  <c r="D508" i="1"/>
  <c r="C508" i="1" s="1"/>
  <c r="BB508" i="1"/>
  <c r="E695" i="9"/>
  <c r="E696" i="9" s="1"/>
  <c r="S134" i="11"/>
  <c r="N664" i="9"/>
  <c r="N665" i="9"/>
  <c r="E651" i="9"/>
  <c r="E652" i="9"/>
  <c r="EG83" i="3"/>
  <c r="EG212" i="3" s="1"/>
  <c r="DY212" i="3"/>
  <c r="CT83" i="3"/>
  <c r="CT212" i="3" s="1"/>
  <c r="CM212" i="3"/>
  <c r="CI83" i="3"/>
  <c r="CI212" i="3" s="1"/>
  <c r="CB212" i="3"/>
  <c r="BT83" i="3"/>
  <c r="BT212" i="3" s="1"/>
  <c r="BQ212" i="3"/>
  <c r="BM83" i="3"/>
  <c r="BM212" i="3" s="1"/>
  <c r="BF212" i="3"/>
  <c r="BB83" i="3"/>
  <c r="BB212" i="3" s="1"/>
  <c r="AU212" i="3"/>
  <c r="AM83" i="3"/>
  <c r="AM212" i="3" s="1"/>
  <c r="AJ212" i="3"/>
  <c r="E83" i="3"/>
  <c r="C212" i="3"/>
  <c r="K83" i="3"/>
  <c r="K508" i="1" s="1"/>
  <c r="W83" i="3"/>
  <c r="D83" i="3"/>
  <c r="D212" i="3" s="1"/>
  <c r="BI83" i="3"/>
  <c r="BI212" i="3" s="1"/>
  <c r="DR83" i="3"/>
  <c r="DR212" i="3" s="1"/>
  <c r="J83" i="3"/>
  <c r="J212" i="3" s="1"/>
  <c r="CP83" i="3"/>
  <c r="CP212" i="3" s="1"/>
  <c r="T508" i="1"/>
  <c r="BX83" i="3"/>
  <c r="BX212" i="3" s="1"/>
  <c r="AX83" i="3"/>
  <c r="AX212" i="3" s="1"/>
  <c r="CE83" i="3"/>
  <c r="CE212" i="3" s="1"/>
  <c r="CX83" i="3"/>
  <c r="CX212" i="3" s="1"/>
  <c r="AG509" i="1"/>
  <c r="AG508" i="1"/>
  <c r="R33" i="8" l="1"/>
  <c r="N666" i="9"/>
  <c r="E212" i="3"/>
  <c r="S135" i="11"/>
  <c r="E653" i="9"/>
  <c r="AN83" i="3"/>
  <c r="AN212" i="3" s="1"/>
  <c r="AS83" i="3"/>
  <c r="AS212" i="3" s="1"/>
  <c r="CV83" i="3"/>
  <c r="CV212" i="3" s="1"/>
  <c r="BO83" i="3"/>
  <c r="BO212" i="3" s="1"/>
  <c r="BN83" i="3"/>
  <c r="BN212" i="3" s="1"/>
  <c r="BC83" i="3"/>
  <c r="BC212" i="3" s="1"/>
  <c r="BD83" i="3"/>
  <c r="BD212" i="3" s="1"/>
  <c r="CF83" i="3"/>
  <c r="CF212" i="3" s="1"/>
  <c r="X83" i="3"/>
  <c r="X212" i="3" s="1"/>
  <c r="W212" i="3"/>
  <c r="BY83" i="3"/>
  <c r="BY212" i="3" s="1"/>
  <c r="L83" i="3"/>
  <c r="L212" i="3" s="1"/>
  <c r="K212" i="3"/>
  <c r="Y83" i="3"/>
  <c r="Y212" i="3" s="1"/>
  <c r="AR83" i="3"/>
  <c r="AR212" i="3" s="1"/>
  <c r="CJ83" i="3"/>
  <c r="CJ212" i="3" s="1"/>
  <c r="BU83" i="3"/>
  <c r="BU212" i="3" s="1"/>
  <c r="CU83" i="3"/>
  <c r="CU212" i="3" s="1"/>
  <c r="P508" i="1"/>
  <c r="BJ83" i="3"/>
  <c r="BJ212" i="3" s="1"/>
  <c r="BZ83" i="3"/>
  <c r="BZ212" i="3" s="1"/>
  <c r="CQ83" i="3"/>
  <c r="CQ212" i="3" s="1"/>
  <c r="AY83" i="3"/>
  <c r="AY212" i="3" s="1"/>
  <c r="CK83" i="3"/>
  <c r="CK212" i="3" s="1"/>
  <c r="R32" i="8" l="1"/>
  <c r="E699" i="9"/>
  <c r="E700" i="9"/>
  <c r="N668" i="9"/>
  <c r="N669" i="9"/>
  <c r="EF81" i="3"/>
  <c r="ED82" i="3"/>
  <c r="EB82" i="3"/>
  <c r="EB211" i="3" s="1"/>
  <c r="DY82" i="3"/>
  <c r="DY211" i="3" s="1"/>
  <c r="DW82" i="3"/>
  <c r="DW211" i="3" s="1"/>
  <c r="DQ82" i="3"/>
  <c r="DM82" i="3"/>
  <c r="DJ82" i="3"/>
  <c r="DH82" i="3"/>
  <c r="DH211" i="3" s="1"/>
  <c r="CY82" i="3"/>
  <c r="CY211" i="3" s="1"/>
  <c r="CZ82" i="3"/>
  <c r="CZ211" i="3" s="1"/>
  <c r="DA82" i="3"/>
  <c r="DA211" i="3" s="1"/>
  <c r="DB82" i="3"/>
  <c r="DB211" i="3" s="1"/>
  <c r="DC82" i="3"/>
  <c r="DC211" i="3" s="1"/>
  <c r="CM82" i="3"/>
  <c r="CP82" i="3" s="1"/>
  <c r="CP211" i="3" s="1"/>
  <c r="CB82" i="3"/>
  <c r="BQ82" i="3"/>
  <c r="BQ211" i="3" s="1"/>
  <c r="BF82" i="3"/>
  <c r="AU82" i="3"/>
  <c r="AJ82" i="3"/>
  <c r="AJ211" i="3" s="1"/>
  <c r="AB82" i="3"/>
  <c r="AB211" i="3" s="1"/>
  <c r="U82" i="3"/>
  <c r="U211" i="3" s="1"/>
  <c r="V82" i="3"/>
  <c r="C82" i="3"/>
  <c r="B210" i="3"/>
  <c r="F210" i="3"/>
  <c r="I210" i="3"/>
  <c r="M210" i="3"/>
  <c r="N210" i="3"/>
  <c r="O210" i="3"/>
  <c r="P210" i="3"/>
  <c r="Q210" i="3"/>
  <c r="R210" i="3"/>
  <c r="S210" i="3"/>
  <c r="T210" i="3"/>
  <c r="Z210" i="3"/>
  <c r="AA210" i="3"/>
  <c r="AI210" i="3"/>
  <c r="AK210" i="3"/>
  <c r="AL210" i="3"/>
  <c r="AO210" i="3"/>
  <c r="AP210" i="3"/>
  <c r="AT210" i="3"/>
  <c r="AV210" i="3"/>
  <c r="AW210" i="3"/>
  <c r="AZ210" i="3"/>
  <c r="BA210" i="3"/>
  <c r="BE210" i="3"/>
  <c r="BG210" i="3"/>
  <c r="BH210" i="3"/>
  <c r="BK210" i="3"/>
  <c r="BL210" i="3"/>
  <c r="BP210" i="3"/>
  <c r="BR210" i="3"/>
  <c r="BS210" i="3"/>
  <c r="BV210" i="3"/>
  <c r="BW210" i="3"/>
  <c r="CA210" i="3"/>
  <c r="CC210" i="3"/>
  <c r="CD210" i="3"/>
  <c r="CG210" i="3"/>
  <c r="CL210" i="3"/>
  <c r="CN210" i="3"/>
  <c r="CO210" i="3"/>
  <c r="CR210" i="3"/>
  <c r="DE210" i="3"/>
  <c r="DF210" i="3"/>
  <c r="DG210" i="3"/>
  <c r="DI210" i="3"/>
  <c r="DK210" i="3"/>
  <c r="DL210" i="3"/>
  <c r="DN210" i="3"/>
  <c r="DO210" i="3"/>
  <c r="DP210" i="3"/>
  <c r="DT210" i="3"/>
  <c r="DU210" i="3"/>
  <c r="DV210" i="3"/>
  <c r="DX210" i="3"/>
  <c r="DZ210" i="3"/>
  <c r="EA210" i="3"/>
  <c r="EC210" i="3"/>
  <c r="S505" i="1"/>
  <c r="R505" i="1" s="1"/>
  <c r="S506" i="1"/>
  <c r="R506" i="1" s="1"/>
  <c r="AH507" i="1"/>
  <c r="AE507" i="1"/>
  <c r="AF507" i="1" s="1"/>
  <c r="EJ82" i="3" l="1"/>
  <c r="EO82" i="3" s="1"/>
  <c r="DM211" i="3"/>
  <c r="R31" i="8"/>
  <c r="DQ211" i="3"/>
  <c r="BB507" i="1"/>
  <c r="N670" i="9"/>
  <c r="E701" i="9"/>
  <c r="D507" i="1"/>
  <c r="C507" i="1" s="1"/>
  <c r="S136" i="11"/>
  <c r="N672" i="9"/>
  <c r="N673" i="9"/>
  <c r="ED211" i="3"/>
  <c r="ED83" i="3"/>
  <c r="ED84" i="3" s="1"/>
  <c r="EF82" i="3"/>
  <c r="EG82" i="3"/>
  <c r="EG211" i="3" s="1"/>
  <c r="DR82" i="3"/>
  <c r="DR211" i="3" s="1"/>
  <c r="DJ211" i="3"/>
  <c r="CT82" i="3"/>
  <c r="CT211" i="3" s="1"/>
  <c r="CM211" i="3"/>
  <c r="CI82" i="3"/>
  <c r="CI211" i="3" s="1"/>
  <c r="CB211" i="3"/>
  <c r="BT82" i="3"/>
  <c r="BT211" i="3" s="1"/>
  <c r="BX82" i="3"/>
  <c r="BX211" i="3" s="1"/>
  <c r="BM82" i="3"/>
  <c r="BM211" i="3" s="1"/>
  <c r="BF211" i="3"/>
  <c r="AX82" i="3"/>
  <c r="AX211" i="3" s="1"/>
  <c r="AU211" i="3"/>
  <c r="AQ82" i="3"/>
  <c r="AQ211" i="3" s="1"/>
  <c r="AM82" i="3"/>
  <c r="AM211" i="3" s="1"/>
  <c r="T507" i="1"/>
  <c r="V211" i="3"/>
  <c r="D82" i="3"/>
  <c r="D211" i="3" s="1"/>
  <c r="C211" i="3"/>
  <c r="J82" i="3"/>
  <c r="J211" i="3" s="1"/>
  <c r="E82" i="3"/>
  <c r="W82" i="3"/>
  <c r="K82" i="3"/>
  <c r="BB82" i="3"/>
  <c r="BB211" i="3" s="1"/>
  <c r="BI82" i="3"/>
  <c r="CE82" i="3"/>
  <c r="CX82" i="3"/>
  <c r="CX211" i="3" s="1"/>
  <c r="AG507" i="1"/>
  <c r="R132" i="8"/>
  <c r="R30" i="8" l="1"/>
  <c r="EF211" i="3"/>
  <c r="N674" i="9"/>
  <c r="E703" i="9"/>
  <c r="E704" i="9"/>
  <c r="E211" i="3"/>
  <c r="CJ82" i="3"/>
  <c r="CJ211" i="3" s="1"/>
  <c r="S138" i="11"/>
  <c r="ED85" i="3"/>
  <c r="ED86" i="3" s="1"/>
  <c r="EF84" i="3"/>
  <c r="ED213" i="3"/>
  <c r="CV82" i="3"/>
  <c r="CV211" i="3" s="1"/>
  <c r="EF83" i="3"/>
  <c r="ED212" i="3"/>
  <c r="CU82" i="3"/>
  <c r="CU211" i="3" s="1"/>
  <c r="CF82" i="3"/>
  <c r="CF211" i="3" s="1"/>
  <c r="CE211" i="3"/>
  <c r="BU82" i="3"/>
  <c r="BU211" i="3" s="1"/>
  <c r="BZ82" i="3"/>
  <c r="BZ211" i="3" s="1"/>
  <c r="BY82" i="3"/>
  <c r="BY211" i="3" s="1"/>
  <c r="BJ82" i="3"/>
  <c r="BJ211" i="3" s="1"/>
  <c r="BI211" i="3"/>
  <c r="AN82" i="3"/>
  <c r="AN211" i="3" s="1"/>
  <c r="AS82" i="3"/>
  <c r="AS211" i="3" s="1"/>
  <c r="CQ82" i="3"/>
  <c r="CQ211" i="3" s="1"/>
  <c r="AY82" i="3"/>
  <c r="AY211" i="3" s="1"/>
  <c r="X82" i="3"/>
  <c r="X211" i="3" s="1"/>
  <c r="P507" i="1"/>
  <c r="W211" i="3"/>
  <c r="L82" i="3"/>
  <c r="L211" i="3" s="1"/>
  <c r="K507" i="1"/>
  <c r="K211" i="3"/>
  <c r="Y82" i="3"/>
  <c r="Y211" i="3" s="1"/>
  <c r="BN82" i="3"/>
  <c r="BN211" i="3" s="1"/>
  <c r="AR82" i="3"/>
  <c r="AR211" i="3" s="1"/>
  <c r="BO82" i="3"/>
  <c r="BO211" i="3" s="1"/>
  <c r="CK82" i="3"/>
  <c r="CK211" i="3" s="1"/>
  <c r="BD82" i="3"/>
  <c r="BD211" i="3" s="1"/>
  <c r="BC82" i="3"/>
  <c r="BC211" i="3" s="1"/>
  <c r="ED210" i="3"/>
  <c r="EE210" i="3"/>
  <c r="EB81" i="3"/>
  <c r="EB210" i="3" s="1"/>
  <c r="DY81" i="3"/>
  <c r="DY210" i="3" s="1"/>
  <c r="DW81" i="3"/>
  <c r="DW210" i="3" s="1"/>
  <c r="DQ81" i="3"/>
  <c r="DM81" i="3"/>
  <c r="DJ81" i="3"/>
  <c r="DH81" i="3"/>
  <c r="DH210" i="3" s="1"/>
  <c r="CY81" i="3"/>
  <c r="CY210" i="3" s="1"/>
  <c r="CZ81" i="3"/>
  <c r="CZ210" i="3" s="1"/>
  <c r="DA81" i="3"/>
  <c r="DA210" i="3" s="1"/>
  <c r="DC81" i="3"/>
  <c r="DC210" i="3" s="1"/>
  <c r="CM81" i="3"/>
  <c r="CH81" i="3"/>
  <c r="CH210" i="3" s="1"/>
  <c r="CB81" i="3"/>
  <c r="BQ81" i="3"/>
  <c r="BF81" i="3"/>
  <c r="AU81" i="3"/>
  <c r="AJ81" i="3"/>
  <c r="AJ210" i="3" s="1"/>
  <c r="AB81" i="3"/>
  <c r="U81" i="3"/>
  <c r="U210" i="3" s="1"/>
  <c r="V81" i="3"/>
  <c r="C81" i="3"/>
  <c r="B209" i="3"/>
  <c r="F209" i="3"/>
  <c r="I209" i="3"/>
  <c r="M209" i="3"/>
  <c r="N209" i="3"/>
  <c r="O209" i="3"/>
  <c r="P209" i="3"/>
  <c r="Q209" i="3"/>
  <c r="R209" i="3"/>
  <c r="S209" i="3"/>
  <c r="T209" i="3"/>
  <c r="Z209" i="3"/>
  <c r="AA209" i="3"/>
  <c r="AI209" i="3"/>
  <c r="AK209" i="3"/>
  <c r="AL209" i="3"/>
  <c r="AO209" i="3"/>
  <c r="AP209" i="3"/>
  <c r="AT209" i="3"/>
  <c r="AV209" i="3"/>
  <c r="AW209" i="3"/>
  <c r="AZ209" i="3"/>
  <c r="BA209" i="3"/>
  <c r="BE209" i="3"/>
  <c r="BG209" i="3"/>
  <c r="BH209" i="3"/>
  <c r="BK209" i="3"/>
  <c r="BL209" i="3"/>
  <c r="BP209" i="3"/>
  <c r="BR209" i="3"/>
  <c r="BS209" i="3"/>
  <c r="BV209" i="3"/>
  <c r="BW209" i="3"/>
  <c r="CA209" i="3"/>
  <c r="CC209" i="3"/>
  <c r="CD209" i="3"/>
  <c r="CG209" i="3"/>
  <c r="CH209" i="3"/>
  <c r="CL209" i="3"/>
  <c r="CN209" i="3"/>
  <c r="CO209" i="3"/>
  <c r="CR209" i="3"/>
  <c r="CS209" i="3"/>
  <c r="DE209" i="3"/>
  <c r="DF209" i="3"/>
  <c r="DG209" i="3"/>
  <c r="DI209" i="3"/>
  <c r="DK209" i="3"/>
  <c r="DL209" i="3"/>
  <c r="DN209" i="3"/>
  <c r="DO209" i="3"/>
  <c r="DP209" i="3"/>
  <c r="DT209" i="3"/>
  <c r="DU209" i="3"/>
  <c r="DV209" i="3"/>
  <c r="DX209" i="3"/>
  <c r="DZ209" i="3"/>
  <c r="EA209" i="3"/>
  <c r="EC209" i="3"/>
  <c r="ED209" i="3"/>
  <c r="EE209" i="3"/>
  <c r="EJ81" i="3" l="1"/>
  <c r="EO81" i="3" s="1"/>
  <c r="AB210" i="3"/>
  <c r="DM210" i="3"/>
  <c r="R29" i="8"/>
  <c r="EF212" i="3"/>
  <c r="DQ210" i="3"/>
  <c r="EF213" i="3"/>
  <c r="E705" i="9"/>
  <c r="D506" i="1"/>
  <c r="C506" i="1" s="1"/>
  <c r="BB506" i="1"/>
  <c r="S139" i="11"/>
  <c r="N677" i="9"/>
  <c r="N678" i="9"/>
  <c r="ED87" i="3"/>
  <c r="EF86" i="3"/>
  <c r="ED215" i="3"/>
  <c r="EF85" i="3"/>
  <c r="ED214" i="3"/>
  <c r="CS81" i="3"/>
  <c r="CS210" i="3" s="1"/>
  <c r="EF210" i="3"/>
  <c r="DR81" i="3"/>
  <c r="DR210" i="3" s="1"/>
  <c r="DJ210" i="3"/>
  <c r="CT81" i="3"/>
  <c r="CT210" i="3" s="1"/>
  <c r="CM210" i="3"/>
  <c r="CI81" i="3"/>
  <c r="CI210" i="3" s="1"/>
  <c r="CB210" i="3"/>
  <c r="BT81" i="3"/>
  <c r="BT210" i="3" s="1"/>
  <c r="BQ210" i="3"/>
  <c r="BM81" i="3"/>
  <c r="BM210" i="3" s="1"/>
  <c r="BF210" i="3"/>
  <c r="BB81" i="3"/>
  <c r="BB210" i="3" s="1"/>
  <c r="AU210" i="3"/>
  <c r="AQ81" i="3"/>
  <c r="AQ210" i="3" s="1"/>
  <c r="T506" i="1"/>
  <c r="V210" i="3"/>
  <c r="D81" i="3"/>
  <c r="D210" i="3" s="1"/>
  <c r="C210" i="3"/>
  <c r="J81" i="3"/>
  <c r="J210" i="3" s="1"/>
  <c r="K81" i="3"/>
  <c r="W81" i="3"/>
  <c r="BX81" i="3"/>
  <c r="BX210" i="3" s="1"/>
  <c r="CX81" i="3"/>
  <c r="CX210" i="3" s="1"/>
  <c r="CE81" i="3"/>
  <c r="CE210" i="3" s="1"/>
  <c r="EG81" i="3"/>
  <c r="EG210" i="3" s="1"/>
  <c r="AX81" i="3"/>
  <c r="CP81" i="3"/>
  <c r="CP210" i="3" s="1"/>
  <c r="AM81" i="3"/>
  <c r="AM210" i="3" s="1"/>
  <c r="BI81" i="3"/>
  <c r="BI210" i="3" s="1"/>
  <c r="E81" i="3"/>
  <c r="R28" i="8" l="1"/>
  <c r="EF214" i="3"/>
  <c r="EF215" i="3"/>
  <c r="E707" i="9"/>
  <c r="E708" i="9"/>
  <c r="E210" i="3"/>
  <c r="N679" i="9"/>
  <c r="EF87" i="3"/>
  <c r="ED216" i="3"/>
  <c r="ED88" i="3"/>
  <c r="DB81" i="3"/>
  <c r="DB210" i="3" s="1"/>
  <c r="CK81" i="3"/>
  <c r="CK210" i="3" s="1"/>
  <c r="BZ81" i="3"/>
  <c r="BZ210" i="3" s="1"/>
  <c r="BU81" i="3"/>
  <c r="BU210" i="3" s="1"/>
  <c r="BC81" i="3"/>
  <c r="BC210" i="3" s="1"/>
  <c r="AY81" i="3"/>
  <c r="AY210" i="3" s="1"/>
  <c r="AX210" i="3"/>
  <c r="CU81" i="3"/>
  <c r="CU210" i="3" s="1"/>
  <c r="CJ81" i="3"/>
  <c r="CJ210" i="3" s="1"/>
  <c r="BJ81" i="3"/>
  <c r="BJ210" i="3" s="1"/>
  <c r="CF81" i="3"/>
  <c r="CF210" i="3" s="1"/>
  <c r="P506" i="1"/>
  <c r="W210" i="3"/>
  <c r="X81" i="3"/>
  <c r="X210" i="3" s="1"/>
  <c r="L81" i="3"/>
  <c r="L210" i="3" s="1"/>
  <c r="K210" i="3"/>
  <c r="K506" i="1"/>
  <c r="Y81" i="3"/>
  <c r="Y210" i="3" s="1"/>
  <c r="AR81" i="3"/>
  <c r="AR210" i="3" s="1"/>
  <c r="BY81" i="3"/>
  <c r="BY210" i="3" s="1"/>
  <c r="CQ81" i="3"/>
  <c r="CQ210" i="3" s="1"/>
  <c r="BN81" i="3"/>
  <c r="BN210" i="3" s="1"/>
  <c r="BD81" i="3"/>
  <c r="BD210" i="3" s="1"/>
  <c r="BO81" i="3"/>
  <c r="BO210" i="3" s="1"/>
  <c r="CV81" i="3"/>
  <c r="CV210" i="3" s="1"/>
  <c r="AS81" i="3"/>
  <c r="AS210" i="3" s="1"/>
  <c r="AN81" i="3"/>
  <c r="AN210" i="3" s="1"/>
  <c r="AH506" i="1"/>
  <c r="AE506" i="1"/>
  <c r="AG506" i="1" s="1"/>
  <c r="R27" i="8" l="1"/>
  <c r="EF216" i="3"/>
  <c r="ED89" i="3"/>
  <c r="EF89" i="3" s="1"/>
  <c r="E709" i="9"/>
  <c r="N682" i="9"/>
  <c r="N681" i="9"/>
  <c r="EF88" i="3"/>
  <c r="ED217" i="3"/>
  <c r="AF506" i="1"/>
  <c r="R26" i="8" l="1"/>
  <c r="EF218" i="3"/>
  <c r="EF217" i="3"/>
  <c r="ED218" i="3"/>
  <c r="ED90" i="3"/>
  <c r="E711" i="9"/>
  <c r="E712" i="9"/>
  <c r="N683" i="9"/>
  <c r="N690" i="9"/>
  <c r="EF80" i="3"/>
  <c r="EB80" i="3"/>
  <c r="EB209" i="3" s="1"/>
  <c r="DY80" i="3"/>
  <c r="DY209" i="3" s="1"/>
  <c r="DW80" i="3"/>
  <c r="DW209" i="3" s="1"/>
  <c r="DQ80" i="3"/>
  <c r="DM80" i="3"/>
  <c r="DJ80" i="3"/>
  <c r="DH80" i="3"/>
  <c r="DH209" i="3" s="1"/>
  <c r="CY80" i="3"/>
  <c r="CY209" i="3" s="1"/>
  <c r="CZ80" i="3"/>
  <c r="CZ209" i="3" s="1"/>
  <c r="DA80" i="3"/>
  <c r="DA209" i="3" s="1"/>
  <c r="DB80" i="3"/>
  <c r="DB209" i="3" s="1"/>
  <c r="DC80" i="3"/>
  <c r="DC209" i="3" s="1"/>
  <c r="CM80" i="3"/>
  <c r="CB80" i="3"/>
  <c r="BQ80" i="3"/>
  <c r="BF80" i="3"/>
  <c r="AU80" i="3"/>
  <c r="AJ80" i="3"/>
  <c r="EF79" i="3"/>
  <c r="EB79" i="3"/>
  <c r="DY79" i="3"/>
  <c r="DW79" i="3"/>
  <c r="CY79" i="3"/>
  <c r="CZ79" i="3"/>
  <c r="DA79" i="3"/>
  <c r="DB79" i="3"/>
  <c r="DC79" i="3"/>
  <c r="CM79" i="3"/>
  <c r="CP79" i="3" s="1"/>
  <c r="CB79" i="3"/>
  <c r="CE79" i="3" s="1"/>
  <c r="BQ79" i="3"/>
  <c r="BX79" i="3" s="1"/>
  <c r="BF79" i="3"/>
  <c r="BI79" i="3" s="1"/>
  <c r="AU79" i="3"/>
  <c r="BB79" i="3" s="1"/>
  <c r="AJ79" i="3"/>
  <c r="DM209" i="3" l="1"/>
  <c r="R25" i="8"/>
  <c r="EF209" i="3"/>
  <c r="ED91" i="3"/>
  <c r="EF90" i="3"/>
  <c r="ED219" i="3"/>
  <c r="E713" i="9"/>
  <c r="N691" i="9"/>
  <c r="N638" i="9"/>
  <c r="DQ209" i="3"/>
  <c r="DR80" i="3"/>
  <c r="DR209" i="3" s="1"/>
  <c r="DJ209" i="3"/>
  <c r="CP80" i="3"/>
  <c r="CP209" i="3" s="1"/>
  <c r="CM209" i="3"/>
  <c r="CE80" i="3"/>
  <c r="CE209" i="3" s="1"/>
  <c r="CB209" i="3"/>
  <c r="BX80" i="3"/>
  <c r="BX209" i="3" s="1"/>
  <c r="BQ209" i="3"/>
  <c r="BI80" i="3"/>
  <c r="BI209" i="3" s="1"/>
  <c r="BF209" i="3"/>
  <c r="AX80" i="3"/>
  <c r="AX209" i="3" s="1"/>
  <c r="AU209" i="3"/>
  <c r="AQ80" i="3"/>
  <c r="AQ209" i="3" s="1"/>
  <c r="AJ209" i="3"/>
  <c r="BM80" i="3"/>
  <c r="BM209" i="3" s="1"/>
  <c r="EG80" i="3"/>
  <c r="EG209" i="3" s="1"/>
  <c r="CI80" i="3"/>
  <c r="CI209" i="3" s="1"/>
  <c r="AM80" i="3"/>
  <c r="AM209" i="3" s="1"/>
  <c r="BT80" i="3"/>
  <c r="BT209" i="3" s="1"/>
  <c r="BB80" i="3"/>
  <c r="BB209" i="3" s="1"/>
  <c r="CT80" i="3"/>
  <c r="CT209" i="3" s="1"/>
  <c r="N637" i="9"/>
  <c r="EG79" i="3"/>
  <c r="CT79" i="3"/>
  <c r="CI79" i="3"/>
  <c r="BT79" i="3"/>
  <c r="BZ79" i="3" s="1"/>
  <c r="BM79" i="3"/>
  <c r="AX79" i="3"/>
  <c r="AQ79" i="3"/>
  <c r="AM79" i="3"/>
  <c r="EF78" i="3"/>
  <c r="EB78" i="3"/>
  <c r="DY78" i="3"/>
  <c r="DW78" i="3"/>
  <c r="DW93" i="3" s="1"/>
  <c r="DW222" i="3" s="1"/>
  <c r="CY78" i="3"/>
  <c r="CZ78" i="3"/>
  <c r="DA78" i="3"/>
  <c r="DB78" i="3"/>
  <c r="DC78" i="3"/>
  <c r="CM78" i="3"/>
  <c r="CP78" i="3" s="1"/>
  <c r="CB78" i="3"/>
  <c r="CE78" i="3" s="1"/>
  <c r="BQ78" i="3"/>
  <c r="BX78" i="3" s="1"/>
  <c r="BF78" i="3"/>
  <c r="BI78" i="3" s="1"/>
  <c r="AU78" i="3"/>
  <c r="BB78" i="3" s="1"/>
  <c r="AJ78" i="3"/>
  <c r="N639" i="9" l="1"/>
  <c r="R24" i="8"/>
  <c r="EF219" i="3"/>
  <c r="ED92" i="3"/>
  <c r="EF91" i="3"/>
  <c r="ED220" i="3"/>
  <c r="E716" i="9"/>
  <c r="E717" i="9"/>
  <c r="DY93" i="3"/>
  <c r="DY222" i="3" s="1"/>
  <c r="DU93" i="3"/>
  <c r="CK80" i="3"/>
  <c r="CK209" i="3" s="1"/>
  <c r="BO80" i="3"/>
  <c r="BO209" i="3" s="1"/>
  <c r="AS80" i="3"/>
  <c r="AS209" i="3" s="1"/>
  <c r="BD80" i="3"/>
  <c r="BD209" i="3" s="1"/>
  <c r="CV80" i="3"/>
  <c r="CV209" i="3" s="1"/>
  <c r="AX78" i="3"/>
  <c r="BD78" i="3" s="1"/>
  <c r="BZ80" i="3"/>
  <c r="BZ209" i="3" s="1"/>
  <c r="CI78" i="3"/>
  <c r="BD79" i="3"/>
  <c r="CK79" i="3"/>
  <c r="CV79" i="3"/>
  <c r="BO79" i="3"/>
  <c r="AS79" i="3"/>
  <c r="EG78" i="3"/>
  <c r="CT78" i="3"/>
  <c r="BT78" i="3"/>
  <c r="BM78" i="3"/>
  <c r="AM78" i="3"/>
  <c r="AQ78" i="3"/>
  <c r="EF77" i="3"/>
  <c r="EB77" i="3"/>
  <c r="DY77" i="3"/>
  <c r="DW77" i="3"/>
  <c r="CY77" i="3"/>
  <c r="CZ77" i="3"/>
  <c r="DA77" i="3"/>
  <c r="DB77" i="3"/>
  <c r="DC77" i="3"/>
  <c r="CM77" i="3"/>
  <c r="CP77" i="3" s="1"/>
  <c r="CB77" i="3"/>
  <c r="CE77" i="3" s="1"/>
  <c r="BQ77" i="3"/>
  <c r="BX77" i="3" s="1"/>
  <c r="BF77" i="3"/>
  <c r="BM77" i="3" s="1"/>
  <c r="AU77" i="3"/>
  <c r="BB77" i="3" s="1"/>
  <c r="AJ77" i="3"/>
  <c r="DU222" i="3" l="1"/>
  <c r="R23" i="8"/>
  <c r="EF220" i="3"/>
  <c r="EF92" i="3"/>
  <c r="ED221" i="3"/>
  <c r="E718" i="9"/>
  <c r="N700" i="9"/>
  <c r="N699" i="9"/>
  <c r="DX93" i="3"/>
  <c r="EG93" i="3"/>
  <c r="EG222" i="3" s="1"/>
  <c r="N694" i="9"/>
  <c r="N695" i="9"/>
  <c r="N642" i="9"/>
  <c r="N643" i="9"/>
  <c r="AX77" i="3"/>
  <c r="CK78" i="3"/>
  <c r="CV78" i="3"/>
  <c r="BZ78" i="3"/>
  <c r="BO78" i="3"/>
  <c r="AS78" i="3"/>
  <c r="EG77" i="3"/>
  <c r="CT77" i="3"/>
  <c r="CI77" i="3"/>
  <c r="BT77" i="3"/>
  <c r="BI77" i="3"/>
  <c r="AM77" i="3"/>
  <c r="AQ77" i="3"/>
  <c r="R22" i="8" l="1"/>
  <c r="EF221" i="3"/>
  <c r="DX222" i="3"/>
  <c r="N644" i="9"/>
  <c r="E721" i="9"/>
  <c r="E720" i="9"/>
  <c r="BD77" i="3"/>
  <c r="CV77" i="3"/>
  <c r="CK77" i="3"/>
  <c r="BZ77" i="3"/>
  <c r="BO77" i="3"/>
  <c r="AS77" i="3"/>
  <c r="EF76" i="3"/>
  <c r="EB76" i="3"/>
  <c r="DY76" i="3"/>
  <c r="DW76" i="3"/>
  <c r="CY76" i="3"/>
  <c r="CZ76" i="3"/>
  <c r="DA76" i="3"/>
  <c r="DB76" i="3"/>
  <c r="DC76" i="3"/>
  <c r="CM76" i="3"/>
  <c r="CP76" i="3" s="1"/>
  <c r="CB76" i="3"/>
  <c r="CI76" i="3" s="1"/>
  <c r="BQ76" i="3"/>
  <c r="BX76" i="3" s="1"/>
  <c r="BF76" i="3"/>
  <c r="BM76" i="3" s="1"/>
  <c r="AU76" i="3"/>
  <c r="AX76" i="3" s="1"/>
  <c r="AJ76" i="3"/>
  <c r="AQ76" i="3" s="1"/>
  <c r="E722" i="9" l="1"/>
  <c r="R21" i="8"/>
  <c r="E725" i="9"/>
  <c r="E726" i="9"/>
  <c r="N703" i="9"/>
  <c r="N704" i="9"/>
  <c r="N652" i="9"/>
  <c r="N651" i="9"/>
  <c r="N646" i="9"/>
  <c r="N647" i="9"/>
  <c r="BI76" i="3"/>
  <c r="BO76" i="3" s="1"/>
  <c r="BB76" i="3"/>
  <c r="BD76" i="3" s="1"/>
  <c r="AM76" i="3"/>
  <c r="AS76" i="3" s="1"/>
  <c r="EG76" i="3"/>
  <c r="CT76" i="3"/>
  <c r="CE76" i="3"/>
  <c r="BT76" i="3"/>
  <c r="N653" i="9" l="1"/>
  <c r="R20" i="8"/>
  <c r="E727" i="9"/>
  <c r="N648" i="9"/>
  <c r="N707" i="9"/>
  <c r="N708" i="9"/>
  <c r="CV76" i="3"/>
  <c r="CK76" i="3"/>
  <c r="BZ76" i="3"/>
  <c r="EF75" i="3"/>
  <c r="EB75" i="3"/>
  <c r="DY75" i="3"/>
  <c r="DW75" i="3"/>
  <c r="CY75" i="3"/>
  <c r="CZ75" i="3"/>
  <c r="DA75" i="3"/>
  <c r="DB75" i="3"/>
  <c r="DC75" i="3"/>
  <c r="CM75" i="3"/>
  <c r="CT75" i="3" s="1"/>
  <c r="CB75" i="3"/>
  <c r="CI75" i="3" s="1"/>
  <c r="BQ75" i="3"/>
  <c r="BT75" i="3" s="1"/>
  <c r="BF75" i="3"/>
  <c r="BM75" i="3" s="1"/>
  <c r="AU75" i="3"/>
  <c r="BB75" i="3" s="1"/>
  <c r="AJ75" i="3"/>
  <c r="AQ75" i="3" s="1"/>
  <c r="R19" i="8" l="1"/>
  <c r="N711" i="9"/>
  <c r="N712" i="9"/>
  <c r="BI75" i="3"/>
  <c r="BO75" i="3" s="1"/>
  <c r="AM75" i="3"/>
  <c r="EG75" i="3"/>
  <c r="CP75" i="3"/>
  <c r="CE75" i="3"/>
  <c r="BX75" i="3"/>
  <c r="AX75" i="3"/>
  <c r="BD75" i="3" s="1"/>
  <c r="R18" i="8" l="1"/>
  <c r="AS75" i="3"/>
  <c r="CV75" i="3"/>
  <c r="CK75" i="3"/>
  <c r="BZ75" i="3"/>
  <c r="AB80" i="3"/>
  <c r="U80" i="3"/>
  <c r="U209" i="3" s="1"/>
  <c r="V80" i="3"/>
  <c r="C80" i="3"/>
  <c r="B208" i="3"/>
  <c r="F208" i="3"/>
  <c r="I208" i="3"/>
  <c r="M208" i="3"/>
  <c r="N208" i="3"/>
  <c r="O208" i="3"/>
  <c r="P208" i="3"/>
  <c r="Q208" i="3"/>
  <c r="R208" i="3"/>
  <c r="S208" i="3"/>
  <c r="T208" i="3"/>
  <c r="Z208" i="3"/>
  <c r="AA208" i="3"/>
  <c r="AI208" i="3"/>
  <c r="AJ208" i="3"/>
  <c r="AK208" i="3"/>
  <c r="AL208" i="3"/>
  <c r="AM208" i="3"/>
  <c r="AO208" i="3"/>
  <c r="AP208" i="3"/>
  <c r="AQ208" i="3"/>
  <c r="AS208" i="3"/>
  <c r="AT208" i="3"/>
  <c r="AU208" i="3"/>
  <c r="AV208" i="3"/>
  <c r="AW208" i="3"/>
  <c r="AX208" i="3"/>
  <c r="AZ208" i="3"/>
  <c r="BA208" i="3"/>
  <c r="BB208" i="3"/>
  <c r="BD208" i="3"/>
  <c r="BE208" i="3"/>
  <c r="BF208" i="3"/>
  <c r="BG208" i="3"/>
  <c r="BH208" i="3"/>
  <c r="BI208" i="3"/>
  <c r="BK208" i="3"/>
  <c r="BL208" i="3"/>
  <c r="BM208" i="3"/>
  <c r="BO208" i="3"/>
  <c r="BP208" i="3"/>
  <c r="BQ208" i="3"/>
  <c r="BR208" i="3"/>
  <c r="BS208" i="3"/>
  <c r="BT208" i="3"/>
  <c r="BV208" i="3"/>
  <c r="BW208" i="3"/>
  <c r="BX208" i="3"/>
  <c r="BZ208" i="3"/>
  <c r="CA208" i="3"/>
  <c r="CB208" i="3"/>
  <c r="CC208" i="3"/>
  <c r="CD208" i="3"/>
  <c r="CE208" i="3"/>
  <c r="CG208" i="3"/>
  <c r="CH208" i="3"/>
  <c r="CI208" i="3"/>
  <c r="CK208" i="3"/>
  <c r="CL208" i="3"/>
  <c r="CM208" i="3"/>
  <c r="CN208" i="3"/>
  <c r="CO208" i="3"/>
  <c r="CP208" i="3"/>
  <c r="CR208" i="3"/>
  <c r="CS208" i="3"/>
  <c r="CT208" i="3"/>
  <c r="CV208" i="3"/>
  <c r="CY208" i="3"/>
  <c r="CZ208" i="3"/>
  <c r="DA208" i="3"/>
  <c r="DB208" i="3"/>
  <c r="DC208" i="3"/>
  <c r="DE208" i="3"/>
  <c r="DF208" i="3"/>
  <c r="DG208" i="3"/>
  <c r="DI208" i="3"/>
  <c r="DK208" i="3"/>
  <c r="DL208" i="3"/>
  <c r="DN208" i="3"/>
  <c r="DO208" i="3"/>
  <c r="DP208" i="3"/>
  <c r="DT208" i="3"/>
  <c r="DU208" i="3"/>
  <c r="DV208" i="3"/>
  <c r="DW208" i="3"/>
  <c r="DX208" i="3"/>
  <c r="DY208" i="3"/>
  <c r="DZ208" i="3"/>
  <c r="EA208" i="3"/>
  <c r="EB208" i="3"/>
  <c r="EC208" i="3"/>
  <c r="ED208" i="3"/>
  <c r="EE208" i="3"/>
  <c r="EF208" i="3"/>
  <c r="EG208" i="3"/>
  <c r="EJ80" i="3" l="1"/>
  <c r="EO80" i="3" s="1"/>
  <c r="AB209" i="3"/>
  <c r="R17" i="8"/>
  <c r="BB505" i="1"/>
  <c r="E733" i="9"/>
  <c r="E734" i="9"/>
  <c r="N716" i="9"/>
  <c r="Q719" i="9"/>
  <c r="N717" i="9"/>
  <c r="J80" i="3"/>
  <c r="BU80" i="3" s="1"/>
  <c r="BU209" i="3" s="1"/>
  <c r="D505" i="1"/>
  <c r="C505" i="1" s="1"/>
  <c r="V209" i="3"/>
  <c r="T505" i="1"/>
  <c r="D80" i="3"/>
  <c r="D209" i="3" s="1"/>
  <c r="E80" i="3"/>
  <c r="C209" i="3"/>
  <c r="CX80" i="3"/>
  <c r="CX209" i="3" s="1"/>
  <c r="K80" i="3"/>
  <c r="W80" i="3"/>
  <c r="AH505" i="1"/>
  <c r="AE505" i="1"/>
  <c r="AF505" i="1" s="1"/>
  <c r="AE504" i="1"/>
  <c r="S504" i="1"/>
  <c r="R504" i="1" s="1"/>
  <c r="R16" i="8" l="1"/>
  <c r="E738" i="9"/>
  <c r="E739" i="9"/>
  <c r="Q720" i="9"/>
  <c r="E209" i="3"/>
  <c r="AG505" i="1"/>
  <c r="AY80" i="3"/>
  <c r="AY209" i="3" s="1"/>
  <c r="BJ80" i="3"/>
  <c r="BJ209" i="3" s="1"/>
  <c r="CQ80" i="3"/>
  <c r="CQ209" i="3" s="1"/>
  <c r="J209" i="3"/>
  <c r="AN80" i="3"/>
  <c r="AN209" i="3" s="1"/>
  <c r="CF80" i="3"/>
  <c r="CF209" i="3" s="1"/>
  <c r="K209" i="3"/>
  <c r="K505" i="1"/>
  <c r="L80" i="3"/>
  <c r="L209" i="3" s="1"/>
  <c r="Y80" i="3"/>
  <c r="Y209" i="3" s="1"/>
  <c r="X80" i="3"/>
  <c r="X209" i="3" s="1"/>
  <c r="W209" i="3"/>
  <c r="P505" i="1"/>
  <c r="AR80" i="3"/>
  <c r="AR209" i="3" s="1"/>
  <c r="BY80" i="3"/>
  <c r="BY209" i="3" s="1"/>
  <c r="BN80" i="3"/>
  <c r="BN209" i="3" s="1"/>
  <c r="BC80" i="3"/>
  <c r="BC209" i="3" s="1"/>
  <c r="CU80" i="3"/>
  <c r="CU209" i="3" s="1"/>
  <c r="CJ80" i="3"/>
  <c r="CJ209" i="3" s="1"/>
  <c r="E633" i="9"/>
  <c r="N633" i="9"/>
  <c r="N634" i="9"/>
  <c r="R15" i="8" l="1"/>
  <c r="E742" i="9"/>
  <c r="E743" i="9"/>
  <c r="N635" i="9"/>
  <c r="Q721" i="9"/>
  <c r="E638" i="9"/>
  <c r="E637" i="9"/>
  <c r="E634" i="9"/>
  <c r="E635" i="9" s="1"/>
  <c r="DQ79" i="3"/>
  <c r="DM79" i="3"/>
  <c r="DJ79" i="3"/>
  <c r="DJ208" i="3" s="1"/>
  <c r="DH79" i="3"/>
  <c r="DH208" i="3" s="1"/>
  <c r="AB79" i="3"/>
  <c r="U79" i="3"/>
  <c r="U208" i="3" s="1"/>
  <c r="V79" i="3"/>
  <c r="C79" i="3"/>
  <c r="B207" i="3"/>
  <c r="F207" i="3"/>
  <c r="I207" i="3"/>
  <c r="M207" i="3"/>
  <c r="N207" i="3"/>
  <c r="O207" i="3"/>
  <c r="P207" i="3"/>
  <c r="Q207" i="3"/>
  <c r="R207" i="3"/>
  <c r="S207" i="3"/>
  <c r="T207" i="3"/>
  <c r="Z207" i="3"/>
  <c r="AA207" i="3"/>
  <c r="AI207" i="3"/>
  <c r="AJ207" i="3"/>
  <c r="AK207" i="3"/>
  <c r="AL207" i="3"/>
  <c r="AM207" i="3"/>
  <c r="AO207" i="3"/>
  <c r="AP207" i="3"/>
  <c r="AQ207" i="3"/>
  <c r="AS207" i="3"/>
  <c r="AT207" i="3"/>
  <c r="AU207" i="3"/>
  <c r="AV207" i="3"/>
  <c r="AW207" i="3"/>
  <c r="AX207" i="3"/>
  <c r="AZ207" i="3"/>
  <c r="BA207" i="3"/>
  <c r="BB207" i="3"/>
  <c r="BD207" i="3"/>
  <c r="BE207" i="3"/>
  <c r="BF207" i="3"/>
  <c r="BG207" i="3"/>
  <c r="BH207" i="3"/>
  <c r="BI207" i="3"/>
  <c r="BK207" i="3"/>
  <c r="BL207" i="3"/>
  <c r="BM207" i="3"/>
  <c r="BO207" i="3"/>
  <c r="BP207" i="3"/>
  <c r="BQ207" i="3"/>
  <c r="BR207" i="3"/>
  <c r="BS207" i="3"/>
  <c r="BT207" i="3"/>
  <c r="BV207" i="3"/>
  <c r="BW207" i="3"/>
  <c r="BX207" i="3"/>
  <c r="BZ207" i="3"/>
  <c r="CA207" i="3"/>
  <c r="CB207" i="3"/>
  <c r="CC207" i="3"/>
  <c r="CD207" i="3"/>
  <c r="CE207" i="3"/>
  <c r="CG207" i="3"/>
  <c r="CH207" i="3"/>
  <c r="CI207" i="3"/>
  <c r="CK207" i="3"/>
  <c r="CL207" i="3"/>
  <c r="CM207" i="3"/>
  <c r="CN207" i="3"/>
  <c r="CO207" i="3"/>
  <c r="CP207" i="3"/>
  <c r="CR207" i="3"/>
  <c r="CS207" i="3"/>
  <c r="CT207" i="3"/>
  <c r="CV207" i="3"/>
  <c r="CY207" i="3"/>
  <c r="CZ207" i="3"/>
  <c r="DA207" i="3"/>
  <c r="DB207" i="3"/>
  <c r="DC207" i="3"/>
  <c r="DE207" i="3"/>
  <c r="DF207" i="3"/>
  <c r="DG207" i="3"/>
  <c r="DI207" i="3"/>
  <c r="DK207" i="3"/>
  <c r="DL207" i="3"/>
  <c r="DN207" i="3"/>
  <c r="DO207" i="3"/>
  <c r="DP207" i="3"/>
  <c r="DT207" i="3"/>
  <c r="DU207" i="3"/>
  <c r="DV207" i="3"/>
  <c r="DW207" i="3"/>
  <c r="DX207" i="3"/>
  <c r="DY207" i="3"/>
  <c r="DZ207" i="3"/>
  <c r="EA207" i="3"/>
  <c r="EB207" i="3"/>
  <c r="EC207" i="3"/>
  <c r="ED207" i="3"/>
  <c r="EE207" i="3"/>
  <c r="EF207" i="3"/>
  <c r="EG207" i="3"/>
  <c r="S503" i="1"/>
  <c r="R503" i="1" s="1"/>
  <c r="AG504" i="1"/>
  <c r="AF503" i="1"/>
  <c r="AG503" i="1"/>
  <c r="AH503" i="1"/>
  <c r="AH504" i="1"/>
  <c r="EJ79" i="3" l="1"/>
  <c r="EO79" i="3" s="1"/>
  <c r="AB208" i="3"/>
  <c r="DM208" i="3"/>
  <c r="E746" i="9"/>
  <c r="R14" i="8"/>
  <c r="DQ208" i="3"/>
  <c r="BB504" i="1"/>
  <c r="E639" i="9"/>
  <c r="N721" i="9"/>
  <c r="N720" i="9"/>
  <c r="D504" i="1"/>
  <c r="C504" i="1" s="1"/>
  <c r="CX79" i="3"/>
  <c r="CX208" i="3" s="1"/>
  <c r="T504" i="1"/>
  <c r="V208" i="3"/>
  <c r="J79" i="3"/>
  <c r="C208" i="3"/>
  <c r="DR79" i="3"/>
  <c r="DR208" i="3" s="1"/>
  <c r="E79" i="3"/>
  <c r="D79" i="3"/>
  <c r="D208" i="3" s="1"/>
  <c r="W79" i="3"/>
  <c r="K79" i="3"/>
  <c r="K208" i="3" s="1"/>
  <c r="AF504" i="1"/>
  <c r="E747" i="9" l="1"/>
  <c r="R13" i="8"/>
  <c r="N725" i="9"/>
  <c r="E208" i="3"/>
  <c r="E642" i="9"/>
  <c r="E643" i="9"/>
  <c r="J208" i="3"/>
  <c r="BJ79" i="3"/>
  <c r="BJ208" i="3" s="1"/>
  <c r="CQ79" i="3"/>
  <c r="CQ208" i="3" s="1"/>
  <c r="CF79" i="3"/>
  <c r="CF208" i="3" s="1"/>
  <c r="BU79" i="3"/>
  <c r="BU208" i="3" s="1"/>
  <c r="AY79" i="3"/>
  <c r="AY208" i="3" s="1"/>
  <c r="AN79" i="3"/>
  <c r="AN208" i="3" s="1"/>
  <c r="W208" i="3"/>
  <c r="BC79" i="3"/>
  <c r="BC208" i="3" s="1"/>
  <c r="BY79" i="3"/>
  <c r="BY208" i="3" s="1"/>
  <c r="CU79" i="3"/>
  <c r="CU208" i="3" s="1"/>
  <c r="CJ79" i="3"/>
  <c r="CJ208" i="3" s="1"/>
  <c r="AR79" i="3"/>
  <c r="AR208" i="3" s="1"/>
  <c r="BN79" i="3"/>
  <c r="BN208" i="3" s="1"/>
  <c r="L79" i="3"/>
  <c r="L208" i="3" s="1"/>
  <c r="K504" i="1"/>
  <c r="Y79" i="3"/>
  <c r="Y208" i="3" s="1"/>
  <c r="X79" i="3"/>
  <c r="X208" i="3" s="1"/>
  <c r="P504" i="1"/>
  <c r="R12" i="8" l="1"/>
  <c r="N726" i="9"/>
  <c r="E644" i="9"/>
  <c r="DQ78" i="3"/>
  <c r="DM78" i="3"/>
  <c r="DJ78" i="3"/>
  <c r="DH78" i="3"/>
  <c r="DH207" i="3" s="1"/>
  <c r="AB78" i="3"/>
  <c r="U78" i="3"/>
  <c r="U207" i="3" s="1"/>
  <c r="V78" i="3"/>
  <c r="C78" i="3"/>
  <c r="B206" i="3"/>
  <c r="F206" i="3"/>
  <c r="I206" i="3"/>
  <c r="M206" i="3"/>
  <c r="N206" i="3"/>
  <c r="O206" i="3"/>
  <c r="P206" i="3"/>
  <c r="Q206" i="3"/>
  <c r="R206" i="3"/>
  <c r="S206" i="3"/>
  <c r="T206" i="3"/>
  <c r="Z206" i="3"/>
  <c r="AA206" i="3"/>
  <c r="AI206" i="3"/>
  <c r="AJ206" i="3"/>
  <c r="AK206" i="3"/>
  <c r="AL206" i="3"/>
  <c r="AM206" i="3"/>
  <c r="AO206" i="3"/>
  <c r="AP206" i="3"/>
  <c r="AQ206" i="3"/>
  <c r="AS206" i="3"/>
  <c r="AT206" i="3"/>
  <c r="AU206" i="3"/>
  <c r="AV206" i="3"/>
  <c r="AW206" i="3"/>
  <c r="AX206" i="3"/>
  <c r="AZ206" i="3"/>
  <c r="BA206" i="3"/>
  <c r="BB206" i="3"/>
  <c r="BD206" i="3"/>
  <c r="BE206" i="3"/>
  <c r="BF206" i="3"/>
  <c r="BG206" i="3"/>
  <c r="BH206" i="3"/>
  <c r="BI206" i="3"/>
  <c r="BK206" i="3"/>
  <c r="BL206" i="3"/>
  <c r="BM206" i="3"/>
  <c r="BO206" i="3"/>
  <c r="BP206" i="3"/>
  <c r="BQ206" i="3"/>
  <c r="BR206" i="3"/>
  <c r="BS206" i="3"/>
  <c r="BT206" i="3"/>
  <c r="BV206" i="3"/>
  <c r="BW206" i="3"/>
  <c r="BX206" i="3"/>
  <c r="BZ206" i="3"/>
  <c r="CA206" i="3"/>
  <c r="CB206" i="3"/>
  <c r="CC206" i="3"/>
  <c r="CD206" i="3"/>
  <c r="CE206" i="3"/>
  <c r="CG206" i="3"/>
  <c r="CH206" i="3"/>
  <c r="CI206" i="3"/>
  <c r="CK206" i="3"/>
  <c r="CL206" i="3"/>
  <c r="CM206" i="3"/>
  <c r="CN206" i="3"/>
  <c r="CO206" i="3"/>
  <c r="CP206" i="3"/>
  <c r="CR206" i="3"/>
  <c r="CS206" i="3"/>
  <c r="CT206" i="3"/>
  <c r="CV206" i="3"/>
  <c r="CY206" i="3"/>
  <c r="CZ206" i="3"/>
  <c r="DA206" i="3"/>
  <c r="DB206" i="3"/>
  <c r="DC206" i="3"/>
  <c r="DE206" i="3"/>
  <c r="DF206" i="3"/>
  <c r="DG206" i="3"/>
  <c r="DI206" i="3"/>
  <c r="DK206" i="3"/>
  <c r="DL206" i="3"/>
  <c r="DN206" i="3"/>
  <c r="DO206" i="3"/>
  <c r="DP206" i="3"/>
  <c r="DT206" i="3"/>
  <c r="DU206" i="3"/>
  <c r="DV206" i="3"/>
  <c r="DW206" i="3"/>
  <c r="DX206" i="3"/>
  <c r="DY206" i="3"/>
  <c r="DZ206" i="3"/>
  <c r="EA206" i="3"/>
  <c r="EB206" i="3"/>
  <c r="EC206" i="3"/>
  <c r="ED206" i="3"/>
  <c r="EE206" i="3"/>
  <c r="EF206" i="3"/>
  <c r="EG206" i="3"/>
  <c r="B205" i="3"/>
  <c r="I205" i="3"/>
  <c r="M205" i="3"/>
  <c r="N205" i="3"/>
  <c r="O205" i="3"/>
  <c r="P205" i="3"/>
  <c r="Q205" i="3"/>
  <c r="R205" i="3"/>
  <c r="S205" i="3"/>
  <c r="T205" i="3"/>
  <c r="Z205" i="3"/>
  <c r="AA205" i="3"/>
  <c r="AI205" i="3"/>
  <c r="AJ205" i="3"/>
  <c r="AK205" i="3"/>
  <c r="AL205" i="3"/>
  <c r="AM205" i="3"/>
  <c r="AO205" i="3"/>
  <c r="AP205" i="3"/>
  <c r="AQ205" i="3"/>
  <c r="AS205" i="3"/>
  <c r="AT205" i="3"/>
  <c r="AU205" i="3"/>
  <c r="AV205" i="3"/>
  <c r="AW205" i="3"/>
  <c r="AX205" i="3"/>
  <c r="AZ205" i="3"/>
  <c r="BA205" i="3"/>
  <c r="BB205" i="3"/>
  <c r="BD205" i="3"/>
  <c r="BE205" i="3"/>
  <c r="BF205" i="3"/>
  <c r="BG205" i="3"/>
  <c r="BH205" i="3"/>
  <c r="BI205" i="3"/>
  <c r="BK205" i="3"/>
  <c r="BL205" i="3"/>
  <c r="BM205" i="3"/>
  <c r="BO205" i="3"/>
  <c r="BP205" i="3"/>
  <c r="BQ205" i="3"/>
  <c r="BR205" i="3"/>
  <c r="BS205" i="3"/>
  <c r="BT205" i="3"/>
  <c r="BV205" i="3"/>
  <c r="BW205" i="3"/>
  <c r="BX205" i="3"/>
  <c r="BZ205" i="3"/>
  <c r="CA205" i="3"/>
  <c r="CB205" i="3"/>
  <c r="CC205" i="3"/>
  <c r="CD205" i="3"/>
  <c r="CE205" i="3"/>
  <c r="CG205" i="3"/>
  <c r="CH205" i="3"/>
  <c r="CI205" i="3"/>
  <c r="CK205" i="3"/>
  <c r="CL205" i="3"/>
  <c r="CM205" i="3"/>
  <c r="CN205" i="3"/>
  <c r="CO205" i="3"/>
  <c r="CP205" i="3"/>
  <c r="CR205" i="3"/>
  <c r="CS205" i="3"/>
  <c r="CT205" i="3"/>
  <c r="CV205" i="3"/>
  <c r="CY205" i="3"/>
  <c r="CZ205" i="3"/>
  <c r="DA205" i="3"/>
  <c r="DB205" i="3"/>
  <c r="DC205" i="3"/>
  <c r="DE205" i="3"/>
  <c r="DF205" i="3"/>
  <c r="DG205" i="3"/>
  <c r="DI205" i="3"/>
  <c r="DK205" i="3"/>
  <c r="DL205" i="3"/>
  <c r="DN205" i="3"/>
  <c r="DO205" i="3"/>
  <c r="DP205" i="3"/>
  <c r="DT205" i="3"/>
  <c r="DU205" i="3"/>
  <c r="DV205" i="3"/>
  <c r="DW205" i="3"/>
  <c r="DX205" i="3"/>
  <c r="DY205" i="3"/>
  <c r="DZ205" i="3"/>
  <c r="EA205" i="3"/>
  <c r="EB205" i="3"/>
  <c r="EC205" i="3"/>
  <c r="ED205" i="3"/>
  <c r="EE205" i="3"/>
  <c r="EF205" i="3"/>
  <c r="EG205" i="3"/>
  <c r="EJ78" i="3" l="1"/>
  <c r="EO78" i="3" s="1"/>
  <c r="AB207" i="3"/>
  <c r="DM207" i="3"/>
  <c r="E751" i="9"/>
  <c r="E752" i="9"/>
  <c r="R11" i="8"/>
  <c r="DQ207" i="3"/>
  <c r="N733" i="9"/>
  <c r="D503" i="1"/>
  <c r="C503" i="1" s="1"/>
  <c r="BB503" i="1"/>
  <c r="E647" i="9"/>
  <c r="E646" i="9"/>
  <c r="E648" i="9" s="1"/>
  <c r="K78" i="3"/>
  <c r="L78" i="3" s="1"/>
  <c r="L207" i="3" s="1"/>
  <c r="CX78" i="3"/>
  <c r="CX207" i="3" s="1"/>
  <c r="E630" i="9"/>
  <c r="E629" i="9"/>
  <c r="N630" i="9"/>
  <c r="N629" i="9"/>
  <c r="DR78" i="3"/>
  <c r="DR207" i="3" s="1"/>
  <c r="DJ207" i="3"/>
  <c r="T503" i="1"/>
  <c r="V207" i="3"/>
  <c r="J78" i="3"/>
  <c r="D78" i="3"/>
  <c r="D207" i="3" s="1"/>
  <c r="C207" i="3"/>
  <c r="W78" i="3"/>
  <c r="N625" i="9"/>
  <c r="N624" i="9"/>
  <c r="E78" i="3"/>
  <c r="N626" i="9" l="1"/>
  <c r="N631" i="9"/>
  <c r="R10" i="8"/>
  <c r="N734" i="9"/>
  <c r="E207" i="3"/>
  <c r="K503" i="1"/>
  <c r="Y78" i="3"/>
  <c r="Y207" i="3" s="1"/>
  <c r="BC78" i="3"/>
  <c r="BC207" i="3" s="1"/>
  <c r="BY78" i="3"/>
  <c r="BY207" i="3" s="1"/>
  <c r="CU78" i="3"/>
  <c r="CU207" i="3" s="1"/>
  <c r="BN78" i="3"/>
  <c r="BN207" i="3" s="1"/>
  <c r="CJ78" i="3"/>
  <c r="CJ207" i="3" s="1"/>
  <c r="AR78" i="3"/>
  <c r="AR207" i="3" s="1"/>
  <c r="J207" i="3"/>
  <c r="CF78" i="3"/>
  <c r="CF207" i="3" s="1"/>
  <c r="BJ78" i="3"/>
  <c r="BJ207" i="3" s="1"/>
  <c r="CQ78" i="3"/>
  <c r="CQ207" i="3" s="1"/>
  <c r="AN78" i="3"/>
  <c r="AN207" i="3" s="1"/>
  <c r="BU78" i="3"/>
  <c r="BU207" i="3" s="1"/>
  <c r="AY78" i="3"/>
  <c r="AY207" i="3" s="1"/>
  <c r="K207" i="3"/>
  <c r="E631" i="9"/>
  <c r="X78" i="3"/>
  <c r="X207" i="3" s="1"/>
  <c r="W207" i="3"/>
  <c r="P503" i="1"/>
  <c r="E625" i="9"/>
  <c r="E624" i="9"/>
  <c r="E755" i="9" l="1"/>
  <c r="E756" i="9"/>
  <c r="R9" i="8"/>
  <c r="P791" i="9"/>
  <c r="E655" i="9"/>
  <c r="E626" i="9"/>
  <c r="R8" i="8" l="1"/>
  <c r="N738" i="9"/>
  <c r="P792" i="9"/>
  <c r="E656" i="9"/>
  <c r="E657" i="9" s="1"/>
  <c r="E760" i="9" l="1"/>
  <c r="E761" i="9"/>
  <c r="R7" i="8"/>
  <c r="N739" i="9"/>
  <c r="P793" i="9"/>
  <c r="N72" i="11"/>
  <c r="S502" i="1"/>
  <c r="E765" i="9" l="1"/>
  <c r="E764" i="9"/>
  <c r="R6" i="8"/>
  <c r="N73" i="11"/>
  <c r="E659" i="9"/>
  <c r="E660" i="9"/>
  <c r="DQ77" i="3"/>
  <c r="DM77" i="3"/>
  <c r="DJ77" i="3"/>
  <c r="DJ206" i="3" s="1"/>
  <c r="DH77" i="3"/>
  <c r="DH206" i="3" s="1"/>
  <c r="AB77" i="3"/>
  <c r="U77" i="3"/>
  <c r="U206" i="3" s="1"/>
  <c r="V77" i="3"/>
  <c r="V206" i="3" s="1"/>
  <c r="C77" i="3"/>
  <c r="EJ77" i="3" l="1"/>
  <c r="EO77" i="3" s="1"/>
  <c r="AB206" i="3"/>
  <c r="DM206" i="3"/>
  <c r="E778" i="9"/>
  <c r="R5" i="8"/>
  <c r="DQ206" i="3"/>
  <c r="BB502" i="1"/>
  <c r="E661" i="9"/>
  <c r="N74" i="11"/>
  <c r="W77" i="3"/>
  <c r="CX77" i="3"/>
  <c r="CX206" i="3" s="1"/>
  <c r="D502" i="1"/>
  <c r="C502" i="1" s="1"/>
  <c r="J77" i="3"/>
  <c r="K77" i="3"/>
  <c r="D77" i="3"/>
  <c r="D206" i="3" s="1"/>
  <c r="C206" i="3"/>
  <c r="DR77" i="3"/>
  <c r="DR206" i="3" s="1"/>
  <c r="E77" i="3"/>
  <c r="E777" i="9" l="1"/>
  <c r="E787" i="9" s="1"/>
  <c r="E789" i="9" s="1"/>
  <c r="R4" i="8"/>
  <c r="P502" i="1"/>
  <c r="N75" i="11"/>
  <c r="E206" i="3"/>
  <c r="W206" i="3"/>
  <c r="X77" i="3"/>
  <c r="X206" i="3" s="1"/>
  <c r="E664" i="9"/>
  <c r="E666" i="9" s="1"/>
  <c r="J206" i="3"/>
  <c r="CF77" i="3"/>
  <c r="CF206" i="3" s="1"/>
  <c r="CQ77" i="3"/>
  <c r="CQ206" i="3" s="1"/>
  <c r="AY77" i="3"/>
  <c r="AY206" i="3" s="1"/>
  <c r="BU77" i="3"/>
  <c r="BU206" i="3" s="1"/>
  <c r="AN77" i="3"/>
  <c r="AN206" i="3" s="1"/>
  <c r="BJ77" i="3"/>
  <c r="BJ206" i="3" s="1"/>
  <c r="BN77" i="3"/>
  <c r="BN206" i="3" s="1"/>
  <c r="BY77" i="3"/>
  <c r="BY206" i="3" s="1"/>
  <c r="BC77" i="3"/>
  <c r="BC206" i="3" s="1"/>
  <c r="AR77" i="3"/>
  <c r="AR206" i="3" s="1"/>
  <c r="CJ77" i="3"/>
  <c r="CJ206" i="3" s="1"/>
  <c r="CU77" i="3"/>
  <c r="CU206" i="3" s="1"/>
  <c r="L77" i="3"/>
  <c r="L206" i="3" s="1"/>
  <c r="K206" i="3"/>
  <c r="K502" i="1"/>
  <c r="Y77" i="3"/>
  <c r="Y206" i="3" s="1"/>
  <c r="F787" i="9" l="1"/>
  <c r="F789" i="9" s="1"/>
  <c r="R3" i="8"/>
  <c r="E621" i="9"/>
  <c r="N621" i="9"/>
  <c r="E620" i="9"/>
  <c r="N620" i="9"/>
  <c r="AE502" i="1"/>
  <c r="AF502" i="1" s="1"/>
  <c r="AH502" i="1"/>
  <c r="S501" i="1"/>
  <c r="R501" i="1" s="1"/>
  <c r="E793" i="9" l="1"/>
  <c r="E794" i="9"/>
  <c r="N622" i="9"/>
  <c r="E622" i="9"/>
  <c r="AG502" i="1"/>
  <c r="E845" i="9" l="1"/>
  <c r="E816" i="9"/>
  <c r="E815" i="9"/>
  <c r="E809" i="9"/>
  <c r="E798" i="9"/>
  <c r="M131" i="11"/>
  <c r="M132" i="11"/>
  <c r="S500" i="1"/>
  <c r="B814" i="9" l="1"/>
  <c r="B815" i="9" s="1"/>
  <c r="B816" i="9" s="1"/>
  <c r="B817" i="9" s="1"/>
  <c r="B818" i="9" s="1"/>
  <c r="B819" i="9" s="1"/>
  <c r="B820" i="9" s="1"/>
  <c r="B821" i="9" s="1"/>
  <c r="B822" i="9" s="1"/>
  <c r="B823" i="9" s="1"/>
  <c r="B824" i="9" s="1"/>
  <c r="B825" i="9" s="1"/>
  <c r="B826" i="9" s="1"/>
  <c r="B827" i="9" s="1"/>
  <c r="B828" i="9" s="1"/>
  <c r="B829" i="9" s="1"/>
  <c r="B830" i="9" s="1"/>
  <c r="B831" i="9" s="1"/>
  <c r="B832" i="9" s="1"/>
  <c r="B833" i="9" s="1"/>
  <c r="B834" i="9" s="1"/>
  <c r="B835" i="9" s="1"/>
  <c r="B836" i="9" s="1"/>
  <c r="B837" i="9" s="1"/>
  <c r="B838" i="9" s="1"/>
  <c r="B839" i="9" s="1"/>
  <c r="B840" i="9" s="1"/>
  <c r="B841" i="9" s="1"/>
  <c r="B842" i="9" s="1"/>
  <c r="B843" i="9" s="1"/>
  <c r="B844" i="9" s="1"/>
  <c r="B845" i="9" s="1"/>
  <c r="E846" i="9"/>
  <c r="E850" i="9" s="1"/>
  <c r="E851" i="9"/>
  <c r="E820" i="9"/>
  <c r="E822" i="9" s="1"/>
  <c r="E811" i="9"/>
  <c r="F809" i="9"/>
  <c r="F811" i="9" s="1"/>
  <c r="F798" i="9"/>
  <c r="F800" i="9" s="1"/>
  <c r="E800" i="9"/>
  <c r="M133" i="11"/>
  <c r="DQ76" i="3"/>
  <c r="DM76" i="3"/>
  <c r="DJ76" i="3"/>
  <c r="DJ205" i="3" s="1"/>
  <c r="DH76" i="3"/>
  <c r="DH205" i="3" s="1"/>
  <c r="F850" i="9" l="1"/>
  <c r="E849" i="9"/>
  <c r="F851" i="9"/>
  <c r="E852" i="9"/>
  <c r="DM205" i="3"/>
  <c r="F820" i="9"/>
  <c r="F822" i="9" s="1"/>
  <c r="D815" i="9"/>
  <c r="DQ205" i="3"/>
  <c r="DR76" i="3"/>
  <c r="DR205" i="3" s="1"/>
  <c r="AB76" i="3"/>
  <c r="U76" i="3"/>
  <c r="U205" i="3" s="1"/>
  <c r="V76" i="3"/>
  <c r="C76" i="3"/>
  <c r="EJ76" i="3" l="1"/>
  <c r="EO76" i="3" s="1"/>
  <c r="F852" i="9"/>
  <c r="AB205" i="3"/>
  <c r="BB501" i="1"/>
  <c r="D76" i="3"/>
  <c r="D205" i="3" s="1"/>
  <c r="CX76" i="3"/>
  <c r="CX205" i="3" s="1"/>
  <c r="D501" i="1"/>
  <c r="C501" i="1" s="1"/>
  <c r="C205" i="3"/>
  <c r="T501" i="1"/>
  <c r="V205" i="3"/>
  <c r="W76" i="3"/>
  <c r="K76" i="3"/>
  <c r="K205" i="3" s="1"/>
  <c r="J76" i="3"/>
  <c r="E76" i="3"/>
  <c r="E205" i="3" l="1"/>
  <c r="BN76" i="3"/>
  <c r="BN205" i="3" s="1"/>
  <c r="AR76" i="3"/>
  <c r="AR205" i="3" s="1"/>
  <c r="BY76" i="3"/>
  <c r="BY205" i="3" s="1"/>
  <c r="CJ76" i="3"/>
  <c r="CJ205" i="3" s="1"/>
  <c r="CU76" i="3"/>
  <c r="CU205" i="3" s="1"/>
  <c r="BC76" i="3"/>
  <c r="BC205" i="3" s="1"/>
  <c r="W205" i="3"/>
  <c r="AY76" i="3"/>
  <c r="AY205" i="3" s="1"/>
  <c r="CQ76" i="3"/>
  <c r="CQ205" i="3" s="1"/>
  <c r="AN76" i="3"/>
  <c r="AN205" i="3" s="1"/>
  <c r="CF76" i="3"/>
  <c r="CF205" i="3" s="1"/>
  <c r="BU76" i="3"/>
  <c r="BU205" i="3" s="1"/>
  <c r="BJ76" i="3"/>
  <c r="BJ205" i="3" s="1"/>
  <c r="J205" i="3"/>
  <c r="L76" i="3"/>
  <c r="L205" i="3" s="1"/>
  <c r="K501" i="1"/>
  <c r="Y76" i="3"/>
  <c r="Y205" i="3" s="1"/>
  <c r="X76" i="3"/>
  <c r="X205" i="3" s="1"/>
  <c r="P501" i="1"/>
  <c r="B204" i="3"/>
  <c r="F204" i="3"/>
  <c r="I204" i="3"/>
  <c r="M204" i="3"/>
  <c r="N204" i="3"/>
  <c r="O204" i="3"/>
  <c r="P204" i="3"/>
  <c r="Q204" i="3"/>
  <c r="R204" i="3"/>
  <c r="S204" i="3"/>
  <c r="T204" i="3"/>
  <c r="Z204" i="3"/>
  <c r="AA204" i="3"/>
  <c r="AI204" i="3"/>
  <c r="AJ204" i="3"/>
  <c r="AK204" i="3"/>
  <c r="AL204" i="3"/>
  <c r="AM204" i="3"/>
  <c r="AO204" i="3"/>
  <c r="AP204" i="3"/>
  <c r="AQ204" i="3"/>
  <c r="AS204" i="3"/>
  <c r="AT204" i="3"/>
  <c r="AU204" i="3"/>
  <c r="AV204" i="3"/>
  <c r="AW204" i="3"/>
  <c r="AX204" i="3"/>
  <c r="AZ204" i="3"/>
  <c r="BA204" i="3"/>
  <c r="BB204" i="3"/>
  <c r="BD204" i="3"/>
  <c r="BE204" i="3"/>
  <c r="BF204" i="3"/>
  <c r="BG204" i="3"/>
  <c r="BH204" i="3"/>
  <c r="BI204" i="3"/>
  <c r="BK204" i="3"/>
  <c r="BL204" i="3"/>
  <c r="BM204" i="3"/>
  <c r="BO204" i="3"/>
  <c r="BP204" i="3"/>
  <c r="BQ204" i="3"/>
  <c r="BR204" i="3"/>
  <c r="BS204" i="3"/>
  <c r="BT204" i="3"/>
  <c r="BV204" i="3"/>
  <c r="BW204" i="3"/>
  <c r="BX204" i="3"/>
  <c r="BZ204" i="3"/>
  <c r="CA204" i="3"/>
  <c r="CB204" i="3"/>
  <c r="CC204" i="3"/>
  <c r="CD204" i="3"/>
  <c r="CE204" i="3"/>
  <c r="CG204" i="3"/>
  <c r="CH204" i="3"/>
  <c r="CI204" i="3"/>
  <c r="CK204" i="3"/>
  <c r="CL204" i="3"/>
  <c r="CM204" i="3"/>
  <c r="CN204" i="3"/>
  <c r="CO204" i="3"/>
  <c r="CP204" i="3"/>
  <c r="CR204" i="3"/>
  <c r="CS204" i="3"/>
  <c r="CT204" i="3"/>
  <c r="CV204" i="3"/>
  <c r="CY204" i="3"/>
  <c r="CZ204" i="3"/>
  <c r="DA204" i="3"/>
  <c r="DB204" i="3"/>
  <c r="DC204" i="3"/>
  <c r="DE204" i="3"/>
  <c r="DF204" i="3"/>
  <c r="DG204" i="3"/>
  <c r="DI204" i="3"/>
  <c r="DK204" i="3"/>
  <c r="DL204" i="3"/>
  <c r="DN204" i="3"/>
  <c r="DO204" i="3"/>
  <c r="DP204" i="3"/>
  <c r="DT204" i="3"/>
  <c r="DU204" i="3"/>
  <c r="DV204" i="3"/>
  <c r="DW204" i="3"/>
  <c r="DX204" i="3"/>
  <c r="DY204" i="3"/>
  <c r="DZ204" i="3"/>
  <c r="EA204" i="3"/>
  <c r="EB204" i="3"/>
  <c r="EC204" i="3"/>
  <c r="ED204" i="3"/>
  <c r="EE204" i="3"/>
  <c r="EF204" i="3"/>
  <c r="EG204" i="3"/>
  <c r="AE501" i="1"/>
  <c r="AG501" i="1" s="1"/>
  <c r="AH501" i="1"/>
  <c r="O130" i="3"/>
  <c r="AF501" i="1" l="1"/>
  <c r="E616" i="9" l="1"/>
  <c r="E617" i="9"/>
  <c r="N616" i="9"/>
  <c r="N617" i="9"/>
  <c r="DQ75" i="3"/>
  <c r="DM75" i="3"/>
  <c r="DJ75" i="3"/>
  <c r="DH75" i="3"/>
  <c r="DH204" i="3" s="1"/>
  <c r="AB75" i="3"/>
  <c r="U75" i="3"/>
  <c r="U204" i="3" s="1"/>
  <c r="V75" i="3"/>
  <c r="V204" i="3" s="1"/>
  <c r="C75" i="3"/>
  <c r="B203" i="3"/>
  <c r="F203" i="3"/>
  <c r="I203" i="3"/>
  <c r="M203" i="3"/>
  <c r="N203" i="3"/>
  <c r="O203" i="3"/>
  <c r="P203" i="3"/>
  <c r="Q203" i="3"/>
  <c r="R203" i="3"/>
  <c r="S203" i="3"/>
  <c r="T203" i="3"/>
  <c r="Z203" i="3"/>
  <c r="AA203" i="3"/>
  <c r="AI203" i="3"/>
  <c r="AK203" i="3"/>
  <c r="AL203" i="3"/>
  <c r="AO203" i="3"/>
  <c r="AP203" i="3"/>
  <c r="AT203" i="3"/>
  <c r="AV203" i="3"/>
  <c r="AW203" i="3"/>
  <c r="AZ203" i="3"/>
  <c r="BA203" i="3"/>
  <c r="BE203" i="3"/>
  <c r="BG203" i="3"/>
  <c r="BH203" i="3"/>
  <c r="BK203" i="3"/>
  <c r="BL203" i="3"/>
  <c r="BP203" i="3"/>
  <c r="BR203" i="3"/>
  <c r="BS203" i="3"/>
  <c r="BV203" i="3"/>
  <c r="BW203" i="3"/>
  <c r="CA203" i="3"/>
  <c r="CC203" i="3"/>
  <c r="CD203" i="3"/>
  <c r="CG203" i="3"/>
  <c r="CH203" i="3"/>
  <c r="CL203" i="3"/>
  <c r="CN203" i="3"/>
  <c r="CO203" i="3"/>
  <c r="CR203" i="3"/>
  <c r="CS203" i="3"/>
  <c r="DE203" i="3"/>
  <c r="DF203" i="3"/>
  <c r="DG203" i="3"/>
  <c r="DI203" i="3"/>
  <c r="DK203" i="3"/>
  <c r="DL203" i="3"/>
  <c r="DN203" i="3"/>
  <c r="DO203" i="3"/>
  <c r="DP203" i="3"/>
  <c r="DT203" i="3"/>
  <c r="DU203" i="3"/>
  <c r="DV203" i="3"/>
  <c r="DX203" i="3"/>
  <c r="DZ203" i="3"/>
  <c r="EA203" i="3"/>
  <c r="EC203" i="3"/>
  <c r="ED203" i="3"/>
  <c r="EE203" i="3"/>
  <c r="EJ75" i="3" l="1"/>
  <c r="EO75" i="3" s="1"/>
  <c r="AB204" i="3"/>
  <c r="DM204" i="3"/>
  <c r="BB500" i="1"/>
  <c r="N618" i="9"/>
  <c r="D500" i="1"/>
  <c r="C500" i="1" s="1"/>
  <c r="CX75" i="3"/>
  <c r="CX204" i="3" s="1"/>
  <c r="K75" i="3"/>
  <c r="K204" i="3" s="1"/>
  <c r="W75" i="3"/>
  <c r="E618" i="9"/>
  <c r="D75" i="3"/>
  <c r="D204" i="3" s="1"/>
  <c r="C204" i="3"/>
  <c r="DR75" i="3"/>
  <c r="DR204" i="3" s="1"/>
  <c r="DJ204" i="3"/>
  <c r="J75" i="3"/>
  <c r="DQ204" i="3"/>
  <c r="E75" i="3"/>
  <c r="E612" i="9"/>
  <c r="E611" i="9"/>
  <c r="E204" i="3" l="1"/>
  <c r="J204" i="3"/>
  <c r="BJ75" i="3"/>
  <c r="BJ204" i="3" s="1"/>
  <c r="BU75" i="3"/>
  <c r="BU204" i="3" s="1"/>
  <c r="AY75" i="3"/>
  <c r="AY204" i="3" s="1"/>
  <c r="AN75" i="3"/>
  <c r="AN204" i="3" s="1"/>
  <c r="CQ75" i="3"/>
  <c r="CQ204" i="3" s="1"/>
  <c r="CF75" i="3"/>
  <c r="CF204" i="3" s="1"/>
  <c r="AR75" i="3"/>
  <c r="AR204" i="3" s="1"/>
  <c r="CU75" i="3"/>
  <c r="CU204" i="3" s="1"/>
  <c r="BN75" i="3"/>
  <c r="BN204" i="3" s="1"/>
  <c r="BC75" i="3"/>
  <c r="BC204" i="3" s="1"/>
  <c r="CJ75" i="3"/>
  <c r="CJ204" i="3" s="1"/>
  <c r="BY75" i="3"/>
  <c r="BY204" i="3" s="1"/>
  <c r="X75" i="3"/>
  <c r="X204" i="3" s="1"/>
  <c r="Y75" i="3"/>
  <c r="Y204" i="3" s="1"/>
  <c r="K500" i="1"/>
  <c r="L75" i="3"/>
  <c r="L204" i="3" s="1"/>
  <c r="E613" i="9"/>
  <c r="P500" i="1"/>
  <c r="W204" i="3"/>
  <c r="S499" i="1" l="1"/>
  <c r="R499" i="1"/>
  <c r="AH500" i="1"/>
  <c r="AE500" i="1"/>
  <c r="AG500" i="1" s="1"/>
  <c r="AF500" i="1" l="1"/>
  <c r="EF74" i="3" l="1"/>
  <c r="EB74" i="3"/>
  <c r="EB203" i="3" s="1"/>
  <c r="DY74" i="3"/>
  <c r="DW74" i="3"/>
  <c r="DW203" i="3" s="1"/>
  <c r="DQ74" i="3"/>
  <c r="DM74" i="3"/>
  <c r="DJ74" i="3"/>
  <c r="DH74" i="3"/>
  <c r="DH203" i="3" s="1"/>
  <c r="CY74" i="3"/>
  <c r="CY203" i="3" s="1"/>
  <c r="CZ74" i="3"/>
  <c r="CZ203" i="3" s="1"/>
  <c r="DA74" i="3"/>
  <c r="DA203" i="3" s="1"/>
  <c r="DB74" i="3"/>
  <c r="DB203" i="3" s="1"/>
  <c r="DC74" i="3"/>
  <c r="DC203" i="3" s="1"/>
  <c r="CM74" i="3"/>
  <c r="CB74" i="3"/>
  <c r="CE74" i="3" s="1"/>
  <c r="CE203" i="3" s="1"/>
  <c r="BQ74" i="3"/>
  <c r="BF74" i="3"/>
  <c r="AU74" i="3"/>
  <c r="AJ74" i="3"/>
  <c r="EF73" i="3"/>
  <c r="EF72" i="3"/>
  <c r="EB73" i="3"/>
  <c r="EB72" i="3"/>
  <c r="DY72" i="3"/>
  <c r="DY73" i="3"/>
  <c r="DW72" i="3"/>
  <c r="DW73" i="3"/>
  <c r="CY73" i="3"/>
  <c r="CZ73" i="3"/>
  <c r="DA73" i="3"/>
  <c r="DB73" i="3"/>
  <c r="DC73" i="3"/>
  <c r="CM73" i="3"/>
  <c r="CP73" i="3" s="1"/>
  <c r="CB73" i="3"/>
  <c r="CE73" i="3" s="1"/>
  <c r="BQ73" i="3"/>
  <c r="BT73" i="3" s="1"/>
  <c r="BF73" i="3"/>
  <c r="BI73" i="3" s="1"/>
  <c r="AU73" i="3"/>
  <c r="BB73" i="3" s="1"/>
  <c r="AJ73" i="3"/>
  <c r="AQ73" i="3" s="1"/>
  <c r="DM203" i="3" l="1"/>
  <c r="EF203" i="3"/>
  <c r="EG72" i="3"/>
  <c r="DQ203" i="3"/>
  <c r="CI74" i="3"/>
  <c r="CI203" i="3" s="1"/>
  <c r="CB203" i="3"/>
  <c r="AQ74" i="3"/>
  <c r="AQ203" i="3" s="1"/>
  <c r="AJ203" i="3"/>
  <c r="BI74" i="3"/>
  <c r="BI203" i="3" s="1"/>
  <c r="BF203" i="3"/>
  <c r="EG74" i="3"/>
  <c r="EG203" i="3" s="1"/>
  <c r="DY203" i="3"/>
  <c r="CT74" i="3"/>
  <c r="CT203" i="3" s="1"/>
  <c r="CM203" i="3"/>
  <c r="AX74" i="3"/>
  <c r="AX203" i="3" s="1"/>
  <c r="AU203" i="3"/>
  <c r="BX74" i="3"/>
  <c r="BX203" i="3" s="1"/>
  <c r="BQ203" i="3"/>
  <c r="BT74" i="3"/>
  <c r="BT203" i="3" s="1"/>
  <c r="N612" i="9"/>
  <c r="N611" i="9"/>
  <c r="DR74" i="3"/>
  <c r="DR203" i="3" s="1"/>
  <c r="DJ203" i="3"/>
  <c r="BM74" i="3"/>
  <c r="BB74" i="3"/>
  <c r="AM74" i="3"/>
  <c r="AM203" i="3" s="1"/>
  <c r="CP74" i="3"/>
  <c r="CP203" i="3" s="1"/>
  <c r="EG73" i="3"/>
  <c r="CT73" i="3"/>
  <c r="CI73" i="3"/>
  <c r="CK73" i="3" s="1"/>
  <c r="BX73" i="3"/>
  <c r="BM73" i="3"/>
  <c r="AX73" i="3"/>
  <c r="AM73" i="3"/>
  <c r="AS73" i="3" s="1"/>
  <c r="AB74" i="3"/>
  <c r="U74" i="3"/>
  <c r="U203" i="3" s="1"/>
  <c r="V74" i="3"/>
  <c r="C74" i="3"/>
  <c r="EJ74" i="3" l="1"/>
  <c r="EO74" i="3" s="1"/>
  <c r="N613" i="9"/>
  <c r="AB203" i="3"/>
  <c r="BB499" i="1"/>
  <c r="D499" i="1"/>
  <c r="C499" i="1" s="1"/>
  <c r="CK74" i="3"/>
  <c r="CK203" i="3" s="1"/>
  <c r="BD74" i="3"/>
  <c r="BD203" i="3" s="1"/>
  <c r="BB203" i="3"/>
  <c r="BZ74" i="3"/>
  <c r="BZ203" i="3" s="1"/>
  <c r="BO74" i="3"/>
  <c r="BO203" i="3" s="1"/>
  <c r="BM203" i="3"/>
  <c r="V203" i="3"/>
  <c r="T499" i="1"/>
  <c r="CX74" i="3"/>
  <c r="CX203" i="3" s="1"/>
  <c r="C203" i="3"/>
  <c r="CV74" i="3"/>
  <c r="CV203" i="3" s="1"/>
  <c r="J74" i="3"/>
  <c r="J203" i="3" s="1"/>
  <c r="W74" i="3"/>
  <c r="AS74" i="3"/>
  <c r="AS203" i="3" s="1"/>
  <c r="D74" i="3"/>
  <c r="D203" i="3" s="1"/>
  <c r="K74" i="3"/>
  <c r="K203" i="3" s="1"/>
  <c r="E74" i="3"/>
  <c r="CV73" i="3"/>
  <c r="BZ73" i="3"/>
  <c r="BO73" i="3"/>
  <c r="BD73" i="3"/>
  <c r="AN74" i="3" l="1"/>
  <c r="AN203" i="3" s="1"/>
  <c r="E203" i="3"/>
  <c r="W203" i="3"/>
  <c r="L74" i="3"/>
  <c r="L203" i="3" s="1"/>
  <c r="K499" i="1"/>
  <c r="Y74" i="3"/>
  <c r="Y203" i="3" s="1"/>
  <c r="BU74" i="3"/>
  <c r="BU203" i="3" s="1"/>
  <c r="CF74" i="3"/>
  <c r="CF203" i="3" s="1"/>
  <c r="AY74" i="3"/>
  <c r="AY203" i="3" s="1"/>
  <c r="BJ74" i="3"/>
  <c r="BJ203" i="3" s="1"/>
  <c r="CQ74" i="3"/>
  <c r="CQ203" i="3" s="1"/>
  <c r="P499" i="1"/>
  <c r="CJ74" i="3"/>
  <c r="CJ203" i="3" s="1"/>
  <c r="CU74" i="3"/>
  <c r="CU203" i="3" s="1"/>
  <c r="BN74" i="3"/>
  <c r="BN203" i="3" s="1"/>
  <c r="AR74" i="3"/>
  <c r="AR203" i="3" s="1"/>
  <c r="X74" i="3"/>
  <c r="X203" i="3" s="1"/>
  <c r="BY74" i="3"/>
  <c r="BY203" i="3" s="1"/>
  <c r="BC74" i="3"/>
  <c r="BC203" i="3" s="1"/>
  <c r="B202" i="3"/>
  <c r="F202" i="3"/>
  <c r="I202" i="3"/>
  <c r="M202" i="3"/>
  <c r="N202" i="3"/>
  <c r="O202" i="3"/>
  <c r="P202" i="3"/>
  <c r="Q202" i="3"/>
  <c r="R202" i="3"/>
  <c r="S202" i="3"/>
  <c r="T202" i="3"/>
  <c r="Z202" i="3"/>
  <c r="AA202" i="3"/>
  <c r="AI202" i="3"/>
  <c r="AJ202" i="3"/>
  <c r="AK202" i="3"/>
  <c r="AL202" i="3"/>
  <c r="AM202" i="3"/>
  <c r="AO202" i="3"/>
  <c r="AP202" i="3"/>
  <c r="AQ202" i="3"/>
  <c r="AS202" i="3"/>
  <c r="AT202" i="3"/>
  <c r="AU202" i="3"/>
  <c r="AV202" i="3"/>
  <c r="AW202" i="3"/>
  <c r="AX202" i="3"/>
  <c r="AZ202" i="3"/>
  <c r="BA202" i="3"/>
  <c r="BB202" i="3"/>
  <c r="BD202" i="3"/>
  <c r="BE202" i="3"/>
  <c r="BF202" i="3"/>
  <c r="BG202" i="3"/>
  <c r="BH202" i="3"/>
  <c r="BI202" i="3"/>
  <c r="BK202" i="3"/>
  <c r="BL202" i="3"/>
  <c r="BM202" i="3"/>
  <c r="BO202" i="3"/>
  <c r="BP202" i="3"/>
  <c r="BQ202" i="3"/>
  <c r="BR202" i="3"/>
  <c r="BS202" i="3"/>
  <c r="BT202" i="3"/>
  <c r="BV202" i="3"/>
  <c r="BW202" i="3"/>
  <c r="BX202" i="3"/>
  <c r="BZ202" i="3"/>
  <c r="CA202" i="3"/>
  <c r="CB202" i="3"/>
  <c r="CC202" i="3"/>
  <c r="CD202" i="3"/>
  <c r="CE202" i="3"/>
  <c r="CG202" i="3"/>
  <c r="CH202" i="3"/>
  <c r="CI202" i="3"/>
  <c r="CK202" i="3"/>
  <c r="CL202" i="3"/>
  <c r="CM202" i="3"/>
  <c r="CN202" i="3"/>
  <c r="CO202" i="3"/>
  <c r="CP202" i="3"/>
  <c r="CR202" i="3"/>
  <c r="CS202" i="3"/>
  <c r="CT202" i="3"/>
  <c r="CV202" i="3"/>
  <c r="CY202" i="3"/>
  <c r="CZ202" i="3"/>
  <c r="DA202" i="3"/>
  <c r="DB202" i="3"/>
  <c r="DC202" i="3"/>
  <c r="DE202" i="3"/>
  <c r="DF202" i="3"/>
  <c r="DG202" i="3"/>
  <c r="DI202" i="3"/>
  <c r="DK202" i="3"/>
  <c r="DL202" i="3"/>
  <c r="DN202" i="3"/>
  <c r="DO202" i="3"/>
  <c r="DP202" i="3"/>
  <c r="DT202" i="3"/>
  <c r="DU202" i="3"/>
  <c r="DV202" i="3"/>
  <c r="DW202" i="3"/>
  <c r="DX202" i="3"/>
  <c r="DY202" i="3"/>
  <c r="DZ202" i="3"/>
  <c r="EA202" i="3"/>
  <c r="EB202" i="3"/>
  <c r="EC202" i="3"/>
  <c r="ED202" i="3"/>
  <c r="EE202" i="3"/>
  <c r="EF202" i="3"/>
  <c r="EG202" i="3"/>
  <c r="E607" i="9" l="1"/>
  <c r="E608" i="9"/>
  <c r="N608" i="9"/>
  <c r="N607" i="9"/>
  <c r="R498" i="1"/>
  <c r="S498" i="1"/>
  <c r="N609" i="9" l="1"/>
  <c r="E609" i="9"/>
  <c r="DQ73" i="3"/>
  <c r="DM73" i="3"/>
  <c r="DJ73" i="3"/>
  <c r="DJ202" i="3" s="1"/>
  <c r="DH73" i="3"/>
  <c r="DH202" i="3" s="1"/>
  <c r="DQ202" i="3" l="1"/>
  <c r="DM202" i="3"/>
  <c r="DR73" i="3"/>
  <c r="DR202" i="3" s="1"/>
  <c r="AB73" i="3"/>
  <c r="U73" i="3"/>
  <c r="U202" i="3" s="1"/>
  <c r="V73" i="3"/>
  <c r="C73" i="3"/>
  <c r="B201" i="3"/>
  <c r="F201" i="3"/>
  <c r="I201" i="3"/>
  <c r="M201" i="3"/>
  <c r="N201" i="3"/>
  <c r="O201" i="3"/>
  <c r="P201" i="3"/>
  <c r="Q201" i="3"/>
  <c r="R201" i="3"/>
  <c r="S201" i="3"/>
  <c r="T201" i="3"/>
  <c r="Z201" i="3"/>
  <c r="AA201" i="3"/>
  <c r="AI201" i="3"/>
  <c r="AK201" i="3"/>
  <c r="AL201" i="3"/>
  <c r="AO201" i="3"/>
  <c r="AP201" i="3"/>
  <c r="AT201" i="3"/>
  <c r="AV201" i="3"/>
  <c r="AW201" i="3"/>
  <c r="AZ201" i="3"/>
  <c r="BA201" i="3"/>
  <c r="BE201" i="3"/>
  <c r="BG201" i="3"/>
  <c r="BH201" i="3"/>
  <c r="BK201" i="3"/>
  <c r="BL201" i="3"/>
  <c r="BP201" i="3"/>
  <c r="BR201" i="3"/>
  <c r="BS201" i="3"/>
  <c r="BV201" i="3"/>
  <c r="BW201" i="3"/>
  <c r="CA201" i="3"/>
  <c r="CC201" i="3"/>
  <c r="CD201" i="3"/>
  <c r="CG201" i="3"/>
  <c r="CH201" i="3"/>
  <c r="CL201" i="3"/>
  <c r="CN201" i="3"/>
  <c r="CO201" i="3"/>
  <c r="CR201" i="3"/>
  <c r="CS201" i="3"/>
  <c r="DE201" i="3"/>
  <c r="DF201" i="3"/>
  <c r="DI201" i="3"/>
  <c r="DK201" i="3"/>
  <c r="DL201" i="3"/>
  <c r="DN201" i="3"/>
  <c r="DO201" i="3"/>
  <c r="DP201" i="3"/>
  <c r="DT201" i="3"/>
  <c r="DU201" i="3"/>
  <c r="DV201" i="3"/>
  <c r="DW201" i="3"/>
  <c r="DX201" i="3"/>
  <c r="DY201" i="3"/>
  <c r="DZ201" i="3"/>
  <c r="EA201" i="3"/>
  <c r="EB201" i="3"/>
  <c r="EC201" i="3"/>
  <c r="ED201" i="3"/>
  <c r="EE201" i="3"/>
  <c r="EF201" i="3"/>
  <c r="EG201" i="3"/>
  <c r="S497" i="1"/>
  <c r="R497" i="1"/>
  <c r="EJ73" i="3" l="1"/>
  <c r="EO73" i="3" s="1"/>
  <c r="AB202" i="3"/>
  <c r="BB498" i="1"/>
  <c r="D498" i="1"/>
  <c r="C498" i="1" s="1"/>
  <c r="CX73" i="3"/>
  <c r="CX202" i="3" s="1"/>
  <c r="T498" i="1"/>
  <c r="V202" i="3"/>
  <c r="C202" i="3"/>
  <c r="E73" i="3"/>
  <c r="D73" i="3"/>
  <c r="D202" i="3" s="1"/>
  <c r="K73" i="3"/>
  <c r="K202" i="3" s="1"/>
  <c r="J73" i="3"/>
  <c r="W73" i="3"/>
  <c r="M604" i="9"/>
  <c r="D604" i="9"/>
  <c r="N573" i="9"/>
  <c r="N572" i="9"/>
  <c r="N574" i="9" l="1"/>
  <c r="E202" i="3"/>
  <c r="AR73" i="3"/>
  <c r="AR202" i="3" s="1"/>
  <c r="BC73" i="3"/>
  <c r="BC202" i="3" s="1"/>
  <c r="CU73" i="3"/>
  <c r="CU202" i="3" s="1"/>
  <c r="BY73" i="3"/>
  <c r="BY202" i="3" s="1"/>
  <c r="BN73" i="3"/>
  <c r="BN202" i="3" s="1"/>
  <c r="CJ73" i="3"/>
  <c r="CJ202" i="3" s="1"/>
  <c r="J202" i="3"/>
  <c r="CQ73" i="3"/>
  <c r="CQ202" i="3" s="1"/>
  <c r="CF73" i="3"/>
  <c r="CF202" i="3" s="1"/>
  <c r="BJ73" i="3"/>
  <c r="BJ202" i="3" s="1"/>
  <c r="BU73" i="3"/>
  <c r="BU202" i="3" s="1"/>
  <c r="AY73" i="3"/>
  <c r="AY202" i="3" s="1"/>
  <c r="AN73" i="3"/>
  <c r="AN202" i="3" s="1"/>
  <c r="W202" i="3"/>
  <c r="P498" i="1"/>
  <c r="X73" i="3"/>
  <c r="X202" i="3" s="1"/>
  <c r="L73" i="3"/>
  <c r="L202" i="3" s="1"/>
  <c r="K498" i="1"/>
  <c r="Y73" i="3"/>
  <c r="Y202" i="3" s="1"/>
  <c r="M603" i="9"/>
  <c r="D603" i="9"/>
  <c r="CY72" i="3"/>
  <c r="CY201" i="3" s="1"/>
  <c r="CZ72" i="3"/>
  <c r="CZ201" i="3" s="1"/>
  <c r="DA72" i="3"/>
  <c r="DA201" i="3" s="1"/>
  <c r="DB72" i="3"/>
  <c r="DB201" i="3" s="1"/>
  <c r="DC72" i="3"/>
  <c r="DC201" i="3" s="1"/>
  <c r="CM72" i="3"/>
  <c r="CB72" i="3"/>
  <c r="CE72" i="3" s="1"/>
  <c r="CE201" i="3" s="1"/>
  <c r="BQ72" i="3"/>
  <c r="BF72" i="3"/>
  <c r="AU72" i="3"/>
  <c r="AJ72" i="3"/>
  <c r="BX72" i="3" l="1"/>
  <c r="BX201" i="3" s="1"/>
  <c r="BQ201" i="3"/>
  <c r="CI72" i="3"/>
  <c r="CI201" i="3" s="1"/>
  <c r="CB201" i="3"/>
  <c r="CP72" i="3"/>
  <c r="CP201" i="3" s="1"/>
  <c r="CM201" i="3"/>
  <c r="AX72" i="3"/>
  <c r="AX201" i="3" s="1"/>
  <c r="AU201" i="3"/>
  <c r="AM72" i="3"/>
  <c r="AM201" i="3" s="1"/>
  <c r="AJ201" i="3"/>
  <c r="BM72" i="3"/>
  <c r="BM201" i="3" s="1"/>
  <c r="BF201" i="3"/>
  <c r="E604" i="9"/>
  <c r="E603" i="9"/>
  <c r="N604" i="9"/>
  <c r="N603" i="9"/>
  <c r="BT72" i="3"/>
  <c r="BB72" i="3"/>
  <c r="BB201" i="3" s="1"/>
  <c r="CT72" i="3"/>
  <c r="AQ72" i="3"/>
  <c r="BI72" i="3"/>
  <c r="M602" i="9"/>
  <c r="D602" i="9"/>
  <c r="DQ72" i="3"/>
  <c r="DM72" i="3"/>
  <c r="DJ72" i="3"/>
  <c r="DH72" i="3"/>
  <c r="DH201" i="3" s="1"/>
  <c r="AB72" i="3"/>
  <c r="U72" i="3"/>
  <c r="U201" i="3" s="1"/>
  <c r="V72" i="3"/>
  <c r="C72" i="3"/>
  <c r="B200" i="3"/>
  <c r="F200" i="3"/>
  <c r="I200" i="3"/>
  <c r="M200" i="3"/>
  <c r="N200" i="3"/>
  <c r="O200" i="3"/>
  <c r="P200" i="3"/>
  <c r="Q200" i="3"/>
  <c r="R200" i="3"/>
  <c r="S200" i="3"/>
  <c r="T200" i="3"/>
  <c r="Z200" i="3"/>
  <c r="AA200" i="3"/>
  <c r="AI200" i="3"/>
  <c r="AK200" i="3"/>
  <c r="AL200" i="3"/>
  <c r="AO200" i="3"/>
  <c r="AP200" i="3"/>
  <c r="AT200" i="3"/>
  <c r="AV200" i="3"/>
  <c r="AW200" i="3"/>
  <c r="AZ200" i="3"/>
  <c r="BA200" i="3"/>
  <c r="BE200" i="3"/>
  <c r="BG200" i="3"/>
  <c r="BH200" i="3"/>
  <c r="BK200" i="3"/>
  <c r="BL200" i="3"/>
  <c r="BP200" i="3"/>
  <c r="BR200" i="3"/>
  <c r="BS200" i="3"/>
  <c r="BV200" i="3"/>
  <c r="BW200" i="3"/>
  <c r="CA200" i="3"/>
  <c r="CC200" i="3"/>
  <c r="CD200" i="3"/>
  <c r="CG200" i="3"/>
  <c r="CH200" i="3"/>
  <c r="CL200" i="3"/>
  <c r="CN200" i="3"/>
  <c r="CO200" i="3"/>
  <c r="CR200" i="3"/>
  <c r="CS200" i="3"/>
  <c r="DE200" i="3"/>
  <c r="DF200" i="3"/>
  <c r="DG200" i="3"/>
  <c r="DI200" i="3"/>
  <c r="DK200" i="3"/>
  <c r="DL200" i="3"/>
  <c r="DN200" i="3"/>
  <c r="DO200" i="3"/>
  <c r="DP200" i="3"/>
  <c r="DT200" i="3"/>
  <c r="DU200" i="3"/>
  <c r="DV200" i="3"/>
  <c r="DX200" i="3"/>
  <c r="DZ200" i="3"/>
  <c r="EA200" i="3"/>
  <c r="EC200" i="3"/>
  <c r="ED200" i="3"/>
  <c r="EE200" i="3"/>
  <c r="S496" i="1"/>
  <c r="EJ72" i="3" l="1"/>
  <c r="EO72" i="3" s="1"/>
  <c r="AB201" i="3"/>
  <c r="DM201" i="3"/>
  <c r="N605" i="9"/>
  <c r="E605" i="9"/>
  <c r="BB497" i="1"/>
  <c r="D497" i="1"/>
  <c r="C497" i="1" s="1"/>
  <c r="BD72" i="3"/>
  <c r="BD201" i="3" s="1"/>
  <c r="BZ72" i="3"/>
  <c r="BZ201" i="3" s="1"/>
  <c r="BT201" i="3"/>
  <c r="BO72" i="3"/>
  <c r="BO201" i="3" s="1"/>
  <c r="BI201" i="3"/>
  <c r="AS72" i="3"/>
  <c r="AS201" i="3" s="1"/>
  <c r="AQ201" i="3"/>
  <c r="CK72" i="3"/>
  <c r="CK201" i="3" s="1"/>
  <c r="CV72" i="3"/>
  <c r="CV201" i="3" s="1"/>
  <c r="CT201" i="3"/>
  <c r="DQ201" i="3"/>
  <c r="DR72" i="3"/>
  <c r="DR201" i="3" s="1"/>
  <c r="DJ201" i="3"/>
  <c r="T497" i="1"/>
  <c r="V201" i="3"/>
  <c r="E72" i="3"/>
  <c r="C201" i="3"/>
  <c r="D72" i="3"/>
  <c r="D201" i="3" s="1"/>
  <c r="CX72" i="3"/>
  <c r="CX201" i="3" s="1"/>
  <c r="J72" i="3"/>
  <c r="J201" i="3" s="1"/>
  <c r="K72" i="3"/>
  <c r="K201" i="3" s="1"/>
  <c r="W72" i="3"/>
  <c r="D601" i="9"/>
  <c r="M601" i="9"/>
  <c r="M600" i="9"/>
  <c r="D600" i="9"/>
  <c r="D479" i="1"/>
  <c r="C479" i="1" s="1"/>
  <c r="R496" i="1"/>
  <c r="E201" i="3" l="1"/>
  <c r="W201" i="3"/>
  <c r="X72" i="3"/>
  <c r="X201" i="3" s="1"/>
  <c r="P497" i="1"/>
  <c r="BY72" i="3"/>
  <c r="BY201" i="3" s="1"/>
  <c r="BN72" i="3"/>
  <c r="BN201" i="3" s="1"/>
  <c r="CJ72" i="3"/>
  <c r="CJ201" i="3" s="1"/>
  <c r="BC72" i="3"/>
  <c r="BC201" i="3" s="1"/>
  <c r="AR72" i="3"/>
  <c r="AR201" i="3" s="1"/>
  <c r="AN72" i="3"/>
  <c r="AN201" i="3" s="1"/>
  <c r="AY72" i="3"/>
  <c r="AY201" i="3" s="1"/>
  <c r="CF72" i="3"/>
  <c r="CF201" i="3" s="1"/>
  <c r="CQ72" i="3"/>
  <c r="CQ201" i="3" s="1"/>
  <c r="BU72" i="3"/>
  <c r="BU201" i="3" s="1"/>
  <c r="CU72" i="3"/>
  <c r="CU201" i="3" s="1"/>
  <c r="L72" i="3"/>
  <c r="L201" i="3" s="1"/>
  <c r="K497" i="1"/>
  <c r="Y72" i="3"/>
  <c r="Y201" i="3" s="1"/>
  <c r="BJ72" i="3"/>
  <c r="BJ201" i="3" s="1"/>
  <c r="M599" i="9"/>
  <c r="D599" i="9"/>
  <c r="M598" i="9" l="1"/>
  <c r="D598" i="9"/>
  <c r="AG69" i="8"/>
  <c r="AG73" i="8" l="1"/>
  <c r="EF71" i="3"/>
  <c r="EB71" i="3"/>
  <c r="EB200" i="3" s="1"/>
  <c r="DY71" i="3"/>
  <c r="DW71" i="3"/>
  <c r="DQ71" i="3"/>
  <c r="DM71" i="3"/>
  <c r="DJ71" i="3"/>
  <c r="DJ200" i="3" s="1"/>
  <c r="DH71" i="3"/>
  <c r="DH200" i="3" s="1"/>
  <c r="CY71" i="3"/>
  <c r="CY200" i="3" s="1"/>
  <c r="CZ71" i="3"/>
  <c r="CZ200" i="3" s="1"/>
  <c r="DA71" i="3"/>
  <c r="DA200" i="3" s="1"/>
  <c r="DB71" i="3"/>
  <c r="DB200" i="3" s="1"/>
  <c r="DC71" i="3"/>
  <c r="DC200" i="3" s="1"/>
  <c r="CM71" i="3"/>
  <c r="CB71" i="3"/>
  <c r="CI71" i="3" s="1"/>
  <c r="CI200" i="3" s="1"/>
  <c r="BQ71" i="3"/>
  <c r="BF71" i="3"/>
  <c r="AU71" i="3"/>
  <c r="AU200" i="3" s="1"/>
  <c r="AJ71" i="3"/>
  <c r="AB71" i="3"/>
  <c r="U71" i="3"/>
  <c r="U200" i="3" s="1"/>
  <c r="V71" i="3"/>
  <c r="C71" i="3"/>
  <c r="B199" i="3"/>
  <c r="F199" i="3"/>
  <c r="I199" i="3"/>
  <c r="M199" i="3"/>
  <c r="N199" i="3"/>
  <c r="O199" i="3"/>
  <c r="P199" i="3"/>
  <c r="Q199" i="3"/>
  <c r="R199" i="3"/>
  <c r="S199" i="3"/>
  <c r="T199" i="3"/>
  <c r="Z199" i="3"/>
  <c r="AA199" i="3"/>
  <c r="AI199" i="3"/>
  <c r="AK199" i="3"/>
  <c r="AL199" i="3"/>
  <c r="AO199" i="3"/>
  <c r="AP199" i="3"/>
  <c r="AT199" i="3"/>
  <c r="AV199" i="3"/>
  <c r="AW199" i="3"/>
  <c r="AZ199" i="3"/>
  <c r="BA199" i="3"/>
  <c r="BE199" i="3"/>
  <c r="BG199" i="3"/>
  <c r="BH199" i="3"/>
  <c r="BK199" i="3"/>
  <c r="BL199" i="3"/>
  <c r="BP199" i="3"/>
  <c r="BR199" i="3"/>
  <c r="BS199" i="3"/>
  <c r="BV199" i="3"/>
  <c r="BW199" i="3"/>
  <c r="CA199" i="3"/>
  <c r="CC199" i="3"/>
  <c r="CG199" i="3"/>
  <c r="CH199" i="3"/>
  <c r="CL199" i="3"/>
  <c r="CN199" i="3"/>
  <c r="CR199" i="3"/>
  <c r="CS199" i="3"/>
  <c r="DE199" i="3"/>
  <c r="DF199" i="3"/>
  <c r="DG199" i="3"/>
  <c r="DI199" i="3"/>
  <c r="DK199" i="3"/>
  <c r="DL199" i="3"/>
  <c r="DN199" i="3"/>
  <c r="DO199" i="3"/>
  <c r="DP199" i="3"/>
  <c r="DT199" i="3"/>
  <c r="DU199" i="3"/>
  <c r="DV199" i="3"/>
  <c r="DX199" i="3"/>
  <c r="DZ199" i="3"/>
  <c r="EA199" i="3"/>
  <c r="EC199" i="3"/>
  <c r="ED199" i="3"/>
  <c r="EE199" i="3"/>
  <c r="EJ71" i="3" l="1"/>
  <c r="EO71" i="3" s="1"/>
  <c r="AB200" i="3"/>
  <c r="DM200" i="3"/>
  <c r="EF200" i="3"/>
  <c r="DY200" i="3"/>
  <c r="BB496" i="1"/>
  <c r="AG75" i="8"/>
  <c r="K71" i="3"/>
  <c r="L71" i="3" s="1"/>
  <c r="L200" i="3" s="1"/>
  <c r="J71" i="3"/>
  <c r="J200" i="3" s="1"/>
  <c r="W71" i="3"/>
  <c r="DQ200" i="3"/>
  <c r="E71" i="3"/>
  <c r="EG71" i="3"/>
  <c r="EG200" i="3" s="1"/>
  <c r="DW200" i="3"/>
  <c r="E599" i="9"/>
  <c r="E598" i="9"/>
  <c r="N599" i="9"/>
  <c r="N598" i="9"/>
  <c r="CT71" i="3"/>
  <c r="CT200" i="3" s="1"/>
  <c r="CM200" i="3"/>
  <c r="CE71" i="3"/>
  <c r="CE200" i="3" s="1"/>
  <c r="CB200" i="3"/>
  <c r="BT71" i="3"/>
  <c r="BT200" i="3" s="1"/>
  <c r="BQ200" i="3"/>
  <c r="BI71" i="3"/>
  <c r="BI200" i="3" s="1"/>
  <c r="BF200" i="3"/>
  <c r="AQ71" i="3"/>
  <c r="AQ200" i="3" s="1"/>
  <c r="AJ200" i="3"/>
  <c r="T496" i="1"/>
  <c r="V200" i="3"/>
  <c r="D71" i="3"/>
  <c r="D200" i="3" s="1"/>
  <c r="C200" i="3"/>
  <c r="D496" i="1"/>
  <c r="C496" i="1" s="1"/>
  <c r="CX71" i="3"/>
  <c r="CX200" i="3" s="1"/>
  <c r="DR71" i="3"/>
  <c r="DR200" i="3" s="1"/>
  <c r="CP71" i="3"/>
  <c r="BM71" i="3"/>
  <c r="AM71" i="3"/>
  <c r="AX71" i="3"/>
  <c r="BB71" i="3"/>
  <c r="BX71" i="3"/>
  <c r="M596" i="9"/>
  <c r="M597" i="9"/>
  <c r="D596" i="9"/>
  <c r="D597" i="9"/>
  <c r="AE496" i="1"/>
  <c r="AF496" i="1" s="1"/>
  <c r="AH496" i="1"/>
  <c r="S495" i="1"/>
  <c r="R495" i="1"/>
  <c r="N600" i="9" l="1"/>
  <c r="P496" i="1"/>
  <c r="CJ71" i="3"/>
  <c r="CJ200" i="3" s="1"/>
  <c r="AG76" i="8"/>
  <c r="BO71" i="3"/>
  <c r="BO200" i="3" s="1"/>
  <c r="E200" i="3"/>
  <c r="K496" i="1"/>
  <c r="K200" i="3"/>
  <c r="X71" i="3"/>
  <c r="X200" i="3" s="1"/>
  <c r="W200" i="3"/>
  <c r="Y71" i="3"/>
  <c r="Y200" i="3" s="1"/>
  <c r="BU71" i="3"/>
  <c r="BU200" i="3" s="1"/>
  <c r="BJ71" i="3"/>
  <c r="BJ200" i="3" s="1"/>
  <c r="CU71" i="3"/>
  <c r="CU200" i="3" s="1"/>
  <c r="AS71" i="3"/>
  <c r="AS200" i="3" s="1"/>
  <c r="AR71" i="3"/>
  <c r="AR200" i="3" s="1"/>
  <c r="E600" i="9"/>
  <c r="CV71" i="3"/>
  <c r="CV200" i="3" s="1"/>
  <c r="CQ71" i="3"/>
  <c r="CQ200" i="3" s="1"/>
  <c r="CP200" i="3"/>
  <c r="CK71" i="3"/>
  <c r="CK200" i="3" s="1"/>
  <c r="CF71" i="3"/>
  <c r="CF200" i="3" s="1"/>
  <c r="BY71" i="3"/>
  <c r="BY200" i="3" s="1"/>
  <c r="BX200" i="3"/>
  <c r="BN71" i="3"/>
  <c r="BN200" i="3" s="1"/>
  <c r="BM200" i="3"/>
  <c r="BC71" i="3"/>
  <c r="BC200" i="3" s="1"/>
  <c r="BB200" i="3"/>
  <c r="AY71" i="3"/>
  <c r="AY200" i="3" s="1"/>
  <c r="AX200" i="3"/>
  <c r="BD71" i="3"/>
  <c r="BD200" i="3" s="1"/>
  <c r="AN71" i="3"/>
  <c r="AN200" i="3" s="1"/>
  <c r="AM200" i="3"/>
  <c r="BZ71" i="3"/>
  <c r="BZ200" i="3" s="1"/>
  <c r="M595" i="9"/>
  <c r="D595" i="9"/>
  <c r="AG496" i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3" i="9"/>
  <c r="D3" i="9"/>
  <c r="AG77" i="8" l="1"/>
  <c r="M594" i="9"/>
  <c r="D594" i="9"/>
  <c r="EF70" i="3"/>
  <c r="EB70" i="3"/>
  <c r="EB199" i="3" s="1"/>
  <c r="DY70" i="3"/>
  <c r="DW70" i="3"/>
  <c r="DW199" i="3" s="1"/>
  <c r="DQ70" i="3"/>
  <c r="DM70" i="3"/>
  <c r="DJ70" i="3"/>
  <c r="DJ199" i="3" s="1"/>
  <c r="DH70" i="3"/>
  <c r="DH199" i="3" s="1"/>
  <c r="CY70" i="3"/>
  <c r="CY199" i="3" s="1"/>
  <c r="DA70" i="3"/>
  <c r="DA199" i="3" s="1"/>
  <c r="DB70" i="3"/>
  <c r="DB199" i="3" s="1"/>
  <c r="DC70" i="3"/>
  <c r="DC199" i="3" s="1"/>
  <c r="CM70" i="3"/>
  <c r="CB70" i="3"/>
  <c r="BQ70" i="3"/>
  <c r="BF70" i="3"/>
  <c r="AU70" i="3"/>
  <c r="AJ70" i="3"/>
  <c r="AJ69" i="3"/>
  <c r="AJ198" i="3" s="1"/>
  <c r="AB70" i="3"/>
  <c r="U70" i="3"/>
  <c r="U199" i="3" s="1"/>
  <c r="V70" i="3"/>
  <c r="C70" i="3"/>
  <c r="B198" i="3"/>
  <c r="F198" i="3"/>
  <c r="I198" i="3"/>
  <c r="M198" i="3"/>
  <c r="N198" i="3"/>
  <c r="O198" i="3"/>
  <c r="P198" i="3"/>
  <c r="Q198" i="3"/>
  <c r="R198" i="3"/>
  <c r="S198" i="3"/>
  <c r="T198" i="3"/>
  <c r="Z198" i="3"/>
  <c r="AA198" i="3"/>
  <c r="AI198" i="3"/>
  <c r="AK198" i="3"/>
  <c r="AO198" i="3"/>
  <c r="AP198" i="3"/>
  <c r="AT198" i="3"/>
  <c r="AV198" i="3"/>
  <c r="AW198" i="3"/>
  <c r="AZ198" i="3"/>
  <c r="BA198" i="3"/>
  <c r="BE198" i="3"/>
  <c r="BG198" i="3"/>
  <c r="BH198" i="3"/>
  <c r="BK198" i="3"/>
  <c r="BL198" i="3"/>
  <c r="BP198" i="3"/>
  <c r="BR198" i="3"/>
  <c r="BS198" i="3"/>
  <c r="BV198" i="3"/>
  <c r="BW198" i="3"/>
  <c r="CA198" i="3"/>
  <c r="CC198" i="3"/>
  <c r="CD198" i="3"/>
  <c r="CG198" i="3"/>
  <c r="CH198" i="3"/>
  <c r="CL198" i="3"/>
  <c r="CN198" i="3"/>
  <c r="CR198" i="3"/>
  <c r="CS198" i="3"/>
  <c r="DE198" i="3"/>
  <c r="DF198" i="3"/>
  <c r="DG198" i="3"/>
  <c r="DI198" i="3"/>
  <c r="DK198" i="3"/>
  <c r="DL198" i="3"/>
  <c r="DN198" i="3"/>
  <c r="DO198" i="3"/>
  <c r="DP198" i="3"/>
  <c r="DT198" i="3"/>
  <c r="DU198" i="3"/>
  <c r="DV198" i="3"/>
  <c r="DX198" i="3"/>
  <c r="DZ198" i="3"/>
  <c r="EA198" i="3"/>
  <c r="EC198" i="3"/>
  <c r="ED198" i="3"/>
  <c r="EE198" i="3"/>
  <c r="EJ70" i="3" l="1"/>
  <c r="EO70" i="3" s="1"/>
  <c r="AB199" i="3"/>
  <c r="DM199" i="3"/>
  <c r="DY199" i="3"/>
  <c r="BB495" i="1"/>
  <c r="EF199" i="3"/>
  <c r="AG78" i="8"/>
  <c r="DQ199" i="3"/>
  <c r="J70" i="3"/>
  <c r="J199" i="3" s="1"/>
  <c r="D495" i="1"/>
  <c r="C495" i="1" s="1"/>
  <c r="CT70" i="3"/>
  <c r="CT199" i="3" s="1"/>
  <c r="CM199" i="3"/>
  <c r="CE70" i="3"/>
  <c r="CE199" i="3" s="1"/>
  <c r="CB199" i="3"/>
  <c r="BX70" i="3"/>
  <c r="BX199" i="3" s="1"/>
  <c r="BQ199" i="3"/>
  <c r="BI70" i="3"/>
  <c r="BI199" i="3" s="1"/>
  <c r="BF199" i="3"/>
  <c r="BB70" i="3"/>
  <c r="BB199" i="3" s="1"/>
  <c r="AU199" i="3"/>
  <c r="AQ70" i="3"/>
  <c r="AQ199" i="3" s="1"/>
  <c r="AJ199" i="3"/>
  <c r="T495" i="1"/>
  <c r="V199" i="3"/>
  <c r="D70" i="3"/>
  <c r="D199" i="3" s="1"/>
  <c r="K70" i="3"/>
  <c r="C199" i="3"/>
  <c r="W70" i="3"/>
  <c r="E70" i="3"/>
  <c r="BM70" i="3"/>
  <c r="BM199" i="3" s="1"/>
  <c r="EG70" i="3"/>
  <c r="EG199" i="3" s="1"/>
  <c r="AM70" i="3"/>
  <c r="CI70" i="3"/>
  <c r="CI199" i="3" s="1"/>
  <c r="DR70" i="3"/>
  <c r="DR199" i="3" s="1"/>
  <c r="CX70" i="3"/>
  <c r="CX199" i="3" s="1"/>
  <c r="BT70" i="3"/>
  <c r="AX70" i="3"/>
  <c r="CP70" i="3"/>
  <c r="CP199" i="3" s="1"/>
  <c r="AG79" i="8" l="1"/>
  <c r="E199" i="3"/>
  <c r="E595" i="9"/>
  <c r="E594" i="9"/>
  <c r="N595" i="9"/>
  <c r="N594" i="9"/>
  <c r="CF70" i="3"/>
  <c r="CF199" i="3" s="1"/>
  <c r="BY70" i="3"/>
  <c r="BY199" i="3" s="1"/>
  <c r="BU70" i="3"/>
  <c r="BU199" i="3" s="1"/>
  <c r="BT199" i="3"/>
  <c r="BJ70" i="3"/>
  <c r="BJ199" i="3" s="1"/>
  <c r="BO70" i="3"/>
  <c r="BO199" i="3" s="1"/>
  <c r="AY70" i="3"/>
  <c r="AY199" i="3" s="1"/>
  <c r="AX199" i="3"/>
  <c r="AS70" i="3"/>
  <c r="AS199" i="3" s="1"/>
  <c r="AN70" i="3"/>
  <c r="AN199" i="3" s="1"/>
  <c r="AM199" i="3"/>
  <c r="BC70" i="3"/>
  <c r="BC199" i="3" s="1"/>
  <c r="CU70" i="3"/>
  <c r="CU199" i="3" s="1"/>
  <c r="CJ70" i="3"/>
  <c r="CJ199" i="3" s="1"/>
  <c r="W199" i="3"/>
  <c r="P495" i="1"/>
  <c r="X70" i="3"/>
  <c r="X199" i="3" s="1"/>
  <c r="BN70" i="3"/>
  <c r="BN199" i="3" s="1"/>
  <c r="AR70" i="3"/>
  <c r="AR199" i="3" s="1"/>
  <c r="L70" i="3"/>
  <c r="L199" i="3" s="1"/>
  <c r="K199" i="3"/>
  <c r="K495" i="1"/>
  <c r="Y70" i="3"/>
  <c r="Y199" i="3" s="1"/>
  <c r="BD70" i="3"/>
  <c r="BD199" i="3" s="1"/>
  <c r="BZ70" i="3"/>
  <c r="BZ199" i="3" s="1"/>
  <c r="CK70" i="3"/>
  <c r="CK199" i="3" s="1"/>
  <c r="CQ70" i="3"/>
  <c r="CQ199" i="3" s="1"/>
  <c r="CV70" i="3"/>
  <c r="CV199" i="3" s="1"/>
  <c r="M593" i="9"/>
  <c r="D593" i="9"/>
  <c r="N596" i="9" l="1"/>
  <c r="AG80" i="8"/>
  <c r="E596" i="9"/>
  <c r="E454" i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AG81" i="8" l="1"/>
  <c r="AG127" i="8"/>
  <c r="E475" i="1"/>
  <c r="AE495" i="1"/>
  <c r="AF495" i="1" s="1"/>
  <c r="AH495" i="1"/>
  <c r="R494" i="1"/>
  <c r="S494" i="1"/>
  <c r="AG128" i="8" l="1"/>
  <c r="AG82" i="8"/>
  <c r="E476" i="1"/>
  <c r="D592" i="9"/>
  <c r="M592" i="9"/>
  <c r="N591" i="9"/>
  <c r="N590" i="9"/>
  <c r="AG495" i="1"/>
  <c r="N592" i="9" l="1"/>
  <c r="AG83" i="8"/>
  <c r="AG129" i="8"/>
  <c r="E477" i="1"/>
  <c r="EF69" i="3"/>
  <c r="EB69" i="3"/>
  <c r="EB198" i="3" s="1"/>
  <c r="DY69" i="3"/>
  <c r="DY198" i="3" s="1"/>
  <c r="DW69" i="3"/>
  <c r="DW198" i="3" s="1"/>
  <c r="DQ69" i="3"/>
  <c r="DM69" i="3"/>
  <c r="DJ69" i="3"/>
  <c r="DH69" i="3"/>
  <c r="DH198" i="3" s="1"/>
  <c r="CY69" i="3"/>
  <c r="CY198" i="3" s="1"/>
  <c r="DA69" i="3"/>
  <c r="DA198" i="3" s="1"/>
  <c r="DB69" i="3"/>
  <c r="DB198" i="3" s="1"/>
  <c r="DC69" i="3"/>
  <c r="DC198" i="3" s="1"/>
  <c r="CM69" i="3"/>
  <c r="CB69" i="3"/>
  <c r="BQ69" i="3"/>
  <c r="BF69" i="3"/>
  <c r="AU69" i="3"/>
  <c r="AB69" i="3"/>
  <c r="U69" i="3"/>
  <c r="U198" i="3" s="1"/>
  <c r="V69" i="3"/>
  <c r="C69" i="3"/>
  <c r="EJ69" i="3" l="1"/>
  <c r="EO69" i="3" s="1"/>
  <c r="AB198" i="3"/>
  <c r="DM198" i="3"/>
  <c r="AG130" i="8"/>
  <c r="AG84" i="8"/>
  <c r="EF198" i="3"/>
  <c r="BB494" i="1"/>
  <c r="E478" i="1"/>
  <c r="DQ198" i="3"/>
  <c r="J69" i="3"/>
  <c r="J198" i="3" s="1"/>
  <c r="D494" i="1"/>
  <c r="C494" i="1" s="1"/>
  <c r="E591" i="9"/>
  <c r="E590" i="9"/>
  <c r="DR69" i="3"/>
  <c r="DR198" i="3" s="1"/>
  <c r="DJ198" i="3"/>
  <c r="CP69" i="3"/>
  <c r="CP198" i="3" s="1"/>
  <c r="CM198" i="3"/>
  <c r="CI69" i="3"/>
  <c r="CI198" i="3" s="1"/>
  <c r="CB198" i="3"/>
  <c r="BX69" i="3"/>
  <c r="BX198" i="3" s="1"/>
  <c r="BQ198" i="3"/>
  <c r="BI69" i="3"/>
  <c r="BI198" i="3" s="1"/>
  <c r="BF198" i="3"/>
  <c r="AX69" i="3"/>
  <c r="AX198" i="3" s="1"/>
  <c r="AU198" i="3"/>
  <c r="T494" i="1"/>
  <c r="V198" i="3"/>
  <c r="K69" i="3"/>
  <c r="E69" i="3"/>
  <c r="D69" i="3"/>
  <c r="D198" i="3" s="1"/>
  <c r="C198" i="3"/>
  <c r="W69" i="3"/>
  <c r="BM69" i="3"/>
  <c r="EG69" i="3"/>
  <c r="EG198" i="3" s="1"/>
  <c r="CX69" i="3"/>
  <c r="CX198" i="3" s="1"/>
  <c r="CE69" i="3"/>
  <c r="AM69" i="3"/>
  <c r="AQ69" i="3"/>
  <c r="BB69" i="3"/>
  <c r="BB198" i="3" s="1"/>
  <c r="BT69" i="3"/>
  <c r="BT198" i="3" s="1"/>
  <c r="CT69" i="3"/>
  <c r="B197" i="3"/>
  <c r="F197" i="3"/>
  <c r="I197" i="3"/>
  <c r="M197" i="3"/>
  <c r="N197" i="3"/>
  <c r="O197" i="3"/>
  <c r="P197" i="3"/>
  <c r="Q197" i="3"/>
  <c r="R197" i="3"/>
  <c r="S197" i="3"/>
  <c r="T197" i="3"/>
  <c r="Z197" i="3"/>
  <c r="AA197" i="3"/>
  <c r="AI197" i="3"/>
  <c r="AK197" i="3"/>
  <c r="AL197" i="3"/>
  <c r="AO197" i="3"/>
  <c r="AP197" i="3"/>
  <c r="AT197" i="3"/>
  <c r="AV197" i="3"/>
  <c r="AW197" i="3"/>
  <c r="AZ197" i="3"/>
  <c r="BA197" i="3"/>
  <c r="BE197" i="3"/>
  <c r="BG197" i="3"/>
  <c r="BH197" i="3"/>
  <c r="BK197" i="3"/>
  <c r="BL197" i="3"/>
  <c r="BP197" i="3"/>
  <c r="BR197" i="3"/>
  <c r="BS197" i="3"/>
  <c r="BV197" i="3"/>
  <c r="BW197" i="3"/>
  <c r="CA197" i="3"/>
  <c r="CC197" i="3"/>
  <c r="CD197" i="3"/>
  <c r="CG197" i="3"/>
  <c r="CH197" i="3"/>
  <c r="CL197" i="3"/>
  <c r="CN197" i="3"/>
  <c r="CO197" i="3"/>
  <c r="CR197" i="3"/>
  <c r="CS197" i="3"/>
  <c r="DE197" i="3"/>
  <c r="DF197" i="3"/>
  <c r="DG197" i="3"/>
  <c r="DI197" i="3"/>
  <c r="DK197" i="3"/>
  <c r="DL197" i="3"/>
  <c r="DN197" i="3"/>
  <c r="DO197" i="3"/>
  <c r="DP197" i="3"/>
  <c r="DT197" i="3"/>
  <c r="DU197" i="3"/>
  <c r="DV197" i="3"/>
  <c r="DX197" i="3"/>
  <c r="DZ197" i="3"/>
  <c r="EA197" i="3"/>
  <c r="EC197" i="3"/>
  <c r="ED197" i="3"/>
  <c r="EE197" i="3"/>
  <c r="AG88" i="8" l="1"/>
  <c r="AG90" i="8" s="1"/>
  <c r="AG131" i="8"/>
  <c r="E198" i="3"/>
  <c r="E479" i="1"/>
  <c r="B479" i="1" s="1"/>
  <c r="BY69" i="3"/>
  <c r="BY198" i="3" s="1"/>
  <c r="E592" i="9"/>
  <c r="BJ69" i="3"/>
  <c r="BJ198" i="3" s="1"/>
  <c r="CQ69" i="3"/>
  <c r="CQ198" i="3" s="1"/>
  <c r="CU69" i="3"/>
  <c r="CU198" i="3" s="1"/>
  <c r="CT198" i="3"/>
  <c r="CJ69" i="3"/>
  <c r="CJ198" i="3" s="1"/>
  <c r="CF69" i="3"/>
  <c r="CF198" i="3" s="1"/>
  <c r="CE198" i="3"/>
  <c r="CK69" i="3"/>
  <c r="CK198" i="3" s="1"/>
  <c r="BN69" i="3"/>
  <c r="BN198" i="3" s="1"/>
  <c r="BM198" i="3"/>
  <c r="AY69" i="3"/>
  <c r="AY198" i="3" s="1"/>
  <c r="AS69" i="3"/>
  <c r="AS198" i="3" s="1"/>
  <c r="AR69" i="3"/>
  <c r="AR198" i="3" s="1"/>
  <c r="AQ198" i="3"/>
  <c r="AN69" i="3"/>
  <c r="AN198" i="3" s="1"/>
  <c r="AM198" i="3"/>
  <c r="BC69" i="3"/>
  <c r="BC198" i="3" s="1"/>
  <c r="L69" i="3"/>
  <c r="L198" i="3" s="1"/>
  <c r="K198" i="3"/>
  <c r="K494" i="1"/>
  <c r="Y69" i="3"/>
  <c r="Y198" i="3" s="1"/>
  <c r="X69" i="3"/>
  <c r="X198" i="3" s="1"/>
  <c r="W198" i="3"/>
  <c r="P494" i="1"/>
  <c r="BO69" i="3"/>
  <c r="BO198" i="3" s="1"/>
  <c r="BD69" i="3"/>
  <c r="BD198" i="3" s="1"/>
  <c r="BU69" i="3"/>
  <c r="BU198" i="3" s="1"/>
  <c r="BZ69" i="3"/>
  <c r="BZ198" i="3" s="1"/>
  <c r="CV69" i="3"/>
  <c r="CV198" i="3" s="1"/>
  <c r="AG135" i="8" l="1"/>
  <c r="BK479" i="1"/>
  <c r="EK54" i="3"/>
  <c r="EL54" i="3" s="1"/>
  <c r="AG93" i="8"/>
  <c r="AG137" i="8"/>
  <c r="E480" i="1"/>
  <c r="AH493" i="1"/>
  <c r="AH494" i="1"/>
  <c r="AE494" i="1"/>
  <c r="AG494" i="1" s="1"/>
  <c r="S493" i="1"/>
  <c r="R493" i="1"/>
  <c r="AG140" i="8" l="1"/>
  <c r="AG98" i="8"/>
  <c r="E481" i="1"/>
  <c r="AF494" i="1"/>
  <c r="Z65" i="11"/>
  <c r="EF68" i="3"/>
  <c r="AG99" i="8" l="1"/>
  <c r="AG145" i="8"/>
  <c r="EF197" i="3"/>
  <c r="E482" i="1"/>
  <c r="Z66" i="11"/>
  <c r="EB68" i="3"/>
  <c r="EB197" i="3" s="1"/>
  <c r="DY68" i="3"/>
  <c r="DY197" i="3" s="1"/>
  <c r="DW68" i="3"/>
  <c r="DW197" i="3" s="1"/>
  <c r="DQ68" i="3"/>
  <c r="DM68" i="3"/>
  <c r="DJ68" i="3"/>
  <c r="DH68" i="3"/>
  <c r="DH197" i="3" s="1"/>
  <c r="CY68" i="3"/>
  <c r="CY197" i="3" s="1"/>
  <c r="CZ68" i="3"/>
  <c r="CZ197" i="3" s="1"/>
  <c r="DA68" i="3"/>
  <c r="DA197" i="3" s="1"/>
  <c r="DB68" i="3"/>
  <c r="DB197" i="3" s="1"/>
  <c r="DC68" i="3"/>
  <c r="DC197" i="3" s="1"/>
  <c r="CM68" i="3"/>
  <c r="CB68" i="3"/>
  <c r="CI68" i="3" s="1"/>
  <c r="CI197" i="3" s="1"/>
  <c r="BQ68" i="3"/>
  <c r="BF68" i="3"/>
  <c r="AU68" i="3"/>
  <c r="AJ68" i="3"/>
  <c r="AB68" i="3"/>
  <c r="U68" i="3"/>
  <c r="U197" i="3" s="1"/>
  <c r="V68" i="3"/>
  <c r="C68" i="3"/>
  <c r="B196" i="3"/>
  <c r="B195" i="3"/>
  <c r="F195" i="3"/>
  <c r="I195" i="3"/>
  <c r="M195" i="3"/>
  <c r="N195" i="3"/>
  <c r="O195" i="3"/>
  <c r="P195" i="3"/>
  <c r="Q195" i="3"/>
  <c r="R195" i="3"/>
  <c r="S195" i="3"/>
  <c r="T195" i="3"/>
  <c r="Z195" i="3"/>
  <c r="AA195" i="3"/>
  <c r="AI195" i="3"/>
  <c r="AK195" i="3"/>
  <c r="AL195" i="3"/>
  <c r="AO195" i="3"/>
  <c r="AP195" i="3"/>
  <c r="AT195" i="3"/>
  <c r="AV195" i="3"/>
  <c r="AW195" i="3"/>
  <c r="AZ195" i="3"/>
  <c r="BA195" i="3"/>
  <c r="BE195" i="3"/>
  <c r="BG195" i="3"/>
  <c r="BH195" i="3"/>
  <c r="BK195" i="3"/>
  <c r="BL195" i="3"/>
  <c r="BP195" i="3"/>
  <c r="BR195" i="3"/>
  <c r="BS195" i="3"/>
  <c r="BV195" i="3"/>
  <c r="BW195" i="3"/>
  <c r="CA195" i="3"/>
  <c r="CC195" i="3"/>
  <c r="CG195" i="3"/>
  <c r="CH195" i="3"/>
  <c r="CL195" i="3"/>
  <c r="CN195" i="3"/>
  <c r="CR195" i="3"/>
  <c r="CS195" i="3"/>
  <c r="DE195" i="3"/>
  <c r="DF195" i="3"/>
  <c r="DI195" i="3"/>
  <c r="DK195" i="3"/>
  <c r="DL195" i="3"/>
  <c r="DN195" i="3"/>
  <c r="DO195" i="3"/>
  <c r="DP195" i="3"/>
  <c r="DT195" i="3"/>
  <c r="DU195" i="3"/>
  <c r="DV195" i="3"/>
  <c r="DX195" i="3"/>
  <c r="DZ195" i="3"/>
  <c r="EA195" i="3"/>
  <c r="EC195" i="3"/>
  <c r="ED195" i="3"/>
  <c r="EE195" i="3"/>
  <c r="F196" i="3"/>
  <c r="I196" i="3"/>
  <c r="M196" i="3"/>
  <c r="N196" i="3"/>
  <c r="O196" i="3"/>
  <c r="P196" i="3"/>
  <c r="Q196" i="3"/>
  <c r="R196" i="3"/>
  <c r="S196" i="3"/>
  <c r="T196" i="3"/>
  <c r="Z196" i="3"/>
  <c r="AA196" i="3"/>
  <c r="AI196" i="3"/>
  <c r="AK196" i="3"/>
  <c r="AL196" i="3"/>
  <c r="AO196" i="3"/>
  <c r="AP196" i="3"/>
  <c r="AT196" i="3"/>
  <c r="AV196" i="3"/>
  <c r="AW196" i="3"/>
  <c r="AZ196" i="3"/>
  <c r="BA196" i="3"/>
  <c r="BE196" i="3"/>
  <c r="BG196" i="3"/>
  <c r="BH196" i="3"/>
  <c r="BK196" i="3"/>
  <c r="BL196" i="3"/>
  <c r="BP196" i="3"/>
  <c r="BR196" i="3"/>
  <c r="BS196" i="3"/>
  <c r="BV196" i="3"/>
  <c r="BW196" i="3"/>
  <c r="CA196" i="3"/>
  <c r="CC196" i="3"/>
  <c r="CD196" i="3"/>
  <c r="CG196" i="3"/>
  <c r="CH196" i="3"/>
  <c r="CL196" i="3"/>
  <c r="CN196" i="3"/>
  <c r="CO196" i="3"/>
  <c r="CR196" i="3"/>
  <c r="CS196" i="3"/>
  <c r="DE196" i="3"/>
  <c r="DF196" i="3"/>
  <c r="DG196" i="3"/>
  <c r="DI196" i="3"/>
  <c r="DK196" i="3"/>
  <c r="DL196" i="3"/>
  <c r="DN196" i="3"/>
  <c r="DO196" i="3"/>
  <c r="DP196" i="3"/>
  <c r="DT196" i="3"/>
  <c r="DU196" i="3"/>
  <c r="DV196" i="3"/>
  <c r="DX196" i="3"/>
  <c r="DZ196" i="3"/>
  <c r="EA196" i="3"/>
  <c r="EC196" i="3"/>
  <c r="ED196" i="3"/>
  <c r="EE196" i="3"/>
  <c r="EJ68" i="3" l="1"/>
  <c r="EO68" i="3" s="1"/>
  <c r="AB197" i="3"/>
  <c r="DM197" i="3"/>
  <c r="AG100" i="8"/>
  <c r="AG146" i="8"/>
  <c r="BB493" i="1"/>
  <c r="Z67" i="11"/>
  <c r="E483" i="1"/>
  <c r="D493" i="1"/>
  <c r="C493" i="1" s="1"/>
  <c r="DQ197" i="3"/>
  <c r="DR68" i="3"/>
  <c r="DR197" i="3" s="1"/>
  <c r="DJ197" i="3"/>
  <c r="CP68" i="3"/>
  <c r="CP197" i="3" s="1"/>
  <c r="CM197" i="3"/>
  <c r="CE68" i="3"/>
  <c r="CE197" i="3" s="1"/>
  <c r="CB197" i="3"/>
  <c r="BX68" i="3"/>
  <c r="BX197" i="3" s="1"/>
  <c r="BQ197" i="3"/>
  <c r="BM68" i="3"/>
  <c r="BM197" i="3" s="1"/>
  <c r="BF197" i="3"/>
  <c r="BB68" i="3"/>
  <c r="BB197" i="3" s="1"/>
  <c r="AU197" i="3"/>
  <c r="AQ68" i="3"/>
  <c r="AQ197" i="3" s="1"/>
  <c r="AJ197" i="3"/>
  <c r="T493" i="1"/>
  <c r="V197" i="3"/>
  <c r="D68" i="3"/>
  <c r="D197" i="3" s="1"/>
  <c r="C197" i="3"/>
  <c r="E68" i="3"/>
  <c r="J68" i="3"/>
  <c r="J197" i="3" s="1"/>
  <c r="K68" i="3"/>
  <c r="W68" i="3"/>
  <c r="BI68" i="3"/>
  <c r="BI197" i="3" s="1"/>
  <c r="AM68" i="3"/>
  <c r="CX68" i="3"/>
  <c r="CX197" i="3" s="1"/>
  <c r="EG68" i="3"/>
  <c r="EG197" i="3" s="1"/>
  <c r="CT68" i="3"/>
  <c r="CT197" i="3" s="1"/>
  <c r="BT68" i="3"/>
  <c r="BT197" i="3" s="1"/>
  <c r="AX68" i="3"/>
  <c r="AX197" i="3" s="1"/>
  <c r="N556" i="9"/>
  <c r="N555" i="9"/>
  <c r="N560" i="9"/>
  <c r="N559" i="9"/>
  <c r="N564" i="9"/>
  <c r="N563" i="9"/>
  <c r="N569" i="9"/>
  <c r="N568" i="9"/>
  <c r="N578" i="9"/>
  <c r="N577" i="9"/>
  <c r="N570" i="9" l="1"/>
  <c r="N565" i="9"/>
  <c r="AG101" i="8"/>
  <c r="AG147" i="8"/>
  <c r="N561" i="9"/>
  <c r="N557" i="9"/>
  <c r="N579" i="9"/>
  <c r="E197" i="3"/>
  <c r="Z72" i="11"/>
  <c r="E484" i="1"/>
  <c r="CJ68" i="3"/>
  <c r="CJ197" i="3" s="1"/>
  <c r="BO68" i="3"/>
  <c r="BO197" i="3" s="1"/>
  <c r="CF68" i="3"/>
  <c r="CF197" i="3" s="1"/>
  <c r="CK68" i="3"/>
  <c r="CK197" i="3" s="1"/>
  <c r="AN68" i="3"/>
  <c r="AN197" i="3" s="1"/>
  <c r="AM197" i="3"/>
  <c r="AR68" i="3"/>
  <c r="AR197" i="3" s="1"/>
  <c r="CU68" i="3"/>
  <c r="CU197" i="3" s="1"/>
  <c r="AY68" i="3"/>
  <c r="AY197" i="3" s="1"/>
  <c r="BJ68" i="3"/>
  <c r="BJ197" i="3" s="1"/>
  <c r="CQ68" i="3"/>
  <c r="CQ197" i="3" s="1"/>
  <c r="X68" i="3"/>
  <c r="X197" i="3" s="1"/>
  <c r="W197" i="3"/>
  <c r="P493" i="1"/>
  <c r="BC68" i="3"/>
  <c r="BC197" i="3" s="1"/>
  <c r="L68" i="3"/>
  <c r="L197" i="3" s="1"/>
  <c r="K197" i="3"/>
  <c r="K493" i="1"/>
  <c r="Y68" i="3"/>
  <c r="Y197" i="3" s="1"/>
  <c r="BY68" i="3"/>
  <c r="BY197" i="3" s="1"/>
  <c r="BN68" i="3"/>
  <c r="BN197" i="3" s="1"/>
  <c r="BU68" i="3"/>
  <c r="BU197" i="3" s="1"/>
  <c r="BZ68" i="3"/>
  <c r="BZ197" i="3" s="1"/>
  <c r="BD68" i="3"/>
  <c r="BD197" i="3" s="1"/>
  <c r="CV68" i="3"/>
  <c r="CV197" i="3" s="1"/>
  <c r="AS68" i="3"/>
  <c r="AS197" i="3" s="1"/>
  <c r="E572" i="9"/>
  <c r="AG104" i="8" l="1"/>
  <c r="AG148" i="8"/>
  <c r="Z73" i="11"/>
  <c r="E485" i="1"/>
  <c r="N586" i="9"/>
  <c r="N585" i="9"/>
  <c r="E586" i="9"/>
  <c r="N582" i="9"/>
  <c r="N581" i="9"/>
  <c r="AG151" i="8" l="1"/>
  <c r="N587" i="9"/>
  <c r="AG105" i="8"/>
  <c r="N583" i="9"/>
  <c r="Z75" i="11"/>
  <c r="E486" i="1"/>
  <c r="E585" i="9"/>
  <c r="E587" i="9" s="1"/>
  <c r="E581" i="9"/>
  <c r="E582" i="9"/>
  <c r="AG112" i="8" l="1"/>
  <c r="AG113" i="8" s="1"/>
  <c r="Z76" i="11"/>
  <c r="E487" i="1"/>
  <c r="E583" i="9"/>
  <c r="AH492" i="1"/>
  <c r="AE493" i="1"/>
  <c r="AG493" i="1" s="1"/>
  <c r="S492" i="1"/>
  <c r="R492" i="1"/>
  <c r="AG159" i="8" l="1"/>
  <c r="AG160" i="8"/>
  <c r="AG114" i="8"/>
  <c r="Z77" i="11"/>
  <c r="E488" i="1"/>
  <c r="AF493" i="1"/>
  <c r="DG66" i="3"/>
  <c r="AG161" i="8" l="1"/>
  <c r="Z78" i="11"/>
  <c r="DG84" i="3"/>
  <c r="E489" i="1"/>
  <c r="DG195" i="3"/>
  <c r="EF67" i="3"/>
  <c r="EF66" i="3"/>
  <c r="EF65" i="3"/>
  <c r="EF64" i="3"/>
  <c r="EF63" i="3"/>
  <c r="EF62" i="3"/>
  <c r="EF53" i="3"/>
  <c r="EF54" i="3"/>
  <c r="EB67" i="3"/>
  <c r="EB196" i="3" s="1"/>
  <c r="DY67" i="3"/>
  <c r="DW67" i="3"/>
  <c r="DQ67" i="3"/>
  <c r="DM67" i="3"/>
  <c r="DJ67" i="3"/>
  <c r="DJ196" i="3" s="1"/>
  <c r="DH67" i="3"/>
  <c r="DH196" i="3" s="1"/>
  <c r="CY67" i="3"/>
  <c r="CY196" i="3" s="1"/>
  <c r="CZ67" i="3"/>
  <c r="CZ196" i="3" s="1"/>
  <c r="DA67" i="3"/>
  <c r="DA196" i="3" s="1"/>
  <c r="DB67" i="3"/>
  <c r="DB196" i="3" s="1"/>
  <c r="DC67" i="3"/>
  <c r="DC196" i="3" s="1"/>
  <c r="CM67" i="3"/>
  <c r="CB67" i="3"/>
  <c r="BQ67" i="3"/>
  <c r="BF67" i="3"/>
  <c r="AU67" i="3"/>
  <c r="AU196" i="3" s="1"/>
  <c r="AJ67" i="3"/>
  <c r="AB67" i="3"/>
  <c r="U67" i="3"/>
  <c r="U196" i="3" s="1"/>
  <c r="V67" i="3"/>
  <c r="C67" i="3"/>
  <c r="EJ67" i="3" l="1"/>
  <c r="EO67" i="3" s="1"/>
  <c r="AB196" i="3"/>
  <c r="DM196" i="3"/>
  <c r="DG98" i="3"/>
  <c r="EF195" i="3"/>
  <c r="BB492" i="1"/>
  <c r="EF196" i="3"/>
  <c r="DG213" i="3"/>
  <c r="Z79" i="11"/>
  <c r="E490" i="1"/>
  <c r="DQ196" i="3"/>
  <c r="DG201" i="3"/>
  <c r="W67" i="3"/>
  <c r="D492" i="1"/>
  <c r="C492" i="1" s="1"/>
  <c r="K67" i="3"/>
  <c r="L67" i="3" s="1"/>
  <c r="L196" i="3" s="1"/>
  <c r="J67" i="3"/>
  <c r="J196" i="3" s="1"/>
  <c r="DY196" i="3"/>
  <c r="EG67" i="3"/>
  <c r="EG196" i="3" s="1"/>
  <c r="DW196" i="3"/>
  <c r="CT67" i="3"/>
  <c r="CT196" i="3" s="1"/>
  <c r="CM196" i="3"/>
  <c r="CE67" i="3"/>
  <c r="CE196" i="3" s="1"/>
  <c r="CB196" i="3"/>
  <c r="CI67" i="3"/>
  <c r="CI196" i="3" s="1"/>
  <c r="BX67" i="3"/>
  <c r="BX196" i="3" s="1"/>
  <c r="BQ196" i="3"/>
  <c r="BM67" i="3"/>
  <c r="BM196" i="3" s="1"/>
  <c r="BF196" i="3"/>
  <c r="AQ67" i="3"/>
  <c r="AQ196" i="3" s="1"/>
  <c r="AJ196" i="3"/>
  <c r="AM67" i="3"/>
  <c r="AM196" i="3" s="1"/>
  <c r="T492" i="1"/>
  <c r="V196" i="3"/>
  <c r="CX67" i="3"/>
  <c r="CX196" i="3" s="1"/>
  <c r="D67" i="3"/>
  <c r="D196" i="3" s="1"/>
  <c r="C196" i="3"/>
  <c r="DR67" i="3"/>
  <c r="DR196" i="3" s="1"/>
  <c r="AX67" i="3"/>
  <c r="BT67" i="3"/>
  <c r="BT196" i="3" s="1"/>
  <c r="CP67" i="3"/>
  <c r="CP196" i="3" s="1"/>
  <c r="BB67" i="3"/>
  <c r="BB196" i="3" s="1"/>
  <c r="BI67" i="3"/>
  <c r="E67" i="3"/>
  <c r="BF492" i="1"/>
  <c r="BG492" i="1" s="1"/>
  <c r="AE492" i="1"/>
  <c r="AG492" i="1" s="1"/>
  <c r="S491" i="1"/>
  <c r="R491" i="1"/>
  <c r="DG99" i="3" l="1"/>
  <c r="Z80" i="11"/>
  <c r="DG227" i="3"/>
  <c r="E196" i="3"/>
  <c r="E491" i="1"/>
  <c r="K492" i="1"/>
  <c r="P492" i="1"/>
  <c r="AN67" i="3"/>
  <c r="AN196" i="3" s="1"/>
  <c r="W196" i="3"/>
  <c r="X67" i="3"/>
  <c r="X196" i="3" s="1"/>
  <c r="Y67" i="3"/>
  <c r="Y196" i="3" s="1"/>
  <c r="K196" i="3"/>
  <c r="BN67" i="3"/>
  <c r="BN196" i="3" s="1"/>
  <c r="CJ67" i="3"/>
  <c r="CJ196" i="3" s="1"/>
  <c r="CF67" i="3"/>
  <c r="CF196" i="3" s="1"/>
  <c r="CU67" i="3"/>
  <c r="CU196" i="3" s="1"/>
  <c r="CK67" i="3"/>
  <c r="CK196" i="3" s="1"/>
  <c r="BY67" i="3"/>
  <c r="BY196" i="3" s="1"/>
  <c r="BJ67" i="3"/>
  <c r="BJ196" i="3" s="1"/>
  <c r="BI196" i="3"/>
  <c r="AY67" i="3"/>
  <c r="AY196" i="3" s="1"/>
  <c r="AX196" i="3"/>
  <c r="AS67" i="3"/>
  <c r="AS196" i="3" s="1"/>
  <c r="AR67" i="3"/>
  <c r="AR196" i="3" s="1"/>
  <c r="BO67" i="3"/>
  <c r="BO196" i="3" s="1"/>
  <c r="CQ67" i="3"/>
  <c r="CQ196" i="3" s="1"/>
  <c r="CV67" i="3"/>
  <c r="CV196" i="3" s="1"/>
  <c r="BD67" i="3"/>
  <c r="BD196" i="3" s="1"/>
  <c r="BC67" i="3"/>
  <c r="BC196" i="3" s="1"/>
  <c r="BU67" i="3"/>
  <c r="BU196" i="3" s="1"/>
  <c r="BZ67" i="3"/>
  <c r="BZ196" i="3" s="1"/>
  <c r="AF492" i="1"/>
  <c r="DG100" i="3" l="1"/>
  <c r="DG228" i="3"/>
  <c r="Z129" i="11"/>
  <c r="Z81" i="11"/>
  <c r="E492" i="1"/>
  <c r="B492" i="1" s="1"/>
  <c r="E577" i="9"/>
  <c r="E578" i="9"/>
  <c r="EB66" i="3"/>
  <c r="EB195" i="3" s="1"/>
  <c r="DY66" i="3"/>
  <c r="DW66" i="3"/>
  <c r="DW195" i="3" s="1"/>
  <c r="DQ66" i="3"/>
  <c r="DM66" i="3"/>
  <c r="DJ66" i="3"/>
  <c r="DJ195" i="3" s="1"/>
  <c r="DH66" i="3"/>
  <c r="DH195" i="3" s="1"/>
  <c r="CY66" i="3"/>
  <c r="CY195" i="3" s="1"/>
  <c r="DA66" i="3"/>
  <c r="DA195" i="3" s="1"/>
  <c r="DB66" i="3"/>
  <c r="DB195" i="3" s="1"/>
  <c r="DC66" i="3"/>
  <c r="DC195" i="3" s="1"/>
  <c r="CM66" i="3"/>
  <c r="CB66" i="3"/>
  <c r="BQ66" i="3"/>
  <c r="BF66" i="3"/>
  <c r="AU66" i="3"/>
  <c r="AJ66" i="3"/>
  <c r="AB66" i="3"/>
  <c r="U66" i="3"/>
  <c r="U195" i="3" s="1"/>
  <c r="V66" i="3"/>
  <c r="C66" i="3"/>
  <c r="EJ66" i="3" l="1"/>
  <c r="EO66" i="3" s="1"/>
  <c r="DM195" i="3"/>
  <c r="AB195" i="3"/>
  <c r="BK492" i="1"/>
  <c r="EK67" i="3"/>
  <c r="EL67" i="3" s="1"/>
  <c r="Z82" i="11"/>
  <c r="DG229" i="3"/>
  <c r="DG101" i="3"/>
  <c r="BB491" i="1"/>
  <c r="DY195" i="3"/>
  <c r="Z130" i="11"/>
  <c r="E493" i="1"/>
  <c r="B493" i="1" s="1"/>
  <c r="E579" i="9"/>
  <c r="J66" i="3"/>
  <c r="J195" i="3" s="1"/>
  <c r="W66" i="3"/>
  <c r="DQ195" i="3"/>
  <c r="D66" i="3"/>
  <c r="D195" i="3" s="1"/>
  <c r="D491" i="1"/>
  <c r="C491" i="1" s="1"/>
  <c r="C195" i="3"/>
  <c r="E66" i="3"/>
  <c r="K66" i="3"/>
  <c r="L66" i="3" s="1"/>
  <c r="L195" i="3" s="1"/>
  <c r="CI66" i="3"/>
  <c r="CI195" i="3" s="1"/>
  <c r="CB195" i="3"/>
  <c r="CT66" i="3"/>
  <c r="CM195" i="3"/>
  <c r="AQ66" i="3"/>
  <c r="AQ195" i="3" s="1"/>
  <c r="AJ195" i="3"/>
  <c r="BB66" i="3"/>
  <c r="AU195" i="3"/>
  <c r="BM66" i="3"/>
  <c r="BM195" i="3" s="1"/>
  <c r="BF195" i="3"/>
  <c r="BX66" i="3"/>
  <c r="BX195" i="3" s="1"/>
  <c r="BQ195" i="3"/>
  <c r="T491" i="1"/>
  <c r="V195" i="3"/>
  <c r="DR66" i="3"/>
  <c r="DR195" i="3" s="1"/>
  <c r="BI66" i="3"/>
  <c r="BI195" i="3" s="1"/>
  <c r="EG66" i="3"/>
  <c r="EG195" i="3" s="1"/>
  <c r="CE66" i="3"/>
  <c r="CX66" i="3"/>
  <c r="CX195" i="3" s="1"/>
  <c r="BT66" i="3"/>
  <c r="CP66" i="3"/>
  <c r="AM66" i="3"/>
  <c r="AX66" i="3"/>
  <c r="E573" i="9"/>
  <c r="E574" i="9" s="1"/>
  <c r="BK493" i="1" l="1"/>
  <c r="EK68" i="3"/>
  <c r="EL68" i="3" s="1"/>
  <c r="Z83" i="11"/>
  <c r="DG102" i="3"/>
  <c r="DG106" i="3" s="1"/>
  <c r="DG107" i="3" s="1"/>
  <c r="DG108" i="3" s="1"/>
  <c r="DG230" i="3"/>
  <c r="Z131" i="11"/>
  <c r="E195" i="3"/>
  <c r="B491" i="1"/>
  <c r="E494" i="1"/>
  <c r="B494" i="1" s="1"/>
  <c r="P491" i="1"/>
  <c r="X66" i="3"/>
  <c r="X195" i="3" s="1"/>
  <c r="W195" i="3"/>
  <c r="Y66" i="3"/>
  <c r="Y195" i="3" s="1"/>
  <c r="K195" i="3"/>
  <c r="K491" i="1"/>
  <c r="BY66" i="3"/>
  <c r="BY195" i="3" s="1"/>
  <c r="CJ66" i="3"/>
  <c r="CJ195" i="3" s="1"/>
  <c r="BN66" i="3"/>
  <c r="BN195" i="3" s="1"/>
  <c r="CK66" i="3"/>
  <c r="CK195" i="3" s="1"/>
  <c r="BU66" i="3"/>
  <c r="BU195" i="3" s="1"/>
  <c r="BT195" i="3"/>
  <c r="BC66" i="3"/>
  <c r="BC195" i="3" s="1"/>
  <c r="BB195" i="3"/>
  <c r="CQ66" i="3"/>
  <c r="CQ195" i="3" s="1"/>
  <c r="CP195" i="3"/>
  <c r="BJ66" i="3"/>
  <c r="BJ195" i="3" s="1"/>
  <c r="CU66" i="3"/>
  <c r="CU195" i="3" s="1"/>
  <c r="CT195" i="3"/>
  <c r="AR66" i="3"/>
  <c r="AR195" i="3" s="1"/>
  <c r="BO66" i="3"/>
  <c r="BO195" i="3" s="1"/>
  <c r="CF66" i="3"/>
  <c r="CF195" i="3" s="1"/>
  <c r="CE195" i="3"/>
  <c r="AY66" i="3"/>
  <c r="AY195" i="3" s="1"/>
  <c r="AX195" i="3"/>
  <c r="AN66" i="3"/>
  <c r="AN195" i="3" s="1"/>
  <c r="AM195" i="3"/>
  <c r="AS66" i="3"/>
  <c r="AS195" i="3" s="1"/>
  <c r="BD66" i="3"/>
  <c r="BD195" i="3" s="1"/>
  <c r="BZ66" i="3"/>
  <c r="BZ195" i="3" s="1"/>
  <c r="CV66" i="3"/>
  <c r="CV195" i="3" s="1"/>
  <c r="B194" i="3"/>
  <c r="F194" i="3"/>
  <c r="I194" i="3"/>
  <c r="M194" i="3"/>
  <c r="N194" i="3"/>
  <c r="O194" i="3"/>
  <c r="P194" i="3"/>
  <c r="Q194" i="3"/>
  <c r="R194" i="3"/>
  <c r="S194" i="3"/>
  <c r="T194" i="3"/>
  <c r="Z194" i="3"/>
  <c r="AA194" i="3"/>
  <c r="AI194" i="3"/>
  <c r="AK194" i="3"/>
  <c r="AO194" i="3"/>
  <c r="AP194" i="3"/>
  <c r="AT194" i="3"/>
  <c r="AV194" i="3"/>
  <c r="AW194" i="3"/>
  <c r="AZ194" i="3"/>
  <c r="BA194" i="3"/>
  <c r="BE194" i="3"/>
  <c r="BG194" i="3"/>
  <c r="BH194" i="3"/>
  <c r="BK194" i="3"/>
  <c r="BL194" i="3"/>
  <c r="BP194" i="3"/>
  <c r="BR194" i="3"/>
  <c r="BS194" i="3"/>
  <c r="BV194" i="3"/>
  <c r="BW194" i="3"/>
  <c r="CA194" i="3"/>
  <c r="CC194" i="3"/>
  <c r="CG194" i="3"/>
  <c r="CH194" i="3"/>
  <c r="CL194" i="3"/>
  <c r="CN194" i="3"/>
  <c r="CO194" i="3"/>
  <c r="CR194" i="3"/>
  <c r="CS194" i="3"/>
  <c r="DE194" i="3"/>
  <c r="DF194" i="3"/>
  <c r="DG194" i="3"/>
  <c r="DI194" i="3"/>
  <c r="DK194" i="3"/>
  <c r="DL194" i="3"/>
  <c r="DN194" i="3"/>
  <c r="DO194" i="3"/>
  <c r="DP194" i="3"/>
  <c r="DT194" i="3"/>
  <c r="DU194" i="3"/>
  <c r="DV194" i="3"/>
  <c r="DX194" i="3"/>
  <c r="DZ194" i="3"/>
  <c r="EA194" i="3"/>
  <c r="EC194" i="3"/>
  <c r="ED194" i="3"/>
  <c r="EE194" i="3"/>
  <c r="EF194" i="3"/>
  <c r="DG109" i="3" l="1"/>
  <c r="DG110" i="3" s="1"/>
  <c r="BK491" i="1"/>
  <c r="EK66" i="3"/>
  <c r="EL66" i="3" s="1"/>
  <c r="BK494" i="1"/>
  <c r="EK69" i="3"/>
  <c r="EL69" i="3" s="1"/>
  <c r="Z84" i="11"/>
  <c r="DG231" i="3"/>
  <c r="Z132" i="11"/>
  <c r="E495" i="1"/>
  <c r="B495" i="1" s="1"/>
  <c r="BF26" i="1"/>
  <c r="BG26" i="1" s="1"/>
  <c r="BF27" i="1"/>
  <c r="BG27" i="1" s="1"/>
  <c r="BF28" i="1"/>
  <c r="BG28" i="1" s="1"/>
  <c r="BF29" i="1"/>
  <c r="BG29" i="1" s="1"/>
  <c r="BF30" i="1"/>
  <c r="BG30" i="1" s="1"/>
  <c r="BF31" i="1"/>
  <c r="BG31" i="1" s="1"/>
  <c r="BF32" i="1"/>
  <c r="BG32" i="1" s="1"/>
  <c r="BF33" i="1"/>
  <c r="BG33" i="1" s="1"/>
  <c r="BF34" i="1"/>
  <c r="BG34" i="1" s="1"/>
  <c r="BF35" i="1"/>
  <c r="BG35" i="1" s="1"/>
  <c r="BF36" i="1"/>
  <c r="BG36" i="1" s="1"/>
  <c r="BF37" i="1"/>
  <c r="BG37" i="1" s="1"/>
  <c r="BF38" i="1"/>
  <c r="BG38" i="1" s="1"/>
  <c r="BF39" i="1"/>
  <c r="BG39" i="1" s="1"/>
  <c r="BF40" i="1"/>
  <c r="BG40" i="1" s="1"/>
  <c r="BF41" i="1"/>
  <c r="BG41" i="1" s="1"/>
  <c r="BF42" i="1"/>
  <c r="BG42" i="1" s="1"/>
  <c r="BF43" i="1"/>
  <c r="BG43" i="1" s="1"/>
  <c r="BF44" i="1"/>
  <c r="BG44" i="1" s="1"/>
  <c r="BF45" i="1"/>
  <c r="BG45" i="1" s="1"/>
  <c r="BF46" i="1"/>
  <c r="BG46" i="1" s="1"/>
  <c r="BF47" i="1"/>
  <c r="BG47" i="1" s="1"/>
  <c r="BF48" i="1"/>
  <c r="BG48" i="1" s="1"/>
  <c r="BF49" i="1"/>
  <c r="BG49" i="1" s="1"/>
  <c r="BF50" i="1"/>
  <c r="BG50" i="1" s="1"/>
  <c r="BF51" i="1"/>
  <c r="BG51" i="1" s="1"/>
  <c r="BF52" i="1"/>
  <c r="BG52" i="1" s="1"/>
  <c r="BF53" i="1"/>
  <c r="BG53" i="1" s="1"/>
  <c r="BF54" i="1"/>
  <c r="BG54" i="1" s="1"/>
  <c r="BF55" i="1"/>
  <c r="BG55" i="1" s="1"/>
  <c r="BF56" i="1"/>
  <c r="BG56" i="1" s="1"/>
  <c r="BF57" i="1"/>
  <c r="BG57" i="1" s="1"/>
  <c r="BF58" i="1"/>
  <c r="BG58" i="1" s="1"/>
  <c r="BF59" i="1"/>
  <c r="BG59" i="1" s="1"/>
  <c r="BF60" i="1"/>
  <c r="BG60" i="1" s="1"/>
  <c r="BF61" i="1"/>
  <c r="BG61" i="1" s="1"/>
  <c r="BF62" i="1"/>
  <c r="BG62" i="1" s="1"/>
  <c r="BF63" i="1"/>
  <c r="BG63" i="1" s="1"/>
  <c r="BF64" i="1"/>
  <c r="BG64" i="1" s="1"/>
  <c r="BF65" i="1"/>
  <c r="BG65" i="1" s="1"/>
  <c r="BF66" i="1"/>
  <c r="BG66" i="1" s="1"/>
  <c r="BF67" i="1"/>
  <c r="BG67" i="1" s="1"/>
  <c r="BF68" i="1"/>
  <c r="BG68" i="1" s="1"/>
  <c r="BF69" i="1"/>
  <c r="BG69" i="1" s="1"/>
  <c r="BF70" i="1"/>
  <c r="BG70" i="1" s="1"/>
  <c r="BF71" i="1"/>
  <c r="BG71" i="1" s="1"/>
  <c r="BF72" i="1"/>
  <c r="BG72" i="1" s="1"/>
  <c r="BF73" i="1"/>
  <c r="BG73" i="1" s="1"/>
  <c r="BF74" i="1"/>
  <c r="BG74" i="1" s="1"/>
  <c r="BF75" i="1"/>
  <c r="BG75" i="1" s="1"/>
  <c r="BF76" i="1"/>
  <c r="BG76" i="1" s="1"/>
  <c r="BF77" i="1"/>
  <c r="BG77" i="1" s="1"/>
  <c r="BF78" i="1"/>
  <c r="BG78" i="1" s="1"/>
  <c r="BF79" i="1"/>
  <c r="BG79" i="1" s="1"/>
  <c r="BF80" i="1"/>
  <c r="BG80" i="1" s="1"/>
  <c r="BF81" i="1"/>
  <c r="BG81" i="1" s="1"/>
  <c r="BF82" i="1"/>
  <c r="BG82" i="1" s="1"/>
  <c r="BF83" i="1"/>
  <c r="BG83" i="1" s="1"/>
  <c r="BF84" i="1"/>
  <c r="BG84" i="1" s="1"/>
  <c r="BF85" i="1"/>
  <c r="BG85" i="1" s="1"/>
  <c r="BF86" i="1"/>
  <c r="BG86" i="1" s="1"/>
  <c r="BF87" i="1"/>
  <c r="BG87" i="1" s="1"/>
  <c r="BF88" i="1"/>
  <c r="BG88" i="1" s="1"/>
  <c r="BF89" i="1"/>
  <c r="BG89" i="1" s="1"/>
  <c r="BF90" i="1"/>
  <c r="BG90" i="1" s="1"/>
  <c r="BF91" i="1"/>
  <c r="BG91" i="1" s="1"/>
  <c r="BF92" i="1"/>
  <c r="BG92" i="1" s="1"/>
  <c r="BF93" i="1"/>
  <c r="BG93" i="1" s="1"/>
  <c r="BF94" i="1"/>
  <c r="BG94" i="1" s="1"/>
  <c r="BF95" i="1"/>
  <c r="BG95" i="1" s="1"/>
  <c r="BF96" i="1"/>
  <c r="BG96" i="1" s="1"/>
  <c r="BF97" i="1"/>
  <c r="BG97" i="1" s="1"/>
  <c r="BF98" i="1"/>
  <c r="BG98" i="1" s="1"/>
  <c r="BF99" i="1"/>
  <c r="BG99" i="1" s="1"/>
  <c r="BF100" i="1"/>
  <c r="BG100" i="1" s="1"/>
  <c r="BF101" i="1"/>
  <c r="BG101" i="1" s="1"/>
  <c r="BF102" i="1"/>
  <c r="BG102" i="1" s="1"/>
  <c r="BF103" i="1"/>
  <c r="BG103" i="1" s="1"/>
  <c r="BF104" i="1"/>
  <c r="BG104" i="1" s="1"/>
  <c r="BF105" i="1"/>
  <c r="BG105" i="1" s="1"/>
  <c r="BF106" i="1"/>
  <c r="BG106" i="1" s="1"/>
  <c r="BF107" i="1"/>
  <c r="BG107" i="1" s="1"/>
  <c r="BF108" i="1"/>
  <c r="BG108" i="1" s="1"/>
  <c r="BF109" i="1"/>
  <c r="BG109" i="1" s="1"/>
  <c r="BF110" i="1"/>
  <c r="BG110" i="1" s="1"/>
  <c r="BF111" i="1"/>
  <c r="BG111" i="1" s="1"/>
  <c r="BF112" i="1"/>
  <c r="BG112" i="1" s="1"/>
  <c r="BF113" i="1"/>
  <c r="BG113" i="1" s="1"/>
  <c r="BF114" i="1"/>
  <c r="BG114" i="1" s="1"/>
  <c r="BF115" i="1"/>
  <c r="BG115" i="1" s="1"/>
  <c r="BF116" i="1"/>
  <c r="BG116" i="1" s="1"/>
  <c r="BF117" i="1"/>
  <c r="BG117" i="1" s="1"/>
  <c r="BF118" i="1"/>
  <c r="BG118" i="1" s="1"/>
  <c r="BF119" i="1"/>
  <c r="BG119" i="1" s="1"/>
  <c r="BF120" i="1"/>
  <c r="BG120" i="1" s="1"/>
  <c r="BF121" i="1"/>
  <c r="BG121" i="1" s="1"/>
  <c r="BF122" i="1"/>
  <c r="BG122" i="1" s="1"/>
  <c r="BF123" i="1"/>
  <c r="BG123" i="1" s="1"/>
  <c r="BF124" i="1"/>
  <c r="BG124" i="1" s="1"/>
  <c r="BF125" i="1"/>
  <c r="BG125" i="1" s="1"/>
  <c r="BF126" i="1"/>
  <c r="BG126" i="1" s="1"/>
  <c r="BF127" i="1"/>
  <c r="BG127" i="1" s="1"/>
  <c r="BF128" i="1"/>
  <c r="BG128" i="1" s="1"/>
  <c r="BF129" i="1"/>
  <c r="BG129" i="1" s="1"/>
  <c r="BF130" i="1"/>
  <c r="BG130" i="1" s="1"/>
  <c r="BF131" i="1"/>
  <c r="BG131" i="1" s="1"/>
  <c r="BF132" i="1"/>
  <c r="BG132" i="1" s="1"/>
  <c r="BF133" i="1"/>
  <c r="BG133" i="1" s="1"/>
  <c r="BF134" i="1"/>
  <c r="BG134" i="1" s="1"/>
  <c r="BF135" i="1"/>
  <c r="BG135" i="1" s="1"/>
  <c r="BF136" i="1"/>
  <c r="BG136" i="1" s="1"/>
  <c r="BF137" i="1"/>
  <c r="BG137" i="1" s="1"/>
  <c r="BF138" i="1"/>
  <c r="BG138" i="1" s="1"/>
  <c r="BF139" i="1"/>
  <c r="BG139" i="1" s="1"/>
  <c r="BF140" i="1"/>
  <c r="BG140" i="1" s="1"/>
  <c r="BF141" i="1"/>
  <c r="BG141" i="1" s="1"/>
  <c r="BF142" i="1"/>
  <c r="BG142" i="1" s="1"/>
  <c r="BF143" i="1"/>
  <c r="BG143" i="1" s="1"/>
  <c r="BF144" i="1"/>
  <c r="BG144" i="1" s="1"/>
  <c r="BF145" i="1"/>
  <c r="BG145" i="1" s="1"/>
  <c r="BF146" i="1"/>
  <c r="BG146" i="1" s="1"/>
  <c r="BF147" i="1"/>
  <c r="BG147" i="1" s="1"/>
  <c r="BF148" i="1"/>
  <c r="BG148" i="1" s="1"/>
  <c r="BF149" i="1"/>
  <c r="BG149" i="1" s="1"/>
  <c r="BF150" i="1"/>
  <c r="BG150" i="1" s="1"/>
  <c r="BF151" i="1"/>
  <c r="BG151" i="1" s="1"/>
  <c r="BF152" i="1"/>
  <c r="BG152" i="1" s="1"/>
  <c r="BF153" i="1"/>
  <c r="BG153" i="1" s="1"/>
  <c r="BF154" i="1"/>
  <c r="BG154" i="1" s="1"/>
  <c r="BF155" i="1"/>
  <c r="BG155" i="1" s="1"/>
  <c r="BF156" i="1"/>
  <c r="BG156" i="1" s="1"/>
  <c r="BF157" i="1"/>
  <c r="BG157" i="1" s="1"/>
  <c r="BF158" i="1"/>
  <c r="BG158" i="1" s="1"/>
  <c r="BF159" i="1"/>
  <c r="BG159" i="1" s="1"/>
  <c r="BF160" i="1"/>
  <c r="BG160" i="1" s="1"/>
  <c r="BF161" i="1"/>
  <c r="BG161" i="1" s="1"/>
  <c r="BF162" i="1"/>
  <c r="BG162" i="1" s="1"/>
  <c r="BF163" i="1"/>
  <c r="BG163" i="1" s="1"/>
  <c r="BF164" i="1"/>
  <c r="BG164" i="1" s="1"/>
  <c r="BF165" i="1"/>
  <c r="BG165" i="1" s="1"/>
  <c r="BF166" i="1"/>
  <c r="BG166" i="1" s="1"/>
  <c r="BF167" i="1"/>
  <c r="BG167" i="1" s="1"/>
  <c r="BF168" i="1"/>
  <c r="BG168" i="1" s="1"/>
  <c r="BF169" i="1"/>
  <c r="BG169" i="1" s="1"/>
  <c r="BF170" i="1"/>
  <c r="BG170" i="1" s="1"/>
  <c r="BF171" i="1"/>
  <c r="BG171" i="1" s="1"/>
  <c r="BF172" i="1"/>
  <c r="BG172" i="1" s="1"/>
  <c r="BF173" i="1"/>
  <c r="BG173" i="1" s="1"/>
  <c r="BF174" i="1"/>
  <c r="BG174" i="1" s="1"/>
  <c r="BF175" i="1"/>
  <c r="BG175" i="1" s="1"/>
  <c r="BF176" i="1"/>
  <c r="BG176" i="1" s="1"/>
  <c r="BF177" i="1"/>
  <c r="BG177" i="1" s="1"/>
  <c r="BF178" i="1"/>
  <c r="BG178" i="1" s="1"/>
  <c r="BF179" i="1"/>
  <c r="BG179" i="1" s="1"/>
  <c r="BF180" i="1"/>
  <c r="BG180" i="1" s="1"/>
  <c r="BF181" i="1"/>
  <c r="BG181" i="1" s="1"/>
  <c r="BF182" i="1"/>
  <c r="BG182" i="1" s="1"/>
  <c r="BF183" i="1"/>
  <c r="BG183" i="1" s="1"/>
  <c r="BF184" i="1"/>
  <c r="BG184" i="1" s="1"/>
  <c r="BF185" i="1"/>
  <c r="BG185" i="1" s="1"/>
  <c r="BF186" i="1"/>
  <c r="BG186" i="1" s="1"/>
  <c r="BF187" i="1"/>
  <c r="BG187" i="1" s="1"/>
  <c r="BF188" i="1"/>
  <c r="BG188" i="1" s="1"/>
  <c r="BF189" i="1"/>
  <c r="BG189" i="1" s="1"/>
  <c r="BF190" i="1"/>
  <c r="BG190" i="1" s="1"/>
  <c r="BF191" i="1"/>
  <c r="BG191" i="1" s="1"/>
  <c r="BF192" i="1"/>
  <c r="BG192" i="1" s="1"/>
  <c r="BF193" i="1"/>
  <c r="BG193" i="1" s="1"/>
  <c r="BF194" i="1"/>
  <c r="BG194" i="1" s="1"/>
  <c r="BF195" i="1"/>
  <c r="BG195" i="1" s="1"/>
  <c r="BF196" i="1"/>
  <c r="BG196" i="1" s="1"/>
  <c r="BF197" i="1"/>
  <c r="BG197" i="1" s="1"/>
  <c r="BF198" i="1"/>
  <c r="BG198" i="1" s="1"/>
  <c r="BF199" i="1"/>
  <c r="BG199" i="1" s="1"/>
  <c r="BF200" i="1"/>
  <c r="BG200" i="1" s="1"/>
  <c r="BF201" i="1"/>
  <c r="BG201" i="1" s="1"/>
  <c r="BF202" i="1"/>
  <c r="BG202" i="1" s="1"/>
  <c r="BF203" i="1"/>
  <c r="BG203" i="1" s="1"/>
  <c r="BF204" i="1"/>
  <c r="BG204" i="1" s="1"/>
  <c r="BF205" i="1"/>
  <c r="BG205" i="1" s="1"/>
  <c r="BF206" i="1"/>
  <c r="BG206" i="1" s="1"/>
  <c r="BF207" i="1"/>
  <c r="BG207" i="1" s="1"/>
  <c r="BF208" i="1"/>
  <c r="BG208" i="1" s="1"/>
  <c r="BF209" i="1"/>
  <c r="BG209" i="1" s="1"/>
  <c r="BF210" i="1"/>
  <c r="BG210" i="1" s="1"/>
  <c r="BF211" i="1"/>
  <c r="BG211" i="1" s="1"/>
  <c r="BF212" i="1"/>
  <c r="BG212" i="1" s="1"/>
  <c r="BF213" i="1"/>
  <c r="BG213" i="1" s="1"/>
  <c r="BF214" i="1"/>
  <c r="BG214" i="1" s="1"/>
  <c r="BF215" i="1"/>
  <c r="BG215" i="1" s="1"/>
  <c r="BF216" i="1"/>
  <c r="BG216" i="1" s="1"/>
  <c r="BF217" i="1"/>
  <c r="BG217" i="1" s="1"/>
  <c r="BF218" i="1"/>
  <c r="BG218" i="1" s="1"/>
  <c r="BF219" i="1"/>
  <c r="BG219" i="1" s="1"/>
  <c r="BF220" i="1"/>
  <c r="BG220" i="1" s="1"/>
  <c r="BF221" i="1"/>
  <c r="BG221" i="1" s="1"/>
  <c r="BF222" i="1"/>
  <c r="BG222" i="1" s="1"/>
  <c r="BF223" i="1"/>
  <c r="BG223" i="1" s="1"/>
  <c r="BF224" i="1"/>
  <c r="BG224" i="1" s="1"/>
  <c r="BF225" i="1"/>
  <c r="BG225" i="1" s="1"/>
  <c r="BF226" i="1"/>
  <c r="BG226" i="1" s="1"/>
  <c r="BF227" i="1"/>
  <c r="BG227" i="1" s="1"/>
  <c r="BF228" i="1"/>
  <c r="BG228" i="1" s="1"/>
  <c r="BF229" i="1"/>
  <c r="BG229" i="1" s="1"/>
  <c r="BF230" i="1"/>
  <c r="BG230" i="1" s="1"/>
  <c r="BF231" i="1"/>
  <c r="BG231" i="1" s="1"/>
  <c r="BF232" i="1"/>
  <c r="BG232" i="1" s="1"/>
  <c r="BF233" i="1"/>
  <c r="BG233" i="1" s="1"/>
  <c r="BF234" i="1"/>
  <c r="BG234" i="1" s="1"/>
  <c r="BF235" i="1"/>
  <c r="BG235" i="1" s="1"/>
  <c r="BF236" i="1"/>
  <c r="BG236" i="1" s="1"/>
  <c r="BF237" i="1"/>
  <c r="BG237" i="1" s="1"/>
  <c r="BF238" i="1"/>
  <c r="BG238" i="1" s="1"/>
  <c r="BF239" i="1"/>
  <c r="BG239" i="1" s="1"/>
  <c r="BF240" i="1"/>
  <c r="BG240" i="1" s="1"/>
  <c r="BF241" i="1"/>
  <c r="BG241" i="1" s="1"/>
  <c r="BF242" i="1"/>
  <c r="BG242" i="1" s="1"/>
  <c r="BF243" i="1"/>
  <c r="BG243" i="1" s="1"/>
  <c r="BF244" i="1"/>
  <c r="BG244" i="1" s="1"/>
  <c r="BF245" i="1"/>
  <c r="BG245" i="1" s="1"/>
  <c r="BF246" i="1"/>
  <c r="BG246" i="1" s="1"/>
  <c r="BF247" i="1"/>
  <c r="BG247" i="1" s="1"/>
  <c r="BF248" i="1"/>
  <c r="BG248" i="1" s="1"/>
  <c r="BF249" i="1"/>
  <c r="BG249" i="1" s="1"/>
  <c r="BF250" i="1"/>
  <c r="BG250" i="1" s="1"/>
  <c r="BF251" i="1"/>
  <c r="BG251" i="1" s="1"/>
  <c r="BF252" i="1"/>
  <c r="BG252" i="1" s="1"/>
  <c r="BF253" i="1"/>
  <c r="BG253" i="1" s="1"/>
  <c r="BF254" i="1"/>
  <c r="BG254" i="1" s="1"/>
  <c r="BF255" i="1"/>
  <c r="BG255" i="1" s="1"/>
  <c r="BF256" i="1"/>
  <c r="BG256" i="1" s="1"/>
  <c r="BF257" i="1"/>
  <c r="BG257" i="1" s="1"/>
  <c r="BF258" i="1"/>
  <c r="BG258" i="1" s="1"/>
  <c r="BF259" i="1"/>
  <c r="BG259" i="1" s="1"/>
  <c r="BF260" i="1"/>
  <c r="BG260" i="1" s="1"/>
  <c r="BF261" i="1"/>
  <c r="BG261" i="1" s="1"/>
  <c r="BF262" i="1"/>
  <c r="BG262" i="1" s="1"/>
  <c r="BF263" i="1"/>
  <c r="BG263" i="1" s="1"/>
  <c r="BF264" i="1"/>
  <c r="BG264" i="1" s="1"/>
  <c r="BF265" i="1"/>
  <c r="BG265" i="1" s="1"/>
  <c r="BF266" i="1"/>
  <c r="BG266" i="1" s="1"/>
  <c r="BF267" i="1"/>
  <c r="BG267" i="1" s="1"/>
  <c r="BF268" i="1"/>
  <c r="BG268" i="1" s="1"/>
  <c r="BF269" i="1"/>
  <c r="BG269" i="1" s="1"/>
  <c r="BF270" i="1"/>
  <c r="BG270" i="1" s="1"/>
  <c r="BF271" i="1"/>
  <c r="BG271" i="1" s="1"/>
  <c r="BF272" i="1"/>
  <c r="BG272" i="1" s="1"/>
  <c r="BF273" i="1"/>
  <c r="BG273" i="1" s="1"/>
  <c r="BF274" i="1"/>
  <c r="BG274" i="1" s="1"/>
  <c r="BF275" i="1"/>
  <c r="BG275" i="1" s="1"/>
  <c r="BF276" i="1"/>
  <c r="BG276" i="1" s="1"/>
  <c r="BF277" i="1"/>
  <c r="BG277" i="1" s="1"/>
  <c r="BF278" i="1"/>
  <c r="BG278" i="1" s="1"/>
  <c r="BF279" i="1"/>
  <c r="BG279" i="1" s="1"/>
  <c r="BF280" i="1"/>
  <c r="BG280" i="1" s="1"/>
  <c r="BF281" i="1"/>
  <c r="BG281" i="1" s="1"/>
  <c r="BF282" i="1"/>
  <c r="BG282" i="1" s="1"/>
  <c r="BF283" i="1"/>
  <c r="BG283" i="1" s="1"/>
  <c r="BF284" i="1"/>
  <c r="BG284" i="1" s="1"/>
  <c r="BF285" i="1"/>
  <c r="BG285" i="1" s="1"/>
  <c r="BF286" i="1"/>
  <c r="BG286" i="1" s="1"/>
  <c r="BF287" i="1"/>
  <c r="BG287" i="1" s="1"/>
  <c r="BF288" i="1"/>
  <c r="BG288" i="1" s="1"/>
  <c r="BF289" i="1"/>
  <c r="BG289" i="1" s="1"/>
  <c r="BF290" i="1"/>
  <c r="BG290" i="1" s="1"/>
  <c r="BF291" i="1"/>
  <c r="BG291" i="1" s="1"/>
  <c r="BF292" i="1"/>
  <c r="BG292" i="1" s="1"/>
  <c r="BF293" i="1"/>
  <c r="BG293" i="1" s="1"/>
  <c r="BF294" i="1"/>
  <c r="BG294" i="1" s="1"/>
  <c r="BF295" i="1"/>
  <c r="BG295" i="1" s="1"/>
  <c r="BF296" i="1"/>
  <c r="BG296" i="1" s="1"/>
  <c r="BF297" i="1"/>
  <c r="BG297" i="1" s="1"/>
  <c r="BF298" i="1"/>
  <c r="BG298" i="1" s="1"/>
  <c r="BF299" i="1"/>
  <c r="BG299" i="1" s="1"/>
  <c r="BF300" i="1"/>
  <c r="BG300" i="1" s="1"/>
  <c r="BF301" i="1"/>
  <c r="BG301" i="1" s="1"/>
  <c r="BF302" i="1"/>
  <c r="BG302" i="1" s="1"/>
  <c r="BF303" i="1"/>
  <c r="BG303" i="1" s="1"/>
  <c r="BF304" i="1"/>
  <c r="BG304" i="1" s="1"/>
  <c r="BF305" i="1"/>
  <c r="BG305" i="1" s="1"/>
  <c r="BF306" i="1"/>
  <c r="BG306" i="1" s="1"/>
  <c r="BF307" i="1"/>
  <c r="BG307" i="1" s="1"/>
  <c r="BF308" i="1"/>
  <c r="BG308" i="1" s="1"/>
  <c r="BF309" i="1"/>
  <c r="BG309" i="1" s="1"/>
  <c r="BF310" i="1"/>
  <c r="BG310" i="1" s="1"/>
  <c r="BF311" i="1"/>
  <c r="BG311" i="1" s="1"/>
  <c r="BF312" i="1"/>
  <c r="BG312" i="1" s="1"/>
  <c r="BF313" i="1"/>
  <c r="BG313" i="1" s="1"/>
  <c r="BF314" i="1"/>
  <c r="BG314" i="1" s="1"/>
  <c r="BF315" i="1"/>
  <c r="BG315" i="1" s="1"/>
  <c r="BF316" i="1"/>
  <c r="BG316" i="1" s="1"/>
  <c r="BF317" i="1"/>
  <c r="BG317" i="1" s="1"/>
  <c r="BF318" i="1"/>
  <c r="BG318" i="1" s="1"/>
  <c r="BF319" i="1"/>
  <c r="BG319" i="1" s="1"/>
  <c r="BF320" i="1"/>
  <c r="BG320" i="1" s="1"/>
  <c r="BF321" i="1"/>
  <c r="BG321" i="1" s="1"/>
  <c r="BF322" i="1"/>
  <c r="BG322" i="1" s="1"/>
  <c r="BF323" i="1"/>
  <c r="BG323" i="1" s="1"/>
  <c r="BF324" i="1"/>
  <c r="BG324" i="1" s="1"/>
  <c r="BF325" i="1"/>
  <c r="BG325" i="1" s="1"/>
  <c r="BF326" i="1"/>
  <c r="BG326" i="1" s="1"/>
  <c r="BF327" i="1"/>
  <c r="BG327" i="1" s="1"/>
  <c r="BF328" i="1"/>
  <c r="BG328" i="1" s="1"/>
  <c r="BF329" i="1"/>
  <c r="BG329" i="1" s="1"/>
  <c r="BF330" i="1"/>
  <c r="BG330" i="1" s="1"/>
  <c r="BF331" i="1"/>
  <c r="BG331" i="1" s="1"/>
  <c r="BF332" i="1"/>
  <c r="BG332" i="1" s="1"/>
  <c r="BF333" i="1"/>
  <c r="BG333" i="1" s="1"/>
  <c r="BF334" i="1"/>
  <c r="BG334" i="1" s="1"/>
  <c r="BF335" i="1"/>
  <c r="BG335" i="1" s="1"/>
  <c r="BF336" i="1"/>
  <c r="BG336" i="1" s="1"/>
  <c r="BF337" i="1"/>
  <c r="BG337" i="1" s="1"/>
  <c r="BF338" i="1"/>
  <c r="BG338" i="1" s="1"/>
  <c r="BF339" i="1"/>
  <c r="BG339" i="1" s="1"/>
  <c r="BF340" i="1"/>
  <c r="BG340" i="1" s="1"/>
  <c r="BF341" i="1"/>
  <c r="BG341" i="1" s="1"/>
  <c r="BF342" i="1"/>
  <c r="BG342" i="1" s="1"/>
  <c r="BF343" i="1"/>
  <c r="BG343" i="1" s="1"/>
  <c r="BF344" i="1"/>
  <c r="BG344" i="1" s="1"/>
  <c r="BF345" i="1"/>
  <c r="BG345" i="1" s="1"/>
  <c r="BF346" i="1"/>
  <c r="BG346" i="1" s="1"/>
  <c r="BF347" i="1"/>
  <c r="BG347" i="1" s="1"/>
  <c r="BF348" i="1"/>
  <c r="BG348" i="1" s="1"/>
  <c r="BF349" i="1"/>
  <c r="BG349" i="1" s="1"/>
  <c r="BF350" i="1"/>
  <c r="BG350" i="1" s="1"/>
  <c r="BF351" i="1"/>
  <c r="BG351" i="1" s="1"/>
  <c r="BF352" i="1"/>
  <c r="BG352" i="1" s="1"/>
  <c r="BF353" i="1"/>
  <c r="BG353" i="1" s="1"/>
  <c r="BF354" i="1"/>
  <c r="BG354" i="1" s="1"/>
  <c r="BF355" i="1"/>
  <c r="BG355" i="1" s="1"/>
  <c r="BF356" i="1"/>
  <c r="BG356" i="1" s="1"/>
  <c r="BF357" i="1"/>
  <c r="BG357" i="1" s="1"/>
  <c r="BF358" i="1"/>
  <c r="BG358" i="1" s="1"/>
  <c r="BF359" i="1"/>
  <c r="BG359" i="1" s="1"/>
  <c r="BF360" i="1"/>
  <c r="BG360" i="1" s="1"/>
  <c r="BF361" i="1"/>
  <c r="BG361" i="1" s="1"/>
  <c r="BF362" i="1"/>
  <c r="BG362" i="1" s="1"/>
  <c r="BF363" i="1"/>
  <c r="BG363" i="1" s="1"/>
  <c r="BF364" i="1"/>
  <c r="BG364" i="1" s="1"/>
  <c r="BF365" i="1"/>
  <c r="BG365" i="1" s="1"/>
  <c r="BF366" i="1"/>
  <c r="BG366" i="1" s="1"/>
  <c r="BF367" i="1"/>
  <c r="BG367" i="1" s="1"/>
  <c r="BF368" i="1"/>
  <c r="BG368" i="1" s="1"/>
  <c r="BF369" i="1"/>
  <c r="BG369" i="1" s="1"/>
  <c r="BF370" i="1"/>
  <c r="BG370" i="1" s="1"/>
  <c r="BF371" i="1"/>
  <c r="BG371" i="1" s="1"/>
  <c r="BF372" i="1"/>
  <c r="BG372" i="1" s="1"/>
  <c r="BF373" i="1"/>
  <c r="BG373" i="1" s="1"/>
  <c r="BF374" i="1"/>
  <c r="BG374" i="1" s="1"/>
  <c r="BF375" i="1"/>
  <c r="BG375" i="1" s="1"/>
  <c r="BF376" i="1"/>
  <c r="BG376" i="1" s="1"/>
  <c r="BF377" i="1"/>
  <c r="BG377" i="1" s="1"/>
  <c r="BF378" i="1"/>
  <c r="BG378" i="1" s="1"/>
  <c r="BF379" i="1"/>
  <c r="BG379" i="1" s="1"/>
  <c r="BF380" i="1"/>
  <c r="BG380" i="1" s="1"/>
  <c r="BF381" i="1"/>
  <c r="BG381" i="1" s="1"/>
  <c r="BF382" i="1"/>
  <c r="BG382" i="1" s="1"/>
  <c r="BF383" i="1"/>
  <c r="BG383" i="1" s="1"/>
  <c r="BF384" i="1"/>
  <c r="BG384" i="1" s="1"/>
  <c r="BF385" i="1"/>
  <c r="BG385" i="1" s="1"/>
  <c r="BF386" i="1"/>
  <c r="BG386" i="1" s="1"/>
  <c r="BF387" i="1"/>
  <c r="BG387" i="1" s="1"/>
  <c r="BF388" i="1"/>
  <c r="BG388" i="1" s="1"/>
  <c r="BF389" i="1"/>
  <c r="BG389" i="1" s="1"/>
  <c r="BF390" i="1"/>
  <c r="BG390" i="1" s="1"/>
  <c r="BF391" i="1"/>
  <c r="BG391" i="1" s="1"/>
  <c r="BF392" i="1"/>
  <c r="BG392" i="1" s="1"/>
  <c r="BF393" i="1"/>
  <c r="BG393" i="1" s="1"/>
  <c r="BF394" i="1"/>
  <c r="BG394" i="1" s="1"/>
  <c r="BF395" i="1"/>
  <c r="BG395" i="1" s="1"/>
  <c r="BF396" i="1"/>
  <c r="BG396" i="1" s="1"/>
  <c r="BF397" i="1"/>
  <c r="BG397" i="1" s="1"/>
  <c r="BF398" i="1"/>
  <c r="BG398" i="1" s="1"/>
  <c r="BF399" i="1"/>
  <c r="BG399" i="1" s="1"/>
  <c r="BF400" i="1"/>
  <c r="BG400" i="1" s="1"/>
  <c r="BF401" i="1"/>
  <c r="BG401" i="1" s="1"/>
  <c r="BF402" i="1"/>
  <c r="BG402" i="1" s="1"/>
  <c r="BF403" i="1"/>
  <c r="BG403" i="1" s="1"/>
  <c r="BF404" i="1"/>
  <c r="BG404" i="1" s="1"/>
  <c r="BF405" i="1"/>
  <c r="BG405" i="1" s="1"/>
  <c r="BF406" i="1"/>
  <c r="BG406" i="1" s="1"/>
  <c r="BF407" i="1"/>
  <c r="BG407" i="1" s="1"/>
  <c r="BF408" i="1"/>
  <c r="BG408" i="1" s="1"/>
  <c r="BF409" i="1"/>
  <c r="BG409" i="1" s="1"/>
  <c r="BF410" i="1"/>
  <c r="BG410" i="1" s="1"/>
  <c r="BF411" i="1"/>
  <c r="BG411" i="1" s="1"/>
  <c r="BF412" i="1"/>
  <c r="BG412" i="1" s="1"/>
  <c r="BF413" i="1"/>
  <c r="BG413" i="1" s="1"/>
  <c r="BF414" i="1"/>
  <c r="BG414" i="1" s="1"/>
  <c r="BF415" i="1"/>
  <c r="BG415" i="1" s="1"/>
  <c r="BF416" i="1"/>
  <c r="BG416" i="1" s="1"/>
  <c r="BF417" i="1"/>
  <c r="BG417" i="1" s="1"/>
  <c r="BF418" i="1"/>
  <c r="BG418" i="1" s="1"/>
  <c r="BF419" i="1"/>
  <c r="BG419" i="1" s="1"/>
  <c r="BF420" i="1"/>
  <c r="BG420" i="1" s="1"/>
  <c r="BF421" i="1"/>
  <c r="BG421" i="1" s="1"/>
  <c r="BF422" i="1"/>
  <c r="BG422" i="1" s="1"/>
  <c r="BF423" i="1"/>
  <c r="BG423" i="1" s="1"/>
  <c r="BF424" i="1"/>
  <c r="BG424" i="1" s="1"/>
  <c r="BF425" i="1"/>
  <c r="BG425" i="1" s="1"/>
  <c r="BF426" i="1"/>
  <c r="BG426" i="1" s="1"/>
  <c r="BF427" i="1"/>
  <c r="BG427" i="1" s="1"/>
  <c r="BF428" i="1"/>
  <c r="BG428" i="1" s="1"/>
  <c r="BF429" i="1"/>
  <c r="BG429" i="1" s="1"/>
  <c r="BF430" i="1"/>
  <c r="BG430" i="1" s="1"/>
  <c r="BF431" i="1"/>
  <c r="BG431" i="1" s="1"/>
  <c r="BF432" i="1"/>
  <c r="BG432" i="1" s="1"/>
  <c r="BF433" i="1"/>
  <c r="BG433" i="1" s="1"/>
  <c r="BF434" i="1"/>
  <c r="BG434" i="1" s="1"/>
  <c r="BF435" i="1"/>
  <c r="BG435" i="1" s="1"/>
  <c r="BF436" i="1"/>
  <c r="BG436" i="1" s="1"/>
  <c r="BF437" i="1"/>
  <c r="BG437" i="1" s="1"/>
  <c r="BF438" i="1"/>
  <c r="BG438" i="1" s="1"/>
  <c r="BF439" i="1"/>
  <c r="BG439" i="1" s="1"/>
  <c r="BF440" i="1"/>
  <c r="BG440" i="1" s="1"/>
  <c r="BF441" i="1"/>
  <c r="BG441" i="1" s="1"/>
  <c r="BF442" i="1"/>
  <c r="BG442" i="1" s="1"/>
  <c r="BF443" i="1"/>
  <c r="BG443" i="1" s="1"/>
  <c r="BF444" i="1"/>
  <c r="BG444" i="1" s="1"/>
  <c r="BF445" i="1"/>
  <c r="BG445" i="1" s="1"/>
  <c r="BF446" i="1"/>
  <c r="BG446" i="1" s="1"/>
  <c r="BF447" i="1"/>
  <c r="BG447" i="1" s="1"/>
  <c r="BF448" i="1"/>
  <c r="BG448" i="1" s="1"/>
  <c r="BF449" i="1"/>
  <c r="BG449" i="1" s="1"/>
  <c r="BF450" i="1"/>
  <c r="BG450" i="1" s="1"/>
  <c r="BF451" i="1"/>
  <c r="BG451" i="1" s="1"/>
  <c r="BF452" i="1"/>
  <c r="BG452" i="1" s="1"/>
  <c r="BF453" i="1"/>
  <c r="BG453" i="1" s="1"/>
  <c r="BF454" i="1"/>
  <c r="BG454" i="1" s="1"/>
  <c r="BF455" i="1"/>
  <c r="BG455" i="1" s="1"/>
  <c r="BF456" i="1"/>
  <c r="BG456" i="1" s="1"/>
  <c r="BF457" i="1"/>
  <c r="BG457" i="1" s="1"/>
  <c r="BF458" i="1"/>
  <c r="BG458" i="1" s="1"/>
  <c r="BF459" i="1"/>
  <c r="BG459" i="1" s="1"/>
  <c r="BF460" i="1"/>
  <c r="BG460" i="1" s="1"/>
  <c r="BF461" i="1"/>
  <c r="BG461" i="1" s="1"/>
  <c r="BF462" i="1"/>
  <c r="BG462" i="1" s="1"/>
  <c r="BF463" i="1"/>
  <c r="BG463" i="1" s="1"/>
  <c r="BF464" i="1"/>
  <c r="BG464" i="1" s="1"/>
  <c r="BF465" i="1"/>
  <c r="BG465" i="1" s="1"/>
  <c r="BF466" i="1"/>
  <c r="BG466" i="1" s="1"/>
  <c r="BF467" i="1"/>
  <c r="BG467" i="1" s="1"/>
  <c r="BF468" i="1"/>
  <c r="BG468" i="1" s="1"/>
  <c r="BF469" i="1"/>
  <c r="BG469" i="1" s="1"/>
  <c r="BF470" i="1"/>
  <c r="BG470" i="1" s="1"/>
  <c r="BF471" i="1"/>
  <c r="BG471" i="1" s="1"/>
  <c r="BF472" i="1"/>
  <c r="BG472" i="1" s="1"/>
  <c r="BF473" i="1"/>
  <c r="BG473" i="1" s="1"/>
  <c r="BF474" i="1"/>
  <c r="BG474" i="1" s="1"/>
  <c r="BF475" i="1"/>
  <c r="BG475" i="1" s="1"/>
  <c r="BF476" i="1"/>
  <c r="BG476" i="1" s="1"/>
  <c r="BF477" i="1"/>
  <c r="BG477" i="1" s="1"/>
  <c r="BF478" i="1"/>
  <c r="BG478" i="1" s="1"/>
  <c r="BF479" i="1"/>
  <c r="BG479" i="1" s="1"/>
  <c r="BF480" i="1"/>
  <c r="BG480" i="1" s="1"/>
  <c r="BF481" i="1"/>
  <c r="BG481" i="1" s="1"/>
  <c r="BF482" i="1"/>
  <c r="BG482" i="1" s="1"/>
  <c r="BF483" i="1"/>
  <c r="BG483" i="1" s="1"/>
  <c r="BF484" i="1"/>
  <c r="BG484" i="1" s="1"/>
  <c r="BF485" i="1"/>
  <c r="BG485" i="1" s="1"/>
  <c r="BF486" i="1"/>
  <c r="BG486" i="1" s="1"/>
  <c r="BF487" i="1"/>
  <c r="BG487" i="1" s="1"/>
  <c r="BF488" i="1"/>
  <c r="BG488" i="1" s="1"/>
  <c r="BF489" i="1"/>
  <c r="BG489" i="1" s="1"/>
  <c r="BF490" i="1"/>
  <c r="BG490" i="1" s="1"/>
  <c r="BF491" i="1"/>
  <c r="BG491" i="1" s="1"/>
  <c r="BE491" i="1"/>
  <c r="BE490" i="1"/>
  <c r="BE489" i="1"/>
  <c r="BE488" i="1"/>
  <c r="BE487" i="1"/>
  <c r="BE486" i="1"/>
  <c r="BE485" i="1"/>
  <c r="BE484" i="1"/>
  <c r="BE483" i="1"/>
  <c r="BE482" i="1"/>
  <c r="BE481" i="1"/>
  <c r="BE480" i="1"/>
  <c r="BE479" i="1"/>
  <c r="BE478" i="1"/>
  <c r="BE477" i="1"/>
  <c r="BE476" i="1"/>
  <c r="BE475" i="1"/>
  <c r="BE474" i="1"/>
  <c r="BE473" i="1"/>
  <c r="BE472" i="1"/>
  <c r="BE471" i="1"/>
  <c r="BE470" i="1"/>
  <c r="BE469" i="1"/>
  <c r="BE468" i="1"/>
  <c r="BE467" i="1"/>
  <c r="BE466" i="1"/>
  <c r="BE465" i="1"/>
  <c r="BE464" i="1"/>
  <c r="BE463" i="1"/>
  <c r="BE462" i="1"/>
  <c r="BE461" i="1"/>
  <c r="BE460" i="1"/>
  <c r="BE459" i="1"/>
  <c r="BE458" i="1"/>
  <c r="BE457" i="1"/>
  <c r="BE456" i="1"/>
  <c r="BE455" i="1"/>
  <c r="BE454" i="1"/>
  <c r="BE453" i="1"/>
  <c r="BE452" i="1"/>
  <c r="BE451" i="1"/>
  <c r="BE450" i="1"/>
  <c r="BE449" i="1"/>
  <c r="BE448" i="1"/>
  <c r="BE447" i="1"/>
  <c r="BE446" i="1"/>
  <c r="BE445" i="1"/>
  <c r="BE444" i="1"/>
  <c r="BE443" i="1"/>
  <c r="BE442" i="1"/>
  <c r="BE441" i="1"/>
  <c r="BE440" i="1"/>
  <c r="BE439" i="1"/>
  <c r="BE438" i="1"/>
  <c r="BE437" i="1"/>
  <c r="BE436" i="1"/>
  <c r="BE435" i="1"/>
  <c r="BE434" i="1"/>
  <c r="BE433" i="1"/>
  <c r="BE432" i="1"/>
  <c r="BE431" i="1"/>
  <c r="BE430" i="1"/>
  <c r="BE429" i="1"/>
  <c r="BE428" i="1"/>
  <c r="BE427" i="1"/>
  <c r="BE426" i="1"/>
  <c r="BE425" i="1"/>
  <c r="BE424" i="1"/>
  <c r="BE423" i="1"/>
  <c r="BE422" i="1"/>
  <c r="BE421" i="1"/>
  <c r="BE420" i="1"/>
  <c r="BE419" i="1"/>
  <c r="BE418" i="1"/>
  <c r="BE417" i="1"/>
  <c r="BE416" i="1"/>
  <c r="BE415" i="1"/>
  <c r="BE414" i="1"/>
  <c r="BE413" i="1"/>
  <c r="BE412" i="1"/>
  <c r="BE411" i="1"/>
  <c r="BE410" i="1"/>
  <c r="BE409" i="1"/>
  <c r="BE408" i="1"/>
  <c r="BE407" i="1"/>
  <c r="BE406" i="1"/>
  <c r="BE405" i="1"/>
  <c r="BE404" i="1"/>
  <c r="BE403" i="1"/>
  <c r="BE402" i="1"/>
  <c r="BE401" i="1"/>
  <c r="BE400" i="1"/>
  <c r="BE399" i="1"/>
  <c r="BE398" i="1"/>
  <c r="BE397" i="1"/>
  <c r="BE396" i="1"/>
  <c r="BE395" i="1"/>
  <c r="BE394" i="1"/>
  <c r="BE393" i="1"/>
  <c r="BE392" i="1"/>
  <c r="BE391" i="1"/>
  <c r="BE390" i="1"/>
  <c r="BE389" i="1"/>
  <c r="BE388" i="1"/>
  <c r="BE387" i="1"/>
  <c r="BE386" i="1"/>
  <c r="BE385" i="1"/>
  <c r="BE384" i="1"/>
  <c r="BE383" i="1"/>
  <c r="BE382" i="1"/>
  <c r="BE381" i="1"/>
  <c r="BE380" i="1"/>
  <c r="BE379" i="1"/>
  <c r="BE378" i="1"/>
  <c r="BE377" i="1"/>
  <c r="BE376" i="1"/>
  <c r="BE375" i="1"/>
  <c r="BE374" i="1"/>
  <c r="BE373" i="1"/>
  <c r="BE372" i="1"/>
  <c r="BE371" i="1"/>
  <c r="BE370" i="1"/>
  <c r="BE369" i="1"/>
  <c r="BE368" i="1"/>
  <c r="BE367" i="1"/>
  <c r="BE366" i="1"/>
  <c r="BE365" i="1"/>
  <c r="BE364" i="1"/>
  <c r="BE363" i="1"/>
  <c r="BE362" i="1"/>
  <c r="BE361" i="1"/>
  <c r="BE360" i="1"/>
  <c r="BE359" i="1"/>
  <c r="BE358" i="1"/>
  <c r="BE357" i="1"/>
  <c r="BE356" i="1"/>
  <c r="BE355" i="1"/>
  <c r="BE354" i="1"/>
  <c r="BE353" i="1"/>
  <c r="BE352" i="1"/>
  <c r="BE351" i="1"/>
  <c r="BE350" i="1"/>
  <c r="BE349" i="1"/>
  <c r="BE348" i="1"/>
  <c r="BE347" i="1"/>
  <c r="BE346" i="1"/>
  <c r="BE345" i="1"/>
  <c r="BE344" i="1"/>
  <c r="BE343" i="1"/>
  <c r="BE342" i="1"/>
  <c r="BE341" i="1"/>
  <c r="BE340" i="1"/>
  <c r="BE339" i="1"/>
  <c r="BE338" i="1"/>
  <c r="BE337" i="1"/>
  <c r="BE336" i="1"/>
  <c r="BE335" i="1"/>
  <c r="BE334" i="1"/>
  <c r="BE333" i="1"/>
  <c r="BE332" i="1"/>
  <c r="BE331" i="1"/>
  <c r="BE330" i="1"/>
  <c r="BE329" i="1"/>
  <c r="BE328" i="1"/>
  <c r="BE327" i="1"/>
  <c r="BE326" i="1"/>
  <c r="BE325" i="1"/>
  <c r="BE324" i="1"/>
  <c r="BE323" i="1"/>
  <c r="BE322" i="1"/>
  <c r="BE321" i="1"/>
  <c r="BE320" i="1"/>
  <c r="BE319" i="1"/>
  <c r="BE318" i="1"/>
  <c r="BE317" i="1"/>
  <c r="BE316" i="1"/>
  <c r="BE315" i="1"/>
  <c r="BE314" i="1"/>
  <c r="BE313" i="1"/>
  <c r="BE312" i="1"/>
  <c r="BE311" i="1"/>
  <c r="BE310" i="1"/>
  <c r="BE309" i="1"/>
  <c r="BE308" i="1"/>
  <c r="BE307" i="1"/>
  <c r="BE306" i="1"/>
  <c r="BE305" i="1"/>
  <c r="BE304" i="1"/>
  <c r="BE303" i="1"/>
  <c r="BE302" i="1"/>
  <c r="BE301" i="1"/>
  <c r="BE300" i="1"/>
  <c r="BE299" i="1"/>
  <c r="BE298" i="1"/>
  <c r="BE297" i="1"/>
  <c r="BE296" i="1"/>
  <c r="BE295" i="1"/>
  <c r="BE294" i="1"/>
  <c r="BE293" i="1"/>
  <c r="BE292" i="1"/>
  <c r="BE291" i="1"/>
  <c r="BE290" i="1"/>
  <c r="BE289" i="1"/>
  <c r="BE288" i="1"/>
  <c r="BE287" i="1"/>
  <c r="BE286" i="1"/>
  <c r="BE285" i="1"/>
  <c r="BE284" i="1"/>
  <c r="BE283" i="1"/>
  <c r="BE282" i="1"/>
  <c r="BE281" i="1"/>
  <c r="BE280" i="1"/>
  <c r="BE279" i="1"/>
  <c r="BE278" i="1"/>
  <c r="BE277" i="1"/>
  <c r="BE276" i="1"/>
  <c r="BE275" i="1"/>
  <c r="BE274" i="1"/>
  <c r="BE273" i="1"/>
  <c r="BE272" i="1"/>
  <c r="BE271" i="1"/>
  <c r="BE270" i="1"/>
  <c r="BE269" i="1"/>
  <c r="BE268" i="1"/>
  <c r="BE267" i="1"/>
  <c r="BE266" i="1"/>
  <c r="BE265" i="1"/>
  <c r="BE264" i="1"/>
  <c r="BE263" i="1"/>
  <c r="BE262" i="1"/>
  <c r="BE261" i="1"/>
  <c r="BE260" i="1"/>
  <c r="BE259" i="1"/>
  <c r="BE258" i="1"/>
  <c r="BE257" i="1"/>
  <c r="BE256" i="1"/>
  <c r="BE255" i="1"/>
  <c r="BE254" i="1"/>
  <c r="BE253" i="1"/>
  <c r="BE252" i="1"/>
  <c r="BE251" i="1"/>
  <c r="BE250" i="1"/>
  <c r="BE249" i="1"/>
  <c r="BE248" i="1"/>
  <c r="BE247" i="1"/>
  <c r="BE246" i="1"/>
  <c r="BE245" i="1"/>
  <c r="BE244" i="1"/>
  <c r="BE243" i="1"/>
  <c r="BE242" i="1"/>
  <c r="BE241" i="1"/>
  <c r="BE240" i="1"/>
  <c r="BE239" i="1"/>
  <c r="BE238" i="1"/>
  <c r="BE237" i="1"/>
  <c r="BE236" i="1"/>
  <c r="BE235" i="1"/>
  <c r="BE234" i="1"/>
  <c r="BE233" i="1"/>
  <c r="BE232" i="1"/>
  <c r="BE231" i="1"/>
  <c r="BE230" i="1"/>
  <c r="BE229" i="1"/>
  <c r="BE228" i="1"/>
  <c r="BE227" i="1"/>
  <c r="BE226" i="1"/>
  <c r="BE225" i="1"/>
  <c r="BE224" i="1"/>
  <c r="BE223" i="1"/>
  <c r="BE222" i="1"/>
  <c r="BE221" i="1"/>
  <c r="BE220" i="1"/>
  <c r="BE219" i="1"/>
  <c r="BE218" i="1"/>
  <c r="BE217" i="1"/>
  <c r="BE216" i="1"/>
  <c r="BE215" i="1"/>
  <c r="BE214" i="1"/>
  <c r="BE213" i="1"/>
  <c r="BE212" i="1"/>
  <c r="BE211" i="1"/>
  <c r="BE210" i="1"/>
  <c r="BE209" i="1"/>
  <c r="BE208" i="1"/>
  <c r="BE207" i="1"/>
  <c r="BE206" i="1"/>
  <c r="BE205" i="1"/>
  <c r="BE204" i="1"/>
  <c r="BE203" i="1"/>
  <c r="BE202" i="1"/>
  <c r="BE201" i="1"/>
  <c r="BE200" i="1"/>
  <c r="BE199" i="1"/>
  <c r="BE198" i="1"/>
  <c r="BE197" i="1"/>
  <c r="BE196" i="1"/>
  <c r="BE195" i="1"/>
  <c r="BE194" i="1"/>
  <c r="BE193" i="1"/>
  <c r="BE192" i="1"/>
  <c r="BE191" i="1"/>
  <c r="BE190" i="1"/>
  <c r="BE189" i="1"/>
  <c r="BE188" i="1"/>
  <c r="BE187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150" i="1"/>
  <c r="BE149" i="1"/>
  <c r="BE14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BE126" i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19" i="1"/>
  <c r="BE29" i="1"/>
  <c r="BE28" i="1"/>
  <c r="BE27" i="1"/>
  <c r="BE26" i="1"/>
  <c r="BE25" i="1"/>
  <c r="BE24" i="1"/>
  <c r="BE23" i="1"/>
  <c r="BE22" i="1"/>
  <c r="BE21" i="1"/>
  <c r="BE20" i="1"/>
  <c r="BE18" i="1"/>
  <c r="BE16" i="1"/>
  <c r="BE14" i="1"/>
  <c r="BE11" i="1"/>
  <c r="BE9" i="1"/>
  <c r="BE7" i="1"/>
  <c r="BE6" i="1"/>
  <c r="BE8" i="1"/>
  <c r="BE10" i="1"/>
  <c r="BE12" i="1"/>
  <c r="BE13" i="1"/>
  <c r="BE15" i="1"/>
  <c r="BE17" i="1"/>
  <c r="BE5" i="1"/>
  <c r="BE3" i="1"/>
  <c r="BE4" i="1"/>
  <c r="BE2" i="1"/>
  <c r="BK495" i="1" l="1"/>
  <c r="EK70" i="3"/>
  <c r="EL70" i="3" s="1"/>
  <c r="Z85" i="11"/>
  <c r="DG235" i="3"/>
  <c r="Z133" i="11"/>
  <c r="E496" i="1"/>
  <c r="B496" i="1" s="1"/>
  <c r="U469" i="1"/>
  <c r="BK496" i="1" l="1"/>
  <c r="EK71" i="3"/>
  <c r="EL71" i="3" s="1"/>
  <c r="Z86" i="11"/>
  <c r="DG236" i="3"/>
  <c r="Z134" i="11"/>
  <c r="E497" i="1"/>
  <c r="B497" i="1" s="1"/>
  <c r="F491" i="1"/>
  <c r="H491" i="1" s="1"/>
  <c r="AE491" i="1"/>
  <c r="AG491" i="1" s="1"/>
  <c r="AH491" i="1"/>
  <c r="R490" i="1"/>
  <c r="S490" i="1"/>
  <c r="BK497" i="1" l="1"/>
  <c r="EK72" i="3"/>
  <c r="EL72" i="3" s="1"/>
  <c r="Z87" i="11"/>
  <c r="DG237" i="3"/>
  <c r="Z135" i="11"/>
  <c r="E498" i="1"/>
  <c r="B498" i="1" s="1"/>
  <c r="AF491" i="1"/>
  <c r="DG238" i="3" l="1"/>
  <c r="BK498" i="1"/>
  <c r="EK73" i="3"/>
  <c r="EL73" i="3" s="1"/>
  <c r="Z88" i="11"/>
  <c r="Z136" i="11"/>
  <c r="E499" i="1"/>
  <c r="B499" i="1" s="1"/>
  <c r="EB65" i="3"/>
  <c r="EB194" i="3" s="1"/>
  <c r="DY65" i="3"/>
  <c r="DW65" i="3"/>
  <c r="DW194" i="3" s="1"/>
  <c r="DQ65" i="3"/>
  <c r="DM65" i="3"/>
  <c r="DJ65" i="3"/>
  <c r="DJ194" i="3" s="1"/>
  <c r="DH65" i="3"/>
  <c r="DH194" i="3" s="1"/>
  <c r="CY65" i="3"/>
  <c r="CY194" i="3" s="1"/>
  <c r="DA65" i="3"/>
  <c r="DA194" i="3" s="1"/>
  <c r="DB65" i="3"/>
  <c r="DB194" i="3" s="1"/>
  <c r="DC65" i="3"/>
  <c r="DC194" i="3" s="1"/>
  <c r="CM65" i="3"/>
  <c r="CB65" i="3"/>
  <c r="BQ65" i="3"/>
  <c r="BF65" i="3"/>
  <c r="AU65" i="3"/>
  <c r="AJ65" i="3"/>
  <c r="AQ65" i="3" s="1"/>
  <c r="AQ194" i="3" s="1"/>
  <c r="AB65" i="3"/>
  <c r="U65" i="3"/>
  <c r="U194" i="3" s="1"/>
  <c r="V65" i="3"/>
  <c r="C65" i="3"/>
  <c r="B193" i="3"/>
  <c r="F193" i="3"/>
  <c r="I193" i="3"/>
  <c r="M193" i="3"/>
  <c r="N193" i="3"/>
  <c r="O193" i="3"/>
  <c r="P193" i="3"/>
  <c r="Q193" i="3"/>
  <c r="R193" i="3"/>
  <c r="S193" i="3"/>
  <c r="T193" i="3"/>
  <c r="Z193" i="3"/>
  <c r="AA193" i="3"/>
  <c r="AI193" i="3"/>
  <c r="AK193" i="3"/>
  <c r="AL193" i="3"/>
  <c r="AO193" i="3"/>
  <c r="AP193" i="3"/>
  <c r="AT193" i="3"/>
  <c r="AV193" i="3"/>
  <c r="AW193" i="3"/>
  <c r="AZ193" i="3"/>
  <c r="BA193" i="3"/>
  <c r="BE193" i="3"/>
  <c r="BG193" i="3"/>
  <c r="BH193" i="3"/>
  <c r="BK193" i="3"/>
  <c r="BL193" i="3"/>
  <c r="BP193" i="3"/>
  <c r="BR193" i="3"/>
  <c r="BS193" i="3"/>
  <c r="BV193" i="3"/>
  <c r="BW193" i="3"/>
  <c r="CA193" i="3"/>
  <c r="CC193" i="3"/>
  <c r="CG193" i="3"/>
  <c r="CH193" i="3"/>
  <c r="CL193" i="3"/>
  <c r="CN193" i="3"/>
  <c r="CR193" i="3"/>
  <c r="CS193" i="3"/>
  <c r="DE193" i="3"/>
  <c r="DF193" i="3"/>
  <c r="DG193" i="3"/>
  <c r="DI193" i="3"/>
  <c r="DK193" i="3"/>
  <c r="DL193" i="3"/>
  <c r="DN193" i="3"/>
  <c r="DO193" i="3"/>
  <c r="DP193" i="3"/>
  <c r="DT193" i="3"/>
  <c r="DU193" i="3"/>
  <c r="DV193" i="3"/>
  <c r="DX193" i="3"/>
  <c r="DZ193" i="3"/>
  <c r="EA193" i="3"/>
  <c r="EC193" i="3"/>
  <c r="ED193" i="3"/>
  <c r="EE193" i="3"/>
  <c r="EF193" i="3"/>
  <c r="DG239" i="3" l="1"/>
  <c r="EJ65" i="3"/>
  <c r="EO65" i="3" s="1"/>
  <c r="AB194" i="3"/>
  <c r="DM194" i="3"/>
  <c r="BK499" i="1"/>
  <c r="EK74" i="3"/>
  <c r="EL74" i="3" s="1"/>
  <c r="Z89" i="11"/>
  <c r="BB490" i="1"/>
  <c r="Z137" i="11"/>
  <c r="E500" i="1"/>
  <c r="B500" i="1" s="1"/>
  <c r="F499" i="1"/>
  <c r="D490" i="1"/>
  <c r="C490" i="1" s="1"/>
  <c r="DY194" i="3"/>
  <c r="DQ194" i="3"/>
  <c r="CP65" i="3"/>
  <c r="CP194" i="3" s="1"/>
  <c r="CM194" i="3"/>
  <c r="CI65" i="3"/>
  <c r="CI194" i="3" s="1"/>
  <c r="CB194" i="3"/>
  <c r="BX65" i="3"/>
  <c r="BX194" i="3" s="1"/>
  <c r="BQ194" i="3"/>
  <c r="BI65" i="3"/>
  <c r="BI194" i="3" s="1"/>
  <c r="BF194" i="3"/>
  <c r="AX65" i="3"/>
  <c r="AX194" i="3" s="1"/>
  <c r="AU194" i="3"/>
  <c r="AM65" i="3"/>
  <c r="AM194" i="3" s="1"/>
  <c r="AJ194" i="3"/>
  <c r="T490" i="1"/>
  <c r="V194" i="3"/>
  <c r="D65" i="3"/>
  <c r="D194" i="3" s="1"/>
  <c r="C194" i="3"/>
  <c r="J65" i="3"/>
  <c r="J194" i="3" s="1"/>
  <c r="CE65" i="3"/>
  <c r="CE194" i="3" s="1"/>
  <c r="W65" i="3"/>
  <c r="DR65" i="3"/>
  <c r="DR194" i="3" s="1"/>
  <c r="CT65" i="3"/>
  <c r="E65" i="3"/>
  <c r="BM65" i="3"/>
  <c r="BM194" i="3" s="1"/>
  <c r="EG65" i="3"/>
  <c r="EG194" i="3" s="1"/>
  <c r="BB65" i="3"/>
  <c r="BB194" i="3" s="1"/>
  <c r="BT65" i="3"/>
  <c r="BT194" i="3" s="1"/>
  <c r="K65" i="3"/>
  <c r="K194" i="3" s="1"/>
  <c r="CX65" i="3"/>
  <c r="CX194" i="3" s="1"/>
  <c r="BK500" i="1" l="1"/>
  <c r="EK75" i="3"/>
  <c r="EL75" i="3" s="1"/>
  <c r="Z90" i="11"/>
  <c r="Z138" i="11"/>
  <c r="E194" i="3"/>
  <c r="B490" i="1"/>
  <c r="E501" i="1"/>
  <c r="B501" i="1" s="1"/>
  <c r="BO65" i="3"/>
  <c r="BO194" i="3" s="1"/>
  <c r="BY65" i="3"/>
  <c r="BY194" i="3" s="1"/>
  <c r="AY65" i="3"/>
  <c r="AY194" i="3" s="1"/>
  <c r="CV65" i="3"/>
  <c r="CV194" i="3" s="1"/>
  <c r="CT194" i="3"/>
  <c r="CK65" i="3"/>
  <c r="CK194" i="3" s="1"/>
  <c r="AN65" i="3"/>
  <c r="AN194" i="3" s="1"/>
  <c r="AS65" i="3"/>
  <c r="AS194" i="3" s="1"/>
  <c r="BC65" i="3"/>
  <c r="BC194" i="3" s="1"/>
  <c r="CQ65" i="3"/>
  <c r="CQ194" i="3" s="1"/>
  <c r="W194" i="3"/>
  <c r="CF65" i="3"/>
  <c r="CF194" i="3" s="1"/>
  <c r="BJ65" i="3"/>
  <c r="BJ194" i="3" s="1"/>
  <c r="AR65" i="3"/>
  <c r="AR194" i="3" s="1"/>
  <c r="CU65" i="3"/>
  <c r="CU194" i="3" s="1"/>
  <c r="P490" i="1"/>
  <c r="X65" i="3"/>
  <c r="X194" i="3" s="1"/>
  <c r="CJ65" i="3"/>
  <c r="CJ194" i="3" s="1"/>
  <c r="BN65" i="3"/>
  <c r="BN194" i="3" s="1"/>
  <c r="L65" i="3"/>
  <c r="L194" i="3" s="1"/>
  <c r="K490" i="1"/>
  <c r="Y65" i="3"/>
  <c r="Y194" i="3" s="1"/>
  <c r="BU65" i="3"/>
  <c r="BU194" i="3" s="1"/>
  <c r="BZ65" i="3"/>
  <c r="BZ194" i="3" s="1"/>
  <c r="BD65" i="3"/>
  <c r="BD194" i="3" s="1"/>
  <c r="E568" i="9"/>
  <c r="E569" i="9"/>
  <c r="E564" i="9"/>
  <c r="E563" i="9"/>
  <c r="E555" i="9"/>
  <c r="E556" i="9"/>
  <c r="E559" i="9"/>
  <c r="E560" i="9"/>
  <c r="BK501" i="1" l="1"/>
  <c r="EK76" i="3"/>
  <c r="EL76" i="3" s="1"/>
  <c r="BK490" i="1"/>
  <c r="EK65" i="3"/>
  <c r="EL65" i="3" s="1"/>
  <c r="Z91" i="11"/>
  <c r="E557" i="9"/>
  <c r="E565" i="9"/>
  <c r="Z139" i="11"/>
  <c r="E502" i="1"/>
  <c r="B502" i="1" s="1"/>
  <c r="E561" i="9"/>
  <c r="E570" i="9"/>
  <c r="AE490" i="1"/>
  <c r="AG490" i="1" s="1"/>
  <c r="AH490" i="1"/>
  <c r="BK502" i="1" l="1"/>
  <c r="EK77" i="3"/>
  <c r="EL77" i="3" s="1"/>
  <c r="Z92" i="11"/>
  <c r="Z140" i="11"/>
  <c r="E503" i="1"/>
  <c r="B503" i="1" s="1"/>
  <c r="AF490" i="1"/>
  <c r="BK503" i="1" l="1"/>
  <c r="EK78" i="3"/>
  <c r="EL78" i="3" s="1"/>
  <c r="Z93" i="11"/>
  <c r="Z141" i="11"/>
  <c r="E504" i="1"/>
  <c r="B504" i="1" s="1"/>
  <c r="R489" i="1"/>
  <c r="S489" i="1"/>
  <c r="BK504" i="1" l="1"/>
  <c r="EK79" i="3"/>
  <c r="EL79" i="3" s="1"/>
  <c r="Z94" i="11"/>
  <c r="Z142" i="11"/>
  <c r="E505" i="1"/>
  <c r="B505" i="1" s="1"/>
  <c r="AM348" i="2"/>
  <c r="AN348" i="2" s="1"/>
  <c r="AM282" i="2"/>
  <c r="AM283" i="2" s="1"/>
  <c r="AN283" i="2" s="1"/>
  <c r="BK505" i="1" l="1"/>
  <c r="EK80" i="3"/>
  <c r="EL80" i="3" s="1"/>
  <c r="Z95" i="11"/>
  <c r="AN282" i="2"/>
  <c r="AM294" i="2"/>
  <c r="AM295" i="2" s="1"/>
  <c r="AN295" i="2" s="1"/>
  <c r="Z143" i="11"/>
  <c r="E506" i="1"/>
  <c r="B506" i="1" s="1"/>
  <c r="EB64" i="3"/>
  <c r="EB193" i="3" s="1"/>
  <c r="DY64" i="3"/>
  <c r="DW64" i="3"/>
  <c r="DW193" i="3" s="1"/>
  <c r="DQ64" i="3"/>
  <c r="DM64" i="3"/>
  <c r="DJ64" i="3"/>
  <c r="DJ193" i="3" s="1"/>
  <c r="DH64" i="3"/>
  <c r="DH193" i="3" s="1"/>
  <c r="CY64" i="3"/>
  <c r="CY193" i="3" s="1"/>
  <c r="DA64" i="3"/>
  <c r="DA193" i="3" s="1"/>
  <c r="DB64" i="3"/>
  <c r="DB193" i="3" s="1"/>
  <c r="DC64" i="3"/>
  <c r="DC193" i="3" s="1"/>
  <c r="CM64" i="3"/>
  <c r="CB64" i="3"/>
  <c r="BQ64" i="3"/>
  <c r="BT64" i="3" s="1"/>
  <c r="BT193" i="3" s="1"/>
  <c r="BF64" i="3"/>
  <c r="BF193" i="3" s="1"/>
  <c r="AU64" i="3"/>
  <c r="AJ64" i="3"/>
  <c r="AM64" i="3" s="1"/>
  <c r="AM193" i="3" s="1"/>
  <c r="AB64" i="3"/>
  <c r="U64" i="3"/>
  <c r="U193" i="3" s="1"/>
  <c r="V64" i="3"/>
  <c r="C64" i="3"/>
  <c r="B192" i="3"/>
  <c r="F192" i="3"/>
  <c r="I192" i="3"/>
  <c r="M192" i="3"/>
  <c r="N192" i="3"/>
  <c r="O192" i="3"/>
  <c r="P192" i="3"/>
  <c r="Q192" i="3"/>
  <c r="R192" i="3"/>
  <c r="S192" i="3"/>
  <c r="T192" i="3"/>
  <c r="Z192" i="3"/>
  <c r="AA192" i="3"/>
  <c r="AI192" i="3"/>
  <c r="AK192" i="3"/>
  <c r="AL192" i="3"/>
  <c r="AO192" i="3"/>
  <c r="AP192" i="3"/>
  <c r="AT192" i="3"/>
  <c r="AV192" i="3"/>
  <c r="AW192" i="3"/>
  <c r="AZ192" i="3"/>
  <c r="BA192" i="3"/>
  <c r="BE192" i="3"/>
  <c r="BG192" i="3"/>
  <c r="BH192" i="3"/>
  <c r="BK192" i="3"/>
  <c r="BL192" i="3"/>
  <c r="BP192" i="3"/>
  <c r="BR192" i="3"/>
  <c r="BS192" i="3"/>
  <c r="BV192" i="3"/>
  <c r="BW192" i="3"/>
  <c r="CA192" i="3"/>
  <c r="CC192" i="3"/>
  <c r="CD192" i="3"/>
  <c r="CG192" i="3"/>
  <c r="CH192" i="3"/>
  <c r="CL192" i="3"/>
  <c r="CN192" i="3"/>
  <c r="CO192" i="3"/>
  <c r="CR192" i="3"/>
  <c r="CS192" i="3"/>
  <c r="DE192" i="3"/>
  <c r="DF192" i="3"/>
  <c r="DG192" i="3"/>
  <c r="DI192" i="3"/>
  <c r="DK192" i="3"/>
  <c r="DL192" i="3"/>
  <c r="DN192" i="3"/>
  <c r="DO192" i="3"/>
  <c r="DP192" i="3"/>
  <c r="DT192" i="3"/>
  <c r="DU192" i="3"/>
  <c r="DV192" i="3"/>
  <c r="DX192" i="3"/>
  <c r="DZ192" i="3"/>
  <c r="EA192" i="3"/>
  <c r="EC192" i="3"/>
  <c r="ED192" i="3"/>
  <c r="EE192" i="3"/>
  <c r="EF192" i="3"/>
  <c r="EJ64" i="3" l="1"/>
  <c r="EO64" i="3" s="1"/>
  <c r="DM193" i="3"/>
  <c r="AB193" i="3"/>
  <c r="BK506" i="1"/>
  <c r="EK81" i="3"/>
  <c r="EL81" i="3" s="1"/>
  <c r="AN294" i="2"/>
  <c r="Z96" i="11"/>
  <c r="BB489" i="1"/>
  <c r="Z144" i="11"/>
  <c r="E507" i="1"/>
  <c r="B507" i="1" s="1"/>
  <c r="F506" i="1"/>
  <c r="D489" i="1"/>
  <c r="C489" i="1" s="1"/>
  <c r="DY193" i="3"/>
  <c r="DQ193" i="3"/>
  <c r="V193" i="3"/>
  <c r="T489" i="1"/>
  <c r="DR64" i="3"/>
  <c r="DR193" i="3" s="1"/>
  <c r="CT64" i="3"/>
  <c r="CT193" i="3" s="1"/>
  <c r="CM193" i="3"/>
  <c r="CE64" i="3"/>
  <c r="CE193" i="3" s="1"/>
  <c r="CB193" i="3"/>
  <c r="BX64" i="3"/>
  <c r="BX193" i="3" s="1"/>
  <c r="BQ193" i="3"/>
  <c r="BM64" i="3"/>
  <c r="BM193" i="3" s="1"/>
  <c r="BI64" i="3"/>
  <c r="BI193" i="3" s="1"/>
  <c r="BB64" i="3"/>
  <c r="BB193" i="3" s="1"/>
  <c r="AU193" i="3"/>
  <c r="AQ64" i="3"/>
  <c r="AQ193" i="3" s="1"/>
  <c r="AJ193" i="3"/>
  <c r="D64" i="3"/>
  <c r="D193" i="3" s="1"/>
  <c r="C193" i="3"/>
  <c r="K64" i="3"/>
  <c r="J64" i="3"/>
  <c r="BU64" i="3" s="1"/>
  <c r="BU193" i="3" s="1"/>
  <c r="W64" i="3"/>
  <c r="EG64" i="3"/>
  <c r="EG193" i="3" s="1"/>
  <c r="CI64" i="3"/>
  <c r="CP64" i="3"/>
  <c r="CP193" i="3" s="1"/>
  <c r="CX64" i="3"/>
  <c r="CX193" i="3" s="1"/>
  <c r="AX64" i="3"/>
  <c r="AX193" i="3" s="1"/>
  <c r="E64" i="3"/>
  <c r="BK507" i="1" l="1"/>
  <c r="EK82" i="3"/>
  <c r="EL82" i="3" s="1"/>
  <c r="Z97" i="11"/>
  <c r="Z145" i="11"/>
  <c r="E193" i="3"/>
  <c r="B489" i="1"/>
  <c r="E508" i="1"/>
  <c r="B508" i="1" s="1"/>
  <c r="F507" i="1"/>
  <c r="AS64" i="3"/>
  <c r="AS193" i="3" s="1"/>
  <c r="CK64" i="3"/>
  <c r="CK193" i="3" s="1"/>
  <c r="BZ64" i="3"/>
  <c r="BZ193" i="3" s="1"/>
  <c r="CJ64" i="3"/>
  <c r="CJ193" i="3" s="1"/>
  <c r="CI193" i="3"/>
  <c r="BO64" i="3"/>
  <c r="BO193" i="3" s="1"/>
  <c r="AY64" i="3"/>
  <c r="AY193" i="3" s="1"/>
  <c r="CF64" i="3"/>
  <c r="CF193" i="3" s="1"/>
  <c r="L64" i="3"/>
  <c r="L193" i="3" s="1"/>
  <c r="K193" i="3"/>
  <c r="K489" i="1"/>
  <c r="Y64" i="3"/>
  <c r="Y193" i="3" s="1"/>
  <c r="X64" i="3"/>
  <c r="X193" i="3" s="1"/>
  <c r="W193" i="3"/>
  <c r="P489" i="1"/>
  <c r="BC64" i="3"/>
  <c r="BC193" i="3" s="1"/>
  <c r="CU64" i="3"/>
  <c r="CU193" i="3" s="1"/>
  <c r="BY64" i="3"/>
  <c r="BY193" i="3" s="1"/>
  <c r="J193" i="3"/>
  <c r="AN64" i="3"/>
  <c r="AN193" i="3" s="1"/>
  <c r="BN64" i="3"/>
  <c r="BN193" i="3" s="1"/>
  <c r="AR64" i="3"/>
  <c r="AR193" i="3" s="1"/>
  <c r="BJ64" i="3"/>
  <c r="BJ193" i="3" s="1"/>
  <c r="BD64" i="3"/>
  <c r="BD193" i="3" s="1"/>
  <c r="CQ64" i="3"/>
  <c r="CQ193" i="3" s="1"/>
  <c r="CV64" i="3"/>
  <c r="CV193" i="3" s="1"/>
  <c r="BK508" i="1" l="1"/>
  <c r="EK83" i="3"/>
  <c r="EL83" i="3" s="1"/>
  <c r="BK489" i="1"/>
  <c r="EK64" i="3"/>
  <c r="EL64" i="3" s="1"/>
  <c r="Z98" i="11"/>
  <c r="Z146" i="11"/>
  <c r="E509" i="1"/>
  <c r="B509" i="1" s="1"/>
  <c r="F508" i="1"/>
  <c r="AH487" i="1"/>
  <c r="AH488" i="1"/>
  <c r="AH489" i="1"/>
  <c r="AE489" i="1"/>
  <c r="AG489" i="1" s="1"/>
  <c r="F489" i="1"/>
  <c r="F488" i="1"/>
  <c r="S488" i="1"/>
  <c r="R488" i="1"/>
  <c r="Z99" i="11" l="1"/>
  <c r="BK509" i="1"/>
  <c r="EK84" i="3"/>
  <c r="EL84" i="3" s="1"/>
  <c r="Z147" i="11"/>
  <c r="AF489" i="1"/>
  <c r="E510" i="1"/>
  <c r="B510" i="1" s="1"/>
  <c r="F509" i="1"/>
  <c r="EB63" i="3"/>
  <c r="EB192" i="3" s="1"/>
  <c r="DY63" i="3"/>
  <c r="DW63" i="3"/>
  <c r="DW192" i="3" s="1"/>
  <c r="DQ63" i="3"/>
  <c r="DM63" i="3"/>
  <c r="DJ63" i="3"/>
  <c r="DJ192" i="3" s="1"/>
  <c r="DH63" i="3"/>
  <c r="DH192" i="3" s="1"/>
  <c r="CY63" i="3"/>
  <c r="CY192" i="3" s="1"/>
  <c r="CZ63" i="3"/>
  <c r="CZ192" i="3" s="1"/>
  <c r="DA63" i="3"/>
  <c r="DA192" i="3" s="1"/>
  <c r="DB63" i="3"/>
  <c r="DB192" i="3" s="1"/>
  <c r="DC63" i="3"/>
  <c r="DC192" i="3" s="1"/>
  <c r="CM63" i="3"/>
  <c r="CB63" i="3"/>
  <c r="BQ63" i="3"/>
  <c r="BF63" i="3"/>
  <c r="AU63" i="3"/>
  <c r="AU192" i="3" s="1"/>
  <c r="AJ63" i="3"/>
  <c r="AB63" i="3"/>
  <c r="U63" i="3"/>
  <c r="U192" i="3" s="1"/>
  <c r="V63" i="3"/>
  <c r="V192" i="3" s="1"/>
  <c r="C63" i="3"/>
  <c r="B191" i="3"/>
  <c r="F191" i="3"/>
  <c r="I191" i="3"/>
  <c r="M191" i="3"/>
  <c r="N191" i="3"/>
  <c r="O191" i="3"/>
  <c r="P191" i="3"/>
  <c r="Q191" i="3"/>
  <c r="R191" i="3"/>
  <c r="S191" i="3"/>
  <c r="T191" i="3"/>
  <c r="Z191" i="3"/>
  <c r="AA191" i="3"/>
  <c r="AI191" i="3"/>
  <c r="AK191" i="3"/>
  <c r="AL191" i="3"/>
  <c r="AO191" i="3"/>
  <c r="AP191" i="3"/>
  <c r="AT191" i="3"/>
  <c r="AV191" i="3"/>
  <c r="AW191" i="3"/>
  <c r="AZ191" i="3"/>
  <c r="BA191" i="3"/>
  <c r="BE191" i="3"/>
  <c r="BG191" i="3"/>
  <c r="BH191" i="3"/>
  <c r="BK191" i="3"/>
  <c r="BL191" i="3"/>
  <c r="BP191" i="3"/>
  <c r="BR191" i="3"/>
  <c r="BS191" i="3"/>
  <c r="BV191" i="3"/>
  <c r="BW191" i="3"/>
  <c r="CA191" i="3"/>
  <c r="CC191" i="3"/>
  <c r="CD191" i="3"/>
  <c r="CG191" i="3"/>
  <c r="CH191" i="3"/>
  <c r="CL191" i="3"/>
  <c r="CN191" i="3"/>
  <c r="CO191" i="3"/>
  <c r="CR191" i="3"/>
  <c r="CS191" i="3"/>
  <c r="DE191" i="3"/>
  <c r="DF191" i="3"/>
  <c r="DG191" i="3"/>
  <c r="DI191" i="3"/>
  <c r="DK191" i="3"/>
  <c r="DL191" i="3"/>
  <c r="DN191" i="3"/>
  <c r="DO191" i="3"/>
  <c r="DP191" i="3"/>
  <c r="DT191" i="3"/>
  <c r="DU191" i="3"/>
  <c r="DV191" i="3"/>
  <c r="DX191" i="3"/>
  <c r="DZ191" i="3"/>
  <c r="EA191" i="3"/>
  <c r="EC191" i="3"/>
  <c r="ED191" i="3"/>
  <c r="EE191" i="3"/>
  <c r="EF191" i="3"/>
  <c r="Z100" i="11" l="1"/>
  <c r="Z149" i="11" s="1"/>
  <c r="EJ63" i="3"/>
  <c r="EO63" i="3" s="1"/>
  <c r="Z148" i="11"/>
  <c r="DM192" i="3"/>
  <c r="AB192" i="3"/>
  <c r="BK510" i="1"/>
  <c r="EK85" i="3"/>
  <c r="EL85" i="3" s="1"/>
  <c r="BB488" i="1"/>
  <c r="F510" i="1"/>
  <c r="E511" i="1"/>
  <c r="B511" i="1" s="1"/>
  <c r="W63" i="3"/>
  <c r="K63" i="3"/>
  <c r="D488" i="1"/>
  <c r="C488" i="1" s="1"/>
  <c r="T488" i="1"/>
  <c r="EG63" i="3"/>
  <c r="EG192" i="3" s="1"/>
  <c r="DY192" i="3"/>
  <c r="DQ192" i="3"/>
  <c r="CT63" i="3"/>
  <c r="CT192" i="3" s="1"/>
  <c r="CM192" i="3"/>
  <c r="CE63" i="3"/>
  <c r="CE192" i="3" s="1"/>
  <c r="CB192" i="3"/>
  <c r="CI63" i="3"/>
  <c r="CI192" i="3" s="1"/>
  <c r="BX63" i="3"/>
  <c r="BX192" i="3" s="1"/>
  <c r="BQ192" i="3"/>
  <c r="BI63" i="3"/>
  <c r="BI192" i="3" s="1"/>
  <c r="BF192" i="3"/>
  <c r="BM63" i="3"/>
  <c r="BM192" i="3" s="1"/>
  <c r="BB63" i="3"/>
  <c r="BB192" i="3" s="1"/>
  <c r="AX63" i="3"/>
  <c r="AM63" i="3"/>
  <c r="AM192" i="3" s="1"/>
  <c r="AJ192" i="3"/>
  <c r="D63" i="3"/>
  <c r="D192" i="3" s="1"/>
  <c r="C192" i="3"/>
  <c r="J63" i="3"/>
  <c r="DR63" i="3"/>
  <c r="DR192" i="3" s="1"/>
  <c r="CX63" i="3"/>
  <c r="CX192" i="3" s="1"/>
  <c r="BT63" i="3"/>
  <c r="BT192" i="3" s="1"/>
  <c r="CP63" i="3"/>
  <c r="CP192" i="3" s="1"/>
  <c r="AQ63" i="3"/>
  <c r="E63" i="3"/>
  <c r="BK511" i="1" l="1"/>
  <c r="EK86" i="3"/>
  <c r="EL86" i="3" s="1"/>
  <c r="Z102" i="11"/>
  <c r="E192" i="3"/>
  <c r="B488" i="1"/>
  <c r="E512" i="1"/>
  <c r="B512" i="1" s="1"/>
  <c r="F511" i="1"/>
  <c r="P488" i="1"/>
  <c r="W192" i="3"/>
  <c r="Y63" i="3"/>
  <c r="Y192" i="3" s="1"/>
  <c r="K488" i="1"/>
  <c r="K192" i="3"/>
  <c r="L63" i="3"/>
  <c r="L192" i="3" s="1"/>
  <c r="X63" i="3"/>
  <c r="X192" i="3" s="1"/>
  <c r="CU63" i="3"/>
  <c r="CU192" i="3" s="1"/>
  <c r="AS63" i="3"/>
  <c r="AS192" i="3" s="1"/>
  <c r="BY63" i="3"/>
  <c r="BY192" i="3" s="1"/>
  <c r="BJ63" i="3"/>
  <c r="BJ192" i="3" s="1"/>
  <c r="BO63" i="3"/>
  <c r="BO192" i="3" s="1"/>
  <c r="CK63" i="3"/>
  <c r="CK192" i="3" s="1"/>
  <c r="BN63" i="3"/>
  <c r="BN192" i="3" s="1"/>
  <c r="BC63" i="3"/>
  <c r="BC192" i="3" s="1"/>
  <c r="CJ63" i="3"/>
  <c r="CJ192" i="3" s="1"/>
  <c r="BD63" i="3"/>
  <c r="BD192" i="3" s="1"/>
  <c r="AX192" i="3"/>
  <c r="AR63" i="3"/>
  <c r="AR192" i="3" s="1"/>
  <c r="AQ192" i="3"/>
  <c r="CF63" i="3"/>
  <c r="CF192" i="3" s="1"/>
  <c r="AN63" i="3"/>
  <c r="AN192" i="3" s="1"/>
  <c r="J192" i="3"/>
  <c r="AY63" i="3"/>
  <c r="AY192" i="3" s="1"/>
  <c r="CQ63" i="3"/>
  <c r="CQ192" i="3" s="1"/>
  <c r="CV63" i="3"/>
  <c r="CV192" i="3" s="1"/>
  <c r="BU63" i="3"/>
  <c r="BU192" i="3" s="1"/>
  <c r="BZ63" i="3"/>
  <c r="BZ192" i="3" s="1"/>
  <c r="AE487" i="1"/>
  <c r="Z103" i="11" l="1"/>
  <c r="BK512" i="1"/>
  <c r="EK87" i="3"/>
  <c r="EL87" i="3" s="1"/>
  <c r="BK488" i="1"/>
  <c r="EK63" i="3"/>
  <c r="EL63" i="3" s="1"/>
  <c r="Z151" i="11"/>
  <c r="E513" i="1"/>
  <c r="B513" i="1" s="1"/>
  <c r="F512" i="1"/>
  <c r="AF487" i="1"/>
  <c r="AG487" i="1"/>
  <c r="AE488" i="1"/>
  <c r="R487" i="1"/>
  <c r="S487" i="1"/>
  <c r="Z104" i="11" l="1"/>
  <c r="BK513" i="1"/>
  <c r="EK88" i="3"/>
  <c r="EL88" i="3" s="1"/>
  <c r="Z152" i="11"/>
  <c r="E514" i="1"/>
  <c r="B514" i="1" s="1"/>
  <c r="F513" i="1"/>
  <c r="AF488" i="1"/>
  <c r="AG488" i="1"/>
  <c r="AK41" i="8"/>
  <c r="Z105" i="11" l="1"/>
  <c r="Z108" i="11" s="1"/>
  <c r="Z112" i="11" s="1"/>
  <c r="BK514" i="1"/>
  <c r="EK89" i="3"/>
  <c r="EL89" i="3" s="1"/>
  <c r="Z153" i="11"/>
  <c r="AK42" i="8"/>
  <c r="F514" i="1"/>
  <c r="E515" i="1"/>
  <c r="B515" i="1" s="1"/>
  <c r="AC40" i="8"/>
  <c r="AK35" i="8"/>
  <c r="AC36" i="8"/>
  <c r="Z113" i="11" l="1"/>
  <c r="Z161" i="11"/>
  <c r="BK515" i="1"/>
  <c r="EK90" i="3"/>
  <c r="EL90" i="3" s="1"/>
  <c r="Z157" i="11"/>
  <c r="AK43" i="8"/>
  <c r="E516" i="1"/>
  <c r="B516" i="1" s="1"/>
  <c r="F515" i="1"/>
  <c r="AC65" i="8"/>
  <c r="AK25" i="8"/>
  <c r="AK26" i="8"/>
  <c r="AK27" i="8"/>
  <c r="AK28" i="8"/>
  <c r="AK29" i="8"/>
  <c r="AK30" i="8"/>
  <c r="AK31" i="8"/>
  <c r="AK32" i="8"/>
  <c r="AK33" i="8"/>
  <c r="AK24" i="8"/>
  <c r="K22" i="8"/>
  <c r="Z162" i="11" l="1"/>
  <c r="Z114" i="11"/>
  <c r="BK516" i="1"/>
  <c r="EK91" i="3"/>
  <c r="EL91" i="3" s="1"/>
  <c r="AK44" i="8"/>
  <c r="E517" i="1"/>
  <c r="B517" i="1" s="1"/>
  <c r="F516" i="1"/>
  <c r="AC66" i="8"/>
  <c r="K6" i="8"/>
  <c r="Z117" i="11" l="1"/>
  <c r="Z166" i="11" s="1"/>
  <c r="Z163" i="11"/>
  <c r="BK517" i="1"/>
  <c r="EK92" i="3"/>
  <c r="EL92" i="3" s="1"/>
  <c r="AK45" i="8"/>
  <c r="E518" i="1"/>
  <c r="B518" i="1" s="1"/>
  <c r="F517" i="1"/>
  <c r="AC67" i="8"/>
  <c r="EB62" i="3"/>
  <c r="EB191" i="3" s="1"/>
  <c r="DY62" i="3"/>
  <c r="DW62" i="3"/>
  <c r="DW191" i="3" s="1"/>
  <c r="DQ62" i="3"/>
  <c r="DM62" i="3"/>
  <c r="DJ62" i="3"/>
  <c r="DH62" i="3"/>
  <c r="DH191" i="3" s="1"/>
  <c r="CY62" i="3"/>
  <c r="CY191" i="3" s="1"/>
  <c r="CZ62" i="3"/>
  <c r="CZ191" i="3" s="1"/>
  <c r="DA62" i="3"/>
  <c r="DA191" i="3" s="1"/>
  <c r="DB62" i="3"/>
  <c r="DB191" i="3" s="1"/>
  <c r="DC62" i="3"/>
  <c r="DC191" i="3" s="1"/>
  <c r="CM62" i="3"/>
  <c r="CM191" i="3" s="1"/>
  <c r="CB62" i="3"/>
  <c r="BQ62" i="3"/>
  <c r="BQ191" i="3" s="1"/>
  <c r="BF62" i="3"/>
  <c r="AU62" i="3"/>
  <c r="AJ62" i="3"/>
  <c r="Z118" i="11" l="1"/>
  <c r="DM191" i="3"/>
  <c r="BK518" i="1"/>
  <c r="EK93" i="3"/>
  <c r="EL93" i="3" s="1"/>
  <c r="AK46" i="8"/>
  <c r="E519" i="1"/>
  <c r="B519" i="1" s="1"/>
  <c r="F518" i="1"/>
  <c r="AC68" i="8"/>
  <c r="DY191" i="3"/>
  <c r="EG62" i="3"/>
  <c r="EG191" i="3" s="1"/>
  <c r="BB62" i="3"/>
  <c r="AU191" i="3"/>
  <c r="BM62" i="3"/>
  <c r="BF191" i="3"/>
  <c r="DQ191" i="3"/>
  <c r="CP62" i="3"/>
  <c r="CT62" i="3"/>
  <c r="AJ191" i="3"/>
  <c r="DR62" i="3"/>
  <c r="DR191" i="3" s="1"/>
  <c r="DJ191" i="3"/>
  <c r="BT62" i="3"/>
  <c r="BX62" i="3"/>
  <c r="CE62" i="3"/>
  <c r="CB191" i="3"/>
  <c r="AX62" i="3"/>
  <c r="BI62" i="3"/>
  <c r="CI62" i="3"/>
  <c r="CI191" i="3" s="1"/>
  <c r="AM62" i="3"/>
  <c r="AQ62" i="3"/>
  <c r="AB62" i="3"/>
  <c r="U62" i="3"/>
  <c r="U191" i="3" s="1"/>
  <c r="V62" i="3"/>
  <c r="C62" i="3"/>
  <c r="B190" i="3"/>
  <c r="F190" i="3"/>
  <c r="I190" i="3"/>
  <c r="M190" i="3"/>
  <c r="N190" i="3"/>
  <c r="O190" i="3"/>
  <c r="P190" i="3"/>
  <c r="Q190" i="3"/>
  <c r="R190" i="3"/>
  <c r="S190" i="3"/>
  <c r="T190" i="3"/>
  <c r="Z190" i="3"/>
  <c r="AA190" i="3"/>
  <c r="AI190" i="3"/>
  <c r="AK190" i="3"/>
  <c r="AO190" i="3"/>
  <c r="AP190" i="3"/>
  <c r="AT190" i="3"/>
  <c r="AV190" i="3"/>
  <c r="AW190" i="3"/>
  <c r="AZ190" i="3"/>
  <c r="BA190" i="3"/>
  <c r="BE190" i="3"/>
  <c r="BG190" i="3"/>
  <c r="BH190" i="3"/>
  <c r="BK190" i="3"/>
  <c r="BL190" i="3"/>
  <c r="BP190" i="3"/>
  <c r="BR190" i="3"/>
  <c r="BS190" i="3"/>
  <c r="BV190" i="3"/>
  <c r="BW190" i="3"/>
  <c r="CA190" i="3"/>
  <c r="CC190" i="3"/>
  <c r="CG190" i="3"/>
  <c r="CL190" i="3"/>
  <c r="CN190" i="3"/>
  <c r="CO190" i="3"/>
  <c r="CR190" i="3"/>
  <c r="DE190" i="3"/>
  <c r="DF190" i="3"/>
  <c r="DG190" i="3"/>
  <c r="DI190" i="3"/>
  <c r="DK190" i="3"/>
  <c r="DL190" i="3"/>
  <c r="DN190" i="3"/>
  <c r="DO190" i="3"/>
  <c r="DP190" i="3"/>
  <c r="DT190" i="3"/>
  <c r="DU190" i="3"/>
  <c r="DV190" i="3"/>
  <c r="DX190" i="3"/>
  <c r="DZ190" i="3"/>
  <c r="EA190" i="3"/>
  <c r="EC190" i="3"/>
  <c r="ED190" i="3"/>
  <c r="EE190" i="3"/>
  <c r="EJ62" i="3" l="1"/>
  <c r="EO62" i="3" s="1"/>
  <c r="AB191" i="3"/>
  <c r="BK519" i="1"/>
  <c r="EK94" i="3"/>
  <c r="EL94" i="3" s="1"/>
  <c r="BB487" i="1"/>
  <c r="E520" i="1"/>
  <c r="F519" i="1"/>
  <c r="AC70" i="8"/>
  <c r="D487" i="1"/>
  <c r="C487" i="1" s="1"/>
  <c r="V191" i="3"/>
  <c r="T487" i="1"/>
  <c r="BD62" i="3"/>
  <c r="BD191" i="3" s="1"/>
  <c r="D62" i="3"/>
  <c r="D191" i="3" s="1"/>
  <c r="C191" i="3"/>
  <c r="K62" i="3"/>
  <c r="J62" i="3"/>
  <c r="J191" i="3" s="1"/>
  <c r="W62" i="3"/>
  <c r="CX62" i="3"/>
  <c r="CX191" i="3" s="1"/>
  <c r="AQ191" i="3"/>
  <c r="CT191" i="3"/>
  <c r="AM191" i="3"/>
  <c r="BX191" i="3"/>
  <c r="BI191" i="3"/>
  <c r="BT191" i="3"/>
  <c r="CE191" i="3"/>
  <c r="BM191" i="3"/>
  <c r="CP191" i="3"/>
  <c r="CV62" i="3"/>
  <c r="CV191" i="3" s="1"/>
  <c r="BZ62" i="3"/>
  <c r="BZ191" i="3" s="1"/>
  <c r="AX191" i="3"/>
  <c r="BB191" i="3"/>
  <c r="BO62" i="3"/>
  <c r="BO191" i="3" s="1"/>
  <c r="CK62" i="3"/>
  <c r="CK191" i="3" s="1"/>
  <c r="AS62" i="3"/>
  <c r="AS191" i="3" s="1"/>
  <c r="E62" i="3"/>
  <c r="B487" i="1" s="1"/>
  <c r="S486" i="1"/>
  <c r="R470" i="1"/>
  <c r="R471" i="1"/>
  <c r="R472" i="1"/>
  <c r="R473" i="1"/>
  <c r="R474" i="1"/>
  <c r="R475" i="1"/>
  <c r="R476" i="1"/>
  <c r="R477" i="1"/>
  <c r="R478" i="1"/>
  <c r="R479" i="1"/>
  <c r="T479" i="1" s="1"/>
  <c r="R480" i="1"/>
  <c r="R481" i="1"/>
  <c r="R482" i="1"/>
  <c r="R483" i="1"/>
  <c r="R484" i="1"/>
  <c r="R485" i="1"/>
  <c r="R486" i="1"/>
  <c r="BK487" i="1" l="1"/>
  <c r="EK62" i="3"/>
  <c r="EL62" i="3" s="1"/>
  <c r="AC72" i="8"/>
  <c r="E521" i="1"/>
  <c r="F520" i="1"/>
  <c r="E191" i="3"/>
  <c r="BY62" i="3"/>
  <c r="BY191" i="3" s="1"/>
  <c r="AY62" i="3"/>
  <c r="AY191" i="3" s="1"/>
  <c r="K191" i="3"/>
  <c r="K487" i="1"/>
  <c r="L62" i="3"/>
  <c r="L191" i="3" s="1"/>
  <c r="Y62" i="3"/>
  <c r="Y191" i="3" s="1"/>
  <c r="AN62" i="3"/>
  <c r="AN191" i="3" s="1"/>
  <c r="W191" i="3"/>
  <c r="P487" i="1"/>
  <c r="X62" i="3"/>
  <c r="X191" i="3" s="1"/>
  <c r="CJ62" i="3"/>
  <c r="CJ191" i="3" s="1"/>
  <c r="CQ62" i="3"/>
  <c r="CQ191" i="3" s="1"/>
  <c r="BU62" i="3"/>
  <c r="BU191" i="3" s="1"/>
  <c r="CU62" i="3"/>
  <c r="CU191" i="3" s="1"/>
  <c r="CF62" i="3"/>
  <c r="CF191" i="3" s="1"/>
  <c r="BC62" i="3"/>
  <c r="BC191" i="3" s="1"/>
  <c r="BN62" i="3"/>
  <c r="BN191" i="3" s="1"/>
  <c r="BJ62" i="3"/>
  <c r="BJ191" i="3" s="1"/>
  <c r="AR62" i="3"/>
  <c r="AR191" i="3" s="1"/>
  <c r="DI131" i="3"/>
  <c r="AC77" i="8" l="1"/>
  <c r="F521" i="1"/>
  <c r="E522" i="1"/>
  <c r="EF61" i="3"/>
  <c r="EB61" i="3"/>
  <c r="EB190" i="3" s="1"/>
  <c r="DY61" i="3"/>
  <c r="DW61" i="3"/>
  <c r="DW190" i="3" s="1"/>
  <c r="DQ61" i="3"/>
  <c r="DM61" i="3"/>
  <c r="DJ61" i="3"/>
  <c r="DJ190" i="3" s="1"/>
  <c r="DH61" i="3"/>
  <c r="DH190" i="3" s="1"/>
  <c r="CY61" i="3"/>
  <c r="CY190" i="3" s="1"/>
  <c r="DA61" i="3"/>
  <c r="DA190" i="3" s="1"/>
  <c r="DC61" i="3"/>
  <c r="DC190" i="3" s="1"/>
  <c r="CD61" i="3"/>
  <c r="CH61" i="3"/>
  <c r="CM61" i="3"/>
  <c r="CB61" i="3"/>
  <c r="BQ61" i="3"/>
  <c r="BF61" i="3"/>
  <c r="AU61" i="3"/>
  <c r="AJ61" i="3"/>
  <c r="AB61" i="3"/>
  <c r="V61" i="3"/>
  <c r="U61" i="3"/>
  <c r="U190" i="3" s="1"/>
  <c r="C61" i="3"/>
  <c r="B189" i="3"/>
  <c r="F189" i="3"/>
  <c r="I189" i="3"/>
  <c r="M189" i="3"/>
  <c r="N189" i="3"/>
  <c r="O189" i="3"/>
  <c r="P189" i="3"/>
  <c r="Q189" i="3"/>
  <c r="R189" i="3"/>
  <c r="S189" i="3"/>
  <c r="T189" i="3"/>
  <c r="Z189" i="3"/>
  <c r="AA189" i="3"/>
  <c r="AI189" i="3"/>
  <c r="AK189" i="3"/>
  <c r="AL189" i="3"/>
  <c r="AO189" i="3"/>
  <c r="AP189" i="3"/>
  <c r="AT189" i="3"/>
  <c r="AV189" i="3"/>
  <c r="AW189" i="3"/>
  <c r="AZ189" i="3"/>
  <c r="BA189" i="3"/>
  <c r="BE189" i="3"/>
  <c r="BG189" i="3"/>
  <c r="BH189" i="3"/>
  <c r="BK189" i="3"/>
  <c r="BL189" i="3"/>
  <c r="BP189" i="3"/>
  <c r="BR189" i="3"/>
  <c r="BS189" i="3"/>
  <c r="BV189" i="3"/>
  <c r="BW189" i="3"/>
  <c r="CA189" i="3"/>
  <c r="CC189" i="3"/>
  <c r="CD189" i="3"/>
  <c r="CG189" i="3"/>
  <c r="CH189" i="3"/>
  <c r="CL189" i="3"/>
  <c r="CN189" i="3"/>
  <c r="CO189" i="3"/>
  <c r="CR189" i="3"/>
  <c r="CS189" i="3"/>
  <c r="DE189" i="3"/>
  <c r="DF189" i="3"/>
  <c r="DG189" i="3"/>
  <c r="DI189" i="3"/>
  <c r="DK189" i="3"/>
  <c r="DL189" i="3"/>
  <c r="DN189" i="3"/>
  <c r="DO189" i="3"/>
  <c r="DP189" i="3"/>
  <c r="DT189" i="3"/>
  <c r="DU189" i="3"/>
  <c r="DV189" i="3"/>
  <c r="DX189" i="3"/>
  <c r="DZ189" i="3"/>
  <c r="EA189" i="3"/>
  <c r="EC189" i="3"/>
  <c r="ED189" i="3"/>
  <c r="EE189" i="3"/>
  <c r="EJ61" i="3" l="1"/>
  <c r="EO61" i="3" s="1"/>
  <c r="DM190" i="3"/>
  <c r="AB190" i="3"/>
  <c r="AC78" i="8"/>
  <c r="BB486" i="1"/>
  <c r="E523" i="1"/>
  <c r="F522" i="1"/>
  <c r="EF190" i="3"/>
  <c r="W61" i="3"/>
  <c r="D486" i="1"/>
  <c r="C486" i="1" s="1"/>
  <c r="CD64" i="3"/>
  <c r="V190" i="3"/>
  <c r="T486" i="1"/>
  <c r="EG61" i="3"/>
  <c r="EG190" i="3" s="1"/>
  <c r="DQ190" i="3"/>
  <c r="DY190" i="3"/>
  <c r="CT61" i="3"/>
  <c r="CT190" i="3" s="1"/>
  <c r="CM190" i="3"/>
  <c r="CE61" i="3"/>
  <c r="CE190" i="3" s="1"/>
  <c r="CB190" i="3"/>
  <c r="CI61" i="3"/>
  <c r="CI190" i="3" s="1"/>
  <c r="BX61" i="3"/>
  <c r="BX190" i="3" s="1"/>
  <c r="BQ190" i="3"/>
  <c r="BM61" i="3"/>
  <c r="BM190" i="3" s="1"/>
  <c r="BF190" i="3"/>
  <c r="BB61" i="3"/>
  <c r="BB190" i="3" s="1"/>
  <c r="AU190" i="3"/>
  <c r="AM61" i="3"/>
  <c r="AM190" i="3" s="1"/>
  <c r="AJ190" i="3"/>
  <c r="CS61" i="3"/>
  <c r="CS190" i="3" s="1"/>
  <c r="CH190" i="3"/>
  <c r="AL61" i="3"/>
  <c r="CD190" i="3"/>
  <c r="D61" i="3"/>
  <c r="D190" i="3" s="1"/>
  <c r="C190" i="3"/>
  <c r="K61" i="3"/>
  <c r="J61" i="3"/>
  <c r="J190" i="3" s="1"/>
  <c r="AX61" i="3"/>
  <c r="AX190" i="3" s="1"/>
  <c r="BI61" i="3"/>
  <c r="BI190" i="3" s="1"/>
  <c r="DR61" i="3"/>
  <c r="DR190" i="3" s="1"/>
  <c r="AQ61" i="3"/>
  <c r="BT61" i="3"/>
  <c r="BT190" i="3" s="1"/>
  <c r="CP61" i="3"/>
  <c r="CP190" i="3" s="1"/>
  <c r="CX61" i="3"/>
  <c r="CX190" i="3" s="1"/>
  <c r="E61" i="3"/>
  <c r="B486" i="1" s="1"/>
  <c r="BK486" i="1" l="1"/>
  <c r="EK61" i="3"/>
  <c r="EL61" i="3" s="1"/>
  <c r="AC84" i="8"/>
  <c r="X61" i="3"/>
  <c r="X190" i="3" s="1"/>
  <c r="E524" i="1"/>
  <c r="F523" i="1"/>
  <c r="E190" i="3"/>
  <c r="P486" i="1"/>
  <c r="W190" i="3"/>
  <c r="CD65" i="3"/>
  <c r="CD194" i="3" s="1"/>
  <c r="CO64" i="3"/>
  <c r="CO193" i="3" s="1"/>
  <c r="CD193" i="3"/>
  <c r="BY61" i="3"/>
  <c r="BY190" i="3" s="1"/>
  <c r="CU61" i="3"/>
  <c r="CU190" i="3" s="1"/>
  <c r="CJ61" i="3"/>
  <c r="CJ190" i="3" s="1"/>
  <c r="CK61" i="3"/>
  <c r="CK190" i="3" s="1"/>
  <c r="DB61" i="3"/>
  <c r="DB190" i="3" s="1"/>
  <c r="BN61" i="3"/>
  <c r="BN190" i="3" s="1"/>
  <c r="BO61" i="3"/>
  <c r="BO190" i="3" s="1"/>
  <c r="BD61" i="3"/>
  <c r="BD190" i="3" s="1"/>
  <c r="BC61" i="3"/>
  <c r="BC190" i="3" s="1"/>
  <c r="AR61" i="3"/>
  <c r="AR190" i="3" s="1"/>
  <c r="AQ190" i="3"/>
  <c r="AS61" i="3"/>
  <c r="AS190" i="3" s="1"/>
  <c r="CZ61" i="3"/>
  <c r="CZ190" i="3" s="1"/>
  <c r="AL190" i="3"/>
  <c r="AN61" i="3"/>
  <c r="AN190" i="3" s="1"/>
  <c r="BJ61" i="3"/>
  <c r="BJ190" i="3" s="1"/>
  <c r="BU61" i="3"/>
  <c r="BU190" i="3" s="1"/>
  <c r="AY61" i="3"/>
  <c r="AY190" i="3" s="1"/>
  <c r="L61" i="3"/>
  <c r="L190" i="3" s="1"/>
  <c r="K190" i="3"/>
  <c r="K486" i="1"/>
  <c r="Y61" i="3"/>
  <c r="Y190" i="3" s="1"/>
  <c r="CF61" i="3"/>
  <c r="CF190" i="3" s="1"/>
  <c r="CV61" i="3"/>
  <c r="CV190" i="3" s="1"/>
  <c r="CQ61" i="3"/>
  <c r="CQ190" i="3" s="1"/>
  <c r="BZ61" i="3"/>
  <c r="BZ190" i="3" s="1"/>
  <c r="AH486" i="1"/>
  <c r="AE486" i="1"/>
  <c r="AF486" i="1" s="1"/>
  <c r="AC131" i="8" l="1"/>
  <c r="AC91" i="8"/>
  <c r="E525" i="1"/>
  <c r="F524" i="1"/>
  <c r="CD66" i="3"/>
  <c r="CD195" i="3" s="1"/>
  <c r="CZ64" i="3"/>
  <c r="CZ193" i="3" s="1"/>
  <c r="AG486" i="1"/>
  <c r="AC92" i="8" l="1"/>
  <c r="AC138" i="8"/>
  <c r="F525" i="1"/>
  <c r="E526" i="1"/>
  <c r="CO66" i="3"/>
  <c r="CO195" i="3" s="1"/>
  <c r="CD70" i="3"/>
  <c r="CD199" i="3" s="1"/>
  <c r="S485" i="1"/>
  <c r="AC93" i="8" l="1"/>
  <c r="AC94" i="8" s="1"/>
  <c r="AC139" i="8"/>
  <c r="F526" i="1"/>
  <c r="E527" i="1"/>
  <c r="CO70" i="3"/>
  <c r="CO199" i="3" s="1"/>
  <c r="CZ66" i="3"/>
  <c r="CZ195" i="3" s="1"/>
  <c r="EF57" i="3"/>
  <c r="EF58" i="3"/>
  <c r="EF59" i="3"/>
  <c r="EF60" i="3"/>
  <c r="EB60" i="3"/>
  <c r="EB189" i="3" s="1"/>
  <c r="DY60" i="3"/>
  <c r="DW60" i="3"/>
  <c r="DW189" i="3" s="1"/>
  <c r="DQ60" i="3"/>
  <c r="DM60" i="3"/>
  <c r="DJ60" i="3"/>
  <c r="DJ189" i="3" s="1"/>
  <c r="DH60" i="3"/>
  <c r="DH189" i="3" s="1"/>
  <c r="CY60" i="3"/>
  <c r="CY189" i="3" s="1"/>
  <c r="CZ60" i="3"/>
  <c r="CZ189" i="3" s="1"/>
  <c r="DA60" i="3"/>
  <c r="DA189" i="3" s="1"/>
  <c r="DB60" i="3"/>
  <c r="DB189" i="3" s="1"/>
  <c r="DC60" i="3"/>
  <c r="DC189" i="3" s="1"/>
  <c r="CM60" i="3"/>
  <c r="CB60" i="3"/>
  <c r="BQ60" i="3"/>
  <c r="BF60" i="3"/>
  <c r="AU60" i="3"/>
  <c r="AJ60" i="3"/>
  <c r="AB60" i="3"/>
  <c r="U60" i="3"/>
  <c r="U189" i="3" s="1"/>
  <c r="V60" i="3"/>
  <c r="C60" i="3"/>
  <c r="B188" i="3"/>
  <c r="F188" i="3"/>
  <c r="I188" i="3"/>
  <c r="M188" i="3"/>
  <c r="N188" i="3"/>
  <c r="O188" i="3"/>
  <c r="P188" i="3"/>
  <c r="Q188" i="3"/>
  <c r="R188" i="3"/>
  <c r="S188" i="3"/>
  <c r="T188" i="3"/>
  <c r="Z188" i="3"/>
  <c r="AA188" i="3"/>
  <c r="AI188" i="3"/>
  <c r="AK188" i="3"/>
  <c r="AL188" i="3"/>
  <c r="AO188" i="3"/>
  <c r="AP188" i="3"/>
  <c r="AT188" i="3"/>
  <c r="AV188" i="3"/>
  <c r="AW188" i="3"/>
  <c r="AZ188" i="3"/>
  <c r="BA188" i="3"/>
  <c r="BE188" i="3"/>
  <c r="BG188" i="3"/>
  <c r="BH188" i="3"/>
  <c r="BK188" i="3"/>
  <c r="BL188" i="3"/>
  <c r="BP188" i="3"/>
  <c r="BR188" i="3"/>
  <c r="BS188" i="3"/>
  <c r="BV188" i="3"/>
  <c r="BW188" i="3"/>
  <c r="CA188" i="3"/>
  <c r="CC188" i="3"/>
  <c r="CD188" i="3"/>
  <c r="CG188" i="3"/>
  <c r="CH188" i="3"/>
  <c r="CL188" i="3"/>
  <c r="CN188" i="3"/>
  <c r="CO188" i="3"/>
  <c r="CR188" i="3"/>
  <c r="CS188" i="3"/>
  <c r="DE188" i="3"/>
  <c r="DF188" i="3"/>
  <c r="DG188" i="3"/>
  <c r="DI188" i="3"/>
  <c r="DK188" i="3"/>
  <c r="DL188" i="3"/>
  <c r="DN188" i="3"/>
  <c r="DO188" i="3"/>
  <c r="DP188" i="3"/>
  <c r="DT188" i="3"/>
  <c r="DU188" i="3"/>
  <c r="DV188" i="3"/>
  <c r="DX188" i="3"/>
  <c r="DZ188" i="3"/>
  <c r="EA188" i="3"/>
  <c r="EC188" i="3"/>
  <c r="ED188" i="3"/>
  <c r="EE188" i="3"/>
  <c r="AC140" i="8" l="1"/>
  <c r="EJ60" i="3"/>
  <c r="EO60" i="3" s="1"/>
  <c r="AB189" i="3"/>
  <c r="DM189" i="3"/>
  <c r="AC141" i="8"/>
  <c r="BB485" i="1"/>
  <c r="F527" i="1"/>
  <c r="E528" i="1"/>
  <c r="CZ70" i="3"/>
  <c r="CZ199" i="3" s="1"/>
  <c r="EF189" i="3"/>
  <c r="EF188" i="3"/>
  <c r="D485" i="1"/>
  <c r="C485" i="1" s="1"/>
  <c r="DQ189" i="3"/>
  <c r="V189" i="3"/>
  <c r="T485" i="1"/>
  <c r="DY189" i="3"/>
  <c r="EG60" i="3"/>
  <c r="EG189" i="3" s="1"/>
  <c r="CT60" i="3"/>
  <c r="CT189" i="3" s="1"/>
  <c r="CM189" i="3"/>
  <c r="CE60" i="3"/>
  <c r="CE189" i="3" s="1"/>
  <c r="CB189" i="3"/>
  <c r="CI60" i="3"/>
  <c r="CI189" i="3" s="1"/>
  <c r="BX60" i="3"/>
  <c r="BX189" i="3" s="1"/>
  <c r="BQ189" i="3"/>
  <c r="BI60" i="3"/>
  <c r="BI189" i="3" s="1"/>
  <c r="BF189" i="3"/>
  <c r="AX60" i="3"/>
  <c r="AX189" i="3" s="1"/>
  <c r="AU189" i="3"/>
  <c r="AQ60" i="3"/>
  <c r="AQ189" i="3" s="1"/>
  <c r="AJ189" i="3"/>
  <c r="D60" i="3"/>
  <c r="D189" i="3" s="1"/>
  <c r="C189" i="3"/>
  <c r="K60" i="3"/>
  <c r="W60" i="3"/>
  <c r="J60" i="3"/>
  <c r="J189" i="3" s="1"/>
  <c r="BM60" i="3"/>
  <c r="BM189" i="3" s="1"/>
  <c r="DR60" i="3"/>
  <c r="DR189" i="3" s="1"/>
  <c r="CP60" i="3"/>
  <c r="CP189" i="3" s="1"/>
  <c r="BT60" i="3"/>
  <c r="BT189" i="3" s="1"/>
  <c r="AM60" i="3"/>
  <c r="AM189" i="3" s="1"/>
  <c r="BB60" i="3"/>
  <c r="BB189" i="3" s="1"/>
  <c r="CX60" i="3"/>
  <c r="CX189" i="3" s="1"/>
  <c r="E60" i="3"/>
  <c r="B485" i="1" s="1"/>
  <c r="AH485" i="1"/>
  <c r="AE485" i="1"/>
  <c r="AF485" i="1" s="1"/>
  <c r="S484" i="1"/>
  <c r="BK485" i="1" l="1"/>
  <c r="EK60" i="3"/>
  <c r="EL60" i="3" s="1"/>
  <c r="AC144" i="8"/>
  <c r="F528" i="1"/>
  <c r="E529" i="1"/>
  <c r="F529" i="1" s="1"/>
  <c r="E189" i="3"/>
  <c r="CU60" i="3"/>
  <c r="CU189" i="3" s="1"/>
  <c r="CJ60" i="3"/>
  <c r="CJ189" i="3" s="1"/>
  <c r="CK60" i="3"/>
  <c r="CK189" i="3" s="1"/>
  <c r="BO60" i="3"/>
  <c r="BO189" i="3" s="1"/>
  <c r="CQ60" i="3"/>
  <c r="CQ189" i="3" s="1"/>
  <c r="CF60" i="3"/>
  <c r="CF189" i="3" s="1"/>
  <c r="BU60" i="3"/>
  <c r="BU189" i="3" s="1"/>
  <c r="L60" i="3"/>
  <c r="L189" i="3" s="1"/>
  <c r="K189" i="3"/>
  <c r="K485" i="1"/>
  <c r="Y60" i="3"/>
  <c r="Y189" i="3" s="1"/>
  <c r="BJ60" i="3"/>
  <c r="BJ189" i="3" s="1"/>
  <c r="X60" i="3"/>
  <c r="X189" i="3" s="1"/>
  <c r="W189" i="3"/>
  <c r="P485" i="1"/>
  <c r="BC60" i="3"/>
  <c r="BC189" i="3" s="1"/>
  <c r="BY60" i="3"/>
  <c r="BY189" i="3" s="1"/>
  <c r="BN60" i="3"/>
  <c r="BN189" i="3" s="1"/>
  <c r="AR60" i="3"/>
  <c r="AR189" i="3" s="1"/>
  <c r="AY60" i="3"/>
  <c r="AY189" i="3" s="1"/>
  <c r="CV60" i="3"/>
  <c r="CV189" i="3" s="1"/>
  <c r="BZ60" i="3"/>
  <c r="BZ189" i="3" s="1"/>
  <c r="AN60" i="3"/>
  <c r="AN189" i="3" s="1"/>
  <c r="AS60" i="3"/>
  <c r="AS189" i="3" s="1"/>
  <c r="BD60" i="3"/>
  <c r="BD189" i="3" s="1"/>
  <c r="AG485" i="1"/>
  <c r="EB59" i="3"/>
  <c r="EB188" i="3" s="1"/>
  <c r="DY59" i="3"/>
  <c r="DW59" i="3"/>
  <c r="DW188" i="3" s="1"/>
  <c r="DQ59" i="3"/>
  <c r="DM59" i="3"/>
  <c r="DJ59" i="3"/>
  <c r="DJ188" i="3" s="1"/>
  <c r="DH59" i="3"/>
  <c r="DH188" i="3" s="1"/>
  <c r="CY59" i="3"/>
  <c r="CY188" i="3" s="1"/>
  <c r="CZ59" i="3"/>
  <c r="CZ188" i="3" s="1"/>
  <c r="DA59" i="3"/>
  <c r="DA188" i="3" s="1"/>
  <c r="DB59" i="3"/>
  <c r="DB188" i="3" s="1"/>
  <c r="DC59" i="3"/>
  <c r="DC188" i="3" s="1"/>
  <c r="CM59" i="3"/>
  <c r="CB59" i="3"/>
  <c r="BQ59" i="3"/>
  <c r="BF59" i="3"/>
  <c r="AU59" i="3"/>
  <c r="AJ59" i="3"/>
  <c r="DM188" i="3" l="1"/>
  <c r="E530" i="1"/>
  <c r="DQ188" i="3"/>
  <c r="EG59" i="3"/>
  <c r="EG188" i="3" s="1"/>
  <c r="DY188" i="3"/>
  <c r="CT59" i="3"/>
  <c r="CT188" i="3" s="1"/>
  <c r="CM188" i="3"/>
  <c r="CI59" i="3"/>
  <c r="CI188" i="3" s="1"/>
  <c r="CB188" i="3"/>
  <c r="BX59" i="3"/>
  <c r="BX188" i="3" s="1"/>
  <c r="BQ188" i="3"/>
  <c r="BM59" i="3"/>
  <c r="BM188" i="3" s="1"/>
  <c r="BF188" i="3"/>
  <c r="AX59" i="3"/>
  <c r="AX188" i="3" s="1"/>
  <c r="AU188" i="3"/>
  <c r="AQ59" i="3"/>
  <c r="AQ188" i="3" s="1"/>
  <c r="AJ188" i="3"/>
  <c r="DR59" i="3"/>
  <c r="DR188" i="3" s="1"/>
  <c r="CP59" i="3"/>
  <c r="BB59" i="3"/>
  <c r="BT59" i="3"/>
  <c r="CE59" i="3"/>
  <c r="CE188" i="3" s="1"/>
  <c r="BI59" i="3"/>
  <c r="AM59" i="3"/>
  <c r="AM188" i="3" s="1"/>
  <c r="E531" i="1" l="1"/>
  <c r="B531" i="1" s="1"/>
  <c r="EK106" i="3" s="1"/>
  <c r="EL106" i="3" s="1"/>
  <c r="F530" i="1"/>
  <c r="CV59" i="3"/>
  <c r="CV188" i="3" s="1"/>
  <c r="CP188" i="3"/>
  <c r="BZ59" i="3"/>
  <c r="BZ188" i="3" s="1"/>
  <c r="BT188" i="3"/>
  <c r="BO59" i="3"/>
  <c r="BO188" i="3" s="1"/>
  <c r="BI188" i="3"/>
  <c r="BD59" i="3"/>
  <c r="BD188" i="3" s="1"/>
  <c r="BB188" i="3"/>
  <c r="CK59" i="3"/>
  <c r="CK188" i="3" s="1"/>
  <c r="AS59" i="3"/>
  <c r="AS188" i="3" s="1"/>
  <c r="E532" i="1" l="1"/>
  <c r="F531" i="1"/>
  <c r="AB59" i="3"/>
  <c r="U59" i="3"/>
  <c r="U188" i="3" s="1"/>
  <c r="V59" i="3"/>
  <c r="C59" i="3"/>
  <c r="B187" i="3"/>
  <c r="F187" i="3"/>
  <c r="I187" i="3"/>
  <c r="M187" i="3"/>
  <c r="N187" i="3"/>
  <c r="O187" i="3"/>
  <c r="P187" i="3"/>
  <c r="Q187" i="3"/>
  <c r="R187" i="3"/>
  <c r="S187" i="3"/>
  <c r="T187" i="3"/>
  <c r="Z187" i="3"/>
  <c r="AA187" i="3"/>
  <c r="AI187" i="3"/>
  <c r="AK187" i="3"/>
  <c r="AL187" i="3"/>
  <c r="AO187" i="3"/>
  <c r="AP187" i="3"/>
  <c r="AT187" i="3"/>
  <c r="AV187" i="3"/>
  <c r="AW187" i="3"/>
  <c r="AZ187" i="3"/>
  <c r="BA187" i="3"/>
  <c r="BE187" i="3"/>
  <c r="BG187" i="3"/>
  <c r="BH187" i="3"/>
  <c r="BK187" i="3"/>
  <c r="BL187" i="3"/>
  <c r="BP187" i="3"/>
  <c r="BR187" i="3"/>
  <c r="BS187" i="3"/>
  <c r="BV187" i="3"/>
  <c r="BW187" i="3"/>
  <c r="CA187" i="3"/>
  <c r="CC187" i="3"/>
  <c r="CD187" i="3"/>
  <c r="CG187" i="3"/>
  <c r="CH187" i="3"/>
  <c r="CL187" i="3"/>
  <c r="CN187" i="3"/>
  <c r="CO187" i="3"/>
  <c r="CR187" i="3"/>
  <c r="CS187" i="3"/>
  <c r="DE187" i="3"/>
  <c r="DF187" i="3"/>
  <c r="DG187" i="3"/>
  <c r="DI187" i="3"/>
  <c r="DK187" i="3"/>
  <c r="DL187" i="3"/>
  <c r="DN187" i="3"/>
  <c r="DO187" i="3"/>
  <c r="DP187" i="3"/>
  <c r="DT187" i="3"/>
  <c r="DU187" i="3"/>
  <c r="DV187" i="3"/>
  <c r="DX187" i="3"/>
  <c r="DZ187" i="3"/>
  <c r="EA187" i="3"/>
  <c r="EC187" i="3"/>
  <c r="ED187" i="3"/>
  <c r="EE187" i="3"/>
  <c r="EF187" i="3"/>
  <c r="EJ59" i="3" l="1"/>
  <c r="EO59" i="3" s="1"/>
  <c r="AB188" i="3"/>
  <c r="BB484" i="1"/>
  <c r="F532" i="1"/>
  <c r="E533" i="1"/>
  <c r="F533" i="1" s="1"/>
  <c r="D484" i="1"/>
  <c r="C484" i="1" s="1"/>
  <c r="C188" i="3"/>
  <c r="V188" i="3"/>
  <c r="T484" i="1"/>
  <c r="D59" i="3"/>
  <c r="D188" i="3" s="1"/>
  <c r="CX59" i="3"/>
  <c r="CX188" i="3" s="1"/>
  <c r="K59" i="3"/>
  <c r="J59" i="3"/>
  <c r="J188" i="3" s="1"/>
  <c r="W59" i="3"/>
  <c r="E59" i="3"/>
  <c r="B484" i="1" s="1"/>
  <c r="AH484" i="1"/>
  <c r="AE484" i="1"/>
  <c r="AF484" i="1" s="1"/>
  <c r="S482" i="1"/>
  <c r="S483" i="1"/>
  <c r="BK484" i="1" l="1"/>
  <c r="EK59" i="3"/>
  <c r="EL59" i="3" s="1"/>
  <c r="E534" i="1"/>
  <c r="E188" i="3"/>
  <c r="K188" i="3"/>
  <c r="K484" i="1"/>
  <c r="W188" i="3"/>
  <c r="P484" i="1"/>
  <c r="AY59" i="3"/>
  <c r="AY188" i="3" s="1"/>
  <c r="CQ59" i="3"/>
  <c r="CQ188" i="3" s="1"/>
  <c r="BU59" i="3"/>
  <c r="BU188" i="3" s="1"/>
  <c r="AN59" i="3"/>
  <c r="AN188" i="3" s="1"/>
  <c r="CF59" i="3"/>
  <c r="CF188" i="3" s="1"/>
  <c r="BJ59" i="3"/>
  <c r="BJ188" i="3" s="1"/>
  <c r="X59" i="3"/>
  <c r="X188" i="3" s="1"/>
  <c r="AR59" i="3"/>
  <c r="AR188" i="3" s="1"/>
  <c r="BN59" i="3"/>
  <c r="BN188" i="3" s="1"/>
  <c r="BC59" i="3"/>
  <c r="BC188" i="3" s="1"/>
  <c r="CJ59" i="3"/>
  <c r="CJ188" i="3" s="1"/>
  <c r="CU59" i="3"/>
  <c r="CU188" i="3" s="1"/>
  <c r="BY59" i="3"/>
  <c r="BY188" i="3" s="1"/>
  <c r="L59" i="3"/>
  <c r="L188" i="3" s="1"/>
  <c r="Y59" i="3"/>
  <c r="Y188" i="3" s="1"/>
  <c r="AG484" i="1"/>
  <c r="E535" i="1" l="1"/>
  <c r="F535" i="1" s="1"/>
  <c r="F534" i="1"/>
  <c r="EB58" i="3"/>
  <c r="EB187" i="3" s="1"/>
  <c r="DY58" i="3"/>
  <c r="DW58" i="3"/>
  <c r="DW187" i="3" s="1"/>
  <c r="DQ58" i="3"/>
  <c r="DM58" i="3"/>
  <c r="DJ58" i="3"/>
  <c r="DJ187" i="3" s="1"/>
  <c r="DH58" i="3"/>
  <c r="DH187" i="3" s="1"/>
  <c r="CY58" i="3"/>
  <c r="CY187" i="3" s="1"/>
  <c r="CZ58" i="3"/>
  <c r="CZ187" i="3" s="1"/>
  <c r="DA58" i="3"/>
  <c r="DA187" i="3" s="1"/>
  <c r="DB58" i="3"/>
  <c r="DB187" i="3" s="1"/>
  <c r="DC58" i="3"/>
  <c r="DC187" i="3" s="1"/>
  <c r="CM58" i="3"/>
  <c r="CB58" i="3"/>
  <c r="BQ58" i="3"/>
  <c r="BX58" i="3" s="1"/>
  <c r="BX187" i="3" s="1"/>
  <c r="BF58" i="3"/>
  <c r="AU58" i="3"/>
  <c r="AU187" i="3" s="1"/>
  <c r="AJ58" i="3"/>
  <c r="AB58" i="3"/>
  <c r="U58" i="3"/>
  <c r="U187" i="3" s="1"/>
  <c r="V58" i="3"/>
  <c r="C58" i="3"/>
  <c r="B186" i="3"/>
  <c r="F186" i="3"/>
  <c r="I186" i="3"/>
  <c r="M186" i="3"/>
  <c r="N186" i="3"/>
  <c r="O186" i="3"/>
  <c r="P186" i="3"/>
  <c r="Q186" i="3"/>
  <c r="R186" i="3"/>
  <c r="S186" i="3"/>
  <c r="T186" i="3"/>
  <c r="Z186" i="3"/>
  <c r="AA186" i="3"/>
  <c r="AI186" i="3"/>
  <c r="AK186" i="3"/>
  <c r="AL186" i="3"/>
  <c r="AO186" i="3"/>
  <c r="AP186" i="3"/>
  <c r="AT186" i="3"/>
  <c r="AV186" i="3"/>
  <c r="AW186" i="3"/>
  <c r="AZ186" i="3"/>
  <c r="BA186" i="3"/>
  <c r="BE186" i="3"/>
  <c r="BG186" i="3"/>
  <c r="BH186" i="3"/>
  <c r="BK186" i="3"/>
  <c r="BL186" i="3"/>
  <c r="BP186" i="3"/>
  <c r="BR186" i="3"/>
  <c r="BS186" i="3"/>
  <c r="BV186" i="3"/>
  <c r="BW186" i="3"/>
  <c r="CA186" i="3"/>
  <c r="CC186" i="3"/>
  <c r="CD186" i="3"/>
  <c r="CG186" i="3"/>
  <c r="CH186" i="3"/>
  <c r="CL186" i="3"/>
  <c r="CN186" i="3"/>
  <c r="CO186" i="3"/>
  <c r="CR186" i="3"/>
  <c r="CS186" i="3"/>
  <c r="DE186" i="3"/>
  <c r="DF186" i="3"/>
  <c r="DG186" i="3"/>
  <c r="DI186" i="3"/>
  <c r="DK186" i="3"/>
  <c r="DL186" i="3"/>
  <c r="DN186" i="3"/>
  <c r="DO186" i="3"/>
  <c r="DP186" i="3"/>
  <c r="DT186" i="3"/>
  <c r="DU186" i="3"/>
  <c r="DV186" i="3"/>
  <c r="DX186" i="3"/>
  <c r="DZ186" i="3"/>
  <c r="EA186" i="3"/>
  <c r="EC186" i="3"/>
  <c r="ED186" i="3"/>
  <c r="EE186" i="3"/>
  <c r="EF186" i="3"/>
  <c r="EJ58" i="3" l="1"/>
  <c r="EO58" i="3" s="1"/>
  <c r="AB187" i="3"/>
  <c r="DM187" i="3"/>
  <c r="BB483" i="1"/>
  <c r="E536" i="1"/>
  <c r="DQ187" i="3"/>
  <c r="DY187" i="3"/>
  <c r="W58" i="3"/>
  <c r="D483" i="1"/>
  <c r="C483" i="1" s="1"/>
  <c r="V187" i="3"/>
  <c r="T483" i="1"/>
  <c r="CP58" i="3"/>
  <c r="CP187" i="3" s="1"/>
  <c r="CM187" i="3"/>
  <c r="CI58" i="3"/>
  <c r="CI187" i="3" s="1"/>
  <c r="CB187" i="3"/>
  <c r="BT58" i="3"/>
  <c r="BT187" i="3" s="1"/>
  <c r="BQ187" i="3"/>
  <c r="BM58" i="3"/>
  <c r="BM187" i="3" s="1"/>
  <c r="BF187" i="3"/>
  <c r="AQ58" i="3"/>
  <c r="AQ187" i="3" s="1"/>
  <c r="AJ187" i="3"/>
  <c r="K58" i="3"/>
  <c r="J58" i="3"/>
  <c r="J187" i="3" s="1"/>
  <c r="D58" i="3"/>
  <c r="D187" i="3" s="1"/>
  <c r="C187" i="3"/>
  <c r="DR58" i="3"/>
  <c r="DR187" i="3" s="1"/>
  <c r="CT58" i="3"/>
  <c r="AM58" i="3"/>
  <c r="CX58" i="3"/>
  <c r="CX187" i="3" s="1"/>
  <c r="EG58" i="3"/>
  <c r="EG187" i="3" s="1"/>
  <c r="AX58" i="3"/>
  <c r="AX187" i="3" s="1"/>
  <c r="BB58" i="3"/>
  <c r="BI58" i="3"/>
  <c r="BI187" i="3" s="1"/>
  <c r="CE58" i="3"/>
  <c r="CE187" i="3" s="1"/>
  <c r="E58" i="3"/>
  <c r="B483" i="1" s="1"/>
  <c r="AH483" i="1"/>
  <c r="AE483" i="1"/>
  <c r="AF483" i="1" s="1"/>
  <c r="BK483" i="1" l="1"/>
  <c r="EK58" i="3"/>
  <c r="EL58" i="3" s="1"/>
  <c r="E537" i="1"/>
  <c r="F536" i="1"/>
  <c r="E187" i="3"/>
  <c r="X58" i="3"/>
  <c r="X187" i="3" s="1"/>
  <c r="BY58" i="3"/>
  <c r="BY187" i="3" s="1"/>
  <c r="P483" i="1"/>
  <c r="W187" i="3"/>
  <c r="AR58" i="3"/>
  <c r="AR187" i="3" s="1"/>
  <c r="CJ58" i="3"/>
  <c r="CJ187" i="3" s="1"/>
  <c r="BN58" i="3"/>
  <c r="BN187" i="3" s="1"/>
  <c r="BZ58" i="3"/>
  <c r="BZ187" i="3" s="1"/>
  <c r="BU58" i="3"/>
  <c r="BU187" i="3" s="1"/>
  <c r="CU58" i="3"/>
  <c r="CU187" i="3" s="1"/>
  <c r="CT187" i="3"/>
  <c r="CV58" i="3"/>
  <c r="CV187" i="3" s="1"/>
  <c r="BC58" i="3"/>
  <c r="BC187" i="3" s="1"/>
  <c r="BB187" i="3"/>
  <c r="AS58" i="3"/>
  <c r="AS187" i="3" s="1"/>
  <c r="AM187" i="3"/>
  <c r="AN58" i="3"/>
  <c r="AN187" i="3" s="1"/>
  <c r="CF58" i="3"/>
  <c r="CF187" i="3" s="1"/>
  <c r="CQ58" i="3"/>
  <c r="CQ187" i="3" s="1"/>
  <c r="BJ58" i="3"/>
  <c r="BJ187" i="3" s="1"/>
  <c r="AY58" i="3"/>
  <c r="AY187" i="3" s="1"/>
  <c r="L58" i="3"/>
  <c r="L187" i="3" s="1"/>
  <c r="K187" i="3"/>
  <c r="K483" i="1"/>
  <c r="Y58" i="3"/>
  <c r="Y187" i="3" s="1"/>
  <c r="BO58" i="3"/>
  <c r="BO187" i="3" s="1"/>
  <c r="CK58" i="3"/>
  <c r="CK187" i="3" s="1"/>
  <c r="BD58" i="3"/>
  <c r="BD187" i="3" s="1"/>
  <c r="AG483" i="1"/>
  <c r="S476" i="1"/>
  <c r="E538" i="1" l="1"/>
  <c r="F537" i="1"/>
  <c r="EB57" i="3"/>
  <c r="EB186" i="3" s="1"/>
  <c r="DY57" i="3"/>
  <c r="DW57" i="3"/>
  <c r="DW186" i="3" s="1"/>
  <c r="DQ57" i="3"/>
  <c r="DM57" i="3"/>
  <c r="DJ57" i="3"/>
  <c r="DJ186" i="3" s="1"/>
  <c r="DH57" i="3"/>
  <c r="DH186" i="3" s="1"/>
  <c r="CY57" i="3"/>
  <c r="CY186" i="3" s="1"/>
  <c r="CZ57" i="3"/>
  <c r="CZ186" i="3" s="1"/>
  <c r="DA57" i="3"/>
  <c r="DA186" i="3" s="1"/>
  <c r="DB57" i="3"/>
  <c r="DB186" i="3" s="1"/>
  <c r="DC57" i="3"/>
  <c r="DC186" i="3" s="1"/>
  <c r="CM57" i="3"/>
  <c r="CB57" i="3"/>
  <c r="BQ57" i="3"/>
  <c r="BX57" i="3" s="1"/>
  <c r="BF57" i="3"/>
  <c r="AU57" i="3"/>
  <c r="AJ57" i="3"/>
  <c r="AB57" i="3"/>
  <c r="U57" i="3"/>
  <c r="U186" i="3" s="1"/>
  <c r="V57" i="3"/>
  <c r="C57" i="3"/>
  <c r="B185" i="3"/>
  <c r="F185" i="3"/>
  <c r="I185" i="3"/>
  <c r="M185" i="3"/>
  <c r="N185" i="3"/>
  <c r="O185" i="3"/>
  <c r="P185" i="3"/>
  <c r="Q185" i="3"/>
  <c r="R185" i="3"/>
  <c r="S185" i="3"/>
  <c r="T185" i="3"/>
  <c r="Z185" i="3"/>
  <c r="AA185" i="3"/>
  <c r="AI185" i="3"/>
  <c r="AK185" i="3"/>
  <c r="AL185" i="3"/>
  <c r="AO185" i="3"/>
  <c r="AT185" i="3"/>
  <c r="AV185" i="3"/>
  <c r="AW185" i="3"/>
  <c r="AZ185" i="3"/>
  <c r="BA185" i="3"/>
  <c r="BE185" i="3"/>
  <c r="BG185" i="3"/>
  <c r="BH185" i="3"/>
  <c r="BK185" i="3"/>
  <c r="BL185" i="3"/>
  <c r="BP185" i="3"/>
  <c r="BR185" i="3"/>
  <c r="BS185" i="3"/>
  <c r="BV185" i="3"/>
  <c r="BW185" i="3"/>
  <c r="CA185" i="3"/>
  <c r="CC185" i="3"/>
  <c r="CD185" i="3"/>
  <c r="CG185" i="3"/>
  <c r="CH185" i="3"/>
  <c r="CL185" i="3"/>
  <c r="CN185" i="3"/>
  <c r="CO185" i="3"/>
  <c r="CR185" i="3"/>
  <c r="DE185" i="3"/>
  <c r="DF185" i="3"/>
  <c r="DG185" i="3"/>
  <c r="DI185" i="3"/>
  <c r="DK185" i="3"/>
  <c r="DL185" i="3"/>
  <c r="DN185" i="3"/>
  <c r="DO185" i="3"/>
  <c r="DP185" i="3"/>
  <c r="DT185" i="3"/>
  <c r="DU185" i="3"/>
  <c r="DV185" i="3"/>
  <c r="DX185" i="3"/>
  <c r="DZ185" i="3"/>
  <c r="EA185" i="3"/>
  <c r="EC185" i="3"/>
  <c r="ED185" i="3"/>
  <c r="EE185" i="3"/>
  <c r="EJ57" i="3" l="1"/>
  <c r="EO57" i="3" s="1"/>
  <c r="DM186" i="3"/>
  <c r="AB186" i="3"/>
  <c r="D57" i="3"/>
  <c r="D186" i="3" s="1"/>
  <c r="BB482" i="1"/>
  <c r="F538" i="1"/>
  <c r="E539" i="1"/>
  <c r="C186" i="3"/>
  <c r="D482" i="1"/>
  <c r="C482" i="1" s="1"/>
  <c r="V186" i="3"/>
  <c r="T482" i="1"/>
  <c r="DQ186" i="3"/>
  <c r="W57" i="3"/>
  <c r="E57" i="3"/>
  <c r="K57" i="3"/>
  <c r="J57" i="3"/>
  <c r="J186" i="3" s="1"/>
  <c r="BX186" i="3"/>
  <c r="CE57" i="3"/>
  <c r="CB186" i="3"/>
  <c r="CT57" i="3"/>
  <c r="CT186" i="3" s="1"/>
  <c r="CM186" i="3"/>
  <c r="AM57" i="3"/>
  <c r="AM186" i="3" s="1"/>
  <c r="AJ186" i="3"/>
  <c r="AX57" i="3"/>
  <c r="AU186" i="3"/>
  <c r="DR57" i="3"/>
  <c r="DR186" i="3" s="1"/>
  <c r="BB57" i="3"/>
  <c r="BI57" i="3"/>
  <c r="BF186" i="3"/>
  <c r="EG57" i="3"/>
  <c r="EG186" i="3" s="1"/>
  <c r="DY186" i="3"/>
  <c r="BT57" i="3"/>
  <c r="BZ57" i="3" s="1"/>
  <c r="BZ186" i="3" s="1"/>
  <c r="BQ186" i="3"/>
  <c r="CI57" i="3"/>
  <c r="AQ57" i="3"/>
  <c r="BM57" i="3"/>
  <c r="BM186" i="3" s="1"/>
  <c r="CP57" i="3"/>
  <c r="CX57" i="3"/>
  <c r="CX186" i="3" s="1"/>
  <c r="AE482" i="1"/>
  <c r="AF482" i="1" s="1"/>
  <c r="AH482" i="1"/>
  <c r="S481" i="1"/>
  <c r="E186" i="3" l="1"/>
  <c r="B482" i="1"/>
  <c r="E540" i="1"/>
  <c r="F540" i="1" s="1"/>
  <c r="F539" i="1"/>
  <c r="X57" i="3"/>
  <c r="X186" i="3" s="1"/>
  <c r="BY57" i="3"/>
  <c r="BY186" i="3" s="1"/>
  <c r="W186" i="3"/>
  <c r="P482" i="1"/>
  <c r="BD57" i="3"/>
  <c r="BD186" i="3" s="1"/>
  <c r="L57" i="3"/>
  <c r="L186" i="3" s="1"/>
  <c r="K186" i="3"/>
  <c r="K482" i="1"/>
  <c r="Y57" i="3"/>
  <c r="Y186" i="3" s="1"/>
  <c r="CQ57" i="3"/>
  <c r="CQ186" i="3" s="1"/>
  <c r="CP186" i="3"/>
  <c r="CJ57" i="3"/>
  <c r="CJ186" i="3" s="1"/>
  <c r="CI186" i="3"/>
  <c r="CF57" i="3"/>
  <c r="CF186" i="3" s="1"/>
  <c r="CE186" i="3"/>
  <c r="BC57" i="3"/>
  <c r="BC186" i="3" s="1"/>
  <c r="BB186" i="3"/>
  <c r="CU57" i="3"/>
  <c r="CU186" i="3" s="1"/>
  <c r="AR57" i="3"/>
  <c r="AR186" i="3" s="1"/>
  <c r="AQ186" i="3"/>
  <c r="BJ57" i="3"/>
  <c r="BJ186" i="3" s="1"/>
  <c r="BI186" i="3"/>
  <c r="AN57" i="3"/>
  <c r="AN186" i="3" s="1"/>
  <c r="BU57" i="3"/>
  <c r="BU186" i="3" s="1"/>
  <c r="BT186" i="3"/>
  <c r="AY57" i="3"/>
  <c r="AY186" i="3" s="1"/>
  <c r="AX186" i="3"/>
  <c r="BO57" i="3"/>
  <c r="BO186" i="3" s="1"/>
  <c r="BN57" i="3"/>
  <c r="BN186" i="3" s="1"/>
  <c r="AS57" i="3"/>
  <c r="AS186" i="3" s="1"/>
  <c r="CK57" i="3"/>
  <c r="CK186" i="3" s="1"/>
  <c r="CV57" i="3"/>
  <c r="CV186" i="3" s="1"/>
  <c r="AG482" i="1"/>
  <c r="BK482" i="1" l="1"/>
  <c r="EK57" i="3"/>
  <c r="EL57" i="3" s="1"/>
  <c r="E541" i="1"/>
  <c r="EF56" i="3"/>
  <c r="EB56" i="3"/>
  <c r="EB185" i="3" s="1"/>
  <c r="DY56" i="3"/>
  <c r="DW56" i="3"/>
  <c r="DW185" i="3" s="1"/>
  <c r="DQ56" i="3"/>
  <c r="DM56" i="3"/>
  <c r="DJ56" i="3"/>
  <c r="DH56" i="3"/>
  <c r="DH185" i="3" s="1"/>
  <c r="CY56" i="3"/>
  <c r="CY185" i="3" s="1"/>
  <c r="CZ56" i="3"/>
  <c r="CZ185" i="3" s="1"/>
  <c r="DA56" i="3"/>
  <c r="DA185" i="3" s="1"/>
  <c r="DC56" i="3"/>
  <c r="DC185" i="3" s="1"/>
  <c r="CM56" i="3"/>
  <c r="CP56" i="3" s="1"/>
  <c r="CP185" i="3" s="1"/>
  <c r="CB56" i="3"/>
  <c r="BQ56" i="3"/>
  <c r="BF56" i="3"/>
  <c r="AU56" i="3"/>
  <c r="AJ56" i="3"/>
  <c r="AB56" i="3"/>
  <c r="DM185" i="3" l="1"/>
  <c r="AB185" i="3"/>
  <c r="F541" i="1"/>
  <c r="E542" i="1"/>
  <c r="EF185" i="3"/>
  <c r="DQ185" i="3"/>
  <c r="EG56" i="3"/>
  <c r="EG185" i="3" s="1"/>
  <c r="DY185" i="3"/>
  <c r="DR56" i="3"/>
  <c r="DR185" i="3" s="1"/>
  <c r="DJ185" i="3"/>
  <c r="CT56" i="3"/>
  <c r="CT185" i="3" s="1"/>
  <c r="CM185" i="3"/>
  <c r="CI56" i="3"/>
  <c r="CI185" i="3" s="1"/>
  <c r="CB185" i="3"/>
  <c r="BX56" i="3"/>
  <c r="BX185" i="3" s="1"/>
  <c r="BQ185" i="3"/>
  <c r="BT56" i="3"/>
  <c r="BT185" i="3" s="1"/>
  <c r="BM56" i="3"/>
  <c r="BM185" i="3" s="1"/>
  <c r="BF185" i="3"/>
  <c r="AX56" i="3"/>
  <c r="AX185" i="3" s="1"/>
  <c r="AU185" i="3"/>
  <c r="AM56" i="3"/>
  <c r="AM185" i="3" s="1"/>
  <c r="AJ185" i="3"/>
  <c r="BB56" i="3"/>
  <c r="BB185" i="3" s="1"/>
  <c r="CE56" i="3"/>
  <c r="CE185" i="3" s="1"/>
  <c r="BI56" i="3"/>
  <c r="BI185" i="3" s="1"/>
  <c r="AQ56" i="3"/>
  <c r="AQ185" i="3" s="1"/>
  <c r="E543" i="1" l="1"/>
  <c r="E544" i="1" s="1"/>
  <c r="F542" i="1"/>
  <c r="CV56" i="3"/>
  <c r="CV185" i="3" s="1"/>
  <c r="BZ56" i="3"/>
  <c r="BZ185" i="3" s="1"/>
  <c r="BD56" i="3"/>
  <c r="BD185" i="3" s="1"/>
  <c r="AS56" i="3"/>
  <c r="AS185" i="3" s="1"/>
  <c r="CK56" i="3"/>
  <c r="CK185" i="3" s="1"/>
  <c r="BO56" i="3"/>
  <c r="BO185" i="3" s="1"/>
  <c r="U56" i="3"/>
  <c r="U185" i="3" s="1"/>
  <c r="V56" i="3"/>
  <c r="C56" i="3"/>
  <c r="B184" i="3"/>
  <c r="F184" i="3"/>
  <c r="I184" i="3"/>
  <c r="M184" i="3"/>
  <c r="N184" i="3"/>
  <c r="O184" i="3"/>
  <c r="P184" i="3"/>
  <c r="Q184" i="3"/>
  <c r="R184" i="3"/>
  <c r="S184" i="3"/>
  <c r="T184" i="3"/>
  <c r="Z184" i="3"/>
  <c r="AA184" i="3"/>
  <c r="AI184" i="3"/>
  <c r="AK184" i="3"/>
  <c r="AL184" i="3"/>
  <c r="AO184" i="3"/>
  <c r="AT184" i="3"/>
  <c r="AV184" i="3"/>
  <c r="AW184" i="3"/>
  <c r="AZ184" i="3"/>
  <c r="BA184" i="3"/>
  <c r="BE184" i="3"/>
  <c r="BG184" i="3"/>
  <c r="BH184" i="3"/>
  <c r="BK184" i="3"/>
  <c r="BL184" i="3"/>
  <c r="BP184" i="3"/>
  <c r="BR184" i="3"/>
  <c r="BS184" i="3"/>
  <c r="BV184" i="3"/>
  <c r="BW184" i="3"/>
  <c r="CA184" i="3"/>
  <c r="CC184" i="3"/>
  <c r="CD184" i="3"/>
  <c r="CG184" i="3"/>
  <c r="CH184" i="3"/>
  <c r="CL184" i="3"/>
  <c r="CN184" i="3"/>
  <c r="CO184" i="3"/>
  <c r="CR184" i="3"/>
  <c r="DE184" i="3"/>
  <c r="DF184" i="3"/>
  <c r="DG184" i="3"/>
  <c r="DI184" i="3"/>
  <c r="DK184" i="3"/>
  <c r="DL184" i="3"/>
  <c r="DN184" i="3"/>
  <c r="DO184" i="3"/>
  <c r="DP184" i="3"/>
  <c r="DT184" i="3"/>
  <c r="DU184" i="3"/>
  <c r="DV184" i="3"/>
  <c r="DX184" i="3"/>
  <c r="DZ184" i="3"/>
  <c r="EA184" i="3"/>
  <c r="EC184" i="3"/>
  <c r="ED184" i="3"/>
  <c r="EE184" i="3"/>
  <c r="EJ56" i="3" l="1"/>
  <c r="EO56" i="3" s="1"/>
  <c r="BB481" i="1"/>
  <c r="F543" i="1"/>
  <c r="E56" i="3"/>
  <c r="D481" i="1"/>
  <c r="C481" i="1" s="1"/>
  <c r="V185" i="3"/>
  <c r="T481" i="1"/>
  <c r="D56" i="3"/>
  <c r="D185" i="3" s="1"/>
  <c r="C185" i="3"/>
  <c r="CX56" i="3"/>
  <c r="CX185" i="3" s="1"/>
  <c r="K56" i="3"/>
  <c r="J56" i="3"/>
  <c r="W56" i="3"/>
  <c r="E185" i="3" l="1"/>
  <c r="B481" i="1"/>
  <c r="F544" i="1"/>
  <c r="E545" i="1"/>
  <c r="J185" i="3"/>
  <c r="AN56" i="3"/>
  <c r="AN185" i="3" s="1"/>
  <c r="BU56" i="3"/>
  <c r="BU185" i="3" s="1"/>
  <c r="CQ56" i="3"/>
  <c r="CQ185" i="3" s="1"/>
  <c r="AY56" i="3"/>
  <c r="AY185" i="3" s="1"/>
  <c r="CF56" i="3"/>
  <c r="CF185" i="3" s="1"/>
  <c r="BJ56" i="3"/>
  <c r="BJ185" i="3" s="1"/>
  <c r="X56" i="3"/>
  <c r="X185" i="3" s="1"/>
  <c r="W185" i="3"/>
  <c r="P481" i="1"/>
  <c r="BY56" i="3"/>
  <c r="BY185" i="3" s="1"/>
  <c r="CJ56" i="3"/>
  <c r="CJ185" i="3" s="1"/>
  <c r="BN56" i="3"/>
  <c r="BN185" i="3" s="1"/>
  <c r="CU56" i="3"/>
  <c r="CU185" i="3" s="1"/>
  <c r="BC56" i="3"/>
  <c r="BC185" i="3" s="1"/>
  <c r="AR56" i="3"/>
  <c r="AR185" i="3" s="1"/>
  <c r="L56" i="3"/>
  <c r="L185" i="3" s="1"/>
  <c r="K185" i="3"/>
  <c r="K481" i="1"/>
  <c r="Y56" i="3"/>
  <c r="Y185" i="3" s="1"/>
  <c r="AH481" i="1"/>
  <c r="AE481" i="1"/>
  <c r="AF481" i="1" s="1"/>
  <c r="S480" i="1"/>
  <c r="BK481" i="1" l="1"/>
  <c r="EK56" i="3"/>
  <c r="EL56" i="3" s="1"/>
  <c r="F545" i="1"/>
  <c r="E546" i="1"/>
  <c r="AG481" i="1"/>
  <c r="E547" i="1" l="1"/>
  <c r="F546" i="1"/>
  <c r="BQ53" i="3"/>
  <c r="E548" i="1" l="1"/>
  <c r="F547" i="1"/>
  <c r="EF55" i="3"/>
  <c r="EB55" i="3"/>
  <c r="EB184" i="3" s="1"/>
  <c r="DY55" i="3"/>
  <c r="DW55" i="3"/>
  <c r="DW184" i="3" s="1"/>
  <c r="DQ55" i="3"/>
  <c r="DM55" i="3"/>
  <c r="DJ55" i="3"/>
  <c r="DJ184" i="3" s="1"/>
  <c r="DH55" i="3"/>
  <c r="DH184" i="3" s="1"/>
  <c r="DM184" i="3" l="1"/>
  <c r="F548" i="1"/>
  <c r="E549" i="1"/>
  <c r="DY184" i="3"/>
  <c r="EF184" i="3"/>
  <c r="DQ184" i="3"/>
  <c r="DR55" i="3"/>
  <c r="DR184" i="3" s="1"/>
  <c r="EG55" i="3"/>
  <c r="EG184" i="3" s="1"/>
  <c r="CY183" i="3"/>
  <c r="CZ183" i="3"/>
  <c r="DA183" i="3"/>
  <c r="DB183" i="3"/>
  <c r="DC183" i="3"/>
  <c r="CY55" i="3"/>
  <c r="CY184" i="3" s="1"/>
  <c r="CZ55" i="3"/>
  <c r="CZ184" i="3" s="1"/>
  <c r="DA55" i="3"/>
  <c r="DA184" i="3" s="1"/>
  <c r="DC55" i="3"/>
  <c r="DC184" i="3" s="1"/>
  <c r="CT183" i="3"/>
  <c r="CM55" i="3"/>
  <c r="CE183" i="3"/>
  <c r="CB55" i="3"/>
  <c r="BQ183" i="3"/>
  <c r="BQ55" i="3"/>
  <c r="BF183" i="3"/>
  <c r="BF55" i="3"/>
  <c r="AU183" i="3"/>
  <c r="AU55" i="3"/>
  <c r="AJ55" i="3"/>
  <c r="AB55" i="3"/>
  <c r="U55" i="3"/>
  <c r="U184" i="3" s="1"/>
  <c r="V55" i="3"/>
  <c r="C55" i="3"/>
  <c r="B183" i="3"/>
  <c r="F183" i="3"/>
  <c r="I183" i="3"/>
  <c r="M183" i="3"/>
  <c r="N183" i="3"/>
  <c r="O183" i="3"/>
  <c r="P183" i="3"/>
  <c r="Q183" i="3"/>
  <c r="R183" i="3"/>
  <c r="S183" i="3"/>
  <c r="T183" i="3"/>
  <c r="Z183" i="3"/>
  <c r="AA183" i="3"/>
  <c r="AI183" i="3"/>
  <c r="AK183" i="3"/>
  <c r="AL183" i="3"/>
  <c r="AO183" i="3"/>
  <c r="AP183" i="3"/>
  <c r="AT183" i="3"/>
  <c r="AV183" i="3"/>
  <c r="AW183" i="3"/>
  <c r="AZ183" i="3"/>
  <c r="BA183" i="3"/>
  <c r="BE183" i="3"/>
  <c r="BG183" i="3"/>
  <c r="BH183" i="3"/>
  <c r="BK183" i="3"/>
  <c r="BL183" i="3"/>
  <c r="BP183" i="3"/>
  <c r="BR183" i="3"/>
  <c r="BS183" i="3"/>
  <c r="BV183" i="3"/>
  <c r="BW183" i="3"/>
  <c r="CA183" i="3"/>
  <c r="CC183" i="3"/>
  <c r="CD183" i="3"/>
  <c r="CG183" i="3"/>
  <c r="CH183" i="3"/>
  <c r="CL183" i="3"/>
  <c r="CM183" i="3"/>
  <c r="CN183" i="3"/>
  <c r="CO183" i="3"/>
  <c r="CR183" i="3"/>
  <c r="CS183" i="3"/>
  <c r="DE183" i="3"/>
  <c r="DF183" i="3"/>
  <c r="DG183" i="3"/>
  <c r="DI183" i="3"/>
  <c r="DK183" i="3"/>
  <c r="DL183" i="3"/>
  <c r="DN183" i="3"/>
  <c r="DO183" i="3"/>
  <c r="DP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J55" i="3" l="1"/>
  <c r="EO55" i="3" s="1"/>
  <c r="AB184" i="3"/>
  <c r="BB480" i="1"/>
  <c r="F549" i="1"/>
  <c r="E550" i="1"/>
  <c r="K55" i="3"/>
  <c r="K184" i="3" s="1"/>
  <c r="D480" i="1"/>
  <c r="C480" i="1" s="1"/>
  <c r="V184" i="3"/>
  <c r="T480" i="1"/>
  <c r="CP55" i="3"/>
  <c r="CP184" i="3" s="1"/>
  <c r="CM184" i="3"/>
  <c r="CE55" i="3"/>
  <c r="CE184" i="3" s="1"/>
  <c r="CB184" i="3"/>
  <c r="BT55" i="3"/>
  <c r="BT184" i="3" s="1"/>
  <c r="BQ184" i="3"/>
  <c r="BX55" i="3"/>
  <c r="BX184" i="3" s="1"/>
  <c r="BI55" i="3"/>
  <c r="BI184" i="3" s="1"/>
  <c r="BF184" i="3"/>
  <c r="BB55" i="3"/>
  <c r="BB184" i="3" s="1"/>
  <c r="AU184" i="3"/>
  <c r="AQ55" i="3"/>
  <c r="AQ184" i="3" s="1"/>
  <c r="AJ184" i="3"/>
  <c r="D55" i="3"/>
  <c r="D184" i="3" s="1"/>
  <c r="J55" i="3"/>
  <c r="J184" i="3" s="1"/>
  <c r="C184" i="3"/>
  <c r="W55" i="3"/>
  <c r="AM55" i="3"/>
  <c r="AM184" i="3" s="1"/>
  <c r="BM55" i="3"/>
  <c r="CI55" i="3"/>
  <c r="CT55" i="3"/>
  <c r="CT184" i="3" s="1"/>
  <c r="CP183" i="3"/>
  <c r="CI183" i="3"/>
  <c r="CB183" i="3"/>
  <c r="BT183" i="3"/>
  <c r="BX183" i="3"/>
  <c r="BD183" i="3"/>
  <c r="AJ183" i="3"/>
  <c r="CX55" i="3"/>
  <c r="CX184" i="3" s="1"/>
  <c r="AX55" i="3"/>
  <c r="AX184" i="3" s="1"/>
  <c r="BM183" i="3"/>
  <c r="E55" i="3"/>
  <c r="BB183" i="3"/>
  <c r="CV183" i="3"/>
  <c r="CK183" i="3"/>
  <c r="BZ183" i="3"/>
  <c r="BO183" i="3"/>
  <c r="BI183" i="3"/>
  <c r="AX183" i="3"/>
  <c r="AS183" i="3"/>
  <c r="AQ183" i="3"/>
  <c r="AM183" i="3"/>
  <c r="DM183" i="3"/>
  <c r="DQ183" i="3"/>
  <c r="DH183" i="3"/>
  <c r="E184" i="3" l="1"/>
  <c r="B480" i="1"/>
  <c r="F550" i="1"/>
  <c r="E551" i="1"/>
  <c r="L55" i="3"/>
  <c r="L184" i="3" s="1"/>
  <c r="Y55" i="3"/>
  <c r="Y184" i="3" s="1"/>
  <c r="K480" i="1"/>
  <c r="CU55" i="3"/>
  <c r="CU184" i="3" s="1"/>
  <c r="BZ55" i="3"/>
  <c r="BZ184" i="3" s="1"/>
  <c r="BY55" i="3"/>
  <c r="BY184" i="3" s="1"/>
  <c r="AR55" i="3"/>
  <c r="AR184" i="3" s="1"/>
  <c r="AS55" i="3"/>
  <c r="AS184" i="3" s="1"/>
  <c r="BC55" i="3"/>
  <c r="BC184" i="3" s="1"/>
  <c r="CV55" i="3"/>
  <c r="CV184" i="3" s="1"/>
  <c r="CJ55" i="3"/>
  <c r="CJ184" i="3" s="1"/>
  <c r="CI184" i="3"/>
  <c r="CK55" i="3"/>
  <c r="CK184" i="3" s="1"/>
  <c r="BO55" i="3"/>
  <c r="BO184" i="3" s="1"/>
  <c r="BN55" i="3"/>
  <c r="BN184" i="3" s="1"/>
  <c r="BM184" i="3"/>
  <c r="CQ55" i="3"/>
  <c r="CQ184" i="3" s="1"/>
  <c r="BJ55" i="3"/>
  <c r="BJ184" i="3" s="1"/>
  <c r="AN55" i="3"/>
  <c r="AN184" i="3" s="1"/>
  <c r="BU55" i="3"/>
  <c r="BU184" i="3" s="1"/>
  <c r="CF55" i="3"/>
  <c r="CF184" i="3" s="1"/>
  <c r="X55" i="3"/>
  <c r="X184" i="3" s="1"/>
  <c r="W184" i="3"/>
  <c r="P480" i="1"/>
  <c r="BD55" i="3"/>
  <c r="BD184" i="3" s="1"/>
  <c r="AY55" i="3"/>
  <c r="AY184" i="3" s="1"/>
  <c r="DR183" i="3"/>
  <c r="DJ183" i="3"/>
  <c r="BK480" i="1" l="1"/>
  <c r="EK55" i="3"/>
  <c r="EL55" i="3" s="1"/>
  <c r="E552" i="1"/>
  <c r="F551" i="1"/>
  <c r="AH480" i="1"/>
  <c r="AE480" i="1"/>
  <c r="AG480" i="1" s="1"/>
  <c r="S479" i="1"/>
  <c r="F552" i="1" l="1"/>
  <c r="E553" i="1"/>
  <c r="AF480" i="1"/>
  <c r="AB183" i="3"/>
  <c r="U183" i="3"/>
  <c r="V183" i="3"/>
  <c r="B182" i="3"/>
  <c r="F182" i="3"/>
  <c r="I182" i="3"/>
  <c r="M182" i="3"/>
  <c r="N182" i="3"/>
  <c r="O182" i="3"/>
  <c r="P182" i="3"/>
  <c r="Q182" i="3"/>
  <c r="R182" i="3"/>
  <c r="S182" i="3"/>
  <c r="T182" i="3"/>
  <c r="Z182" i="3"/>
  <c r="AA182" i="3"/>
  <c r="AI182" i="3"/>
  <c r="AK182" i="3"/>
  <c r="AL182" i="3"/>
  <c r="AO182" i="3"/>
  <c r="AP182" i="3"/>
  <c r="AT182" i="3"/>
  <c r="AV182" i="3"/>
  <c r="AW182" i="3"/>
  <c r="AZ182" i="3"/>
  <c r="BA182" i="3"/>
  <c r="BE182" i="3"/>
  <c r="BG182" i="3"/>
  <c r="BH182" i="3"/>
  <c r="BK182" i="3"/>
  <c r="BL182" i="3"/>
  <c r="BP182" i="3"/>
  <c r="BR182" i="3"/>
  <c r="BS182" i="3"/>
  <c r="BV182" i="3"/>
  <c r="BW182" i="3"/>
  <c r="CA182" i="3"/>
  <c r="CC182" i="3"/>
  <c r="CD182" i="3"/>
  <c r="CG182" i="3"/>
  <c r="CH182" i="3"/>
  <c r="CL182" i="3"/>
  <c r="CN182" i="3"/>
  <c r="CO182" i="3"/>
  <c r="CR182" i="3"/>
  <c r="CS182" i="3"/>
  <c r="DE182" i="3"/>
  <c r="DF182" i="3"/>
  <c r="DG182" i="3"/>
  <c r="DI182" i="3"/>
  <c r="DK182" i="3"/>
  <c r="DL182" i="3"/>
  <c r="DN182" i="3"/>
  <c r="DO182" i="3"/>
  <c r="DP182" i="3"/>
  <c r="DT182" i="3"/>
  <c r="DU182" i="3"/>
  <c r="DV182" i="3"/>
  <c r="DX182" i="3"/>
  <c r="DZ182" i="3"/>
  <c r="EA182" i="3"/>
  <c r="EC182" i="3"/>
  <c r="ED182" i="3"/>
  <c r="EE182" i="3"/>
  <c r="E554" i="1" l="1"/>
  <c r="F553" i="1"/>
  <c r="C183" i="3"/>
  <c r="CX183" i="3"/>
  <c r="K183" i="3"/>
  <c r="E183" i="3"/>
  <c r="D183" i="3"/>
  <c r="AE477" i="1"/>
  <c r="AG477" i="1" s="1"/>
  <c r="AH477" i="1"/>
  <c r="E555" i="1" l="1"/>
  <c r="F554" i="1"/>
  <c r="W183" i="3"/>
  <c r="BY183" i="3"/>
  <c r="AR183" i="3"/>
  <c r="BN183" i="3"/>
  <c r="BC183" i="3"/>
  <c r="CJ183" i="3"/>
  <c r="CU183" i="3"/>
  <c r="X183" i="3"/>
  <c r="J183" i="3"/>
  <c r="CQ183" i="3"/>
  <c r="AY183" i="3"/>
  <c r="BJ183" i="3"/>
  <c r="CF183" i="3"/>
  <c r="BU183" i="3"/>
  <c r="AN183" i="3"/>
  <c r="K479" i="1"/>
  <c r="L183" i="3"/>
  <c r="Y183" i="3"/>
  <c r="P479" i="1"/>
  <c r="AF477" i="1"/>
  <c r="F555" i="1" l="1"/>
  <c r="E556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8" i="1"/>
  <c r="AH479" i="1"/>
  <c r="F556" i="1" l="1"/>
  <c r="E557" i="1"/>
  <c r="AE479" i="1"/>
  <c r="S477" i="1"/>
  <c r="S478" i="1"/>
  <c r="F557" i="1" l="1"/>
  <c r="E558" i="1"/>
  <c r="AG479" i="1"/>
  <c r="AF479" i="1"/>
  <c r="EF182" i="3"/>
  <c r="EB53" i="3"/>
  <c r="EB182" i="3" s="1"/>
  <c r="DY53" i="3"/>
  <c r="DW53" i="3"/>
  <c r="DW182" i="3" s="1"/>
  <c r="DQ53" i="3"/>
  <c r="DM53" i="3"/>
  <c r="DJ53" i="3"/>
  <c r="DJ182" i="3" s="1"/>
  <c r="DH53" i="3"/>
  <c r="DH182" i="3" s="1"/>
  <c r="CY53" i="3"/>
  <c r="CY182" i="3" s="1"/>
  <c r="CZ53" i="3"/>
  <c r="CZ182" i="3" s="1"/>
  <c r="DA53" i="3"/>
  <c r="DA182" i="3" s="1"/>
  <c r="DB53" i="3"/>
  <c r="DB182" i="3" s="1"/>
  <c r="DC53" i="3"/>
  <c r="DC182" i="3" s="1"/>
  <c r="CD52" i="3"/>
  <c r="CM53" i="3"/>
  <c r="CB53" i="3"/>
  <c r="BQ182" i="3"/>
  <c r="BF53" i="3"/>
  <c r="AU53" i="3"/>
  <c r="AJ53" i="3"/>
  <c r="AJ182" i="3" s="1"/>
  <c r="DM182" i="3" l="1"/>
  <c r="E559" i="1"/>
  <c r="E560" i="1" s="1"/>
  <c r="F558" i="1"/>
  <c r="DQ182" i="3"/>
  <c r="DY182" i="3"/>
  <c r="BI53" i="3"/>
  <c r="BI182" i="3" s="1"/>
  <c r="BF182" i="3"/>
  <c r="BT53" i="3"/>
  <c r="BT182" i="3" s="1"/>
  <c r="BX53" i="3"/>
  <c r="BX182" i="3" s="1"/>
  <c r="CE53" i="3"/>
  <c r="CE182" i="3" s="1"/>
  <c r="CB182" i="3"/>
  <c r="EG53" i="3"/>
  <c r="EG182" i="3" s="1"/>
  <c r="CI53" i="3"/>
  <c r="CI182" i="3" s="1"/>
  <c r="CT53" i="3"/>
  <c r="CT182" i="3" s="1"/>
  <c r="CM182" i="3"/>
  <c r="BB53" i="3"/>
  <c r="BB182" i="3" s="1"/>
  <c r="AU182" i="3"/>
  <c r="AX53" i="3"/>
  <c r="AX182" i="3" s="1"/>
  <c r="BM53" i="3"/>
  <c r="BM182" i="3" s="1"/>
  <c r="DR53" i="3"/>
  <c r="DR182" i="3" s="1"/>
  <c r="CP53" i="3"/>
  <c r="CP182" i="3" s="1"/>
  <c r="AQ53" i="3"/>
  <c r="AQ182" i="3" s="1"/>
  <c r="AM53" i="3"/>
  <c r="AM182" i="3" s="1"/>
  <c r="F559" i="1" l="1"/>
  <c r="CK53" i="3"/>
  <c r="CK182" i="3" s="1"/>
  <c r="BZ53" i="3"/>
  <c r="BZ182" i="3" s="1"/>
  <c r="BD53" i="3"/>
  <c r="BD182" i="3" s="1"/>
  <c r="CV53" i="3"/>
  <c r="CV182" i="3" s="1"/>
  <c r="BO53" i="3"/>
  <c r="BO182" i="3" s="1"/>
  <c r="AS53" i="3"/>
  <c r="AS182" i="3" s="1"/>
  <c r="E561" i="1" l="1"/>
  <c r="F560" i="1"/>
  <c r="AB53" i="3"/>
  <c r="U53" i="3"/>
  <c r="U182" i="3" s="1"/>
  <c r="V53" i="3"/>
  <c r="C53" i="3"/>
  <c r="B181" i="3"/>
  <c r="F181" i="3"/>
  <c r="I181" i="3"/>
  <c r="M181" i="3"/>
  <c r="N181" i="3"/>
  <c r="O181" i="3"/>
  <c r="P181" i="3"/>
  <c r="Q181" i="3"/>
  <c r="T181" i="3"/>
  <c r="Z181" i="3"/>
  <c r="AA181" i="3"/>
  <c r="AI181" i="3"/>
  <c r="AK181" i="3"/>
  <c r="AL181" i="3"/>
  <c r="AO181" i="3"/>
  <c r="AP181" i="3"/>
  <c r="AT181" i="3"/>
  <c r="AV181" i="3"/>
  <c r="AW181" i="3"/>
  <c r="AZ181" i="3"/>
  <c r="BA181" i="3"/>
  <c r="BE181" i="3"/>
  <c r="BG181" i="3"/>
  <c r="BH181" i="3"/>
  <c r="BK181" i="3"/>
  <c r="BL181" i="3"/>
  <c r="BP181" i="3"/>
  <c r="BR181" i="3"/>
  <c r="BS181" i="3"/>
  <c r="BV181" i="3"/>
  <c r="BW181" i="3"/>
  <c r="CA181" i="3"/>
  <c r="CC181" i="3"/>
  <c r="CG181" i="3"/>
  <c r="CL181" i="3"/>
  <c r="CN181" i="3"/>
  <c r="CR181" i="3"/>
  <c r="DE181" i="3"/>
  <c r="DF181" i="3"/>
  <c r="DG181" i="3"/>
  <c r="DI181" i="3"/>
  <c r="DK181" i="3"/>
  <c r="DL181" i="3"/>
  <c r="DN181" i="3"/>
  <c r="DO181" i="3"/>
  <c r="DP181" i="3"/>
  <c r="DT181" i="3"/>
  <c r="DU181" i="3"/>
  <c r="DV181" i="3"/>
  <c r="DX181" i="3"/>
  <c r="DZ181" i="3"/>
  <c r="EA181" i="3"/>
  <c r="EC181" i="3"/>
  <c r="ED181" i="3"/>
  <c r="EE181" i="3"/>
  <c r="EJ53" i="3" l="1"/>
  <c r="EO53" i="3" s="1"/>
  <c r="AB182" i="3"/>
  <c r="BB478" i="1"/>
  <c r="F561" i="1"/>
  <c r="E562" i="1"/>
  <c r="D478" i="1"/>
  <c r="C478" i="1" s="1"/>
  <c r="V182" i="3"/>
  <c r="T478" i="1"/>
  <c r="J53" i="3"/>
  <c r="AN53" i="3" s="1"/>
  <c r="AN182" i="3" s="1"/>
  <c r="D53" i="3"/>
  <c r="D182" i="3" s="1"/>
  <c r="C182" i="3"/>
  <c r="CX53" i="3"/>
  <c r="CX182" i="3" s="1"/>
  <c r="K53" i="3"/>
  <c r="W53" i="3"/>
  <c r="E53" i="3"/>
  <c r="E182" i="3" l="1"/>
  <c r="B478" i="1"/>
  <c r="F562" i="1"/>
  <c r="E563" i="1"/>
  <c r="BU53" i="3"/>
  <c r="BU182" i="3" s="1"/>
  <c r="BJ53" i="3"/>
  <c r="BJ182" i="3" s="1"/>
  <c r="CF53" i="3"/>
  <c r="CF182" i="3" s="1"/>
  <c r="J182" i="3"/>
  <c r="CQ53" i="3"/>
  <c r="CQ182" i="3" s="1"/>
  <c r="AY53" i="3"/>
  <c r="AY182" i="3" s="1"/>
  <c r="W182" i="3"/>
  <c r="P478" i="1"/>
  <c r="CJ53" i="3"/>
  <c r="CJ182" i="3" s="1"/>
  <c r="CU53" i="3"/>
  <c r="CU182" i="3" s="1"/>
  <c r="BC53" i="3"/>
  <c r="BC182" i="3" s="1"/>
  <c r="BY53" i="3"/>
  <c r="BY182" i="3" s="1"/>
  <c r="AR53" i="3"/>
  <c r="AR182" i="3" s="1"/>
  <c r="BN53" i="3"/>
  <c r="BN182" i="3" s="1"/>
  <c r="X53" i="3"/>
  <c r="X182" i="3" s="1"/>
  <c r="L53" i="3"/>
  <c r="L182" i="3" s="1"/>
  <c r="K182" i="3"/>
  <c r="K478" i="1"/>
  <c r="Y53" i="3"/>
  <c r="Y182" i="3" s="1"/>
  <c r="AE478" i="1"/>
  <c r="AG478" i="1" s="1"/>
  <c r="BK478" i="1" l="1"/>
  <c r="EK53" i="3"/>
  <c r="EL53" i="3" s="1"/>
  <c r="E564" i="1"/>
  <c r="F563" i="1"/>
  <c r="AF478" i="1"/>
  <c r="EF52" i="3"/>
  <c r="EB52" i="3"/>
  <c r="EB181" i="3" s="1"/>
  <c r="DY52" i="3"/>
  <c r="DW52" i="3"/>
  <c r="DW181" i="3" s="1"/>
  <c r="DQ52" i="3"/>
  <c r="DM52" i="3"/>
  <c r="DJ52" i="3"/>
  <c r="DJ181" i="3" s="1"/>
  <c r="DH52" i="3"/>
  <c r="DH181" i="3" s="1"/>
  <c r="CY52" i="3"/>
  <c r="CY181" i="3" s="1"/>
  <c r="DA52" i="3"/>
  <c r="DA181" i="3" s="1"/>
  <c r="CD181" i="3"/>
  <c r="AL45" i="3"/>
  <c r="CM52" i="3"/>
  <c r="CB52" i="3"/>
  <c r="BQ52" i="3"/>
  <c r="BF52" i="3"/>
  <c r="AU52" i="3"/>
  <c r="AJ52" i="3"/>
  <c r="AJ181" i="3" s="1"/>
  <c r="DM181" i="3" l="1"/>
  <c r="F564" i="1"/>
  <c r="E565" i="1"/>
  <c r="EF181" i="3"/>
  <c r="DR52" i="3"/>
  <c r="DR181" i="3" s="1"/>
  <c r="DQ181" i="3"/>
  <c r="CO52" i="3"/>
  <c r="CZ52" i="3" s="1"/>
  <c r="CZ181" i="3" s="1"/>
  <c r="BT52" i="3"/>
  <c r="BT181" i="3" s="1"/>
  <c r="BQ181" i="3"/>
  <c r="CT52" i="3"/>
  <c r="CM181" i="3"/>
  <c r="EG52" i="3"/>
  <c r="EG181" i="3" s="1"/>
  <c r="DY181" i="3"/>
  <c r="CE52" i="3"/>
  <c r="CE181" i="3" s="1"/>
  <c r="CB181" i="3"/>
  <c r="CI52" i="3"/>
  <c r="AQ52" i="3"/>
  <c r="BI52" i="3"/>
  <c r="BI181" i="3" s="1"/>
  <c r="BF181" i="3"/>
  <c r="AM52" i="3"/>
  <c r="AX52" i="3"/>
  <c r="AX181" i="3" s="1"/>
  <c r="AU181" i="3"/>
  <c r="BM52" i="3"/>
  <c r="BX52" i="3"/>
  <c r="CP52" i="3"/>
  <c r="CP181" i="3" s="1"/>
  <c r="BB52" i="3"/>
  <c r="F565" i="1" l="1"/>
  <c r="E566" i="1"/>
  <c r="E567" i="1" s="1"/>
  <c r="CO181" i="3"/>
  <c r="CO69" i="3"/>
  <c r="CI181" i="3"/>
  <c r="BM181" i="3"/>
  <c r="AS52" i="3"/>
  <c r="AS181" i="3" s="1"/>
  <c r="AM181" i="3"/>
  <c r="BX181" i="3"/>
  <c r="BO52" i="3"/>
  <c r="BO181" i="3" s="1"/>
  <c r="CK52" i="3"/>
  <c r="CK181" i="3" s="1"/>
  <c r="BB181" i="3"/>
  <c r="CT181" i="3"/>
  <c r="AQ181" i="3"/>
  <c r="BD52" i="3"/>
  <c r="BD181" i="3" s="1"/>
  <c r="BZ52" i="3"/>
  <c r="BZ181" i="3" s="1"/>
  <c r="CV52" i="3"/>
  <c r="CV181" i="3" s="1"/>
  <c r="AB52" i="3"/>
  <c r="U52" i="3"/>
  <c r="U181" i="3" s="1"/>
  <c r="V52" i="3"/>
  <c r="C52" i="3"/>
  <c r="B180" i="3"/>
  <c r="F180" i="3"/>
  <c r="I180" i="3"/>
  <c r="M180" i="3"/>
  <c r="N180" i="3"/>
  <c r="O180" i="3"/>
  <c r="P180" i="3"/>
  <c r="Q180" i="3"/>
  <c r="T180" i="3"/>
  <c r="Z180" i="3"/>
  <c r="AA180" i="3"/>
  <c r="AI180" i="3"/>
  <c r="AK180" i="3"/>
  <c r="AL180" i="3"/>
  <c r="AO180" i="3"/>
  <c r="AP180" i="3"/>
  <c r="AT180" i="3"/>
  <c r="AV180" i="3"/>
  <c r="AW180" i="3"/>
  <c r="AZ180" i="3"/>
  <c r="BA180" i="3"/>
  <c r="BE180" i="3"/>
  <c r="BG180" i="3"/>
  <c r="BH180" i="3"/>
  <c r="BK180" i="3"/>
  <c r="BL180" i="3"/>
  <c r="BP180" i="3"/>
  <c r="BR180" i="3"/>
  <c r="BS180" i="3"/>
  <c r="BV180" i="3"/>
  <c r="BW180" i="3"/>
  <c r="CA180" i="3"/>
  <c r="CC180" i="3"/>
  <c r="CD180" i="3"/>
  <c r="CG180" i="3"/>
  <c r="CH180" i="3"/>
  <c r="CL180" i="3"/>
  <c r="CN180" i="3"/>
  <c r="CO180" i="3"/>
  <c r="CR180" i="3"/>
  <c r="CS180" i="3"/>
  <c r="DE180" i="3"/>
  <c r="DF180" i="3"/>
  <c r="DG180" i="3"/>
  <c r="DI180" i="3"/>
  <c r="DK180" i="3"/>
  <c r="DL180" i="3"/>
  <c r="DN180" i="3"/>
  <c r="DO180" i="3"/>
  <c r="DP180" i="3"/>
  <c r="DT180" i="3"/>
  <c r="DU180" i="3"/>
  <c r="DV180" i="3"/>
  <c r="DX180" i="3"/>
  <c r="DZ180" i="3"/>
  <c r="EA180" i="3"/>
  <c r="EC180" i="3"/>
  <c r="ED180" i="3"/>
  <c r="EE180" i="3"/>
  <c r="EJ52" i="3" l="1"/>
  <c r="EO52" i="3" s="1"/>
  <c r="AB181" i="3"/>
  <c r="BB477" i="1"/>
  <c r="F566" i="1"/>
  <c r="W52" i="3"/>
  <c r="D477" i="1"/>
  <c r="C477" i="1" s="1"/>
  <c r="AL69" i="3"/>
  <c r="CO198" i="3"/>
  <c r="V181" i="3"/>
  <c r="T477" i="1"/>
  <c r="D52" i="3"/>
  <c r="D181" i="3" s="1"/>
  <c r="C181" i="3"/>
  <c r="CX52" i="3"/>
  <c r="CX181" i="3" s="1"/>
  <c r="J52" i="3"/>
  <c r="J181" i="3" s="1"/>
  <c r="K52" i="3"/>
  <c r="E52" i="3"/>
  <c r="E181" i="3" l="1"/>
  <c r="B477" i="1"/>
  <c r="F567" i="1"/>
  <c r="E568" i="1"/>
  <c r="CU52" i="3"/>
  <c r="CU181" i="3" s="1"/>
  <c r="P477" i="1"/>
  <c r="CJ52" i="3"/>
  <c r="CJ181" i="3" s="1"/>
  <c r="BN52" i="3"/>
  <c r="BN181" i="3" s="1"/>
  <c r="BC52" i="3"/>
  <c r="BC181" i="3" s="1"/>
  <c r="W181" i="3"/>
  <c r="AR52" i="3"/>
  <c r="AR181" i="3" s="1"/>
  <c r="X52" i="3"/>
  <c r="X181" i="3" s="1"/>
  <c r="BY52" i="3"/>
  <c r="BY181" i="3" s="1"/>
  <c r="AL198" i="3"/>
  <c r="CZ69" i="3"/>
  <c r="CZ198" i="3" s="1"/>
  <c r="BU52" i="3"/>
  <c r="BU181" i="3" s="1"/>
  <c r="BJ52" i="3"/>
  <c r="BJ181" i="3" s="1"/>
  <c r="AN52" i="3"/>
  <c r="AN181" i="3" s="1"/>
  <c r="CQ52" i="3"/>
  <c r="CQ181" i="3" s="1"/>
  <c r="AY52" i="3"/>
  <c r="AY181" i="3" s="1"/>
  <c r="CF52" i="3"/>
  <c r="CF181" i="3" s="1"/>
  <c r="L52" i="3"/>
  <c r="L181" i="3" s="1"/>
  <c r="K181" i="3"/>
  <c r="K477" i="1"/>
  <c r="Y52" i="3"/>
  <c r="Y181" i="3" s="1"/>
  <c r="EF51" i="3"/>
  <c r="EB51" i="3"/>
  <c r="EB180" i="3" s="1"/>
  <c r="DY51" i="3"/>
  <c r="DW51" i="3"/>
  <c r="DW180" i="3" s="1"/>
  <c r="DQ51" i="3"/>
  <c r="DM51" i="3"/>
  <c r="DJ51" i="3"/>
  <c r="DJ180" i="3" s="1"/>
  <c r="DH51" i="3"/>
  <c r="DH180" i="3" s="1"/>
  <c r="CY51" i="3"/>
  <c r="CY180" i="3" s="1"/>
  <c r="CZ51" i="3"/>
  <c r="CZ180" i="3" s="1"/>
  <c r="DA51" i="3"/>
  <c r="DA180" i="3" s="1"/>
  <c r="DB51" i="3"/>
  <c r="DB180" i="3" s="1"/>
  <c r="CM51" i="3"/>
  <c r="CB51" i="3"/>
  <c r="BQ51" i="3"/>
  <c r="BF51" i="3"/>
  <c r="AU51" i="3"/>
  <c r="AJ51" i="3"/>
  <c r="S47" i="3"/>
  <c r="AB51" i="3"/>
  <c r="U51" i="3"/>
  <c r="U180" i="3" s="1"/>
  <c r="V51" i="3"/>
  <c r="C51" i="3"/>
  <c r="B179" i="3"/>
  <c r="F179" i="3"/>
  <c r="I179" i="3"/>
  <c r="M179" i="3"/>
  <c r="N179" i="3"/>
  <c r="O179" i="3"/>
  <c r="P179" i="3"/>
  <c r="Q179" i="3"/>
  <c r="T179" i="3"/>
  <c r="Z179" i="3"/>
  <c r="AA179" i="3"/>
  <c r="AI179" i="3"/>
  <c r="AK179" i="3"/>
  <c r="AL179" i="3"/>
  <c r="AO179" i="3"/>
  <c r="AP179" i="3"/>
  <c r="AT179" i="3"/>
  <c r="AV179" i="3"/>
  <c r="AW179" i="3"/>
  <c r="AZ179" i="3"/>
  <c r="BA179" i="3"/>
  <c r="BE179" i="3"/>
  <c r="BG179" i="3"/>
  <c r="BH179" i="3"/>
  <c r="BK179" i="3"/>
  <c r="BL179" i="3"/>
  <c r="BP179" i="3"/>
  <c r="BR179" i="3"/>
  <c r="BS179" i="3"/>
  <c r="BV179" i="3"/>
  <c r="BW179" i="3"/>
  <c r="CA179" i="3"/>
  <c r="CC179" i="3"/>
  <c r="CD179" i="3"/>
  <c r="CG179" i="3"/>
  <c r="CL179" i="3"/>
  <c r="CN179" i="3"/>
  <c r="CO179" i="3"/>
  <c r="CR179" i="3"/>
  <c r="DE179" i="3"/>
  <c r="DF179" i="3"/>
  <c r="DG179" i="3"/>
  <c r="DI179" i="3"/>
  <c r="DK179" i="3"/>
  <c r="DL179" i="3"/>
  <c r="DN179" i="3"/>
  <c r="DO179" i="3"/>
  <c r="DP179" i="3"/>
  <c r="DT179" i="3"/>
  <c r="DU179" i="3"/>
  <c r="DV179" i="3"/>
  <c r="DX179" i="3"/>
  <c r="DZ179" i="3"/>
  <c r="EA179" i="3"/>
  <c r="EC179" i="3"/>
  <c r="ED179" i="3"/>
  <c r="EE179" i="3"/>
  <c r="EJ51" i="3" l="1"/>
  <c r="EO51" i="3" s="1"/>
  <c r="AB180" i="3"/>
  <c r="DM180" i="3"/>
  <c r="BK477" i="1"/>
  <c r="EK52" i="3"/>
  <c r="EL52" i="3" s="1"/>
  <c r="BB476" i="1"/>
  <c r="E569" i="1"/>
  <c r="F568" i="1"/>
  <c r="DQ180" i="3"/>
  <c r="EF180" i="3"/>
  <c r="DY180" i="3"/>
  <c r="W51" i="3"/>
  <c r="D476" i="1"/>
  <c r="C476" i="1" s="1"/>
  <c r="V180" i="3"/>
  <c r="T476" i="1"/>
  <c r="J51" i="3"/>
  <c r="J180" i="3" s="1"/>
  <c r="K51" i="3"/>
  <c r="K180" i="3" s="1"/>
  <c r="CP51" i="3"/>
  <c r="CP180" i="3" s="1"/>
  <c r="CM180" i="3"/>
  <c r="CE51" i="3"/>
  <c r="CE180" i="3" s="1"/>
  <c r="CB180" i="3"/>
  <c r="BT51" i="3"/>
  <c r="BT180" i="3" s="1"/>
  <c r="BQ180" i="3"/>
  <c r="BM51" i="3"/>
  <c r="BM180" i="3" s="1"/>
  <c r="BF180" i="3"/>
  <c r="BB51" i="3"/>
  <c r="BB180" i="3" s="1"/>
  <c r="AU180" i="3"/>
  <c r="AM51" i="3"/>
  <c r="AM180" i="3" s="1"/>
  <c r="AJ180" i="3"/>
  <c r="D51" i="3"/>
  <c r="D180" i="3" s="1"/>
  <c r="C180" i="3"/>
  <c r="DR51" i="3"/>
  <c r="DR180" i="3" s="1"/>
  <c r="AQ51" i="3"/>
  <c r="EG51" i="3"/>
  <c r="EG180" i="3" s="1"/>
  <c r="CT51" i="3"/>
  <c r="BI51" i="3"/>
  <c r="CI51" i="3"/>
  <c r="AX51" i="3"/>
  <c r="BX51" i="3"/>
  <c r="CX51" i="3"/>
  <c r="CX180" i="3" s="1"/>
  <c r="E51" i="3"/>
  <c r="E180" i="3" l="1"/>
  <c r="B476" i="1"/>
  <c r="K476" i="1"/>
  <c r="F569" i="1"/>
  <c r="E570" i="1"/>
  <c r="P476" i="1"/>
  <c r="Y51" i="3"/>
  <c r="Y180" i="3" s="1"/>
  <c r="X51" i="3"/>
  <c r="X180" i="3" s="1"/>
  <c r="W180" i="3"/>
  <c r="L51" i="3"/>
  <c r="L180" i="3" s="1"/>
  <c r="BN51" i="3"/>
  <c r="BN180" i="3" s="1"/>
  <c r="BU51" i="3"/>
  <c r="BU180" i="3" s="1"/>
  <c r="AN51" i="3"/>
  <c r="AN180" i="3" s="1"/>
  <c r="CF51" i="3"/>
  <c r="CF180" i="3" s="1"/>
  <c r="AS51" i="3"/>
  <c r="AS180" i="3" s="1"/>
  <c r="BC51" i="3"/>
  <c r="BC180" i="3" s="1"/>
  <c r="CQ51" i="3"/>
  <c r="CQ180" i="3" s="1"/>
  <c r="CU51" i="3"/>
  <c r="CU180" i="3" s="1"/>
  <c r="CT180" i="3"/>
  <c r="CV51" i="3"/>
  <c r="CV180" i="3" s="1"/>
  <c r="CJ51" i="3"/>
  <c r="CJ180" i="3" s="1"/>
  <c r="CI180" i="3"/>
  <c r="CK51" i="3"/>
  <c r="CK180" i="3" s="1"/>
  <c r="BY51" i="3"/>
  <c r="BY180" i="3" s="1"/>
  <c r="BX180" i="3"/>
  <c r="BJ51" i="3"/>
  <c r="BJ180" i="3" s="1"/>
  <c r="BI180" i="3"/>
  <c r="AY51" i="3"/>
  <c r="AY180" i="3" s="1"/>
  <c r="AX180" i="3"/>
  <c r="AR51" i="3"/>
  <c r="AR180" i="3" s="1"/>
  <c r="AQ180" i="3"/>
  <c r="BO51" i="3"/>
  <c r="BO180" i="3" s="1"/>
  <c r="BD51" i="3"/>
  <c r="BD180" i="3" s="1"/>
  <c r="BZ51" i="3"/>
  <c r="BZ180" i="3" s="1"/>
  <c r="BK476" i="1" l="1"/>
  <c r="EK51" i="3"/>
  <c r="EL51" i="3" s="1"/>
  <c r="E571" i="1"/>
  <c r="F570" i="1"/>
  <c r="AE476" i="1"/>
  <c r="AG476" i="1" s="1"/>
  <c r="E572" i="1" l="1"/>
  <c r="F571" i="1"/>
  <c r="AF476" i="1"/>
  <c r="S475" i="1"/>
  <c r="F572" i="1" l="1"/>
  <c r="E573" i="1"/>
  <c r="EF50" i="3"/>
  <c r="EB50" i="3"/>
  <c r="EB179" i="3" s="1"/>
  <c r="DY50" i="3"/>
  <c r="DW50" i="3"/>
  <c r="DW179" i="3" s="1"/>
  <c r="DQ50" i="3"/>
  <c r="DM50" i="3"/>
  <c r="DJ50" i="3"/>
  <c r="DH50" i="3"/>
  <c r="DH179" i="3" s="1"/>
  <c r="CY50" i="3"/>
  <c r="CY179" i="3" s="1"/>
  <c r="CZ50" i="3"/>
  <c r="CZ179" i="3" s="1"/>
  <c r="DA50" i="3"/>
  <c r="DA179" i="3" s="1"/>
  <c r="CH50" i="3"/>
  <c r="CH52" i="3" s="1"/>
  <c r="CM50" i="3"/>
  <c r="CB50" i="3"/>
  <c r="BQ50" i="3"/>
  <c r="BF50" i="3"/>
  <c r="AU50" i="3"/>
  <c r="AJ50" i="3"/>
  <c r="AJ179" i="3" s="1"/>
  <c r="R50" i="3"/>
  <c r="R51" i="3" s="1"/>
  <c r="AB50" i="3"/>
  <c r="U50" i="3"/>
  <c r="U179" i="3" s="1"/>
  <c r="V50" i="3"/>
  <c r="C50" i="3"/>
  <c r="B177" i="3"/>
  <c r="F177" i="3"/>
  <c r="I177" i="3"/>
  <c r="M177" i="3"/>
  <c r="N177" i="3"/>
  <c r="O177" i="3"/>
  <c r="P177" i="3"/>
  <c r="Q177" i="3"/>
  <c r="R177" i="3"/>
  <c r="S177" i="3"/>
  <c r="T177" i="3"/>
  <c r="Z177" i="3"/>
  <c r="AA177" i="3"/>
  <c r="AI177" i="3"/>
  <c r="AK177" i="3"/>
  <c r="AL177" i="3"/>
  <c r="AO177" i="3"/>
  <c r="AT177" i="3"/>
  <c r="AV177" i="3"/>
  <c r="AW177" i="3"/>
  <c r="AZ177" i="3"/>
  <c r="BA177" i="3"/>
  <c r="BE177" i="3"/>
  <c r="BG177" i="3"/>
  <c r="BH177" i="3"/>
  <c r="BK177" i="3"/>
  <c r="BL177" i="3"/>
  <c r="BP177" i="3"/>
  <c r="BR177" i="3"/>
  <c r="BS177" i="3"/>
  <c r="BV177" i="3"/>
  <c r="BW177" i="3"/>
  <c r="CA177" i="3"/>
  <c r="CC177" i="3"/>
  <c r="CD177" i="3"/>
  <c r="CG177" i="3"/>
  <c r="CH177" i="3"/>
  <c r="CL177" i="3"/>
  <c r="CN177" i="3"/>
  <c r="CO177" i="3"/>
  <c r="CR177" i="3"/>
  <c r="DE177" i="3"/>
  <c r="DF177" i="3"/>
  <c r="DG177" i="3"/>
  <c r="DI177" i="3"/>
  <c r="DK177" i="3"/>
  <c r="DL177" i="3"/>
  <c r="DN177" i="3"/>
  <c r="DO177" i="3"/>
  <c r="DP177" i="3"/>
  <c r="DT177" i="3"/>
  <c r="DU177" i="3"/>
  <c r="DV177" i="3"/>
  <c r="DX177" i="3"/>
  <c r="DZ177" i="3"/>
  <c r="EA177" i="3"/>
  <c r="EC177" i="3"/>
  <c r="ED177" i="3"/>
  <c r="EE177" i="3"/>
  <c r="B178" i="3"/>
  <c r="F178" i="3"/>
  <c r="I178" i="3"/>
  <c r="M178" i="3"/>
  <c r="N178" i="3"/>
  <c r="O178" i="3"/>
  <c r="P178" i="3"/>
  <c r="Q178" i="3"/>
  <c r="R178" i="3"/>
  <c r="S178" i="3"/>
  <c r="T178" i="3"/>
  <c r="Z178" i="3"/>
  <c r="AA178" i="3"/>
  <c r="AI178" i="3"/>
  <c r="AK178" i="3"/>
  <c r="AO178" i="3"/>
  <c r="AP178" i="3"/>
  <c r="AT178" i="3"/>
  <c r="AV178" i="3"/>
  <c r="AW178" i="3"/>
  <c r="AZ178" i="3"/>
  <c r="BA178" i="3"/>
  <c r="BE178" i="3"/>
  <c r="BG178" i="3"/>
  <c r="BK178" i="3"/>
  <c r="BL178" i="3"/>
  <c r="BP178" i="3"/>
  <c r="BR178" i="3"/>
  <c r="BS178" i="3"/>
  <c r="BV178" i="3"/>
  <c r="BW178" i="3"/>
  <c r="CA178" i="3"/>
  <c r="CC178" i="3"/>
  <c r="CD178" i="3"/>
  <c r="CG178" i="3"/>
  <c r="CH178" i="3"/>
  <c r="CL178" i="3"/>
  <c r="CN178" i="3"/>
  <c r="CO178" i="3"/>
  <c r="CR178" i="3"/>
  <c r="CS178" i="3"/>
  <c r="DE178" i="3"/>
  <c r="DF178" i="3"/>
  <c r="DG178" i="3"/>
  <c r="DI178" i="3"/>
  <c r="DK178" i="3"/>
  <c r="DL178" i="3"/>
  <c r="DN178" i="3"/>
  <c r="DO178" i="3"/>
  <c r="DP178" i="3"/>
  <c r="DT178" i="3"/>
  <c r="DU178" i="3"/>
  <c r="DV178" i="3"/>
  <c r="DX178" i="3"/>
  <c r="DZ178" i="3"/>
  <c r="EA178" i="3"/>
  <c r="EC178" i="3"/>
  <c r="ED178" i="3"/>
  <c r="EE178" i="3"/>
  <c r="EJ50" i="3" l="1"/>
  <c r="EO50" i="3" s="1"/>
  <c r="AB179" i="3"/>
  <c r="DM179" i="3"/>
  <c r="BB475" i="1"/>
  <c r="E574" i="1"/>
  <c r="F573" i="1"/>
  <c r="DQ179" i="3"/>
  <c r="DY179" i="3"/>
  <c r="EF179" i="3"/>
  <c r="K50" i="3"/>
  <c r="L50" i="3" s="1"/>
  <c r="L179" i="3" s="1"/>
  <c r="D475" i="1"/>
  <c r="C475" i="1" s="1"/>
  <c r="V179" i="3"/>
  <c r="T475" i="1"/>
  <c r="CH181" i="3"/>
  <c r="CS52" i="3"/>
  <c r="CS181" i="3" s="1"/>
  <c r="R180" i="3"/>
  <c r="R52" i="3"/>
  <c r="S51" i="3"/>
  <c r="S180" i="3" s="1"/>
  <c r="DR50" i="3"/>
  <c r="DR179" i="3" s="1"/>
  <c r="DJ179" i="3"/>
  <c r="CT50" i="3"/>
  <c r="CT179" i="3" s="1"/>
  <c r="CM179" i="3"/>
  <c r="CI50" i="3"/>
  <c r="CI179" i="3" s="1"/>
  <c r="CB179" i="3"/>
  <c r="CE50" i="3"/>
  <c r="CE179" i="3" s="1"/>
  <c r="BX50" i="3"/>
  <c r="BX179" i="3" s="1"/>
  <c r="BQ179" i="3"/>
  <c r="BM50" i="3"/>
  <c r="BM179" i="3" s="1"/>
  <c r="BF179" i="3"/>
  <c r="BB50" i="3"/>
  <c r="BB179" i="3" s="1"/>
  <c r="AU179" i="3"/>
  <c r="S50" i="3"/>
  <c r="R179" i="3"/>
  <c r="CS50" i="3"/>
  <c r="CS179" i="3" s="1"/>
  <c r="CH179" i="3"/>
  <c r="D50" i="3"/>
  <c r="D179" i="3" s="1"/>
  <c r="C179" i="3"/>
  <c r="J50" i="3"/>
  <c r="J179" i="3" s="1"/>
  <c r="W50" i="3"/>
  <c r="BI50" i="3"/>
  <c r="BI179" i="3" s="1"/>
  <c r="BT50" i="3"/>
  <c r="BT179" i="3" s="1"/>
  <c r="EG50" i="3"/>
  <c r="EG179" i="3" s="1"/>
  <c r="CX50" i="3"/>
  <c r="CX179" i="3" s="1"/>
  <c r="AM50" i="3"/>
  <c r="AM179" i="3" s="1"/>
  <c r="AQ50" i="3"/>
  <c r="CP50" i="3"/>
  <c r="CP179" i="3" s="1"/>
  <c r="AX50" i="3"/>
  <c r="AX179" i="3" s="1"/>
  <c r="E50" i="3"/>
  <c r="V43" i="3"/>
  <c r="U43" i="3"/>
  <c r="V49" i="3"/>
  <c r="B475" i="1" l="1"/>
  <c r="E575" i="1"/>
  <c r="F574" i="1"/>
  <c r="S179" i="3"/>
  <c r="Y50" i="3"/>
  <c r="Y179" i="3" s="1"/>
  <c r="K475" i="1"/>
  <c r="K179" i="3"/>
  <c r="V178" i="3"/>
  <c r="T474" i="1"/>
  <c r="DC51" i="3"/>
  <c r="DC180" i="3" s="1"/>
  <c r="DB52" i="3"/>
  <c r="DB181" i="3" s="1"/>
  <c r="S52" i="3"/>
  <c r="S181" i="3" s="1"/>
  <c r="R181" i="3"/>
  <c r="CU50" i="3"/>
  <c r="CU179" i="3" s="1"/>
  <c r="E179" i="3"/>
  <c r="CK50" i="3"/>
  <c r="CK179" i="3" s="1"/>
  <c r="CJ50" i="3"/>
  <c r="CJ179" i="3" s="1"/>
  <c r="BZ50" i="3"/>
  <c r="BZ179" i="3" s="1"/>
  <c r="BY50" i="3"/>
  <c r="BY179" i="3" s="1"/>
  <c r="BN50" i="3"/>
  <c r="BN179" i="3" s="1"/>
  <c r="BO50" i="3"/>
  <c r="BO179" i="3" s="1"/>
  <c r="BC50" i="3"/>
  <c r="BC179" i="3" s="1"/>
  <c r="AR50" i="3"/>
  <c r="AR179" i="3" s="1"/>
  <c r="AQ179" i="3"/>
  <c r="DC50" i="3"/>
  <c r="DC179" i="3" s="1"/>
  <c r="DB50" i="3"/>
  <c r="DB179" i="3" s="1"/>
  <c r="BU50" i="3"/>
  <c r="BU179" i="3" s="1"/>
  <c r="BJ50" i="3"/>
  <c r="BJ179" i="3" s="1"/>
  <c r="AY50" i="3"/>
  <c r="AY179" i="3" s="1"/>
  <c r="CF50" i="3"/>
  <c r="CF179" i="3" s="1"/>
  <c r="W179" i="3"/>
  <c r="P475" i="1"/>
  <c r="X50" i="3"/>
  <c r="X179" i="3" s="1"/>
  <c r="AN50" i="3"/>
  <c r="AN179" i="3" s="1"/>
  <c r="AS50" i="3"/>
  <c r="AS179" i="3" s="1"/>
  <c r="CQ50" i="3"/>
  <c r="CQ179" i="3" s="1"/>
  <c r="CV50" i="3"/>
  <c r="CV179" i="3" s="1"/>
  <c r="BD50" i="3"/>
  <c r="BD179" i="3" s="1"/>
  <c r="M130" i="3"/>
  <c r="AE475" i="1"/>
  <c r="AF475" i="1" s="1"/>
  <c r="S473" i="1"/>
  <c r="S474" i="1"/>
  <c r="BK475" i="1" l="1"/>
  <c r="EK50" i="3"/>
  <c r="EL50" i="3" s="1"/>
  <c r="F575" i="1"/>
  <c r="E576" i="1"/>
  <c r="AC47" i="3"/>
  <c r="DC52" i="3"/>
  <c r="DC181" i="3" s="1"/>
  <c r="AG475" i="1"/>
  <c r="AC43" i="3" l="1"/>
  <c r="E577" i="1"/>
  <c r="F576" i="1"/>
  <c r="EF48" i="3"/>
  <c r="EF49" i="3"/>
  <c r="EB48" i="3"/>
  <c r="EB177" i="3" s="1"/>
  <c r="EB49" i="3"/>
  <c r="EB178" i="3" s="1"/>
  <c r="DY48" i="3"/>
  <c r="DY49" i="3"/>
  <c r="DW48" i="3"/>
  <c r="DW177" i="3" s="1"/>
  <c r="DW49" i="3"/>
  <c r="DW178" i="3" s="1"/>
  <c r="DQ48" i="3"/>
  <c r="DQ49" i="3"/>
  <c r="DM48" i="3"/>
  <c r="DM49" i="3"/>
  <c r="DJ48" i="3"/>
  <c r="DJ177" i="3" s="1"/>
  <c r="DJ49" i="3"/>
  <c r="DJ178" i="3" s="1"/>
  <c r="DH48" i="3"/>
  <c r="DH49" i="3"/>
  <c r="DH178" i="3" s="1"/>
  <c r="DE176" i="3"/>
  <c r="DF176" i="3"/>
  <c r="DG176" i="3"/>
  <c r="DI176" i="3"/>
  <c r="DK176" i="3"/>
  <c r="DL176" i="3"/>
  <c r="DN176" i="3"/>
  <c r="DO176" i="3"/>
  <c r="DP176" i="3"/>
  <c r="DT176" i="3"/>
  <c r="DU176" i="3"/>
  <c r="DV176" i="3"/>
  <c r="DX176" i="3"/>
  <c r="DZ176" i="3"/>
  <c r="EA176" i="3"/>
  <c r="EC176" i="3"/>
  <c r="ED176" i="3"/>
  <c r="EE176" i="3"/>
  <c r="CY48" i="3"/>
  <c r="CY177" i="3" s="1"/>
  <c r="CZ48" i="3"/>
  <c r="CZ177" i="3" s="1"/>
  <c r="DA48" i="3"/>
  <c r="DA177" i="3" s="1"/>
  <c r="DC48" i="3"/>
  <c r="DC177" i="3" s="1"/>
  <c r="CY49" i="3"/>
  <c r="CY178" i="3" s="1"/>
  <c r="DA49" i="3"/>
  <c r="DA178" i="3" s="1"/>
  <c r="DB49" i="3"/>
  <c r="DB178" i="3" s="1"/>
  <c r="DC49" i="3"/>
  <c r="DC178" i="3" s="1"/>
  <c r="CM48" i="3"/>
  <c r="CM177" i="3" s="1"/>
  <c r="CM49" i="3"/>
  <c r="CM178" i="3" s="1"/>
  <c r="CB48" i="3"/>
  <c r="CE48" i="3" s="1"/>
  <c r="CB49" i="3"/>
  <c r="BQ48" i="3"/>
  <c r="BQ177" i="3" s="1"/>
  <c r="BQ49" i="3"/>
  <c r="BX49" i="3" s="1"/>
  <c r="BX178" i="3" s="1"/>
  <c r="BF48" i="3"/>
  <c r="BF49" i="3"/>
  <c r="AU48" i="3"/>
  <c r="AU49" i="3"/>
  <c r="BB49" i="3" s="1"/>
  <c r="BB178" i="3" s="1"/>
  <c r="AJ48" i="3"/>
  <c r="AJ49" i="3"/>
  <c r="AB48" i="3"/>
  <c r="AB49" i="3"/>
  <c r="U48" i="3"/>
  <c r="U177" i="3" s="1"/>
  <c r="V48" i="3"/>
  <c r="U49" i="3"/>
  <c r="U178" i="3" s="1"/>
  <c r="C48" i="3"/>
  <c r="C49" i="3"/>
  <c r="B176" i="3"/>
  <c r="F176" i="3"/>
  <c r="I176" i="3"/>
  <c r="M176" i="3"/>
  <c r="N176" i="3"/>
  <c r="O176" i="3"/>
  <c r="P176" i="3"/>
  <c r="Q176" i="3"/>
  <c r="R176" i="3"/>
  <c r="S176" i="3"/>
  <c r="T176" i="3"/>
  <c r="Z176" i="3"/>
  <c r="AA176" i="3"/>
  <c r="AI176" i="3"/>
  <c r="AK176" i="3"/>
  <c r="AL176" i="3"/>
  <c r="AO176" i="3"/>
  <c r="AT176" i="3"/>
  <c r="AV176" i="3"/>
  <c r="AW176" i="3"/>
  <c r="AZ176" i="3"/>
  <c r="BA176" i="3"/>
  <c r="BE176" i="3"/>
  <c r="BG176" i="3"/>
  <c r="BH176" i="3"/>
  <c r="BK176" i="3"/>
  <c r="BL176" i="3"/>
  <c r="BP176" i="3"/>
  <c r="BR176" i="3"/>
  <c r="BS176" i="3"/>
  <c r="BV176" i="3"/>
  <c r="BW176" i="3"/>
  <c r="CA176" i="3"/>
  <c r="CC176" i="3"/>
  <c r="CD176" i="3"/>
  <c r="CG176" i="3"/>
  <c r="CH176" i="3"/>
  <c r="CL176" i="3"/>
  <c r="CN176" i="3"/>
  <c r="CO176" i="3"/>
  <c r="CR176" i="3"/>
  <c r="EJ49" i="3" l="1"/>
  <c r="EO49" i="3" s="1"/>
  <c r="EJ48" i="3"/>
  <c r="EO48" i="3" s="1"/>
  <c r="AB177" i="3"/>
  <c r="DM178" i="3"/>
  <c r="DM177" i="3"/>
  <c r="AB178" i="3"/>
  <c r="AC39" i="3"/>
  <c r="BB473" i="1"/>
  <c r="BB474" i="1"/>
  <c r="F577" i="1"/>
  <c r="E578" i="1"/>
  <c r="EF178" i="3"/>
  <c r="EF177" i="3"/>
  <c r="D473" i="1"/>
  <c r="C473" i="1" s="1"/>
  <c r="D474" i="1"/>
  <c r="C474" i="1" s="1"/>
  <c r="V177" i="3"/>
  <c r="T473" i="1"/>
  <c r="K49" i="3"/>
  <c r="K178" i="3" s="1"/>
  <c r="E48" i="3"/>
  <c r="B473" i="1" s="1"/>
  <c r="DQ178" i="3"/>
  <c r="DQ177" i="3"/>
  <c r="W48" i="3"/>
  <c r="J48" i="3"/>
  <c r="J177" i="3" s="1"/>
  <c r="DR48" i="3"/>
  <c r="DR177" i="3" s="1"/>
  <c r="DH177" i="3"/>
  <c r="BT48" i="3"/>
  <c r="CP49" i="3"/>
  <c r="CP178" i="3" s="1"/>
  <c r="BI48" i="3"/>
  <c r="BF177" i="3"/>
  <c r="AM48" i="3"/>
  <c r="AJ177" i="3"/>
  <c r="D48" i="3"/>
  <c r="D177" i="3" s="1"/>
  <c r="C177" i="3"/>
  <c r="AX48" i="3"/>
  <c r="AU177" i="3"/>
  <c r="CP48" i="3"/>
  <c r="EG48" i="3"/>
  <c r="EG177" i="3" s="1"/>
  <c r="DY177" i="3"/>
  <c r="CT49" i="3"/>
  <c r="CT178" i="3" s="1"/>
  <c r="BB48" i="3"/>
  <c r="BB177" i="3" s="1"/>
  <c r="CT48" i="3"/>
  <c r="CT177" i="3" s="1"/>
  <c r="CE177" i="3"/>
  <c r="BX48" i="3"/>
  <c r="BX177" i="3" s="1"/>
  <c r="K48" i="3"/>
  <c r="K177" i="3" s="1"/>
  <c r="CI48" i="3"/>
  <c r="CI177" i="3" s="1"/>
  <c r="CB177" i="3"/>
  <c r="EG49" i="3"/>
  <c r="EG178" i="3" s="1"/>
  <c r="DY178" i="3"/>
  <c r="DR49" i="3"/>
  <c r="DR178" i="3" s="1"/>
  <c r="CE49" i="3"/>
  <c r="CE178" i="3" s="1"/>
  <c r="CB178" i="3"/>
  <c r="CI49" i="3"/>
  <c r="CI178" i="3" s="1"/>
  <c r="BT49" i="3"/>
  <c r="BT178" i="3" s="1"/>
  <c r="BQ178" i="3"/>
  <c r="BI49" i="3"/>
  <c r="BI178" i="3" s="1"/>
  <c r="BF178" i="3"/>
  <c r="BM49" i="3"/>
  <c r="BM178" i="3" s="1"/>
  <c r="AX49" i="3"/>
  <c r="AX178" i="3" s="1"/>
  <c r="AU178" i="3"/>
  <c r="AQ49" i="3"/>
  <c r="AQ178" i="3" s="1"/>
  <c r="AJ178" i="3"/>
  <c r="BH178" i="3"/>
  <c r="AL178" i="3"/>
  <c r="E49" i="3"/>
  <c r="B474" i="1" s="1"/>
  <c r="C178" i="3"/>
  <c r="CX49" i="3"/>
  <c r="CX178" i="3" s="1"/>
  <c r="AQ48" i="3"/>
  <c r="AQ177" i="3" s="1"/>
  <c r="J49" i="3"/>
  <c r="AM49" i="3"/>
  <c r="AM178" i="3" s="1"/>
  <c r="BM48" i="3"/>
  <c r="BM177" i="3" s="1"/>
  <c r="D49" i="3"/>
  <c r="D178" i="3" s="1"/>
  <c r="W49" i="3"/>
  <c r="CX48" i="3"/>
  <c r="CX177" i="3" s="1"/>
  <c r="AE474" i="1"/>
  <c r="AF474" i="1" s="1"/>
  <c r="S472" i="1"/>
  <c r="AC38" i="3" l="1"/>
  <c r="BK473" i="1"/>
  <c r="EK48" i="3"/>
  <c r="EL48" i="3" s="1"/>
  <c r="BK474" i="1"/>
  <c r="EK49" i="3"/>
  <c r="EL49" i="3" s="1"/>
  <c r="E579" i="1"/>
  <c r="F578" i="1"/>
  <c r="E178" i="3"/>
  <c r="K474" i="1"/>
  <c r="L49" i="3"/>
  <c r="L178" i="3" s="1"/>
  <c r="E177" i="3"/>
  <c r="P473" i="1"/>
  <c r="CJ48" i="3"/>
  <c r="CJ177" i="3" s="1"/>
  <c r="X48" i="3"/>
  <c r="X177" i="3" s="1"/>
  <c r="W177" i="3"/>
  <c r="BD48" i="3"/>
  <c r="BD177" i="3" s="1"/>
  <c r="BC48" i="3"/>
  <c r="BC177" i="3" s="1"/>
  <c r="CV48" i="3"/>
  <c r="CV177" i="3" s="1"/>
  <c r="CK48" i="3"/>
  <c r="CK177" i="3" s="1"/>
  <c r="K473" i="1"/>
  <c r="CF48" i="3"/>
  <c r="CF177" i="3" s="1"/>
  <c r="CU48" i="3"/>
  <c r="CU177" i="3" s="1"/>
  <c r="BJ48" i="3"/>
  <c r="BJ177" i="3" s="1"/>
  <c r="BI177" i="3"/>
  <c r="AY48" i="3"/>
  <c r="AY177" i="3" s="1"/>
  <c r="AX177" i="3"/>
  <c r="BU48" i="3"/>
  <c r="BU177" i="3" s="1"/>
  <c r="BT177" i="3"/>
  <c r="BZ48" i="3"/>
  <c r="BZ177" i="3" s="1"/>
  <c r="Y48" i="3"/>
  <c r="Y177" i="3" s="1"/>
  <c r="BY48" i="3"/>
  <c r="BY177" i="3" s="1"/>
  <c r="L48" i="3"/>
  <c r="L177" i="3" s="1"/>
  <c r="CQ48" i="3"/>
  <c r="CQ177" i="3" s="1"/>
  <c r="CP177" i="3"/>
  <c r="CV49" i="3"/>
  <c r="CV178" i="3" s="1"/>
  <c r="AN48" i="3"/>
  <c r="AN177" i="3" s="1"/>
  <c r="AM177" i="3"/>
  <c r="CK49" i="3"/>
  <c r="CK178" i="3" s="1"/>
  <c r="BZ49" i="3"/>
  <c r="BZ178" i="3" s="1"/>
  <c r="BO49" i="3"/>
  <c r="BO178" i="3" s="1"/>
  <c r="BD49" i="3"/>
  <c r="BD178" i="3" s="1"/>
  <c r="CZ49" i="3"/>
  <c r="CZ178" i="3" s="1"/>
  <c r="AN49" i="3"/>
  <c r="AN178" i="3" s="1"/>
  <c r="AR49" i="3"/>
  <c r="AR178" i="3" s="1"/>
  <c r="W178" i="3"/>
  <c r="CF49" i="3"/>
  <c r="CF178" i="3" s="1"/>
  <c r="J178" i="3"/>
  <c r="AS49" i="3"/>
  <c r="AS178" i="3" s="1"/>
  <c r="P474" i="1"/>
  <c r="X49" i="3"/>
  <c r="X178" i="3" s="1"/>
  <c r="BN49" i="3"/>
  <c r="BN178" i="3" s="1"/>
  <c r="BY49" i="3"/>
  <c r="BY178" i="3" s="1"/>
  <c r="BJ49" i="3"/>
  <c r="BJ178" i="3" s="1"/>
  <c r="BC49" i="3"/>
  <c r="BC178" i="3" s="1"/>
  <c r="BN48" i="3"/>
  <c r="BN177" i="3" s="1"/>
  <c r="BO48" i="3"/>
  <c r="BO177" i="3" s="1"/>
  <c r="AS48" i="3"/>
  <c r="AS177" i="3" s="1"/>
  <c r="AR48" i="3"/>
  <c r="AR177" i="3" s="1"/>
  <c r="Y49" i="3"/>
  <c r="Y178" i="3" s="1"/>
  <c r="CU49" i="3"/>
  <c r="CU178" i="3" s="1"/>
  <c r="AY49" i="3"/>
  <c r="AY178" i="3" s="1"/>
  <c r="CQ49" i="3"/>
  <c r="CQ178" i="3" s="1"/>
  <c r="CJ49" i="3"/>
  <c r="CJ178" i="3" s="1"/>
  <c r="BU49" i="3"/>
  <c r="BU178" i="3" s="1"/>
  <c r="AG474" i="1"/>
  <c r="V47" i="3"/>
  <c r="AC37" i="3" l="1"/>
  <c r="F579" i="1"/>
  <c r="E580" i="1"/>
  <c r="V176" i="3"/>
  <c r="T472" i="1"/>
  <c r="EF47" i="3"/>
  <c r="EB47" i="3"/>
  <c r="EB176" i="3" s="1"/>
  <c r="DY47" i="3"/>
  <c r="DW47" i="3"/>
  <c r="DW176" i="3" s="1"/>
  <c r="DQ47" i="3"/>
  <c r="DM47" i="3"/>
  <c r="DJ47" i="3"/>
  <c r="DH47" i="3"/>
  <c r="DH176" i="3" s="1"/>
  <c r="CY47" i="3"/>
  <c r="CY176" i="3" s="1"/>
  <c r="CZ47" i="3"/>
  <c r="CZ176" i="3" s="1"/>
  <c r="DA47" i="3"/>
  <c r="DA176" i="3" s="1"/>
  <c r="DC47" i="3"/>
  <c r="DC176" i="3" s="1"/>
  <c r="CM47" i="3"/>
  <c r="CT47" i="3" s="1"/>
  <c r="CT176" i="3" s="1"/>
  <c r="CB47" i="3"/>
  <c r="BQ47" i="3"/>
  <c r="BF47" i="3"/>
  <c r="AU47" i="3"/>
  <c r="AJ47" i="3"/>
  <c r="AB47" i="3"/>
  <c r="U47" i="3"/>
  <c r="U176" i="3" s="1"/>
  <c r="AB176" i="3" l="1"/>
  <c r="DM176" i="3"/>
  <c r="AC35" i="3"/>
  <c r="F580" i="1"/>
  <c r="E581" i="1"/>
  <c r="DY176" i="3"/>
  <c r="DQ176" i="3"/>
  <c r="EF176" i="3"/>
  <c r="DR47" i="3"/>
  <c r="DR176" i="3" s="1"/>
  <c r="DJ176" i="3"/>
  <c r="CP47" i="3"/>
  <c r="CM176" i="3"/>
  <c r="AJ176" i="3"/>
  <c r="BB47" i="3"/>
  <c r="AU176" i="3"/>
  <c r="BI47" i="3"/>
  <c r="BI176" i="3" s="1"/>
  <c r="BF176" i="3"/>
  <c r="BT47" i="3"/>
  <c r="BT176" i="3" s="1"/>
  <c r="BQ176" i="3"/>
  <c r="BX47" i="3"/>
  <c r="CI47" i="3"/>
  <c r="CB176" i="3"/>
  <c r="AQ47" i="3"/>
  <c r="AQ176" i="3" s="1"/>
  <c r="AM47" i="3"/>
  <c r="CE47" i="3"/>
  <c r="CE176" i="3" s="1"/>
  <c r="EG47" i="3"/>
  <c r="EG176" i="3" s="1"/>
  <c r="BM47" i="3"/>
  <c r="AX47" i="3"/>
  <c r="AX176" i="3" s="1"/>
  <c r="C47" i="3"/>
  <c r="B175" i="3"/>
  <c r="F175" i="3"/>
  <c r="I175" i="3"/>
  <c r="M175" i="3"/>
  <c r="N175" i="3"/>
  <c r="O175" i="3"/>
  <c r="P175" i="3"/>
  <c r="Q175" i="3"/>
  <c r="R175" i="3"/>
  <c r="S175" i="3"/>
  <c r="T175" i="3"/>
  <c r="Z175" i="3"/>
  <c r="AA175" i="3"/>
  <c r="AI175" i="3"/>
  <c r="AK175" i="3"/>
  <c r="AL175" i="3"/>
  <c r="AO175" i="3"/>
  <c r="AP175" i="3"/>
  <c r="AT175" i="3"/>
  <c r="AV175" i="3"/>
  <c r="AW175" i="3"/>
  <c r="AZ175" i="3"/>
  <c r="BA175" i="3"/>
  <c r="BE175" i="3"/>
  <c r="BG175" i="3"/>
  <c r="BH175" i="3"/>
  <c r="BK175" i="3"/>
  <c r="BL175" i="3"/>
  <c r="BP175" i="3"/>
  <c r="BR175" i="3"/>
  <c r="BS175" i="3"/>
  <c r="BV175" i="3"/>
  <c r="BW175" i="3"/>
  <c r="CA175" i="3"/>
  <c r="CC175" i="3"/>
  <c r="CD175" i="3"/>
  <c r="CG175" i="3"/>
  <c r="CH175" i="3"/>
  <c r="CL175" i="3"/>
  <c r="CN175" i="3"/>
  <c r="CO175" i="3"/>
  <c r="CR175" i="3"/>
  <c r="CS175" i="3"/>
  <c r="DE175" i="3"/>
  <c r="DF175" i="3"/>
  <c r="DG175" i="3"/>
  <c r="DI175" i="3"/>
  <c r="DK175" i="3"/>
  <c r="DL175" i="3"/>
  <c r="DN175" i="3"/>
  <c r="DO175" i="3"/>
  <c r="DP175" i="3"/>
  <c r="DT175" i="3"/>
  <c r="DU175" i="3"/>
  <c r="DV175" i="3"/>
  <c r="DX175" i="3"/>
  <c r="DZ175" i="3"/>
  <c r="EA175" i="3"/>
  <c r="EC175" i="3"/>
  <c r="ED175" i="3"/>
  <c r="EE175" i="3"/>
  <c r="EJ47" i="3" l="1"/>
  <c r="EO47" i="3" s="1"/>
  <c r="AC32" i="3"/>
  <c r="BB472" i="1"/>
  <c r="E582" i="1"/>
  <c r="F581" i="1"/>
  <c r="D472" i="1"/>
  <c r="C472" i="1" s="1"/>
  <c r="BZ47" i="3"/>
  <c r="BZ176" i="3" s="1"/>
  <c r="CX47" i="3"/>
  <c r="CX176" i="3" s="1"/>
  <c r="BO47" i="3"/>
  <c r="BO176" i="3" s="1"/>
  <c r="CI176" i="3"/>
  <c r="BX176" i="3"/>
  <c r="D47" i="3"/>
  <c r="D176" i="3" s="1"/>
  <c r="C176" i="3"/>
  <c r="W47" i="3"/>
  <c r="CP176" i="3"/>
  <c r="BB176" i="3"/>
  <c r="J47" i="3"/>
  <c r="AY47" i="3" s="1"/>
  <c r="AY176" i="3" s="1"/>
  <c r="BM176" i="3"/>
  <c r="CV47" i="3"/>
  <c r="CV176" i="3" s="1"/>
  <c r="K47" i="3"/>
  <c r="AM176" i="3"/>
  <c r="CK47" i="3"/>
  <c r="CK176" i="3" s="1"/>
  <c r="AS47" i="3"/>
  <c r="AS176" i="3" s="1"/>
  <c r="BD47" i="3"/>
  <c r="BD176" i="3" s="1"/>
  <c r="E47" i="3"/>
  <c r="B472" i="1" s="1"/>
  <c r="AC30" i="3" l="1"/>
  <c r="BK472" i="1"/>
  <c r="EK47" i="3"/>
  <c r="EL47" i="3" s="1"/>
  <c r="E583" i="1"/>
  <c r="F582" i="1"/>
  <c r="E176" i="3"/>
  <c r="AR47" i="3"/>
  <c r="AR176" i="3" s="1"/>
  <c r="J176" i="3"/>
  <c r="BJ47" i="3"/>
  <c r="BJ176" i="3" s="1"/>
  <c r="BU47" i="3"/>
  <c r="BU176" i="3" s="1"/>
  <c r="W176" i="3"/>
  <c r="P472" i="1"/>
  <c r="X47" i="3"/>
  <c r="X176" i="3" s="1"/>
  <c r="CU47" i="3"/>
  <c r="CU176" i="3" s="1"/>
  <c r="BN47" i="3"/>
  <c r="BN176" i="3" s="1"/>
  <c r="CF47" i="3"/>
  <c r="CF176" i="3" s="1"/>
  <c r="BY47" i="3"/>
  <c r="BY176" i="3" s="1"/>
  <c r="BC47" i="3"/>
  <c r="BC176" i="3" s="1"/>
  <c r="AN47" i="3"/>
  <c r="AN176" i="3" s="1"/>
  <c r="L47" i="3"/>
  <c r="L176" i="3" s="1"/>
  <c r="K176" i="3"/>
  <c r="K472" i="1"/>
  <c r="Y47" i="3"/>
  <c r="Y176" i="3" s="1"/>
  <c r="CQ47" i="3"/>
  <c r="CQ176" i="3" s="1"/>
  <c r="CJ47" i="3"/>
  <c r="CJ176" i="3" s="1"/>
  <c r="AC22" i="3" l="1"/>
  <c r="F583" i="1"/>
  <c r="E584" i="1"/>
  <c r="AE473" i="1"/>
  <c r="AG473" i="1" s="1"/>
  <c r="AC13" i="3" l="1"/>
  <c r="F584" i="1"/>
  <c r="E585" i="1"/>
  <c r="AF473" i="1"/>
  <c r="AE472" i="1"/>
  <c r="AF472" i="1" s="1"/>
  <c r="S471" i="1"/>
  <c r="AC10" i="3" l="1"/>
  <c r="F585" i="1"/>
  <c r="E586" i="1"/>
  <c r="AG472" i="1"/>
  <c r="EF46" i="3"/>
  <c r="EB46" i="3"/>
  <c r="EB175" i="3" s="1"/>
  <c r="DY46" i="3"/>
  <c r="DW46" i="3"/>
  <c r="DW175" i="3" s="1"/>
  <c r="DQ46" i="3"/>
  <c r="DM46" i="3"/>
  <c r="DJ46" i="3"/>
  <c r="DJ175" i="3" s="1"/>
  <c r="DH46" i="3"/>
  <c r="DH175" i="3" s="1"/>
  <c r="CY46" i="3"/>
  <c r="CY175" i="3" s="1"/>
  <c r="CZ46" i="3"/>
  <c r="CZ175" i="3" s="1"/>
  <c r="DA46" i="3"/>
  <c r="DA175" i="3" s="1"/>
  <c r="DB46" i="3"/>
  <c r="DB175" i="3" s="1"/>
  <c r="DC46" i="3"/>
  <c r="DC175" i="3" s="1"/>
  <c r="CM46" i="3"/>
  <c r="CM175" i="3" s="1"/>
  <c r="CB46" i="3"/>
  <c r="BQ46" i="3"/>
  <c r="BF46" i="3"/>
  <c r="BF175" i="3" s="1"/>
  <c r="AU46" i="3"/>
  <c r="AU175" i="3" s="1"/>
  <c r="AJ46" i="3"/>
  <c r="AQ46" i="3" s="1"/>
  <c r="AQ175" i="3" s="1"/>
  <c r="AB46" i="3"/>
  <c r="U46" i="3"/>
  <c r="U175" i="3" s="1"/>
  <c r="V46" i="3"/>
  <c r="C46" i="3"/>
  <c r="B173" i="3"/>
  <c r="F173" i="3"/>
  <c r="I173" i="3"/>
  <c r="M173" i="3"/>
  <c r="N173" i="3"/>
  <c r="O173" i="3"/>
  <c r="P173" i="3"/>
  <c r="Q173" i="3"/>
  <c r="R173" i="3"/>
  <c r="S173" i="3"/>
  <c r="T173" i="3"/>
  <c r="U44" i="3"/>
  <c r="U173" i="3" s="1"/>
  <c r="V44" i="3"/>
  <c r="V173" i="3" s="1"/>
  <c r="Z173" i="3"/>
  <c r="AA173" i="3"/>
  <c r="AI173" i="3"/>
  <c r="AJ44" i="3"/>
  <c r="AQ44" i="3" s="1"/>
  <c r="AK173" i="3"/>
  <c r="AL173" i="3"/>
  <c r="AO173" i="3"/>
  <c r="AP173" i="3"/>
  <c r="AT173" i="3"/>
  <c r="AU44" i="3"/>
  <c r="AU173" i="3" s="1"/>
  <c r="AV173" i="3"/>
  <c r="AW173" i="3"/>
  <c r="AZ173" i="3"/>
  <c r="BA173" i="3"/>
  <c r="BE173" i="3"/>
  <c r="BF44" i="3"/>
  <c r="BF173" i="3" s="1"/>
  <c r="BG173" i="3"/>
  <c r="BH173" i="3"/>
  <c r="BK173" i="3"/>
  <c r="BL173" i="3"/>
  <c r="BP173" i="3"/>
  <c r="BQ44" i="3"/>
  <c r="BT44" i="3" s="1"/>
  <c r="BR173" i="3"/>
  <c r="BS173" i="3"/>
  <c r="BV173" i="3"/>
  <c r="BW173" i="3"/>
  <c r="CA173" i="3"/>
  <c r="CB44" i="3"/>
  <c r="CE44" i="3" s="1"/>
  <c r="CC173" i="3"/>
  <c r="CD173" i="3"/>
  <c r="CG173" i="3"/>
  <c r="CL173" i="3"/>
  <c r="CM44" i="3"/>
  <c r="CP44" i="3" s="1"/>
  <c r="CN173" i="3"/>
  <c r="CO173" i="3"/>
  <c r="CR173" i="3"/>
  <c r="CZ44" i="3"/>
  <c r="CZ173" i="3" s="1"/>
  <c r="DE173" i="3"/>
  <c r="DF173" i="3"/>
  <c r="DG173" i="3"/>
  <c r="DH44" i="3"/>
  <c r="DH173" i="3" s="1"/>
  <c r="DI173" i="3"/>
  <c r="DJ44" i="3"/>
  <c r="DJ173" i="3" s="1"/>
  <c r="DK173" i="3"/>
  <c r="DL173" i="3"/>
  <c r="DM44" i="3"/>
  <c r="DN173" i="3"/>
  <c r="DO173" i="3"/>
  <c r="DP173" i="3"/>
  <c r="DT173" i="3"/>
  <c r="DU173" i="3"/>
  <c r="DV173" i="3"/>
  <c r="DW44" i="3"/>
  <c r="DW173" i="3" s="1"/>
  <c r="DX173" i="3"/>
  <c r="DY44" i="3"/>
  <c r="DZ173" i="3"/>
  <c r="EA173" i="3"/>
  <c r="EB44" i="3"/>
  <c r="EB173" i="3" s="1"/>
  <c r="EC173" i="3"/>
  <c r="ED173" i="3"/>
  <c r="EE173" i="3"/>
  <c r="B174" i="3"/>
  <c r="C45" i="3"/>
  <c r="F174" i="3"/>
  <c r="I174" i="3"/>
  <c r="M174" i="3"/>
  <c r="N174" i="3"/>
  <c r="O174" i="3"/>
  <c r="P174" i="3"/>
  <c r="Q174" i="3"/>
  <c r="R174" i="3"/>
  <c r="S174" i="3"/>
  <c r="T174" i="3"/>
  <c r="U45" i="3"/>
  <c r="U174" i="3" s="1"/>
  <c r="V45" i="3"/>
  <c r="V174" i="3" s="1"/>
  <c r="Z174" i="3"/>
  <c r="AA174" i="3"/>
  <c r="AB45" i="3"/>
  <c r="AI174" i="3"/>
  <c r="AJ45" i="3"/>
  <c r="AJ174" i="3" s="1"/>
  <c r="AK174" i="3"/>
  <c r="BS45" i="3"/>
  <c r="BS174" i="3" s="1"/>
  <c r="AO174" i="3"/>
  <c r="AP45" i="3"/>
  <c r="AT174" i="3"/>
  <c r="AU45" i="3"/>
  <c r="AV174" i="3"/>
  <c r="AW174" i="3"/>
  <c r="AZ174" i="3"/>
  <c r="BA174" i="3"/>
  <c r="BE174" i="3"/>
  <c r="BF45" i="3"/>
  <c r="BI45" i="3" s="1"/>
  <c r="BG174" i="3"/>
  <c r="BH174" i="3"/>
  <c r="BK174" i="3"/>
  <c r="BL174" i="3"/>
  <c r="BP174" i="3"/>
  <c r="BQ45" i="3"/>
  <c r="BR174" i="3"/>
  <c r="BV174" i="3"/>
  <c r="BW174" i="3"/>
  <c r="CA174" i="3"/>
  <c r="CB45" i="3"/>
  <c r="CI45" i="3" s="1"/>
  <c r="CC174" i="3"/>
  <c r="CD174" i="3"/>
  <c r="CG174" i="3"/>
  <c r="CH174" i="3"/>
  <c r="CL174" i="3"/>
  <c r="CM45" i="3"/>
  <c r="CM174" i="3" s="1"/>
  <c r="CN174" i="3"/>
  <c r="CO174" i="3"/>
  <c r="CR174" i="3"/>
  <c r="CY45" i="3"/>
  <c r="CY174" i="3" s="1"/>
  <c r="DA45" i="3"/>
  <c r="DA174" i="3" s="1"/>
  <c r="DC45" i="3"/>
  <c r="DC174" i="3" s="1"/>
  <c r="DE174" i="3"/>
  <c r="DF174" i="3"/>
  <c r="DG174" i="3"/>
  <c r="DH45" i="3"/>
  <c r="DH174" i="3" s="1"/>
  <c r="DI174" i="3"/>
  <c r="DJ45" i="3"/>
  <c r="DK174" i="3"/>
  <c r="DL174" i="3"/>
  <c r="DM45" i="3"/>
  <c r="DN174" i="3"/>
  <c r="DO174" i="3"/>
  <c r="DP174" i="3"/>
  <c r="DQ45" i="3"/>
  <c r="DT174" i="3"/>
  <c r="DU174" i="3"/>
  <c r="DV174" i="3"/>
  <c r="DW45" i="3"/>
  <c r="DW174" i="3" s="1"/>
  <c r="DX174" i="3"/>
  <c r="DY45" i="3"/>
  <c r="DZ174" i="3"/>
  <c r="EA174" i="3"/>
  <c r="EB45" i="3"/>
  <c r="EB174" i="3" s="1"/>
  <c r="EC174" i="3"/>
  <c r="ED174" i="3"/>
  <c r="EE174" i="3"/>
  <c r="EF45" i="3"/>
  <c r="F474" i="1"/>
  <c r="F476" i="1"/>
  <c r="F484" i="1"/>
  <c r="F492" i="1"/>
  <c r="F500" i="1"/>
  <c r="F471" i="1"/>
  <c r="H471" i="1" s="1"/>
  <c r="AE471" i="1"/>
  <c r="AG471" i="1" s="1"/>
  <c r="S470" i="1"/>
  <c r="AE470" i="1"/>
  <c r="AG470" i="1" s="1"/>
  <c r="R469" i="1"/>
  <c r="S469" i="1"/>
  <c r="EF44" i="3"/>
  <c r="DQ44" i="3"/>
  <c r="DQ173" i="3" s="1"/>
  <c r="CH44" i="3"/>
  <c r="CH173" i="3" s="1"/>
  <c r="CY44" i="3"/>
  <c r="CY173" i="3" s="1"/>
  <c r="DA44" i="3"/>
  <c r="DA173" i="3" s="1"/>
  <c r="DC44" i="3"/>
  <c r="DC173" i="3" s="1"/>
  <c r="AB44" i="3"/>
  <c r="C44" i="3"/>
  <c r="B172" i="3"/>
  <c r="F172" i="3"/>
  <c r="I172" i="3"/>
  <c r="M172" i="3"/>
  <c r="N172" i="3"/>
  <c r="O172" i="3"/>
  <c r="P172" i="3"/>
  <c r="Q172" i="3"/>
  <c r="R172" i="3"/>
  <c r="S172" i="3"/>
  <c r="T172" i="3"/>
  <c r="Z172" i="3"/>
  <c r="AA172" i="3"/>
  <c r="AI172" i="3"/>
  <c r="AK172" i="3"/>
  <c r="AL172" i="3"/>
  <c r="AO172" i="3"/>
  <c r="AP172" i="3"/>
  <c r="AT172" i="3"/>
  <c r="AV172" i="3"/>
  <c r="AW172" i="3"/>
  <c r="AZ172" i="3"/>
  <c r="BA172" i="3"/>
  <c r="BE172" i="3"/>
  <c r="BG172" i="3"/>
  <c r="BH172" i="3"/>
  <c r="BK172" i="3"/>
  <c r="BL172" i="3"/>
  <c r="BP172" i="3"/>
  <c r="BR172" i="3"/>
  <c r="BS172" i="3"/>
  <c r="BV172" i="3"/>
  <c r="BW172" i="3"/>
  <c r="CA172" i="3"/>
  <c r="CC172" i="3"/>
  <c r="CD172" i="3"/>
  <c r="CG172" i="3"/>
  <c r="CH172" i="3"/>
  <c r="CL172" i="3"/>
  <c r="CN172" i="3"/>
  <c r="CO172" i="3"/>
  <c r="CR172" i="3"/>
  <c r="CS172" i="3"/>
  <c r="DE172" i="3"/>
  <c r="DF172" i="3"/>
  <c r="DG172" i="3"/>
  <c r="DI172" i="3"/>
  <c r="DK172" i="3"/>
  <c r="DL172" i="3"/>
  <c r="DN172" i="3"/>
  <c r="DO172" i="3"/>
  <c r="DP172" i="3"/>
  <c r="DT172" i="3"/>
  <c r="DU172" i="3"/>
  <c r="DV172" i="3"/>
  <c r="DX172" i="3"/>
  <c r="DZ172" i="3"/>
  <c r="EA172" i="3"/>
  <c r="EC172" i="3"/>
  <c r="ED172" i="3"/>
  <c r="EE172" i="3"/>
  <c r="U459" i="1"/>
  <c r="U460" i="1"/>
  <c r="U461" i="1"/>
  <c r="U462" i="1"/>
  <c r="U463" i="1"/>
  <c r="U464" i="1"/>
  <c r="U465" i="1"/>
  <c r="U466" i="1"/>
  <c r="U467" i="1"/>
  <c r="U468" i="1"/>
  <c r="AE469" i="1"/>
  <c r="AF469" i="1" s="1"/>
  <c r="R468" i="1"/>
  <c r="S468" i="1"/>
  <c r="EF43" i="3"/>
  <c r="EB43" i="3"/>
  <c r="EB172" i="3" s="1"/>
  <c r="DY43" i="3"/>
  <c r="DW43" i="3"/>
  <c r="DW172" i="3" s="1"/>
  <c r="DQ43" i="3"/>
  <c r="DM43" i="3"/>
  <c r="DJ43" i="3"/>
  <c r="DJ172" i="3" s="1"/>
  <c r="DH43" i="3"/>
  <c r="DH172" i="3" s="1"/>
  <c r="CY43" i="3"/>
  <c r="CY172" i="3" s="1"/>
  <c r="CZ43" i="3"/>
  <c r="CZ172" i="3" s="1"/>
  <c r="DA43" i="3"/>
  <c r="DA172" i="3" s="1"/>
  <c r="DB43" i="3"/>
  <c r="DB172" i="3" s="1"/>
  <c r="DC43" i="3"/>
  <c r="DC172" i="3" s="1"/>
  <c r="CM43" i="3"/>
  <c r="CT43" i="3" s="1"/>
  <c r="CB43" i="3"/>
  <c r="CB172" i="3" s="1"/>
  <c r="BQ43" i="3"/>
  <c r="BX43" i="3" s="1"/>
  <c r="BF43" i="3"/>
  <c r="BM43" i="3" s="1"/>
  <c r="AU43" i="3"/>
  <c r="AX43" i="3" s="1"/>
  <c r="AJ43" i="3"/>
  <c r="AM43" i="3" s="1"/>
  <c r="AB43" i="3"/>
  <c r="U172" i="3"/>
  <c r="V172" i="3"/>
  <c r="C43" i="3"/>
  <c r="B171" i="3"/>
  <c r="F171" i="3"/>
  <c r="I171" i="3"/>
  <c r="M171" i="3"/>
  <c r="N171" i="3"/>
  <c r="O171" i="3"/>
  <c r="P171" i="3"/>
  <c r="Q171" i="3"/>
  <c r="R171" i="3"/>
  <c r="S171" i="3"/>
  <c r="T171" i="3"/>
  <c r="Z171" i="3"/>
  <c r="AA171" i="3"/>
  <c r="AI171" i="3"/>
  <c r="AK171" i="3"/>
  <c r="AL171" i="3"/>
  <c r="AO171" i="3"/>
  <c r="AP171" i="3"/>
  <c r="AT171" i="3"/>
  <c r="AV171" i="3"/>
  <c r="AW171" i="3"/>
  <c r="AZ171" i="3"/>
  <c r="BA171" i="3"/>
  <c r="BE171" i="3"/>
  <c r="BG171" i="3"/>
  <c r="BH171" i="3"/>
  <c r="BK171" i="3"/>
  <c r="BL171" i="3"/>
  <c r="BP171" i="3"/>
  <c r="BR171" i="3"/>
  <c r="BS171" i="3"/>
  <c r="BV171" i="3"/>
  <c r="BW171" i="3"/>
  <c r="CA171" i="3"/>
  <c r="CC171" i="3"/>
  <c r="CD171" i="3"/>
  <c r="CG171" i="3"/>
  <c r="CH171" i="3"/>
  <c r="CL171" i="3"/>
  <c r="CN171" i="3"/>
  <c r="CO171" i="3"/>
  <c r="CR171" i="3"/>
  <c r="CS171" i="3"/>
  <c r="DE171" i="3"/>
  <c r="DF171" i="3"/>
  <c r="DG171" i="3"/>
  <c r="DI171" i="3"/>
  <c r="DK171" i="3"/>
  <c r="DL171" i="3"/>
  <c r="DN171" i="3"/>
  <c r="DO171" i="3"/>
  <c r="DP171" i="3"/>
  <c r="DT171" i="3"/>
  <c r="DU171" i="3"/>
  <c r="DV171" i="3"/>
  <c r="DX171" i="3"/>
  <c r="DZ171" i="3"/>
  <c r="EA171" i="3"/>
  <c r="EC171" i="3"/>
  <c r="ED171" i="3"/>
  <c r="EE171" i="3"/>
  <c r="AE468" i="1"/>
  <c r="AF468" i="1" s="1"/>
  <c r="S467" i="1"/>
  <c r="R467" i="1"/>
  <c r="EF42" i="3"/>
  <c r="EB42" i="3"/>
  <c r="EB171" i="3" s="1"/>
  <c r="DY42" i="3"/>
  <c r="DW42" i="3"/>
  <c r="DW171" i="3" s="1"/>
  <c r="DQ42" i="3"/>
  <c r="DM42" i="3"/>
  <c r="DJ42" i="3"/>
  <c r="DJ171" i="3" s="1"/>
  <c r="DH42" i="3"/>
  <c r="CY42" i="3"/>
  <c r="CY171" i="3" s="1"/>
  <c r="CZ42" i="3"/>
  <c r="CZ171" i="3" s="1"/>
  <c r="DA42" i="3"/>
  <c r="DA171" i="3" s="1"/>
  <c r="DB42" i="3"/>
  <c r="DB171" i="3" s="1"/>
  <c r="DC42" i="3"/>
  <c r="DC171" i="3" s="1"/>
  <c r="CM42" i="3"/>
  <c r="CP42" i="3" s="1"/>
  <c r="CP171" i="3" s="1"/>
  <c r="CB42" i="3"/>
  <c r="CI42" i="3" s="1"/>
  <c r="BQ42" i="3"/>
  <c r="BF42" i="3"/>
  <c r="AU42" i="3"/>
  <c r="BB42" i="3" s="1"/>
  <c r="BB171" i="3" s="1"/>
  <c r="AJ42" i="3"/>
  <c r="AM42" i="3" s="1"/>
  <c r="AB171" i="3"/>
  <c r="U42" i="3"/>
  <c r="U171" i="3" s="1"/>
  <c r="V42" i="3"/>
  <c r="V171" i="3" s="1"/>
  <c r="C42" i="3"/>
  <c r="B170" i="3"/>
  <c r="F170" i="3"/>
  <c r="I170" i="3"/>
  <c r="M170" i="3"/>
  <c r="N170" i="3"/>
  <c r="O170" i="3"/>
  <c r="P170" i="3"/>
  <c r="Q170" i="3"/>
  <c r="R170" i="3"/>
  <c r="S170" i="3"/>
  <c r="T170" i="3"/>
  <c r="Z170" i="3"/>
  <c r="AA170" i="3"/>
  <c r="AI170" i="3"/>
  <c r="AK170" i="3"/>
  <c r="AL170" i="3"/>
  <c r="AO170" i="3"/>
  <c r="AP170" i="3"/>
  <c r="AT170" i="3"/>
  <c r="AV170" i="3"/>
  <c r="AW170" i="3"/>
  <c r="AZ170" i="3"/>
  <c r="BA170" i="3"/>
  <c r="BE170" i="3"/>
  <c r="BG170" i="3"/>
  <c r="BH170" i="3"/>
  <c r="BK170" i="3"/>
  <c r="BL170" i="3"/>
  <c r="BP170" i="3"/>
  <c r="BR170" i="3"/>
  <c r="BS170" i="3"/>
  <c r="BV170" i="3"/>
  <c r="BW170" i="3"/>
  <c r="CA170" i="3"/>
  <c r="CC170" i="3"/>
  <c r="CD170" i="3"/>
  <c r="CG170" i="3"/>
  <c r="CH170" i="3"/>
  <c r="CL170" i="3"/>
  <c r="CN170" i="3"/>
  <c r="CO170" i="3"/>
  <c r="CR170" i="3"/>
  <c r="CS170" i="3"/>
  <c r="DE170" i="3"/>
  <c r="DF170" i="3"/>
  <c r="DG170" i="3"/>
  <c r="DI170" i="3"/>
  <c r="DK170" i="3"/>
  <c r="DL170" i="3"/>
  <c r="DN170" i="3"/>
  <c r="DO170" i="3"/>
  <c r="DP170" i="3"/>
  <c r="DT170" i="3"/>
  <c r="DU170" i="3"/>
  <c r="DV170" i="3"/>
  <c r="DX170" i="3"/>
  <c r="DZ170" i="3"/>
  <c r="EA170" i="3"/>
  <c r="EC170" i="3"/>
  <c r="ED170" i="3"/>
  <c r="EE170" i="3"/>
  <c r="AE467" i="1"/>
  <c r="AF467" i="1" s="1"/>
  <c r="S466" i="1"/>
  <c r="R466" i="1"/>
  <c r="EF41" i="3"/>
  <c r="EB41" i="3"/>
  <c r="EB170" i="3" s="1"/>
  <c r="DY41" i="3"/>
  <c r="DW41" i="3"/>
  <c r="DW170" i="3" s="1"/>
  <c r="DQ41" i="3"/>
  <c r="DM41" i="3"/>
  <c r="DJ41" i="3"/>
  <c r="DJ170" i="3" s="1"/>
  <c r="DH41" i="3"/>
  <c r="DH170" i="3" s="1"/>
  <c r="CY41" i="3"/>
  <c r="CY170" i="3" s="1"/>
  <c r="CZ41" i="3"/>
  <c r="CZ170" i="3" s="1"/>
  <c r="DA41" i="3"/>
  <c r="DA170" i="3" s="1"/>
  <c r="DB41" i="3"/>
  <c r="DB170" i="3" s="1"/>
  <c r="DC41" i="3"/>
  <c r="DC170" i="3" s="1"/>
  <c r="CM41" i="3"/>
  <c r="CB41" i="3"/>
  <c r="CE41" i="3" s="1"/>
  <c r="BQ41" i="3"/>
  <c r="BQ170" i="3" s="1"/>
  <c r="BF41" i="3"/>
  <c r="BI41" i="3" s="1"/>
  <c r="BI170" i="3" s="1"/>
  <c r="AU41" i="3"/>
  <c r="AU170" i="3" s="1"/>
  <c r="AJ41" i="3"/>
  <c r="AQ41" i="3" s="1"/>
  <c r="AB41" i="3"/>
  <c r="U41" i="3"/>
  <c r="U170" i="3" s="1"/>
  <c r="V41" i="3"/>
  <c r="V170" i="3" s="1"/>
  <c r="C41" i="3"/>
  <c r="B169" i="3"/>
  <c r="F169" i="3"/>
  <c r="I169" i="3"/>
  <c r="M169" i="3"/>
  <c r="N169" i="3"/>
  <c r="O169" i="3"/>
  <c r="P169" i="3"/>
  <c r="Q169" i="3"/>
  <c r="R169" i="3"/>
  <c r="S169" i="3"/>
  <c r="T169" i="3"/>
  <c r="Z169" i="3"/>
  <c r="AA169" i="3"/>
  <c r="AI169" i="3"/>
  <c r="AK169" i="3"/>
  <c r="AL169" i="3"/>
  <c r="AO169" i="3"/>
  <c r="AP169" i="3"/>
  <c r="AT169" i="3"/>
  <c r="AV169" i="3"/>
  <c r="AW169" i="3"/>
  <c r="AZ169" i="3"/>
  <c r="BA169" i="3"/>
  <c r="BE169" i="3"/>
  <c r="BG169" i="3"/>
  <c r="BH169" i="3"/>
  <c r="BK169" i="3"/>
  <c r="BL169" i="3"/>
  <c r="BP169" i="3"/>
  <c r="BR169" i="3"/>
  <c r="BS169" i="3"/>
  <c r="BV169" i="3"/>
  <c r="BW169" i="3"/>
  <c r="CA169" i="3"/>
  <c r="CC169" i="3"/>
  <c r="CD169" i="3"/>
  <c r="CG169" i="3"/>
  <c r="CH169" i="3"/>
  <c r="CL169" i="3"/>
  <c r="CN169" i="3"/>
  <c r="CO169" i="3"/>
  <c r="CR169" i="3"/>
  <c r="CS169" i="3"/>
  <c r="DE169" i="3"/>
  <c r="DF169" i="3"/>
  <c r="DG169" i="3"/>
  <c r="DI169" i="3"/>
  <c r="DK169" i="3"/>
  <c r="DL169" i="3"/>
  <c r="DN169" i="3"/>
  <c r="DO169" i="3"/>
  <c r="DP169" i="3"/>
  <c r="DT169" i="3"/>
  <c r="DU169" i="3"/>
  <c r="DV169" i="3"/>
  <c r="DX169" i="3"/>
  <c r="DZ169" i="3"/>
  <c r="EA169" i="3"/>
  <c r="EC169" i="3"/>
  <c r="ED169" i="3"/>
  <c r="EE169" i="3"/>
  <c r="AE466" i="1"/>
  <c r="AF466" i="1" s="1"/>
  <c r="AE465" i="1"/>
  <c r="AG465" i="1" s="1"/>
  <c r="S465" i="1"/>
  <c r="R465" i="1"/>
  <c r="EF40" i="3"/>
  <c r="EB40" i="3"/>
  <c r="EB169" i="3" s="1"/>
  <c r="DY40" i="3"/>
  <c r="DW40" i="3"/>
  <c r="DW169" i="3" s="1"/>
  <c r="DQ40" i="3"/>
  <c r="DM40" i="3"/>
  <c r="DJ40" i="3"/>
  <c r="DJ169" i="3" s="1"/>
  <c r="DH40" i="3"/>
  <c r="CY40" i="3"/>
  <c r="CY169" i="3" s="1"/>
  <c r="CZ40" i="3"/>
  <c r="CZ169" i="3" s="1"/>
  <c r="DA40" i="3"/>
  <c r="DA169" i="3" s="1"/>
  <c r="DB40" i="3"/>
  <c r="DB169" i="3" s="1"/>
  <c r="DC40" i="3"/>
  <c r="DC169" i="3" s="1"/>
  <c r="CM40" i="3"/>
  <c r="CM169" i="3" s="1"/>
  <c r="CB40" i="3"/>
  <c r="CB169" i="3" s="1"/>
  <c r="BQ40" i="3"/>
  <c r="BQ169" i="3" s="1"/>
  <c r="BF40" i="3"/>
  <c r="BM40" i="3" s="1"/>
  <c r="BM169" i="3" s="1"/>
  <c r="AU40" i="3"/>
  <c r="AX40" i="3" s="1"/>
  <c r="AJ40" i="3"/>
  <c r="AB40" i="3"/>
  <c r="U40" i="3"/>
  <c r="U169" i="3" s="1"/>
  <c r="V40" i="3"/>
  <c r="V169" i="3" s="1"/>
  <c r="C40" i="3"/>
  <c r="B168" i="3"/>
  <c r="C39" i="3"/>
  <c r="F168" i="3"/>
  <c r="I168" i="3"/>
  <c r="M168" i="3"/>
  <c r="N168" i="3"/>
  <c r="O168" i="3"/>
  <c r="P168" i="3"/>
  <c r="Q168" i="3"/>
  <c r="R168" i="3"/>
  <c r="S168" i="3"/>
  <c r="T168" i="3"/>
  <c r="U39" i="3"/>
  <c r="U168" i="3" s="1"/>
  <c r="V39" i="3"/>
  <c r="V168" i="3" s="1"/>
  <c r="Z168" i="3"/>
  <c r="AA168" i="3"/>
  <c r="AB39" i="3"/>
  <c r="AI168" i="3"/>
  <c r="AJ39" i="3"/>
  <c r="AJ168" i="3" s="1"/>
  <c r="AK168" i="3"/>
  <c r="AL168" i="3"/>
  <c r="AO168" i="3"/>
  <c r="AP168" i="3"/>
  <c r="AT168" i="3"/>
  <c r="AU39" i="3"/>
  <c r="AU168" i="3" s="1"/>
  <c r="AV168" i="3"/>
  <c r="AW168" i="3"/>
  <c r="AZ168" i="3"/>
  <c r="BA168" i="3"/>
  <c r="BE168" i="3"/>
  <c r="BF39" i="3"/>
  <c r="BM39" i="3" s="1"/>
  <c r="BM168" i="3" s="1"/>
  <c r="BG168" i="3"/>
  <c r="BH168" i="3"/>
  <c r="BK168" i="3"/>
  <c r="BL168" i="3"/>
  <c r="BP168" i="3"/>
  <c r="BQ39" i="3"/>
  <c r="BQ168" i="3" s="1"/>
  <c r="BR168" i="3"/>
  <c r="BS168" i="3"/>
  <c r="BV168" i="3"/>
  <c r="BW168" i="3"/>
  <c r="CA168" i="3"/>
  <c r="CB39" i="3"/>
  <c r="CB168" i="3" s="1"/>
  <c r="CC168" i="3"/>
  <c r="CD168" i="3"/>
  <c r="CG168" i="3"/>
  <c r="CH168" i="3"/>
  <c r="CL168" i="3"/>
  <c r="CM39" i="3"/>
  <c r="CN168" i="3"/>
  <c r="CO168" i="3"/>
  <c r="CR168" i="3"/>
  <c r="CS168" i="3"/>
  <c r="CY39" i="3"/>
  <c r="CY168" i="3" s="1"/>
  <c r="CZ39" i="3"/>
  <c r="CZ168" i="3" s="1"/>
  <c r="DA39" i="3"/>
  <c r="DA168" i="3" s="1"/>
  <c r="DB39" i="3"/>
  <c r="DB168" i="3" s="1"/>
  <c r="DC39" i="3"/>
  <c r="DC168" i="3" s="1"/>
  <c r="DE168" i="3"/>
  <c r="DF168" i="3"/>
  <c r="DG168" i="3"/>
  <c r="DH39" i="3"/>
  <c r="DH168" i="3" s="1"/>
  <c r="DI168" i="3"/>
  <c r="DJ39" i="3"/>
  <c r="DJ168" i="3" s="1"/>
  <c r="DK168" i="3"/>
  <c r="DL168" i="3"/>
  <c r="DM39" i="3"/>
  <c r="DN168" i="3"/>
  <c r="DO168" i="3"/>
  <c r="DP168" i="3"/>
  <c r="DQ39" i="3"/>
  <c r="DQ168" i="3" s="1"/>
  <c r="DT168" i="3"/>
  <c r="DU168" i="3"/>
  <c r="DV168" i="3"/>
  <c r="DW39" i="3"/>
  <c r="DW168" i="3" s="1"/>
  <c r="DX168" i="3"/>
  <c r="DY39" i="3"/>
  <c r="DZ168" i="3"/>
  <c r="EA168" i="3"/>
  <c r="EB39" i="3"/>
  <c r="EB168" i="3" s="1"/>
  <c r="EC168" i="3"/>
  <c r="ED168" i="3"/>
  <c r="EE168" i="3"/>
  <c r="EF39" i="3"/>
  <c r="R461" i="1"/>
  <c r="S461" i="1"/>
  <c r="R462" i="1"/>
  <c r="S462" i="1"/>
  <c r="R463" i="1"/>
  <c r="S463" i="1"/>
  <c r="R464" i="1"/>
  <c r="S464" i="1"/>
  <c r="F464" i="1"/>
  <c r="H464" i="1" s="1"/>
  <c r="EF38" i="3"/>
  <c r="EB38" i="3"/>
  <c r="EB167" i="3" s="1"/>
  <c r="DY38" i="3"/>
  <c r="DW38" i="3"/>
  <c r="DW167" i="3" s="1"/>
  <c r="DQ38" i="3"/>
  <c r="DQ167" i="3" s="1"/>
  <c r="DM38" i="3"/>
  <c r="DJ38" i="3"/>
  <c r="DJ167" i="3" s="1"/>
  <c r="DH38" i="3"/>
  <c r="DH167" i="3" s="1"/>
  <c r="AJ38" i="3"/>
  <c r="AM38" i="3" s="1"/>
  <c r="AU38" i="3"/>
  <c r="BB38" i="3" s="1"/>
  <c r="BF38" i="3"/>
  <c r="BQ38" i="3"/>
  <c r="BT38" i="3" s="1"/>
  <c r="BT167" i="3" s="1"/>
  <c r="CB38" i="3"/>
  <c r="CE38" i="3" s="1"/>
  <c r="CM38" i="3"/>
  <c r="CM167" i="3" s="1"/>
  <c r="CY38" i="3"/>
  <c r="CY167" i="3" s="1"/>
  <c r="CZ38" i="3"/>
  <c r="CZ167" i="3" s="1"/>
  <c r="DA38" i="3"/>
  <c r="DA167" i="3" s="1"/>
  <c r="DB38" i="3"/>
  <c r="DB167" i="3" s="1"/>
  <c r="DC38" i="3"/>
  <c r="DC167" i="3" s="1"/>
  <c r="B167" i="3"/>
  <c r="F167" i="3"/>
  <c r="I167" i="3"/>
  <c r="M167" i="3"/>
  <c r="N167" i="3"/>
  <c r="O167" i="3"/>
  <c r="P167" i="3"/>
  <c r="Q167" i="3"/>
  <c r="R167" i="3"/>
  <c r="S167" i="3"/>
  <c r="T167" i="3"/>
  <c r="Z167" i="3"/>
  <c r="AA167" i="3"/>
  <c r="AI167" i="3"/>
  <c r="AK167" i="3"/>
  <c r="AL167" i="3"/>
  <c r="AO167" i="3"/>
  <c r="AP167" i="3"/>
  <c r="AT167" i="3"/>
  <c r="AV167" i="3"/>
  <c r="AW167" i="3"/>
  <c r="AZ167" i="3"/>
  <c r="BA167" i="3"/>
  <c r="BE167" i="3"/>
  <c r="BG167" i="3"/>
  <c r="BH167" i="3"/>
  <c r="BK167" i="3"/>
  <c r="BL167" i="3"/>
  <c r="BP167" i="3"/>
  <c r="BR167" i="3"/>
  <c r="BS167" i="3"/>
  <c r="BV167" i="3"/>
  <c r="BW167" i="3"/>
  <c r="CA167" i="3"/>
  <c r="CC167" i="3"/>
  <c r="CD167" i="3"/>
  <c r="CG167" i="3"/>
  <c r="CH167" i="3"/>
  <c r="CL167" i="3"/>
  <c r="CN167" i="3"/>
  <c r="CO167" i="3"/>
  <c r="CR167" i="3"/>
  <c r="CS167" i="3"/>
  <c r="DE167" i="3"/>
  <c r="DF167" i="3"/>
  <c r="DG167" i="3"/>
  <c r="DI167" i="3"/>
  <c r="DK167" i="3"/>
  <c r="DL167" i="3"/>
  <c r="DN167" i="3"/>
  <c r="DO167" i="3"/>
  <c r="DP167" i="3"/>
  <c r="DT167" i="3"/>
  <c r="DU167" i="3"/>
  <c r="DV167" i="3"/>
  <c r="DX167" i="3"/>
  <c r="DZ167" i="3"/>
  <c r="EA167" i="3"/>
  <c r="EC167" i="3"/>
  <c r="ED167" i="3"/>
  <c r="EE167" i="3"/>
  <c r="AB38" i="3"/>
  <c r="U38" i="3"/>
  <c r="U167" i="3" s="1"/>
  <c r="V38" i="3"/>
  <c r="V167" i="3" s="1"/>
  <c r="C38" i="3"/>
  <c r="B166" i="3"/>
  <c r="F166" i="3"/>
  <c r="I166" i="3"/>
  <c r="M166" i="3"/>
  <c r="N166" i="3"/>
  <c r="O166" i="3"/>
  <c r="P166" i="3"/>
  <c r="Q166" i="3"/>
  <c r="R166" i="3"/>
  <c r="S166" i="3"/>
  <c r="T166" i="3"/>
  <c r="Z166" i="3"/>
  <c r="AA166" i="3"/>
  <c r="AI166" i="3"/>
  <c r="AK166" i="3"/>
  <c r="AL166" i="3"/>
  <c r="AO166" i="3"/>
  <c r="AP166" i="3"/>
  <c r="AT166" i="3"/>
  <c r="AV166" i="3"/>
  <c r="AW166" i="3"/>
  <c r="AZ166" i="3"/>
  <c r="BA166" i="3"/>
  <c r="BE166" i="3"/>
  <c r="BG166" i="3"/>
  <c r="BH166" i="3"/>
  <c r="BK166" i="3"/>
  <c r="BL166" i="3"/>
  <c r="BP166" i="3"/>
  <c r="BR166" i="3"/>
  <c r="BS166" i="3"/>
  <c r="BV166" i="3"/>
  <c r="BW166" i="3"/>
  <c r="CA166" i="3"/>
  <c r="CC166" i="3"/>
  <c r="CD166" i="3"/>
  <c r="CG166" i="3"/>
  <c r="CH166" i="3"/>
  <c r="CL166" i="3"/>
  <c r="CN166" i="3"/>
  <c r="CO166" i="3"/>
  <c r="CR166" i="3"/>
  <c r="CS166" i="3"/>
  <c r="DE166" i="3"/>
  <c r="DF166" i="3"/>
  <c r="DG166" i="3"/>
  <c r="DI166" i="3"/>
  <c r="DK166" i="3"/>
  <c r="DL166" i="3"/>
  <c r="DN166" i="3"/>
  <c r="DO166" i="3"/>
  <c r="DP166" i="3"/>
  <c r="DT166" i="3"/>
  <c r="DU166" i="3"/>
  <c r="DV166" i="3"/>
  <c r="DX166" i="3"/>
  <c r="DZ166" i="3"/>
  <c r="EA166" i="3"/>
  <c r="EC166" i="3"/>
  <c r="ED166" i="3"/>
  <c r="EE166" i="3"/>
  <c r="AE464" i="1"/>
  <c r="AF464" i="1" s="1"/>
  <c r="DU19" i="3"/>
  <c r="AE463" i="1"/>
  <c r="AF463" i="1" s="1"/>
  <c r="F462" i="1"/>
  <c r="H462" i="1" s="1"/>
  <c r="EF36" i="3"/>
  <c r="EF37" i="3"/>
  <c r="EB36" i="3"/>
  <c r="EB165" i="3" s="1"/>
  <c r="EB37" i="3"/>
  <c r="EB166" i="3" s="1"/>
  <c r="DY36" i="3"/>
  <c r="DY37" i="3"/>
  <c r="DW36" i="3"/>
  <c r="DW165" i="3" s="1"/>
  <c r="DW37" i="3"/>
  <c r="DW166" i="3" s="1"/>
  <c r="DQ37" i="3"/>
  <c r="DM37" i="3"/>
  <c r="DJ37" i="3"/>
  <c r="DJ166" i="3" s="1"/>
  <c r="DH37" i="3"/>
  <c r="CY37" i="3"/>
  <c r="CY166" i="3" s="1"/>
  <c r="CZ37" i="3"/>
  <c r="CZ166" i="3" s="1"/>
  <c r="DA37" i="3"/>
  <c r="DA166" i="3" s="1"/>
  <c r="DB37" i="3"/>
  <c r="DB166" i="3" s="1"/>
  <c r="DC37" i="3"/>
  <c r="DC166" i="3" s="1"/>
  <c r="CM37" i="3"/>
  <c r="CT37" i="3" s="1"/>
  <c r="CB37" i="3"/>
  <c r="CE37" i="3" s="1"/>
  <c r="BQ37" i="3"/>
  <c r="BQ166" i="3" s="1"/>
  <c r="BF37" i="3"/>
  <c r="AU37" i="3"/>
  <c r="AJ37" i="3"/>
  <c r="AM37" i="3" s="1"/>
  <c r="AB37" i="3"/>
  <c r="U37" i="3"/>
  <c r="U166" i="3" s="1"/>
  <c r="V37" i="3"/>
  <c r="V166" i="3" s="1"/>
  <c r="C37" i="3"/>
  <c r="B165" i="3"/>
  <c r="F165" i="3"/>
  <c r="I165" i="3"/>
  <c r="M165" i="3"/>
  <c r="N165" i="3"/>
  <c r="O165" i="3"/>
  <c r="P165" i="3"/>
  <c r="Q165" i="3"/>
  <c r="R165" i="3"/>
  <c r="S165" i="3"/>
  <c r="T165" i="3"/>
  <c r="Z165" i="3"/>
  <c r="AA165" i="3"/>
  <c r="AI165" i="3"/>
  <c r="AK165" i="3"/>
  <c r="AL165" i="3"/>
  <c r="AO165" i="3"/>
  <c r="AP165" i="3"/>
  <c r="AT165" i="3"/>
  <c r="AV165" i="3"/>
  <c r="AW165" i="3"/>
  <c r="AZ165" i="3"/>
  <c r="BA165" i="3"/>
  <c r="BE165" i="3"/>
  <c r="BG165" i="3"/>
  <c r="BH165" i="3"/>
  <c r="BK165" i="3"/>
  <c r="BL165" i="3"/>
  <c r="BP165" i="3"/>
  <c r="BR165" i="3"/>
  <c r="BS165" i="3"/>
  <c r="BV165" i="3"/>
  <c r="BW165" i="3"/>
  <c r="CA165" i="3"/>
  <c r="CC165" i="3"/>
  <c r="CD165" i="3"/>
  <c r="CG165" i="3"/>
  <c r="CH165" i="3"/>
  <c r="CL165" i="3"/>
  <c r="CN165" i="3"/>
  <c r="CO165" i="3"/>
  <c r="CR165" i="3"/>
  <c r="CS165" i="3"/>
  <c r="DE165" i="3"/>
  <c r="DF165" i="3"/>
  <c r="DG165" i="3"/>
  <c r="DI165" i="3"/>
  <c r="DK165" i="3"/>
  <c r="DL165" i="3"/>
  <c r="DN165" i="3"/>
  <c r="DO165" i="3"/>
  <c r="DP165" i="3"/>
  <c r="DT165" i="3"/>
  <c r="DU165" i="3"/>
  <c r="DV165" i="3"/>
  <c r="DX165" i="3"/>
  <c r="DZ165" i="3"/>
  <c r="EA165" i="3"/>
  <c r="EC165" i="3"/>
  <c r="ED165" i="3"/>
  <c r="EE165" i="3"/>
  <c r="AE462" i="1"/>
  <c r="AF462" i="1" s="1"/>
  <c r="DQ36" i="3"/>
  <c r="DM36" i="3"/>
  <c r="DJ36" i="3"/>
  <c r="DJ165" i="3" s="1"/>
  <c r="DH36" i="3"/>
  <c r="CY36" i="3"/>
  <c r="CY165" i="3" s="1"/>
  <c r="CZ36" i="3"/>
  <c r="CZ165" i="3" s="1"/>
  <c r="DA36" i="3"/>
  <c r="DA165" i="3" s="1"/>
  <c r="DB36" i="3"/>
  <c r="DB165" i="3" s="1"/>
  <c r="DC36" i="3"/>
  <c r="DC165" i="3" s="1"/>
  <c r="CM36" i="3"/>
  <c r="CM165" i="3" s="1"/>
  <c r="CB36" i="3"/>
  <c r="CI36" i="3" s="1"/>
  <c r="BQ36" i="3"/>
  <c r="BX36" i="3" s="1"/>
  <c r="BF36" i="3"/>
  <c r="BM36" i="3" s="1"/>
  <c r="AU36" i="3"/>
  <c r="BB36" i="3" s="1"/>
  <c r="BB165" i="3" s="1"/>
  <c r="AJ36" i="3"/>
  <c r="AQ36" i="3" s="1"/>
  <c r="AQ165" i="3" s="1"/>
  <c r="AB36" i="3"/>
  <c r="U36" i="3"/>
  <c r="U165" i="3" s="1"/>
  <c r="V36" i="3"/>
  <c r="V165" i="3" s="1"/>
  <c r="C36" i="3"/>
  <c r="B164" i="3"/>
  <c r="F164" i="3"/>
  <c r="I164" i="3"/>
  <c r="M164" i="3"/>
  <c r="N164" i="3"/>
  <c r="O164" i="3"/>
  <c r="P164" i="3"/>
  <c r="Q164" i="3"/>
  <c r="R164" i="3"/>
  <c r="S164" i="3"/>
  <c r="T164" i="3"/>
  <c r="Z164" i="3"/>
  <c r="AA164" i="3"/>
  <c r="AI164" i="3"/>
  <c r="AK164" i="3"/>
  <c r="AL164" i="3"/>
  <c r="AO164" i="3"/>
  <c r="AP164" i="3"/>
  <c r="AT164" i="3"/>
  <c r="AV164" i="3"/>
  <c r="AW164" i="3"/>
  <c r="AZ164" i="3"/>
  <c r="BA164" i="3"/>
  <c r="BE164" i="3"/>
  <c r="BG164" i="3"/>
  <c r="BH164" i="3"/>
  <c r="BK164" i="3"/>
  <c r="BL164" i="3"/>
  <c r="BP164" i="3"/>
  <c r="BR164" i="3"/>
  <c r="BS164" i="3"/>
  <c r="BV164" i="3"/>
  <c r="BW164" i="3"/>
  <c r="CA164" i="3"/>
  <c r="CC164" i="3"/>
  <c r="CD164" i="3"/>
  <c r="CG164" i="3"/>
  <c r="CH164" i="3"/>
  <c r="CL164" i="3"/>
  <c r="CN164" i="3"/>
  <c r="CO164" i="3"/>
  <c r="CR164" i="3"/>
  <c r="CS164" i="3"/>
  <c r="DE164" i="3"/>
  <c r="DF164" i="3"/>
  <c r="DG164" i="3"/>
  <c r="DI164" i="3"/>
  <c r="DK164" i="3"/>
  <c r="DL164" i="3"/>
  <c r="DN164" i="3"/>
  <c r="DO164" i="3"/>
  <c r="DP164" i="3"/>
  <c r="DT164" i="3"/>
  <c r="DU164" i="3"/>
  <c r="DV164" i="3"/>
  <c r="DX164" i="3"/>
  <c r="DZ164" i="3"/>
  <c r="EA164" i="3"/>
  <c r="EC164" i="3"/>
  <c r="ED164" i="3"/>
  <c r="EE164" i="3"/>
  <c r="IK330" i="2"/>
  <c r="IK331" i="2"/>
  <c r="IK332" i="2"/>
  <c r="IK333" i="2"/>
  <c r="IK334" i="2"/>
  <c r="IK335" i="2"/>
  <c r="IK336" i="2"/>
  <c r="IK337" i="2"/>
  <c r="IJ336" i="2"/>
  <c r="IJ330" i="2"/>
  <c r="IJ331" i="2"/>
  <c r="IJ332" i="2"/>
  <c r="IJ333" i="2"/>
  <c r="IJ334" i="2"/>
  <c r="IJ335" i="2"/>
  <c r="IJ337" i="2"/>
  <c r="II330" i="2"/>
  <c r="II331" i="2"/>
  <c r="II332" i="2"/>
  <c r="II333" i="2"/>
  <c r="II334" i="2"/>
  <c r="II335" i="2"/>
  <c r="II336" i="2"/>
  <c r="II337" i="2"/>
  <c r="AE461" i="1"/>
  <c r="AG461" i="1" s="1"/>
  <c r="S460" i="1"/>
  <c r="R460" i="1"/>
  <c r="EF35" i="3"/>
  <c r="EB35" i="3"/>
  <c r="EB164" i="3" s="1"/>
  <c r="DY35" i="3"/>
  <c r="DW35" i="3"/>
  <c r="DW164" i="3" s="1"/>
  <c r="DQ35" i="3"/>
  <c r="DM35" i="3"/>
  <c r="DJ35" i="3"/>
  <c r="DH35" i="3"/>
  <c r="DH164" i="3" s="1"/>
  <c r="CY35" i="3"/>
  <c r="CY164" i="3" s="1"/>
  <c r="CZ35" i="3"/>
  <c r="CZ164" i="3" s="1"/>
  <c r="DA35" i="3"/>
  <c r="DA164" i="3" s="1"/>
  <c r="DB35" i="3"/>
  <c r="DB164" i="3" s="1"/>
  <c r="DC35" i="3"/>
  <c r="DC164" i="3" s="1"/>
  <c r="CM35" i="3"/>
  <c r="CM164" i="3" s="1"/>
  <c r="CB35" i="3"/>
  <c r="CE35" i="3" s="1"/>
  <c r="CE164" i="3" s="1"/>
  <c r="BQ35" i="3"/>
  <c r="BT35" i="3" s="1"/>
  <c r="BT164" i="3" s="1"/>
  <c r="BF35" i="3"/>
  <c r="BI35" i="3" s="1"/>
  <c r="BI164" i="3" s="1"/>
  <c r="AU35" i="3"/>
  <c r="AJ35" i="3"/>
  <c r="AB35" i="3"/>
  <c r="U35" i="3"/>
  <c r="U164" i="3" s="1"/>
  <c r="V35" i="3"/>
  <c r="V164" i="3" s="1"/>
  <c r="C35" i="3"/>
  <c r="B163" i="3"/>
  <c r="F163" i="3"/>
  <c r="I163" i="3"/>
  <c r="M163" i="3"/>
  <c r="N163" i="3"/>
  <c r="O163" i="3"/>
  <c r="P163" i="3"/>
  <c r="Q163" i="3"/>
  <c r="R163" i="3"/>
  <c r="S163" i="3"/>
  <c r="T163" i="3"/>
  <c r="Z163" i="3"/>
  <c r="AA163" i="3"/>
  <c r="AI163" i="3"/>
  <c r="AK163" i="3"/>
  <c r="AL163" i="3"/>
  <c r="AO163" i="3"/>
  <c r="AP163" i="3"/>
  <c r="AT163" i="3"/>
  <c r="AV163" i="3"/>
  <c r="AW163" i="3"/>
  <c r="AZ163" i="3"/>
  <c r="BA163" i="3"/>
  <c r="BE163" i="3"/>
  <c r="BG163" i="3"/>
  <c r="BH163" i="3"/>
  <c r="BK163" i="3"/>
  <c r="BL163" i="3"/>
  <c r="BP163" i="3"/>
  <c r="BR163" i="3"/>
  <c r="BS163" i="3"/>
  <c r="BV163" i="3"/>
  <c r="BW163" i="3"/>
  <c r="CA163" i="3"/>
  <c r="CC163" i="3"/>
  <c r="CD163" i="3"/>
  <c r="CG163" i="3"/>
  <c r="CH163" i="3"/>
  <c r="CL163" i="3"/>
  <c r="CN163" i="3"/>
  <c r="CO163" i="3"/>
  <c r="CR163" i="3"/>
  <c r="CS163" i="3"/>
  <c r="DE163" i="3"/>
  <c r="DF163" i="3"/>
  <c r="DG163" i="3"/>
  <c r="DI163" i="3"/>
  <c r="DK163" i="3"/>
  <c r="DL163" i="3"/>
  <c r="DN163" i="3"/>
  <c r="DO163" i="3"/>
  <c r="DP163" i="3"/>
  <c r="DT163" i="3"/>
  <c r="DU163" i="3"/>
  <c r="DV163" i="3"/>
  <c r="DX163" i="3"/>
  <c r="DZ163" i="3"/>
  <c r="EA163" i="3"/>
  <c r="EC163" i="3"/>
  <c r="ED163" i="3"/>
  <c r="EE163" i="3"/>
  <c r="F460" i="1"/>
  <c r="H460" i="1" s="1"/>
  <c r="AE460" i="1"/>
  <c r="AG460" i="1" s="1"/>
  <c r="S459" i="1"/>
  <c r="R459" i="1"/>
  <c r="EF34" i="3"/>
  <c r="EB34" i="3"/>
  <c r="EB163" i="3" s="1"/>
  <c r="DY34" i="3"/>
  <c r="DW34" i="3"/>
  <c r="DQ34" i="3"/>
  <c r="DM34" i="3"/>
  <c r="DM163" i="3" s="1"/>
  <c r="DJ34" i="3"/>
  <c r="DH34" i="3"/>
  <c r="DH163" i="3" s="1"/>
  <c r="CY34" i="3"/>
  <c r="CY163" i="3" s="1"/>
  <c r="CZ34" i="3"/>
  <c r="CZ163" i="3" s="1"/>
  <c r="DA34" i="3"/>
  <c r="DA163" i="3" s="1"/>
  <c r="DB34" i="3"/>
  <c r="DB163" i="3" s="1"/>
  <c r="DC34" i="3"/>
  <c r="DC163" i="3" s="1"/>
  <c r="CM34" i="3"/>
  <c r="CB34" i="3"/>
  <c r="BQ34" i="3"/>
  <c r="BT34" i="3" s="1"/>
  <c r="BT163" i="3" s="1"/>
  <c r="BF34" i="3"/>
  <c r="BI34" i="3" s="1"/>
  <c r="BI163" i="3" s="1"/>
  <c r="AU34" i="3"/>
  <c r="AJ34" i="3"/>
  <c r="AJ163" i="3" s="1"/>
  <c r="AB34" i="3"/>
  <c r="AB163" i="3" s="1"/>
  <c r="U34" i="3"/>
  <c r="U163" i="3" s="1"/>
  <c r="V34" i="3"/>
  <c r="V163" i="3" s="1"/>
  <c r="C34" i="3"/>
  <c r="B162" i="3"/>
  <c r="F162" i="3"/>
  <c r="I162" i="3"/>
  <c r="M162" i="3"/>
  <c r="N162" i="3"/>
  <c r="O162" i="3"/>
  <c r="P162" i="3"/>
  <c r="Q162" i="3"/>
  <c r="R162" i="3"/>
  <c r="S162" i="3"/>
  <c r="T162" i="3"/>
  <c r="Z162" i="3"/>
  <c r="AA162" i="3"/>
  <c r="AI162" i="3"/>
  <c r="AK162" i="3"/>
  <c r="AL162" i="3"/>
  <c r="AO162" i="3"/>
  <c r="AP162" i="3"/>
  <c r="AT162" i="3"/>
  <c r="AV162" i="3"/>
  <c r="AW162" i="3"/>
  <c r="AZ162" i="3"/>
  <c r="BA162" i="3"/>
  <c r="BE162" i="3"/>
  <c r="BG162" i="3"/>
  <c r="BH162" i="3"/>
  <c r="BK162" i="3"/>
  <c r="BL162" i="3"/>
  <c r="BP162" i="3"/>
  <c r="BR162" i="3"/>
  <c r="BS162" i="3"/>
  <c r="BV162" i="3"/>
  <c r="BW162" i="3"/>
  <c r="CA162" i="3"/>
  <c r="CC162" i="3"/>
  <c r="CD162" i="3"/>
  <c r="CG162" i="3"/>
  <c r="CH162" i="3"/>
  <c r="CL162" i="3"/>
  <c r="CN162" i="3"/>
  <c r="CO162" i="3"/>
  <c r="CR162" i="3"/>
  <c r="CS162" i="3"/>
  <c r="DE162" i="3"/>
  <c r="DF162" i="3"/>
  <c r="DG162" i="3"/>
  <c r="DI162" i="3"/>
  <c r="DK162" i="3"/>
  <c r="DL162" i="3"/>
  <c r="DN162" i="3"/>
  <c r="DO162" i="3"/>
  <c r="DP162" i="3"/>
  <c r="DT162" i="3"/>
  <c r="DU162" i="3"/>
  <c r="DV162" i="3"/>
  <c r="DX162" i="3"/>
  <c r="DZ162" i="3"/>
  <c r="EA162" i="3"/>
  <c r="EC162" i="3"/>
  <c r="ED162" i="3"/>
  <c r="EE162" i="3"/>
  <c r="EF33" i="3"/>
  <c r="EB33" i="3"/>
  <c r="EB162" i="3" s="1"/>
  <c r="DY33" i="3"/>
  <c r="DW33" i="3"/>
  <c r="DW162" i="3" s="1"/>
  <c r="DQ33" i="3"/>
  <c r="DQ162" i="3" s="1"/>
  <c r="DM33" i="3"/>
  <c r="DM162" i="3" s="1"/>
  <c r="DJ33" i="3"/>
  <c r="DJ162" i="3" s="1"/>
  <c r="DH33" i="3"/>
  <c r="DH162" i="3" s="1"/>
  <c r="EF32" i="3"/>
  <c r="EB32" i="3"/>
  <c r="EB161" i="3" s="1"/>
  <c r="DY32" i="3"/>
  <c r="DW32" i="3"/>
  <c r="DQ32" i="3"/>
  <c r="DM32" i="3"/>
  <c r="DM161" i="3" s="1"/>
  <c r="DJ32" i="3"/>
  <c r="DJ161" i="3" s="1"/>
  <c r="DH32" i="3"/>
  <c r="AE459" i="1"/>
  <c r="AG459" i="1" s="1"/>
  <c r="EF5" i="3"/>
  <c r="EF6" i="3"/>
  <c r="EF7" i="3"/>
  <c r="EF8" i="3"/>
  <c r="EF9" i="3"/>
  <c r="EF10" i="3"/>
  <c r="EF11" i="3"/>
  <c r="EF12" i="3"/>
  <c r="EF13" i="3"/>
  <c r="EF14" i="3"/>
  <c r="EF15" i="3"/>
  <c r="EF16" i="3"/>
  <c r="EF17" i="3"/>
  <c r="EF18" i="3"/>
  <c r="EF19" i="3"/>
  <c r="EF20" i="3"/>
  <c r="EF21" i="3"/>
  <c r="EF22" i="3"/>
  <c r="EF23" i="3"/>
  <c r="EF24" i="3"/>
  <c r="EF25" i="3"/>
  <c r="EF26" i="3"/>
  <c r="EF27" i="3"/>
  <c r="EF28" i="3"/>
  <c r="EF29" i="3"/>
  <c r="EF30" i="3"/>
  <c r="EF31" i="3"/>
  <c r="EB6" i="3"/>
  <c r="EB135" i="3" s="1"/>
  <c r="EB7" i="3"/>
  <c r="EB136" i="3" s="1"/>
  <c r="EB8" i="3"/>
  <c r="EB137" i="3" s="1"/>
  <c r="EB9" i="3"/>
  <c r="EB138" i="3" s="1"/>
  <c r="EB10" i="3"/>
  <c r="EB139" i="3" s="1"/>
  <c r="EB11" i="3"/>
  <c r="EB140" i="3" s="1"/>
  <c r="EB12" i="3"/>
  <c r="EB141" i="3" s="1"/>
  <c r="EB13" i="3"/>
  <c r="EB142" i="3" s="1"/>
  <c r="EB14" i="3"/>
  <c r="EB143" i="3" s="1"/>
  <c r="EB15" i="3"/>
  <c r="EB144" i="3" s="1"/>
  <c r="EB16" i="3"/>
  <c r="EB145" i="3" s="1"/>
  <c r="EB17" i="3"/>
  <c r="EB146" i="3" s="1"/>
  <c r="EB18" i="3"/>
  <c r="EB147" i="3" s="1"/>
  <c r="EB19" i="3"/>
  <c r="EB148" i="3" s="1"/>
  <c r="EB20" i="3"/>
  <c r="EB149" i="3" s="1"/>
  <c r="EB21" i="3"/>
  <c r="EB150" i="3" s="1"/>
  <c r="EB22" i="3"/>
  <c r="EB151" i="3" s="1"/>
  <c r="EB23" i="3"/>
  <c r="EB152" i="3" s="1"/>
  <c r="EB24" i="3"/>
  <c r="EB153" i="3" s="1"/>
  <c r="EB25" i="3"/>
  <c r="EB154" i="3" s="1"/>
  <c r="EB26" i="3"/>
  <c r="EB155" i="3" s="1"/>
  <c r="EB27" i="3"/>
  <c r="EB156" i="3" s="1"/>
  <c r="EB28" i="3"/>
  <c r="EB157" i="3" s="1"/>
  <c r="EB29" i="3"/>
  <c r="EB158" i="3" s="1"/>
  <c r="EB30" i="3"/>
  <c r="EB159" i="3" s="1"/>
  <c r="EB31" i="3"/>
  <c r="EB160" i="3" s="1"/>
  <c r="EB5" i="3"/>
  <c r="EB134" i="3" s="1"/>
  <c r="DY7" i="3"/>
  <c r="DY8" i="3"/>
  <c r="DY9" i="3"/>
  <c r="DY10" i="3"/>
  <c r="DY11" i="3"/>
  <c r="DY12" i="3"/>
  <c r="DY13" i="3"/>
  <c r="DY14" i="3"/>
  <c r="DY15" i="3"/>
  <c r="DY16" i="3"/>
  <c r="DY17" i="3"/>
  <c r="DY18" i="3"/>
  <c r="DY20" i="3"/>
  <c r="DY21" i="3"/>
  <c r="DY22" i="3"/>
  <c r="DY23" i="3"/>
  <c r="DY24" i="3"/>
  <c r="DY25" i="3"/>
  <c r="DY26" i="3"/>
  <c r="DY27" i="3"/>
  <c r="DY28" i="3"/>
  <c r="DY29" i="3"/>
  <c r="DY30" i="3"/>
  <c r="DY31" i="3"/>
  <c r="DY6" i="3"/>
  <c r="DY5" i="3"/>
  <c r="DW7" i="3"/>
  <c r="DW8" i="3"/>
  <c r="DW9" i="3"/>
  <c r="DW138" i="3" s="1"/>
  <c r="DW10" i="3"/>
  <c r="DW11" i="3"/>
  <c r="DW140" i="3" s="1"/>
  <c r="DW12" i="3"/>
  <c r="DW141" i="3" s="1"/>
  <c r="DW13" i="3"/>
  <c r="DW142" i="3" s="1"/>
  <c r="DW14" i="3"/>
  <c r="DW143" i="3" s="1"/>
  <c r="DW15" i="3"/>
  <c r="DW144" i="3" s="1"/>
  <c r="DW16" i="3"/>
  <c r="DW145" i="3" s="1"/>
  <c r="DW17" i="3"/>
  <c r="DW146" i="3" s="1"/>
  <c r="DW18" i="3"/>
  <c r="DW147" i="3" s="1"/>
  <c r="DW20" i="3"/>
  <c r="DW149" i="3" s="1"/>
  <c r="DW21" i="3"/>
  <c r="DW150" i="3" s="1"/>
  <c r="DW22" i="3"/>
  <c r="DW151" i="3" s="1"/>
  <c r="DW23" i="3"/>
  <c r="DW24" i="3"/>
  <c r="DW153" i="3" s="1"/>
  <c r="DW25" i="3"/>
  <c r="DW26" i="3"/>
  <c r="DW155" i="3" s="1"/>
  <c r="DW27" i="3"/>
  <c r="DW28" i="3"/>
  <c r="DW157" i="3" s="1"/>
  <c r="DW29" i="3"/>
  <c r="DW158" i="3" s="1"/>
  <c r="DW30" i="3"/>
  <c r="DW159" i="3" s="1"/>
  <c r="DW31" i="3"/>
  <c r="DW160" i="3" s="1"/>
  <c r="DW6" i="3"/>
  <c r="DW135" i="3" s="1"/>
  <c r="DW5" i="3"/>
  <c r="DQ6" i="3"/>
  <c r="DQ135" i="3" s="1"/>
  <c r="DQ7" i="3"/>
  <c r="DQ136" i="3" s="1"/>
  <c r="DQ8" i="3"/>
  <c r="DQ137" i="3" s="1"/>
  <c r="DQ9" i="3"/>
  <c r="DQ138" i="3" s="1"/>
  <c r="DQ10" i="3"/>
  <c r="DQ139" i="3" s="1"/>
  <c r="DQ11" i="3"/>
  <c r="DQ140" i="3" s="1"/>
  <c r="DQ12" i="3"/>
  <c r="DQ141" i="3" s="1"/>
  <c r="DQ13" i="3"/>
  <c r="DQ142" i="3" s="1"/>
  <c r="DQ14" i="3"/>
  <c r="DQ143" i="3" s="1"/>
  <c r="DQ15" i="3"/>
  <c r="DQ144" i="3" s="1"/>
  <c r="DQ16" i="3"/>
  <c r="DQ145" i="3" s="1"/>
  <c r="DQ17" i="3"/>
  <c r="DQ146" i="3" s="1"/>
  <c r="DQ18" i="3"/>
  <c r="DQ147" i="3" s="1"/>
  <c r="DQ19" i="3"/>
  <c r="DQ148" i="3" s="1"/>
  <c r="DQ20" i="3"/>
  <c r="DQ21" i="3"/>
  <c r="DQ150" i="3" s="1"/>
  <c r="DQ22" i="3"/>
  <c r="DQ151" i="3" s="1"/>
  <c r="DQ23" i="3"/>
  <c r="DQ24" i="3"/>
  <c r="DQ25" i="3"/>
  <c r="DQ154" i="3" s="1"/>
  <c r="DQ26" i="3"/>
  <c r="DQ155" i="3" s="1"/>
  <c r="DQ27" i="3"/>
  <c r="DQ28" i="3"/>
  <c r="DQ29" i="3"/>
  <c r="DQ30" i="3"/>
  <c r="DQ31" i="3"/>
  <c r="DQ5" i="3"/>
  <c r="DQ134" i="3" s="1"/>
  <c r="DM7" i="3"/>
  <c r="DM136" i="3" s="1"/>
  <c r="DM8" i="3"/>
  <c r="DM137" i="3" s="1"/>
  <c r="DM9" i="3"/>
  <c r="DM138" i="3" s="1"/>
  <c r="DM10" i="3"/>
  <c r="DM11" i="3"/>
  <c r="DM12" i="3"/>
  <c r="DM13" i="3"/>
  <c r="DM14" i="3"/>
  <c r="DM15" i="3"/>
  <c r="DM16" i="3"/>
  <c r="DM17" i="3"/>
  <c r="DM18" i="3"/>
  <c r="DM19" i="3"/>
  <c r="DM20" i="3"/>
  <c r="DM21" i="3"/>
  <c r="DM22" i="3"/>
  <c r="DM151" i="3" s="1"/>
  <c r="DM23" i="3"/>
  <c r="DM152" i="3" s="1"/>
  <c r="DM24" i="3"/>
  <c r="DM153" i="3" s="1"/>
  <c r="DM25" i="3"/>
  <c r="DM154" i="3" s="1"/>
  <c r="DM26" i="3"/>
  <c r="DM155" i="3" s="1"/>
  <c r="DM27" i="3"/>
  <c r="DM156" i="3" s="1"/>
  <c r="DM28" i="3"/>
  <c r="DM157" i="3" s="1"/>
  <c r="DM29" i="3"/>
  <c r="DM158" i="3" s="1"/>
  <c r="DM30" i="3"/>
  <c r="DM159" i="3" s="1"/>
  <c r="DM31" i="3"/>
  <c r="DM160" i="3" s="1"/>
  <c r="DM6" i="3"/>
  <c r="DM135" i="3" s="1"/>
  <c r="DM5" i="3"/>
  <c r="DM134" i="3" s="1"/>
  <c r="DJ6" i="3"/>
  <c r="DJ7" i="3"/>
  <c r="DJ136" i="3" s="1"/>
  <c r="DJ8" i="3"/>
  <c r="DJ137" i="3" s="1"/>
  <c r="DJ9" i="3"/>
  <c r="DJ138" i="3" s="1"/>
  <c r="DJ10" i="3"/>
  <c r="DJ139" i="3" s="1"/>
  <c r="DJ11" i="3"/>
  <c r="DJ140" i="3" s="1"/>
  <c r="DJ12" i="3"/>
  <c r="DJ141" i="3" s="1"/>
  <c r="DJ13" i="3"/>
  <c r="DJ142" i="3" s="1"/>
  <c r="DJ14" i="3"/>
  <c r="DJ143" i="3" s="1"/>
  <c r="DJ15" i="3"/>
  <c r="DJ144" i="3" s="1"/>
  <c r="DJ16" i="3"/>
  <c r="DJ145" i="3" s="1"/>
  <c r="DJ17" i="3"/>
  <c r="DJ146" i="3" s="1"/>
  <c r="DJ18" i="3"/>
  <c r="DJ147" i="3" s="1"/>
  <c r="DJ19" i="3"/>
  <c r="DJ148" i="3" s="1"/>
  <c r="DJ20" i="3"/>
  <c r="DJ21" i="3"/>
  <c r="DJ150" i="3" s="1"/>
  <c r="DJ22" i="3"/>
  <c r="DJ151" i="3" s="1"/>
  <c r="DJ23" i="3"/>
  <c r="DJ152" i="3" s="1"/>
  <c r="DJ24" i="3"/>
  <c r="DJ153" i="3" s="1"/>
  <c r="DJ25" i="3"/>
  <c r="DJ154" i="3" s="1"/>
  <c r="DJ26" i="3"/>
  <c r="DJ27" i="3"/>
  <c r="DJ156" i="3" s="1"/>
  <c r="DJ28" i="3"/>
  <c r="DJ29" i="3"/>
  <c r="DJ158" i="3" s="1"/>
  <c r="DJ30" i="3"/>
  <c r="DJ159" i="3" s="1"/>
  <c r="DJ31" i="3"/>
  <c r="DJ160" i="3" s="1"/>
  <c r="DJ5" i="3"/>
  <c r="DJ134" i="3" s="1"/>
  <c r="DH7" i="3"/>
  <c r="DH8" i="3"/>
  <c r="DH137" i="3" s="1"/>
  <c r="DH9" i="3"/>
  <c r="DH138" i="3" s="1"/>
  <c r="DH10" i="3"/>
  <c r="DH139" i="3" s="1"/>
  <c r="DH11" i="3"/>
  <c r="DH140" i="3" s="1"/>
  <c r="DH12" i="3"/>
  <c r="DH141" i="3" s="1"/>
  <c r="DH13" i="3"/>
  <c r="DH14" i="3"/>
  <c r="DH143" i="3" s="1"/>
  <c r="DH15" i="3"/>
  <c r="DH144" i="3" s="1"/>
  <c r="DH16" i="3"/>
  <c r="DH145" i="3" s="1"/>
  <c r="DH17" i="3"/>
  <c r="DH146" i="3" s="1"/>
  <c r="DH18" i="3"/>
  <c r="DH147" i="3" s="1"/>
  <c r="DH19" i="3"/>
  <c r="DH148" i="3" s="1"/>
  <c r="DH20" i="3"/>
  <c r="DH149" i="3" s="1"/>
  <c r="DH21" i="3"/>
  <c r="DH150" i="3" s="1"/>
  <c r="DH22" i="3"/>
  <c r="DH151" i="3" s="1"/>
  <c r="DH23" i="3"/>
  <c r="DH24" i="3"/>
  <c r="DH153" i="3" s="1"/>
  <c r="DH25" i="3"/>
  <c r="DH154" i="3" s="1"/>
  <c r="DH26" i="3"/>
  <c r="DH155" i="3" s="1"/>
  <c r="DH27" i="3"/>
  <c r="DH156" i="3" s="1"/>
  <c r="DH28" i="3"/>
  <c r="DH157" i="3" s="1"/>
  <c r="DH29" i="3"/>
  <c r="DH30" i="3"/>
  <c r="DH159" i="3" s="1"/>
  <c r="DH31" i="3"/>
  <c r="DH6" i="3"/>
  <c r="DH135" i="3" s="1"/>
  <c r="DH5" i="3"/>
  <c r="AE457" i="1"/>
  <c r="AF457" i="1" s="1"/>
  <c r="S457" i="1"/>
  <c r="R457" i="1"/>
  <c r="AE458" i="1"/>
  <c r="AF458" i="1" s="1"/>
  <c r="S458" i="1"/>
  <c r="R458" i="1"/>
  <c r="JE3" i="2"/>
  <c r="JF3" i="2" s="1"/>
  <c r="JE4" i="2"/>
  <c r="JF4" i="2" s="1"/>
  <c r="JE5" i="2"/>
  <c r="JF5" i="2" s="1"/>
  <c r="JE6" i="2"/>
  <c r="JF6" i="2" s="1"/>
  <c r="JE7" i="2"/>
  <c r="JF7" i="2" s="1"/>
  <c r="JE8" i="2"/>
  <c r="JF8" i="2" s="1"/>
  <c r="JE9" i="2"/>
  <c r="JF9" i="2" s="1"/>
  <c r="JE10" i="2"/>
  <c r="JF10" i="2" s="1"/>
  <c r="JE11" i="2"/>
  <c r="JF11" i="2" s="1"/>
  <c r="JE12" i="2"/>
  <c r="JF12" i="2" s="1"/>
  <c r="JE13" i="2"/>
  <c r="JF13" i="2" s="1"/>
  <c r="JE14" i="2"/>
  <c r="JF14" i="2" s="1"/>
  <c r="JE15" i="2"/>
  <c r="JF15" i="2" s="1"/>
  <c r="JE16" i="2"/>
  <c r="JF16" i="2" s="1"/>
  <c r="JE17" i="2"/>
  <c r="JF17" i="2" s="1"/>
  <c r="JE18" i="2"/>
  <c r="JF18" i="2" s="1"/>
  <c r="JE19" i="2"/>
  <c r="JF19" i="2" s="1"/>
  <c r="JE20" i="2"/>
  <c r="JF20" i="2" s="1"/>
  <c r="JE21" i="2"/>
  <c r="JF21" i="2" s="1"/>
  <c r="JE22" i="2"/>
  <c r="JF22" i="2" s="1"/>
  <c r="JE23" i="2"/>
  <c r="JF23" i="2" s="1"/>
  <c r="JE24" i="2"/>
  <c r="JF24" i="2" s="1"/>
  <c r="JE25" i="2"/>
  <c r="JF25" i="2" s="1"/>
  <c r="JE26" i="2"/>
  <c r="JF26" i="2" s="1"/>
  <c r="JE27" i="2"/>
  <c r="JF27" i="2" s="1"/>
  <c r="JE28" i="2"/>
  <c r="JF28" i="2" s="1"/>
  <c r="JE29" i="2"/>
  <c r="JF29" i="2" s="1"/>
  <c r="JE30" i="2"/>
  <c r="JF30" i="2" s="1"/>
  <c r="JE31" i="2"/>
  <c r="JF31" i="2" s="1"/>
  <c r="JE32" i="2"/>
  <c r="JF32" i="2"/>
  <c r="JE33" i="2"/>
  <c r="JF33" i="2" s="1"/>
  <c r="JE34" i="2"/>
  <c r="JF34" i="2" s="1"/>
  <c r="JE35" i="2"/>
  <c r="JF35" i="2" s="1"/>
  <c r="JE36" i="2"/>
  <c r="JF36" i="2" s="1"/>
  <c r="JE37" i="2"/>
  <c r="JF37" i="2" s="1"/>
  <c r="JE38" i="2"/>
  <c r="JF38" i="2" s="1"/>
  <c r="JE39" i="2"/>
  <c r="JF39" i="2" s="1"/>
  <c r="JE40" i="2"/>
  <c r="JF40" i="2" s="1"/>
  <c r="JE41" i="2"/>
  <c r="JF41" i="2" s="1"/>
  <c r="JE42" i="2"/>
  <c r="JF42" i="2" s="1"/>
  <c r="JE43" i="2"/>
  <c r="JF43" i="2" s="1"/>
  <c r="JE44" i="2"/>
  <c r="JF44" i="2" s="1"/>
  <c r="JE45" i="2"/>
  <c r="JF45" i="2" s="1"/>
  <c r="JE46" i="2"/>
  <c r="JF46" i="2" s="1"/>
  <c r="JE47" i="2"/>
  <c r="JF47" i="2" s="1"/>
  <c r="JE48" i="2"/>
  <c r="JF48" i="2" s="1"/>
  <c r="JE49" i="2"/>
  <c r="JF49" i="2" s="1"/>
  <c r="JE50" i="2"/>
  <c r="JF50" i="2" s="1"/>
  <c r="JE51" i="2"/>
  <c r="JF51" i="2" s="1"/>
  <c r="JE52" i="2"/>
  <c r="JF52" i="2" s="1"/>
  <c r="JE53" i="2"/>
  <c r="JF53" i="2" s="1"/>
  <c r="JE54" i="2"/>
  <c r="JF54" i="2" s="1"/>
  <c r="JE55" i="2"/>
  <c r="JF55" i="2" s="1"/>
  <c r="JE56" i="2"/>
  <c r="JF56" i="2" s="1"/>
  <c r="JE57" i="2"/>
  <c r="JF57" i="2" s="1"/>
  <c r="JE58" i="2"/>
  <c r="JF58" i="2" s="1"/>
  <c r="JE59" i="2"/>
  <c r="JF59" i="2" s="1"/>
  <c r="JE60" i="2"/>
  <c r="JF60" i="2" s="1"/>
  <c r="JE61" i="2"/>
  <c r="JF61" i="2" s="1"/>
  <c r="JE62" i="2"/>
  <c r="JF62" i="2" s="1"/>
  <c r="JE63" i="2"/>
  <c r="JF63" i="2" s="1"/>
  <c r="JE64" i="2"/>
  <c r="JF64" i="2" s="1"/>
  <c r="JE65" i="2"/>
  <c r="JF65" i="2" s="1"/>
  <c r="JE66" i="2"/>
  <c r="JF66" i="2" s="1"/>
  <c r="JE67" i="2"/>
  <c r="JF67" i="2" s="1"/>
  <c r="JE68" i="2"/>
  <c r="JF68" i="2" s="1"/>
  <c r="JE69" i="2"/>
  <c r="JF69" i="2" s="1"/>
  <c r="JE70" i="2"/>
  <c r="JF70" i="2" s="1"/>
  <c r="JE71" i="2"/>
  <c r="JF71" i="2" s="1"/>
  <c r="JE72" i="2"/>
  <c r="JF72" i="2" s="1"/>
  <c r="JE73" i="2"/>
  <c r="JF73" i="2" s="1"/>
  <c r="JE74" i="2"/>
  <c r="JF74" i="2" s="1"/>
  <c r="JE75" i="2"/>
  <c r="JF75" i="2" s="1"/>
  <c r="JE76" i="2"/>
  <c r="JF76" i="2" s="1"/>
  <c r="JE77" i="2"/>
  <c r="JF77" i="2" s="1"/>
  <c r="JE78" i="2"/>
  <c r="JF78" i="2" s="1"/>
  <c r="JE79" i="2"/>
  <c r="JF79" i="2" s="1"/>
  <c r="JE80" i="2"/>
  <c r="JF80" i="2" s="1"/>
  <c r="JE81" i="2"/>
  <c r="JF81" i="2" s="1"/>
  <c r="JE82" i="2"/>
  <c r="JF82" i="2" s="1"/>
  <c r="JE83" i="2"/>
  <c r="JF83" i="2" s="1"/>
  <c r="JE84" i="2"/>
  <c r="JF84" i="2" s="1"/>
  <c r="JE85" i="2"/>
  <c r="JF85" i="2" s="1"/>
  <c r="JE86" i="2"/>
  <c r="JF86" i="2" s="1"/>
  <c r="JE87" i="2"/>
  <c r="JF87" i="2" s="1"/>
  <c r="JE88" i="2"/>
  <c r="JF88" i="2" s="1"/>
  <c r="JE89" i="2"/>
  <c r="JF89" i="2" s="1"/>
  <c r="JE90" i="2"/>
  <c r="JF90" i="2" s="1"/>
  <c r="JE91" i="2"/>
  <c r="JF91" i="2"/>
  <c r="JE92" i="2"/>
  <c r="JF92" i="2" s="1"/>
  <c r="JE93" i="2"/>
  <c r="JF93" i="2" s="1"/>
  <c r="JE94" i="2"/>
  <c r="JF94" i="2" s="1"/>
  <c r="JE95" i="2"/>
  <c r="JF95" i="2" s="1"/>
  <c r="JE96" i="2"/>
  <c r="JF96" i="2" s="1"/>
  <c r="JE97" i="2"/>
  <c r="JF97" i="2" s="1"/>
  <c r="JE98" i="2"/>
  <c r="JF98" i="2" s="1"/>
  <c r="JE99" i="2"/>
  <c r="JF99" i="2" s="1"/>
  <c r="JE100" i="2"/>
  <c r="JF100" i="2" s="1"/>
  <c r="JE101" i="2"/>
  <c r="JF101" i="2" s="1"/>
  <c r="JE102" i="2"/>
  <c r="JF102" i="2" s="1"/>
  <c r="JE103" i="2"/>
  <c r="JF103" i="2" s="1"/>
  <c r="JE104" i="2"/>
  <c r="JF104" i="2" s="1"/>
  <c r="JE105" i="2"/>
  <c r="JF105" i="2" s="1"/>
  <c r="JE106" i="2"/>
  <c r="JF106" i="2" s="1"/>
  <c r="JE107" i="2"/>
  <c r="JF107" i="2" s="1"/>
  <c r="JE108" i="2"/>
  <c r="JF108" i="2" s="1"/>
  <c r="JE109" i="2"/>
  <c r="JF109" i="2" s="1"/>
  <c r="JE110" i="2"/>
  <c r="JF110" i="2" s="1"/>
  <c r="JE111" i="2"/>
  <c r="JF111" i="2" s="1"/>
  <c r="JE112" i="2"/>
  <c r="JF112" i="2" s="1"/>
  <c r="JE113" i="2"/>
  <c r="JF113" i="2" s="1"/>
  <c r="JE114" i="2"/>
  <c r="JF114" i="2" s="1"/>
  <c r="JE115" i="2"/>
  <c r="JF115" i="2" s="1"/>
  <c r="JE116" i="2"/>
  <c r="JF116" i="2" s="1"/>
  <c r="JE117" i="2"/>
  <c r="JF117" i="2" s="1"/>
  <c r="JE118" i="2"/>
  <c r="JF118" i="2" s="1"/>
  <c r="JE119" i="2"/>
  <c r="JF119" i="2" s="1"/>
  <c r="JE120" i="2"/>
  <c r="JF120" i="2" s="1"/>
  <c r="JE121" i="2"/>
  <c r="JF121" i="2" s="1"/>
  <c r="JE122" i="2"/>
  <c r="JF122" i="2" s="1"/>
  <c r="JE123" i="2"/>
  <c r="JF123" i="2" s="1"/>
  <c r="JE124" i="2"/>
  <c r="JF124" i="2" s="1"/>
  <c r="JE125" i="2"/>
  <c r="JF125" i="2" s="1"/>
  <c r="JE126" i="2"/>
  <c r="JF126" i="2"/>
  <c r="JE127" i="2"/>
  <c r="JF127" i="2" s="1"/>
  <c r="JE128" i="2"/>
  <c r="JF128" i="2" s="1"/>
  <c r="JE129" i="2"/>
  <c r="JF129" i="2" s="1"/>
  <c r="JE130" i="2"/>
  <c r="JF130" i="2" s="1"/>
  <c r="JE131" i="2"/>
  <c r="JF131" i="2" s="1"/>
  <c r="JE132" i="2"/>
  <c r="JF132" i="2" s="1"/>
  <c r="JE133" i="2"/>
  <c r="JF133" i="2" s="1"/>
  <c r="JE134" i="2"/>
  <c r="JF134" i="2" s="1"/>
  <c r="JE135" i="2"/>
  <c r="JF135" i="2" s="1"/>
  <c r="JE136" i="2"/>
  <c r="JF136" i="2" s="1"/>
  <c r="JE137" i="2"/>
  <c r="JF137" i="2" s="1"/>
  <c r="JE138" i="2"/>
  <c r="JF138" i="2" s="1"/>
  <c r="JE139" i="2"/>
  <c r="JF139" i="2" s="1"/>
  <c r="JE140" i="2"/>
  <c r="JF140" i="2" s="1"/>
  <c r="JE141" i="2"/>
  <c r="JF141" i="2" s="1"/>
  <c r="JE142" i="2"/>
  <c r="JF142" i="2" s="1"/>
  <c r="JE143" i="2"/>
  <c r="JF143" i="2"/>
  <c r="JE144" i="2"/>
  <c r="JF144" i="2" s="1"/>
  <c r="JE145" i="2"/>
  <c r="JF145" i="2" s="1"/>
  <c r="JE146" i="2"/>
  <c r="JF146" i="2"/>
  <c r="JE147" i="2"/>
  <c r="JF147" i="2" s="1"/>
  <c r="JE148" i="2"/>
  <c r="JF148" i="2" s="1"/>
  <c r="JE149" i="2"/>
  <c r="JF149" i="2" s="1"/>
  <c r="JE150" i="2"/>
  <c r="JF150" i="2" s="1"/>
  <c r="JE151" i="2"/>
  <c r="JF151" i="2" s="1"/>
  <c r="JE152" i="2"/>
  <c r="JF152" i="2" s="1"/>
  <c r="JE153" i="2"/>
  <c r="JF153" i="2" s="1"/>
  <c r="JE154" i="2"/>
  <c r="JF154" i="2" s="1"/>
  <c r="JE155" i="2"/>
  <c r="JF155" i="2"/>
  <c r="JE156" i="2"/>
  <c r="JF156" i="2" s="1"/>
  <c r="JE157" i="2"/>
  <c r="JF157" i="2" s="1"/>
  <c r="JE158" i="2"/>
  <c r="JF158" i="2" s="1"/>
  <c r="JE159" i="2"/>
  <c r="JF159" i="2" s="1"/>
  <c r="JE160" i="2"/>
  <c r="JF160" i="2" s="1"/>
  <c r="JE161" i="2"/>
  <c r="JF161" i="2" s="1"/>
  <c r="JE162" i="2"/>
  <c r="JF162" i="2" s="1"/>
  <c r="JE163" i="2"/>
  <c r="JF163" i="2" s="1"/>
  <c r="JE164" i="2"/>
  <c r="JF164" i="2" s="1"/>
  <c r="JE165" i="2"/>
  <c r="JF165" i="2" s="1"/>
  <c r="JE166" i="2"/>
  <c r="JF166" i="2" s="1"/>
  <c r="JE167" i="2"/>
  <c r="JF167" i="2" s="1"/>
  <c r="JE168" i="2"/>
  <c r="JF168" i="2" s="1"/>
  <c r="JE169" i="2"/>
  <c r="JF169" i="2" s="1"/>
  <c r="JE170" i="2"/>
  <c r="JF170" i="2" s="1"/>
  <c r="JE171" i="2"/>
  <c r="JF171" i="2" s="1"/>
  <c r="JE172" i="2"/>
  <c r="JF172" i="2" s="1"/>
  <c r="JE173" i="2"/>
  <c r="JF173" i="2" s="1"/>
  <c r="JE174" i="2"/>
  <c r="JF174" i="2" s="1"/>
  <c r="JE175" i="2"/>
  <c r="JF175" i="2" s="1"/>
  <c r="JE176" i="2"/>
  <c r="JF176" i="2"/>
  <c r="JE177" i="2"/>
  <c r="JF177" i="2" s="1"/>
  <c r="JE178" i="2"/>
  <c r="JF178" i="2" s="1"/>
  <c r="JE179" i="2"/>
  <c r="JF179" i="2" s="1"/>
  <c r="JE180" i="2"/>
  <c r="JF180" i="2" s="1"/>
  <c r="JE181" i="2"/>
  <c r="JF181" i="2" s="1"/>
  <c r="JE182" i="2"/>
  <c r="JF182" i="2" s="1"/>
  <c r="JE183" i="2"/>
  <c r="JF183" i="2" s="1"/>
  <c r="JE184" i="2"/>
  <c r="JF184" i="2" s="1"/>
  <c r="JE185" i="2"/>
  <c r="JF185" i="2" s="1"/>
  <c r="JE186" i="2"/>
  <c r="JF186" i="2" s="1"/>
  <c r="JE187" i="2"/>
  <c r="JF187" i="2" s="1"/>
  <c r="JE188" i="2"/>
  <c r="JF188" i="2" s="1"/>
  <c r="JE189" i="2"/>
  <c r="JF189" i="2"/>
  <c r="JE190" i="2"/>
  <c r="JF190" i="2"/>
  <c r="JE191" i="2"/>
  <c r="JF191" i="2" s="1"/>
  <c r="JE192" i="2"/>
  <c r="JF192" i="2" s="1"/>
  <c r="JE193" i="2"/>
  <c r="JF193" i="2" s="1"/>
  <c r="JE194" i="2"/>
  <c r="JF194" i="2" s="1"/>
  <c r="JE195" i="2"/>
  <c r="JF195" i="2" s="1"/>
  <c r="JE196" i="2"/>
  <c r="JF196" i="2" s="1"/>
  <c r="JE197" i="2"/>
  <c r="JF197" i="2" s="1"/>
  <c r="JE198" i="2"/>
  <c r="JF198" i="2" s="1"/>
  <c r="JE199" i="2"/>
  <c r="JF199" i="2" s="1"/>
  <c r="JE200" i="2"/>
  <c r="JF200" i="2" s="1"/>
  <c r="JE201" i="2"/>
  <c r="JF201" i="2" s="1"/>
  <c r="JE202" i="2"/>
  <c r="JF202" i="2" s="1"/>
  <c r="JE203" i="2"/>
  <c r="JF203" i="2" s="1"/>
  <c r="JE204" i="2"/>
  <c r="JF204" i="2"/>
  <c r="JE205" i="2"/>
  <c r="JF205" i="2" s="1"/>
  <c r="JE206" i="2"/>
  <c r="JF206" i="2" s="1"/>
  <c r="JE207" i="2"/>
  <c r="JF207" i="2" s="1"/>
  <c r="JE208" i="2"/>
  <c r="JF208" i="2" s="1"/>
  <c r="JE209" i="2"/>
  <c r="JF209" i="2" s="1"/>
  <c r="JE210" i="2"/>
  <c r="JF210" i="2" s="1"/>
  <c r="JE211" i="2"/>
  <c r="JF211" i="2" s="1"/>
  <c r="JE212" i="2"/>
  <c r="JF212" i="2" s="1"/>
  <c r="JE213" i="2"/>
  <c r="JF213" i="2" s="1"/>
  <c r="JE214" i="2"/>
  <c r="JF214" i="2" s="1"/>
  <c r="JE215" i="2"/>
  <c r="JF215" i="2" s="1"/>
  <c r="JE216" i="2"/>
  <c r="JF216" i="2" s="1"/>
  <c r="JE217" i="2"/>
  <c r="JF217" i="2" s="1"/>
  <c r="JE218" i="2"/>
  <c r="JF218" i="2" s="1"/>
  <c r="JE219" i="2"/>
  <c r="JF219" i="2" s="1"/>
  <c r="JE220" i="2"/>
  <c r="JF220" i="2" s="1"/>
  <c r="JE221" i="2"/>
  <c r="JF221" i="2" s="1"/>
  <c r="JE222" i="2"/>
  <c r="JF222" i="2" s="1"/>
  <c r="JE223" i="2"/>
  <c r="JF223" i="2" s="1"/>
  <c r="JE224" i="2"/>
  <c r="JF224" i="2" s="1"/>
  <c r="JE225" i="2"/>
  <c r="JF225" i="2" s="1"/>
  <c r="JE226" i="2"/>
  <c r="JF226" i="2" s="1"/>
  <c r="JE227" i="2"/>
  <c r="JF227" i="2" s="1"/>
  <c r="JE228" i="2"/>
  <c r="JF228" i="2" s="1"/>
  <c r="JE229" i="2"/>
  <c r="JF229" i="2" s="1"/>
  <c r="JE230" i="2"/>
  <c r="JF230" i="2" s="1"/>
  <c r="JE231" i="2"/>
  <c r="JF231" i="2" s="1"/>
  <c r="JE232" i="2"/>
  <c r="JF232" i="2" s="1"/>
  <c r="JE233" i="2"/>
  <c r="JF233" i="2" s="1"/>
  <c r="JE234" i="2"/>
  <c r="JF234" i="2" s="1"/>
  <c r="JE235" i="2"/>
  <c r="JF235" i="2" s="1"/>
  <c r="JE236" i="2"/>
  <c r="JF236" i="2" s="1"/>
  <c r="JE237" i="2"/>
  <c r="JF237" i="2" s="1"/>
  <c r="JE238" i="2"/>
  <c r="JF238" i="2" s="1"/>
  <c r="JE239" i="2"/>
  <c r="JF239" i="2" s="1"/>
  <c r="JE240" i="2"/>
  <c r="JF240" i="2"/>
  <c r="JE241" i="2"/>
  <c r="JF241" i="2" s="1"/>
  <c r="JE242" i="2"/>
  <c r="JF242" i="2" s="1"/>
  <c r="JE243" i="2"/>
  <c r="JF243" i="2" s="1"/>
  <c r="JE244" i="2"/>
  <c r="JF244" i="2" s="1"/>
  <c r="JE245" i="2"/>
  <c r="JF245" i="2" s="1"/>
  <c r="JE246" i="2"/>
  <c r="JF246" i="2"/>
  <c r="JE247" i="2"/>
  <c r="JF247" i="2" s="1"/>
  <c r="JE248" i="2"/>
  <c r="JF248" i="2" s="1"/>
  <c r="JE249" i="2"/>
  <c r="JF249" i="2" s="1"/>
  <c r="JE250" i="2"/>
  <c r="JF250" i="2" s="1"/>
  <c r="JE251" i="2"/>
  <c r="JF251" i="2" s="1"/>
  <c r="JE252" i="2"/>
  <c r="JF252" i="2" s="1"/>
  <c r="JE253" i="2"/>
  <c r="JF253" i="2" s="1"/>
  <c r="JE254" i="2"/>
  <c r="JF254" i="2" s="1"/>
  <c r="JE255" i="2"/>
  <c r="JF255" i="2"/>
  <c r="JE256" i="2"/>
  <c r="JF256" i="2" s="1"/>
  <c r="JE257" i="2"/>
  <c r="JF257" i="2" s="1"/>
  <c r="JE258" i="2"/>
  <c r="JF258" i="2" s="1"/>
  <c r="JE259" i="2"/>
  <c r="JF259" i="2" s="1"/>
  <c r="JE260" i="2"/>
  <c r="JF260" i="2" s="1"/>
  <c r="JE261" i="2"/>
  <c r="JF261" i="2" s="1"/>
  <c r="JE262" i="2"/>
  <c r="JF262" i="2" s="1"/>
  <c r="JE263" i="2"/>
  <c r="JF263" i="2" s="1"/>
  <c r="JE264" i="2"/>
  <c r="JF264" i="2" s="1"/>
  <c r="JE265" i="2"/>
  <c r="JF265" i="2" s="1"/>
  <c r="JE266" i="2"/>
  <c r="JF266" i="2" s="1"/>
  <c r="JE267" i="2"/>
  <c r="JF267" i="2" s="1"/>
  <c r="JE268" i="2"/>
  <c r="JF268" i="2" s="1"/>
  <c r="JE269" i="2"/>
  <c r="JF269" i="2"/>
  <c r="JE270" i="2"/>
  <c r="JF270" i="2" s="1"/>
  <c r="JE271" i="2"/>
  <c r="JF271" i="2" s="1"/>
  <c r="JE272" i="2"/>
  <c r="JF272" i="2" s="1"/>
  <c r="JE273" i="2"/>
  <c r="JF273" i="2" s="1"/>
  <c r="JE274" i="2"/>
  <c r="JF274" i="2" s="1"/>
  <c r="JE275" i="2"/>
  <c r="JF275" i="2" s="1"/>
  <c r="JE276" i="2"/>
  <c r="JF276" i="2"/>
  <c r="JE277" i="2"/>
  <c r="JF277" i="2" s="1"/>
  <c r="JE278" i="2"/>
  <c r="JF278" i="2" s="1"/>
  <c r="JE279" i="2"/>
  <c r="JF279" i="2" s="1"/>
  <c r="JE280" i="2"/>
  <c r="JF280" i="2"/>
  <c r="JE281" i="2"/>
  <c r="JF281" i="2" s="1"/>
  <c r="JE282" i="2"/>
  <c r="JF282" i="2" s="1"/>
  <c r="JE283" i="2"/>
  <c r="JF283" i="2" s="1"/>
  <c r="JE284" i="2"/>
  <c r="JF284" i="2" s="1"/>
  <c r="JE285" i="2"/>
  <c r="JF285" i="2" s="1"/>
  <c r="JE286" i="2"/>
  <c r="JF286" i="2" s="1"/>
  <c r="JE287" i="2"/>
  <c r="JF287" i="2"/>
  <c r="JE288" i="2"/>
  <c r="JF288" i="2"/>
  <c r="JE289" i="2"/>
  <c r="JF289" i="2" s="1"/>
  <c r="JE290" i="2"/>
  <c r="JF290" i="2" s="1"/>
  <c r="JE291" i="2"/>
  <c r="JF291" i="2" s="1"/>
  <c r="JE292" i="2"/>
  <c r="JF292" i="2" s="1"/>
  <c r="JE293" i="2"/>
  <c r="JF293" i="2" s="1"/>
  <c r="JE294" i="2"/>
  <c r="JF294" i="2" s="1"/>
  <c r="JE295" i="2"/>
  <c r="JF295" i="2"/>
  <c r="JE296" i="2"/>
  <c r="JF296" i="2" s="1"/>
  <c r="JE297" i="2"/>
  <c r="JF297" i="2" s="1"/>
  <c r="JE298" i="2"/>
  <c r="JF298" i="2" s="1"/>
  <c r="JE299" i="2"/>
  <c r="JF299" i="2" s="1"/>
  <c r="JE300" i="2"/>
  <c r="JF300" i="2" s="1"/>
  <c r="JE301" i="2"/>
  <c r="JF301" i="2" s="1"/>
  <c r="JE302" i="2"/>
  <c r="JF302" i="2" s="1"/>
  <c r="JE303" i="2"/>
  <c r="JF303" i="2" s="1"/>
  <c r="JE304" i="2"/>
  <c r="JF304" i="2" s="1"/>
  <c r="JE305" i="2"/>
  <c r="JF305" i="2" s="1"/>
  <c r="JE306" i="2"/>
  <c r="JF306" i="2" s="1"/>
  <c r="JE307" i="2"/>
  <c r="JF307" i="2" s="1"/>
  <c r="JE308" i="2"/>
  <c r="JF308" i="2" s="1"/>
  <c r="JE309" i="2"/>
  <c r="JF309" i="2" s="1"/>
  <c r="JE310" i="2"/>
  <c r="JF310" i="2" s="1"/>
  <c r="JE311" i="2"/>
  <c r="JF311" i="2" s="1"/>
  <c r="JE312" i="2"/>
  <c r="JF312" i="2" s="1"/>
  <c r="JE313" i="2"/>
  <c r="JF313" i="2" s="1"/>
  <c r="JE314" i="2"/>
  <c r="JF314" i="2" s="1"/>
  <c r="JE315" i="2"/>
  <c r="JF315" i="2" s="1"/>
  <c r="JE316" i="2"/>
  <c r="JF316" i="2"/>
  <c r="JE317" i="2"/>
  <c r="JF317" i="2" s="1"/>
  <c r="JE318" i="2"/>
  <c r="JF318" i="2" s="1"/>
  <c r="JE319" i="2"/>
  <c r="JF319" i="2" s="1"/>
  <c r="JE320" i="2"/>
  <c r="JF320" i="2" s="1"/>
  <c r="JE321" i="2"/>
  <c r="JF321" i="2" s="1"/>
  <c r="JE322" i="2"/>
  <c r="JF322" i="2" s="1"/>
  <c r="JE323" i="2"/>
  <c r="JF323" i="2" s="1"/>
  <c r="JE324" i="2"/>
  <c r="JF324" i="2" s="1"/>
  <c r="JE325" i="2"/>
  <c r="JF325" i="2" s="1"/>
  <c r="JE326" i="2"/>
  <c r="JF326" i="2" s="1"/>
  <c r="JE327" i="2"/>
  <c r="JF327" i="2" s="1"/>
  <c r="JE328" i="2"/>
  <c r="JF328" i="2" s="1"/>
  <c r="JE329" i="2"/>
  <c r="JF329" i="2" s="1"/>
  <c r="JE330" i="2"/>
  <c r="JF330" i="2" s="1"/>
  <c r="JE331" i="2"/>
  <c r="JF331" i="2" s="1"/>
  <c r="JE332" i="2"/>
  <c r="JF332" i="2" s="1"/>
  <c r="JE333" i="2"/>
  <c r="JF333" i="2"/>
  <c r="JE334" i="2"/>
  <c r="JF334" i="2" s="1"/>
  <c r="JE335" i="2"/>
  <c r="JF335" i="2" s="1"/>
  <c r="JE336" i="2"/>
  <c r="JF336" i="2" s="1"/>
  <c r="JE337" i="2"/>
  <c r="JF337" i="2" s="1"/>
  <c r="JE338" i="2"/>
  <c r="JF338" i="2" s="1"/>
  <c r="JE339" i="2"/>
  <c r="JF339" i="2" s="1"/>
  <c r="JE340" i="2"/>
  <c r="JF340" i="2" s="1"/>
  <c r="JE341" i="2"/>
  <c r="JF341" i="2" s="1"/>
  <c r="JE342" i="2"/>
  <c r="JF342" i="2" s="1"/>
  <c r="JE343" i="2"/>
  <c r="JF343" i="2"/>
  <c r="JE344" i="2"/>
  <c r="JF344" i="2" s="1"/>
  <c r="JE345" i="2"/>
  <c r="JF345" i="2" s="1"/>
  <c r="JE346" i="2"/>
  <c r="JF346" i="2" s="1"/>
  <c r="JE347" i="2"/>
  <c r="JF347" i="2" s="1"/>
  <c r="JE348" i="2"/>
  <c r="JF348" i="2" s="1"/>
  <c r="JE349" i="2"/>
  <c r="JF349" i="2" s="1"/>
  <c r="JE350" i="2"/>
  <c r="JF350" i="2" s="1"/>
  <c r="JE351" i="2"/>
  <c r="JF351" i="2" s="1"/>
  <c r="JE352" i="2"/>
  <c r="JF352" i="2"/>
  <c r="JE353" i="2"/>
  <c r="JF353" i="2" s="1"/>
  <c r="JE354" i="2"/>
  <c r="JF354" i="2" s="1"/>
  <c r="JE355" i="2"/>
  <c r="JF355" i="2" s="1"/>
  <c r="JE356" i="2"/>
  <c r="JF356" i="2" s="1"/>
  <c r="JE357" i="2"/>
  <c r="JF357" i="2" s="1"/>
  <c r="JE358" i="2"/>
  <c r="JF358" i="2" s="1"/>
  <c r="JE359" i="2"/>
  <c r="JF359" i="2" s="1"/>
  <c r="JE360" i="2"/>
  <c r="JF360" i="2" s="1"/>
  <c r="JE361" i="2"/>
  <c r="JF361" i="2" s="1"/>
  <c r="JE362" i="2"/>
  <c r="JF362" i="2" s="1"/>
  <c r="JE363" i="2"/>
  <c r="JF363" i="2" s="1"/>
  <c r="JE364" i="2"/>
  <c r="JF364" i="2" s="1"/>
  <c r="JE365" i="2"/>
  <c r="JF365" i="2" s="1"/>
  <c r="JE366" i="2"/>
  <c r="JF366" i="2" s="1"/>
  <c r="JE367" i="2"/>
  <c r="JF367" i="2" s="1"/>
  <c r="JE368" i="2"/>
  <c r="JF368" i="2" s="1"/>
  <c r="JE369" i="2"/>
  <c r="JF369" i="2" s="1"/>
  <c r="JE370" i="2"/>
  <c r="JF370" i="2" s="1"/>
  <c r="JE371" i="2"/>
  <c r="JF371" i="2" s="1"/>
  <c r="JE372" i="2"/>
  <c r="JF372" i="2" s="1"/>
  <c r="JE373" i="2"/>
  <c r="JF373" i="2" s="1"/>
  <c r="JE374" i="2"/>
  <c r="JF374" i="2" s="1"/>
  <c r="JE375" i="2"/>
  <c r="JF375" i="2"/>
  <c r="JE376" i="2"/>
  <c r="JF376" i="2" s="1"/>
  <c r="JE377" i="2"/>
  <c r="JF377" i="2" s="1"/>
  <c r="JE378" i="2"/>
  <c r="JF378" i="2" s="1"/>
  <c r="JE379" i="2"/>
  <c r="JF379" i="2" s="1"/>
  <c r="JE380" i="2"/>
  <c r="JF380" i="2" s="1"/>
  <c r="JE381" i="2"/>
  <c r="JF381" i="2" s="1"/>
  <c r="JE382" i="2"/>
  <c r="JF382" i="2" s="1"/>
  <c r="JE383" i="2"/>
  <c r="JF383" i="2" s="1"/>
  <c r="JE384" i="2"/>
  <c r="JF384" i="2" s="1"/>
  <c r="JE2" i="2"/>
  <c r="JF2" i="2" s="1"/>
  <c r="JB373" i="2"/>
  <c r="JC373" i="2" s="1"/>
  <c r="JB374" i="2"/>
  <c r="JC374" i="2" s="1"/>
  <c r="JB375" i="2"/>
  <c r="JC375" i="2" s="1"/>
  <c r="JB376" i="2"/>
  <c r="JC376" i="2" s="1"/>
  <c r="JB377" i="2"/>
  <c r="JC377" i="2" s="1"/>
  <c r="JB378" i="2"/>
  <c r="JC378" i="2" s="1"/>
  <c r="JB379" i="2"/>
  <c r="JC379" i="2" s="1"/>
  <c r="JB380" i="2"/>
  <c r="JC380" i="2" s="1"/>
  <c r="JB381" i="2"/>
  <c r="JC381" i="2" s="1"/>
  <c r="JB382" i="2"/>
  <c r="JC382" i="2" s="1"/>
  <c r="JB383" i="2"/>
  <c r="JC383" i="2" s="1"/>
  <c r="JB384" i="2"/>
  <c r="JC384" i="2" s="1"/>
  <c r="JB4" i="2"/>
  <c r="JC4" i="2" s="1"/>
  <c r="JB5" i="2"/>
  <c r="JC5" i="2" s="1"/>
  <c r="JB6" i="2"/>
  <c r="JC6" i="2" s="1"/>
  <c r="JB7" i="2"/>
  <c r="JC7" i="2" s="1"/>
  <c r="JB8" i="2"/>
  <c r="JC8" i="2" s="1"/>
  <c r="JB9" i="2"/>
  <c r="JC9" i="2" s="1"/>
  <c r="JB10" i="2"/>
  <c r="JC10" i="2" s="1"/>
  <c r="JB11" i="2"/>
  <c r="JC11" i="2" s="1"/>
  <c r="JB12" i="2"/>
  <c r="JC12" i="2" s="1"/>
  <c r="JB13" i="2"/>
  <c r="JC13" i="2" s="1"/>
  <c r="JB14" i="2"/>
  <c r="JC14" i="2" s="1"/>
  <c r="JB15" i="2"/>
  <c r="JC15" i="2" s="1"/>
  <c r="JB16" i="2"/>
  <c r="JC16" i="2" s="1"/>
  <c r="JB17" i="2"/>
  <c r="JC17" i="2" s="1"/>
  <c r="JB18" i="2"/>
  <c r="JC18" i="2" s="1"/>
  <c r="JB19" i="2"/>
  <c r="JC19" i="2" s="1"/>
  <c r="JB20" i="2"/>
  <c r="JC20" i="2" s="1"/>
  <c r="JB21" i="2"/>
  <c r="JC21" i="2" s="1"/>
  <c r="JB22" i="2"/>
  <c r="JC22" i="2" s="1"/>
  <c r="JB23" i="2"/>
  <c r="JC23" i="2" s="1"/>
  <c r="JB24" i="2"/>
  <c r="JC24" i="2" s="1"/>
  <c r="JB25" i="2"/>
  <c r="JC25" i="2" s="1"/>
  <c r="JB26" i="2"/>
  <c r="JC26" i="2" s="1"/>
  <c r="JB27" i="2"/>
  <c r="JC27" i="2" s="1"/>
  <c r="JB28" i="2"/>
  <c r="JC28" i="2" s="1"/>
  <c r="JB29" i="2"/>
  <c r="JC29" i="2" s="1"/>
  <c r="JB30" i="2"/>
  <c r="JC30" i="2" s="1"/>
  <c r="JB31" i="2"/>
  <c r="JC31" i="2" s="1"/>
  <c r="JB32" i="2"/>
  <c r="JC32" i="2" s="1"/>
  <c r="JB33" i="2"/>
  <c r="JC33" i="2" s="1"/>
  <c r="JB34" i="2"/>
  <c r="JC34" i="2" s="1"/>
  <c r="JB35" i="2"/>
  <c r="JC35" i="2" s="1"/>
  <c r="JB36" i="2"/>
  <c r="JC36" i="2" s="1"/>
  <c r="JB37" i="2"/>
  <c r="JC37" i="2" s="1"/>
  <c r="JB38" i="2"/>
  <c r="JC38" i="2" s="1"/>
  <c r="JB39" i="2"/>
  <c r="JC39" i="2" s="1"/>
  <c r="JB40" i="2"/>
  <c r="JC40" i="2" s="1"/>
  <c r="JB41" i="2"/>
  <c r="JC41" i="2" s="1"/>
  <c r="JB42" i="2"/>
  <c r="JC42" i="2" s="1"/>
  <c r="JB43" i="2"/>
  <c r="JC43" i="2" s="1"/>
  <c r="JB44" i="2"/>
  <c r="JC44" i="2" s="1"/>
  <c r="JB45" i="2"/>
  <c r="JC45" i="2" s="1"/>
  <c r="JB46" i="2"/>
  <c r="JC46" i="2" s="1"/>
  <c r="JB47" i="2"/>
  <c r="JC47" i="2" s="1"/>
  <c r="JB48" i="2"/>
  <c r="JC48" i="2" s="1"/>
  <c r="JB49" i="2"/>
  <c r="JC49" i="2" s="1"/>
  <c r="JB50" i="2"/>
  <c r="JC50" i="2" s="1"/>
  <c r="JB51" i="2"/>
  <c r="JC51" i="2" s="1"/>
  <c r="JB52" i="2"/>
  <c r="JC52" i="2" s="1"/>
  <c r="JB53" i="2"/>
  <c r="JC53" i="2" s="1"/>
  <c r="JB54" i="2"/>
  <c r="JC54" i="2" s="1"/>
  <c r="JB55" i="2"/>
  <c r="JC55" i="2" s="1"/>
  <c r="JB56" i="2"/>
  <c r="JC56" i="2" s="1"/>
  <c r="JB57" i="2"/>
  <c r="JC57" i="2" s="1"/>
  <c r="JB58" i="2"/>
  <c r="JC58" i="2" s="1"/>
  <c r="JB59" i="2"/>
  <c r="JC59" i="2" s="1"/>
  <c r="JB60" i="2"/>
  <c r="JC60" i="2" s="1"/>
  <c r="JB61" i="2"/>
  <c r="JC61" i="2" s="1"/>
  <c r="JB62" i="2"/>
  <c r="JC62" i="2" s="1"/>
  <c r="JB63" i="2"/>
  <c r="JC63" i="2" s="1"/>
  <c r="JB64" i="2"/>
  <c r="JC64" i="2" s="1"/>
  <c r="JB65" i="2"/>
  <c r="JC65" i="2" s="1"/>
  <c r="JB66" i="2"/>
  <c r="JC66" i="2" s="1"/>
  <c r="JB67" i="2"/>
  <c r="JC67" i="2" s="1"/>
  <c r="JB68" i="2"/>
  <c r="JC68" i="2" s="1"/>
  <c r="JB69" i="2"/>
  <c r="JC69" i="2" s="1"/>
  <c r="JB70" i="2"/>
  <c r="JC70" i="2" s="1"/>
  <c r="JB71" i="2"/>
  <c r="JC71" i="2" s="1"/>
  <c r="JB72" i="2"/>
  <c r="JC72" i="2" s="1"/>
  <c r="JB73" i="2"/>
  <c r="JC73" i="2" s="1"/>
  <c r="JB74" i="2"/>
  <c r="JC74" i="2" s="1"/>
  <c r="JB75" i="2"/>
  <c r="JC75" i="2" s="1"/>
  <c r="JB76" i="2"/>
  <c r="JC76" i="2" s="1"/>
  <c r="JB77" i="2"/>
  <c r="JC77" i="2" s="1"/>
  <c r="JB78" i="2"/>
  <c r="JC78" i="2" s="1"/>
  <c r="JB79" i="2"/>
  <c r="JC79" i="2" s="1"/>
  <c r="JB80" i="2"/>
  <c r="JC80" i="2" s="1"/>
  <c r="JB81" i="2"/>
  <c r="JC81" i="2" s="1"/>
  <c r="JB82" i="2"/>
  <c r="JC82" i="2" s="1"/>
  <c r="JB83" i="2"/>
  <c r="JC83" i="2" s="1"/>
  <c r="JB84" i="2"/>
  <c r="JC84" i="2" s="1"/>
  <c r="JB85" i="2"/>
  <c r="JC85" i="2" s="1"/>
  <c r="JB86" i="2"/>
  <c r="JC86" i="2" s="1"/>
  <c r="JB87" i="2"/>
  <c r="JC87" i="2" s="1"/>
  <c r="JB88" i="2"/>
  <c r="JC88" i="2" s="1"/>
  <c r="JB89" i="2"/>
  <c r="JC89" i="2" s="1"/>
  <c r="JB90" i="2"/>
  <c r="JC90" i="2" s="1"/>
  <c r="JB91" i="2"/>
  <c r="JC91" i="2" s="1"/>
  <c r="JB92" i="2"/>
  <c r="JC92" i="2" s="1"/>
  <c r="JB93" i="2"/>
  <c r="JC93" i="2" s="1"/>
  <c r="JB94" i="2"/>
  <c r="JC94" i="2" s="1"/>
  <c r="JB95" i="2"/>
  <c r="JC95" i="2" s="1"/>
  <c r="JB96" i="2"/>
  <c r="JC96" i="2" s="1"/>
  <c r="JB97" i="2"/>
  <c r="JC97" i="2" s="1"/>
  <c r="JB98" i="2"/>
  <c r="JC98" i="2" s="1"/>
  <c r="JB99" i="2"/>
  <c r="JC99" i="2" s="1"/>
  <c r="JB100" i="2"/>
  <c r="JC100" i="2" s="1"/>
  <c r="JB101" i="2"/>
  <c r="JC101" i="2" s="1"/>
  <c r="JB102" i="2"/>
  <c r="JC102" i="2" s="1"/>
  <c r="JB103" i="2"/>
  <c r="JC103" i="2" s="1"/>
  <c r="JB104" i="2"/>
  <c r="JC104" i="2" s="1"/>
  <c r="JB105" i="2"/>
  <c r="JC105" i="2" s="1"/>
  <c r="JB106" i="2"/>
  <c r="JC106" i="2" s="1"/>
  <c r="JB107" i="2"/>
  <c r="JC107" i="2" s="1"/>
  <c r="JB108" i="2"/>
  <c r="JC108" i="2" s="1"/>
  <c r="JB109" i="2"/>
  <c r="JC109" i="2" s="1"/>
  <c r="JB110" i="2"/>
  <c r="JC110" i="2" s="1"/>
  <c r="JB111" i="2"/>
  <c r="JC111" i="2" s="1"/>
  <c r="JB112" i="2"/>
  <c r="JC112" i="2" s="1"/>
  <c r="JB113" i="2"/>
  <c r="JC113" i="2" s="1"/>
  <c r="JB114" i="2"/>
  <c r="JC114" i="2" s="1"/>
  <c r="JB115" i="2"/>
  <c r="JC115" i="2" s="1"/>
  <c r="JB116" i="2"/>
  <c r="JC116" i="2" s="1"/>
  <c r="JB117" i="2"/>
  <c r="JC117" i="2" s="1"/>
  <c r="JB118" i="2"/>
  <c r="JC118" i="2" s="1"/>
  <c r="JB119" i="2"/>
  <c r="JC119" i="2" s="1"/>
  <c r="JB120" i="2"/>
  <c r="JC120" i="2" s="1"/>
  <c r="JB121" i="2"/>
  <c r="JC121" i="2" s="1"/>
  <c r="JB122" i="2"/>
  <c r="JC122" i="2" s="1"/>
  <c r="JB123" i="2"/>
  <c r="JC123" i="2" s="1"/>
  <c r="JB124" i="2"/>
  <c r="JC124" i="2" s="1"/>
  <c r="JB125" i="2"/>
  <c r="JC125" i="2" s="1"/>
  <c r="JB126" i="2"/>
  <c r="JC126" i="2" s="1"/>
  <c r="JB127" i="2"/>
  <c r="JC127" i="2" s="1"/>
  <c r="JB128" i="2"/>
  <c r="JC128" i="2" s="1"/>
  <c r="JB129" i="2"/>
  <c r="JC129" i="2" s="1"/>
  <c r="JB130" i="2"/>
  <c r="JC130" i="2" s="1"/>
  <c r="JB131" i="2"/>
  <c r="JC131" i="2" s="1"/>
  <c r="JB132" i="2"/>
  <c r="JC132" i="2" s="1"/>
  <c r="JB133" i="2"/>
  <c r="JC133" i="2" s="1"/>
  <c r="JB134" i="2"/>
  <c r="JC134" i="2" s="1"/>
  <c r="JB135" i="2"/>
  <c r="JC135" i="2" s="1"/>
  <c r="JB136" i="2"/>
  <c r="JC136" i="2" s="1"/>
  <c r="JB137" i="2"/>
  <c r="JC137" i="2" s="1"/>
  <c r="JB138" i="2"/>
  <c r="JC138" i="2" s="1"/>
  <c r="JB139" i="2"/>
  <c r="JC139" i="2" s="1"/>
  <c r="JB140" i="2"/>
  <c r="JC140" i="2" s="1"/>
  <c r="JB141" i="2"/>
  <c r="JC141" i="2" s="1"/>
  <c r="JB142" i="2"/>
  <c r="JC142" i="2" s="1"/>
  <c r="JB143" i="2"/>
  <c r="JC143" i="2" s="1"/>
  <c r="JB144" i="2"/>
  <c r="JC144" i="2" s="1"/>
  <c r="JB145" i="2"/>
  <c r="JC145" i="2" s="1"/>
  <c r="JB146" i="2"/>
  <c r="JC146" i="2" s="1"/>
  <c r="JB147" i="2"/>
  <c r="JC147" i="2" s="1"/>
  <c r="JB148" i="2"/>
  <c r="JC148" i="2" s="1"/>
  <c r="JB149" i="2"/>
  <c r="JC149" i="2" s="1"/>
  <c r="JB150" i="2"/>
  <c r="JC150" i="2" s="1"/>
  <c r="JB151" i="2"/>
  <c r="JC151" i="2" s="1"/>
  <c r="JB152" i="2"/>
  <c r="JC152" i="2" s="1"/>
  <c r="JB153" i="2"/>
  <c r="JC153" i="2" s="1"/>
  <c r="JB154" i="2"/>
  <c r="JC154" i="2" s="1"/>
  <c r="JB155" i="2"/>
  <c r="JC155" i="2" s="1"/>
  <c r="JB156" i="2"/>
  <c r="JC156" i="2" s="1"/>
  <c r="JB157" i="2"/>
  <c r="JC157" i="2" s="1"/>
  <c r="JB158" i="2"/>
  <c r="JC158" i="2" s="1"/>
  <c r="JB159" i="2"/>
  <c r="JC159" i="2" s="1"/>
  <c r="JB160" i="2"/>
  <c r="JC160" i="2" s="1"/>
  <c r="JB161" i="2"/>
  <c r="JC161" i="2" s="1"/>
  <c r="JB162" i="2"/>
  <c r="JC162" i="2" s="1"/>
  <c r="JB163" i="2"/>
  <c r="JC163" i="2" s="1"/>
  <c r="JB164" i="2"/>
  <c r="JC164" i="2" s="1"/>
  <c r="JB165" i="2"/>
  <c r="JC165" i="2" s="1"/>
  <c r="JB166" i="2"/>
  <c r="JC166" i="2" s="1"/>
  <c r="JB167" i="2"/>
  <c r="JC167" i="2" s="1"/>
  <c r="JB168" i="2"/>
  <c r="JC168" i="2" s="1"/>
  <c r="JB169" i="2"/>
  <c r="JC169" i="2" s="1"/>
  <c r="JB170" i="2"/>
  <c r="JC170" i="2" s="1"/>
  <c r="JB171" i="2"/>
  <c r="JC171" i="2" s="1"/>
  <c r="JB172" i="2"/>
  <c r="JC172" i="2" s="1"/>
  <c r="JB173" i="2"/>
  <c r="JC173" i="2" s="1"/>
  <c r="JB174" i="2"/>
  <c r="JC174" i="2" s="1"/>
  <c r="JB175" i="2"/>
  <c r="JC175" i="2" s="1"/>
  <c r="JB176" i="2"/>
  <c r="JC176" i="2" s="1"/>
  <c r="JB177" i="2"/>
  <c r="JC177" i="2" s="1"/>
  <c r="JB178" i="2"/>
  <c r="JC178" i="2" s="1"/>
  <c r="JB179" i="2"/>
  <c r="JC179" i="2" s="1"/>
  <c r="JB180" i="2"/>
  <c r="JC180" i="2" s="1"/>
  <c r="JB181" i="2"/>
  <c r="JC181" i="2" s="1"/>
  <c r="JB182" i="2"/>
  <c r="JC182" i="2" s="1"/>
  <c r="JB183" i="2"/>
  <c r="JC183" i="2" s="1"/>
  <c r="JB184" i="2"/>
  <c r="JC184" i="2" s="1"/>
  <c r="JB185" i="2"/>
  <c r="JC185" i="2" s="1"/>
  <c r="JB186" i="2"/>
  <c r="JC186" i="2" s="1"/>
  <c r="JB187" i="2"/>
  <c r="JC187" i="2" s="1"/>
  <c r="JB188" i="2"/>
  <c r="JC188" i="2" s="1"/>
  <c r="JB189" i="2"/>
  <c r="JC189" i="2" s="1"/>
  <c r="JB190" i="2"/>
  <c r="JC190" i="2" s="1"/>
  <c r="JB191" i="2"/>
  <c r="JC191" i="2" s="1"/>
  <c r="JB192" i="2"/>
  <c r="JC192" i="2" s="1"/>
  <c r="JB193" i="2"/>
  <c r="JC193" i="2" s="1"/>
  <c r="JB194" i="2"/>
  <c r="JC194" i="2" s="1"/>
  <c r="JB195" i="2"/>
  <c r="JC195" i="2" s="1"/>
  <c r="JB196" i="2"/>
  <c r="JC196" i="2" s="1"/>
  <c r="JB197" i="2"/>
  <c r="JC197" i="2" s="1"/>
  <c r="JB198" i="2"/>
  <c r="JC198" i="2" s="1"/>
  <c r="JB199" i="2"/>
  <c r="JC199" i="2" s="1"/>
  <c r="JB200" i="2"/>
  <c r="JC200" i="2" s="1"/>
  <c r="JB201" i="2"/>
  <c r="JC201" i="2" s="1"/>
  <c r="JB202" i="2"/>
  <c r="JC202" i="2" s="1"/>
  <c r="JB203" i="2"/>
  <c r="JC203" i="2" s="1"/>
  <c r="JB204" i="2"/>
  <c r="JC204" i="2" s="1"/>
  <c r="JB205" i="2"/>
  <c r="JC205" i="2" s="1"/>
  <c r="JB206" i="2"/>
  <c r="JC206" i="2" s="1"/>
  <c r="JB207" i="2"/>
  <c r="JC207" i="2" s="1"/>
  <c r="JB208" i="2"/>
  <c r="JC208" i="2" s="1"/>
  <c r="JB209" i="2"/>
  <c r="JC209" i="2" s="1"/>
  <c r="JB210" i="2"/>
  <c r="JC210" i="2" s="1"/>
  <c r="JB211" i="2"/>
  <c r="JC211" i="2" s="1"/>
  <c r="JB212" i="2"/>
  <c r="JC212" i="2" s="1"/>
  <c r="JB213" i="2"/>
  <c r="JC213" i="2" s="1"/>
  <c r="JB214" i="2"/>
  <c r="JC214" i="2" s="1"/>
  <c r="JB215" i="2"/>
  <c r="JC215" i="2" s="1"/>
  <c r="JB216" i="2"/>
  <c r="JC216" i="2" s="1"/>
  <c r="JB217" i="2"/>
  <c r="JC217" i="2" s="1"/>
  <c r="JB218" i="2"/>
  <c r="JC218" i="2" s="1"/>
  <c r="JB219" i="2"/>
  <c r="JC219" i="2" s="1"/>
  <c r="JB220" i="2"/>
  <c r="JC220" i="2" s="1"/>
  <c r="JB221" i="2"/>
  <c r="JC221" i="2" s="1"/>
  <c r="JB222" i="2"/>
  <c r="JC222" i="2" s="1"/>
  <c r="JB223" i="2"/>
  <c r="JC223" i="2" s="1"/>
  <c r="JB224" i="2"/>
  <c r="JC224" i="2" s="1"/>
  <c r="JB225" i="2"/>
  <c r="JC225" i="2" s="1"/>
  <c r="JB226" i="2"/>
  <c r="JC226" i="2" s="1"/>
  <c r="JB227" i="2"/>
  <c r="JC227" i="2" s="1"/>
  <c r="JB228" i="2"/>
  <c r="JC228" i="2" s="1"/>
  <c r="JB229" i="2"/>
  <c r="JC229" i="2" s="1"/>
  <c r="JB230" i="2"/>
  <c r="JC230" i="2" s="1"/>
  <c r="JB231" i="2"/>
  <c r="JC231" i="2" s="1"/>
  <c r="JB232" i="2"/>
  <c r="JC232" i="2" s="1"/>
  <c r="JB233" i="2"/>
  <c r="JC233" i="2" s="1"/>
  <c r="JB234" i="2"/>
  <c r="JC234" i="2" s="1"/>
  <c r="JB235" i="2"/>
  <c r="JC235" i="2" s="1"/>
  <c r="JB236" i="2"/>
  <c r="JC236" i="2" s="1"/>
  <c r="JB237" i="2"/>
  <c r="JC237" i="2" s="1"/>
  <c r="JB238" i="2"/>
  <c r="JC238" i="2" s="1"/>
  <c r="JB239" i="2"/>
  <c r="JC239" i="2" s="1"/>
  <c r="JB240" i="2"/>
  <c r="JC240" i="2" s="1"/>
  <c r="JB241" i="2"/>
  <c r="JC241" i="2" s="1"/>
  <c r="JB242" i="2"/>
  <c r="JC242" i="2" s="1"/>
  <c r="JB243" i="2"/>
  <c r="JC243" i="2" s="1"/>
  <c r="JB244" i="2"/>
  <c r="JC244" i="2" s="1"/>
  <c r="JB245" i="2"/>
  <c r="JC245" i="2" s="1"/>
  <c r="JB246" i="2"/>
  <c r="JC246" i="2" s="1"/>
  <c r="JB247" i="2"/>
  <c r="JC247" i="2" s="1"/>
  <c r="JB248" i="2"/>
  <c r="JC248" i="2" s="1"/>
  <c r="JB249" i="2"/>
  <c r="JC249" i="2" s="1"/>
  <c r="JB250" i="2"/>
  <c r="JC250" i="2" s="1"/>
  <c r="JB251" i="2"/>
  <c r="JC251" i="2" s="1"/>
  <c r="JB252" i="2"/>
  <c r="JC252" i="2" s="1"/>
  <c r="JB253" i="2"/>
  <c r="JC253" i="2" s="1"/>
  <c r="JB254" i="2"/>
  <c r="JC254" i="2" s="1"/>
  <c r="JB255" i="2"/>
  <c r="JC255" i="2" s="1"/>
  <c r="JB256" i="2"/>
  <c r="JC256" i="2" s="1"/>
  <c r="JB257" i="2"/>
  <c r="JC257" i="2" s="1"/>
  <c r="JB258" i="2"/>
  <c r="JC258" i="2" s="1"/>
  <c r="JB259" i="2"/>
  <c r="JC259" i="2" s="1"/>
  <c r="JB260" i="2"/>
  <c r="JC260" i="2" s="1"/>
  <c r="JB261" i="2"/>
  <c r="JC261" i="2" s="1"/>
  <c r="JB262" i="2"/>
  <c r="JC262" i="2" s="1"/>
  <c r="JB263" i="2"/>
  <c r="JC263" i="2" s="1"/>
  <c r="JB264" i="2"/>
  <c r="JC264" i="2" s="1"/>
  <c r="JB265" i="2"/>
  <c r="JC265" i="2" s="1"/>
  <c r="JB266" i="2"/>
  <c r="JC266" i="2" s="1"/>
  <c r="JB267" i="2"/>
  <c r="JC267" i="2" s="1"/>
  <c r="JB268" i="2"/>
  <c r="JC268" i="2" s="1"/>
  <c r="JB269" i="2"/>
  <c r="JC269" i="2" s="1"/>
  <c r="JB270" i="2"/>
  <c r="JC270" i="2" s="1"/>
  <c r="JB271" i="2"/>
  <c r="JC271" i="2" s="1"/>
  <c r="JB272" i="2"/>
  <c r="JC272" i="2" s="1"/>
  <c r="JB273" i="2"/>
  <c r="JC273" i="2" s="1"/>
  <c r="JB274" i="2"/>
  <c r="JC274" i="2" s="1"/>
  <c r="JB275" i="2"/>
  <c r="JC275" i="2" s="1"/>
  <c r="JB276" i="2"/>
  <c r="JC276" i="2" s="1"/>
  <c r="JB277" i="2"/>
  <c r="JC277" i="2" s="1"/>
  <c r="JB278" i="2"/>
  <c r="JC278" i="2" s="1"/>
  <c r="JB279" i="2"/>
  <c r="JC279" i="2" s="1"/>
  <c r="JB280" i="2"/>
  <c r="JC280" i="2" s="1"/>
  <c r="JB281" i="2"/>
  <c r="JC281" i="2" s="1"/>
  <c r="JB282" i="2"/>
  <c r="JC282" i="2" s="1"/>
  <c r="JB283" i="2"/>
  <c r="JC283" i="2" s="1"/>
  <c r="JB284" i="2"/>
  <c r="JC284" i="2" s="1"/>
  <c r="JB285" i="2"/>
  <c r="JC285" i="2" s="1"/>
  <c r="JB286" i="2"/>
  <c r="JC286" i="2" s="1"/>
  <c r="JB287" i="2"/>
  <c r="JC287" i="2" s="1"/>
  <c r="JB288" i="2"/>
  <c r="JC288" i="2" s="1"/>
  <c r="JB289" i="2"/>
  <c r="JC289" i="2" s="1"/>
  <c r="JB290" i="2"/>
  <c r="JC290" i="2" s="1"/>
  <c r="JB291" i="2"/>
  <c r="JC291" i="2" s="1"/>
  <c r="JB292" i="2"/>
  <c r="JC292" i="2" s="1"/>
  <c r="JB293" i="2"/>
  <c r="JC293" i="2" s="1"/>
  <c r="JB294" i="2"/>
  <c r="JC294" i="2" s="1"/>
  <c r="JB295" i="2"/>
  <c r="JC295" i="2" s="1"/>
  <c r="JB296" i="2"/>
  <c r="JC296" i="2" s="1"/>
  <c r="JB297" i="2"/>
  <c r="JC297" i="2" s="1"/>
  <c r="JB298" i="2"/>
  <c r="JC298" i="2" s="1"/>
  <c r="JB299" i="2"/>
  <c r="JC299" i="2" s="1"/>
  <c r="JB300" i="2"/>
  <c r="JC300" i="2" s="1"/>
  <c r="JB301" i="2"/>
  <c r="JC301" i="2" s="1"/>
  <c r="JB302" i="2"/>
  <c r="JC302" i="2" s="1"/>
  <c r="JB303" i="2"/>
  <c r="JC303" i="2" s="1"/>
  <c r="JB304" i="2"/>
  <c r="JC304" i="2" s="1"/>
  <c r="JB305" i="2"/>
  <c r="JC305" i="2" s="1"/>
  <c r="JB306" i="2"/>
  <c r="JC306" i="2" s="1"/>
  <c r="JB307" i="2"/>
  <c r="JC307" i="2" s="1"/>
  <c r="JB308" i="2"/>
  <c r="JC308" i="2" s="1"/>
  <c r="JB309" i="2"/>
  <c r="JC309" i="2" s="1"/>
  <c r="JB310" i="2"/>
  <c r="JC310" i="2" s="1"/>
  <c r="JB311" i="2"/>
  <c r="JC311" i="2" s="1"/>
  <c r="JB312" i="2"/>
  <c r="JC312" i="2" s="1"/>
  <c r="JB313" i="2"/>
  <c r="JC313" i="2" s="1"/>
  <c r="JB314" i="2"/>
  <c r="JC314" i="2" s="1"/>
  <c r="JB315" i="2"/>
  <c r="JC315" i="2" s="1"/>
  <c r="JB316" i="2"/>
  <c r="JC316" i="2" s="1"/>
  <c r="JB317" i="2"/>
  <c r="JC317" i="2" s="1"/>
  <c r="JB318" i="2"/>
  <c r="JC318" i="2" s="1"/>
  <c r="JB319" i="2"/>
  <c r="JC319" i="2" s="1"/>
  <c r="JB320" i="2"/>
  <c r="JC320" i="2" s="1"/>
  <c r="JB321" i="2"/>
  <c r="JC321" i="2" s="1"/>
  <c r="JB322" i="2"/>
  <c r="JC322" i="2" s="1"/>
  <c r="JB323" i="2"/>
  <c r="JC323" i="2" s="1"/>
  <c r="JB324" i="2"/>
  <c r="JC324" i="2" s="1"/>
  <c r="JB325" i="2"/>
  <c r="JC325" i="2" s="1"/>
  <c r="JB326" i="2"/>
  <c r="JC326" i="2" s="1"/>
  <c r="JB327" i="2"/>
  <c r="JC327" i="2" s="1"/>
  <c r="JB328" i="2"/>
  <c r="JC328" i="2" s="1"/>
  <c r="JB329" i="2"/>
  <c r="JC329" i="2" s="1"/>
  <c r="JB330" i="2"/>
  <c r="JC330" i="2" s="1"/>
  <c r="JB331" i="2"/>
  <c r="JC331" i="2" s="1"/>
  <c r="JB332" i="2"/>
  <c r="JC332" i="2" s="1"/>
  <c r="JB333" i="2"/>
  <c r="JC333" i="2" s="1"/>
  <c r="JB334" i="2"/>
  <c r="JC334" i="2" s="1"/>
  <c r="JB335" i="2"/>
  <c r="JC335" i="2" s="1"/>
  <c r="JB336" i="2"/>
  <c r="JC336" i="2" s="1"/>
  <c r="JB337" i="2"/>
  <c r="JC337" i="2" s="1"/>
  <c r="JB338" i="2"/>
  <c r="JC338" i="2" s="1"/>
  <c r="JB339" i="2"/>
  <c r="JC339" i="2" s="1"/>
  <c r="JB340" i="2"/>
  <c r="JC340" i="2" s="1"/>
  <c r="JB341" i="2"/>
  <c r="JC341" i="2" s="1"/>
  <c r="JB342" i="2"/>
  <c r="JC342" i="2" s="1"/>
  <c r="JB343" i="2"/>
  <c r="JC343" i="2" s="1"/>
  <c r="JB344" i="2"/>
  <c r="JC344" i="2" s="1"/>
  <c r="JB345" i="2"/>
  <c r="JC345" i="2" s="1"/>
  <c r="JB346" i="2"/>
  <c r="JC346" i="2" s="1"/>
  <c r="JB347" i="2"/>
  <c r="JC347" i="2"/>
  <c r="JB348" i="2"/>
  <c r="JC348" i="2"/>
  <c r="JB349" i="2"/>
  <c r="JC349" i="2" s="1"/>
  <c r="JB350" i="2"/>
  <c r="JC350" i="2" s="1"/>
  <c r="JB351" i="2"/>
  <c r="JC351" i="2" s="1"/>
  <c r="JB352" i="2"/>
  <c r="JC352" i="2" s="1"/>
  <c r="JB353" i="2"/>
  <c r="JC353" i="2" s="1"/>
  <c r="JB354" i="2"/>
  <c r="JC354" i="2" s="1"/>
  <c r="JB355" i="2"/>
  <c r="JC355" i="2" s="1"/>
  <c r="JB356" i="2"/>
  <c r="JC356" i="2" s="1"/>
  <c r="JB357" i="2"/>
  <c r="JC357" i="2" s="1"/>
  <c r="JB358" i="2"/>
  <c r="JC358" i="2" s="1"/>
  <c r="JB359" i="2"/>
  <c r="JC359" i="2"/>
  <c r="JB360" i="2"/>
  <c r="JC360" i="2" s="1"/>
  <c r="JB361" i="2"/>
  <c r="JC361" i="2" s="1"/>
  <c r="JB362" i="2"/>
  <c r="JC362" i="2" s="1"/>
  <c r="JB363" i="2"/>
  <c r="JC363" i="2" s="1"/>
  <c r="JB364" i="2"/>
  <c r="JC364" i="2" s="1"/>
  <c r="JB365" i="2"/>
  <c r="JC365" i="2" s="1"/>
  <c r="JB366" i="2"/>
  <c r="JC366" i="2" s="1"/>
  <c r="JB367" i="2"/>
  <c r="JC367" i="2" s="1"/>
  <c r="JB368" i="2"/>
  <c r="JC368" i="2" s="1"/>
  <c r="JB369" i="2"/>
  <c r="JC369" i="2" s="1"/>
  <c r="JB370" i="2"/>
  <c r="JC370" i="2" s="1"/>
  <c r="JB371" i="2"/>
  <c r="JC371" i="2" s="1"/>
  <c r="JB372" i="2"/>
  <c r="JC372" i="2" s="1"/>
  <c r="JB3" i="2"/>
  <c r="JC3" i="2" s="1"/>
  <c r="JB2" i="2"/>
  <c r="JC2" i="2" s="1"/>
  <c r="IY4" i="2"/>
  <c r="IZ4" i="2" s="1"/>
  <c r="IY5" i="2"/>
  <c r="IZ5" i="2" s="1"/>
  <c r="IY6" i="2"/>
  <c r="IZ6" i="2" s="1"/>
  <c r="IY7" i="2"/>
  <c r="IZ7" i="2" s="1"/>
  <c r="IY8" i="2"/>
  <c r="IZ8" i="2" s="1"/>
  <c r="IY9" i="2"/>
  <c r="IZ9" i="2" s="1"/>
  <c r="IY10" i="2"/>
  <c r="IZ10" i="2" s="1"/>
  <c r="IY11" i="2"/>
  <c r="IZ11" i="2" s="1"/>
  <c r="IY12" i="2"/>
  <c r="IZ12" i="2" s="1"/>
  <c r="IY13" i="2"/>
  <c r="IZ13" i="2" s="1"/>
  <c r="IY14" i="2"/>
  <c r="IZ14" i="2" s="1"/>
  <c r="IY15" i="2"/>
  <c r="IZ15" i="2" s="1"/>
  <c r="IY16" i="2"/>
  <c r="IZ16" i="2" s="1"/>
  <c r="IY17" i="2"/>
  <c r="IZ17" i="2" s="1"/>
  <c r="IY18" i="2"/>
  <c r="IZ18" i="2" s="1"/>
  <c r="IY19" i="2"/>
  <c r="IZ19" i="2" s="1"/>
  <c r="IY20" i="2"/>
  <c r="IZ20" i="2" s="1"/>
  <c r="IY21" i="2"/>
  <c r="IZ21" i="2" s="1"/>
  <c r="IY22" i="2"/>
  <c r="IZ22" i="2" s="1"/>
  <c r="IY23" i="2"/>
  <c r="IZ23" i="2" s="1"/>
  <c r="IY24" i="2"/>
  <c r="IZ24" i="2" s="1"/>
  <c r="IY25" i="2"/>
  <c r="IZ25" i="2" s="1"/>
  <c r="IY26" i="2"/>
  <c r="IZ26" i="2" s="1"/>
  <c r="IY27" i="2"/>
  <c r="IZ27" i="2" s="1"/>
  <c r="IY28" i="2"/>
  <c r="IZ28" i="2" s="1"/>
  <c r="IY29" i="2"/>
  <c r="IZ29" i="2"/>
  <c r="IY30" i="2"/>
  <c r="IZ30" i="2" s="1"/>
  <c r="IY31" i="2"/>
  <c r="IZ31" i="2" s="1"/>
  <c r="IY32" i="2"/>
  <c r="IZ32" i="2" s="1"/>
  <c r="IY33" i="2"/>
  <c r="IZ33" i="2" s="1"/>
  <c r="IY34" i="2"/>
  <c r="IZ34" i="2" s="1"/>
  <c r="IY35" i="2"/>
  <c r="IZ35" i="2" s="1"/>
  <c r="IY36" i="2"/>
  <c r="IZ36" i="2" s="1"/>
  <c r="IY37" i="2"/>
  <c r="IZ37" i="2" s="1"/>
  <c r="IY38" i="2"/>
  <c r="IZ38" i="2" s="1"/>
  <c r="IY39" i="2"/>
  <c r="IZ39" i="2" s="1"/>
  <c r="IY40" i="2"/>
  <c r="IZ40" i="2" s="1"/>
  <c r="IY41" i="2"/>
  <c r="IZ41" i="2" s="1"/>
  <c r="IY42" i="2"/>
  <c r="IZ42" i="2" s="1"/>
  <c r="IY43" i="2"/>
  <c r="IZ43" i="2" s="1"/>
  <c r="IY44" i="2"/>
  <c r="IZ44" i="2" s="1"/>
  <c r="IY45" i="2"/>
  <c r="IZ45" i="2" s="1"/>
  <c r="IY46" i="2"/>
  <c r="IZ46" i="2" s="1"/>
  <c r="IY47" i="2"/>
  <c r="IZ47" i="2" s="1"/>
  <c r="IY48" i="2"/>
  <c r="IZ48" i="2" s="1"/>
  <c r="IY49" i="2"/>
  <c r="IZ49" i="2" s="1"/>
  <c r="IY50" i="2"/>
  <c r="IZ50" i="2" s="1"/>
  <c r="IY51" i="2"/>
  <c r="IZ51" i="2" s="1"/>
  <c r="IY52" i="2"/>
  <c r="IZ52" i="2" s="1"/>
  <c r="IY53" i="2"/>
  <c r="IZ53" i="2" s="1"/>
  <c r="IY54" i="2"/>
  <c r="IZ54" i="2" s="1"/>
  <c r="IY55" i="2"/>
  <c r="IZ55" i="2" s="1"/>
  <c r="IY56" i="2"/>
  <c r="IZ56" i="2" s="1"/>
  <c r="IY57" i="2"/>
  <c r="IZ57" i="2" s="1"/>
  <c r="IY58" i="2"/>
  <c r="IZ58" i="2" s="1"/>
  <c r="IY59" i="2"/>
  <c r="IZ59" i="2" s="1"/>
  <c r="IY60" i="2"/>
  <c r="IZ60" i="2" s="1"/>
  <c r="IY61" i="2"/>
  <c r="IZ61" i="2" s="1"/>
  <c r="IY62" i="2"/>
  <c r="IZ62" i="2" s="1"/>
  <c r="IY63" i="2"/>
  <c r="IZ63" i="2" s="1"/>
  <c r="IY64" i="2"/>
  <c r="IZ64" i="2" s="1"/>
  <c r="IY65" i="2"/>
  <c r="IZ65" i="2" s="1"/>
  <c r="IY66" i="2"/>
  <c r="IZ66" i="2" s="1"/>
  <c r="IY67" i="2"/>
  <c r="IZ67" i="2" s="1"/>
  <c r="IY68" i="2"/>
  <c r="IZ68" i="2" s="1"/>
  <c r="IY69" i="2"/>
  <c r="IZ69" i="2" s="1"/>
  <c r="IY70" i="2"/>
  <c r="IZ70" i="2" s="1"/>
  <c r="IY71" i="2"/>
  <c r="IZ71" i="2" s="1"/>
  <c r="IY72" i="2"/>
  <c r="IZ72" i="2" s="1"/>
  <c r="IY73" i="2"/>
  <c r="IZ73" i="2" s="1"/>
  <c r="IY74" i="2"/>
  <c r="IZ74" i="2" s="1"/>
  <c r="IY75" i="2"/>
  <c r="IZ75" i="2" s="1"/>
  <c r="IY76" i="2"/>
  <c r="IZ76" i="2" s="1"/>
  <c r="IY77" i="2"/>
  <c r="IZ77" i="2" s="1"/>
  <c r="IY78" i="2"/>
  <c r="IZ78" i="2" s="1"/>
  <c r="IY79" i="2"/>
  <c r="IZ79" i="2" s="1"/>
  <c r="IY80" i="2"/>
  <c r="IZ80" i="2" s="1"/>
  <c r="IY81" i="2"/>
  <c r="IZ81" i="2" s="1"/>
  <c r="IY82" i="2"/>
  <c r="IZ82" i="2" s="1"/>
  <c r="IY83" i="2"/>
  <c r="IZ83" i="2" s="1"/>
  <c r="IY84" i="2"/>
  <c r="IZ84" i="2" s="1"/>
  <c r="IY85" i="2"/>
  <c r="IZ85" i="2" s="1"/>
  <c r="IY86" i="2"/>
  <c r="IZ86" i="2" s="1"/>
  <c r="IY87" i="2"/>
  <c r="IZ87" i="2" s="1"/>
  <c r="IY88" i="2"/>
  <c r="IZ88" i="2" s="1"/>
  <c r="IY89" i="2"/>
  <c r="IZ89" i="2" s="1"/>
  <c r="IY90" i="2"/>
  <c r="IZ90" i="2" s="1"/>
  <c r="IY91" i="2"/>
  <c r="IZ91" i="2" s="1"/>
  <c r="IY92" i="2"/>
  <c r="IZ92" i="2" s="1"/>
  <c r="IY93" i="2"/>
  <c r="IZ93" i="2"/>
  <c r="IY94" i="2"/>
  <c r="IZ94" i="2" s="1"/>
  <c r="IY95" i="2"/>
  <c r="IZ95" i="2" s="1"/>
  <c r="IY96" i="2"/>
  <c r="IZ96" i="2" s="1"/>
  <c r="IY97" i="2"/>
  <c r="IZ97" i="2" s="1"/>
  <c r="IY98" i="2"/>
  <c r="IZ98" i="2" s="1"/>
  <c r="IY99" i="2"/>
  <c r="IZ99" i="2" s="1"/>
  <c r="IY100" i="2"/>
  <c r="IZ100" i="2" s="1"/>
  <c r="IY101" i="2"/>
  <c r="IZ101" i="2" s="1"/>
  <c r="IY102" i="2"/>
  <c r="IZ102" i="2" s="1"/>
  <c r="IY103" i="2"/>
  <c r="IZ103" i="2" s="1"/>
  <c r="IY104" i="2"/>
  <c r="IZ104" i="2" s="1"/>
  <c r="IY105" i="2"/>
  <c r="IZ105" i="2" s="1"/>
  <c r="IY106" i="2"/>
  <c r="IZ106" i="2" s="1"/>
  <c r="IY107" i="2"/>
  <c r="IZ107" i="2" s="1"/>
  <c r="IY108" i="2"/>
  <c r="IZ108" i="2" s="1"/>
  <c r="IY109" i="2"/>
  <c r="IZ109" i="2" s="1"/>
  <c r="IY110" i="2"/>
  <c r="IZ110" i="2" s="1"/>
  <c r="IY111" i="2"/>
  <c r="IZ111" i="2" s="1"/>
  <c r="IY112" i="2"/>
  <c r="IZ112" i="2" s="1"/>
  <c r="IY113" i="2"/>
  <c r="IZ113" i="2" s="1"/>
  <c r="IY114" i="2"/>
  <c r="IZ114" i="2" s="1"/>
  <c r="IY115" i="2"/>
  <c r="IZ115" i="2" s="1"/>
  <c r="IY116" i="2"/>
  <c r="IZ116" i="2" s="1"/>
  <c r="IY117" i="2"/>
  <c r="IZ117" i="2" s="1"/>
  <c r="IY118" i="2"/>
  <c r="IZ118" i="2" s="1"/>
  <c r="IY119" i="2"/>
  <c r="IZ119" i="2" s="1"/>
  <c r="IY120" i="2"/>
  <c r="IZ120" i="2" s="1"/>
  <c r="IY121" i="2"/>
  <c r="IZ121" i="2" s="1"/>
  <c r="IY122" i="2"/>
  <c r="IZ122" i="2" s="1"/>
  <c r="IY123" i="2"/>
  <c r="IZ123" i="2" s="1"/>
  <c r="IY124" i="2"/>
  <c r="IZ124" i="2" s="1"/>
  <c r="IY125" i="2"/>
  <c r="IZ125" i="2" s="1"/>
  <c r="IY126" i="2"/>
  <c r="IZ126" i="2" s="1"/>
  <c r="IY127" i="2"/>
  <c r="IZ127" i="2" s="1"/>
  <c r="IY128" i="2"/>
  <c r="IZ128" i="2" s="1"/>
  <c r="IY129" i="2"/>
  <c r="IZ129" i="2" s="1"/>
  <c r="IY130" i="2"/>
  <c r="IZ130" i="2" s="1"/>
  <c r="IY131" i="2"/>
  <c r="IZ131" i="2" s="1"/>
  <c r="IY132" i="2"/>
  <c r="IZ132" i="2" s="1"/>
  <c r="IY133" i="2"/>
  <c r="IZ133" i="2" s="1"/>
  <c r="IY134" i="2"/>
  <c r="IZ134" i="2" s="1"/>
  <c r="IY135" i="2"/>
  <c r="IZ135" i="2" s="1"/>
  <c r="IY136" i="2"/>
  <c r="IZ136" i="2" s="1"/>
  <c r="IY137" i="2"/>
  <c r="IZ137" i="2" s="1"/>
  <c r="IY138" i="2"/>
  <c r="IZ138" i="2" s="1"/>
  <c r="IY139" i="2"/>
  <c r="IZ139" i="2" s="1"/>
  <c r="IY140" i="2"/>
  <c r="IZ140" i="2" s="1"/>
  <c r="IY141" i="2"/>
  <c r="IZ141" i="2" s="1"/>
  <c r="IY142" i="2"/>
  <c r="IZ142" i="2" s="1"/>
  <c r="IY143" i="2"/>
  <c r="IZ143" i="2" s="1"/>
  <c r="IY144" i="2"/>
  <c r="IZ144" i="2" s="1"/>
  <c r="IY145" i="2"/>
  <c r="IZ145" i="2" s="1"/>
  <c r="IY146" i="2"/>
  <c r="IZ146" i="2" s="1"/>
  <c r="IY147" i="2"/>
  <c r="IZ147" i="2" s="1"/>
  <c r="IY148" i="2"/>
  <c r="IZ148" i="2" s="1"/>
  <c r="IY149" i="2"/>
  <c r="IZ149" i="2" s="1"/>
  <c r="IY150" i="2"/>
  <c r="IZ150" i="2" s="1"/>
  <c r="IY151" i="2"/>
  <c r="IZ151" i="2" s="1"/>
  <c r="IY152" i="2"/>
  <c r="IZ152" i="2" s="1"/>
  <c r="IY153" i="2"/>
  <c r="IZ153" i="2" s="1"/>
  <c r="IY154" i="2"/>
  <c r="IZ154" i="2" s="1"/>
  <c r="IY155" i="2"/>
  <c r="IZ155" i="2" s="1"/>
  <c r="IY156" i="2"/>
  <c r="IZ156" i="2" s="1"/>
  <c r="IY157" i="2"/>
  <c r="IZ157" i="2" s="1"/>
  <c r="IY158" i="2"/>
  <c r="IZ158" i="2" s="1"/>
  <c r="IY159" i="2"/>
  <c r="IZ159" i="2" s="1"/>
  <c r="IY160" i="2"/>
  <c r="IZ160" i="2" s="1"/>
  <c r="IY161" i="2"/>
  <c r="IZ161" i="2" s="1"/>
  <c r="IY162" i="2"/>
  <c r="IZ162" i="2" s="1"/>
  <c r="IY163" i="2"/>
  <c r="IZ163" i="2" s="1"/>
  <c r="IY164" i="2"/>
  <c r="IZ164" i="2" s="1"/>
  <c r="IY165" i="2"/>
  <c r="IZ165" i="2" s="1"/>
  <c r="IY166" i="2"/>
  <c r="IZ166" i="2" s="1"/>
  <c r="IY167" i="2"/>
  <c r="IZ167" i="2" s="1"/>
  <c r="IY168" i="2"/>
  <c r="IZ168" i="2" s="1"/>
  <c r="IY169" i="2"/>
  <c r="IZ169" i="2" s="1"/>
  <c r="IY170" i="2"/>
  <c r="IZ170" i="2" s="1"/>
  <c r="IY171" i="2"/>
  <c r="IZ171" i="2" s="1"/>
  <c r="IY172" i="2"/>
  <c r="IZ172" i="2" s="1"/>
  <c r="IY173" i="2"/>
  <c r="IZ173" i="2" s="1"/>
  <c r="IY174" i="2"/>
  <c r="IZ174" i="2" s="1"/>
  <c r="IY175" i="2"/>
  <c r="IZ175" i="2" s="1"/>
  <c r="IY176" i="2"/>
  <c r="IZ176" i="2" s="1"/>
  <c r="IY177" i="2"/>
  <c r="IZ177" i="2" s="1"/>
  <c r="IY178" i="2"/>
  <c r="IZ178" i="2" s="1"/>
  <c r="IY179" i="2"/>
  <c r="IZ179" i="2" s="1"/>
  <c r="IY180" i="2"/>
  <c r="IZ180" i="2" s="1"/>
  <c r="IY181" i="2"/>
  <c r="IZ181" i="2" s="1"/>
  <c r="IY182" i="2"/>
  <c r="IZ182" i="2" s="1"/>
  <c r="IY183" i="2"/>
  <c r="IZ183" i="2" s="1"/>
  <c r="IY184" i="2"/>
  <c r="IZ184" i="2" s="1"/>
  <c r="IY185" i="2"/>
  <c r="IZ185" i="2" s="1"/>
  <c r="IY186" i="2"/>
  <c r="IZ186" i="2" s="1"/>
  <c r="IY187" i="2"/>
  <c r="IZ187" i="2" s="1"/>
  <c r="IY188" i="2"/>
  <c r="IZ188" i="2" s="1"/>
  <c r="IY189" i="2"/>
  <c r="IZ189" i="2" s="1"/>
  <c r="IY190" i="2"/>
  <c r="IZ190" i="2" s="1"/>
  <c r="IY191" i="2"/>
  <c r="IZ191" i="2" s="1"/>
  <c r="IY192" i="2"/>
  <c r="IZ192" i="2" s="1"/>
  <c r="IY193" i="2"/>
  <c r="IZ193" i="2" s="1"/>
  <c r="IY194" i="2"/>
  <c r="IZ194" i="2" s="1"/>
  <c r="IY195" i="2"/>
  <c r="IZ195" i="2" s="1"/>
  <c r="IY196" i="2"/>
  <c r="IZ196" i="2" s="1"/>
  <c r="IY197" i="2"/>
  <c r="IZ197" i="2" s="1"/>
  <c r="IY198" i="2"/>
  <c r="IZ198" i="2" s="1"/>
  <c r="IY199" i="2"/>
  <c r="IZ199" i="2" s="1"/>
  <c r="IY200" i="2"/>
  <c r="IZ200" i="2" s="1"/>
  <c r="IY201" i="2"/>
  <c r="IZ201" i="2" s="1"/>
  <c r="IY202" i="2"/>
  <c r="IZ202" i="2" s="1"/>
  <c r="IY203" i="2"/>
  <c r="IZ203" i="2" s="1"/>
  <c r="IY204" i="2"/>
  <c r="IZ204" i="2" s="1"/>
  <c r="IY205" i="2"/>
  <c r="IZ205" i="2" s="1"/>
  <c r="IY206" i="2"/>
  <c r="IZ206" i="2" s="1"/>
  <c r="IY207" i="2"/>
  <c r="IZ207" i="2" s="1"/>
  <c r="IY208" i="2"/>
  <c r="IZ208" i="2" s="1"/>
  <c r="IY209" i="2"/>
  <c r="IZ209" i="2" s="1"/>
  <c r="IY210" i="2"/>
  <c r="IZ210" i="2" s="1"/>
  <c r="IY211" i="2"/>
  <c r="IZ211" i="2" s="1"/>
  <c r="IY212" i="2"/>
  <c r="IZ212" i="2" s="1"/>
  <c r="IY213" i="2"/>
  <c r="IZ213" i="2" s="1"/>
  <c r="IY214" i="2"/>
  <c r="IZ214" i="2" s="1"/>
  <c r="IY215" i="2"/>
  <c r="IZ215" i="2" s="1"/>
  <c r="IY216" i="2"/>
  <c r="IZ216" i="2" s="1"/>
  <c r="IY217" i="2"/>
  <c r="IZ217" i="2" s="1"/>
  <c r="IY218" i="2"/>
  <c r="IZ218" i="2" s="1"/>
  <c r="IY219" i="2"/>
  <c r="IZ219" i="2" s="1"/>
  <c r="IY220" i="2"/>
  <c r="IZ220" i="2" s="1"/>
  <c r="IY221" i="2"/>
  <c r="IZ221" i="2" s="1"/>
  <c r="IY222" i="2"/>
  <c r="IZ222" i="2" s="1"/>
  <c r="IY223" i="2"/>
  <c r="IZ223" i="2" s="1"/>
  <c r="IY224" i="2"/>
  <c r="IZ224" i="2" s="1"/>
  <c r="IY225" i="2"/>
  <c r="IZ225" i="2" s="1"/>
  <c r="IY226" i="2"/>
  <c r="IZ226" i="2" s="1"/>
  <c r="IY227" i="2"/>
  <c r="IZ227" i="2" s="1"/>
  <c r="IY228" i="2"/>
  <c r="IZ228" i="2" s="1"/>
  <c r="IY229" i="2"/>
  <c r="IZ229" i="2" s="1"/>
  <c r="IY230" i="2"/>
  <c r="IZ230" i="2" s="1"/>
  <c r="IY231" i="2"/>
  <c r="IZ231" i="2" s="1"/>
  <c r="IY232" i="2"/>
  <c r="IZ232" i="2" s="1"/>
  <c r="IY233" i="2"/>
  <c r="IZ233" i="2" s="1"/>
  <c r="IY234" i="2"/>
  <c r="IZ234" i="2" s="1"/>
  <c r="IY235" i="2"/>
  <c r="IZ235" i="2" s="1"/>
  <c r="IY236" i="2"/>
  <c r="IZ236" i="2" s="1"/>
  <c r="IY237" i="2"/>
  <c r="IZ237" i="2" s="1"/>
  <c r="IY238" i="2"/>
  <c r="IZ238" i="2" s="1"/>
  <c r="IY239" i="2"/>
  <c r="IZ239" i="2" s="1"/>
  <c r="IY240" i="2"/>
  <c r="IZ240" i="2" s="1"/>
  <c r="IY241" i="2"/>
  <c r="IZ241" i="2" s="1"/>
  <c r="IY242" i="2"/>
  <c r="IZ242" i="2" s="1"/>
  <c r="IY243" i="2"/>
  <c r="IZ243" i="2" s="1"/>
  <c r="IY244" i="2"/>
  <c r="IZ244" i="2" s="1"/>
  <c r="IY245" i="2"/>
  <c r="IZ245" i="2" s="1"/>
  <c r="IY246" i="2"/>
  <c r="IZ246" i="2" s="1"/>
  <c r="IY247" i="2"/>
  <c r="IZ247" i="2" s="1"/>
  <c r="IY248" i="2"/>
  <c r="IZ248" i="2" s="1"/>
  <c r="IY249" i="2"/>
  <c r="IZ249" i="2" s="1"/>
  <c r="IY250" i="2"/>
  <c r="IZ250" i="2" s="1"/>
  <c r="IY251" i="2"/>
  <c r="IZ251" i="2" s="1"/>
  <c r="IY252" i="2"/>
  <c r="IZ252" i="2" s="1"/>
  <c r="IY253" i="2"/>
  <c r="IZ253" i="2" s="1"/>
  <c r="IY254" i="2"/>
  <c r="IZ254" i="2" s="1"/>
  <c r="IY255" i="2"/>
  <c r="IZ255" i="2" s="1"/>
  <c r="IY256" i="2"/>
  <c r="IZ256" i="2" s="1"/>
  <c r="IY257" i="2"/>
  <c r="IZ257" i="2" s="1"/>
  <c r="IY258" i="2"/>
  <c r="IZ258" i="2" s="1"/>
  <c r="IY259" i="2"/>
  <c r="IZ259" i="2" s="1"/>
  <c r="IY260" i="2"/>
  <c r="IZ260" i="2" s="1"/>
  <c r="IY261" i="2"/>
  <c r="IZ261" i="2" s="1"/>
  <c r="IY262" i="2"/>
  <c r="IZ262" i="2" s="1"/>
  <c r="IY263" i="2"/>
  <c r="IZ263" i="2" s="1"/>
  <c r="IY264" i="2"/>
  <c r="IZ264" i="2" s="1"/>
  <c r="IY265" i="2"/>
  <c r="IZ265" i="2" s="1"/>
  <c r="IY266" i="2"/>
  <c r="IZ266" i="2" s="1"/>
  <c r="IY267" i="2"/>
  <c r="IZ267" i="2" s="1"/>
  <c r="IY268" i="2"/>
  <c r="IZ268" i="2" s="1"/>
  <c r="IY269" i="2"/>
  <c r="IZ269" i="2" s="1"/>
  <c r="IY270" i="2"/>
  <c r="IZ270" i="2" s="1"/>
  <c r="IY271" i="2"/>
  <c r="IZ271" i="2" s="1"/>
  <c r="IY272" i="2"/>
  <c r="IZ272" i="2" s="1"/>
  <c r="IY273" i="2"/>
  <c r="IZ273" i="2" s="1"/>
  <c r="IY274" i="2"/>
  <c r="IZ274" i="2" s="1"/>
  <c r="IY275" i="2"/>
  <c r="IZ275" i="2" s="1"/>
  <c r="IY276" i="2"/>
  <c r="IZ276" i="2" s="1"/>
  <c r="IY277" i="2"/>
  <c r="IZ277" i="2" s="1"/>
  <c r="IY278" i="2"/>
  <c r="IZ278" i="2" s="1"/>
  <c r="IY279" i="2"/>
  <c r="IZ279" i="2" s="1"/>
  <c r="IY280" i="2"/>
  <c r="IZ280" i="2" s="1"/>
  <c r="IY281" i="2"/>
  <c r="IZ281" i="2" s="1"/>
  <c r="IY282" i="2"/>
  <c r="IZ282" i="2" s="1"/>
  <c r="IY283" i="2"/>
  <c r="IZ283" i="2" s="1"/>
  <c r="IY284" i="2"/>
  <c r="IZ284" i="2" s="1"/>
  <c r="IY285" i="2"/>
  <c r="IZ285" i="2" s="1"/>
  <c r="IY286" i="2"/>
  <c r="IZ286" i="2" s="1"/>
  <c r="IY287" i="2"/>
  <c r="IZ287" i="2" s="1"/>
  <c r="IY288" i="2"/>
  <c r="IZ288" i="2" s="1"/>
  <c r="IY289" i="2"/>
  <c r="IZ289" i="2"/>
  <c r="IY290" i="2"/>
  <c r="IZ290" i="2" s="1"/>
  <c r="IY291" i="2"/>
  <c r="IZ291" i="2" s="1"/>
  <c r="IY292" i="2"/>
  <c r="IZ292" i="2" s="1"/>
  <c r="IY293" i="2"/>
  <c r="IZ293" i="2" s="1"/>
  <c r="IY294" i="2"/>
  <c r="IZ294" i="2" s="1"/>
  <c r="IY295" i="2"/>
  <c r="IZ295" i="2" s="1"/>
  <c r="IY296" i="2"/>
  <c r="IZ296" i="2" s="1"/>
  <c r="IY297" i="2"/>
  <c r="IZ297" i="2" s="1"/>
  <c r="IY298" i="2"/>
  <c r="IZ298" i="2" s="1"/>
  <c r="IY299" i="2"/>
  <c r="IZ299" i="2" s="1"/>
  <c r="IY300" i="2"/>
  <c r="IZ300" i="2" s="1"/>
  <c r="IY301" i="2"/>
  <c r="IZ301" i="2" s="1"/>
  <c r="IY302" i="2"/>
  <c r="IZ302" i="2" s="1"/>
  <c r="IY303" i="2"/>
  <c r="IZ303" i="2" s="1"/>
  <c r="IY304" i="2"/>
  <c r="IZ304" i="2" s="1"/>
  <c r="IY305" i="2"/>
  <c r="IZ305" i="2" s="1"/>
  <c r="IY306" i="2"/>
  <c r="IZ306" i="2" s="1"/>
  <c r="IY307" i="2"/>
  <c r="IZ307" i="2" s="1"/>
  <c r="IY308" i="2"/>
  <c r="IZ308" i="2" s="1"/>
  <c r="IY309" i="2"/>
  <c r="IZ309" i="2" s="1"/>
  <c r="IY310" i="2"/>
  <c r="IZ310" i="2" s="1"/>
  <c r="IY311" i="2"/>
  <c r="IZ311" i="2" s="1"/>
  <c r="IY312" i="2"/>
  <c r="IZ312" i="2" s="1"/>
  <c r="IY313" i="2"/>
  <c r="IZ313" i="2" s="1"/>
  <c r="IY314" i="2"/>
  <c r="IZ314" i="2" s="1"/>
  <c r="IY315" i="2"/>
  <c r="IZ315" i="2" s="1"/>
  <c r="IY316" i="2"/>
  <c r="IZ316" i="2" s="1"/>
  <c r="IY317" i="2"/>
  <c r="IZ317" i="2" s="1"/>
  <c r="IY318" i="2"/>
  <c r="IZ318" i="2" s="1"/>
  <c r="IY319" i="2"/>
  <c r="IZ319" i="2" s="1"/>
  <c r="IY320" i="2"/>
  <c r="IZ320" i="2" s="1"/>
  <c r="IY321" i="2"/>
  <c r="IZ321" i="2" s="1"/>
  <c r="IY322" i="2"/>
  <c r="IZ322" i="2" s="1"/>
  <c r="IY323" i="2"/>
  <c r="IZ323" i="2" s="1"/>
  <c r="IY324" i="2"/>
  <c r="IZ324" i="2" s="1"/>
  <c r="IY325" i="2"/>
  <c r="IZ325" i="2" s="1"/>
  <c r="IY326" i="2"/>
  <c r="IZ326" i="2" s="1"/>
  <c r="IY327" i="2"/>
  <c r="IZ327" i="2" s="1"/>
  <c r="IY328" i="2"/>
  <c r="IZ328" i="2" s="1"/>
  <c r="IY329" i="2"/>
  <c r="IZ329" i="2" s="1"/>
  <c r="IY330" i="2"/>
  <c r="IZ330" i="2" s="1"/>
  <c r="IY331" i="2"/>
  <c r="IZ331" i="2" s="1"/>
  <c r="IY332" i="2"/>
  <c r="IZ332" i="2" s="1"/>
  <c r="IY333" i="2"/>
  <c r="IZ333" i="2" s="1"/>
  <c r="IY334" i="2"/>
  <c r="IZ334" i="2" s="1"/>
  <c r="IY335" i="2"/>
  <c r="IZ335" i="2" s="1"/>
  <c r="IY336" i="2"/>
  <c r="IZ336" i="2" s="1"/>
  <c r="IY337" i="2"/>
  <c r="IZ337" i="2" s="1"/>
  <c r="IY338" i="2"/>
  <c r="IZ338" i="2" s="1"/>
  <c r="IY339" i="2"/>
  <c r="IZ339" i="2" s="1"/>
  <c r="IY340" i="2"/>
  <c r="IZ340" i="2" s="1"/>
  <c r="IY341" i="2"/>
  <c r="IZ341" i="2" s="1"/>
  <c r="IY342" i="2"/>
  <c r="IZ342" i="2" s="1"/>
  <c r="IY343" i="2"/>
  <c r="IZ343" i="2" s="1"/>
  <c r="IY344" i="2"/>
  <c r="IZ344" i="2" s="1"/>
  <c r="IY345" i="2"/>
  <c r="IZ345" i="2" s="1"/>
  <c r="IY346" i="2"/>
  <c r="IZ346" i="2" s="1"/>
  <c r="IY347" i="2"/>
  <c r="IZ347" i="2" s="1"/>
  <c r="IY348" i="2"/>
  <c r="IZ348" i="2" s="1"/>
  <c r="IY349" i="2"/>
  <c r="IZ349" i="2" s="1"/>
  <c r="IY350" i="2"/>
  <c r="IZ350" i="2" s="1"/>
  <c r="IY351" i="2"/>
  <c r="IZ351" i="2" s="1"/>
  <c r="IY352" i="2"/>
  <c r="IZ352" i="2" s="1"/>
  <c r="IY353" i="2"/>
  <c r="IZ353" i="2" s="1"/>
  <c r="IY354" i="2"/>
  <c r="IZ354" i="2" s="1"/>
  <c r="IY355" i="2"/>
  <c r="IZ355" i="2" s="1"/>
  <c r="IY356" i="2"/>
  <c r="IZ356" i="2" s="1"/>
  <c r="IY357" i="2"/>
  <c r="IZ357" i="2" s="1"/>
  <c r="IY358" i="2"/>
  <c r="IZ358" i="2" s="1"/>
  <c r="IY359" i="2"/>
  <c r="IZ359" i="2" s="1"/>
  <c r="IY360" i="2"/>
  <c r="IZ360" i="2" s="1"/>
  <c r="IY361" i="2"/>
  <c r="IZ361" i="2" s="1"/>
  <c r="IY362" i="2"/>
  <c r="IZ362" i="2" s="1"/>
  <c r="IY363" i="2"/>
  <c r="IZ363" i="2" s="1"/>
  <c r="IY364" i="2"/>
  <c r="IZ364" i="2" s="1"/>
  <c r="IY365" i="2"/>
  <c r="IZ365" i="2" s="1"/>
  <c r="IY366" i="2"/>
  <c r="IZ366" i="2" s="1"/>
  <c r="IY367" i="2"/>
  <c r="IZ367" i="2" s="1"/>
  <c r="IY368" i="2"/>
  <c r="IZ368" i="2" s="1"/>
  <c r="IY369" i="2"/>
  <c r="IZ369" i="2" s="1"/>
  <c r="IY370" i="2"/>
  <c r="IZ370" i="2" s="1"/>
  <c r="IY371" i="2"/>
  <c r="IZ371" i="2" s="1"/>
  <c r="IY372" i="2"/>
  <c r="IZ372" i="2" s="1"/>
  <c r="IY373" i="2"/>
  <c r="IZ373" i="2" s="1"/>
  <c r="IY374" i="2"/>
  <c r="IZ374" i="2" s="1"/>
  <c r="IY375" i="2"/>
  <c r="IZ375" i="2" s="1"/>
  <c r="IY376" i="2"/>
  <c r="IZ376" i="2" s="1"/>
  <c r="IY377" i="2"/>
  <c r="IZ377" i="2" s="1"/>
  <c r="IY378" i="2"/>
  <c r="IZ378" i="2" s="1"/>
  <c r="IY379" i="2"/>
  <c r="IZ379" i="2" s="1"/>
  <c r="IY380" i="2"/>
  <c r="IZ380" i="2" s="1"/>
  <c r="IY381" i="2"/>
  <c r="IZ381" i="2" s="1"/>
  <c r="IY382" i="2"/>
  <c r="IZ382" i="2" s="1"/>
  <c r="IY383" i="2"/>
  <c r="IZ383" i="2" s="1"/>
  <c r="IY384" i="2"/>
  <c r="IZ384" i="2" s="1"/>
  <c r="IY3" i="2"/>
  <c r="IZ3" i="2" s="1"/>
  <c r="IY2" i="2"/>
  <c r="IZ2" i="2" s="1"/>
  <c r="CC160" i="3"/>
  <c r="CY33" i="3"/>
  <c r="CY162" i="3" s="1"/>
  <c r="CZ33" i="3"/>
  <c r="CZ162" i="3" s="1"/>
  <c r="DA33" i="3"/>
  <c r="DA162" i="3" s="1"/>
  <c r="DB33" i="3"/>
  <c r="DB162" i="3" s="1"/>
  <c r="DC33" i="3"/>
  <c r="DC162" i="3" s="1"/>
  <c r="CM33" i="3"/>
  <c r="CB33" i="3"/>
  <c r="CI33" i="3" s="1"/>
  <c r="CI162" i="3" s="1"/>
  <c r="BQ33" i="3"/>
  <c r="BT33" i="3" s="1"/>
  <c r="BT162" i="3" s="1"/>
  <c r="BF33" i="3"/>
  <c r="BI33" i="3" s="1"/>
  <c r="BI162" i="3" s="1"/>
  <c r="AU33" i="3"/>
  <c r="AJ33" i="3"/>
  <c r="AQ33" i="3" s="1"/>
  <c r="AQ162" i="3" s="1"/>
  <c r="AB33" i="3"/>
  <c r="AB162" i="3" s="1"/>
  <c r="U33" i="3"/>
  <c r="U162" i="3" s="1"/>
  <c r="V33" i="3"/>
  <c r="V162" i="3" s="1"/>
  <c r="C33" i="3"/>
  <c r="B161" i="3"/>
  <c r="F161" i="3"/>
  <c r="I161" i="3"/>
  <c r="M161" i="3"/>
  <c r="N161" i="3"/>
  <c r="O161" i="3"/>
  <c r="P161" i="3"/>
  <c r="Q161" i="3"/>
  <c r="R161" i="3"/>
  <c r="S161" i="3"/>
  <c r="T161" i="3"/>
  <c r="Z161" i="3"/>
  <c r="AA161" i="3"/>
  <c r="AI161" i="3"/>
  <c r="AK161" i="3"/>
  <c r="AL161" i="3"/>
  <c r="AO161" i="3"/>
  <c r="AP161" i="3"/>
  <c r="AT161" i="3"/>
  <c r="AV161" i="3"/>
  <c r="AW161" i="3"/>
  <c r="AZ161" i="3"/>
  <c r="BA161" i="3"/>
  <c r="BE161" i="3"/>
  <c r="BG161" i="3"/>
  <c r="BH161" i="3"/>
  <c r="BK161" i="3"/>
  <c r="BL161" i="3"/>
  <c r="BP161" i="3"/>
  <c r="BR161" i="3"/>
  <c r="BS161" i="3"/>
  <c r="BV161" i="3"/>
  <c r="BW161" i="3"/>
  <c r="CA161" i="3"/>
  <c r="CC161" i="3"/>
  <c r="CD161" i="3"/>
  <c r="CG161" i="3"/>
  <c r="CH161" i="3"/>
  <c r="CL161" i="3"/>
  <c r="CN161" i="3"/>
  <c r="CO161" i="3"/>
  <c r="CR161" i="3"/>
  <c r="CS161" i="3"/>
  <c r="DE161" i="3"/>
  <c r="DF161" i="3"/>
  <c r="DG161" i="3"/>
  <c r="DI161" i="3"/>
  <c r="DK161" i="3"/>
  <c r="DL161" i="3"/>
  <c r="DN161" i="3"/>
  <c r="DO161" i="3"/>
  <c r="DP161" i="3"/>
  <c r="DT161" i="3"/>
  <c r="DU161" i="3"/>
  <c r="DV161" i="3"/>
  <c r="DX161" i="3"/>
  <c r="DZ161" i="3"/>
  <c r="EA161" i="3"/>
  <c r="EC161" i="3"/>
  <c r="ED161" i="3"/>
  <c r="EE161" i="3"/>
  <c r="CY6" i="3"/>
  <c r="CY135" i="3" s="1"/>
  <c r="CZ6" i="3"/>
  <c r="CZ135" i="3" s="1"/>
  <c r="DA6" i="3"/>
  <c r="DA135" i="3" s="1"/>
  <c r="DB6" i="3"/>
  <c r="DB135" i="3" s="1"/>
  <c r="DC6" i="3"/>
  <c r="DC135" i="3" s="1"/>
  <c r="CY7" i="3"/>
  <c r="CY136" i="3" s="1"/>
  <c r="CZ7" i="3"/>
  <c r="CZ136" i="3" s="1"/>
  <c r="DA7" i="3"/>
  <c r="DA136" i="3" s="1"/>
  <c r="DB7" i="3"/>
  <c r="DB136" i="3" s="1"/>
  <c r="DC7" i="3"/>
  <c r="DC136" i="3" s="1"/>
  <c r="CY8" i="3"/>
  <c r="CY137" i="3" s="1"/>
  <c r="CZ8" i="3"/>
  <c r="CZ137" i="3" s="1"/>
  <c r="DA8" i="3"/>
  <c r="DA137" i="3" s="1"/>
  <c r="DB8" i="3"/>
  <c r="DB137" i="3" s="1"/>
  <c r="DC8" i="3"/>
  <c r="DC137" i="3" s="1"/>
  <c r="CY9" i="3"/>
  <c r="CY138" i="3" s="1"/>
  <c r="CZ9" i="3"/>
  <c r="CZ138" i="3" s="1"/>
  <c r="DA9" i="3"/>
  <c r="DA138" i="3" s="1"/>
  <c r="DB9" i="3"/>
  <c r="DB138" i="3" s="1"/>
  <c r="DC9" i="3"/>
  <c r="DC138" i="3" s="1"/>
  <c r="CY10" i="3"/>
  <c r="CY139" i="3" s="1"/>
  <c r="CZ10" i="3"/>
  <c r="CZ139" i="3" s="1"/>
  <c r="DA10" i="3"/>
  <c r="DA139" i="3" s="1"/>
  <c r="DB10" i="3"/>
  <c r="DB139" i="3" s="1"/>
  <c r="DC10" i="3"/>
  <c r="DC139" i="3" s="1"/>
  <c r="CY11" i="3"/>
  <c r="CY140" i="3" s="1"/>
  <c r="CZ11" i="3"/>
  <c r="CZ140" i="3" s="1"/>
  <c r="DA11" i="3"/>
  <c r="DA140" i="3" s="1"/>
  <c r="DB11" i="3"/>
  <c r="DB140" i="3" s="1"/>
  <c r="DC11" i="3"/>
  <c r="DC140" i="3" s="1"/>
  <c r="CY12" i="3"/>
  <c r="CY141" i="3" s="1"/>
  <c r="CZ12" i="3"/>
  <c r="CZ141" i="3" s="1"/>
  <c r="DA12" i="3"/>
  <c r="DA141" i="3" s="1"/>
  <c r="DB12" i="3"/>
  <c r="DB141" i="3" s="1"/>
  <c r="DC12" i="3"/>
  <c r="DC141" i="3" s="1"/>
  <c r="CY13" i="3"/>
  <c r="CY142" i="3" s="1"/>
  <c r="CZ13" i="3"/>
  <c r="CZ142" i="3" s="1"/>
  <c r="DA13" i="3"/>
  <c r="DA142" i="3" s="1"/>
  <c r="DB13" i="3"/>
  <c r="DB142" i="3" s="1"/>
  <c r="DC13" i="3"/>
  <c r="DC142" i="3" s="1"/>
  <c r="CY14" i="3"/>
  <c r="CY143" i="3" s="1"/>
  <c r="CZ14" i="3"/>
  <c r="CZ143" i="3" s="1"/>
  <c r="DA14" i="3"/>
  <c r="DA143" i="3" s="1"/>
  <c r="DB14" i="3"/>
  <c r="DB143" i="3" s="1"/>
  <c r="DC14" i="3"/>
  <c r="DC143" i="3" s="1"/>
  <c r="CY15" i="3"/>
  <c r="CY144" i="3" s="1"/>
  <c r="CZ15" i="3"/>
  <c r="CZ144" i="3" s="1"/>
  <c r="DA15" i="3"/>
  <c r="DA144" i="3" s="1"/>
  <c r="DB15" i="3"/>
  <c r="DB144" i="3" s="1"/>
  <c r="DC15" i="3"/>
  <c r="DC144" i="3" s="1"/>
  <c r="CY16" i="3"/>
  <c r="CY145" i="3" s="1"/>
  <c r="CZ16" i="3"/>
  <c r="CZ145" i="3" s="1"/>
  <c r="DA16" i="3"/>
  <c r="DA145" i="3" s="1"/>
  <c r="DB16" i="3"/>
  <c r="DB145" i="3" s="1"/>
  <c r="DC16" i="3"/>
  <c r="DC145" i="3" s="1"/>
  <c r="CY17" i="3"/>
  <c r="CY146" i="3" s="1"/>
  <c r="CZ17" i="3"/>
  <c r="CZ146" i="3" s="1"/>
  <c r="DA17" i="3"/>
  <c r="DA146" i="3" s="1"/>
  <c r="DB17" i="3"/>
  <c r="DB146" i="3" s="1"/>
  <c r="DC17" i="3"/>
  <c r="DC146" i="3" s="1"/>
  <c r="CY18" i="3"/>
  <c r="CY147" i="3" s="1"/>
  <c r="CZ18" i="3"/>
  <c r="CZ147" i="3" s="1"/>
  <c r="DA18" i="3"/>
  <c r="DA147" i="3" s="1"/>
  <c r="DB18" i="3"/>
  <c r="DB147" i="3" s="1"/>
  <c r="DC18" i="3"/>
  <c r="DC147" i="3" s="1"/>
  <c r="CY19" i="3"/>
  <c r="CY148" i="3" s="1"/>
  <c r="CZ19" i="3"/>
  <c r="CZ148" i="3" s="1"/>
  <c r="DA19" i="3"/>
  <c r="DA148" i="3" s="1"/>
  <c r="DB19" i="3"/>
  <c r="DB148" i="3" s="1"/>
  <c r="DC19" i="3"/>
  <c r="DC148" i="3" s="1"/>
  <c r="CY20" i="3"/>
  <c r="CY149" i="3" s="1"/>
  <c r="CZ20" i="3"/>
  <c r="CZ149" i="3" s="1"/>
  <c r="DA20" i="3"/>
  <c r="DA149" i="3" s="1"/>
  <c r="DB20" i="3"/>
  <c r="DB149" i="3" s="1"/>
  <c r="DC20" i="3"/>
  <c r="DC149" i="3" s="1"/>
  <c r="CY21" i="3"/>
  <c r="CY150" i="3" s="1"/>
  <c r="CZ21" i="3"/>
  <c r="CZ150" i="3" s="1"/>
  <c r="DA21" i="3"/>
  <c r="DA150" i="3" s="1"/>
  <c r="DB21" i="3"/>
  <c r="DB150" i="3" s="1"/>
  <c r="DC21" i="3"/>
  <c r="DC150" i="3" s="1"/>
  <c r="CY22" i="3"/>
  <c r="CY151" i="3" s="1"/>
  <c r="CZ22" i="3"/>
  <c r="CZ151" i="3" s="1"/>
  <c r="DA22" i="3"/>
  <c r="DA151" i="3" s="1"/>
  <c r="DB22" i="3"/>
  <c r="DB151" i="3" s="1"/>
  <c r="DC22" i="3"/>
  <c r="DC151" i="3" s="1"/>
  <c r="CY23" i="3"/>
  <c r="CY152" i="3" s="1"/>
  <c r="CZ23" i="3"/>
  <c r="CZ152" i="3" s="1"/>
  <c r="DA23" i="3"/>
  <c r="DA152" i="3" s="1"/>
  <c r="DB23" i="3"/>
  <c r="DB152" i="3" s="1"/>
  <c r="DC23" i="3"/>
  <c r="DC152" i="3" s="1"/>
  <c r="CY24" i="3"/>
  <c r="CY153" i="3" s="1"/>
  <c r="CZ24" i="3"/>
  <c r="CZ153" i="3" s="1"/>
  <c r="DA24" i="3"/>
  <c r="DA153" i="3" s="1"/>
  <c r="DB24" i="3"/>
  <c r="DB153" i="3" s="1"/>
  <c r="DC24" i="3"/>
  <c r="DC153" i="3" s="1"/>
  <c r="CY25" i="3"/>
  <c r="CY154" i="3" s="1"/>
  <c r="CZ25" i="3"/>
  <c r="CZ154" i="3" s="1"/>
  <c r="DA25" i="3"/>
  <c r="DA154" i="3" s="1"/>
  <c r="DB25" i="3"/>
  <c r="DB154" i="3" s="1"/>
  <c r="DC25" i="3"/>
  <c r="DC154" i="3" s="1"/>
  <c r="CY26" i="3"/>
  <c r="CY155" i="3" s="1"/>
  <c r="CZ26" i="3"/>
  <c r="CZ155" i="3" s="1"/>
  <c r="DA26" i="3"/>
  <c r="DA155" i="3" s="1"/>
  <c r="DB26" i="3"/>
  <c r="DB155" i="3" s="1"/>
  <c r="DC26" i="3"/>
  <c r="DC155" i="3" s="1"/>
  <c r="CY27" i="3"/>
  <c r="CY156" i="3" s="1"/>
  <c r="CZ27" i="3"/>
  <c r="CZ156" i="3" s="1"/>
  <c r="DA27" i="3"/>
  <c r="DA156" i="3" s="1"/>
  <c r="DB27" i="3"/>
  <c r="DB156" i="3" s="1"/>
  <c r="DC27" i="3"/>
  <c r="DC156" i="3" s="1"/>
  <c r="CY28" i="3"/>
  <c r="CY157" i="3" s="1"/>
  <c r="CZ28" i="3"/>
  <c r="CZ157" i="3" s="1"/>
  <c r="DA28" i="3"/>
  <c r="DA157" i="3" s="1"/>
  <c r="DB28" i="3"/>
  <c r="DB157" i="3" s="1"/>
  <c r="DC28" i="3"/>
  <c r="DC157" i="3" s="1"/>
  <c r="CY29" i="3"/>
  <c r="CY158" i="3" s="1"/>
  <c r="CZ29" i="3"/>
  <c r="CZ158" i="3" s="1"/>
  <c r="DA29" i="3"/>
  <c r="DA158" i="3" s="1"/>
  <c r="DB29" i="3"/>
  <c r="DB158" i="3" s="1"/>
  <c r="DC29" i="3"/>
  <c r="DC158" i="3" s="1"/>
  <c r="CY30" i="3"/>
  <c r="CY159" i="3" s="1"/>
  <c r="CZ30" i="3"/>
  <c r="CZ159" i="3" s="1"/>
  <c r="DA30" i="3"/>
  <c r="DA159" i="3" s="1"/>
  <c r="DB30" i="3"/>
  <c r="DB159" i="3" s="1"/>
  <c r="DC30" i="3"/>
  <c r="DC159" i="3" s="1"/>
  <c r="CY31" i="3"/>
  <c r="CY160" i="3" s="1"/>
  <c r="CZ31" i="3"/>
  <c r="CZ160" i="3" s="1"/>
  <c r="DA31" i="3"/>
  <c r="DA160" i="3" s="1"/>
  <c r="DB31" i="3"/>
  <c r="DB160" i="3" s="1"/>
  <c r="DC31" i="3"/>
  <c r="DC160" i="3" s="1"/>
  <c r="CY32" i="3"/>
  <c r="CY161" i="3" s="1"/>
  <c r="CZ32" i="3"/>
  <c r="CZ161" i="3" s="1"/>
  <c r="DA32" i="3"/>
  <c r="DA161" i="3" s="1"/>
  <c r="DB32" i="3"/>
  <c r="DB161" i="3" s="1"/>
  <c r="DC32" i="3"/>
  <c r="DC161" i="3" s="1"/>
  <c r="DC5" i="3"/>
  <c r="DC134" i="3" s="1"/>
  <c r="DB5" i="3"/>
  <c r="DB134" i="3" s="1"/>
  <c r="DA5" i="3"/>
  <c r="DA134" i="3" s="1"/>
  <c r="CZ5" i="3"/>
  <c r="CZ134" i="3" s="1"/>
  <c r="CY5" i="3"/>
  <c r="CY134" i="3" s="1"/>
  <c r="CM7" i="3"/>
  <c r="CM8" i="3"/>
  <c r="CT8" i="3" s="1"/>
  <c r="CM9" i="3"/>
  <c r="CT9" i="3" s="1"/>
  <c r="CT138" i="3" s="1"/>
  <c r="CM10" i="3"/>
  <c r="CM139" i="3" s="1"/>
  <c r="CM11" i="3"/>
  <c r="CT11" i="3" s="1"/>
  <c r="CT140" i="3" s="1"/>
  <c r="CM12" i="3"/>
  <c r="CT12" i="3" s="1"/>
  <c r="CT141" i="3" s="1"/>
  <c r="CM13" i="3"/>
  <c r="CM14" i="3"/>
  <c r="CM143" i="3" s="1"/>
  <c r="CM15" i="3"/>
  <c r="CP15" i="3" s="1"/>
  <c r="CP144" i="3" s="1"/>
  <c r="CM16" i="3"/>
  <c r="CP16" i="3" s="1"/>
  <c r="CP145" i="3" s="1"/>
  <c r="CM17" i="3"/>
  <c r="CM18" i="3"/>
  <c r="CT18" i="3" s="1"/>
  <c r="CT147" i="3" s="1"/>
  <c r="CM19" i="3"/>
  <c r="CP19" i="3" s="1"/>
  <c r="CP148" i="3" s="1"/>
  <c r="CM20" i="3"/>
  <c r="CM21" i="3"/>
  <c r="CM150" i="3" s="1"/>
  <c r="CM22" i="3"/>
  <c r="CM151" i="3" s="1"/>
  <c r="CM23" i="3"/>
  <c r="CP23" i="3" s="1"/>
  <c r="CP152" i="3" s="1"/>
  <c r="CM24" i="3"/>
  <c r="CT24" i="3" s="1"/>
  <c r="CT153" i="3" s="1"/>
  <c r="CM25" i="3"/>
  <c r="CT25" i="3" s="1"/>
  <c r="CT154" i="3" s="1"/>
  <c r="CM26" i="3"/>
  <c r="CP26" i="3" s="1"/>
  <c r="CP155" i="3" s="1"/>
  <c r="CM27" i="3"/>
  <c r="CM156" i="3" s="1"/>
  <c r="CM28" i="3"/>
  <c r="CP28" i="3" s="1"/>
  <c r="CM29" i="3"/>
  <c r="CM158" i="3" s="1"/>
  <c r="CM30" i="3"/>
  <c r="CP30" i="3" s="1"/>
  <c r="CP159" i="3" s="1"/>
  <c r="CM31" i="3"/>
  <c r="CT31" i="3" s="1"/>
  <c r="CT160" i="3" s="1"/>
  <c r="CM32" i="3"/>
  <c r="CT32" i="3" s="1"/>
  <c r="CM6" i="3"/>
  <c r="CT6" i="3" s="1"/>
  <c r="CM5" i="3"/>
  <c r="CT5" i="3" s="1"/>
  <c r="CB6" i="3"/>
  <c r="CE6" i="3" s="1"/>
  <c r="CE135" i="3" s="1"/>
  <c r="CB7" i="3"/>
  <c r="CB136" i="3" s="1"/>
  <c r="CB8" i="3"/>
  <c r="CB9" i="3"/>
  <c r="CB138" i="3" s="1"/>
  <c r="CB10" i="3"/>
  <c r="CI10" i="3" s="1"/>
  <c r="CI139" i="3" s="1"/>
  <c r="CB11" i="3"/>
  <c r="CI11" i="3" s="1"/>
  <c r="CI140" i="3" s="1"/>
  <c r="CB12" i="3"/>
  <c r="CB13" i="3"/>
  <c r="CE13" i="3" s="1"/>
  <c r="CE142" i="3" s="1"/>
  <c r="CB14" i="3"/>
  <c r="CE14" i="3" s="1"/>
  <c r="CE143" i="3" s="1"/>
  <c r="CB15" i="3"/>
  <c r="CE15" i="3" s="1"/>
  <c r="CE144" i="3" s="1"/>
  <c r="CB16" i="3"/>
  <c r="CI16" i="3" s="1"/>
  <c r="CI145" i="3" s="1"/>
  <c r="CB17" i="3"/>
  <c r="CB18" i="3"/>
  <c r="CB19" i="3"/>
  <c r="CB148" i="3" s="1"/>
  <c r="CB20" i="3"/>
  <c r="CI20" i="3" s="1"/>
  <c r="CI149" i="3" s="1"/>
  <c r="CB21" i="3"/>
  <c r="CI21" i="3" s="1"/>
  <c r="CB22" i="3"/>
  <c r="CI22" i="3" s="1"/>
  <c r="CI151" i="3" s="1"/>
  <c r="CB23" i="3"/>
  <c r="CB152" i="3" s="1"/>
  <c r="CB24" i="3"/>
  <c r="CB153" i="3" s="1"/>
  <c r="CB25" i="3"/>
  <c r="CB154" i="3" s="1"/>
  <c r="CB26" i="3"/>
  <c r="CB155" i="3" s="1"/>
  <c r="CB27" i="3"/>
  <c r="CE27" i="3" s="1"/>
  <c r="CB28" i="3"/>
  <c r="CI28" i="3" s="1"/>
  <c r="CB29" i="3"/>
  <c r="CE29" i="3" s="1"/>
  <c r="CE158" i="3" s="1"/>
  <c r="CB30" i="3"/>
  <c r="CB159" i="3" s="1"/>
  <c r="CB31" i="3"/>
  <c r="CI31" i="3" s="1"/>
  <c r="CB32" i="3"/>
  <c r="CB161" i="3" s="1"/>
  <c r="CB5" i="3"/>
  <c r="CB134" i="3" s="1"/>
  <c r="BQ6" i="3"/>
  <c r="BX6" i="3" s="1"/>
  <c r="BX135" i="3" s="1"/>
  <c r="BQ7" i="3"/>
  <c r="BX7" i="3" s="1"/>
  <c r="BX136" i="3" s="1"/>
  <c r="BQ8" i="3"/>
  <c r="BX8" i="3" s="1"/>
  <c r="BX137" i="3" s="1"/>
  <c r="BQ9" i="3"/>
  <c r="BQ138" i="3" s="1"/>
  <c r="BQ10" i="3"/>
  <c r="BT10" i="3" s="1"/>
  <c r="BT139" i="3" s="1"/>
  <c r="BQ11" i="3"/>
  <c r="BT11" i="3" s="1"/>
  <c r="BT140" i="3" s="1"/>
  <c r="BQ12" i="3"/>
  <c r="BQ141" i="3" s="1"/>
  <c r="BQ13" i="3"/>
  <c r="BX13" i="3" s="1"/>
  <c r="BX142" i="3" s="1"/>
  <c r="BQ14" i="3"/>
  <c r="BX14" i="3" s="1"/>
  <c r="BQ15" i="3"/>
  <c r="BT15" i="3" s="1"/>
  <c r="BT144" i="3" s="1"/>
  <c r="BQ16" i="3"/>
  <c r="BQ17" i="3"/>
  <c r="BQ146" i="3" s="1"/>
  <c r="BQ18" i="3"/>
  <c r="BT18" i="3" s="1"/>
  <c r="BT147" i="3" s="1"/>
  <c r="BQ19" i="3"/>
  <c r="BX19" i="3" s="1"/>
  <c r="BX148" i="3" s="1"/>
  <c r="BQ20" i="3"/>
  <c r="BQ21" i="3"/>
  <c r="BT21" i="3" s="1"/>
  <c r="BT150" i="3" s="1"/>
  <c r="BQ22" i="3"/>
  <c r="BX22" i="3" s="1"/>
  <c r="BQ23" i="3"/>
  <c r="BT23" i="3" s="1"/>
  <c r="BQ24" i="3"/>
  <c r="BQ153" i="3" s="1"/>
  <c r="BQ25" i="3"/>
  <c r="BT25" i="3" s="1"/>
  <c r="BT154" i="3" s="1"/>
  <c r="BQ26" i="3"/>
  <c r="BQ155" i="3" s="1"/>
  <c r="BQ27" i="3"/>
  <c r="BQ156" i="3" s="1"/>
  <c r="BQ28" i="3"/>
  <c r="BQ29" i="3"/>
  <c r="BQ158" i="3" s="1"/>
  <c r="BQ30" i="3"/>
  <c r="BQ159" i="3" s="1"/>
  <c r="BQ31" i="3"/>
  <c r="BQ160" i="3" s="1"/>
  <c r="BQ32" i="3"/>
  <c r="BQ5" i="3"/>
  <c r="BT5" i="3" s="1"/>
  <c r="BF7" i="3"/>
  <c r="BF136" i="3" s="1"/>
  <c r="BF8" i="3"/>
  <c r="BF137" i="3" s="1"/>
  <c r="BF9" i="3"/>
  <c r="BM9" i="3" s="1"/>
  <c r="BF10" i="3"/>
  <c r="BF11" i="3"/>
  <c r="BI11" i="3" s="1"/>
  <c r="BI140" i="3" s="1"/>
  <c r="BF12" i="3"/>
  <c r="BI12" i="3" s="1"/>
  <c r="BI141" i="3" s="1"/>
  <c r="BF13" i="3"/>
  <c r="BM13" i="3" s="1"/>
  <c r="BF14" i="3"/>
  <c r="BI14" i="3" s="1"/>
  <c r="BI143" i="3" s="1"/>
  <c r="BF15" i="3"/>
  <c r="BM15" i="3" s="1"/>
  <c r="BF16" i="3"/>
  <c r="BM16" i="3" s="1"/>
  <c r="BM145" i="3" s="1"/>
  <c r="BF17" i="3"/>
  <c r="BF18" i="3"/>
  <c r="BI18" i="3" s="1"/>
  <c r="BI147" i="3" s="1"/>
  <c r="BF19" i="3"/>
  <c r="BI19" i="3" s="1"/>
  <c r="BI148" i="3" s="1"/>
  <c r="BF20" i="3"/>
  <c r="BM20" i="3" s="1"/>
  <c r="BM149" i="3" s="1"/>
  <c r="BF21" i="3"/>
  <c r="BF150" i="3" s="1"/>
  <c r="BF22" i="3"/>
  <c r="BM22" i="3" s="1"/>
  <c r="BF23" i="3"/>
  <c r="BI23" i="3" s="1"/>
  <c r="BF24" i="3"/>
  <c r="BI24" i="3" s="1"/>
  <c r="BF25" i="3"/>
  <c r="BF26" i="3"/>
  <c r="BM26" i="3" s="1"/>
  <c r="BM155" i="3" s="1"/>
  <c r="BF27" i="3"/>
  <c r="BI27" i="3" s="1"/>
  <c r="BF28" i="3"/>
  <c r="BF157" i="3" s="1"/>
  <c r="BF29" i="3"/>
  <c r="BM29" i="3" s="1"/>
  <c r="BM158" i="3" s="1"/>
  <c r="BF30" i="3"/>
  <c r="BI30" i="3" s="1"/>
  <c r="BF31" i="3"/>
  <c r="BM31" i="3" s="1"/>
  <c r="BM160" i="3" s="1"/>
  <c r="BF32" i="3"/>
  <c r="BF161" i="3" s="1"/>
  <c r="BF6" i="3"/>
  <c r="BI6" i="3" s="1"/>
  <c r="BI135" i="3" s="1"/>
  <c r="BF5" i="3"/>
  <c r="BI5" i="3" s="1"/>
  <c r="BI134" i="3" s="1"/>
  <c r="AU6" i="3"/>
  <c r="AX6" i="3" s="1"/>
  <c r="AU7" i="3"/>
  <c r="AU136" i="3" s="1"/>
  <c r="AU8" i="3"/>
  <c r="AX8" i="3" s="1"/>
  <c r="AU9" i="3"/>
  <c r="AU138" i="3" s="1"/>
  <c r="AU10" i="3"/>
  <c r="AX10" i="3" s="1"/>
  <c r="AX139" i="3" s="1"/>
  <c r="AU11" i="3"/>
  <c r="AU140" i="3" s="1"/>
  <c r="AU12" i="3"/>
  <c r="BB12" i="3" s="1"/>
  <c r="BB141" i="3" s="1"/>
  <c r="AU13" i="3"/>
  <c r="AU142" i="3" s="1"/>
  <c r="AU14" i="3"/>
  <c r="BB14" i="3" s="1"/>
  <c r="AU15" i="3"/>
  <c r="AU144" i="3" s="1"/>
  <c r="AU16" i="3"/>
  <c r="AU145" i="3" s="1"/>
  <c r="AU17" i="3"/>
  <c r="BB17" i="3" s="1"/>
  <c r="BB146" i="3" s="1"/>
  <c r="AU18" i="3"/>
  <c r="AU19" i="3"/>
  <c r="AU20" i="3"/>
  <c r="AU149" i="3" s="1"/>
  <c r="AU21" i="3"/>
  <c r="AU150" i="3" s="1"/>
  <c r="AU22" i="3"/>
  <c r="AU23" i="3"/>
  <c r="AX23" i="3" s="1"/>
  <c r="AX152" i="3" s="1"/>
  <c r="AU24" i="3"/>
  <c r="BB24" i="3" s="1"/>
  <c r="BB153" i="3" s="1"/>
  <c r="AU25" i="3"/>
  <c r="BB25" i="3" s="1"/>
  <c r="AU26" i="3"/>
  <c r="AX26" i="3" s="1"/>
  <c r="AX155" i="3" s="1"/>
  <c r="AU27" i="3"/>
  <c r="AX27" i="3" s="1"/>
  <c r="AX156" i="3" s="1"/>
  <c r="AU28" i="3"/>
  <c r="AU157" i="3" s="1"/>
  <c r="AU29" i="3"/>
  <c r="BB29" i="3" s="1"/>
  <c r="BB158" i="3" s="1"/>
  <c r="AU30" i="3"/>
  <c r="AU31" i="3"/>
  <c r="BB31" i="3" s="1"/>
  <c r="BB160" i="3" s="1"/>
  <c r="AU32" i="3"/>
  <c r="AU5" i="3"/>
  <c r="AX5" i="3" s="1"/>
  <c r="AX134" i="3" s="1"/>
  <c r="AJ6" i="3"/>
  <c r="AQ6" i="3" s="1"/>
  <c r="AQ135" i="3" s="1"/>
  <c r="AJ7" i="3"/>
  <c r="AJ136" i="3" s="1"/>
  <c r="AJ8" i="3"/>
  <c r="AJ9" i="3"/>
  <c r="AM9" i="3" s="1"/>
  <c r="AJ10" i="3"/>
  <c r="AQ10" i="3" s="1"/>
  <c r="AQ139" i="3" s="1"/>
  <c r="AJ11" i="3"/>
  <c r="AQ11" i="3" s="1"/>
  <c r="AQ140" i="3" s="1"/>
  <c r="AJ12" i="3"/>
  <c r="AQ12" i="3" s="1"/>
  <c r="AQ141" i="3" s="1"/>
  <c r="AJ13" i="3"/>
  <c r="AQ13" i="3" s="1"/>
  <c r="AQ142" i="3" s="1"/>
  <c r="AJ14" i="3"/>
  <c r="AJ15" i="3"/>
  <c r="AM15" i="3" s="1"/>
  <c r="AM144" i="3" s="1"/>
  <c r="AJ16" i="3"/>
  <c r="AM16" i="3" s="1"/>
  <c r="AM145" i="3" s="1"/>
  <c r="AJ17" i="3"/>
  <c r="AM17" i="3" s="1"/>
  <c r="AM146" i="3" s="1"/>
  <c r="AJ18" i="3"/>
  <c r="AQ18" i="3" s="1"/>
  <c r="AQ147" i="3" s="1"/>
  <c r="AJ19" i="3"/>
  <c r="AJ20" i="3"/>
  <c r="AJ149" i="3" s="1"/>
  <c r="AJ21" i="3"/>
  <c r="AQ21" i="3" s="1"/>
  <c r="AQ150" i="3" s="1"/>
  <c r="AJ22" i="3"/>
  <c r="AJ151" i="3" s="1"/>
  <c r="AJ23" i="3"/>
  <c r="AM23" i="3" s="1"/>
  <c r="AJ24" i="3"/>
  <c r="AJ153" i="3" s="1"/>
  <c r="AJ25" i="3"/>
  <c r="AJ26" i="3"/>
  <c r="AJ27" i="3"/>
  <c r="AQ27" i="3" s="1"/>
  <c r="AQ156" i="3" s="1"/>
  <c r="AJ28" i="3"/>
  <c r="AJ157" i="3" s="1"/>
  <c r="AJ29" i="3"/>
  <c r="AQ29" i="3" s="1"/>
  <c r="AJ30" i="3"/>
  <c r="AQ30" i="3" s="1"/>
  <c r="AQ159" i="3" s="1"/>
  <c r="AJ31" i="3"/>
  <c r="AQ31" i="3" s="1"/>
  <c r="AQ160" i="3" s="1"/>
  <c r="AJ32" i="3"/>
  <c r="AJ161" i="3" s="1"/>
  <c r="AJ5" i="3"/>
  <c r="AQ5" i="3" s="1"/>
  <c r="AQ134" i="3" s="1"/>
  <c r="AB32" i="3"/>
  <c r="AB161" i="3" s="1"/>
  <c r="U32" i="3"/>
  <c r="U161" i="3" s="1"/>
  <c r="V32" i="3"/>
  <c r="V161" i="3" s="1"/>
  <c r="C32" i="3"/>
  <c r="B160" i="3"/>
  <c r="F160" i="3"/>
  <c r="I160" i="3"/>
  <c r="M160" i="3"/>
  <c r="N160" i="3"/>
  <c r="O160" i="3"/>
  <c r="P160" i="3"/>
  <c r="Q160" i="3"/>
  <c r="R160" i="3"/>
  <c r="S160" i="3"/>
  <c r="T160" i="3"/>
  <c r="Z160" i="3"/>
  <c r="AA160" i="3"/>
  <c r="AI160" i="3"/>
  <c r="AK160" i="3"/>
  <c r="AL160" i="3"/>
  <c r="AO160" i="3"/>
  <c r="AP160" i="3"/>
  <c r="AT160" i="3"/>
  <c r="AV160" i="3"/>
  <c r="AW160" i="3"/>
  <c r="AZ160" i="3"/>
  <c r="BA160" i="3"/>
  <c r="BE160" i="3"/>
  <c r="BG160" i="3"/>
  <c r="BH160" i="3"/>
  <c r="BK160" i="3"/>
  <c r="BL160" i="3"/>
  <c r="BP160" i="3"/>
  <c r="BR160" i="3"/>
  <c r="BS160" i="3"/>
  <c r="BV160" i="3"/>
  <c r="BW160" i="3"/>
  <c r="CA160" i="3"/>
  <c r="CD160" i="3"/>
  <c r="CG160" i="3"/>
  <c r="CH160" i="3"/>
  <c r="CL160" i="3"/>
  <c r="CN160" i="3"/>
  <c r="CO160" i="3"/>
  <c r="CR160" i="3"/>
  <c r="CS160" i="3"/>
  <c r="DE160" i="3"/>
  <c r="DF160" i="3"/>
  <c r="DG160" i="3"/>
  <c r="DI160" i="3"/>
  <c r="DK160" i="3"/>
  <c r="DL160" i="3"/>
  <c r="DN160" i="3"/>
  <c r="DO160" i="3"/>
  <c r="DP160" i="3"/>
  <c r="DT160" i="3"/>
  <c r="DU160" i="3"/>
  <c r="DV160" i="3"/>
  <c r="DX160" i="3"/>
  <c r="DZ160" i="3"/>
  <c r="EA160" i="3"/>
  <c r="EC160" i="3"/>
  <c r="ED160" i="3"/>
  <c r="EE160" i="3"/>
  <c r="EE159" i="3"/>
  <c r="ED159" i="3"/>
  <c r="EC159" i="3"/>
  <c r="EA159" i="3"/>
  <c r="DZ159" i="3"/>
  <c r="DX159" i="3"/>
  <c r="DV159" i="3"/>
  <c r="DU159" i="3"/>
  <c r="DT159" i="3"/>
  <c r="EE158" i="3"/>
  <c r="ED158" i="3"/>
  <c r="EC158" i="3"/>
  <c r="EA158" i="3"/>
  <c r="DZ158" i="3"/>
  <c r="DX158" i="3"/>
  <c r="DV158" i="3"/>
  <c r="DU158" i="3"/>
  <c r="DT158" i="3"/>
  <c r="EE157" i="3"/>
  <c r="ED157" i="3"/>
  <c r="EC157" i="3"/>
  <c r="EA157" i="3"/>
  <c r="DZ157" i="3"/>
  <c r="DX157" i="3"/>
  <c r="DV157" i="3"/>
  <c r="DU157" i="3"/>
  <c r="DT157" i="3"/>
  <c r="EE156" i="3"/>
  <c r="ED156" i="3"/>
  <c r="EC156" i="3"/>
  <c r="EA156" i="3"/>
  <c r="DZ156" i="3"/>
  <c r="DX156" i="3"/>
  <c r="DV156" i="3"/>
  <c r="DU156" i="3"/>
  <c r="DT156" i="3"/>
  <c r="EE155" i="3"/>
  <c r="ED155" i="3"/>
  <c r="EC155" i="3"/>
  <c r="EA155" i="3"/>
  <c r="DZ155" i="3"/>
  <c r="DX155" i="3"/>
  <c r="DV155" i="3"/>
  <c r="DU155" i="3"/>
  <c r="DT155" i="3"/>
  <c r="EE154" i="3"/>
  <c r="ED154" i="3"/>
  <c r="EC154" i="3"/>
  <c r="EA154" i="3"/>
  <c r="DZ154" i="3"/>
  <c r="DX154" i="3"/>
  <c r="DV154" i="3"/>
  <c r="DU154" i="3"/>
  <c r="DT154" i="3"/>
  <c r="EE153" i="3"/>
  <c r="ED153" i="3"/>
  <c r="EC153" i="3"/>
  <c r="EA153" i="3"/>
  <c r="DZ153" i="3"/>
  <c r="DX153" i="3"/>
  <c r="DV153" i="3"/>
  <c r="DU153" i="3"/>
  <c r="DT153" i="3"/>
  <c r="EE152" i="3"/>
  <c r="ED152" i="3"/>
  <c r="EC152" i="3"/>
  <c r="EA152" i="3"/>
  <c r="DZ152" i="3"/>
  <c r="DX152" i="3"/>
  <c r="DV152" i="3"/>
  <c r="DU152" i="3"/>
  <c r="DT152" i="3"/>
  <c r="EE151" i="3"/>
  <c r="ED151" i="3"/>
  <c r="EC151" i="3"/>
  <c r="EA151" i="3"/>
  <c r="DZ151" i="3"/>
  <c r="DX151" i="3"/>
  <c r="DV151" i="3"/>
  <c r="DU151" i="3"/>
  <c r="DT151" i="3"/>
  <c r="EE150" i="3"/>
  <c r="ED150" i="3"/>
  <c r="EC150" i="3"/>
  <c r="EA150" i="3"/>
  <c r="DZ150" i="3"/>
  <c r="DX150" i="3"/>
  <c r="DV150" i="3"/>
  <c r="DU150" i="3"/>
  <c r="DT150" i="3"/>
  <c r="EE149" i="3"/>
  <c r="ED149" i="3"/>
  <c r="EC149" i="3"/>
  <c r="EA149" i="3"/>
  <c r="DZ149" i="3"/>
  <c r="DX149" i="3"/>
  <c r="DV149" i="3"/>
  <c r="DU149" i="3"/>
  <c r="DT149" i="3"/>
  <c r="EE148" i="3"/>
  <c r="ED148" i="3"/>
  <c r="EC148" i="3"/>
  <c r="EA148" i="3"/>
  <c r="DZ148" i="3"/>
  <c r="DW148" i="3"/>
  <c r="DV148" i="3"/>
  <c r="DT148" i="3"/>
  <c r="EE147" i="3"/>
  <c r="ED147" i="3"/>
  <c r="EC147" i="3"/>
  <c r="EA147" i="3"/>
  <c r="DZ147" i="3"/>
  <c r="DX147" i="3"/>
  <c r="DV147" i="3"/>
  <c r="DU147" i="3"/>
  <c r="DT147" i="3"/>
  <c r="EE146" i="3"/>
  <c r="ED146" i="3"/>
  <c r="EC146" i="3"/>
  <c r="EA146" i="3"/>
  <c r="DZ146" i="3"/>
  <c r="DX146" i="3"/>
  <c r="DV146" i="3"/>
  <c r="DU146" i="3"/>
  <c r="DT146" i="3"/>
  <c r="EE145" i="3"/>
  <c r="ED145" i="3"/>
  <c r="EC145" i="3"/>
  <c r="EA145" i="3"/>
  <c r="DZ145" i="3"/>
  <c r="DX145" i="3"/>
  <c r="DV145" i="3"/>
  <c r="DU145" i="3"/>
  <c r="DT145" i="3"/>
  <c r="EE144" i="3"/>
  <c r="ED144" i="3"/>
  <c r="EC144" i="3"/>
  <c r="EA144" i="3"/>
  <c r="DZ144" i="3"/>
  <c r="DX144" i="3"/>
  <c r="DV144" i="3"/>
  <c r="DU144" i="3"/>
  <c r="DT144" i="3"/>
  <c r="EE143" i="3"/>
  <c r="ED143" i="3"/>
  <c r="EC143" i="3"/>
  <c r="EA143" i="3"/>
  <c r="DZ143" i="3"/>
  <c r="DX143" i="3"/>
  <c r="DV143" i="3"/>
  <c r="DU143" i="3"/>
  <c r="DT143" i="3"/>
  <c r="EE142" i="3"/>
  <c r="ED142" i="3"/>
  <c r="EC142" i="3"/>
  <c r="EA142" i="3"/>
  <c r="DZ142" i="3"/>
  <c r="DX142" i="3"/>
  <c r="DV142" i="3"/>
  <c r="DU142" i="3"/>
  <c r="DT142" i="3"/>
  <c r="EE141" i="3"/>
  <c r="ED141" i="3"/>
  <c r="EC141" i="3"/>
  <c r="EA141" i="3"/>
  <c r="DZ141" i="3"/>
  <c r="DX141" i="3"/>
  <c r="DV141" i="3"/>
  <c r="DU141" i="3"/>
  <c r="DT141" i="3"/>
  <c r="EE140" i="3"/>
  <c r="ED140" i="3"/>
  <c r="EC140" i="3"/>
  <c r="EA140" i="3"/>
  <c r="DZ140" i="3"/>
  <c r="DX140" i="3"/>
  <c r="DV140" i="3"/>
  <c r="DU140" i="3"/>
  <c r="DT140" i="3"/>
  <c r="EE139" i="3"/>
  <c r="ED139" i="3"/>
  <c r="EC139" i="3"/>
  <c r="EA139" i="3"/>
  <c r="DZ139" i="3"/>
  <c r="DX139" i="3"/>
  <c r="DV139" i="3"/>
  <c r="DU139" i="3"/>
  <c r="DT139" i="3"/>
  <c r="EE138" i="3"/>
  <c r="ED138" i="3"/>
  <c r="EC138" i="3"/>
  <c r="EA138" i="3"/>
  <c r="DZ138" i="3"/>
  <c r="DX138" i="3"/>
  <c r="DV138" i="3"/>
  <c r="DU138" i="3"/>
  <c r="DT138" i="3"/>
  <c r="EE137" i="3"/>
  <c r="ED137" i="3"/>
  <c r="EC137" i="3"/>
  <c r="EA137" i="3"/>
  <c r="DZ137" i="3"/>
  <c r="DX137" i="3"/>
  <c r="DV137" i="3"/>
  <c r="DU137" i="3"/>
  <c r="DT137" i="3"/>
  <c r="EE136" i="3"/>
  <c r="ED136" i="3"/>
  <c r="EC136" i="3"/>
  <c r="EA136" i="3"/>
  <c r="DZ136" i="3"/>
  <c r="DX136" i="3"/>
  <c r="DV136" i="3"/>
  <c r="DU136" i="3"/>
  <c r="DT136" i="3"/>
  <c r="EE135" i="3"/>
  <c r="ED135" i="3"/>
  <c r="EC135" i="3"/>
  <c r="EA135" i="3"/>
  <c r="DZ135" i="3"/>
  <c r="DX135" i="3"/>
  <c r="DV135" i="3"/>
  <c r="DU135" i="3"/>
  <c r="DT135" i="3"/>
  <c r="EE134" i="3"/>
  <c r="ED134" i="3"/>
  <c r="EC134" i="3"/>
  <c r="EA134" i="3"/>
  <c r="DZ134" i="3"/>
  <c r="DX134" i="3"/>
  <c r="DV134" i="3"/>
  <c r="DU134" i="3"/>
  <c r="DT134" i="3"/>
  <c r="DP159" i="3"/>
  <c r="DO159" i="3"/>
  <c r="DN159" i="3"/>
  <c r="DL159" i="3"/>
  <c r="DK159" i="3"/>
  <c r="DI159" i="3"/>
  <c r="DG159" i="3"/>
  <c r="DF159" i="3"/>
  <c r="DE159" i="3"/>
  <c r="DP158" i="3"/>
  <c r="DO158" i="3"/>
  <c r="DN158" i="3"/>
  <c r="DL158" i="3"/>
  <c r="DK158" i="3"/>
  <c r="DI158" i="3"/>
  <c r="DG158" i="3"/>
  <c r="DF158" i="3"/>
  <c r="DE158" i="3"/>
  <c r="DP157" i="3"/>
  <c r="DO157" i="3"/>
  <c r="DN157" i="3"/>
  <c r="DL157" i="3"/>
  <c r="DK157" i="3"/>
  <c r="DI157" i="3"/>
  <c r="DG157" i="3"/>
  <c r="DF157" i="3"/>
  <c r="DE157" i="3"/>
  <c r="DP156" i="3"/>
  <c r="DO156" i="3"/>
  <c r="DN156" i="3"/>
  <c r="DL156" i="3"/>
  <c r="DK156" i="3"/>
  <c r="DI156" i="3"/>
  <c r="DG156" i="3"/>
  <c r="DF156" i="3"/>
  <c r="DE156" i="3"/>
  <c r="DP155" i="3"/>
  <c r="DO155" i="3"/>
  <c r="DN155" i="3"/>
  <c r="DL155" i="3"/>
  <c r="DK155" i="3"/>
  <c r="DI155" i="3"/>
  <c r="DG155" i="3"/>
  <c r="DF155" i="3"/>
  <c r="DE155" i="3"/>
  <c r="DP154" i="3"/>
  <c r="DO154" i="3"/>
  <c r="DN154" i="3"/>
  <c r="DL154" i="3"/>
  <c r="DK154" i="3"/>
  <c r="DI154" i="3"/>
  <c r="DG154" i="3"/>
  <c r="DF154" i="3"/>
  <c r="DE154" i="3"/>
  <c r="DP153" i="3"/>
  <c r="DO153" i="3"/>
  <c r="DN153" i="3"/>
  <c r="DL153" i="3"/>
  <c r="DK153" i="3"/>
  <c r="DI153" i="3"/>
  <c r="DG153" i="3"/>
  <c r="DF153" i="3"/>
  <c r="DE153" i="3"/>
  <c r="DP152" i="3"/>
  <c r="DO152" i="3"/>
  <c r="DN152" i="3"/>
  <c r="DL152" i="3"/>
  <c r="DK152" i="3"/>
  <c r="DI152" i="3"/>
  <c r="DG152" i="3"/>
  <c r="DF152" i="3"/>
  <c r="DE152" i="3"/>
  <c r="DP151" i="3"/>
  <c r="DO151" i="3"/>
  <c r="DN151" i="3"/>
  <c r="DL151" i="3"/>
  <c r="DK151" i="3"/>
  <c r="DI151" i="3"/>
  <c r="DG151" i="3"/>
  <c r="DF151" i="3"/>
  <c r="DE151" i="3"/>
  <c r="DP150" i="3"/>
  <c r="DO150" i="3"/>
  <c r="DN150" i="3"/>
  <c r="DL150" i="3"/>
  <c r="DK150" i="3"/>
  <c r="DI150" i="3"/>
  <c r="DG150" i="3"/>
  <c r="DF150" i="3"/>
  <c r="DE150" i="3"/>
  <c r="DP149" i="3"/>
  <c r="DO149" i="3"/>
  <c r="DN149" i="3"/>
  <c r="DL149" i="3"/>
  <c r="DK149" i="3"/>
  <c r="DI149" i="3"/>
  <c r="DG149" i="3"/>
  <c r="DF149" i="3"/>
  <c r="DE149" i="3"/>
  <c r="DP148" i="3"/>
  <c r="DO148" i="3"/>
  <c r="DN148" i="3"/>
  <c r="DL148" i="3"/>
  <c r="DK148" i="3"/>
  <c r="DI148" i="3"/>
  <c r="DG148" i="3"/>
  <c r="DF148" i="3"/>
  <c r="DE148" i="3"/>
  <c r="DP147" i="3"/>
  <c r="DO147" i="3"/>
  <c r="DN147" i="3"/>
  <c r="DL147" i="3"/>
  <c r="DK147" i="3"/>
  <c r="DI147" i="3"/>
  <c r="DG147" i="3"/>
  <c r="DF147" i="3"/>
  <c r="DE147" i="3"/>
  <c r="DP146" i="3"/>
  <c r="DO146" i="3"/>
  <c r="DN146" i="3"/>
  <c r="DL146" i="3"/>
  <c r="DK146" i="3"/>
  <c r="DI146" i="3"/>
  <c r="DG146" i="3"/>
  <c r="DF146" i="3"/>
  <c r="DE146" i="3"/>
  <c r="DP145" i="3"/>
  <c r="DO145" i="3"/>
  <c r="DN145" i="3"/>
  <c r="DL145" i="3"/>
  <c r="DK145" i="3"/>
  <c r="DI145" i="3"/>
  <c r="DG145" i="3"/>
  <c r="DF145" i="3"/>
  <c r="DE145" i="3"/>
  <c r="DP144" i="3"/>
  <c r="DO144" i="3"/>
  <c r="DN144" i="3"/>
  <c r="DL144" i="3"/>
  <c r="DK144" i="3"/>
  <c r="DI144" i="3"/>
  <c r="DG144" i="3"/>
  <c r="DF144" i="3"/>
  <c r="DE144" i="3"/>
  <c r="DP143" i="3"/>
  <c r="DO143" i="3"/>
  <c r="DN143" i="3"/>
  <c r="DL143" i="3"/>
  <c r="DK143" i="3"/>
  <c r="DI143" i="3"/>
  <c r="DG143" i="3"/>
  <c r="DF143" i="3"/>
  <c r="DE143" i="3"/>
  <c r="DP142" i="3"/>
  <c r="DO142" i="3"/>
  <c r="DN142" i="3"/>
  <c r="DL142" i="3"/>
  <c r="DK142" i="3"/>
  <c r="DI142" i="3"/>
  <c r="DG142" i="3"/>
  <c r="DF142" i="3"/>
  <c r="DE142" i="3"/>
  <c r="DP141" i="3"/>
  <c r="DO141" i="3"/>
  <c r="DN141" i="3"/>
  <c r="DL141" i="3"/>
  <c r="DK141" i="3"/>
  <c r="DI141" i="3"/>
  <c r="DG141" i="3"/>
  <c r="DF141" i="3"/>
  <c r="DE141" i="3"/>
  <c r="DP140" i="3"/>
  <c r="DO140" i="3"/>
  <c r="DN140" i="3"/>
  <c r="DL140" i="3"/>
  <c r="DK140" i="3"/>
  <c r="DI140" i="3"/>
  <c r="DG140" i="3"/>
  <c r="DF140" i="3"/>
  <c r="DE140" i="3"/>
  <c r="DP139" i="3"/>
  <c r="DO139" i="3"/>
  <c r="DN139" i="3"/>
  <c r="DL139" i="3"/>
  <c r="DK139" i="3"/>
  <c r="DI139" i="3"/>
  <c r="DG139" i="3"/>
  <c r="DF139" i="3"/>
  <c r="DE139" i="3"/>
  <c r="DP138" i="3"/>
  <c r="DO138" i="3"/>
  <c r="DN138" i="3"/>
  <c r="DL138" i="3"/>
  <c r="DK138" i="3"/>
  <c r="DI138" i="3"/>
  <c r="DG138" i="3"/>
  <c r="DF138" i="3"/>
  <c r="DE138" i="3"/>
  <c r="DP137" i="3"/>
  <c r="DO137" i="3"/>
  <c r="DN137" i="3"/>
  <c r="DL137" i="3"/>
  <c r="DK137" i="3"/>
  <c r="DI137" i="3"/>
  <c r="DG137" i="3"/>
  <c r="DF137" i="3"/>
  <c r="DE137" i="3"/>
  <c r="DP136" i="3"/>
  <c r="DO136" i="3"/>
  <c r="DN136" i="3"/>
  <c r="DL136" i="3"/>
  <c r="DK136" i="3"/>
  <c r="DI136" i="3"/>
  <c r="DG136" i="3"/>
  <c r="DF136" i="3"/>
  <c r="DE136" i="3"/>
  <c r="DP135" i="3"/>
  <c r="DO135" i="3"/>
  <c r="DN135" i="3"/>
  <c r="DL135" i="3"/>
  <c r="DK135" i="3"/>
  <c r="DI135" i="3"/>
  <c r="DG135" i="3"/>
  <c r="DF135" i="3"/>
  <c r="DE135" i="3"/>
  <c r="DP134" i="3"/>
  <c r="DO134" i="3"/>
  <c r="DN134" i="3"/>
  <c r="DL134" i="3"/>
  <c r="DK134" i="3"/>
  <c r="DI134" i="3"/>
  <c r="DG134" i="3"/>
  <c r="DF134" i="3"/>
  <c r="DE134" i="3"/>
  <c r="CS159" i="3"/>
  <c r="CR159" i="3"/>
  <c r="CO159" i="3"/>
  <c r="CN159" i="3"/>
  <c r="CL159" i="3"/>
  <c r="CH159" i="3"/>
  <c r="CG159" i="3"/>
  <c r="CD159" i="3"/>
  <c r="CC159" i="3"/>
  <c r="CA159" i="3"/>
  <c r="BW159" i="3"/>
  <c r="BV159" i="3"/>
  <c r="BS159" i="3"/>
  <c r="BR159" i="3"/>
  <c r="BP159" i="3"/>
  <c r="BL159" i="3"/>
  <c r="BK159" i="3"/>
  <c r="BH159" i="3"/>
  <c r="BG159" i="3"/>
  <c r="BE159" i="3"/>
  <c r="BA159" i="3"/>
  <c r="AZ159" i="3"/>
  <c r="AW159" i="3"/>
  <c r="AV159" i="3"/>
  <c r="AT159" i="3"/>
  <c r="AP159" i="3"/>
  <c r="AO159" i="3"/>
  <c r="AL159" i="3"/>
  <c r="AK159" i="3"/>
  <c r="AI159" i="3"/>
  <c r="CS158" i="3"/>
  <c r="CR158" i="3"/>
  <c r="CO158" i="3"/>
  <c r="CN158" i="3"/>
  <c r="CL158" i="3"/>
  <c r="CH158" i="3"/>
  <c r="CG158" i="3"/>
  <c r="CD158" i="3"/>
  <c r="CC158" i="3"/>
  <c r="CA158" i="3"/>
  <c r="BW158" i="3"/>
  <c r="BV158" i="3"/>
  <c r="BS158" i="3"/>
  <c r="BR158" i="3"/>
  <c r="BP158" i="3"/>
  <c r="BL158" i="3"/>
  <c r="BK158" i="3"/>
  <c r="BH158" i="3"/>
  <c r="BG158" i="3"/>
  <c r="BE158" i="3"/>
  <c r="BA158" i="3"/>
  <c r="AZ158" i="3"/>
  <c r="AW158" i="3"/>
  <c r="AV158" i="3"/>
  <c r="AT158" i="3"/>
  <c r="AP158" i="3"/>
  <c r="AO158" i="3"/>
  <c r="AL158" i="3"/>
  <c r="AK158" i="3"/>
  <c r="AI158" i="3"/>
  <c r="CS157" i="3"/>
  <c r="CR157" i="3"/>
  <c r="CO157" i="3"/>
  <c r="CN157" i="3"/>
  <c r="CL157" i="3"/>
  <c r="CH157" i="3"/>
  <c r="CG157" i="3"/>
  <c r="CD157" i="3"/>
  <c r="CC157" i="3"/>
  <c r="CA157" i="3"/>
  <c r="BW157" i="3"/>
  <c r="BV157" i="3"/>
  <c r="BS157" i="3"/>
  <c r="BR157" i="3"/>
  <c r="BP157" i="3"/>
  <c r="BL157" i="3"/>
  <c r="BK157" i="3"/>
  <c r="BH157" i="3"/>
  <c r="BG157" i="3"/>
  <c r="BE157" i="3"/>
  <c r="BA157" i="3"/>
  <c r="AZ157" i="3"/>
  <c r="AW157" i="3"/>
  <c r="AV157" i="3"/>
  <c r="AT157" i="3"/>
  <c r="AP157" i="3"/>
  <c r="AO157" i="3"/>
  <c r="AL157" i="3"/>
  <c r="AK157" i="3"/>
  <c r="AI157" i="3"/>
  <c r="CS156" i="3"/>
  <c r="CR156" i="3"/>
  <c r="CO156" i="3"/>
  <c r="CN156" i="3"/>
  <c r="CL156" i="3"/>
  <c r="CH156" i="3"/>
  <c r="CG156" i="3"/>
  <c r="CD156" i="3"/>
  <c r="CC156" i="3"/>
  <c r="CA156" i="3"/>
  <c r="BW156" i="3"/>
  <c r="BV156" i="3"/>
  <c r="BS156" i="3"/>
  <c r="BR156" i="3"/>
  <c r="BP156" i="3"/>
  <c r="BL156" i="3"/>
  <c r="BK156" i="3"/>
  <c r="BH156" i="3"/>
  <c r="BG156" i="3"/>
  <c r="BE156" i="3"/>
  <c r="BA156" i="3"/>
  <c r="AZ156" i="3"/>
  <c r="AW156" i="3"/>
  <c r="AV156" i="3"/>
  <c r="AT156" i="3"/>
  <c r="AP156" i="3"/>
  <c r="AO156" i="3"/>
  <c r="AL156" i="3"/>
  <c r="AK156" i="3"/>
  <c r="AI156" i="3"/>
  <c r="CS155" i="3"/>
  <c r="CR155" i="3"/>
  <c r="CO155" i="3"/>
  <c r="CN155" i="3"/>
  <c r="CL155" i="3"/>
  <c r="CH155" i="3"/>
  <c r="CG155" i="3"/>
  <c r="CD155" i="3"/>
  <c r="CC155" i="3"/>
  <c r="CA155" i="3"/>
  <c r="BW155" i="3"/>
  <c r="BV155" i="3"/>
  <c r="BS155" i="3"/>
  <c r="BR155" i="3"/>
  <c r="BP155" i="3"/>
  <c r="BL155" i="3"/>
  <c r="BK155" i="3"/>
  <c r="BH155" i="3"/>
  <c r="BG155" i="3"/>
  <c r="BE155" i="3"/>
  <c r="BA155" i="3"/>
  <c r="AZ155" i="3"/>
  <c r="AW155" i="3"/>
  <c r="AV155" i="3"/>
  <c r="AT155" i="3"/>
  <c r="AP155" i="3"/>
  <c r="AO155" i="3"/>
  <c r="AL155" i="3"/>
  <c r="AK155" i="3"/>
  <c r="AI155" i="3"/>
  <c r="CS154" i="3"/>
  <c r="CR154" i="3"/>
  <c r="CO154" i="3"/>
  <c r="CN154" i="3"/>
  <c r="CL154" i="3"/>
  <c r="CH154" i="3"/>
  <c r="CG154" i="3"/>
  <c r="CD154" i="3"/>
  <c r="CC154" i="3"/>
  <c r="CA154" i="3"/>
  <c r="BW154" i="3"/>
  <c r="BV154" i="3"/>
  <c r="BS154" i="3"/>
  <c r="BR154" i="3"/>
  <c r="BP154" i="3"/>
  <c r="BL154" i="3"/>
  <c r="BK154" i="3"/>
  <c r="BH154" i="3"/>
  <c r="BG154" i="3"/>
  <c r="BE154" i="3"/>
  <c r="BA154" i="3"/>
  <c r="AZ154" i="3"/>
  <c r="AW154" i="3"/>
  <c r="AV154" i="3"/>
  <c r="AT154" i="3"/>
  <c r="AP154" i="3"/>
  <c r="AO154" i="3"/>
  <c r="AL154" i="3"/>
  <c r="AK154" i="3"/>
  <c r="AI154" i="3"/>
  <c r="CS153" i="3"/>
  <c r="CR153" i="3"/>
  <c r="CO153" i="3"/>
  <c r="CN153" i="3"/>
  <c r="CL153" i="3"/>
  <c r="CH153" i="3"/>
  <c r="CG153" i="3"/>
  <c r="CD153" i="3"/>
  <c r="CC153" i="3"/>
  <c r="CA153" i="3"/>
  <c r="BW153" i="3"/>
  <c r="BV153" i="3"/>
  <c r="BS153" i="3"/>
  <c r="BR153" i="3"/>
  <c r="BP153" i="3"/>
  <c r="BL153" i="3"/>
  <c r="BK153" i="3"/>
  <c r="BH153" i="3"/>
  <c r="BG153" i="3"/>
  <c r="BE153" i="3"/>
  <c r="BA153" i="3"/>
  <c r="AZ153" i="3"/>
  <c r="AW153" i="3"/>
  <c r="AV153" i="3"/>
  <c r="AT153" i="3"/>
  <c r="AP153" i="3"/>
  <c r="AO153" i="3"/>
  <c r="AL153" i="3"/>
  <c r="AK153" i="3"/>
  <c r="AI153" i="3"/>
  <c r="CS152" i="3"/>
  <c r="CR152" i="3"/>
  <c r="CO152" i="3"/>
  <c r="CN152" i="3"/>
  <c r="CL152" i="3"/>
  <c r="CH152" i="3"/>
  <c r="CG152" i="3"/>
  <c r="CD152" i="3"/>
  <c r="CC152" i="3"/>
  <c r="CA152" i="3"/>
  <c r="BW152" i="3"/>
  <c r="BV152" i="3"/>
  <c r="BS152" i="3"/>
  <c r="BR152" i="3"/>
  <c r="BP152" i="3"/>
  <c r="BL152" i="3"/>
  <c r="BK152" i="3"/>
  <c r="BH152" i="3"/>
  <c r="BG152" i="3"/>
  <c r="BE152" i="3"/>
  <c r="BA152" i="3"/>
  <c r="AZ152" i="3"/>
  <c r="AW152" i="3"/>
  <c r="AV152" i="3"/>
  <c r="AT152" i="3"/>
  <c r="AP152" i="3"/>
  <c r="AO152" i="3"/>
  <c r="AL152" i="3"/>
  <c r="AK152" i="3"/>
  <c r="AI152" i="3"/>
  <c r="CS151" i="3"/>
  <c r="CR151" i="3"/>
  <c r="CO151" i="3"/>
  <c r="CN151" i="3"/>
  <c r="CL151" i="3"/>
  <c r="CH151" i="3"/>
  <c r="CG151" i="3"/>
  <c r="CD151" i="3"/>
  <c r="CC151" i="3"/>
  <c r="CA151" i="3"/>
  <c r="BW151" i="3"/>
  <c r="BV151" i="3"/>
  <c r="BS151" i="3"/>
  <c r="BR151" i="3"/>
  <c r="BP151" i="3"/>
  <c r="BL151" i="3"/>
  <c r="BK151" i="3"/>
  <c r="BH151" i="3"/>
  <c r="BG151" i="3"/>
  <c r="BE151" i="3"/>
  <c r="BA151" i="3"/>
  <c r="AZ151" i="3"/>
  <c r="AW151" i="3"/>
  <c r="AV151" i="3"/>
  <c r="AT151" i="3"/>
  <c r="AP151" i="3"/>
  <c r="AO151" i="3"/>
  <c r="AL151" i="3"/>
  <c r="AK151" i="3"/>
  <c r="AI151" i="3"/>
  <c r="CS150" i="3"/>
  <c r="CR150" i="3"/>
  <c r="CO150" i="3"/>
  <c r="CN150" i="3"/>
  <c r="CL150" i="3"/>
  <c r="CH150" i="3"/>
  <c r="CG150" i="3"/>
  <c r="CD150" i="3"/>
  <c r="CC150" i="3"/>
  <c r="CA150" i="3"/>
  <c r="BW150" i="3"/>
  <c r="BV150" i="3"/>
  <c r="BS150" i="3"/>
  <c r="BR150" i="3"/>
  <c r="BP150" i="3"/>
  <c r="BL150" i="3"/>
  <c r="BK150" i="3"/>
  <c r="BH150" i="3"/>
  <c r="BG150" i="3"/>
  <c r="BE150" i="3"/>
  <c r="BA150" i="3"/>
  <c r="AZ150" i="3"/>
  <c r="AW150" i="3"/>
  <c r="AV150" i="3"/>
  <c r="AT150" i="3"/>
  <c r="AP150" i="3"/>
  <c r="AO150" i="3"/>
  <c r="AL150" i="3"/>
  <c r="AK150" i="3"/>
  <c r="AI150" i="3"/>
  <c r="CS149" i="3"/>
  <c r="CR149" i="3"/>
  <c r="CO149" i="3"/>
  <c r="CN149" i="3"/>
  <c r="CL149" i="3"/>
  <c r="CH149" i="3"/>
  <c r="CG149" i="3"/>
  <c r="CD149" i="3"/>
  <c r="CC149" i="3"/>
  <c r="CA149" i="3"/>
  <c r="BW149" i="3"/>
  <c r="BV149" i="3"/>
  <c r="BS149" i="3"/>
  <c r="BR149" i="3"/>
  <c r="BP149" i="3"/>
  <c r="BL149" i="3"/>
  <c r="BK149" i="3"/>
  <c r="BH149" i="3"/>
  <c r="BG149" i="3"/>
  <c r="BE149" i="3"/>
  <c r="BA149" i="3"/>
  <c r="AZ149" i="3"/>
  <c r="AW149" i="3"/>
  <c r="AV149" i="3"/>
  <c r="AT149" i="3"/>
  <c r="AP149" i="3"/>
  <c r="AO149" i="3"/>
  <c r="AL149" i="3"/>
  <c r="AK149" i="3"/>
  <c r="AI149" i="3"/>
  <c r="CS148" i="3"/>
  <c r="CR148" i="3"/>
  <c r="CO148" i="3"/>
  <c r="CN148" i="3"/>
  <c r="CL148" i="3"/>
  <c r="CH148" i="3"/>
  <c r="CG148" i="3"/>
  <c r="CD148" i="3"/>
  <c r="CC148" i="3"/>
  <c r="CA148" i="3"/>
  <c r="BW148" i="3"/>
  <c r="BV148" i="3"/>
  <c r="BS148" i="3"/>
  <c r="BR148" i="3"/>
  <c r="BP148" i="3"/>
  <c r="BL148" i="3"/>
  <c r="BK148" i="3"/>
  <c r="BH148" i="3"/>
  <c r="BG148" i="3"/>
  <c r="BE148" i="3"/>
  <c r="BA148" i="3"/>
  <c r="AZ148" i="3"/>
  <c r="AW148" i="3"/>
  <c r="AV148" i="3"/>
  <c r="AT148" i="3"/>
  <c r="AP148" i="3"/>
  <c r="AO148" i="3"/>
  <c r="AL148" i="3"/>
  <c r="AK148" i="3"/>
  <c r="AI148" i="3"/>
  <c r="CS147" i="3"/>
  <c r="CR147" i="3"/>
  <c r="CO147" i="3"/>
  <c r="CN147" i="3"/>
  <c r="CL147" i="3"/>
  <c r="CH147" i="3"/>
  <c r="CG147" i="3"/>
  <c r="CD147" i="3"/>
  <c r="CC147" i="3"/>
  <c r="CA147" i="3"/>
  <c r="BW147" i="3"/>
  <c r="BV147" i="3"/>
  <c r="BS147" i="3"/>
  <c r="BR147" i="3"/>
  <c r="BP147" i="3"/>
  <c r="BL147" i="3"/>
  <c r="BK147" i="3"/>
  <c r="BH147" i="3"/>
  <c r="BG147" i="3"/>
  <c r="BE147" i="3"/>
  <c r="BA147" i="3"/>
  <c r="AZ147" i="3"/>
  <c r="AW147" i="3"/>
  <c r="AV147" i="3"/>
  <c r="AT147" i="3"/>
  <c r="AP147" i="3"/>
  <c r="AO147" i="3"/>
  <c r="AL147" i="3"/>
  <c r="AK147" i="3"/>
  <c r="AI147" i="3"/>
  <c r="CS146" i="3"/>
  <c r="CR146" i="3"/>
  <c r="CO146" i="3"/>
  <c r="CN146" i="3"/>
  <c r="CL146" i="3"/>
  <c r="CH146" i="3"/>
  <c r="CG146" i="3"/>
  <c r="CD146" i="3"/>
  <c r="CC146" i="3"/>
  <c r="CA146" i="3"/>
  <c r="BW146" i="3"/>
  <c r="BV146" i="3"/>
  <c r="BS146" i="3"/>
  <c r="BR146" i="3"/>
  <c r="BP146" i="3"/>
  <c r="BL146" i="3"/>
  <c r="BK146" i="3"/>
  <c r="BH146" i="3"/>
  <c r="BG146" i="3"/>
  <c r="BE146" i="3"/>
  <c r="BA146" i="3"/>
  <c r="AZ146" i="3"/>
  <c r="AW146" i="3"/>
  <c r="AV146" i="3"/>
  <c r="AT146" i="3"/>
  <c r="AP146" i="3"/>
  <c r="AO146" i="3"/>
  <c r="AL146" i="3"/>
  <c r="AK146" i="3"/>
  <c r="AI146" i="3"/>
  <c r="CS145" i="3"/>
  <c r="CR145" i="3"/>
  <c r="CO145" i="3"/>
  <c r="CN145" i="3"/>
  <c r="CL145" i="3"/>
  <c r="CH145" i="3"/>
  <c r="CG145" i="3"/>
  <c r="CD145" i="3"/>
  <c r="CC145" i="3"/>
  <c r="CA145" i="3"/>
  <c r="BW145" i="3"/>
  <c r="BV145" i="3"/>
  <c r="BS145" i="3"/>
  <c r="BR145" i="3"/>
  <c r="BP145" i="3"/>
  <c r="BL145" i="3"/>
  <c r="BK145" i="3"/>
  <c r="BH145" i="3"/>
  <c r="BG145" i="3"/>
  <c r="BE145" i="3"/>
  <c r="BA145" i="3"/>
  <c r="AZ145" i="3"/>
  <c r="AW145" i="3"/>
  <c r="AV145" i="3"/>
  <c r="AT145" i="3"/>
  <c r="AP145" i="3"/>
  <c r="AO145" i="3"/>
  <c r="AL145" i="3"/>
  <c r="AK145" i="3"/>
  <c r="AI145" i="3"/>
  <c r="CS144" i="3"/>
  <c r="CR144" i="3"/>
  <c r="CO144" i="3"/>
  <c r="CN144" i="3"/>
  <c r="CL144" i="3"/>
  <c r="CH144" i="3"/>
  <c r="CG144" i="3"/>
  <c r="CD144" i="3"/>
  <c r="CC144" i="3"/>
  <c r="CA144" i="3"/>
  <c r="BW144" i="3"/>
  <c r="BV144" i="3"/>
  <c r="BS144" i="3"/>
  <c r="BR144" i="3"/>
  <c r="BP144" i="3"/>
  <c r="BL144" i="3"/>
  <c r="BK144" i="3"/>
  <c r="BH144" i="3"/>
  <c r="BG144" i="3"/>
  <c r="BE144" i="3"/>
  <c r="BA144" i="3"/>
  <c r="AZ144" i="3"/>
  <c r="AW144" i="3"/>
  <c r="AV144" i="3"/>
  <c r="AT144" i="3"/>
  <c r="AP144" i="3"/>
  <c r="AO144" i="3"/>
  <c r="AL144" i="3"/>
  <c r="AK144" i="3"/>
  <c r="AI144" i="3"/>
  <c r="CS143" i="3"/>
  <c r="CR143" i="3"/>
  <c r="CO143" i="3"/>
  <c r="CN143" i="3"/>
  <c r="CL143" i="3"/>
  <c r="CH143" i="3"/>
  <c r="CG143" i="3"/>
  <c r="CD143" i="3"/>
  <c r="CC143" i="3"/>
  <c r="CA143" i="3"/>
  <c r="BW143" i="3"/>
  <c r="BV143" i="3"/>
  <c r="BS143" i="3"/>
  <c r="BR143" i="3"/>
  <c r="BP143" i="3"/>
  <c r="BL143" i="3"/>
  <c r="BK143" i="3"/>
  <c r="BH143" i="3"/>
  <c r="BG143" i="3"/>
  <c r="BE143" i="3"/>
  <c r="BA143" i="3"/>
  <c r="AZ143" i="3"/>
  <c r="AW143" i="3"/>
  <c r="AV143" i="3"/>
  <c r="AT143" i="3"/>
  <c r="AP143" i="3"/>
  <c r="AO143" i="3"/>
  <c r="AL143" i="3"/>
  <c r="AK143" i="3"/>
  <c r="AI143" i="3"/>
  <c r="CS142" i="3"/>
  <c r="CR142" i="3"/>
  <c r="CO142" i="3"/>
  <c r="CN142" i="3"/>
  <c r="CL142" i="3"/>
  <c r="CH142" i="3"/>
  <c r="CG142" i="3"/>
  <c r="CD142" i="3"/>
  <c r="CC142" i="3"/>
  <c r="CA142" i="3"/>
  <c r="BW142" i="3"/>
  <c r="BV142" i="3"/>
  <c r="BS142" i="3"/>
  <c r="BR142" i="3"/>
  <c r="BP142" i="3"/>
  <c r="BL142" i="3"/>
  <c r="BK142" i="3"/>
  <c r="BH142" i="3"/>
  <c r="BG142" i="3"/>
  <c r="BE142" i="3"/>
  <c r="BA142" i="3"/>
  <c r="AZ142" i="3"/>
  <c r="AW142" i="3"/>
  <c r="AV142" i="3"/>
  <c r="AT142" i="3"/>
  <c r="AP142" i="3"/>
  <c r="AO142" i="3"/>
  <c r="AL142" i="3"/>
  <c r="AK142" i="3"/>
  <c r="AI142" i="3"/>
  <c r="CS141" i="3"/>
  <c r="CR141" i="3"/>
  <c r="CO141" i="3"/>
  <c r="CN141" i="3"/>
  <c r="CL141" i="3"/>
  <c r="CH141" i="3"/>
  <c r="CG141" i="3"/>
  <c r="CD141" i="3"/>
  <c r="CC141" i="3"/>
  <c r="CA141" i="3"/>
  <c r="BW141" i="3"/>
  <c r="BV141" i="3"/>
  <c r="BS141" i="3"/>
  <c r="BR141" i="3"/>
  <c r="BP141" i="3"/>
  <c r="BL141" i="3"/>
  <c r="BK141" i="3"/>
  <c r="BH141" i="3"/>
  <c r="BG141" i="3"/>
  <c r="BE141" i="3"/>
  <c r="BA141" i="3"/>
  <c r="AZ141" i="3"/>
  <c r="AW141" i="3"/>
  <c r="AV141" i="3"/>
  <c r="AT141" i="3"/>
  <c r="AP141" i="3"/>
  <c r="AO141" i="3"/>
  <c r="AL141" i="3"/>
  <c r="AK141" i="3"/>
  <c r="AI141" i="3"/>
  <c r="CS140" i="3"/>
  <c r="CR140" i="3"/>
  <c r="CO140" i="3"/>
  <c r="CN140" i="3"/>
  <c r="CL140" i="3"/>
  <c r="CH140" i="3"/>
  <c r="CG140" i="3"/>
  <c r="CD140" i="3"/>
  <c r="CC140" i="3"/>
  <c r="CA140" i="3"/>
  <c r="BW140" i="3"/>
  <c r="BV140" i="3"/>
  <c r="BS140" i="3"/>
  <c r="BR140" i="3"/>
  <c r="BP140" i="3"/>
  <c r="BL140" i="3"/>
  <c r="BK140" i="3"/>
  <c r="BH140" i="3"/>
  <c r="BG140" i="3"/>
  <c r="BE140" i="3"/>
  <c r="BA140" i="3"/>
  <c r="AZ140" i="3"/>
  <c r="AW140" i="3"/>
  <c r="AV140" i="3"/>
  <c r="AT140" i="3"/>
  <c r="AP140" i="3"/>
  <c r="AO140" i="3"/>
  <c r="AL140" i="3"/>
  <c r="AK140" i="3"/>
  <c r="AI140" i="3"/>
  <c r="CS139" i="3"/>
  <c r="CR139" i="3"/>
  <c r="CO139" i="3"/>
  <c r="CN139" i="3"/>
  <c r="CL139" i="3"/>
  <c r="CH139" i="3"/>
  <c r="CG139" i="3"/>
  <c r="CD139" i="3"/>
  <c r="CC139" i="3"/>
  <c r="CA139" i="3"/>
  <c r="BW139" i="3"/>
  <c r="BV139" i="3"/>
  <c r="BS139" i="3"/>
  <c r="BR139" i="3"/>
  <c r="BP139" i="3"/>
  <c r="BL139" i="3"/>
  <c r="BK139" i="3"/>
  <c r="BH139" i="3"/>
  <c r="BG139" i="3"/>
  <c r="BE139" i="3"/>
  <c r="BA139" i="3"/>
  <c r="AZ139" i="3"/>
  <c r="AW139" i="3"/>
  <c r="AV139" i="3"/>
  <c r="AT139" i="3"/>
  <c r="AP139" i="3"/>
  <c r="AO139" i="3"/>
  <c r="AL139" i="3"/>
  <c r="AK139" i="3"/>
  <c r="AI139" i="3"/>
  <c r="CS138" i="3"/>
  <c r="CR138" i="3"/>
  <c r="CO138" i="3"/>
  <c r="CN138" i="3"/>
  <c r="CL138" i="3"/>
  <c r="CH138" i="3"/>
  <c r="CG138" i="3"/>
  <c r="CD138" i="3"/>
  <c r="CC138" i="3"/>
  <c r="CA138" i="3"/>
  <c r="BW138" i="3"/>
  <c r="BV138" i="3"/>
  <c r="BS138" i="3"/>
  <c r="BR138" i="3"/>
  <c r="BP138" i="3"/>
  <c r="BL138" i="3"/>
  <c r="BK138" i="3"/>
  <c r="BH138" i="3"/>
  <c r="BG138" i="3"/>
  <c r="BE138" i="3"/>
  <c r="BA138" i="3"/>
  <c r="AZ138" i="3"/>
  <c r="AW138" i="3"/>
  <c r="AV138" i="3"/>
  <c r="AT138" i="3"/>
  <c r="AP138" i="3"/>
  <c r="AO138" i="3"/>
  <c r="AL138" i="3"/>
  <c r="AK138" i="3"/>
  <c r="AI138" i="3"/>
  <c r="CS137" i="3"/>
  <c r="CR137" i="3"/>
  <c r="CO137" i="3"/>
  <c r="CN137" i="3"/>
  <c r="CL137" i="3"/>
  <c r="CH137" i="3"/>
  <c r="CG137" i="3"/>
  <c r="CD137" i="3"/>
  <c r="CC137" i="3"/>
  <c r="CA137" i="3"/>
  <c r="BW137" i="3"/>
  <c r="BV137" i="3"/>
  <c r="BS137" i="3"/>
  <c r="BR137" i="3"/>
  <c r="BP137" i="3"/>
  <c r="BL137" i="3"/>
  <c r="BK137" i="3"/>
  <c r="BH137" i="3"/>
  <c r="BG137" i="3"/>
  <c r="BE137" i="3"/>
  <c r="BA137" i="3"/>
  <c r="AZ137" i="3"/>
  <c r="AW137" i="3"/>
  <c r="AV137" i="3"/>
  <c r="AT137" i="3"/>
  <c r="AP137" i="3"/>
  <c r="AO137" i="3"/>
  <c r="AL137" i="3"/>
  <c r="AK137" i="3"/>
  <c r="AI137" i="3"/>
  <c r="CS136" i="3"/>
  <c r="CR136" i="3"/>
  <c r="CO136" i="3"/>
  <c r="CN136" i="3"/>
  <c r="CL136" i="3"/>
  <c r="CH136" i="3"/>
  <c r="CG136" i="3"/>
  <c r="CD136" i="3"/>
  <c r="CC136" i="3"/>
  <c r="CA136" i="3"/>
  <c r="BW136" i="3"/>
  <c r="BV136" i="3"/>
  <c r="BS136" i="3"/>
  <c r="BR136" i="3"/>
  <c r="BP136" i="3"/>
  <c r="BL136" i="3"/>
  <c r="BK136" i="3"/>
  <c r="BH136" i="3"/>
  <c r="BG136" i="3"/>
  <c r="BE136" i="3"/>
  <c r="BA136" i="3"/>
  <c r="AZ136" i="3"/>
  <c r="AW136" i="3"/>
  <c r="AV136" i="3"/>
  <c r="AT136" i="3"/>
  <c r="AP136" i="3"/>
  <c r="AO136" i="3"/>
  <c r="AL136" i="3"/>
  <c r="AK136" i="3"/>
  <c r="AI136" i="3"/>
  <c r="CS135" i="3"/>
  <c r="CR135" i="3"/>
  <c r="CO135" i="3"/>
  <c r="CN135" i="3"/>
  <c r="CL135" i="3"/>
  <c r="CH135" i="3"/>
  <c r="CG135" i="3"/>
  <c r="CD135" i="3"/>
  <c r="CC135" i="3"/>
  <c r="CA135" i="3"/>
  <c r="BW135" i="3"/>
  <c r="BV135" i="3"/>
  <c r="BS135" i="3"/>
  <c r="BR135" i="3"/>
  <c r="BP135" i="3"/>
  <c r="BL135" i="3"/>
  <c r="BK135" i="3"/>
  <c r="BH135" i="3"/>
  <c r="BG135" i="3"/>
  <c r="BE135" i="3"/>
  <c r="BA135" i="3"/>
  <c r="AZ135" i="3"/>
  <c r="AW135" i="3"/>
  <c r="AV135" i="3"/>
  <c r="AT135" i="3"/>
  <c r="AP135" i="3"/>
  <c r="AO135" i="3"/>
  <c r="AL135" i="3"/>
  <c r="AK135" i="3"/>
  <c r="AI135" i="3"/>
  <c r="CS134" i="3"/>
  <c r="CR134" i="3"/>
  <c r="CO134" i="3"/>
  <c r="CN134" i="3"/>
  <c r="CL134" i="3"/>
  <c r="CH134" i="3"/>
  <c r="CG134" i="3"/>
  <c r="CD134" i="3"/>
  <c r="CC134" i="3"/>
  <c r="CA134" i="3"/>
  <c r="BW134" i="3"/>
  <c r="BV134" i="3"/>
  <c r="BS134" i="3"/>
  <c r="BR134" i="3"/>
  <c r="BP134" i="3"/>
  <c r="BL134" i="3"/>
  <c r="BK134" i="3"/>
  <c r="BH134" i="3"/>
  <c r="BG134" i="3"/>
  <c r="BE134" i="3"/>
  <c r="BA134" i="3"/>
  <c r="AZ134" i="3"/>
  <c r="AW134" i="3"/>
  <c r="AV134" i="3"/>
  <c r="AT134" i="3"/>
  <c r="AP134" i="3"/>
  <c r="AO134" i="3"/>
  <c r="AL134" i="3"/>
  <c r="AK134" i="3"/>
  <c r="AI134" i="3"/>
  <c r="F134" i="3"/>
  <c r="I134" i="3"/>
  <c r="M134" i="3"/>
  <c r="N134" i="3"/>
  <c r="O134" i="3"/>
  <c r="P134" i="3"/>
  <c r="Q134" i="3"/>
  <c r="R134" i="3"/>
  <c r="S134" i="3"/>
  <c r="T134" i="3"/>
  <c r="Z134" i="3"/>
  <c r="AA134" i="3"/>
  <c r="F135" i="3"/>
  <c r="I135" i="3"/>
  <c r="M135" i="3"/>
  <c r="N135" i="3"/>
  <c r="O135" i="3"/>
  <c r="P135" i="3"/>
  <c r="Q135" i="3"/>
  <c r="R135" i="3"/>
  <c r="S135" i="3"/>
  <c r="T135" i="3"/>
  <c r="Z135" i="3"/>
  <c r="AA135" i="3"/>
  <c r="F136" i="3"/>
  <c r="I136" i="3"/>
  <c r="M136" i="3"/>
  <c r="N136" i="3"/>
  <c r="O136" i="3"/>
  <c r="P136" i="3"/>
  <c r="Q136" i="3"/>
  <c r="R136" i="3"/>
  <c r="S136" i="3"/>
  <c r="T136" i="3"/>
  <c r="Z136" i="3"/>
  <c r="AA136" i="3"/>
  <c r="F137" i="3"/>
  <c r="I137" i="3"/>
  <c r="M137" i="3"/>
  <c r="N137" i="3"/>
  <c r="O137" i="3"/>
  <c r="P137" i="3"/>
  <c r="Q137" i="3"/>
  <c r="R137" i="3"/>
  <c r="S137" i="3"/>
  <c r="T137" i="3"/>
  <c r="Z137" i="3"/>
  <c r="AA137" i="3"/>
  <c r="F138" i="3"/>
  <c r="I138" i="3"/>
  <c r="M138" i="3"/>
  <c r="N138" i="3"/>
  <c r="O138" i="3"/>
  <c r="P138" i="3"/>
  <c r="Q138" i="3"/>
  <c r="R138" i="3"/>
  <c r="S138" i="3"/>
  <c r="T138" i="3"/>
  <c r="Z138" i="3"/>
  <c r="AA138" i="3"/>
  <c r="F139" i="3"/>
  <c r="I139" i="3"/>
  <c r="M139" i="3"/>
  <c r="N139" i="3"/>
  <c r="O139" i="3"/>
  <c r="P139" i="3"/>
  <c r="Q139" i="3"/>
  <c r="R139" i="3"/>
  <c r="S139" i="3"/>
  <c r="T139" i="3"/>
  <c r="Z139" i="3"/>
  <c r="AA139" i="3"/>
  <c r="F140" i="3"/>
  <c r="I140" i="3"/>
  <c r="M140" i="3"/>
  <c r="N140" i="3"/>
  <c r="O140" i="3"/>
  <c r="P140" i="3"/>
  <c r="Q140" i="3"/>
  <c r="R140" i="3"/>
  <c r="S140" i="3"/>
  <c r="T140" i="3"/>
  <c r="Z140" i="3"/>
  <c r="AA140" i="3"/>
  <c r="F141" i="3"/>
  <c r="I141" i="3"/>
  <c r="M141" i="3"/>
  <c r="N141" i="3"/>
  <c r="O141" i="3"/>
  <c r="P141" i="3"/>
  <c r="Q141" i="3"/>
  <c r="R141" i="3"/>
  <c r="S141" i="3"/>
  <c r="T141" i="3"/>
  <c r="Z141" i="3"/>
  <c r="AA141" i="3"/>
  <c r="F142" i="3"/>
  <c r="I142" i="3"/>
  <c r="M142" i="3"/>
  <c r="N142" i="3"/>
  <c r="O142" i="3"/>
  <c r="P142" i="3"/>
  <c r="Q142" i="3"/>
  <c r="R142" i="3"/>
  <c r="S142" i="3"/>
  <c r="T142" i="3"/>
  <c r="Z142" i="3"/>
  <c r="AA142" i="3"/>
  <c r="F143" i="3"/>
  <c r="I143" i="3"/>
  <c r="M143" i="3"/>
  <c r="N143" i="3"/>
  <c r="O143" i="3"/>
  <c r="P143" i="3"/>
  <c r="Q143" i="3"/>
  <c r="R143" i="3"/>
  <c r="S143" i="3"/>
  <c r="T143" i="3"/>
  <c r="Z143" i="3"/>
  <c r="AA143" i="3"/>
  <c r="F144" i="3"/>
  <c r="I144" i="3"/>
  <c r="M144" i="3"/>
  <c r="N144" i="3"/>
  <c r="O144" i="3"/>
  <c r="P144" i="3"/>
  <c r="Q144" i="3"/>
  <c r="R144" i="3"/>
  <c r="S144" i="3"/>
  <c r="T144" i="3"/>
  <c r="Z144" i="3"/>
  <c r="AA144" i="3"/>
  <c r="F145" i="3"/>
  <c r="I145" i="3"/>
  <c r="M145" i="3"/>
  <c r="N145" i="3"/>
  <c r="O145" i="3"/>
  <c r="P145" i="3"/>
  <c r="Q145" i="3"/>
  <c r="R145" i="3"/>
  <c r="S145" i="3"/>
  <c r="T145" i="3"/>
  <c r="Z145" i="3"/>
  <c r="AA145" i="3"/>
  <c r="F146" i="3"/>
  <c r="I146" i="3"/>
  <c r="M146" i="3"/>
  <c r="N146" i="3"/>
  <c r="O146" i="3"/>
  <c r="P146" i="3"/>
  <c r="Q146" i="3"/>
  <c r="R146" i="3"/>
  <c r="S146" i="3"/>
  <c r="T146" i="3"/>
  <c r="Z146" i="3"/>
  <c r="AA146" i="3"/>
  <c r="F147" i="3"/>
  <c r="I147" i="3"/>
  <c r="M147" i="3"/>
  <c r="N147" i="3"/>
  <c r="O147" i="3"/>
  <c r="P147" i="3"/>
  <c r="Q147" i="3"/>
  <c r="R147" i="3"/>
  <c r="S147" i="3"/>
  <c r="T147" i="3"/>
  <c r="Z147" i="3"/>
  <c r="AA147" i="3"/>
  <c r="F148" i="3"/>
  <c r="I148" i="3"/>
  <c r="M148" i="3"/>
  <c r="N148" i="3"/>
  <c r="O148" i="3"/>
  <c r="P148" i="3"/>
  <c r="Q148" i="3"/>
  <c r="R148" i="3"/>
  <c r="S148" i="3"/>
  <c r="T148" i="3"/>
  <c r="Z148" i="3"/>
  <c r="AA148" i="3"/>
  <c r="F149" i="3"/>
  <c r="I149" i="3"/>
  <c r="M149" i="3"/>
  <c r="N149" i="3"/>
  <c r="O149" i="3"/>
  <c r="P149" i="3"/>
  <c r="Q149" i="3"/>
  <c r="R149" i="3"/>
  <c r="S149" i="3"/>
  <c r="T149" i="3"/>
  <c r="Z149" i="3"/>
  <c r="AA149" i="3"/>
  <c r="F150" i="3"/>
  <c r="I150" i="3"/>
  <c r="M150" i="3"/>
  <c r="N150" i="3"/>
  <c r="O150" i="3"/>
  <c r="P150" i="3"/>
  <c r="Q150" i="3"/>
  <c r="R150" i="3"/>
  <c r="S150" i="3"/>
  <c r="T150" i="3"/>
  <c r="Z150" i="3"/>
  <c r="AA150" i="3"/>
  <c r="F151" i="3"/>
  <c r="I151" i="3"/>
  <c r="M151" i="3"/>
  <c r="N151" i="3"/>
  <c r="O151" i="3"/>
  <c r="P151" i="3"/>
  <c r="Q151" i="3"/>
  <c r="R151" i="3"/>
  <c r="S151" i="3"/>
  <c r="T151" i="3"/>
  <c r="Z151" i="3"/>
  <c r="AA151" i="3"/>
  <c r="F152" i="3"/>
  <c r="I152" i="3"/>
  <c r="M152" i="3"/>
  <c r="N152" i="3"/>
  <c r="O152" i="3"/>
  <c r="P152" i="3"/>
  <c r="Q152" i="3"/>
  <c r="R152" i="3"/>
  <c r="S152" i="3"/>
  <c r="T152" i="3"/>
  <c r="Z152" i="3"/>
  <c r="AA152" i="3"/>
  <c r="F153" i="3"/>
  <c r="I153" i="3"/>
  <c r="M153" i="3"/>
  <c r="N153" i="3"/>
  <c r="O153" i="3"/>
  <c r="P153" i="3"/>
  <c r="Q153" i="3"/>
  <c r="R153" i="3"/>
  <c r="S153" i="3"/>
  <c r="T153" i="3"/>
  <c r="Z153" i="3"/>
  <c r="AA153" i="3"/>
  <c r="F154" i="3"/>
  <c r="I154" i="3"/>
  <c r="M154" i="3"/>
  <c r="N154" i="3"/>
  <c r="O154" i="3"/>
  <c r="P154" i="3"/>
  <c r="Q154" i="3"/>
  <c r="R154" i="3"/>
  <c r="S154" i="3"/>
  <c r="T154" i="3"/>
  <c r="Z154" i="3"/>
  <c r="AA154" i="3"/>
  <c r="F155" i="3"/>
  <c r="I155" i="3"/>
  <c r="M155" i="3"/>
  <c r="N155" i="3"/>
  <c r="O155" i="3"/>
  <c r="P155" i="3"/>
  <c r="Q155" i="3"/>
  <c r="R155" i="3"/>
  <c r="S155" i="3"/>
  <c r="T155" i="3"/>
  <c r="Z155" i="3"/>
  <c r="AA155" i="3"/>
  <c r="F156" i="3"/>
  <c r="I156" i="3"/>
  <c r="M156" i="3"/>
  <c r="N156" i="3"/>
  <c r="O156" i="3"/>
  <c r="P156" i="3"/>
  <c r="Q156" i="3"/>
  <c r="R156" i="3"/>
  <c r="S156" i="3"/>
  <c r="T156" i="3"/>
  <c r="Z156" i="3"/>
  <c r="AA156" i="3"/>
  <c r="F157" i="3"/>
  <c r="I157" i="3"/>
  <c r="M157" i="3"/>
  <c r="N157" i="3"/>
  <c r="O157" i="3"/>
  <c r="P157" i="3"/>
  <c r="Q157" i="3"/>
  <c r="R157" i="3"/>
  <c r="S157" i="3"/>
  <c r="T157" i="3"/>
  <c r="Z157" i="3"/>
  <c r="AA157" i="3"/>
  <c r="F158" i="3"/>
  <c r="I158" i="3"/>
  <c r="M158" i="3"/>
  <c r="N158" i="3"/>
  <c r="O158" i="3"/>
  <c r="P158" i="3"/>
  <c r="Q158" i="3"/>
  <c r="R158" i="3"/>
  <c r="S158" i="3"/>
  <c r="T158" i="3"/>
  <c r="Z158" i="3"/>
  <c r="AA158" i="3"/>
  <c r="F159" i="3"/>
  <c r="I159" i="3"/>
  <c r="M159" i="3"/>
  <c r="N159" i="3"/>
  <c r="O159" i="3"/>
  <c r="P159" i="3"/>
  <c r="Q159" i="3"/>
  <c r="R159" i="3"/>
  <c r="S159" i="3"/>
  <c r="T159" i="3"/>
  <c r="Z159" i="3"/>
  <c r="AA159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34" i="3"/>
  <c r="AA130" i="3"/>
  <c r="Z130" i="3"/>
  <c r="AB6" i="3"/>
  <c r="AB135" i="3" s="1"/>
  <c r="AB7" i="3"/>
  <c r="AB136" i="3" s="1"/>
  <c r="AB8" i="3"/>
  <c r="AB137" i="3" s="1"/>
  <c r="AB9" i="3"/>
  <c r="AB138" i="3" s="1"/>
  <c r="AB10" i="3"/>
  <c r="AB139" i="3" s="1"/>
  <c r="AB11" i="3"/>
  <c r="AB140" i="3" s="1"/>
  <c r="AB12" i="3"/>
  <c r="AB141" i="3" s="1"/>
  <c r="AB13" i="3"/>
  <c r="AB142" i="3" s="1"/>
  <c r="AB14" i="3"/>
  <c r="AB143" i="3" s="1"/>
  <c r="AB15" i="3"/>
  <c r="AB144" i="3" s="1"/>
  <c r="AB16" i="3"/>
  <c r="AB145" i="3" s="1"/>
  <c r="AB17" i="3"/>
  <c r="AB146" i="3" s="1"/>
  <c r="AB18" i="3"/>
  <c r="AB147" i="3" s="1"/>
  <c r="AB19" i="3"/>
  <c r="AB148" i="3" s="1"/>
  <c r="AB20" i="3"/>
  <c r="AB149" i="3" s="1"/>
  <c r="AB21" i="3"/>
  <c r="AB150" i="3" s="1"/>
  <c r="AB22" i="3"/>
  <c r="AB151" i="3" s="1"/>
  <c r="AB23" i="3"/>
  <c r="AB152" i="3" s="1"/>
  <c r="AB24" i="3"/>
  <c r="AB153" i="3" s="1"/>
  <c r="AB25" i="3"/>
  <c r="AB154" i="3" s="1"/>
  <c r="AB26" i="3"/>
  <c r="AB155" i="3" s="1"/>
  <c r="AB27" i="3"/>
  <c r="AB156" i="3" s="1"/>
  <c r="AB28" i="3"/>
  <c r="AB157" i="3" s="1"/>
  <c r="AB29" i="3"/>
  <c r="AB158" i="3" s="1"/>
  <c r="AB30" i="3"/>
  <c r="AB31" i="3"/>
  <c r="AB160" i="3" s="1"/>
  <c r="AB5" i="3"/>
  <c r="AB134" i="3" s="1"/>
  <c r="V6" i="3"/>
  <c r="V135" i="3" s="1"/>
  <c r="V7" i="3"/>
  <c r="V136" i="3" s="1"/>
  <c r="T538" i="1" s="1"/>
  <c r="V8" i="3"/>
  <c r="V137" i="3" s="1"/>
  <c r="T539" i="1" s="1"/>
  <c r="V9" i="3"/>
  <c r="V138" i="3" s="1"/>
  <c r="V10" i="3"/>
  <c r="V139" i="3" s="1"/>
  <c r="V11" i="3"/>
  <c r="V140" i="3" s="1"/>
  <c r="T542" i="1" s="1"/>
  <c r="V12" i="3"/>
  <c r="V141" i="3" s="1"/>
  <c r="T543" i="1" s="1"/>
  <c r="V13" i="3"/>
  <c r="V142" i="3" s="1"/>
  <c r="T544" i="1" s="1"/>
  <c r="V14" i="3"/>
  <c r="V143" i="3" s="1"/>
  <c r="T545" i="1" s="1"/>
  <c r="V15" i="3"/>
  <c r="V144" i="3" s="1"/>
  <c r="T546" i="1" s="1"/>
  <c r="V16" i="3"/>
  <c r="V145" i="3" s="1"/>
  <c r="V17" i="3"/>
  <c r="V146" i="3" s="1"/>
  <c r="V18" i="3"/>
  <c r="V147" i="3" s="1"/>
  <c r="V19" i="3"/>
  <c r="V148" i="3" s="1"/>
  <c r="V20" i="3"/>
  <c r="V149" i="3" s="1"/>
  <c r="V21" i="3"/>
  <c r="V150" i="3" s="1"/>
  <c r="V22" i="3"/>
  <c r="V151" i="3" s="1"/>
  <c r="V23" i="3"/>
  <c r="V152" i="3" s="1"/>
  <c r="V24" i="3"/>
  <c r="V153" i="3" s="1"/>
  <c r="V25" i="3"/>
  <c r="V154" i="3" s="1"/>
  <c r="V26" i="3"/>
  <c r="V155" i="3" s="1"/>
  <c r="V27" i="3"/>
  <c r="V156" i="3" s="1"/>
  <c r="V28" i="3"/>
  <c r="V157" i="3" s="1"/>
  <c r="V29" i="3"/>
  <c r="V158" i="3" s="1"/>
  <c r="V30" i="3"/>
  <c r="V159" i="3" s="1"/>
  <c r="V31" i="3"/>
  <c r="V160" i="3" s="1"/>
  <c r="V5" i="3"/>
  <c r="V134" i="3" s="1"/>
  <c r="U6" i="3"/>
  <c r="U135" i="3" s="1"/>
  <c r="U7" i="3"/>
  <c r="U136" i="3" s="1"/>
  <c r="U8" i="3"/>
  <c r="U137" i="3" s="1"/>
  <c r="U9" i="3"/>
  <c r="U138" i="3" s="1"/>
  <c r="U10" i="3"/>
  <c r="U139" i="3" s="1"/>
  <c r="U11" i="3"/>
  <c r="U140" i="3" s="1"/>
  <c r="U12" i="3"/>
  <c r="U141" i="3" s="1"/>
  <c r="U13" i="3"/>
  <c r="U142" i="3" s="1"/>
  <c r="U14" i="3"/>
  <c r="U143" i="3" s="1"/>
  <c r="U15" i="3"/>
  <c r="U144" i="3" s="1"/>
  <c r="U16" i="3"/>
  <c r="U145" i="3" s="1"/>
  <c r="U17" i="3"/>
  <c r="U146" i="3" s="1"/>
  <c r="U18" i="3"/>
  <c r="U147" i="3" s="1"/>
  <c r="U19" i="3"/>
  <c r="U148" i="3" s="1"/>
  <c r="U20" i="3"/>
  <c r="U149" i="3" s="1"/>
  <c r="U21" i="3"/>
  <c r="U150" i="3" s="1"/>
  <c r="U22" i="3"/>
  <c r="U151" i="3" s="1"/>
  <c r="U23" i="3"/>
  <c r="U152" i="3" s="1"/>
  <c r="U24" i="3"/>
  <c r="U153" i="3" s="1"/>
  <c r="U25" i="3"/>
  <c r="U154" i="3" s="1"/>
  <c r="U26" i="3"/>
  <c r="U155" i="3" s="1"/>
  <c r="U27" i="3"/>
  <c r="U156" i="3" s="1"/>
  <c r="U28" i="3"/>
  <c r="U157" i="3" s="1"/>
  <c r="U29" i="3"/>
  <c r="U158" i="3" s="1"/>
  <c r="U30" i="3"/>
  <c r="U159" i="3" s="1"/>
  <c r="U31" i="3"/>
  <c r="U160" i="3" s="1"/>
  <c r="U5" i="3"/>
  <c r="U134" i="3" s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5" i="3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50" i="1"/>
  <c r="H250" i="1" s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H260" i="1" s="1"/>
  <c r="F261" i="1"/>
  <c r="H261" i="1" s="1"/>
  <c r="F262" i="1"/>
  <c r="H262" i="1" s="1"/>
  <c r="F263" i="1"/>
  <c r="H263" i="1" s="1"/>
  <c r="F264" i="1"/>
  <c r="H264" i="1" s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H273" i="1" s="1"/>
  <c r="F274" i="1"/>
  <c r="H274" i="1" s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H306" i="1" s="1"/>
  <c r="F307" i="1"/>
  <c r="H307" i="1" s="1"/>
  <c r="F308" i="1"/>
  <c r="H308" i="1" s="1"/>
  <c r="F309" i="1"/>
  <c r="H309" i="1" s="1"/>
  <c r="F310" i="1"/>
  <c r="H310" i="1" s="1"/>
  <c r="F311" i="1"/>
  <c r="H311" i="1" s="1"/>
  <c r="F312" i="1"/>
  <c r="H312" i="1" s="1"/>
  <c r="F313" i="1"/>
  <c r="H313" i="1" s="1"/>
  <c r="F314" i="1"/>
  <c r="H314" i="1" s="1"/>
  <c r="F315" i="1"/>
  <c r="H315" i="1" s="1"/>
  <c r="F316" i="1"/>
  <c r="H316" i="1" s="1"/>
  <c r="F317" i="1"/>
  <c r="H317" i="1" s="1"/>
  <c r="F318" i="1"/>
  <c r="H318" i="1" s="1"/>
  <c r="F319" i="1"/>
  <c r="H319" i="1" s="1"/>
  <c r="F320" i="1"/>
  <c r="H320" i="1" s="1"/>
  <c r="F321" i="1"/>
  <c r="H321" i="1" s="1"/>
  <c r="F322" i="1"/>
  <c r="H322" i="1" s="1"/>
  <c r="F323" i="1"/>
  <c r="H323" i="1" s="1"/>
  <c r="F324" i="1"/>
  <c r="H324" i="1" s="1"/>
  <c r="F325" i="1"/>
  <c r="H325" i="1" s="1"/>
  <c r="F326" i="1"/>
  <c r="H326" i="1" s="1"/>
  <c r="F327" i="1"/>
  <c r="H327" i="1" s="1"/>
  <c r="F328" i="1"/>
  <c r="H328" i="1" s="1"/>
  <c r="F329" i="1"/>
  <c r="H329" i="1" s="1"/>
  <c r="F330" i="1"/>
  <c r="H330" i="1" s="1"/>
  <c r="F331" i="1"/>
  <c r="H331" i="1" s="1"/>
  <c r="F332" i="1"/>
  <c r="H332" i="1" s="1"/>
  <c r="F333" i="1"/>
  <c r="H333" i="1" s="1"/>
  <c r="F334" i="1"/>
  <c r="H334" i="1" s="1"/>
  <c r="F335" i="1"/>
  <c r="H335" i="1" s="1"/>
  <c r="F336" i="1"/>
  <c r="H336" i="1" s="1"/>
  <c r="F337" i="1"/>
  <c r="H337" i="1" s="1"/>
  <c r="F338" i="1"/>
  <c r="H338" i="1" s="1"/>
  <c r="F339" i="1"/>
  <c r="H339" i="1" s="1"/>
  <c r="F340" i="1"/>
  <c r="H340" i="1" s="1"/>
  <c r="F341" i="1"/>
  <c r="H341" i="1" s="1"/>
  <c r="F342" i="1"/>
  <c r="H342" i="1" s="1"/>
  <c r="F343" i="1"/>
  <c r="H343" i="1" s="1"/>
  <c r="F344" i="1"/>
  <c r="H344" i="1" s="1"/>
  <c r="F345" i="1"/>
  <c r="H345" i="1" s="1"/>
  <c r="F346" i="1"/>
  <c r="H346" i="1" s="1"/>
  <c r="F347" i="1"/>
  <c r="H347" i="1" s="1"/>
  <c r="F348" i="1"/>
  <c r="H348" i="1" s="1"/>
  <c r="F349" i="1"/>
  <c r="H349" i="1" s="1"/>
  <c r="F350" i="1"/>
  <c r="H350" i="1" s="1"/>
  <c r="F351" i="1"/>
  <c r="H351" i="1" s="1"/>
  <c r="F352" i="1"/>
  <c r="H352" i="1" s="1"/>
  <c r="F353" i="1"/>
  <c r="H353" i="1" s="1"/>
  <c r="F354" i="1"/>
  <c r="H354" i="1" s="1"/>
  <c r="F355" i="1"/>
  <c r="H355" i="1" s="1"/>
  <c r="F356" i="1"/>
  <c r="H356" i="1" s="1"/>
  <c r="F357" i="1"/>
  <c r="H357" i="1" s="1"/>
  <c r="F358" i="1"/>
  <c r="H358" i="1" s="1"/>
  <c r="F359" i="1"/>
  <c r="H359" i="1" s="1"/>
  <c r="F360" i="1"/>
  <c r="H360" i="1" s="1"/>
  <c r="F361" i="1"/>
  <c r="H361" i="1" s="1"/>
  <c r="F362" i="1"/>
  <c r="H362" i="1" s="1"/>
  <c r="F363" i="1"/>
  <c r="H363" i="1" s="1"/>
  <c r="F364" i="1"/>
  <c r="H364" i="1" s="1"/>
  <c r="F365" i="1"/>
  <c r="H365" i="1" s="1"/>
  <c r="F366" i="1"/>
  <c r="H366" i="1" s="1"/>
  <c r="F367" i="1"/>
  <c r="H367" i="1" s="1"/>
  <c r="F368" i="1"/>
  <c r="H368" i="1" s="1"/>
  <c r="F369" i="1"/>
  <c r="H369" i="1" s="1"/>
  <c r="F370" i="1"/>
  <c r="H370" i="1" s="1"/>
  <c r="F371" i="1"/>
  <c r="H371" i="1" s="1"/>
  <c r="F372" i="1"/>
  <c r="H372" i="1" s="1"/>
  <c r="F373" i="1"/>
  <c r="H373" i="1" s="1"/>
  <c r="F374" i="1"/>
  <c r="H374" i="1" s="1"/>
  <c r="F375" i="1"/>
  <c r="H375" i="1" s="1"/>
  <c r="F376" i="1"/>
  <c r="H376" i="1" s="1"/>
  <c r="F377" i="1"/>
  <c r="H377" i="1" s="1"/>
  <c r="F378" i="1"/>
  <c r="H378" i="1" s="1"/>
  <c r="F379" i="1"/>
  <c r="H379" i="1" s="1"/>
  <c r="F380" i="1"/>
  <c r="H380" i="1" s="1"/>
  <c r="F381" i="1"/>
  <c r="H381" i="1" s="1"/>
  <c r="F382" i="1"/>
  <c r="H382" i="1" s="1"/>
  <c r="F383" i="1"/>
  <c r="H383" i="1" s="1"/>
  <c r="F384" i="1"/>
  <c r="H384" i="1" s="1"/>
  <c r="F385" i="1"/>
  <c r="H385" i="1" s="1"/>
  <c r="F386" i="1"/>
  <c r="H386" i="1" s="1"/>
  <c r="F387" i="1"/>
  <c r="H387" i="1" s="1"/>
  <c r="F388" i="1"/>
  <c r="H388" i="1" s="1"/>
  <c r="F389" i="1"/>
  <c r="H389" i="1" s="1"/>
  <c r="F390" i="1"/>
  <c r="H390" i="1" s="1"/>
  <c r="F391" i="1"/>
  <c r="H391" i="1" s="1"/>
  <c r="F392" i="1"/>
  <c r="H392" i="1" s="1"/>
  <c r="F393" i="1"/>
  <c r="H393" i="1" s="1"/>
  <c r="F394" i="1"/>
  <c r="H394" i="1" s="1"/>
  <c r="F395" i="1"/>
  <c r="H395" i="1" s="1"/>
  <c r="F396" i="1"/>
  <c r="H396" i="1" s="1"/>
  <c r="F397" i="1"/>
  <c r="H397" i="1" s="1"/>
  <c r="F398" i="1"/>
  <c r="H398" i="1" s="1"/>
  <c r="F399" i="1"/>
  <c r="H399" i="1" s="1"/>
  <c r="F400" i="1"/>
  <c r="H400" i="1" s="1"/>
  <c r="F401" i="1"/>
  <c r="H401" i="1" s="1"/>
  <c r="F402" i="1"/>
  <c r="H402" i="1" s="1"/>
  <c r="F403" i="1"/>
  <c r="H403" i="1" s="1"/>
  <c r="F404" i="1"/>
  <c r="H404" i="1" s="1"/>
  <c r="F405" i="1"/>
  <c r="H405" i="1" s="1"/>
  <c r="F406" i="1"/>
  <c r="H406" i="1" s="1"/>
  <c r="F407" i="1"/>
  <c r="H407" i="1" s="1"/>
  <c r="F408" i="1"/>
  <c r="H408" i="1" s="1"/>
  <c r="F409" i="1"/>
  <c r="H409" i="1" s="1"/>
  <c r="F410" i="1"/>
  <c r="H410" i="1" s="1"/>
  <c r="F411" i="1"/>
  <c r="H411" i="1" s="1"/>
  <c r="F412" i="1"/>
  <c r="H412" i="1" s="1"/>
  <c r="F413" i="1"/>
  <c r="H413" i="1" s="1"/>
  <c r="F414" i="1"/>
  <c r="H414" i="1" s="1"/>
  <c r="F415" i="1"/>
  <c r="H415" i="1" s="1"/>
  <c r="F416" i="1"/>
  <c r="H416" i="1" s="1"/>
  <c r="F417" i="1"/>
  <c r="H417" i="1" s="1"/>
  <c r="F418" i="1"/>
  <c r="H418" i="1" s="1"/>
  <c r="F419" i="1"/>
  <c r="H419" i="1" s="1"/>
  <c r="F420" i="1"/>
  <c r="H420" i="1" s="1"/>
  <c r="F421" i="1"/>
  <c r="H421" i="1" s="1"/>
  <c r="F422" i="1"/>
  <c r="H422" i="1" s="1"/>
  <c r="F423" i="1"/>
  <c r="H423" i="1" s="1"/>
  <c r="F424" i="1"/>
  <c r="H424" i="1" s="1"/>
  <c r="F425" i="1"/>
  <c r="H425" i="1" s="1"/>
  <c r="F426" i="1"/>
  <c r="H426" i="1" s="1"/>
  <c r="F427" i="1"/>
  <c r="H427" i="1" s="1"/>
  <c r="F428" i="1"/>
  <c r="H428" i="1" s="1"/>
  <c r="F429" i="1"/>
  <c r="H429" i="1" s="1"/>
  <c r="F430" i="1"/>
  <c r="H430" i="1" s="1"/>
  <c r="F431" i="1"/>
  <c r="H431" i="1" s="1"/>
  <c r="F432" i="1"/>
  <c r="H432" i="1" s="1"/>
  <c r="F433" i="1"/>
  <c r="H433" i="1" s="1"/>
  <c r="F434" i="1"/>
  <c r="H434" i="1" s="1"/>
  <c r="F435" i="1"/>
  <c r="H435" i="1" s="1"/>
  <c r="F436" i="1"/>
  <c r="H436" i="1" s="1"/>
  <c r="F437" i="1"/>
  <c r="H437" i="1" s="1"/>
  <c r="F438" i="1"/>
  <c r="H438" i="1" s="1"/>
  <c r="F439" i="1"/>
  <c r="H439" i="1" s="1"/>
  <c r="F440" i="1"/>
  <c r="H440" i="1" s="1"/>
  <c r="F441" i="1"/>
  <c r="H441" i="1" s="1"/>
  <c r="F442" i="1"/>
  <c r="H442" i="1" s="1"/>
  <c r="F443" i="1"/>
  <c r="H443" i="1" s="1"/>
  <c r="F444" i="1"/>
  <c r="H444" i="1" s="1"/>
  <c r="F445" i="1"/>
  <c r="H445" i="1" s="1"/>
  <c r="F446" i="1"/>
  <c r="H446" i="1" s="1"/>
  <c r="F447" i="1"/>
  <c r="H447" i="1" s="1"/>
  <c r="F448" i="1"/>
  <c r="H448" i="1" s="1"/>
  <c r="F449" i="1"/>
  <c r="H449" i="1" s="1"/>
  <c r="F450" i="1"/>
  <c r="H450" i="1" s="1"/>
  <c r="F451" i="1"/>
  <c r="H451" i="1" s="1"/>
  <c r="F452" i="1"/>
  <c r="H452" i="1" s="1"/>
  <c r="F453" i="1"/>
  <c r="H453" i="1" s="1"/>
  <c r="F454" i="1"/>
  <c r="H454" i="1" s="1"/>
  <c r="F455" i="1"/>
  <c r="H455" i="1" s="1"/>
  <c r="F456" i="1"/>
  <c r="H456" i="1" s="1"/>
  <c r="F457" i="1"/>
  <c r="H457" i="1" s="1"/>
  <c r="F458" i="1"/>
  <c r="H458" i="1" s="1"/>
  <c r="F459" i="1"/>
  <c r="H459" i="1" s="1"/>
  <c r="F461" i="1"/>
  <c r="H461" i="1" s="1"/>
  <c r="F463" i="1"/>
  <c r="H463" i="1" s="1"/>
  <c r="F465" i="1"/>
  <c r="H465" i="1" s="1"/>
  <c r="F466" i="1"/>
  <c r="H466" i="1" s="1"/>
  <c r="F467" i="1"/>
  <c r="H467" i="1" s="1"/>
  <c r="F468" i="1"/>
  <c r="H468" i="1" s="1"/>
  <c r="F469" i="1"/>
  <c r="H469" i="1" s="1"/>
  <c r="F470" i="1"/>
  <c r="H470" i="1" s="1"/>
  <c r="F472" i="1"/>
  <c r="F473" i="1"/>
  <c r="F475" i="1"/>
  <c r="F477" i="1"/>
  <c r="F478" i="1"/>
  <c r="F479" i="1"/>
  <c r="F480" i="1"/>
  <c r="F481" i="1"/>
  <c r="F482" i="1"/>
  <c r="F483" i="1"/>
  <c r="F485" i="1"/>
  <c r="F486" i="1"/>
  <c r="F487" i="1"/>
  <c r="F490" i="1"/>
  <c r="F493" i="1"/>
  <c r="F494" i="1"/>
  <c r="F495" i="1"/>
  <c r="F496" i="1"/>
  <c r="F497" i="1"/>
  <c r="F498" i="1"/>
  <c r="F501" i="1"/>
  <c r="F502" i="1"/>
  <c r="F503" i="1"/>
  <c r="F504" i="1"/>
  <c r="F505" i="1"/>
  <c r="F27" i="1"/>
  <c r="H27" i="1" s="1"/>
  <c r="AE7" i="1"/>
  <c r="AF7" i="1" s="1"/>
  <c r="AE8" i="1"/>
  <c r="AG8" i="1" s="1"/>
  <c r="AE9" i="1"/>
  <c r="AF9" i="1" s="1"/>
  <c r="AE10" i="1"/>
  <c r="AG10" i="1" s="1"/>
  <c r="AE11" i="1"/>
  <c r="AF11" i="1" s="1"/>
  <c r="AE12" i="1"/>
  <c r="AF12" i="1" s="1"/>
  <c r="AE13" i="1"/>
  <c r="AF13" i="1" s="1"/>
  <c r="AE14" i="1"/>
  <c r="AF14" i="1" s="1"/>
  <c r="AE15" i="1"/>
  <c r="AG15" i="1" s="1"/>
  <c r="AE16" i="1"/>
  <c r="AG16" i="1" s="1"/>
  <c r="AE17" i="1"/>
  <c r="AG17" i="1" s="1"/>
  <c r="AE18" i="1"/>
  <c r="AG18" i="1" s="1"/>
  <c r="AE19" i="1"/>
  <c r="AG19" i="1" s="1"/>
  <c r="AE20" i="1"/>
  <c r="AF20" i="1" s="1"/>
  <c r="AE21" i="1"/>
  <c r="AF21" i="1" s="1"/>
  <c r="AE22" i="1"/>
  <c r="AG22" i="1" s="1"/>
  <c r="AE23" i="1"/>
  <c r="AF23" i="1" s="1"/>
  <c r="AE24" i="1"/>
  <c r="AF24" i="1" s="1"/>
  <c r="AE25" i="1"/>
  <c r="AG25" i="1" s="1"/>
  <c r="AE26" i="1"/>
  <c r="AG26" i="1" s="1"/>
  <c r="AE27" i="1"/>
  <c r="AF27" i="1" s="1"/>
  <c r="AE28" i="1"/>
  <c r="AG28" i="1" s="1"/>
  <c r="AE29" i="1"/>
  <c r="AF29" i="1" s="1"/>
  <c r="AE30" i="1"/>
  <c r="AG30" i="1" s="1"/>
  <c r="AE31" i="1"/>
  <c r="AG31" i="1" s="1"/>
  <c r="AE32" i="1"/>
  <c r="AF32" i="1" s="1"/>
  <c r="AE33" i="1"/>
  <c r="AF33" i="1" s="1"/>
  <c r="AE34" i="1"/>
  <c r="AG34" i="1" s="1"/>
  <c r="AE35" i="1"/>
  <c r="AF35" i="1" s="1"/>
  <c r="AE36" i="1"/>
  <c r="AG36" i="1" s="1"/>
  <c r="AE37" i="1"/>
  <c r="AF37" i="1" s="1"/>
  <c r="AE38" i="1"/>
  <c r="AF38" i="1" s="1"/>
  <c r="AE39" i="1"/>
  <c r="AF39" i="1" s="1"/>
  <c r="AE40" i="1"/>
  <c r="AF40" i="1" s="1"/>
  <c r="AE41" i="1"/>
  <c r="AG41" i="1" s="1"/>
  <c r="AE42" i="1"/>
  <c r="AG42" i="1" s="1"/>
  <c r="AE43" i="1"/>
  <c r="AG43" i="1" s="1"/>
  <c r="AE44" i="1"/>
  <c r="AF44" i="1" s="1"/>
  <c r="AE45" i="1"/>
  <c r="AG45" i="1" s="1"/>
  <c r="AE46" i="1"/>
  <c r="AG46" i="1" s="1"/>
  <c r="AE47" i="1"/>
  <c r="AG47" i="1" s="1"/>
  <c r="AE48" i="1"/>
  <c r="AG48" i="1" s="1"/>
  <c r="AE49" i="1"/>
  <c r="AG49" i="1" s="1"/>
  <c r="AE50" i="1"/>
  <c r="AG50" i="1" s="1"/>
  <c r="AE51" i="1"/>
  <c r="AF51" i="1" s="1"/>
  <c r="AE52" i="1"/>
  <c r="AF52" i="1" s="1"/>
  <c r="AE53" i="1"/>
  <c r="AF53" i="1" s="1"/>
  <c r="AE54" i="1"/>
  <c r="AE55" i="1"/>
  <c r="AF55" i="1" s="1"/>
  <c r="AE56" i="1"/>
  <c r="AF56" i="1" s="1"/>
  <c r="AE57" i="1"/>
  <c r="AG57" i="1" s="1"/>
  <c r="AE58" i="1"/>
  <c r="AG58" i="1" s="1"/>
  <c r="AE59" i="1"/>
  <c r="AG59" i="1" s="1"/>
  <c r="AE60" i="1"/>
  <c r="AF60" i="1" s="1"/>
  <c r="AE61" i="1"/>
  <c r="AF61" i="1" s="1"/>
  <c r="AE62" i="1"/>
  <c r="AG62" i="1" s="1"/>
  <c r="AE63" i="1"/>
  <c r="AG63" i="1" s="1"/>
  <c r="AE64" i="1"/>
  <c r="AF64" i="1" s="1"/>
  <c r="AE65" i="1"/>
  <c r="AF65" i="1" s="1"/>
  <c r="AE66" i="1"/>
  <c r="AG66" i="1" s="1"/>
  <c r="AE67" i="1"/>
  <c r="AF67" i="1" s="1"/>
  <c r="AE68" i="1"/>
  <c r="AG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G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G80" i="1" s="1"/>
  <c r="AE81" i="1"/>
  <c r="AG81" i="1" s="1"/>
  <c r="AE82" i="1"/>
  <c r="AG82" i="1" s="1"/>
  <c r="AE83" i="1"/>
  <c r="AF83" i="1" s="1"/>
  <c r="AE84" i="1"/>
  <c r="AG84" i="1" s="1"/>
  <c r="AE85" i="1"/>
  <c r="AF85" i="1" s="1"/>
  <c r="AE86" i="1"/>
  <c r="AG86" i="1" s="1"/>
  <c r="AE87" i="1"/>
  <c r="AF87" i="1" s="1"/>
  <c r="AE88" i="1"/>
  <c r="AF88" i="1" s="1"/>
  <c r="AE89" i="1"/>
  <c r="AG89" i="1" s="1"/>
  <c r="AE90" i="1"/>
  <c r="AF90" i="1" s="1"/>
  <c r="AE91" i="1"/>
  <c r="AG91" i="1" s="1"/>
  <c r="AE92" i="1"/>
  <c r="AG92" i="1" s="1"/>
  <c r="AE93" i="1"/>
  <c r="AF93" i="1" s="1"/>
  <c r="AE94" i="1"/>
  <c r="AG94" i="1" s="1"/>
  <c r="AE95" i="1"/>
  <c r="AG95" i="1" s="1"/>
  <c r="AE96" i="1"/>
  <c r="AF96" i="1" s="1"/>
  <c r="AE97" i="1"/>
  <c r="AF97" i="1" s="1"/>
  <c r="AE98" i="1"/>
  <c r="AG98" i="1" s="1"/>
  <c r="AE99" i="1"/>
  <c r="AG99" i="1" s="1"/>
  <c r="AE100" i="1"/>
  <c r="AG100" i="1" s="1"/>
  <c r="AE101" i="1"/>
  <c r="AF101" i="1" s="1"/>
  <c r="AE102" i="1"/>
  <c r="AF102" i="1" s="1"/>
  <c r="AE103" i="1"/>
  <c r="AG103" i="1" s="1"/>
  <c r="AE104" i="1"/>
  <c r="AF104" i="1" s="1"/>
  <c r="AE105" i="1"/>
  <c r="AG105" i="1" s="1"/>
  <c r="AE106" i="1"/>
  <c r="AF106" i="1" s="1"/>
  <c r="AE107" i="1"/>
  <c r="AG107" i="1" s="1"/>
  <c r="AE108" i="1"/>
  <c r="AF108" i="1" s="1"/>
  <c r="AE109" i="1"/>
  <c r="AF109" i="1" s="1"/>
  <c r="AE110" i="1"/>
  <c r="AF110" i="1" s="1"/>
  <c r="AE111" i="1"/>
  <c r="AG111" i="1" s="1"/>
  <c r="AE112" i="1"/>
  <c r="AF112" i="1" s="1"/>
  <c r="AE113" i="1"/>
  <c r="AF113" i="1" s="1"/>
  <c r="AE114" i="1"/>
  <c r="AF114" i="1" s="1"/>
  <c r="AE115" i="1"/>
  <c r="AF115" i="1" s="1"/>
  <c r="AE116" i="1"/>
  <c r="AE117" i="1"/>
  <c r="AF117" i="1" s="1"/>
  <c r="AE118" i="1"/>
  <c r="AG118" i="1" s="1"/>
  <c r="AE119" i="1"/>
  <c r="AF119" i="1" s="1"/>
  <c r="AE120" i="1"/>
  <c r="AG120" i="1" s="1"/>
  <c r="AE121" i="1"/>
  <c r="AG121" i="1" s="1"/>
  <c r="AE122" i="1"/>
  <c r="AF122" i="1" s="1"/>
  <c r="AE123" i="1"/>
  <c r="AE124" i="1"/>
  <c r="AF124" i="1" s="1"/>
  <c r="AE125" i="1"/>
  <c r="AE126" i="1"/>
  <c r="AG126" i="1" s="1"/>
  <c r="AE127" i="1"/>
  <c r="AF127" i="1" s="1"/>
  <c r="AE128" i="1"/>
  <c r="AF128" i="1" s="1"/>
  <c r="AE129" i="1"/>
  <c r="AF129" i="1" s="1"/>
  <c r="AE130" i="1"/>
  <c r="AG130" i="1" s="1"/>
  <c r="AE131" i="1"/>
  <c r="AG131" i="1" s="1"/>
  <c r="AE132" i="1"/>
  <c r="AF132" i="1" s="1"/>
  <c r="AE133" i="1"/>
  <c r="AF133" i="1" s="1"/>
  <c r="AE134" i="1"/>
  <c r="AG134" i="1" s="1"/>
  <c r="AE135" i="1"/>
  <c r="AF135" i="1" s="1"/>
  <c r="AE136" i="1"/>
  <c r="AG136" i="1" s="1"/>
  <c r="AE137" i="1"/>
  <c r="AF137" i="1" s="1"/>
  <c r="AE138" i="1"/>
  <c r="AF138" i="1" s="1"/>
  <c r="AE139" i="1"/>
  <c r="AF139" i="1" s="1"/>
  <c r="AE140" i="1"/>
  <c r="AG140" i="1" s="1"/>
  <c r="AE141" i="1"/>
  <c r="AF141" i="1" s="1"/>
  <c r="AE142" i="1"/>
  <c r="AG142" i="1" s="1"/>
  <c r="AE143" i="1"/>
  <c r="AG143" i="1" s="1"/>
  <c r="AE144" i="1"/>
  <c r="AG144" i="1" s="1"/>
  <c r="AE145" i="1"/>
  <c r="AG145" i="1" s="1"/>
  <c r="AE146" i="1"/>
  <c r="AG146" i="1" s="1"/>
  <c r="AE147" i="1"/>
  <c r="AG147" i="1" s="1"/>
  <c r="AE148" i="1"/>
  <c r="AG148" i="1" s="1"/>
  <c r="AE149" i="1"/>
  <c r="AF149" i="1" s="1"/>
  <c r="AE150" i="1"/>
  <c r="AG150" i="1" s="1"/>
  <c r="AE151" i="1"/>
  <c r="AF151" i="1" s="1"/>
  <c r="AE152" i="1"/>
  <c r="AG152" i="1" s="1"/>
  <c r="AE153" i="1"/>
  <c r="AG153" i="1" s="1"/>
  <c r="AE154" i="1"/>
  <c r="AE155" i="1"/>
  <c r="AF155" i="1" s="1"/>
  <c r="AE156" i="1"/>
  <c r="AG156" i="1" s="1"/>
  <c r="AE157" i="1"/>
  <c r="AF157" i="1" s="1"/>
  <c r="AE158" i="1"/>
  <c r="AF158" i="1" s="1"/>
  <c r="AE159" i="1"/>
  <c r="AG159" i="1" s="1"/>
  <c r="AE160" i="1"/>
  <c r="AF160" i="1" s="1"/>
  <c r="AE161" i="1"/>
  <c r="AG161" i="1" s="1"/>
  <c r="AE162" i="1"/>
  <c r="AG162" i="1" s="1"/>
  <c r="AE163" i="1"/>
  <c r="AF163" i="1" s="1"/>
  <c r="AE164" i="1"/>
  <c r="AG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G174" i="1" s="1"/>
  <c r="AE175" i="1"/>
  <c r="AF175" i="1" s="1"/>
  <c r="AE176" i="1"/>
  <c r="AG176" i="1" s="1"/>
  <c r="AE177" i="1"/>
  <c r="AF177" i="1" s="1"/>
  <c r="AE178" i="1"/>
  <c r="AG178" i="1" s="1"/>
  <c r="AE179" i="1"/>
  <c r="AF179" i="1" s="1"/>
  <c r="AE180" i="1"/>
  <c r="AG180" i="1" s="1"/>
  <c r="AE181" i="1"/>
  <c r="AF181" i="1" s="1"/>
  <c r="AE182" i="1"/>
  <c r="AG182" i="1" s="1"/>
  <c r="AE183" i="1"/>
  <c r="AF183" i="1" s="1"/>
  <c r="AE184" i="1"/>
  <c r="AG184" i="1" s="1"/>
  <c r="AE185" i="1"/>
  <c r="AF185" i="1" s="1"/>
  <c r="AE186" i="1"/>
  <c r="AG186" i="1" s="1"/>
  <c r="AE187" i="1"/>
  <c r="AG187" i="1" s="1"/>
  <c r="AE188" i="1"/>
  <c r="AF188" i="1" s="1"/>
  <c r="AE189" i="1"/>
  <c r="AG189" i="1" s="1"/>
  <c r="AE190" i="1"/>
  <c r="AF190" i="1" s="1"/>
  <c r="AE191" i="1"/>
  <c r="AG191" i="1" s="1"/>
  <c r="AE192" i="1"/>
  <c r="AG192" i="1" s="1"/>
  <c r="AE193" i="1"/>
  <c r="AF193" i="1" s="1"/>
  <c r="AE194" i="1"/>
  <c r="AG194" i="1" s="1"/>
  <c r="AE195" i="1"/>
  <c r="AG195" i="1" s="1"/>
  <c r="AE196" i="1"/>
  <c r="AF196" i="1" s="1"/>
  <c r="AE197" i="1"/>
  <c r="AF197" i="1" s="1"/>
  <c r="AE198" i="1"/>
  <c r="AG198" i="1" s="1"/>
  <c r="AE199" i="1"/>
  <c r="AG199" i="1" s="1"/>
  <c r="AE200" i="1"/>
  <c r="AG200" i="1" s="1"/>
  <c r="AE201" i="1"/>
  <c r="AF201" i="1" s="1"/>
  <c r="AE202" i="1"/>
  <c r="AG202" i="1" s="1"/>
  <c r="AE203" i="1"/>
  <c r="AF203" i="1" s="1"/>
  <c r="AE204" i="1"/>
  <c r="AF204" i="1" s="1"/>
  <c r="AE205" i="1"/>
  <c r="AF205" i="1" s="1"/>
  <c r="AE206" i="1"/>
  <c r="AG206" i="1" s="1"/>
  <c r="AE207" i="1"/>
  <c r="AF207" i="1" s="1"/>
  <c r="AE208" i="1"/>
  <c r="AF208" i="1" s="1"/>
  <c r="AE209" i="1"/>
  <c r="AG209" i="1" s="1"/>
  <c r="AE210" i="1"/>
  <c r="AG210" i="1" s="1"/>
  <c r="AE211" i="1"/>
  <c r="AG211" i="1" s="1"/>
  <c r="AE212" i="1"/>
  <c r="AF212" i="1" s="1"/>
  <c r="AE213" i="1"/>
  <c r="AG213" i="1" s="1"/>
  <c r="AE214" i="1"/>
  <c r="AG214" i="1" s="1"/>
  <c r="AE215" i="1"/>
  <c r="AF215" i="1" s="1"/>
  <c r="AE216" i="1"/>
  <c r="AF216" i="1" s="1"/>
  <c r="AE217" i="1"/>
  <c r="AF217" i="1" s="1"/>
  <c r="AE218" i="1"/>
  <c r="AG218" i="1" s="1"/>
  <c r="AE219" i="1"/>
  <c r="AF219" i="1" s="1"/>
  <c r="AE220" i="1"/>
  <c r="AG220" i="1" s="1"/>
  <c r="AE221" i="1"/>
  <c r="AF221" i="1" s="1"/>
  <c r="AE222" i="1"/>
  <c r="AG222" i="1" s="1"/>
  <c r="AE223" i="1"/>
  <c r="AG223" i="1" s="1"/>
  <c r="AE224" i="1"/>
  <c r="AG224" i="1" s="1"/>
  <c r="AE225" i="1"/>
  <c r="AG225" i="1" s="1"/>
  <c r="AE226" i="1"/>
  <c r="AF226" i="1" s="1"/>
  <c r="AE227" i="1"/>
  <c r="AF227" i="1" s="1"/>
  <c r="AE228" i="1"/>
  <c r="AG228" i="1" s="1"/>
  <c r="AE229" i="1"/>
  <c r="AG229" i="1" s="1"/>
  <c r="AE230" i="1"/>
  <c r="AF230" i="1" s="1"/>
  <c r="AE231" i="1"/>
  <c r="AG231" i="1" s="1"/>
  <c r="AE232" i="1"/>
  <c r="AF232" i="1" s="1"/>
  <c r="AE233" i="1"/>
  <c r="AG233" i="1" s="1"/>
  <c r="AE234" i="1"/>
  <c r="AG234" i="1" s="1"/>
  <c r="AE235" i="1"/>
  <c r="AF235" i="1" s="1"/>
  <c r="AE236" i="1"/>
  <c r="AG236" i="1" s="1"/>
  <c r="AE237" i="1"/>
  <c r="AF237" i="1" s="1"/>
  <c r="AE238" i="1"/>
  <c r="AF238" i="1" s="1"/>
  <c r="AE239" i="1"/>
  <c r="AG239" i="1" s="1"/>
  <c r="AE240" i="1"/>
  <c r="AF240" i="1" s="1"/>
  <c r="AE241" i="1"/>
  <c r="AE242" i="1"/>
  <c r="AG242" i="1" s="1"/>
  <c r="AE243" i="1"/>
  <c r="AF243" i="1" s="1"/>
  <c r="AE244" i="1"/>
  <c r="AG244" i="1" s="1"/>
  <c r="AE245" i="1"/>
  <c r="AF245" i="1" s="1"/>
  <c r="AE246" i="1"/>
  <c r="AF246" i="1" s="1"/>
  <c r="AE247" i="1"/>
  <c r="AF247" i="1" s="1"/>
  <c r="AE248" i="1"/>
  <c r="AG248" i="1" s="1"/>
  <c r="AE249" i="1"/>
  <c r="AG249" i="1" s="1"/>
  <c r="AE250" i="1"/>
  <c r="AG250" i="1" s="1"/>
  <c r="AE251" i="1"/>
  <c r="AG251" i="1" s="1"/>
  <c r="AE252" i="1"/>
  <c r="AG252" i="1" s="1"/>
  <c r="AE253" i="1"/>
  <c r="AF253" i="1" s="1"/>
  <c r="AE254" i="1"/>
  <c r="AG254" i="1" s="1"/>
  <c r="AE255" i="1"/>
  <c r="AG255" i="1" s="1"/>
  <c r="AE256" i="1"/>
  <c r="AG256" i="1" s="1"/>
  <c r="AE257" i="1"/>
  <c r="AG257" i="1" s="1"/>
  <c r="AE258" i="1"/>
  <c r="AF258" i="1" s="1"/>
  <c r="AE259" i="1"/>
  <c r="AG259" i="1" s="1"/>
  <c r="AE260" i="1"/>
  <c r="AG260" i="1" s="1"/>
  <c r="AE261" i="1"/>
  <c r="AF261" i="1" s="1"/>
  <c r="AE262" i="1"/>
  <c r="AG262" i="1" s="1"/>
  <c r="AE263" i="1"/>
  <c r="AG263" i="1" s="1"/>
  <c r="AE264" i="1"/>
  <c r="AG264" i="1" s="1"/>
  <c r="AE265" i="1"/>
  <c r="AG265" i="1" s="1"/>
  <c r="AE266" i="1"/>
  <c r="AF266" i="1" s="1"/>
  <c r="AE267" i="1"/>
  <c r="AF267" i="1" s="1"/>
  <c r="AE268" i="1"/>
  <c r="AG268" i="1" s="1"/>
  <c r="AE269" i="1"/>
  <c r="AG269" i="1" s="1"/>
  <c r="AE270" i="1"/>
  <c r="AG270" i="1" s="1"/>
  <c r="AE271" i="1"/>
  <c r="AG271" i="1" s="1"/>
  <c r="AE272" i="1"/>
  <c r="AF272" i="1" s="1"/>
  <c r="AE273" i="1"/>
  <c r="AF273" i="1" s="1"/>
  <c r="AE274" i="1"/>
  <c r="AG274" i="1" s="1"/>
  <c r="AE275" i="1"/>
  <c r="AE276" i="1"/>
  <c r="AF276" i="1" s="1"/>
  <c r="AE277" i="1"/>
  <c r="AG277" i="1" s="1"/>
  <c r="AE278" i="1"/>
  <c r="AG278" i="1" s="1"/>
  <c r="AE279" i="1"/>
  <c r="AG279" i="1" s="1"/>
  <c r="AE280" i="1"/>
  <c r="AF280" i="1" s="1"/>
  <c r="AE281" i="1"/>
  <c r="AG281" i="1" s="1"/>
  <c r="AE282" i="1"/>
  <c r="AG282" i="1" s="1"/>
  <c r="AE283" i="1"/>
  <c r="AG283" i="1" s="1"/>
  <c r="AE284" i="1"/>
  <c r="AG284" i="1" s="1"/>
  <c r="AE285" i="1"/>
  <c r="AF285" i="1" s="1"/>
  <c r="AE286" i="1"/>
  <c r="AG286" i="1" s="1"/>
  <c r="AE287" i="1"/>
  <c r="AG287" i="1" s="1"/>
  <c r="AE288" i="1"/>
  <c r="AG288" i="1" s="1"/>
  <c r="AE289" i="1"/>
  <c r="AG289" i="1" s="1"/>
  <c r="AE290" i="1"/>
  <c r="AG290" i="1" s="1"/>
  <c r="AE291" i="1"/>
  <c r="AG291" i="1" s="1"/>
  <c r="AE292" i="1"/>
  <c r="AG292" i="1" s="1"/>
  <c r="AE293" i="1"/>
  <c r="AG293" i="1" s="1"/>
  <c r="AE294" i="1"/>
  <c r="AF294" i="1" s="1"/>
  <c r="AE295" i="1"/>
  <c r="AG295" i="1" s="1"/>
  <c r="AE296" i="1"/>
  <c r="AG296" i="1" s="1"/>
  <c r="AE297" i="1"/>
  <c r="AG297" i="1" s="1"/>
  <c r="AE298" i="1"/>
  <c r="AG298" i="1" s="1"/>
  <c r="AE299" i="1"/>
  <c r="AG299" i="1" s="1"/>
  <c r="AE300" i="1"/>
  <c r="AE301" i="1"/>
  <c r="AG301" i="1" s="1"/>
  <c r="AE302" i="1"/>
  <c r="AG302" i="1" s="1"/>
  <c r="AE303" i="1"/>
  <c r="AF303" i="1" s="1"/>
  <c r="AE304" i="1"/>
  <c r="AG304" i="1" s="1"/>
  <c r="AE305" i="1"/>
  <c r="AG305" i="1" s="1"/>
  <c r="AE306" i="1"/>
  <c r="AF306" i="1" s="1"/>
  <c r="AE307" i="1"/>
  <c r="AG307" i="1" s="1"/>
  <c r="AE308" i="1"/>
  <c r="AG308" i="1" s="1"/>
  <c r="AE309" i="1"/>
  <c r="AF309" i="1" s="1"/>
  <c r="AE310" i="1"/>
  <c r="AG310" i="1" s="1"/>
  <c r="AE311" i="1"/>
  <c r="AG311" i="1" s="1"/>
  <c r="AE312" i="1"/>
  <c r="AE313" i="1"/>
  <c r="AG313" i="1" s="1"/>
  <c r="AE314" i="1"/>
  <c r="AG314" i="1" s="1"/>
  <c r="AE315" i="1"/>
  <c r="AG315" i="1" s="1"/>
  <c r="AE316" i="1"/>
  <c r="AG316" i="1" s="1"/>
  <c r="AE317" i="1"/>
  <c r="AF317" i="1" s="1"/>
  <c r="AE318" i="1"/>
  <c r="AG318" i="1" s="1"/>
  <c r="AE319" i="1"/>
  <c r="AG319" i="1" s="1"/>
  <c r="AE320" i="1"/>
  <c r="AG320" i="1" s="1"/>
  <c r="AE321" i="1"/>
  <c r="AG321" i="1" s="1"/>
  <c r="AE322" i="1"/>
  <c r="AF322" i="1" s="1"/>
  <c r="AE323" i="1"/>
  <c r="AG323" i="1" s="1"/>
  <c r="AE324" i="1"/>
  <c r="AF324" i="1" s="1"/>
  <c r="AE325" i="1"/>
  <c r="AG325" i="1" s="1"/>
  <c r="AE326" i="1"/>
  <c r="AG326" i="1" s="1"/>
  <c r="AE327" i="1"/>
  <c r="AE328" i="1"/>
  <c r="AG328" i="1" s="1"/>
  <c r="AE329" i="1"/>
  <c r="AG329" i="1" s="1"/>
  <c r="AE330" i="1"/>
  <c r="AF330" i="1" s="1"/>
  <c r="AE331" i="1"/>
  <c r="AG331" i="1" s="1"/>
  <c r="AE332" i="1"/>
  <c r="AG332" i="1" s="1"/>
  <c r="AE333" i="1"/>
  <c r="AF333" i="1" s="1"/>
  <c r="AE334" i="1"/>
  <c r="AG334" i="1" s="1"/>
  <c r="AE335" i="1"/>
  <c r="AG335" i="1" s="1"/>
  <c r="AE336" i="1"/>
  <c r="AG336" i="1" s="1"/>
  <c r="AE337" i="1"/>
  <c r="AG337" i="1" s="1"/>
  <c r="AE338" i="1"/>
  <c r="AG338" i="1" s="1"/>
  <c r="AE339" i="1"/>
  <c r="AE340" i="1"/>
  <c r="AF340" i="1" s="1"/>
  <c r="AE341" i="1"/>
  <c r="AF341" i="1" s="1"/>
  <c r="AE342" i="1"/>
  <c r="AG342" i="1" s="1"/>
  <c r="AE343" i="1"/>
  <c r="AG343" i="1" s="1"/>
  <c r="AE344" i="1"/>
  <c r="AG344" i="1" s="1"/>
  <c r="AE345" i="1"/>
  <c r="AG345" i="1" s="1"/>
  <c r="AE346" i="1"/>
  <c r="AF346" i="1" s="1"/>
  <c r="AE347" i="1"/>
  <c r="AG347" i="1" s="1"/>
  <c r="AE348" i="1"/>
  <c r="AG348" i="1" s="1"/>
  <c r="AE349" i="1"/>
  <c r="AF349" i="1" s="1"/>
  <c r="AE350" i="1"/>
  <c r="AG350" i="1" s="1"/>
  <c r="AE351" i="1"/>
  <c r="AG351" i="1" s="1"/>
  <c r="AE352" i="1"/>
  <c r="AF352" i="1" s="1"/>
  <c r="AE353" i="1"/>
  <c r="AF353" i="1" s="1"/>
  <c r="AE354" i="1"/>
  <c r="AG354" i="1" s="1"/>
  <c r="AE355" i="1"/>
  <c r="AG355" i="1" s="1"/>
  <c r="AE356" i="1"/>
  <c r="AG356" i="1" s="1"/>
  <c r="AE357" i="1"/>
  <c r="AF357" i="1" s="1"/>
  <c r="AE358" i="1"/>
  <c r="AG358" i="1" s="1"/>
  <c r="AE359" i="1"/>
  <c r="AG359" i="1" s="1"/>
  <c r="AE360" i="1"/>
  <c r="AG360" i="1" s="1"/>
  <c r="AE361" i="1"/>
  <c r="AG361" i="1" s="1"/>
  <c r="AE362" i="1"/>
  <c r="AG362" i="1" s="1"/>
  <c r="AE363" i="1"/>
  <c r="AE364" i="1"/>
  <c r="AF364" i="1" s="1"/>
  <c r="AE365" i="1"/>
  <c r="AG365" i="1" s="1"/>
  <c r="AE366" i="1"/>
  <c r="AG366" i="1" s="1"/>
  <c r="AE367" i="1"/>
  <c r="AG367" i="1" s="1"/>
  <c r="AE368" i="1"/>
  <c r="AG368" i="1" s="1"/>
  <c r="AE369" i="1"/>
  <c r="AF369" i="1" s="1"/>
  <c r="AE370" i="1"/>
  <c r="AG370" i="1" s="1"/>
  <c r="AE371" i="1"/>
  <c r="AG371" i="1" s="1"/>
  <c r="AE372" i="1"/>
  <c r="AG372" i="1" s="1"/>
  <c r="AE373" i="1"/>
  <c r="AF373" i="1" s="1"/>
  <c r="AE374" i="1"/>
  <c r="AG374" i="1" s="1"/>
  <c r="AE375" i="1"/>
  <c r="AG375" i="1" s="1"/>
  <c r="AE376" i="1"/>
  <c r="AF376" i="1" s="1"/>
  <c r="AE377" i="1"/>
  <c r="AF377" i="1" s="1"/>
  <c r="AE378" i="1"/>
  <c r="AG378" i="1" s="1"/>
  <c r="AE379" i="1"/>
  <c r="AE380" i="1"/>
  <c r="AG380" i="1" s="1"/>
  <c r="AE381" i="1"/>
  <c r="AF381" i="1" s="1"/>
  <c r="AE382" i="1"/>
  <c r="AG382" i="1" s="1"/>
  <c r="AE383" i="1"/>
  <c r="AF383" i="1" s="1"/>
  <c r="AE384" i="1"/>
  <c r="AF384" i="1" s="1"/>
  <c r="AE385" i="1"/>
  <c r="AG385" i="1" s="1"/>
  <c r="AE386" i="1"/>
  <c r="AG386" i="1" s="1"/>
  <c r="AE387" i="1"/>
  <c r="AG387" i="1" s="1"/>
  <c r="AE388" i="1"/>
  <c r="AF388" i="1" s="1"/>
  <c r="AE389" i="1"/>
  <c r="AG389" i="1" s="1"/>
  <c r="AE390" i="1"/>
  <c r="AF390" i="1" s="1"/>
  <c r="AE391" i="1"/>
  <c r="AG391" i="1" s="1"/>
  <c r="AE392" i="1"/>
  <c r="AG392" i="1" s="1"/>
  <c r="AE393" i="1"/>
  <c r="AG393" i="1" s="1"/>
  <c r="AE394" i="1"/>
  <c r="AF394" i="1" s="1"/>
  <c r="AE395" i="1"/>
  <c r="AG395" i="1" s="1"/>
  <c r="AE396" i="1"/>
  <c r="AF396" i="1" s="1"/>
  <c r="AE397" i="1"/>
  <c r="AF397" i="1" s="1"/>
  <c r="AE398" i="1"/>
  <c r="AG398" i="1" s="1"/>
  <c r="AE399" i="1"/>
  <c r="AG399" i="1" s="1"/>
  <c r="AE400" i="1"/>
  <c r="AE401" i="1"/>
  <c r="AG401" i="1" s="1"/>
  <c r="AE402" i="1"/>
  <c r="AG402" i="1" s="1"/>
  <c r="AE403" i="1"/>
  <c r="AF403" i="1" s="1"/>
  <c r="AE404" i="1"/>
  <c r="AF404" i="1" s="1"/>
  <c r="AE405" i="1"/>
  <c r="AF405" i="1" s="1"/>
  <c r="AE406" i="1"/>
  <c r="AG406" i="1" s="1"/>
  <c r="AE407" i="1"/>
  <c r="AG407" i="1" s="1"/>
  <c r="AE408" i="1"/>
  <c r="AG408" i="1" s="1"/>
  <c r="AE409" i="1"/>
  <c r="AG409" i="1" s="1"/>
  <c r="AE410" i="1"/>
  <c r="AG410" i="1" s="1"/>
  <c r="AE411" i="1"/>
  <c r="AG411" i="1" s="1"/>
  <c r="AE412" i="1"/>
  <c r="AG412" i="1" s="1"/>
  <c r="AE413" i="1"/>
  <c r="AF413" i="1" s="1"/>
  <c r="AE414" i="1"/>
  <c r="AG414" i="1" s="1"/>
  <c r="AE415" i="1"/>
  <c r="AG415" i="1" s="1"/>
  <c r="AE416" i="1"/>
  <c r="AG416" i="1" s="1"/>
  <c r="AE417" i="1"/>
  <c r="AG417" i="1" s="1"/>
  <c r="AE418" i="1"/>
  <c r="AG418" i="1" s="1"/>
  <c r="AE419" i="1"/>
  <c r="AG419" i="1" s="1"/>
  <c r="AE420" i="1"/>
  <c r="AF420" i="1" s="1"/>
  <c r="AE421" i="1"/>
  <c r="AF421" i="1" s="1"/>
  <c r="AE422" i="1"/>
  <c r="AG422" i="1" s="1"/>
  <c r="AE423" i="1"/>
  <c r="AF423" i="1" s="1"/>
  <c r="AE424" i="1"/>
  <c r="AG424" i="1" s="1"/>
  <c r="AE425" i="1"/>
  <c r="AG425" i="1" s="1"/>
  <c r="AE426" i="1"/>
  <c r="AG426" i="1" s="1"/>
  <c r="AE427" i="1"/>
  <c r="AG427" i="1" s="1"/>
  <c r="AE428" i="1"/>
  <c r="AF428" i="1" s="1"/>
  <c r="AE429" i="1"/>
  <c r="AF429" i="1" s="1"/>
  <c r="AE430" i="1"/>
  <c r="AG430" i="1" s="1"/>
  <c r="AE431" i="1"/>
  <c r="AG431" i="1" s="1"/>
  <c r="AE432" i="1"/>
  <c r="AG432" i="1" s="1"/>
  <c r="AE433" i="1"/>
  <c r="AG433" i="1" s="1"/>
  <c r="AE434" i="1"/>
  <c r="AG434" i="1" s="1"/>
  <c r="AE435" i="1"/>
  <c r="AF435" i="1" s="1"/>
  <c r="AE436" i="1"/>
  <c r="AG436" i="1" s="1"/>
  <c r="AE437" i="1"/>
  <c r="AF437" i="1" s="1"/>
  <c r="AE438" i="1"/>
  <c r="AF438" i="1" s="1"/>
  <c r="AE439" i="1"/>
  <c r="AG439" i="1" s="1"/>
  <c r="AE440" i="1"/>
  <c r="AF440" i="1" s="1"/>
  <c r="AE441" i="1"/>
  <c r="AG441" i="1" s="1"/>
  <c r="AE442" i="1"/>
  <c r="AF442" i="1" s="1"/>
  <c r="AE443" i="1"/>
  <c r="AG443" i="1" s="1"/>
  <c r="AE444" i="1"/>
  <c r="AF444" i="1" s="1"/>
  <c r="AE445" i="1"/>
  <c r="AG445" i="1" s="1"/>
  <c r="AE446" i="1"/>
  <c r="AG446" i="1" s="1"/>
  <c r="AE447" i="1"/>
  <c r="AG447" i="1" s="1"/>
  <c r="AE448" i="1"/>
  <c r="AG448" i="1" s="1"/>
  <c r="AE449" i="1"/>
  <c r="AG449" i="1" s="1"/>
  <c r="AE450" i="1"/>
  <c r="AE451" i="1"/>
  <c r="AF451" i="1" s="1"/>
  <c r="AE452" i="1"/>
  <c r="AG452" i="1" s="1"/>
  <c r="AE453" i="1"/>
  <c r="AG453" i="1" s="1"/>
  <c r="AE454" i="1"/>
  <c r="AG454" i="1" s="1"/>
  <c r="AE455" i="1"/>
  <c r="AG455" i="1" s="1"/>
  <c r="AE456" i="1"/>
  <c r="AG456" i="1" s="1"/>
  <c r="AE6" i="1"/>
  <c r="AF6" i="1" s="1"/>
  <c r="AF99" i="1"/>
  <c r="AG115" i="1"/>
  <c r="AF46" i="1"/>
  <c r="AG27" i="1"/>
  <c r="AG67" i="1"/>
  <c r="AF92" i="1"/>
  <c r="AF22" i="1"/>
  <c r="AG205" i="1"/>
  <c r="AG197" i="1"/>
  <c r="AF100" i="1"/>
  <c r="AG83" i="1"/>
  <c r="AF162" i="1"/>
  <c r="AG458" i="1"/>
  <c r="AG70" i="1"/>
  <c r="AF228" i="1"/>
  <c r="AF34" i="1"/>
  <c r="AF191" i="1"/>
  <c r="AG215" i="1"/>
  <c r="AF178" i="1"/>
  <c r="AG241" i="1"/>
  <c r="AF241" i="1"/>
  <c r="AG173" i="1"/>
  <c r="AF116" i="1"/>
  <c r="AG116" i="1"/>
  <c r="AF84" i="1"/>
  <c r="AF222" i="1"/>
  <c r="AF282" i="1"/>
  <c r="AG275" i="1"/>
  <c r="AF275" i="1"/>
  <c r="AG69" i="1"/>
  <c r="AF68" i="1"/>
  <c r="AF48" i="1"/>
  <c r="AG76" i="1"/>
  <c r="AF142" i="1"/>
  <c r="AG78" i="1"/>
  <c r="AG54" i="1"/>
  <c r="AF54" i="1"/>
  <c r="AF452" i="1"/>
  <c r="AG245" i="1"/>
  <c r="AF15" i="1"/>
  <c r="AF111" i="1"/>
  <c r="AG175" i="1"/>
  <c r="AF150" i="1"/>
  <c r="AF461" i="1"/>
  <c r="AG341" i="1"/>
  <c r="AF229" i="1"/>
  <c r="AF389" i="1"/>
  <c r="AF30" i="1"/>
  <c r="AF320" i="1"/>
  <c r="AG421" i="1"/>
  <c r="AG457" i="1"/>
  <c r="AF459" i="1"/>
  <c r="AF323" i="1"/>
  <c r="AG38" i="1"/>
  <c r="AG139" i="1"/>
  <c r="AG61" i="1"/>
  <c r="AF82" i="1"/>
  <c r="AG207" i="1"/>
  <c r="AG466" i="1"/>
  <c r="AF288" i="1"/>
  <c r="AG373" i="1"/>
  <c r="AF16" i="1"/>
  <c r="AG309" i="1"/>
  <c r="AF28" i="1"/>
  <c r="AG462" i="1"/>
  <c r="C130" i="3" l="1"/>
  <c r="E130" i="3" s="1"/>
  <c r="AF74" i="1"/>
  <c r="AF98" i="1"/>
  <c r="AF362" i="1"/>
  <c r="AF62" i="1"/>
  <c r="AG230" i="1"/>
  <c r="AF386" i="1"/>
  <c r="AG14" i="1"/>
  <c r="AF50" i="1"/>
  <c r="AF314" i="1"/>
  <c r="EJ30" i="3"/>
  <c r="EO30" i="3" s="1"/>
  <c r="EJ18" i="3"/>
  <c r="EO18" i="3" s="1"/>
  <c r="EJ6" i="3"/>
  <c r="EO6" i="3" s="1"/>
  <c r="EJ29" i="3"/>
  <c r="EO29" i="3" s="1"/>
  <c r="EJ17" i="3"/>
  <c r="EO17" i="3" s="1"/>
  <c r="EJ32" i="3"/>
  <c r="EO32" i="3" s="1"/>
  <c r="AF336" i="1"/>
  <c r="EJ28" i="3"/>
  <c r="EO28" i="3" s="1"/>
  <c r="EJ16" i="3"/>
  <c r="EO16" i="3" s="1"/>
  <c r="EJ33" i="3"/>
  <c r="EO33" i="3" s="1"/>
  <c r="EJ36" i="3"/>
  <c r="EO36" i="3" s="1"/>
  <c r="EJ39" i="3"/>
  <c r="EO39" i="3" s="1"/>
  <c r="EJ43" i="3"/>
  <c r="EO43" i="3" s="1"/>
  <c r="AG77" i="1"/>
  <c r="AG64" i="1"/>
  <c r="EJ27" i="3"/>
  <c r="EO27" i="3" s="1"/>
  <c r="EJ15" i="3"/>
  <c r="EO15" i="3" s="1"/>
  <c r="EJ44" i="3"/>
  <c r="EO44" i="3" s="1"/>
  <c r="EJ26" i="3"/>
  <c r="EO26" i="3" s="1"/>
  <c r="EJ14" i="3"/>
  <c r="EO14" i="3" s="1"/>
  <c r="EJ40" i="3"/>
  <c r="EO40" i="3" s="1"/>
  <c r="EJ45" i="3"/>
  <c r="EO45" i="3" s="1"/>
  <c r="AG435" i="1"/>
  <c r="EJ25" i="3"/>
  <c r="EO25" i="3" s="1"/>
  <c r="EJ13" i="3"/>
  <c r="EO13" i="3" s="1"/>
  <c r="EJ24" i="3"/>
  <c r="EO24" i="3" s="1"/>
  <c r="EJ12" i="3"/>
  <c r="EO12" i="3" s="1"/>
  <c r="EJ23" i="3"/>
  <c r="EO23" i="3" s="1"/>
  <c r="EJ11" i="3"/>
  <c r="EO11" i="3" s="1"/>
  <c r="EJ34" i="3"/>
  <c r="EO34" i="3" s="1"/>
  <c r="EJ38" i="3"/>
  <c r="EO38" i="3" s="1"/>
  <c r="AF268" i="1"/>
  <c r="EJ22" i="3"/>
  <c r="EO22" i="3" s="1"/>
  <c r="EJ10" i="3"/>
  <c r="EO10" i="3" s="1"/>
  <c r="EJ41" i="3"/>
  <c r="EO41" i="3" s="1"/>
  <c r="EJ46" i="3"/>
  <c r="EO46" i="3" s="1"/>
  <c r="AF244" i="1"/>
  <c r="EJ21" i="3"/>
  <c r="EO21" i="3" s="1"/>
  <c r="EJ9" i="3"/>
  <c r="EO9" i="3" s="1"/>
  <c r="AG29" i="1"/>
  <c r="AF89" i="1"/>
  <c r="EJ5" i="3"/>
  <c r="EO5" i="3" s="1"/>
  <c r="EJ20" i="3"/>
  <c r="EO20" i="3" s="1"/>
  <c r="EJ8" i="3"/>
  <c r="EO8" i="3" s="1"/>
  <c r="AF136" i="1"/>
  <c r="AG101" i="1"/>
  <c r="EJ31" i="3"/>
  <c r="EO31" i="3" s="1"/>
  <c r="EJ19" i="3"/>
  <c r="EO19" i="3" s="1"/>
  <c r="EJ7" i="3"/>
  <c r="EO7" i="3" s="1"/>
  <c r="EJ35" i="3"/>
  <c r="EO35" i="3" s="1"/>
  <c r="EJ37" i="3"/>
  <c r="EO37" i="3" s="1"/>
  <c r="EJ42" i="3"/>
  <c r="EO42" i="3" s="1"/>
  <c r="JG380" i="2"/>
  <c r="AB169" i="3"/>
  <c r="DM172" i="3"/>
  <c r="DM165" i="3"/>
  <c r="AB159" i="3"/>
  <c r="DM168" i="3"/>
  <c r="DM169" i="3"/>
  <c r="DM173" i="3"/>
  <c r="AB168" i="3"/>
  <c r="AB170" i="3"/>
  <c r="AB175" i="3"/>
  <c r="AC9" i="3"/>
  <c r="DM167" i="3"/>
  <c r="DM170" i="3"/>
  <c r="AB174" i="3"/>
  <c r="DM175" i="3"/>
  <c r="AB164" i="3"/>
  <c r="AB166" i="3"/>
  <c r="DM174" i="3"/>
  <c r="DM164" i="3"/>
  <c r="DM166" i="3"/>
  <c r="DM171" i="3"/>
  <c r="AB173" i="3"/>
  <c r="AB165" i="3"/>
  <c r="AB172" i="3"/>
  <c r="AB167" i="3"/>
  <c r="R541" i="1"/>
  <c r="T541" i="1" s="1"/>
  <c r="R540" i="1"/>
  <c r="T540" i="1" s="1"/>
  <c r="AG93" i="1"/>
  <c r="AF259" i="1"/>
  <c r="AF304" i="1"/>
  <c r="AG165" i="1"/>
  <c r="AG112" i="1"/>
  <c r="AG20" i="1"/>
  <c r="AG44" i="1"/>
  <c r="AF331" i="1"/>
  <c r="AG137" i="1"/>
  <c r="AF143" i="1"/>
  <c r="AF344" i="1"/>
  <c r="AF378" i="1"/>
  <c r="AG21" i="1"/>
  <c r="AG113" i="1"/>
  <c r="AG127" i="1"/>
  <c r="AG405" i="1"/>
  <c r="AF298" i="1"/>
  <c r="AG37" i="1"/>
  <c r="AF58" i="1"/>
  <c r="AF283" i="1"/>
  <c r="AG7" i="1"/>
  <c r="AG13" i="1"/>
  <c r="AF57" i="1"/>
  <c r="AG155" i="1"/>
  <c r="AG394" i="1"/>
  <c r="AF198" i="1"/>
  <c r="AG167" i="1"/>
  <c r="AG35" i="1"/>
  <c r="AF256" i="1"/>
  <c r="AF161" i="1"/>
  <c r="AG357" i="1"/>
  <c r="AG119" i="1"/>
  <c r="AF223" i="1"/>
  <c r="AG104" i="1"/>
  <c r="AF8" i="1"/>
  <c r="AF419" i="1"/>
  <c r="AF43" i="1"/>
  <c r="AF295" i="1"/>
  <c r="AG428" i="1"/>
  <c r="AF354" i="1"/>
  <c r="AF392" i="1"/>
  <c r="AF236" i="1"/>
  <c r="AF332" i="1"/>
  <c r="AG23" i="1"/>
  <c r="AF81" i="1"/>
  <c r="AG261" i="1"/>
  <c r="DU148" i="3"/>
  <c r="JG384" i="2"/>
  <c r="JG376" i="2"/>
  <c r="AG381" i="1"/>
  <c r="AG413" i="1"/>
  <c r="AF95" i="1"/>
  <c r="AF187" i="1"/>
  <c r="AF316" i="1"/>
  <c r="JG373" i="2"/>
  <c r="AG185" i="1"/>
  <c r="AG349" i="1"/>
  <c r="AF372" i="1"/>
  <c r="AG169" i="1"/>
  <c r="AG276" i="1"/>
  <c r="AG122" i="1"/>
  <c r="AF454" i="1"/>
  <c r="AF427" i="1"/>
  <c r="JG379" i="2"/>
  <c r="AG75" i="1"/>
  <c r="AF260" i="1"/>
  <c r="AF443" i="1"/>
  <c r="AF174" i="1"/>
  <c r="AG364" i="1"/>
  <c r="AF338" i="1"/>
  <c r="AF436" i="1"/>
  <c r="AF412" i="1"/>
  <c r="AG420" i="1"/>
  <c r="AF269" i="1"/>
  <c r="AG324" i="1"/>
  <c r="AG221" i="1"/>
  <c r="CI5" i="3"/>
  <c r="CI134" i="3" s="1"/>
  <c r="BB471" i="1"/>
  <c r="BB457" i="1"/>
  <c r="BB468" i="1"/>
  <c r="BB469" i="1"/>
  <c r="BB466" i="1"/>
  <c r="BB470" i="1"/>
  <c r="BB458" i="1"/>
  <c r="BB456" i="1"/>
  <c r="BB459" i="1"/>
  <c r="BB455" i="1"/>
  <c r="EF134" i="3"/>
  <c r="BB454" i="1"/>
  <c r="BB464" i="1"/>
  <c r="BB463" i="1"/>
  <c r="BB467" i="1"/>
  <c r="BB465" i="1"/>
  <c r="BB461" i="1"/>
  <c r="BB460" i="1"/>
  <c r="BB462" i="1"/>
  <c r="BM5" i="3"/>
  <c r="BM134" i="3" s="1"/>
  <c r="JG377" i="2"/>
  <c r="D438" i="1"/>
  <c r="C438" i="1" s="1"/>
  <c r="BB438" i="1"/>
  <c r="D452" i="1"/>
  <c r="C452" i="1" s="1"/>
  <c r="BB452" i="1"/>
  <c r="D444" i="1"/>
  <c r="C444" i="1" s="1"/>
  <c r="BB444" i="1"/>
  <c r="D436" i="1"/>
  <c r="C436" i="1" s="1"/>
  <c r="BB436" i="1"/>
  <c r="D446" i="1"/>
  <c r="C446" i="1" s="1"/>
  <c r="BB446" i="1"/>
  <c r="D451" i="1"/>
  <c r="C451" i="1" s="1"/>
  <c r="BB451" i="1"/>
  <c r="D443" i="1"/>
  <c r="C443" i="1" s="1"/>
  <c r="BB443" i="1"/>
  <c r="D435" i="1"/>
  <c r="C435" i="1" s="1"/>
  <c r="BB435" i="1"/>
  <c r="D437" i="1"/>
  <c r="C437" i="1" s="1"/>
  <c r="BB437" i="1"/>
  <c r="D450" i="1"/>
  <c r="C450" i="1" s="1"/>
  <c r="BB450" i="1"/>
  <c r="D442" i="1"/>
  <c r="C442" i="1" s="1"/>
  <c r="BB442" i="1"/>
  <c r="D434" i="1"/>
  <c r="C434" i="1" s="1"/>
  <c r="BB434" i="1"/>
  <c r="D453" i="1"/>
  <c r="C453" i="1" s="1"/>
  <c r="BB453" i="1"/>
  <c r="D449" i="1"/>
  <c r="C449" i="1" s="1"/>
  <c r="BB449" i="1"/>
  <c r="D441" i="1"/>
  <c r="C441" i="1" s="1"/>
  <c r="BB441" i="1"/>
  <c r="D433" i="1"/>
  <c r="C433" i="1" s="1"/>
  <c r="BB433" i="1"/>
  <c r="D448" i="1"/>
  <c r="C448" i="1" s="1"/>
  <c r="BB448" i="1"/>
  <c r="D440" i="1"/>
  <c r="C440" i="1" s="1"/>
  <c r="BB440" i="1"/>
  <c r="D432" i="1"/>
  <c r="C432" i="1" s="1"/>
  <c r="BB432" i="1"/>
  <c r="D445" i="1"/>
  <c r="C445" i="1" s="1"/>
  <c r="BB445" i="1"/>
  <c r="D447" i="1"/>
  <c r="C447" i="1" s="1"/>
  <c r="BB447" i="1"/>
  <c r="D439" i="1"/>
  <c r="C439" i="1" s="1"/>
  <c r="BB439" i="1"/>
  <c r="D431" i="1"/>
  <c r="C431" i="1" s="1"/>
  <c r="BB431" i="1"/>
  <c r="AG32" i="1"/>
  <c r="AF47" i="1"/>
  <c r="AG40" i="1"/>
  <c r="AF289" i="1"/>
  <c r="AF194" i="1"/>
  <c r="AG232" i="1"/>
  <c r="AF297" i="1"/>
  <c r="AF305" i="1"/>
  <c r="AG55" i="1"/>
  <c r="AF211" i="1"/>
  <c r="AF63" i="1"/>
  <c r="AF257" i="1"/>
  <c r="AG9" i="1"/>
  <c r="AF242" i="1"/>
  <c r="AG71" i="1"/>
  <c r="AF17" i="1"/>
  <c r="AF329" i="1"/>
  <c r="AF281" i="1"/>
  <c r="AF250" i="1"/>
  <c r="AF433" i="1"/>
  <c r="D430" i="1"/>
  <c r="C430" i="1" s="1"/>
  <c r="BB430" i="1"/>
  <c r="AJ134" i="3"/>
  <c r="CE5" i="3"/>
  <c r="CE134" i="3" s="1"/>
  <c r="T514" i="1"/>
  <c r="AG88" i="1"/>
  <c r="AF262" i="1"/>
  <c r="AF248" i="1"/>
  <c r="AF311" i="1"/>
  <c r="AF287" i="1"/>
  <c r="AG133" i="1"/>
  <c r="AF402" i="1"/>
  <c r="AF302" i="1"/>
  <c r="AF434" i="1"/>
  <c r="AF395" i="1"/>
  <c r="AG117" i="1"/>
  <c r="AF156" i="1"/>
  <c r="AG56" i="1"/>
  <c r="AF334" i="1"/>
  <c r="AF374" i="1"/>
  <c r="AF164" i="1"/>
  <c r="AG87" i="1"/>
  <c r="AF152" i="1"/>
  <c r="AF335" i="1"/>
  <c r="AF310" i="1"/>
  <c r="AF270" i="1"/>
  <c r="AF202" i="1"/>
  <c r="AF41" i="1"/>
  <c r="E587" i="1"/>
  <c r="F586" i="1"/>
  <c r="AF382" i="1"/>
  <c r="AG110" i="1"/>
  <c r="AF254" i="1"/>
  <c r="AF446" i="1"/>
  <c r="AF239" i="1"/>
  <c r="AG203" i="1"/>
  <c r="AF209" i="1"/>
  <c r="AF367" i="1"/>
  <c r="AF180" i="1"/>
  <c r="AG65" i="1"/>
  <c r="AG217" i="1"/>
  <c r="AF126" i="1"/>
  <c r="AF318" i="1"/>
  <c r="AF358" i="1"/>
  <c r="AG149" i="1"/>
  <c r="AF118" i="1"/>
  <c r="AF387" i="1"/>
  <c r="AM5" i="3"/>
  <c r="AM134" i="3" s="1"/>
  <c r="BF134" i="3"/>
  <c r="AG404" i="1"/>
  <c r="AF277" i="1"/>
  <c r="AG85" i="1"/>
  <c r="AF131" i="1"/>
  <c r="AF91" i="1"/>
  <c r="AF206" i="1"/>
  <c r="AG158" i="1"/>
  <c r="AG238" i="1"/>
  <c r="AG114" i="1"/>
  <c r="AG60" i="1"/>
  <c r="AF120" i="1"/>
  <c r="AF465" i="1"/>
  <c r="BX5" i="3"/>
  <c r="BX134" i="3" s="1"/>
  <c r="BB5" i="3"/>
  <c r="BB134" i="3" s="1"/>
  <c r="BQ134" i="3"/>
  <c r="R502" i="1"/>
  <c r="T502" i="1" s="1"/>
  <c r="K45" i="3"/>
  <c r="K174" i="3" s="1"/>
  <c r="BF135" i="3"/>
  <c r="BM6" i="3"/>
  <c r="BM135" i="3" s="1"/>
  <c r="DR5" i="3"/>
  <c r="DR134" i="3" s="1"/>
  <c r="EF160" i="3"/>
  <c r="D463" i="1"/>
  <c r="C463" i="1" s="1"/>
  <c r="D464" i="1"/>
  <c r="C464" i="1" s="1"/>
  <c r="EF169" i="3"/>
  <c r="EF170" i="3"/>
  <c r="D468" i="1"/>
  <c r="C468" i="1" s="1"/>
  <c r="EF173" i="3"/>
  <c r="D471" i="1"/>
  <c r="C471" i="1" s="1"/>
  <c r="D456" i="1"/>
  <c r="C456" i="1" s="1"/>
  <c r="DY167" i="3"/>
  <c r="D467" i="1"/>
  <c r="C467" i="1" s="1"/>
  <c r="D469" i="1"/>
  <c r="C469" i="1" s="1"/>
  <c r="D455" i="1"/>
  <c r="C455" i="1" s="1"/>
  <c r="EF163" i="3"/>
  <c r="EF164" i="3"/>
  <c r="D465" i="1"/>
  <c r="C465" i="1" s="1"/>
  <c r="D466" i="1"/>
  <c r="C466" i="1" s="1"/>
  <c r="DQ175" i="3"/>
  <c r="DY135" i="3"/>
  <c r="D454" i="1"/>
  <c r="C454" i="1" s="1"/>
  <c r="D458" i="1"/>
  <c r="C458" i="1" s="1"/>
  <c r="D461" i="1"/>
  <c r="C461" i="1" s="1"/>
  <c r="EF167" i="3"/>
  <c r="D459" i="1"/>
  <c r="C459" i="1" s="1"/>
  <c r="D460" i="1"/>
  <c r="C460" i="1" s="1"/>
  <c r="D462" i="1"/>
  <c r="C462" i="1" s="1"/>
  <c r="DQ169" i="3"/>
  <c r="DQ170" i="3"/>
  <c r="D470" i="1"/>
  <c r="C470" i="1" s="1"/>
  <c r="DY173" i="3"/>
  <c r="EF171" i="3"/>
  <c r="DQ165" i="3"/>
  <c r="DY168" i="3"/>
  <c r="EF174" i="3"/>
  <c r="D457" i="1"/>
  <c r="C457" i="1" s="1"/>
  <c r="DY134" i="3"/>
  <c r="DY137" i="3"/>
  <c r="EF161" i="3"/>
  <c r="EF162" i="3"/>
  <c r="DQ164" i="3"/>
  <c r="EF168" i="3"/>
  <c r="DY170" i="3"/>
  <c r="EF172" i="3"/>
  <c r="EF175" i="3"/>
  <c r="D38" i="3"/>
  <c r="D167" i="3" s="1"/>
  <c r="C167" i="3"/>
  <c r="D42" i="3"/>
  <c r="D171" i="3" s="1"/>
  <c r="E43" i="3"/>
  <c r="D46" i="3"/>
  <c r="D175" i="3" s="1"/>
  <c r="J41" i="3"/>
  <c r="J170" i="3" s="1"/>
  <c r="E42" i="3"/>
  <c r="K44" i="3"/>
  <c r="L44" i="3" s="1"/>
  <c r="L173" i="3" s="1"/>
  <c r="W34" i="3"/>
  <c r="J38" i="3"/>
  <c r="J167" i="3" s="1"/>
  <c r="AX39" i="3"/>
  <c r="AX168" i="3" s="1"/>
  <c r="AF453" i="1"/>
  <c r="K38" i="3"/>
  <c r="K463" i="1" s="1"/>
  <c r="W38" i="3"/>
  <c r="E38" i="3"/>
  <c r="B463" i="1" s="1"/>
  <c r="CP6" i="3"/>
  <c r="CP135" i="3" s="1"/>
  <c r="CM135" i="3"/>
  <c r="V175" i="3"/>
  <c r="T471" i="1"/>
  <c r="AX9" i="3"/>
  <c r="AX138" i="3" s="1"/>
  <c r="CB164" i="3"/>
  <c r="BT134" i="3"/>
  <c r="W42" i="3"/>
  <c r="C163" i="3"/>
  <c r="K42" i="3"/>
  <c r="L42" i="3" s="1"/>
  <c r="L171" i="3" s="1"/>
  <c r="BB9" i="3"/>
  <c r="BB138" i="3" s="1"/>
  <c r="D34" i="3"/>
  <c r="D163" i="3" s="1"/>
  <c r="AU134" i="3"/>
  <c r="C171" i="3"/>
  <c r="AX17" i="3"/>
  <c r="BD17" i="3" s="1"/>
  <c r="BD146" i="3" s="1"/>
  <c r="BF144" i="3"/>
  <c r="BT26" i="3"/>
  <c r="BT155" i="3" s="1"/>
  <c r="K25" i="3"/>
  <c r="K154" i="3" s="1"/>
  <c r="E17" i="3"/>
  <c r="DM149" i="3"/>
  <c r="DM141" i="3"/>
  <c r="DQ159" i="3"/>
  <c r="DY157" i="3"/>
  <c r="DY140" i="3"/>
  <c r="EF152" i="3"/>
  <c r="EF144" i="3"/>
  <c r="EF136" i="3"/>
  <c r="DY166" i="3"/>
  <c r="DQ172" i="3"/>
  <c r="DQ174" i="3"/>
  <c r="K16" i="3"/>
  <c r="L16" i="3" s="1"/>
  <c r="L145" i="3" s="1"/>
  <c r="W8" i="3"/>
  <c r="C161" i="3"/>
  <c r="DM148" i="3"/>
  <c r="DM140" i="3"/>
  <c r="DQ158" i="3"/>
  <c r="DY156" i="3"/>
  <c r="DY147" i="3"/>
  <c r="DY139" i="3"/>
  <c r="EF159" i="3"/>
  <c r="EF151" i="3"/>
  <c r="EF143" i="3"/>
  <c r="EF135" i="3"/>
  <c r="DY161" i="3"/>
  <c r="DQ171" i="3"/>
  <c r="D31" i="3"/>
  <c r="D160" i="3" s="1"/>
  <c r="W23" i="3"/>
  <c r="D15" i="3"/>
  <c r="D144" i="3" s="1"/>
  <c r="DM147" i="3"/>
  <c r="DM139" i="3"/>
  <c r="DQ157" i="3"/>
  <c r="DQ149" i="3"/>
  <c r="DY155" i="3"/>
  <c r="DY146" i="3"/>
  <c r="DY138" i="3"/>
  <c r="EF158" i="3"/>
  <c r="EF150" i="3"/>
  <c r="EF142" i="3"/>
  <c r="DY162" i="3"/>
  <c r="K34" i="3"/>
  <c r="K459" i="1" s="1"/>
  <c r="K35" i="3"/>
  <c r="K460" i="1" s="1"/>
  <c r="C165" i="3"/>
  <c r="E30" i="3"/>
  <c r="K22" i="3"/>
  <c r="K151" i="3" s="1"/>
  <c r="K14" i="3"/>
  <c r="L14" i="3" s="1"/>
  <c r="L143" i="3" s="1"/>
  <c r="DM146" i="3"/>
  <c r="DQ156" i="3"/>
  <c r="DY154" i="3"/>
  <c r="DY145" i="3"/>
  <c r="EF157" i="3"/>
  <c r="EF149" i="3"/>
  <c r="EF141" i="3"/>
  <c r="K29" i="3"/>
  <c r="K158" i="3" s="1"/>
  <c r="K21" i="3"/>
  <c r="L21" i="3" s="1"/>
  <c r="L150" i="3" s="1"/>
  <c r="E13" i="3"/>
  <c r="DM145" i="3"/>
  <c r="DY153" i="3"/>
  <c r="DY144" i="3"/>
  <c r="DY136" i="3"/>
  <c r="EF156" i="3"/>
  <c r="EF148" i="3"/>
  <c r="EF140" i="3"/>
  <c r="DQ163" i="3"/>
  <c r="EF166" i="3"/>
  <c r="D28" i="3"/>
  <c r="D157" i="3" s="1"/>
  <c r="W20" i="3"/>
  <c r="E12" i="3"/>
  <c r="DM144" i="3"/>
  <c r="DY160" i="3"/>
  <c r="DY152" i="3"/>
  <c r="DY143" i="3"/>
  <c r="EF155" i="3"/>
  <c r="EF147" i="3"/>
  <c r="EF139" i="3"/>
  <c r="DQ166" i="3"/>
  <c r="EF165" i="3"/>
  <c r="K27" i="3"/>
  <c r="K156" i="3" s="1"/>
  <c r="W19" i="3"/>
  <c r="DM143" i="3"/>
  <c r="DQ153" i="3"/>
  <c r="EF154" i="3"/>
  <c r="EF146" i="3"/>
  <c r="EF138" i="3"/>
  <c r="DY163" i="3"/>
  <c r="E26" i="3"/>
  <c r="J18" i="3"/>
  <c r="J147" i="3" s="1"/>
  <c r="E10" i="3"/>
  <c r="D33" i="3"/>
  <c r="D162" i="3" s="1"/>
  <c r="DM150" i="3"/>
  <c r="DM142" i="3"/>
  <c r="DQ160" i="3"/>
  <c r="DQ152" i="3"/>
  <c r="DY158" i="3"/>
  <c r="DY150" i="3"/>
  <c r="DY141" i="3"/>
  <c r="EF153" i="3"/>
  <c r="EF145" i="3"/>
  <c r="EF137" i="3"/>
  <c r="DQ161" i="3"/>
  <c r="DY164" i="3"/>
  <c r="JG383" i="2"/>
  <c r="JG375" i="2"/>
  <c r="JA381" i="2"/>
  <c r="BX38" i="3"/>
  <c r="BX167" i="3" s="1"/>
  <c r="BQ167" i="3"/>
  <c r="AX36" i="3"/>
  <c r="AX165" i="3" s="1"/>
  <c r="AQ17" i="3"/>
  <c r="AQ146" i="3" s="1"/>
  <c r="JA375" i="2"/>
  <c r="AF286" i="1"/>
  <c r="AF345" i="1"/>
  <c r="AF189" i="1"/>
  <c r="AF26" i="1"/>
  <c r="JA376" i="2"/>
  <c r="AF214" i="1"/>
  <c r="AF148" i="1"/>
  <c r="AF19" i="1"/>
  <c r="AG33" i="1"/>
  <c r="E41" i="3"/>
  <c r="AF134" i="1"/>
  <c r="AG246" i="1"/>
  <c r="AG273" i="1"/>
  <c r="AF361" i="1"/>
  <c r="AF86" i="1"/>
  <c r="AF45" i="1"/>
  <c r="CM134" i="3"/>
  <c r="AF225" i="1"/>
  <c r="AF31" i="1"/>
  <c r="AG322" i="1"/>
  <c r="AF375" i="1"/>
  <c r="AF350" i="1"/>
  <c r="AF66" i="1"/>
  <c r="AF218" i="1"/>
  <c r="AF441" i="1"/>
  <c r="AF449" i="1"/>
  <c r="AF343" i="1"/>
  <c r="AG266" i="1"/>
  <c r="AF195" i="1"/>
  <c r="AG12" i="1"/>
  <c r="AF418" i="1"/>
  <c r="AF293" i="1"/>
  <c r="AG51" i="1"/>
  <c r="AF290" i="1"/>
  <c r="AG168" i="1"/>
  <c r="AF59" i="1"/>
  <c r="AF460" i="1"/>
  <c r="AG160" i="1"/>
  <c r="AF146" i="1"/>
  <c r="AF263" i="1"/>
  <c r="AG24" i="1"/>
  <c r="AF182" i="1"/>
  <c r="AG440" i="1"/>
  <c r="AF342" i="1"/>
  <c r="AG11" i="1"/>
  <c r="AF159" i="1"/>
  <c r="AG52" i="1"/>
  <c r="AF351" i="1"/>
  <c r="AG141" i="1"/>
  <c r="AG193" i="1"/>
  <c r="AG39" i="1"/>
  <c r="CS44" i="3"/>
  <c r="CS173" i="3" s="1"/>
  <c r="AF471" i="1"/>
  <c r="AF416" i="1"/>
  <c r="EG6" i="3"/>
  <c r="EG135" i="3" s="1"/>
  <c r="AF321" i="1"/>
  <c r="AG109" i="1"/>
  <c r="AF292" i="1"/>
  <c r="AF265" i="1"/>
  <c r="AF284" i="1"/>
  <c r="AF299" i="1"/>
  <c r="AF447" i="1"/>
  <c r="AF121" i="1"/>
  <c r="AF431" i="1"/>
  <c r="AF25" i="1"/>
  <c r="AF455" i="1"/>
  <c r="AG423" i="1"/>
  <c r="AF251" i="1"/>
  <c r="AF224" i="1"/>
  <c r="AF18" i="1"/>
  <c r="AG79" i="1"/>
  <c r="AF279" i="1"/>
  <c r="AF10" i="1"/>
  <c r="AF439" i="1"/>
  <c r="AF80" i="1"/>
  <c r="AF176" i="1"/>
  <c r="AG181" i="1"/>
  <c r="AG128" i="1"/>
  <c r="AF264" i="1"/>
  <c r="CP5" i="3"/>
  <c r="CP134" i="3" s="1"/>
  <c r="AG102" i="1"/>
  <c r="AG135" i="1"/>
  <c r="AG53" i="1"/>
  <c r="AF307" i="1"/>
  <c r="AF408" i="1"/>
  <c r="AG97" i="1"/>
  <c r="AG183" i="1"/>
  <c r="AF328" i="1"/>
  <c r="AF233" i="1"/>
  <c r="AG240" i="1"/>
  <c r="AF103" i="1"/>
  <c r="JA379" i="2"/>
  <c r="JA374" i="2"/>
  <c r="JA378" i="2"/>
  <c r="CP36" i="3"/>
  <c r="CP165" i="3" s="1"/>
  <c r="AM36" i="3"/>
  <c r="AM165" i="3" s="1"/>
  <c r="CI24" i="3"/>
  <c r="CI153" i="3" s="1"/>
  <c r="BF145" i="3"/>
  <c r="CM166" i="3"/>
  <c r="CP37" i="3"/>
  <c r="CP166" i="3" s="1"/>
  <c r="AJ140" i="3"/>
  <c r="AJ165" i="3"/>
  <c r="D8" i="3"/>
  <c r="D137" i="3" s="1"/>
  <c r="CE31" i="3"/>
  <c r="CE160" i="3" s="1"/>
  <c r="C137" i="3"/>
  <c r="J6" i="3"/>
  <c r="J135" i="3" s="1"/>
  <c r="AB130" i="3"/>
  <c r="AF94" i="1"/>
  <c r="AG237" i="1"/>
  <c r="AF401" i="1"/>
  <c r="AG96" i="1"/>
  <c r="AG201" i="1"/>
  <c r="AG177" i="1"/>
  <c r="AF296" i="1"/>
  <c r="AF186" i="1"/>
  <c r="AF425" i="1"/>
  <c r="AF409" i="1"/>
  <c r="AF337" i="1"/>
  <c r="AF348" i="1"/>
  <c r="AF210" i="1"/>
  <c r="AF147" i="1"/>
  <c r="AG190" i="1"/>
  <c r="AG383" i="1"/>
  <c r="AG353" i="1"/>
  <c r="AG306" i="1"/>
  <c r="AF213" i="1"/>
  <c r="AF199" i="1"/>
  <c r="AG170" i="1"/>
  <c r="AG340" i="1"/>
  <c r="AF255" i="1"/>
  <c r="AF355" i="1"/>
  <c r="AF414" i="1"/>
  <c r="AF231" i="1"/>
  <c r="AF313" i="1"/>
  <c r="AF49" i="1"/>
  <c r="AF368" i="1"/>
  <c r="AF406" i="1"/>
  <c r="AF274" i="1"/>
  <c r="AF144" i="1"/>
  <c r="AG157" i="1"/>
  <c r="AF249" i="1"/>
  <c r="AF42" i="1"/>
  <c r="JA384" i="2"/>
  <c r="JA373" i="2"/>
  <c r="AG172" i="1"/>
  <c r="AG151" i="1"/>
  <c r="AF308" i="1"/>
  <c r="AG285" i="1"/>
  <c r="AG253" i="1"/>
  <c r="AG108" i="1"/>
  <c r="AF271" i="1"/>
  <c r="AG123" i="1"/>
  <c r="AF123" i="1"/>
  <c r="JA383" i="2"/>
  <c r="AF445" i="1"/>
  <c r="AF448" i="1"/>
  <c r="AG72" i="1"/>
  <c r="AG333" i="1"/>
  <c r="AF234" i="1"/>
  <c r="AF432" i="1"/>
  <c r="AG303" i="1"/>
  <c r="AF393" i="1"/>
  <c r="AG219" i="1"/>
  <c r="AF291" i="1"/>
  <c r="JA377" i="2"/>
  <c r="AF319" i="1"/>
  <c r="AF385" i="1"/>
  <c r="AF325" i="1"/>
  <c r="AF398" i="1"/>
  <c r="AF105" i="1"/>
  <c r="AG179" i="1"/>
  <c r="AG163" i="1"/>
  <c r="AG317" i="1"/>
  <c r="AG132" i="1"/>
  <c r="AF107" i="1"/>
  <c r="AG73" i="1"/>
  <c r="JA382" i="2"/>
  <c r="EG5" i="3"/>
  <c r="EG134" i="3" s="1"/>
  <c r="AG469" i="1"/>
  <c r="BT22" i="3"/>
  <c r="BT151" i="3" s="1"/>
  <c r="AU165" i="3"/>
  <c r="AU152" i="3"/>
  <c r="BX26" i="3"/>
  <c r="BX155" i="3" s="1"/>
  <c r="E33" i="3"/>
  <c r="J33" i="3"/>
  <c r="J162" i="3" s="1"/>
  <c r="CM137" i="3"/>
  <c r="K33" i="3"/>
  <c r="BT40" i="3"/>
  <c r="BT169" i="3" s="1"/>
  <c r="C162" i="3"/>
  <c r="CB162" i="3"/>
  <c r="BX40" i="3"/>
  <c r="BX169" i="3" s="1"/>
  <c r="CE33" i="3"/>
  <c r="CE162" i="3" s="1"/>
  <c r="W33" i="3"/>
  <c r="C139" i="3"/>
  <c r="AG437" i="1"/>
  <c r="AF371" i="1"/>
  <c r="AF391" i="1"/>
  <c r="AF399" i="1"/>
  <c r="AF456" i="1"/>
  <c r="AG429" i="1"/>
  <c r="AF407" i="1"/>
  <c r="AF192" i="1"/>
  <c r="AF370" i="1"/>
  <c r="AG444" i="1"/>
  <c r="AG346" i="1"/>
  <c r="AG377" i="1"/>
  <c r="AG272" i="1"/>
  <c r="AG267" i="1"/>
  <c r="AG258" i="1"/>
  <c r="AG235" i="1"/>
  <c r="AG216" i="1"/>
  <c r="AG212" i="1"/>
  <c r="AG208" i="1"/>
  <c r="AG204" i="1"/>
  <c r="AF200" i="1"/>
  <c r="AG196" i="1"/>
  <c r="AF140" i="1"/>
  <c r="AG124" i="1"/>
  <c r="AG339" i="1"/>
  <c r="AF339" i="1"/>
  <c r="AG388" i="1"/>
  <c r="AF366" i="1"/>
  <c r="AF417" i="1"/>
  <c r="AG166" i="1"/>
  <c r="AF145" i="1"/>
  <c r="AG294" i="1"/>
  <c r="AF153" i="1"/>
  <c r="AG396" i="1"/>
  <c r="AF450" i="1"/>
  <c r="AG450" i="1"/>
  <c r="AG300" i="1"/>
  <c r="AF300" i="1"/>
  <c r="AG154" i="1"/>
  <c r="AF154" i="1"/>
  <c r="AF359" i="1"/>
  <c r="AF424" i="1"/>
  <c r="AF411" i="1"/>
  <c r="AF36" i="1"/>
  <c r="AG227" i="1"/>
  <c r="AG363" i="1"/>
  <c r="AF363" i="1"/>
  <c r="AG312" i="1"/>
  <c r="AF312" i="1"/>
  <c r="AG129" i="1"/>
  <c r="AF360" i="1"/>
  <c r="AG171" i="1"/>
  <c r="AG247" i="1"/>
  <c r="AF430" i="1"/>
  <c r="AF422" i="1"/>
  <c r="AG188" i="1"/>
  <c r="AG400" i="1"/>
  <c r="AF400" i="1"/>
  <c r="AG280" i="1"/>
  <c r="AG243" i="1"/>
  <c r="AF184" i="1"/>
  <c r="AG106" i="1"/>
  <c r="AG90" i="1"/>
  <c r="AF252" i="1"/>
  <c r="AF326" i="1"/>
  <c r="AG226" i="1"/>
  <c r="AF278" i="1"/>
  <c r="AG379" i="1"/>
  <c r="AF379" i="1"/>
  <c r="AG327" i="1"/>
  <c r="AF327" i="1"/>
  <c r="AF315" i="1"/>
  <c r="AF220" i="1"/>
  <c r="AG438" i="1"/>
  <c r="AG6" i="1"/>
  <c r="AF301" i="1"/>
  <c r="AF125" i="1"/>
  <c r="AG125" i="1"/>
  <c r="AF130" i="1"/>
  <c r="AG138" i="1"/>
  <c r="AF347" i="1"/>
  <c r="AG390" i="1"/>
  <c r="AG451" i="1"/>
  <c r="AG442" i="1"/>
  <c r="AF426" i="1"/>
  <c r="AG384" i="1"/>
  <c r="AF380" i="1"/>
  <c r="AG376" i="1"/>
  <c r="AF365" i="1"/>
  <c r="AF356" i="1"/>
  <c r="AG352" i="1"/>
  <c r="AG330" i="1"/>
  <c r="AG464" i="1"/>
  <c r="AF410" i="1"/>
  <c r="AF415" i="1"/>
  <c r="AG397" i="1"/>
  <c r="AG369" i="1"/>
  <c r="AG403" i="1"/>
  <c r="AG467" i="1"/>
  <c r="AG468" i="1"/>
  <c r="AF470" i="1"/>
  <c r="AG463" i="1"/>
  <c r="CT134" i="3"/>
  <c r="DH134" i="3"/>
  <c r="DW134" i="3"/>
  <c r="AQ15" i="3"/>
  <c r="AQ144" i="3" s="1"/>
  <c r="J44" i="3"/>
  <c r="J173" i="3" s="1"/>
  <c r="C173" i="3"/>
  <c r="C151" i="3"/>
  <c r="J42" i="3"/>
  <c r="J171" i="3" s="1"/>
  <c r="E46" i="3"/>
  <c r="B471" i="1" s="1"/>
  <c r="BB28" i="3"/>
  <c r="BB157" i="3" s="1"/>
  <c r="AQ23" i="3"/>
  <c r="AQ152" i="3" s="1"/>
  <c r="D14" i="3"/>
  <c r="D143" i="3" s="1"/>
  <c r="C135" i="3"/>
  <c r="BT14" i="3"/>
  <c r="BZ14" i="3" s="1"/>
  <c r="BZ143" i="3" s="1"/>
  <c r="BT7" i="3"/>
  <c r="BT136" i="3" s="1"/>
  <c r="CT19" i="3"/>
  <c r="CT148" i="3" s="1"/>
  <c r="CT36" i="3"/>
  <c r="CT165" i="3" s="1"/>
  <c r="BX37" i="3"/>
  <c r="BX166" i="3" s="1"/>
  <c r="J26" i="3"/>
  <c r="J155" i="3" s="1"/>
  <c r="CM161" i="3"/>
  <c r="CP8" i="3"/>
  <c r="CP137" i="3" s="1"/>
  <c r="AJ156" i="3"/>
  <c r="AM27" i="3"/>
  <c r="AM156" i="3" s="1"/>
  <c r="AM11" i="3"/>
  <c r="AM140" i="3" s="1"/>
  <c r="BI32" i="3"/>
  <c r="BI161" i="3" s="1"/>
  <c r="CP32" i="3"/>
  <c r="CP161" i="3" s="1"/>
  <c r="BF147" i="3"/>
  <c r="CM148" i="3"/>
  <c r="BM18" i="3"/>
  <c r="BM147" i="3" s="1"/>
  <c r="CP40" i="3"/>
  <c r="CP169" i="3" s="1"/>
  <c r="DR27" i="3"/>
  <c r="DR156" i="3" s="1"/>
  <c r="CP11" i="3"/>
  <c r="CP140" i="3" s="1"/>
  <c r="CP27" i="3"/>
  <c r="CP156" i="3" s="1"/>
  <c r="BF148" i="3"/>
  <c r="BX31" i="3"/>
  <c r="BX160" i="3" s="1"/>
  <c r="BT6" i="3"/>
  <c r="BT135" i="3" s="1"/>
  <c r="CM140" i="3"/>
  <c r="CB149" i="3"/>
  <c r="J13" i="3"/>
  <c r="J142" i="3" s="1"/>
  <c r="EG34" i="3"/>
  <c r="EG163" i="3" s="1"/>
  <c r="BB11" i="3"/>
  <c r="BB140" i="3" s="1"/>
  <c r="BQ135" i="3"/>
  <c r="BQ162" i="3"/>
  <c r="BB10" i="3"/>
  <c r="BB139" i="3" s="1"/>
  <c r="AU139" i="3"/>
  <c r="AU146" i="3"/>
  <c r="EG38" i="3"/>
  <c r="EG167" i="3" s="1"/>
  <c r="BQ143" i="3"/>
  <c r="W36" i="3"/>
  <c r="CT27" i="3"/>
  <c r="CT156" i="3" s="1"/>
  <c r="CX5" i="3"/>
  <c r="CX134" i="3" s="1"/>
  <c r="D40" i="3"/>
  <c r="D169" i="3" s="1"/>
  <c r="BX18" i="3"/>
  <c r="BX147" i="3" s="1"/>
  <c r="AJ144" i="3"/>
  <c r="DW163" i="3"/>
  <c r="BF169" i="3"/>
  <c r="J30" i="3"/>
  <c r="J159" i="3" s="1"/>
  <c r="AQ16" i="3"/>
  <c r="AQ145" i="3" s="1"/>
  <c r="BI40" i="3"/>
  <c r="BI169" i="3" s="1"/>
  <c r="BQ163" i="3"/>
  <c r="CB160" i="3"/>
  <c r="CI23" i="3"/>
  <c r="C159" i="3"/>
  <c r="K6" i="3"/>
  <c r="BM34" i="3"/>
  <c r="BM163" i="3" s="1"/>
  <c r="W30" i="3"/>
  <c r="E22" i="3"/>
  <c r="EG14" i="3"/>
  <c r="EG143" i="3" s="1"/>
  <c r="CI35" i="3"/>
  <c r="CI164" i="3" s="1"/>
  <c r="BF163" i="3"/>
  <c r="BT30" i="3"/>
  <c r="BT159" i="3" s="1"/>
  <c r="EG7" i="3"/>
  <c r="EG136" i="3" s="1"/>
  <c r="C143" i="3"/>
  <c r="W22" i="3"/>
  <c r="D35" i="3"/>
  <c r="D164" i="3" s="1"/>
  <c r="AQ32" i="3"/>
  <c r="AQ161" i="3" s="1"/>
  <c r="BQ147" i="3"/>
  <c r="CE7" i="3"/>
  <c r="CE136" i="3" s="1"/>
  <c r="E14" i="3"/>
  <c r="K30" i="3"/>
  <c r="K159" i="3" s="1"/>
  <c r="W6" i="3"/>
  <c r="BX34" i="3"/>
  <c r="BX163" i="3" s="1"/>
  <c r="J14" i="3"/>
  <c r="J143" i="3" s="1"/>
  <c r="BX27" i="3"/>
  <c r="BX156" i="3" s="1"/>
  <c r="CE23" i="3"/>
  <c r="CE152" i="3" s="1"/>
  <c r="E6" i="3"/>
  <c r="D22" i="3"/>
  <c r="D151" i="3" s="1"/>
  <c r="J22" i="3"/>
  <c r="J151" i="3" s="1"/>
  <c r="W14" i="3"/>
  <c r="BB23" i="3"/>
  <c r="CE43" i="3"/>
  <c r="CE172" i="3" s="1"/>
  <c r="CE24" i="3"/>
  <c r="CE153" i="3" s="1"/>
  <c r="AJ152" i="3"/>
  <c r="D30" i="3"/>
  <c r="D159" i="3" s="1"/>
  <c r="BM33" i="3"/>
  <c r="BO33" i="3" s="1"/>
  <c r="BO162" i="3" s="1"/>
  <c r="CE10" i="3"/>
  <c r="CE139" i="3" s="1"/>
  <c r="AX137" i="3"/>
  <c r="BF160" i="3"/>
  <c r="DW136" i="3"/>
  <c r="CI40" i="3"/>
  <c r="CI169" i="3" s="1"/>
  <c r="J40" i="3"/>
  <c r="J169" i="3" s="1"/>
  <c r="CT40" i="3"/>
  <c r="BM24" i="3"/>
  <c r="BO24" i="3" s="1"/>
  <c r="BO153" i="3" s="1"/>
  <c r="AX31" i="3"/>
  <c r="AX160" i="3" s="1"/>
  <c r="AJ146" i="3"/>
  <c r="BT29" i="3"/>
  <c r="BT158" i="3" s="1"/>
  <c r="BI8" i="3"/>
  <c r="AJ139" i="3"/>
  <c r="BF168" i="3"/>
  <c r="AX16" i="3"/>
  <c r="AX145" i="3" s="1"/>
  <c r="CT135" i="3"/>
  <c r="BI31" i="3"/>
  <c r="BI160" i="3" s="1"/>
  <c r="CE40" i="3"/>
  <c r="CE169" i="3" s="1"/>
  <c r="E40" i="3"/>
  <c r="BX33" i="3"/>
  <c r="BX162" i="3" s="1"/>
  <c r="J8" i="3"/>
  <c r="J137" i="3" s="1"/>
  <c r="BT13" i="3"/>
  <c r="BB8" i="3"/>
  <c r="BB137" i="3" s="1"/>
  <c r="E8" i="3"/>
  <c r="AM18" i="3"/>
  <c r="AM147" i="3" s="1"/>
  <c r="CI7" i="3"/>
  <c r="CI136" i="3" s="1"/>
  <c r="CT26" i="3"/>
  <c r="CT155" i="3" s="1"/>
  <c r="W40" i="3"/>
  <c r="AX15" i="3"/>
  <c r="AX144" i="3" s="1"/>
  <c r="BB16" i="3"/>
  <c r="BB145" i="3" s="1"/>
  <c r="C169" i="3"/>
  <c r="AJ138" i="3"/>
  <c r="BM32" i="3"/>
  <c r="BM161" i="3" s="1"/>
  <c r="CE25" i="3"/>
  <c r="CE154" i="3" s="1"/>
  <c r="AU137" i="3"/>
  <c r="CP25" i="3"/>
  <c r="CP154" i="3" s="1"/>
  <c r="K40" i="3"/>
  <c r="AM10" i="3"/>
  <c r="AM139" i="3" s="1"/>
  <c r="AU160" i="3"/>
  <c r="AJ147" i="3"/>
  <c r="EG27" i="3"/>
  <c r="EG156" i="3" s="1"/>
  <c r="CB139" i="3"/>
  <c r="D25" i="3"/>
  <c r="D154" i="3" s="1"/>
  <c r="BI39" i="3"/>
  <c r="BI168" i="3" s="1"/>
  <c r="DR39" i="3"/>
  <c r="DR168" i="3" s="1"/>
  <c r="BB15" i="3"/>
  <c r="BB144" i="3" s="1"/>
  <c r="AQ9" i="3"/>
  <c r="AQ138" i="3" s="1"/>
  <c r="BX21" i="3"/>
  <c r="BX150" i="3" s="1"/>
  <c r="BQ142" i="3"/>
  <c r="CE9" i="3"/>
  <c r="CE138" i="3" s="1"/>
  <c r="CI43" i="3"/>
  <c r="CI172" i="3" s="1"/>
  <c r="K8" i="3"/>
  <c r="K137" i="3" s="1"/>
  <c r="BF153" i="3"/>
  <c r="BI16" i="3"/>
  <c r="BI145" i="3" s="1"/>
  <c r="BX29" i="3"/>
  <c r="BX158" i="3" s="1"/>
  <c r="CI25" i="3"/>
  <c r="CI154" i="3" s="1"/>
  <c r="BM8" i="3"/>
  <c r="BM137" i="3" s="1"/>
  <c r="AL174" i="3"/>
  <c r="J45" i="3"/>
  <c r="J174" i="3" s="1"/>
  <c r="C175" i="3"/>
  <c r="W45" i="3"/>
  <c r="K46" i="3"/>
  <c r="L46" i="3" s="1"/>
  <c r="L175" i="3" s="1"/>
  <c r="J46" i="3"/>
  <c r="J175" i="3" s="1"/>
  <c r="E45" i="3"/>
  <c r="D45" i="3"/>
  <c r="D174" i="3" s="1"/>
  <c r="W46" i="3"/>
  <c r="C174" i="3"/>
  <c r="K43" i="3"/>
  <c r="W41" i="3"/>
  <c r="J43" i="3"/>
  <c r="J172" i="3" s="1"/>
  <c r="K41" i="3"/>
  <c r="W43" i="3"/>
  <c r="C170" i="3"/>
  <c r="D41" i="3"/>
  <c r="D170" i="3" s="1"/>
  <c r="E44" i="3"/>
  <c r="C172" i="3"/>
  <c r="D43" i="3"/>
  <c r="D172" i="3" s="1"/>
  <c r="W44" i="3"/>
  <c r="D44" i="3"/>
  <c r="D173" i="3" s="1"/>
  <c r="E37" i="3"/>
  <c r="B462" i="1" s="1"/>
  <c r="CS45" i="3"/>
  <c r="CS174" i="3" s="1"/>
  <c r="AP47" i="3"/>
  <c r="AP174" i="3"/>
  <c r="CZ45" i="3"/>
  <c r="CZ174" i="3" s="1"/>
  <c r="CI150" i="3"/>
  <c r="EG39" i="3"/>
  <c r="EG168" i="3" s="1"/>
  <c r="BM27" i="3"/>
  <c r="BM156" i="3" s="1"/>
  <c r="DR15" i="3"/>
  <c r="DR144" i="3" s="1"/>
  <c r="BF140" i="3"/>
  <c r="CB165" i="3"/>
  <c r="BQ152" i="3"/>
  <c r="CI29" i="3"/>
  <c r="CE21" i="3"/>
  <c r="CE150" i="3" s="1"/>
  <c r="BF155" i="3"/>
  <c r="BX9" i="3"/>
  <c r="BX138" i="3" s="1"/>
  <c r="BT9" i="3"/>
  <c r="BT138" i="3" s="1"/>
  <c r="BQ137" i="3"/>
  <c r="CI13" i="3"/>
  <c r="CK13" i="3" s="1"/>
  <c r="CK142" i="3" s="1"/>
  <c r="CI30" i="3"/>
  <c r="CI159" i="3" s="1"/>
  <c r="D36" i="3"/>
  <c r="D165" i="3" s="1"/>
  <c r="CI37" i="3"/>
  <c r="CI166" i="3" s="1"/>
  <c r="BM19" i="3"/>
  <c r="BM148" i="3" s="1"/>
  <c r="AM13" i="3"/>
  <c r="AS13" i="3" s="1"/>
  <c r="AS142" i="3" s="1"/>
  <c r="C158" i="3"/>
  <c r="CB158" i="3"/>
  <c r="CB150" i="3"/>
  <c r="BI26" i="3"/>
  <c r="BI155" i="3" s="1"/>
  <c r="AX25" i="3"/>
  <c r="AX154" i="3" s="1"/>
  <c r="CB143" i="3"/>
  <c r="BT24" i="3"/>
  <c r="BT153" i="3" s="1"/>
  <c r="BQ144" i="3"/>
  <c r="CT15" i="3"/>
  <c r="CT144" i="3" s="1"/>
  <c r="CM159" i="3"/>
  <c r="CE30" i="3"/>
  <c r="CE159" i="3" s="1"/>
  <c r="CE28" i="3"/>
  <c r="CE157" i="3" s="1"/>
  <c r="BT8" i="3"/>
  <c r="BT137" i="3" s="1"/>
  <c r="CI14" i="3"/>
  <c r="BQ136" i="3"/>
  <c r="AX38" i="3"/>
  <c r="AX167" i="3" s="1"/>
  <c r="BQ154" i="3"/>
  <c r="CE39" i="3"/>
  <c r="CT30" i="3"/>
  <c r="CT159" i="3" s="1"/>
  <c r="CM144" i="3"/>
  <c r="BT31" i="3"/>
  <c r="BT160" i="3" s="1"/>
  <c r="DR30" i="3"/>
  <c r="DR159" i="3" s="1"/>
  <c r="EG29" i="3"/>
  <c r="EG158" i="3" s="1"/>
  <c r="J12" i="3"/>
  <c r="J141" i="3" s="1"/>
  <c r="CT23" i="3"/>
  <c r="CT152" i="3" s="1"/>
  <c r="BX15" i="3"/>
  <c r="BX144" i="3" s="1"/>
  <c r="BT37" i="3"/>
  <c r="BT166" i="3" s="1"/>
  <c r="J32" i="3"/>
  <c r="J161" i="3" s="1"/>
  <c r="BX24" i="3"/>
  <c r="BX153" i="3" s="1"/>
  <c r="CE20" i="3"/>
  <c r="AU154" i="3"/>
  <c r="CB157" i="3"/>
  <c r="C141" i="3"/>
  <c r="CB142" i="3"/>
  <c r="AU167" i="3"/>
  <c r="BF156" i="3"/>
  <c r="BM11" i="3"/>
  <c r="BO11" i="3" s="1"/>
  <c r="BO140" i="3" s="1"/>
  <c r="CI39" i="3"/>
  <c r="CI168" i="3" s="1"/>
  <c r="K32" i="3"/>
  <c r="BI159" i="3"/>
  <c r="J15" i="3"/>
  <c r="J144" i="3" s="1"/>
  <c r="W35" i="3"/>
  <c r="J34" i="3"/>
  <c r="J163" i="3" s="1"/>
  <c r="AM32" i="3"/>
  <c r="AM161" i="3" s="1"/>
  <c r="W29" i="3"/>
  <c r="AX14" i="3"/>
  <c r="BD14" i="3" s="1"/>
  <c r="BD143" i="3" s="1"/>
  <c r="BF162" i="3"/>
  <c r="CI32" i="3"/>
  <c r="CI161" i="3" s="1"/>
  <c r="EG10" i="3"/>
  <c r="EG139" i="3" s="1"/>
  <c r="CX40" i="3"/>
  <c r="CX169" i="3" s="1"/>
  <c r="K15" i="3"/>
  <c r="E23" i="3"/>
  <c r="K23" i="3"/>
  <c r="AJ145" i="3"/>
  <c r="E15" i="3"/>
  <c r="EG15" i="3"/>
  <c r="EG144" i="3" s="1"/>
  <c r="J35" i="3"/>
  <c r="BU35" i="3" s="1"/>
  <c r="BU164" i="3" s="1"/>
  <c r="BB39" i="3"/>
  <c r="BB168" i="3" s="1"/>
  <c r="CP12" i="3"/>
  <c r="J21" i="3"/>
  <c r="BU21" i="3" s="1"/>
  <c r="BU150" i="3" s="1"/>
  <c r="AM22" i="3"/>
  <c r="AM151" i="3" s="1"/>
  <c r="AQ22" i="3"/>
  <c r="CB166" i="3"/>
  <c r="BQ164" i="3"/>
  <c r="CI9" i="3"/>
  <c r="CI138" i="3" s="1"/>
  <c r="EG36" i="3"/>
  <c r="EG165" i="3" s="1"/>
  <c r="D21" i="3"/>
  <c r="D150" i="3" s="1"/>
  <c r="BF141" i="3"/>
  <c r="AX29" i="3"/>
  <c r="BD29" i="3" s="1"/>
  <c r="BD158" i="3" s="1"/>
  <c r="CP18" i="3"/>
  <c r="CP147" i="3" s="1"/>
  <c r="BT19" i="3"/>
  <c r="BT148" i="3" s="1"/>
  <c r="DW156" i="3"/>
  <c r="W15" i="3"/>
  <c r="C164" i="3"/>
  <c r="BF159" i="3"/>
  <c r="AU135" i="3"/>
  <c r="AU143" i="3"/>
  <c r="CE16" i="3"/>
  <c r="K39" i="3"/>
  <c r="K168" i="3" s="1"/>
  <c r="CM141" i="3"/>
  <c r="C152" i="3"/>
  <c r="BI20" i="3"/>
  <c r="BI149" i="3" s="1"/>
  <c r="CE32" i="3"/>
  <c r="CE161" i="3" s="1"/>
  <c r="EG24" i="3"/>
  <c r="EG153" i="3" s="1"/>
  <c r="EG35" i="3"/>
  <c r="EG164" i="3" s="1"/>
  <c r="BX35" i="3"/>
  <c r="BX164" i="3" s="1"/>
  <c r="BM12" i="3"/>
  <c r="BM141" i="3" s="1"/>
  <c r="C142" i="3"/>
  <c r="AU158" i="3"/>
  <c r="CM147" i="3"/>
  <c r="BQ148" i="3"/>
  <c r="C144" i="3"/>
  <c r="E34" i="3"/>
  <c r="EG37" i="3"/>
  <c r="EG166" i="3" s="1"/>
  <c r="BM30" i="3"/>
  <c r="BM159" i="3" s="1"/>
  <c r="CB145" i="3"/>
  <c r="J37" i="3"/>
  <c r="CP10" i="3"/>
  <c r="CP139" i="3" s="1"/>
  <c r="E35" i="3"/>
  <c r="B460" i="1" s="1"/>
  <c r="E21" i="3"/>
  <c r="CM155" i="3"/>
  <c r="W13" i="3"/>
  <c r="D13" i="3"/>
  <c r="D142" i="3" s="1"/>
  <c r="K13" i="3"/>
  <c r="K142" i="3" s="1"/>
  <c r="D23" i="3"/>
  <c r="D152" i="3" s="1"/>
  <c r="BB6" i="3"/>
  <c r="BB135" i="3" s="1"/>
  <c r="J23" i="3"/>
  <c r="AY23" i="3" s="1"/>
  <c r="AY152" i="3" s="1"/>
  <c r="EG11" i="3"/>
  <c r="EG140" i="3" s="1"/>
  <c r="W21" i="3"/>
  <c r="C150" i="3"/>
  <c r="DR8" i="3"/>
  <c r="DR137" i="3" s="1"/>
  <c r="BX25" i="3"/>
  <c r="BX154" i="3" s="1"/>
  <c r="BT17" i="3"/>
  <c r="BT146" i="3" s="1"/>
  <c r="CT28" i="3"/>
  <c r="CT157" i="3" s="1"/>
  <c r="EG28" i="3"/>
  <c r="EG157" i="3" s="1"/>
  <c r="DR42" i="3"/>
  <c r="DR171" i="3" s="1"/>
  <c r="CP157" i="3"/>
  <c r="AQ158" i="3"/>
  <c r="CT137" i="3"/>
  <c r="CE167" i="3"/>
  <c r="BB167" i="3"/>
  <c r="DY19" i="3"/>
  <c r="EG31" i="3"/>
  <c r="EG160" i="3" s="1"/>
  <c r="E39" i="3"/>
  <c r="AX28" i="3"/>
  <c r="E36" i="3"/>
  <c r="B461" i="1" s="1"/>
  <c r="CT21" i="3"/>
  <c r="CT150" i="3" s="1"/>
  <c r="CE36" i="3"/>
  <c r="CE165" i="3" s="1"/>
  <c r="CB156" i="3"/>
  <c r="AJ162" i="3"/>
  <c r="CT45" i="3"/>
  <c r="CT174" i="3" s="1"/>
  <c r="K26" i="3"/>
  <c r="K155" i="3" s="1"/>
  <c r="DW139" i="3"/>
  <c r="AM7" i="3"/>
  <c r="AM136" i="3" s="1"/>
  <c r="C168" i="3"/>
  <c r="AU169" i="3"/>
  <c r="K36" i="3"/>
  <c r="L36" i="3" s="1"/>
  <c r="L165" i="3" s="1"/>
  <c r="CM157" i="3"/>
  <c r="CP14" i="3"/>
  <c r="DR11" i="3"/>
  <c r="DR140" i="3" s="1"/>
  <c r="AM20" i="3"/>
  <c r="AM149" i="3" s="1"/>
  <c r="J25" i="3"/>
  <c r="BU25" i="3" s="1"/>
  <c r="BU154" i="3" s="1"/>
  <c r="D26" i="3"/>
  <c r="D155" i="3" s="1"/>
  <c r="BB13" i="3"/>
  <c r="BB142" i="3" s="1"/>
  <c r="CX10" i="3"/>
  <c r="CX139" i="3" s="1"/>
  <c r="BQ173" i="3"/>
  <c r="AM28" i="3"/>
  <c r="CB167" i="3"/>
  <c r="BB40" i="3"/>
  <c r="CX13" i="3"/>
  <c r="CX142" i="3" s="1"/>
  <c r="J17" i="3"/>
  <c r="DR18" i="3"/>
  <c r="DR147" i="3" s="1"/>
  <c r="EG33" i="3"/>
  <c r="EG162" i="3" s="1"/>
  <c r="AM21" i="3"/>
  <c r="AS21" i="3" s="1"/>
  <c r="AS150" i="3" s="1"/>
  <c r="AJ150" i="3"/>
  <c r="DR19" i="3"/>
  <c r="DR148" i="3" s="1"/>
  <c r="CE26" i="3"/>
  <c r="CE155" i="3" s="1"/>
  <c r="AM29" i="3"/>
  <c r="AS29" i="3" s="1"/>
  <c r="AS158" i="3" s="1"/>
  <c r="BF143" i="3"/>
  <c r="W25" i="3"/>
  <c r="AQ28" i="3"/>
  <c r="AQ157" i="3" s="1"/>
  <c r="CI38" i="3"/>
  <c r="CK38" i="3" s="1"/>
  <c r="CK167" i="3" s="1"/>
  <c r="BB21" i="3"/>
  <c r="AX169" i="3"/>
  <c r="BF149" i="3"/>
  <c r="AJ158" i="3"/>
  <c r="C154" i="3"/>
  <c r="J10" i="3"/>
  <c r="J139" i="3" s="1"/>
  <c r="AX21" i="3"/>
  <c r="AX150" i="3" s="1"/>
  <c r="C146" i="3"/>
  <c r="BT27" i="3"/>
  <c r="BT156" i="3" s="1"/>
  <c r="D17" i="3"/>
  <c r="D146" i="3" s="1"/>
  <c r="BB20" i="3"/>
  <c r="BB149" i="3" s="1"/>
  <c r="J39" i="3"/>
  <c r="J168" i="3" s="1"/>
  <c r="D39" i="3"/>
  <c r="D168" i="3" s="1"/>
  <c r="W26" i="3"/>
  <c r="BF142" i="3"/>
  <c r="K17" i="3"/>
  <c r="BI13" i="3"/>
  <c r="BI142" i="3" s="1"/>
  <c r="EG18" i="3"/>
  <c r="EG147" i="3" s="1"/>
  <c r="AQ7" i="3"/>
  <c r="AQ136" i="3" s="1"/>
  <c r="AM33" i="3"/>
  <c r="AS33" i="3" s="1"/>
  <c r="AS162" i="3" s="1"/>
  <c r="AJ142" i="3"/>
  <c r="D10" i="3"/>
  <c r="D139" i="3" s="1"/>
  <c r="AQ20" i="3"/>
  <c r="C166" i="3"/>
  <c r="EG40" i="3"/>
  <c r="EG169" i="3" s="1"/>
  <c r="BX44" i="3"/>
  <c r="BX173" i="3" s="1"/>
  <c r="CT38" i="3"/>
  <c r="DR38" i="3"/>
  <c r="DR167" i="3" s="1"/>
  <c r="W17" i="3"/>
  <c r="W39" i="3"/>
  <c r="C155" i="3"/>
  <c r="BF164" i="3"/>
  <c r="CP21" i="3"/>
  <c r="DR12" i="3"/>
  <c r="DR141" i="3" s="1"/>
  <c r="CT14" i="3"/>
  <c r="E25" i="3"/>
  <c r="W10" i="3"/>
  <c r="K10" i="3"/>
  <c r="L10" i="3" s="1"/>
  <c r="L139" i="3" s="1"/>
  <c r="AX13" i="3"/>
  <c r="AX142" i="3" s="1"/>
  <c r="AQ34" i="3"/>
  <c r="AQ163" i="3" s="1"/>
  <c r="DY165" i="3"/>
  <c r="CI44" i="3"/>
  <c r="CI173" i="3" s="1"/>
  <c r="BT152" i="3"/>
  <c r="BX151" i="3"/>
  <c r="AM167" i="3"/>
  <c r="BM151" i="3"/>
  <c r="BM144" i="3"/>
  <c r="CE156" i="3"/>
  <c r="AM166" i="3"/>
  <c r="AX20" i="3"/>
  <c r="AX149" i="3" s="1"/>
  <c r="BI15" i="3"/>
  <c r="BI144" i="3" s="1"/>
  <c r="E32" i="3"/>
  <c r="CM145" i="3"/>
  <c r="AJ166" i="3"/>
  <c r="CM153" i="3"/>
  <c r="EG26" i="3"/>
  <c r="EG155" i="3" s="1"/>
  <c r="CI6" i="3"/>
  <c r="J28" i="3"/>
  <c r="C148" i="3"/>
  <c r="BQ150" i="3"/>
  <c r="BM165" i="3"/>
  <c r="BI36" i="3"/>
  <c r="BI165" i="3" s="1"/>
  <c r="CT16" i="3"/>
  <c r="BI21" i="3"/>
  <c r="AQ37" i="3"/>
  <c r="AQ166" i="3" s="1"/>
  <c r="DR17" i="3"/>
  <c r="DR146" i="3" s="1"/>
  <c r="CX21" i="3"/>
  <c r="CX150" i="3" s="1"/>
  <c r="E20" i="3"/>
  <c r="J27" i="3"/>
  <c r="BJ27" i="3" s="1"/>
  <c r="BJ156" i="3" s="1"/>
  <c r="J20" i="3"/>
  <c r="EG12" i="3"/>
  <c r="EG141" i="3" s="1"/>
  <c r="BQ139" i="3"/>
  <c r="BX10" i="3"/>
  <c r="BZ10" i="3" s="1"/>
  <c r="BZ139" i="3" s="1"/>
  <c r="C149" i="3"/>
  <c r="CM152" i="3"/>
  <c r="AM30" i="3"/>
  <c r="CP24" i="3"/>
  <c r="AM12" i="3"/>
  <c r="BM14" i="3"/>
  <c r="BO14" i="3" s="1"/>
  <c r="BO143" i="3" s="1"/>
  <c r="EG41" i="3"/>
  <c r="EG170" i="3" s="1"/>
  <c r="BI9" i="3"/>
  <c r="AJ160" i="3"/>
  <c r="CX28" i="3"/>
  <c r="CX157" i="3" s="1"/>
  <c r="AQ24" i="3"/>
  <c r="AQ153" i="3" s="1"/>
  <c r="BM21" i="3"/>
  <c r="BX30" i="3"/>
  <c r="K12" i="3"/>
  <c r="K20" i="3"/>
  <c r="C156" i="3"/>
  <c r="DR21" i="3"/>
  <c r="DR150" i="3" s="1"/>
  <c r="CM138" i="3"/>
  <c r="AM34" i="3"/>
  <c r="DR24" i="3"/>
  <c r="DR153" i="3" s="1"/>
  <c r="BB27" i="3"/>
  <c r="BB156" i="3" s="1"/>
  <c r="CB170" i="3"/>
  <c r="AU172" i="3"/>
  <c r="AJ167" i="3"/>
  <c r="BF138" i="3"/>
  <c r="AM31" i="3"/>
  <c r="DR14" i="3"/>
  <c r="DR143" i="3" s="1"/>
  <c r="CI19" i="3"/>
  <c r="CP29" i="3"/>
  <c r="CP158" i="3" s="1"/>
  <c r="DR22" i="3"/>
  <c r="DR151" i="3" s="1"/>
  <c r="AM24" i="3"/>
  <c r="AJ135" i="3"/>
  <c r="CE11" i="3"/>
  <c r="DR10" i="3"/>
  <c r="DR139" i="3" s="1"/>
  <c r="DY169" i="3"/>
  <c r="AQ39" i="3"/>
  <c r="BB26" i="3"/>
  <c r="BD26" i="3" s="1"/>
  <c r="BD155" i="3" s="1"/>
  <c r="D20" i="3"/>
  <c r="D149" i="3" s="1"/>
  <c r="W12" i="3"/>
  <c r="EG9" i="3"/>
  <c r="EG138" i="3" s="1"/>
  <c r="E28" i="3"/>
  <c r="C157" i="3"/>
  <c r="EG16" i="3"/>
  <c r="EG145" i="3" s="1"/>
  <c r="EG17" i="3"/>
  <c r="EG146" i="3" s="1"/>
  <c r="CI27" i="3"/>
  <c r="BF151" i="3"/>
  <c r="BF158" i="3"/>
  <c r="DR25" i="3"/>
  <c r="DR154" i="3" s="1"/>
  <c r="DR9" i="3"/>
  <c r="DR138" i="3" s="1"/>
  <c r="CI41" i="3"/>
  <c r="BF172" i="3"/>
  <c r="BM44" i="3"/>
  <c r="BM173" i="3" s="1"/>
  <c r="AQ38" i="3"/>
  <c r="W28" i="3"/>
  <c r="BF165" i="3"/>
  <c r="CP38" i="3"/>
  <c r="BX23" i="3"/>
  <c r="AX11" i="3"/>
  <c r="AX140" i="3" s="1"/>
  <c r="D32" i="3"/>
  <c r="D161" i="3" s="1"/>
  <c r="BQ151" i="3"/>
  <c r="CE19" i="3"/>
  <c r="CE148" i="3" s="1"/>
  <c r="CX38" i="3"/>
  <c r="CX167" i="3" s="1"/>
  <c r="CT29" i="3"/>
  <c r="AM6" i="3"/>
  <c r="CB140" i="3"/>
  <c r="AM39" i="3"/>
  <c r="AM168" i="3" s="1"/>
  <c r="D27" i="3"/>
  <c r="D156" i="3" s="1"/>
  <c r="W27" i="3"/>
  <c r="CB135" i="3"/>
  <c r="EG21" i="3"/>
  <c r="EG150" i="3" s="1"/>
  <c r="CP9" i="3"/>
  <c r="CP138" i="3" s="1"/>
  <c r="CI26" i="3"/>
  <c r="BM35" i="3"/>
  <c r="K28" i="3"/>
  <c r="BI29" i="3"/>
  <c r="BI158" i="3" s="1"/>
  <c r="AU156" i="3"/>
  <c r="BI22" i="3"/>
  <c r="BI151" i="3" s="1"/>
  <c r="CM154" i="3"/>
  <c r="AM41" i="3"/>
  <c r="AS41" i="3" s="1"/>
  <c r="AS170" i="3" s="1"/>
  <c r="AJ171" i="3"/>
  <c r="D12" i="3"/>
  <c r="D141" i="3" s="1"/>
  <c r="W32" i="3"/>
  <c r="CX27" i="3"/>
  <c r="CX156" i="3" s="1"/>
  <c r="CX29" i="3"/>
  <c r="CX158" i="3" s="1"/>
  <c r="DR16" i="3"/>
  <c r="DR145" i="3" s="1"/>
  <c r="CX6" i="3"/>
  <c r="CX135" i="3" s="1"/>
  <c r="E27" i="3"/>
  <c r="BX17" i="3"/>
  <c r="AJ159" i="3"/>
  <c r="AJ141" i="3"/>
  <c r="AQ43" i="3"/>
  <c r="AM152" i="3"/>
  <c r="BB154" i="3"/>
  <c r="BB18" i="3"/>
  <c r="BB147" i="3" s="1"/>
  <c r="AX18" i="3"/>
  <c r="AU147" i="3"/>
  <c r="BI156" i="3"/>
  <c r="BB34" i="3"/>
  <c r="AX34" i="3"/>
  <c r="AU163" i="3"/>
  <c r="CI165" i="3"/>
  <c r="AJ169" i="3"/>
  <c r="AM40" i="3"/>
  <c r="AQ40" i="3"/>
  <c r="DH169" i="3"/>
  <c r="DR40" i="3"/>
  <c r="DR169" i="3" s="1"/>
  <c r="K9" i="3"/>
  <c r="J9" i="3"/>
  <c r="E9" i="3"/>
  <c r="CX9" i="3"/>
  <c r="CX138" i="3" s="1"/>
  <c r="D9" i="3"/>
  <c r="D138" i="3" s="1"/>
  <c r="C138" i="3"/>
  <c r="W9" i="3"/>
  <c r="AX24" i="3"/>
  <c r="AU153" i="3"/>
  <c r="BM7" i="3"/>
  <c r="BI7" i="3"/>
  <c r="BI136" i="3" s="1"/>
  <c r="BT28" i="3"/>
  <c r="BX28" i="3"/>
  <c r="BQ157" i="3"/>
  <c r="CT7" i="3"/>
  <c r="CT136" i="3" s="1"/>
  <c r="CM136" i="3"/>
  <c r="CP7" i="3"/>
  <c r="CP136" i="3" s="1"/>
  <c r="BF166" i="3"/>
  <c r="BM37" i="3"/>
  <c r="BM166" i="3" s="1"/>
  <c r="CX37" i="3"/>
  <c r="CX166" i="3" s="1"/>
  <c r="BI37" i="3"/>
  <c r="CT39" i="3"/>
  <c r="CM168" i="3"/>
  <c r="CP39" i="3"/>
  <c r="CP168" i="3" s="1"/>
  <c r="CP33" i="3"/>
  <c r="CT33" i="3"/>
  <c r="J31" i="3"/>
  <c r="W31" i="3"/>
  <c r="CX31" i="3"/>
  <c r="CX160" i="3" s="1"/>
  <c r="K31" i="3"/>
  <c r="C160" i="3"/>
  <c r="E31" i="3"/>
  <c r="D24" i="3"/>
  <c r="D153" i="3" s="1"/>
  <c r="CX24" i="3"/>
  <c r="CX153" i="3" s="1"/>
  <c r="W16" i="3"/>
  <c r="CX16" i="3"/>
  <c r="CX145" i="3" s="1"/>
  <c r="J16" i="3"/>
  <c r="E16" i="3"/>
  <c r="D16" i="3"/>
  <c r="D145" i="3" s="1"/>
  <c r="C145" i="3"/>
  <c r="AM138" i="3"/>
  <c r="BX143" i="3"/>
  <c r="CI15" i="3"/>
  <c r="CB144" i="3"/>
  <c r="CX15" i="3"/>
  <c r="CX144" i="3" s="1"/>
  <c r="CM149" i="3"/>
  <c r="CX20" i="3"/>
  <c r="CX149" i="3" s="1"/>
  <c r="CP20" i="3"/>
  <c r="CT20" i="3"/>
  <c r="CP13" i="3"/>
  <c r="CM142" i="3"/>
  <c r="CT13" i="3"/>
  <c r="DY159" i="3"/>
  <c r="EG30" i="3"/>
  <c r="EG159" i="3" s="1"/>
  <c r="DY151" i="3"/>
  <c r="EG22" i="3"/>
  <c r="EG151" i="3" s="1"/>
  <c r="BF167" i="3"/>
  <c r="BI38" i="3"/>
  <c r="BM38" i="3"/>
  <c r="AJ148" i="3"/>
  <c r="AM19" i="3"/>
  <c r="AQ19" i="3"/>
  <c r="AQ148" i="3" s="1"/>
  <c r="DR29" i="3"/>
  <c r="DR158" i="3" s="1"/>
  <c r="DH158" i="3"/>
  <c r="AX45" i="3"/>
  <c r="AX174" i="3" s="1"/>
  <c r="BB45" i="3"/>
  <c r="BB174" i="3" s="1"/>
  <c r="DH166" i="3"/>
  <c r="DR37" i="3"/>
  <c r="DR166" i="3" s="1"/>
  <c r="BI152" i="3"/>
  <c r="AM8" i="3"/>
  <c r="AM137" i="3" s="1"/>
  <c r="AQ8" i="3"/>
  <c r="AJ137" i="3"/>
  <c r="BB30" i="3"/>
  <c r="CX30" i="3"/>
  <c r="CX159" i="3" s="1"/>
  <c r="AU159" i="3"/>
  <c r="AX30" i="3"/>
  <c r="CB151" i="3"/>
  <c r="CE22" i="3"/>
  <c r="CX22" i="3"/>
  <c r="CX151" i="3" s="1"/>
  <c r="DJ157" i="3"/>
  <c r="DR28" i="3"/>
  <c r="DR157" i="3" s="1"/>
  <c r="EG8" i="3"/>
  <c r="EG137" i="3" s="1"/>
  <c r="DW137" i="3"/>
  <c r="CE166" i="3"/>
  <c r="AM14" i="3"/>
  <c r="AJ143" i="3"/>
  <c r="AQ14" i="3"/>
  <c r="CX14" i="3"/>
  <c r="CX143" i="3" s="1"/>
  <c r="AX135" i="3"/>
  <c r="BM23" i="3"/>
  <c r="BM152" i="3" s="1"/>
  <c r="BF152" i="3"/>
  <c r="CX23" i="3"/>
  <c r="CX152" i="3" s="1"/>
  <c r="BI17" i="3"/>
  <c r="BM17" i="3"/>
  <c r="DJ163" i="3"/>
  <c r="DR34" i="3"/>
  <c r="DR163" i="3" s="1"/>
  <c r="BT16" i="3"/>
  <c r="BX16" i="3"/>
  <c r="BQ145" i="3"/>
  <c r="CM162" i="3"/>
  <c r="BX11" i="3"/>
  <c r="BZ11" i="3" s="1"/>
  <c r="BZ140" i="3" s="1"/>
  <c r="BQ140" i="3"/>
  <c r="CX11" i="3"/>
  <c r="CX140" i="3" s="1"/>
  <c r="DH152" i="3"/>
  <c r="DR23" i="3"/>
  <c r="DR152" i="3" s="1"/>
  <c r="DW152" i="3"/>
  <c r="EG23" i="3"/>
  <c r="EG152" i="3" s="1"/>
  <c r="AM35" i="3"/>
  <c r="AQ35" i="3"/>
  <c r="AJ164" i="3"/>
  <c r="CX35" i="3"/>
  <c r="CX164" i="3" s="1"/>
  <c r="DJ164" i="3"/>
  <c r="DR35" i="3"/>
  <c r="DR164" i="3" s="1"/>
  <c r="CM171" i="3"/>
  <c r="BI43" i="3"/>
  <c r="BI172" i="3" s="1"/>
  <c r="CP45" i="3"/>
  <c r="AM44" i="3"/>
  <c r="AM173" i="3" s="1"/>
  <c r="D6" i="3"/>
  <c r="D135" i="3" s="1"/>
  <c r="CT42" i="3"/>
  <c r="DR43" i="3"/>
  <c r="DR172" i="3" s="1"/>
  <c r="AX44" i="3"/>
  <c r="AU155" i="3"/>
  <c r="DR41" i="3"/>
  <c r="DR170" i="3" s="1"/>
  <c r="CX42" i="3"/>
  <c r="CX171" i="3" s="1"/>
  <c r="DH171" i="3"/>
  <c r="BM45" i="3"/>
  <c r="BO45" i="3" s="1"/>
  <c r="BO174" i="3" s="1"/>
  <c r="CX26" i="3"/>
  <c r="CX155" i="3" s="1"/>
  <c r="J36" i="3"/>
  <c r="CB173" i="3"/>
  <c r="AJ173" i="3"/>
  <c r="BT43" i="3"/>
  <c r="EG46" i="3"/>
  <c r="EG175" i="3" s="1"/>
  <c r="DY175" i="3"/>
  <c r="DR46" i="3"/>
  <c r="DR175" i="3" s="1"/>
  <c r="CE46" i="3"/>
  <c r="CE175" i="3" s="1"/>
  <c r="CB175" i="3"/>
  <c r="CI46" i="3"/>
  <c r="CI175" i="3" s="1"/>
  <c r="BT46" i="3"/>
  <c r="BT175" i="3" s="1"/>
  <c r="BQ175" i="3"/>
  <c r="BI46" i="3"/>
  <c r="BM46" i="3"/>
  <c r="AM46" i="3"/>
  <c r="AM175" i="3" s="1"/>
  <c r="AJ175" i="3"/>
  <c r="DH142" i="3"/>
  <c r="DR13" i="3"/>
  <c r="DR142" i="3" s="1"/>
  <c r="CB163" i="3"/>
  <c r="CX34" i="3"/>
  <c r="CX163" i="3" s="1"/>
  <c r="CE34" i="3"/>
  <c r="CI34" i="3"/>
  <c r="AQ170" i="3"/>
  <c r="W18" i="3"/>
  <c r="D18" i="3"/>
  <c r="D147" i="3" s="1"/>
  <c r="E18" i="3"/>
  <c r="K18" i="3"/>
  <c r="C147" i="3"/>
  <c r="AX32" i="3"/>
  <c r="AU161" i="3"/>
  <c r="CX32" i="3"/>
  <c r="CX161" i="3" s="1"/>
  <c r="BB32" i="3"/>
  <c r="BI25" i="3"/>
  <c r="BM25" i="3"/>
  <c r="BF154" i="3"/>
  <c r="CI157" i="3"/>
  <c r="CT22" i="3"/>
  <c r="CP22" i="3"/>
  <c r="BB143" i="3"/>
  <c r="BI153" i="3"/>
  <c r="DJ135" i="3"/>
  <c r="DR6" i="3"/>
  <c r="DR135" i="3" s="1"/>
  <c r="E11" i="3"/>
  <c r="C140" i="3"/>
  <c r="K11" i="3"/>
  <c r="CI17" i="3"/>
  <c r="CE17" i="3"/>
  <c r="CB146" i="3"/>
  <c r="W24" i="3"/>
  <c r="C153" i="3"/>
  <c r="E24" i="3"/>
  <c r="K24" i="3"/>
  <c r="J24" i="3"/>
  <c r="BJ24" i="3" s="1"/>
  <c r="BJ153" i="3" s="1"/>
  <c r="DJ149" i="3"/>
  <c r="DR20" i="3"/>
  <c r="DR149" i="3" s="1"/>
  <c r="EG13" i="3"/>
  <c r="EG142" i="3" s="1"/>
  <c r="DY142" i="3"/>
  <c r="AX37" i="3"/>
  <c r="BB37" i="3"/>
  <c r="AU166" i="3"/>
  <c r="CE170" i="3"/>
  <c r="CX17" i="3"/>
  <c r="CX146" i="3" s="1"/>
  <c r="CX36" i="3"/>
  <c r="CX165" i="3" s="1"/>
  <c r="AX35" i="3"/>
  <c r="AU164" i="3"/>
  <c r="BB35" i="3"/>
  <c r="CT41" i="3"/>
  <c r="CM170" i="3"/>
  <c r="CP41" i="3"/>
  <c r="BX172" i="3"/>
  <c r="DW154" i="3"/>
  <c r="EG25" i="3"/>
  <c r="EG154" i="3" s="1"/>
  <c r="BT39" i="3"/>
  <c r="BX39" i="3"/>
  <c r="DY172" i="3"/>
  <c r="EG43" i="3"/>
  <c r="EG172" i="3" s="1"/>
  <c r="D7" i="3"/>
  <c r="D136" i="3" s="1"/>
  <c r="E7" i="3"/>
  <c r="CX7" i="3"/>
  <c r="CX136" i="3" s="1"/>
  <c r="K7" i="3"/>
  <c r="J7" i="3"/>
  <c r="W7" i="3"/>
  <c r="C136" i="3"/>
  <c r="BQ149" i="3"/>
  <c r="BX20" i="3"/>
  <c r="BT20" i="3"/>
  <c r="CP31" i="3"/>
  <c r="CM160" i="3"/>
  <c r="DJ155" i="3"/>
  <c r="DR26" i="3"/>
  <c r="DR155" i="3" s="1"/>
  <c r="DY149" i="3"/>
  <c r="EG20" i="3"/>
  <c r="EG149" i="3" s="1"/>
  <c r="DR45" i="3"/>
  <c r="DR174" i="3" s="1"/>
  <c r="DJ174" i="3"/>
  <c r="AJ155" i="3"/>
  <c r="AQ26" i="3"/>
  <c r="AM26" i="3"/>
  <c r="CX39" i="3"/>
  <c r="CX168" i="3" s="1"/>
  <c r="E29" i="3"/>
  <c r="J29" i="3"/>
  <c r="D29" i="3"/>
  <c r="D158" i="3" s="1"/>
  <c r="BB22" i="3"/>
  <c r="AU151" i="3"/>
  <c r="AX22" i="3"/>
  <c r="BM138" i="3"/>
  <c r="BX32" i="3"/>
  <c r="BT32" i="3"/>
  <c r="BQ161" i="3"/>
  <c r="CI160" i="3"/>
  <c r="CE12" i="3"/>
  <c r="CX12" i="3"/>
  <c r="CX141" i="3" s="1"/>
  <c r="CB141" i="3"/>
  <c r="CI12" i="3"/>
  <c r="CP17" i="3"/>
  <c r="CT17" i="3"/>
  <c r="CM146" i="3"/>
  <c r="DH136" i="3"/>
  <c r="DR7" i="3"/>
  <c r="DR136" i="3" s="1"/>
  <c r="BT41" i="3"/>
  <c r="BT170" i="3" s="1"/>
  <c r="AQ42" i="3"/>
  <c r="AS42" i="3" s="1"/>
  <c r="AS171" i="3" s="1"/>
  <c r="AM45" i="3"/>
  <c r="AM174" i="3" s="1"/>
  <c r="BI44" i="3"/>
  <c r="CT10" i="3"/>
  <c r="DR33" i="3"/>
  <c r="DR162" i="3" s="1"/>
  <c r="W37" i="3"/>
  <c r="BQ172" i="3"/>
  <c r="K37" i="3"/>
  <c r="D37" i="3"/>
  <c r="D166" i="3" s="1"/>
  <c r="AM171" i="3"/>
  <c r="CE45" i="3"/>
  <c r="AQ45" i="3"/>
  <c r="CM173" i="3"/>
  <c r="BF146" i="3"/>
  <c r="AU171" i="3"/>
  <c r="AJ172" i="3"/>
  <c r="BF174" i="3"/>
  <c r="EG44" i="3"/>
  <c r="EG173" i="3" s="1"/>
  <c r="CX44" i="3"/>
  <c r="CX173" i="3" s="1"/>
  <c r="BX46" i="3"/>
  <c r="AX42" i="3"/>
  <c r="BD42" i="3" s="1"/>
  <c r="BD171" i="3" s="1"/>
  <c r="BB43" i="3"/>
  <c r="BD43" i="3" s="1"/>
  <c r="BD172" i="3" s="1"/>
  <c r="CB174" i="3"/>
  <c r="AU174" i="3"/>
  <c r="DR44" i="3"/>
  <c r="DR173" i="3" s="1"/>
  <c r="CT44" i="3"/>
  <c r="CV44" i="3" s="1"/>
  <c r="CV173" i="3" s="1"/>
  <c r="CT166" i="3"/>
  <c r="BX165" i="3"/>
  <c r="BM142" i="3"/>
  <c r="BB33" i="3"/>
  <c r="AU162" i="3"/>
  <c r="AX33" i="3"/>
  <c r="CX33" i="3"/>
  <c r="CX162" i="3" s="1"/>
  <c r="EG32" i="3"/>
  <c r="EG161" i="3" s="1"/>
  <c r="DW161" i="3"/>
  <c r="CX19" i="3"/>
  <c r="CX148" i="3" s="1"/>
  <c r="AX19" i="3"/>
  <c r="BB19" i="3"/>
  <c r="AU148" i="3"/>
  <c r="DR32" i="3"/>
  <c r="DR161" i="3" s="1"/>
  <c r="DH161" i="3"/>
  <c r="AX7" i="3"/>
  <c r="BB7" i="3"/>
  <c r="BI28" i="3"/>
  <c r="BM28" i="3"/>
  <c r="CI8" i="3"/>
  <c r="CE8" i="3"/>
  <c r="CB137" i="3"/>
  <c r="CX8" i="3"/>
  <c r="CX137" i="3" s="1"/>
  <c r="CE18" i="3"/>
  <c r="CI18" i="3"/>
  <c r="CB147" i="3"/>
  <c r="CX18" i="3"/>
  <c r="CX147" i="3" s="1"/>
  <c r="CT161" i="3"/>
  <c r="AJ154" i="3"/>
  <c r="AM25" i="3"/>
  <c r="AQ25" i="3"/>
  <c r="CX25" i="3"/>
  <c r="CX154" i="3" s="1"/>
  <c r="DR36" i="3"/>
  <c r="DR165" i="3" s="1"/>
  <c r="DH165" i="3"/>
  <c r="BQ165" i="3"/>
  <c r="BT36" i="3"/>
  <c r="CP34" i="3"/>
  <c r="CT34" i="3"/>
  <c r="CM163" i="3"/>
  <c r="BF139" i="3"/>
  <c r="BM10" i="3"/>
  <c r="CT35" i="3"/>
  <c r="CP35" i="3"/>
  <c r="CT46" i="3"/>
  <c r="CP46" i="3"/>
  <c r="CP175" i="3" s="1"/>
  <c r="D19" i="3"/>
  <c r="D148" i="3" s="1"/>
  <c r="K19" i="3"/>
  <c r="J19" i="3"/>
  <c r="E19" i="3"/>
  <c r="AU141" i="3"/>
  <c r="AX12" i="3"/>
  <c r="AM172" i="3"/>
  <c r="W11" i="3"/>
  <c r="J11" i="3"/>
  <c r="BX45" i="3"/>
  <c r="BT45" i="3"/>
  <c r="BQ174" i="3"/>
  <c r="BI174" i="3"/>
  <c r="D11" i="3"/>
  <c r="D140" i="3" s="1"/>
  <c r="BI10" i="3"/>
  <c r="BT12" i="3"/>
  <c r="BX12" i="3"/>
  <c r="DH160" i="3"/>
  <c r="DR31" i="3"/>
  <c r="DR160" i="3" s="1"/>
  <c r="CT172" i="3"/>
  <c r="CM172" i="3"/>
  <c r="CX43" i="3"/>
  <c r="CX172" i="3" s="1"/>
  <c r="CP43" i="3"/>
  <c r="DY174" i="3"/>
  <c r="EG45" i="3"/>
  <c r="EG174" i="3" s="1"/>
  <c r="BM172" i="3"/>
  <c r="BB46" i="3"/>
  <c r="AX46" i="3"/>
  <c r="AX175" i="3" s="1"/>
  <c r="AJ170" i="3"/>
  <c r="CX41" i="3"/>
  <c r="CX170" i="3" s="1"/>
  <c r="BF171" i="3"/>
  <c r="BI42" i="3"/>
  <c r="EG42" i="3"/>
  <c r="EG171" i="3" s="1"/>
  <c r="DY171" i="3"/>
  <c r="AX41" i="3"/>
  <c r="BB41" i="3"/>
  <c r="BX42" i="3"/>
  <c r="BT42" i="3"/>
  <c r="BQ171" i="3"/>
  <c r="AX172" i="3"/>
  <c r="CI174" i="3"/>
  <c r="CP173" i="3"/>
  <c r="BT173" i="3"/>
  <c r="BM42" i="3"/>
  <c r="CI171" i="3"/>
  <c r="CE173" i="3"/>
  <c r="AQ173" i="3"/>
  <c r="BF170" i="3"/>
  <c r="BB44" i="3"/>
  <c r="CX46" i="3"/>
  <c r="CX175" i="3" s="1"/>
  <c r="BM41" i="3"/>
  <c r="CB171" i="3"/>
  <c r="CX45" i="3"/>
  <c r="CX174" i="3" s="1"/>
  <c r="CE42" i="3"/>
  <c r="CK42" i="3" s="1"/>
  <c r="CK171" i="3" s="1"/>
  <c r="BX41" i="3"/>
  <c r="JA380" i="2"/>
  <c r="K5" i="3"/>
  <c r="C134" i="3"/>
  <c r="W5" i="3"/>
  <c r="D5" i="3"/>
  <c r="E5" i="3"/>
  <c r="J5" i="3"/>
  <c r="JD384" i="2"/>
  <c r="JD380" i="2"/>
  <c r="JD376" i="2"/>
  <c r="JG374" i="2"/>
  <c r="JG378" i="2"/>
  <c r="JG381" i="2"/>
  <c r="JG382" i="2"/>
  <c r="JD382" i="2"/>
  <c r="JD374" i="2"/>
  <c r="JD378" i="2"/>
  <c r="JD383" i="2"/>
  <c r="JD379" i="2"/>
  <c r="JD375" i="2"/>
  <c r="JD381" i="2"/>
  <c r="JD377" i="2"/>
  <c r="JD373" i="2"/>
  <c r="AC7" i="3" l="1"/>
  <c r="BK461" i="1"/>
  <c r="EK36" i="3"/>
  <c r="EL36" i="3" s="1"/>
  <c r="BK463" i="1"/>
  <c r="EK38" i="3"/>
  <c r="EL38" i="3" s="1"/>
  <c r="BK462" i="1"/>
  <c r="EK37" i="3"/>
  <c r="EL37" i="3" s="1"/>
  <c r="BK460" i="1"/>
  <c r="EK35" i="3"/>
  <c r="EL35" i="3" s="1"/>
  <c r="BK471" i="1"/>
  <c r="EK46" i="3"/>
  <c r="EL46" i="3" s="1"/>
  <c r="R536" i="1"/>
  <c r="T536" i="1" s="1"/>
  <c r="L560" i="1"/>
  <c r="T533" i="1"/>
  <c r="T531" i="1"/>
  <c r="BO5" i="3"/>
  <c r="BO134" i="3" s="1"/>
  <c r="CV5" i="3"/>
  <c r="CV134" i="3" s="1"/>
  <c r="L561" i="1"/>
  <c r="CK5" i="3"/>
  <c r="CK134" i="3" s="1"/>
  <c r="E138" i="3"/>
  <c r="B434" i="1"/>
  <c r="E135" i="3"/>
  <c r="B431" i="1"/>
  <c r="E155" i="3"/>
  <c r="B451" i="1"/>
  <c r="E158" i="3"/>
  <c r="B454" i="1"/>
  <c r="E153" i="3"/>
  <c r="B449" i="1"/>
  <c r="E140" i="3"/>
  <c r="B436" i="1"/>
  <c r="E144" i="3"/>
  <c r="B440" i="1"/>
  <c r="E171" i="3"/>
  <c r="B467" i="1"/>
  <c r="E148" i="3"/>
  <c r="B444" i="1"/>
  <c r="E147" i="3"/>
  <c r="B443" i="1"/>
  <c r="E149" i="3"/>
  <c r="B445" i="1"/>
  <c r="E161" i="3"/>
  <c r="B457" i="1"/>
  <c r="E154" i="3"/>
  <c r="B450" i="1"/>
  <c r="E141" i="3"/>
  <c r="B437" i="1"/>
  <c r="E159" i="3"/>
  <c r="B455" i="1"/>
  <c r="E160" i="3"/>
  <c r="B456" i="1"/>
  <c r="E163" i="3"/>
  <c r="B459" i="1"/>
  <c r="E151" i="3"/>
  <c r="B447" i="1"/>
  <c r="E157" i="3"/>
  <c r="B453" i="1"/>
  <c r="E168" i="3"/>
  <c r="B464" i="1"/>
  <c r="E150" i="3"/>
  <c r="B446" i="1"/>
  <c r="E152" i="3"/>
  <c r="B448" i="1"/>
  <c r="E173" i="3"/>
  <c r="B469" i="1"/>
  <c r="E169" i="3"/>
  <c r="B465" i="1"/>
  <c r="E172" i="3"/>
  <c r="B468" i="1"/>
  <c r="E145" i="3"/>
  <c r="B441" i="1"/>
  <c r="E134" i="3"/>
  <c r="B430" i="1"/>
  <c r="EK5" i="3" s="1"/>
  <c r="EL5" i="3" s="1"/>
  <c r="E136" i="3"/>
  <c r="B432" i="1"/>
  <c r="E156" i="3"/>
  <c r="B452" i="1"/>
  <c r="E139" i="3"/>
  <c r="B435" i="1"/>
  <c r="E142" i="3"/>
  <c r="B438" i="1"/>
  <c r="E146" i="3"/>
  <c r="B442" i="1"/>
  <c r="E174" i="3"/>
  <c r="B470" i="1"/>
  <c r="E137" i="3"/>
  <c r="B433" i="1"/>
  <c r="E143" i="3"/>
  <c r="B439" i="1"/>
  <c r="E162" i="3"/>
  <c r="B458" i="1"/>
  <c r="E170" i="3"/>
  <c r="B466" i="1"/>
  <c r="AS5" i="3"/>
  <c r="AS134" i="3" s="1"/>
  <c r="K470" i="1"/>
  <c r="L45" i="3"/>
  <c r="L174" i="3" s="1"/>
  <c r="K567" i="1"/>
  <c r="L567" i="1" s="1"/>
  <c r="CF38" i="3"/>
  <c r="CF167" i="3" s="1"/>
  <c r="E588" i="1"/>
  <c r="F587" i="1"/>
  <c r="BU44" i="3"/>
  <c r="BU173" i="3" s="1"/>
  <c r="BZ5" i="3"/>
  <c r="BZ134" i="3" s="1"/>
  <c r="BD5" i="3"/>
  <c r="BD134" i="3" s="1"/>
  <c r="E167" i="3"/>
  <c r="C511" i="1"/>
  <c r="E166" i="3"/>
  <c r="BU38" i="3"/>
  <c r="BU167" i="3" s="1"/>
  <c r="AN38" i="3"/>
  <c r="AN167" i="3" s="1"/>
  <c r="BO6" i="3"/>
  <c r="BO135" i="3" s="1"/>
  <c r="CQ38" i="3"/>
  <c r="CQ167" i="3" s="1"/>
  <c r="E175" i="3"/>
  <c r="E164" i="3"/>
  <c r="BZ38" i="3"/>
  <c r="BZ167" i="3" s="1"/>
  <c r="L34" i="3"/>
  <c r="L163" i="3" s="1"/>
  <c r="K130" i="3"/>
  <c r="L130" i="3" s="1"/>
  <c r="K173" i="3"/>
  <c r="W163" i="3"/>
  <c r="R500" i="1"/>
  <c r="T500" i="1" s="1"/>
  <c r="X34" i="3"/>
  <c r="X163" i="3" s="1"/>
  <c r="AX146" i="3"/>
  <c r="BJ41" i="3"/>
  <c r="BJ170" i="3" s="1"/>
  <c r="CF41" i="3"/>
  <c r="CF170" i="3" s="1"/>
  <c r="K167" i="3"/>
  <c r="L38" i="3"/>
  <c r="L167" i="3" s="1"/>
  <c r="X42" i="3"/>
  <c r="X171" i="3" s="1"/>
  <c r="K171" i="3"/>
  <c r="AR46" i="3"/>
  <c r="AR175" i="3" s="1"/>
  <c r="CJ20" i="3"/>
  <c r="CJ149" i="3" s="1"/>
  <c r="W167" i="3"/>
  <c r="BJ46" i="3"/>
  <c r="BJ175" i="3" s="1"/>
  <c r="BN43" i="3"/>
  <c r="BN172" i="3" s="1"/>
  <c r="CJ45" i="3"/>
  <c r="CJ174" i="3" s="1"/>
  <c r="X8" i="3"/>
  <c r="X137" i="3" s="1"/>
  <c r="BU43" i="3"/>
  <c r="BU172" i="3" s="1"/>
  <c r="P467" i="1"/>
  <c r="AR44" i="3"/>
  <c r="AR173" i="3" s="1"/>
  <c r="X19" i="3"/>
  <c r="X148" i="3" s="1"/>
  <c r="AY43" i="3"/>
  <c r="AY172" i="3" s="1"/>
  <c r="BC34" i="3"/>
  <c r="BC163" i="3" s="1"/>
  <c r="P459" i="1"/>
  <c r="AR41" i="3"/>
  <c r="AR170" i="3" s="1"/>
  <c r="W135" i="3"/>
  <c r="K164" i="3"/>
  <c r="BC38" i="3"/>
  <c r="BC167" i="3" s="1"/>
  <c r="L35" i="3"/>
  <c r="L164" i="3" s="1"/>
  <c r="CU38" i="3"/>
  <c r="CU167" i="3" s="1"/>
  <c r="Y38" i="3"/>
  <c r="Y167" i="3" s="1"/>
  <c r="P463" i="1"/>
  <c r="K469" i="1"/>
  <c r="E165" i="3"/>
  <c r="BY43" i="3"/>
  <c r="BY172" i="3" s="1"/>
  <c r="X38" i="3"/>
  <c r="X167" i="3" s="1"/>
  <c r="CV6" i="3"/>
  <c r="CV135" i="3" s="1"/>
  <c r="K150" i="3"/>
  <c r="K143" i="3"/>
  <c r="Y8" i="3"/>
  <c r="Y137" i="3" s="1"/>
  <c r="W171" i="3"/>
  <c r="BC42" i="3"/>
  <c r="BC171" i="3" s="1"/>
  <c r="CJ42" i="3"/>
  <c r="CJ171" i="3" s="1"/>
  <c r="CU42" i="3"/>
  <c r="CU171" i="3" s="1"/>
  <c r="Y42" i="3"/>
  <c r="Y171" i="3" s="1"/>
  <c r="AN42" i="3"/>
  <c r="AN171" i="3" s="1"/>
  <c r="CQ44" i="3"/>
  <c r="CQ173" i="3" s="1"/>
  <c r="CQ42" i="3"/>
  <c r="CQ171" i="3" s="1"/>
  <c r="BY44" i="3"/>
  <c r="BY173" i="3" s="1"/>
  <c r="BD9" i="3"/>
  <c r="BD138" i="3" s="1"/>
  <c r="L27" i="3"/>
  <c r="L156" i="3" s="1"/>
  <c r="X20" i="3"/>
  <c r="X149" i="3" s="1"/>
  <c r="BD36" i="3"/>
  <c r="BD165" i="3" s="1"/>
  <c r="DB44" i="3"/>
  <c r="DB173" i="3" s="1"/>
  <c r="AR43" i="3"/>
  <c r="AR172" i="3" s="1"/>
  <c r="L25" i="3"/>
  <c r="L154" i="3" s="1"/>
  <c r="BU18" i="3"/>
  <c r="BU147" i="3" s="1"/>
  <c r="L29" i="3"/>
  <c r="L158" i="3" s="1"/>
  <c r="K467" i="1"/>
  <c r="BN20" i="3"/>
  <c r="BN149" i="3" s="1"/>
  <c r="CF44" i="3"/>
  <c r="CF173" i="3" s="1"/>
  <c r="BJ45" i="3"/>
  <c r="BJ174" i="3" s="1"/>
  <c r="AN43" i="3"/>
  <c r="AN172" i="3" s="1"/>
  <c r="AR20" i="3"/>
  <c r="AR149" i="3" s="1"/>
  <c r="BJ18" i="3"/>
  <c r="BJ147" i="3" s="1"/>
  <c r="Y34" i="3"/>
  <c r="Y163" i="3" s="1"/>
  <c r="K163" i="3"/>
  <c r="BY38" i="3"/>
  <c r="BY167" i="3" s="1"/>
  <c r="CU8" i="3"/>
  <c r="CU137" i="3" s="1"/>
  <c r="BY8" i="3"/>
  <c r="BY137" i="3" s="1"/>
  <c r="L22" i="3"/>
  <c r="L151" i="3" s="1"/>
  <c r="BZ6" i="3"/>
  <c r="BZ135" i="3" s="1"/>
  <c r="AS17" i="3"/>
  <c r="AS146" i="3" s="1"/>
  <c r="X23" i="3"/>
  <c r="X152" i="3" s="1"/>
  <c r="K145" i="3"/>
  <c r="BC23" i="3"/>
  <c r="BC152" i="3" s="1"/>
  <c r="W148" i="3"/>
  <c r="X6" i="3"/>
  <c r="X135" i="3" s="1"/>
  <c r="CU18" i="3"/>
  <c r="CU147" i="3" s="1"/>
  <c r="AR30" i="3"/>
  <c r="AR159" i="3" s="1"/>
  <c r="BY19" i="3"/>
  <c r="BY148" i="3" s="1"/>
  <c r="AR17" i="3"/>
  <c r="AR146" i="3" s="1"/>
  <c r="Y35" i="3"/>
  <c r="Y164" i="3" s="1"/>
  <c r="P458" i="1"/>
  <c r="X22" i="3"/>
  <c r="X151" i="3" s="1"/>
  <c r="BC12" i="3"/>
  <c r="BC141" i="3" s="1"/>
  <c r="Y25" i="3"/>
  <c r="Y154" i="3" s="1"/>
  <c r="W165" i="3"/>
  <c r="W137" i="3"/>
  <c r="BN40" i="3"/>
  <c r="BN169" i="3" s="1"/>
  <c r="W149" i="3"/>
  <c r="W152" i="3"/>
  <c r="W138" i="3"/>
  <c r="EG19" i="3"/>
  <c r="EG148" i="3" s="1"/>
  <c r="BN13" i="3"/>
  <c r="BN142" i="3" s="1"/>
  <c r="CU37" i="3"/>
  <c r="CU166" i="3" s="1"/>
  <c r="W145" i="3"/>
  <c r="X21" i="3"/>
  <c r="X150" i="3" s="1"/>
  <c r="Y14" i="3"/>
  <c r="Y143" i="3" s="1"/>
  <c r="BO40" i="3"/>
  <c r="BO169" i="3" s="1"/>
  <c r="AS36" i="3"/>
  <c r="AS165" i="3" s="1"/>
  <c r="CI142" i="3"/>
  <c r="BN35" i="3"/>
  <c r="BN164" i="3" s="1"/>
  <c r="CV37" i="3"/>
  <c r="CV166" i="3" s="1"/>
  <c r="BJ6" i="3"/>
  <c r="BJ135" i="3" s="1"/>
  <c r="BY5" i="3"/>
  <c r="BY134" i="3" s="1"/>
  <c r="BZ25" i="3"/>
  <c r="BZ154" i="3" s="1"/>
  <c r="CK28" i="3"/>
  <c r="CK157" i="3" s="1"/>
  <c r="AR35" i="3"/>
  <c r="AR164" i="3" s="1"/>
  <c r="L13" i="3"/>
  <c r="L142" i="3" s="1"/>
  <c r="CV45" i="3"/>
  <c r="CV174" i="3" s="1"/>
  <c r="K461" i="1"/>
  <c r="CK33" i="3"/>
  <c r="CK162" i="3" s="1"/>
  <c r="L8" i="3"/>
  <c r="L137" i="3" s="1"/>
  <c r="CQ37" i="3"/>
  <c r="CQ166" i="3" s="1"/>
  <c r="BZ44" i="3"/>
  <c r="BZ173" i="3" s="1"/>
  <c r="BJ34" i="3"/>
  <c r="BJ163" i="3" s="1"/>
  <c r="X35" i="3"/>
  <c r="X164" i="3" s="1"/>
  <c r="BD8" i="3"/>
  <c r="BD137" i="3" s="1"/>
  <c r="BC8" i="3"/>
  <c r="BC137" i="3" s="1"/>
  <c r="W164" i="3"/>
  <c r="P460" i="1"/>
  <c r="AR36" i="3"/>
  <c r="AR165" i="3" s="1"/>
  <c r="BY14" i="3"/>
  <c r="BY143" i="3" s="1"/>
  <c r="BD10" i="3"/>
  <c r="BD139" i="3" s="1"/>
  <c r="BC14" i="3"/>
  <c r="BC143" i="3" s="1"/>
  <c r="X14" i="3"/>
  <c r="X143" i="3" s="1"/>
  <c r="CJ15" i="3"/>
  <c r="CJ144" i="3" s="1"/>
  <c r="CK31" i="3"/>
  <c r="CK160" i="3" s="1"/>
  <c r="BJ40" i="3"/>
  <c r="BJ169" i="3" s="1"/>
  <c r="BZ7" i="3"/>
  <c r="BZ136" i="3" s="1"/>
  <c r="AY6" i="3"/>
  <c r="AY135" i="3" s="1"/>
  <c r="BZ22" i="3"/>
  <c r="BZ151" i="3" s="1"/>
  <c r="BT143" i="3"/>
  <c r="BZ40" i="3"/>
  <c r="BZ169" i="3" s="1"/>
  <c r="BM153" i="3"/>
  <c r="W143" i="3"/>
  <c r="CV40" i="3"/>
  <c r="CV169" i="3" s="1"/>
  <c r="BU6" i="3"/>
  <c r="BU135" i="3" s="1"/>
  <c r="CQ6" i="3"/>
  <c r="CQ135" i="3" s="1"/>
  <c r="BJ35" i="3"/>
  <c r="BJ164" i="3" s="1"/>
  <c r="BU13" i="3"/>
  <c r="BU142" i="3" s="1"/>
  <c r="CF6" i="3"/>
  <c r="CF135" i="3" s="1"/>
  <c r="AS44" i="3"/>
  <c r="AS173" i="3" s="1"/>
  <c r="AS27" i="3"/>
  <c r="AS156" i="3" s="1"/>
  <c r="CJ14" i="3"/>
  <c r="CJ143" i="3" s="1"/>
  <c r="CQ26" i="3"/>
  <c r="CQ155" i="3" s="1"/>
  <c r="AY26" i="3"/>
  <c r="AY155" i="3" s="1"/>
  <c r="CJ33" i="3"/>
  <c r="CJ162" i="3" s="1"/>
  <c r="X33" i="3"/>
  <c r="X162" i="3" s="1"/>
  <c r="AS15" i="3"/>
  <c r="AS144" i="3" s="1"/>
  <c r="AR33" i="3"/>
  <c r="AR162" i="3" s="1"/>
  <c r="BU26" i="3"/>
  <c r="BU155" i="3" s="1"/>
  <c r="AR23" i="3"/>
  <c r="AR152" i="3" s="1"/>
  <c r="BU33" i="3"/>
  <c r="BU162" i="3" s="1"/>
  <c r="BJ33" i="3"/>
  <c r="BJ162" i="3" s="1"/>
  <c r="Y33" i="3"/>
  <c r="Y162" i="3" s="1"/>
  <c r="AS23" i="3"/>
  <c r="AS152" i="3" s="1"/>
  <c r="CF33" i="3"/>
  <c r="CF162" i="3" s="1"/>
  <c r="W162" i="3"/>
  <c r="BZ41" i="3"/>
  <c r="BZ170" i="3" s="1"/>
  <c r="CU45" i="3"/>
  <c r="CU174" i="3" s="1"/>
  <c r="BD23" i="3"/>
  <c r="BD152" i="3" s="1"/>
  <c r="Y30" i="3"/>
  <c r="Y159" i="3" s="1"/>
  <c r="Y21" i="3"/>
  <c r="Y150" i="3" s="1"/>
  <c r="BD31" i="3"/>
  <c r="BD160" i="3" s="1"/>
  <c r="BJ29" i="3"/>
  <c r="BJ158" i="3" s="1"/>
  <c r="BY40" i="3"/>
  <c r="BY169" i="3" s="1"/>
  <c r="L30" i="3"/>
  <c r="L159" i="3" s="1"/>
  <c r="AS9" i="3"/>
  <c r="AS138" i="3" s="1"/>
  <c r="BB152" i="3"/>
  <c r="BZ26" i="3"/>
  <c r="BZ155" i="3" s="1"/>
  <c r="J150" i="3"/>
  <c r="CV8" i="3"/>
  <c r="CV137" i="3" s="1"/>
  <c r="BY33" i="3"/>
  <c r="BY162" i="3" s="1"/>
  <c r="AY30" i="3"/>
  <c r="AY159" i="3" s="1"/>
  <c r="BN14" i="3"/>
  <c r="BN143" i="3" s="1"/>
  <c r="BN44" i="3"/>
  <c r="BN173" i="3" s="1"/>
  <c r="BO39" i="3"/>
  <c r="BO168" i="3" s="1"/>
  <c r="BO36" i="3"/>
  <c r="BO165" i="3" s="1"/>
  <c r="AN37" i="3"/>
  <c r="AN166" i="3" s="1"/>
  <c r="CV25" i="3"/>
  <c r="CV154" i="3" s="1"/>
  <c r="AY38" i="3"/>
  <c r="AY167" i="3" s="1"/>
  <c r="CV36" i="3"/>
  <c r="CV165" i="3" s="1"/>
  <c r="K458" i="1"/>
  <c r="K162" i="3"/>
  <c r="L33" i="3"/>
  <c r="L162" i="3" s="1"/>
  <c r="AS18" i="3"/>
  <c r="AS147" i="3" s="1"/>
  <c r="BJ13" i="3"/>
  <c r="BJ142" i="3" s="1"/>
  <c r="BO13" i="3"/>
  <c r="BO142" i="3" s="1"/>
  <c r="BC36" i="3"/>
  <c r="BC165" i="3" s="1"/>
  <c r="Y46" i="3"/>
  <c r="Y175" i="3" s="1"/>
  <c r="CJ36" i="3"/>
  <c r="CJ165" i="3" s="1"/>
  <c r="CU36" i="3"/>
  <c r="CU165" i="3" s="1"/>
  <c r="CV32" i="3"/>
  <c r="CV161" i="3" s="1"/>
  <c r="BY36" i="3"/>
  <c r="BY165" i="3" s="1"/>
  <c r="AN14" i="3"/>
  <c r="AN143" i="3" s="1"/>
  <c r="P461" i="1"/>
  <c r="CK35" i="3"/>
  <c r="CK164" i="3" s="1"/>
  <c r="BJ14" i="3"/>
  <c r="BJ143" i="3" s="1"/>
  <c r="BO32" i="3"/>
  <c r="BO161" i="3" s="1"/>
  <c r="BN36" i="3"/>
  <c r="BN165" i="3" s="1"/>
  <c r="X36" i="3"/>
  <c r="X165" i="3" s="1"/>
  <c r="CK43" i="3"/>
  <c r="CK172" i="3" s="1"/>
  <c r="CF43" i="3"/>
  <c r="CF172" i="3" s="1"/>
  <c r="CU19" i="3"/>
  <c r="CU148" i="3" s="1"/>
  <c r="CQ40" i="3"/>
  <c r="CQ169" i="3" s="1"/>
  <c r="BN6" i="3"/>
  <c r="BN135" i="3" s="1"/>
  <c r="BJ31" i="3"/>
  <c r="BJ160" i="3" s="1"/>
  <c r="AY13" i="3"/>
  <c r="AY142" i="3" s="1"/>
  <c r="CF26" i="3"/>
  <c r="CF155" i="3" s="1"/>
  <c r="CJ30" i="3"/>
  <c r="CJ159" i="3" s="1"/>
  <c r="CU6" i="3"/>
  <c r="CU135" i="3" s="1"/>
  <c r="BO31" i="3"/>
  <c r="BO160" i="3" s="1"/>
  <c r="CF13" i="3"/>
  <c r="CF142" i="3" s="1"/>
  <c r="BM162" i="3"/>
  <c r="BU40" i="3"/>
  <c r="BU169" i="3" s="1"/>
  <c r="CU30" i="3"/>
  <c r="CU159" i="3" s="1"/>
  <c r="CV11" i="3"/>
  <c r="CV140" i="3" s="1"/>
  <c r="BO37" i="3"/>
  <c r="BO166" i="3" s="1"/>
  <c r="BU8" i="3"/>
  <c r="BU137" i="3" s="1"/>
  <c r="CF14" i="3"/>
  <c r="CF143" i="3" s="1"/>
  <c r="BO44" i="3"/>
  <c r="BO173" i="3" s="1"/>
  <c r="BU32" i="3"/>
  <c r="BU161" i="3" s="1"/>
  <c r="BZ16" i="3"/>
  <c r="BZ145" i="3" s="1"/>
  <c r="CK37" i="3"/>
  <c r="CK166" i="3" s="1"/>
  <c r="AS10" i="3"/>
  <c r="AS139" i="3" s="1"/>
  <c r="BU34" i="3"/>
  <c r="BU163" i="3" s="1"/>
  <c r="AN18" i="3"/>
  <c r="AN147" i="3" s="1"/>
  <c r="CV19" i="3"/>
  <c r="CV148" i="3" s="1"/>
  <c r="CQ23" i="3"/>
  <c r="CQ152" i="3" s="1"/>
  <c r="CJ35" i="3"/>
  <c r="CJ164" i="3" s="1"/>
  <c r="X30" i="3"/>
  <c r="X159" i="3" s="1"/>
  <c r="CQ14" i="3"/>
  <c r="CQ143" i="3" s="1"/>
  <c r="AS11" i="3"/>
  <c r="AS140" i="3" s="1"/>
  <c r="BN22" i="3"/>
  <c r="BN151" i="3" s="1"/>
  <c r="AY40" i="3"/>
  <c r="AY169" i="3" s="1"/>
  <c r="AY15" i="3"/>
  <c r="AY144" i="3" s="1"/>
  <c r="AR6" i="3"/>
  <c r="AR135" i="3" s="1"/>
  <c r="CJ25" i="3"/>
  <c r="CJ154" i="3" s="1"/>
  <c r="BO18" i="3"/>
  <c r="BO147" i="3" s="1"/>
  <c r="W159" i="3"/>
  <c r="CV27" i="3"/>
  <c r="CV156" i="3" s="1"/>
  <c r="BD38" i="3"/>
  <c r="BD167" i="3" s="1"/>
  <c r="BN33" i="3"/>
  <c r="BN162" i="3" s="1"/>
  <c r="BC15" i="3"/>
  <c r="BC144" i="3" s="1"/>
  <c r="BU30" i="3"/>
  <c r="BU159" i="3" s="1"/>
  <c r="BY6" i="3"/>
  <c r="BY135" i="3" s="1"/>
  <c r="BN15" i="3"/>
  <c r="BN144" i="3" s="1"/>
  <c r="Y26" i="3"/>
  <c r="Y155" i="3" s="1"/>
  <c r="BZ18" i="3"/>
  <c r="BZ147" i="3" s="1"/>
  <c r="BM140" i="3"/>
  <c r="CV23" i="3"/>
  <c r="CV152" i="3" s="1"/>
  <c r="AN15" i="3"/>
  <c r="AN144" i="3" s="1"/>
  <c r="Y6" i="3"/>
  <c r="Y135" i="3" s="1"/>
  <c r="BC25" i="3"/>
  <c r="BC154" i="3" s="1"/>
  <c r="CV29" i="3"/>
  <c r="CV158" i="3" s="1"/>
  <c r="CJ6" i="3"/>
  <c r="CJ135" i="3" s="1"/>
  <c r="W151" i="3"/>
  <c r="Y22" i="3"/>
  <c r="Y151" i="3" s="1"/>
  <c r="BO8" i="3"/>
  <c r="BO137" i="3" s="1"/>
  <c r="BZ31" i="3"/>
  <c r="BZ160" i="3" s="1"/>
  <c r="CQ8" i="3"/>
  <c r="CQ137" i="3" s="1"/>
  <c r="BY34" i="3"/>
  <c r="BY163" i="3" s="1"/>
  <c r="AR21" i="3"/>
  <c r="AR150" i="3" s="1"/>
  <c r="CV30" i="3"/>
  <c r="CV159" i="3" s="1"/>
  <c r="BD16" i="3"/>
  <c r="BD145" i="3" s="1"/>
  <c r="BN8" i="3"/>
  <c r="BN137" i="3" s="1"/>
  <c r="CU23" i="3"/>
  <c r="CU152" i="3" s="1"/>
  <c r="BZ34" i="3"/>
  <c r="BZ163" i="3" s="1"/>
  <c r="BY22" i="3"/>
  <c r="BY151" i="3" s="1"/>
  <c r="BD15" i="3"/>
  <c r="BD144" i="3" s="1"/>
  <c r="CJ22" i="3"/>
  <c r="CJ151" i="3" s="1"/>
  <c r="BU22" i="3"/>
  <c r="BU151" i="3" s="1"/>
  <c r="BU14" i="3"/>
  <c r="BU143" i="3" s="1"/>
  <c r="AR5" i="3"/>
  <c r="AR134" i="3" s="1"/>
  <c r="AQ149" i="3"/>
  <c r="BZ29" i="3"/>
  <c r="BZ158" i="3" s="1"/>
  <c r="BJ12" i="3"/>
  <c r="BJ141" i="3" s="1"/>
  <c r="BN30" i="3"/>
  <c r="BN159" i="3" s="1"/>
  <c r="CQ18" i="3"/>
  <c r="CQ147" i="3" s="1"/>
  <c r="K135" i="3"/>
  <c r="L6" i="3"/>
  <c r="L135" i="3" s="1"/>
  <c r="CQ15" i="3"/>
  <c r="CQ144" i="3" s="1"/>
  <c r="CK24" i="3"/>
  <c r="CK153" i="3" s="1"/>
  <c r="AS20" i="3"/>
  <c r="AS149" i="3" s="1"/>
  <c r="BY27" i="3"/>
  <c r="BY156" i="3" s="1"/>
  <c r="BO30" i="3"/>
  <c r="BO159" i="3" s="1"/>
  <c r="BZ8" i="3"/>
  <c r="BZ137" i="3" s="1"/>
  <c r="BO34" i="3"/>
  <c r="BO163" i="3" s="1"/>
  <c r="BM143" i="3"/>
  <c r="CQ10" i="3"/>
  <c r="CQ139" i="3" s="1"/>
  <c r="BZ43" i="3"/>
  <c r="BZ172" i="3" s="1"/>
  <c r="AR19" i="3"/>
  <c r="AR148" i="3" s="1"/>
  <c r="CV9" i="3"/>
  <c r="CV138" i="3" s="1"/>
  <c r="CK32" i="3"/>
  <c r="CK161" i="3" s="1"/>
  <c r="AS16" i="3"/>
  <c r="AS145" i="3" s="1"/>
  <c r="CQ12" i="3"/>
  <c r="CQ141" i="3" s="1"/>
  <c r="BY29" i="3"/>
  <c r="BY158" i="3" s="1"/>
  <c r="BJ30" i="3"/>
  <c r="BJ159" i="3" s="1"/>
  <c r="CJ23" i="3"/>
  <c r="CJ152" i="3" s="1"/>
  <c r="CI152" i="3"/>
  <c r="CQ30" i="3"/>
  <c r="CQ159" i="3" s="1"/>
  <c r="BT172" i="3"/>
  <c r="BU15" i="3"/>
  <c r="BU144" i="3" s="1"/>
  <c r="BZ30" i="3"/>
  <c r="BZ159" i="3" s="1"/>
  <c r="AX158" i="3"/>
  <c r="BN34" i="3"/>
  <c r="BN163" i="3" s="1"/>
  <c r="CF15" i="3"/>
  <c r="CF144" i="3" s="1"/>
  <c r="CK23" i="3"/>
  <c r="CK152" i="3" s="1"/>
  <c r="CV18" i="3"/>
  <c r="CV147" i="3" s="1"/>
  <c r="BJ15" i="3"/>
  <c r="BJ144" i="3" s="1"/>
  <c r="BO12" i="3"/>
  <c r="BO141" i="3" s="1"/>
  <c r="AM142" i="3"/>
  <c r="AN13" i="3"/>
  <c r="AN142" i="3" s="1"/>
  <c r="BZ9" i="3"/>
  <c r="BZ138" i="3" s="1"/>
  <c r="CK9" i="3"/>
  <c r="CK138" i="3" s="1"/>
  <c r="CF40" i="3"/>
  <c r="CF169" i="3" s="1"/>
  <c r="BZ37" i="3"/>
  <c r="BZ166" i="3" s="1"/>
  <c r="AR29" i="3"/>
  <c r="AR158" i="3" s="1"/>
  <c r="BO16" i="3"/>
  <c r="BO145" i="3" s="1"/>
  <c r="AR34" i="3"/>
  <c r="AR163" i="3" s="1"/>
  <c r="CV26" i="3"/>
  <c r="CV155" i="3" s="1"/>
  <c r="BJ8" i="3"/>
  <c r="BJ137" i="3" s="1"/>
  <c r="CK40" i="3"/>
  <c r="CK169" i="3" s="1"/>
  <c r="CJ40" i="3"/>
  <c r="CJ169" i="3" s="1"/>
  <c r="BI137" i="3"/>
  <c r="AM158" i="3"/>
  <c r="BY21" i="3"/>
  <c r="BY150" i="3" s="1"/>
  <c r="CK10" i="3"/>
  <c r="CK139" i="3" s="1"/>
  <c r="BZ13" i="3"/>
  <c r="BZ142" i="3" s="1"/>
  <c r="BT142" i="3"/>
  <c r="CF21" i="3"/>
  <c r="CF150" i="3" s="1"/>
  <c r="CU44" i="3"/>
  <c r="CU173" i="3" s="1"/>
  <c r="BB163" i="3"/>
  <c r="AN41" i="3"/>
  <c r="AN170" i="3" s="1"/>
  <c r="BZ21" i="3"/>
  <c r="BZ150" i="3" s="1"/>
  <c r="CK7" i="3"/>
  <c r="CK136" i="3" s="1"/>
  <c r="K169" i="3"/>
  <c r="L40" i="3"/>
  <c r="L169" i="3" s="1"/>
  <c r="K465" i="1"/>
  <c r="Y40" i="3"/>
  <c r="Y169" i="3" s="1"/>
  <c r="CT169" i="3"/>
  <c r="CU40" i="3"/>
  <c r="CU169" i="3" s="1"/>
  <c r="BY16" i="3"/>
  <c r="BY145" i="3" s="1"/>
  <c r="BC20" i="3"/>
  <c r="BC149" i="3" s="1"/>
  <c r="CK25" i="3"/>
  <c r="CK154" i="3" s="1"/>
  <c r="CK39" i="3"/>
  <c r="CK168" i="3" s="1"/>
  <c r="W169" i="3"/>
  <c r="X40" i="3"/>
  <c r="X169" i="3" s="1"/>
  <c r="P465" i="1"/>
  <c r="BZ33" i="3"/>
  <c r="BZ162" i="3" s="1"/>
  <c r="AY8" i="3"/>
  <c r="AY137" i="3" s="1"/>
  <c r="DB45" i="3"/>
  <c r="DB174" i="3" s="1"/>
  <c r="W175" i="3"/>
  <c r="X45" i="3"/>
  <c r="X174" i="3" s="1"/>
  <c r="W174" i="3"/>
  <c r="P470" i="1"/>
  <c r="P471" i="1"/>
  <c r="K471" i="1"/>
  <c r="K175" i="3"/>
  <c r="Y45" i="3"/>
  <c r="Y174" i="3" s="1"/>
  <c r="X46" i="3"/>
  <c r="X175" i="3" s="1"/>
  <c r="P469" i="1"/>
  <c r="W173" i="3"/>
  <c r="X44" i="3"/>
  <c r="X173" i="3" s="1"/>
  <c r="Y44" i="3"/>
  <c r="Y173" i="3" s="1"/>
  <c r="P468" i="1"/>
  <c r="CJ43" i="3"/>
  <c r="CJ172" i="3" s="1"/>
  <c r="X43" i="3"/>
  <c r="X172" i="3" s="1"/>
  <c r="W172" i="3"/>
  <c r="W170" i="3"/>
  <c r="X41" i="3"/>
  <c r="X170" i="3" s="1"/>
  <c r="P466" i="1"/>
  <c r="K170" i="3"/>
  <c r="L41" i="3"/>
  <c r="L170" i="3" s="1"/>
  <c r="K466" i="1"/>
  <c r="Y41" i="3"/>
  <c r="Y170" i="3" s="1"/>
  <c r="CU43" i="3"/>
  <c r="CU172" i="3" s="1"/>
  <c r="L43" i="3"/>
  <c r="L172" i="3" s="1"/>
  <c r="K172" i="3"/>
  <c r="K468" i="1"/>
  <c r="Y43" i="3"/>
  <c r="Y172" i="3" s="1"/>
  <c r="BU37" i="3"/>
  <c r="BU166" i="3" s="1"/>
  <c r="BC39" i="3"/>
  <c r="BC168" i="3" s="1"/>
  <c r="J166" i="3"/>
  <c r="CV39" i="3"/>
  <c r="CV168" i="3" s="1"/>
  <c r="CE168" i="3"/>
  <c r="BD39" i="3"/>
  <c r="BD168" i="3" s="1"/>
  <c r="CS47" i="3"/>
  <c r="CS176" i="3" s="1"/>
  <c r="AP176" i="3"/>
  <c r="AP48" i="3"/>
  <c r="AP55" i="3" s="1"/>
  <c r="AX159" i="3"/>
  <c r="CJ13" i="3"/>
  <c r="CJ142" i="3" s="1"/>
  <c r="CF30" i="3"/>
  <c r="CF159" i="3" s="1"/>
  <c r="BZ15" i="3"/>
  <c r="BZ144" i="3" s="1"/>
  <c r="BU10" i="3"/>
  <c r="BU139" i="3" s="1"/>
  <c r="CT158" i="3"/>
  <c r="AM170" i="3"/>
  <c r="CF37" i="3"/>
  <c r="CF166" i="3" s="1"/>
  <c r="AN10" i="3"/>
  <c r="AN139" i="3" s="1"/>
  <c r="Y32" i="3"/>
  <c r="Y161" i="3" s="1"/>
  <c r="AN22" i="3"/>
  <c r="AN151" i="3" s="1"/>
  <c r="BZ35" i="3"/>
  <c r="BZ164" i="3" s="1"/>
  <c r="Y29" i="3"/>
  <c r="Y158" i="3" s="1"/>
  <c r="CK30" i="3"/>
  <c r="CK159" i="3" s="1"/>
  <c r="Y13" i="3"/>
  <c r="Y142" i="3" s="1"/>
  <c r="BJ26" i="3"/>
  <c r="BJ155" i="3" s="1"/>
  <c r="X29" i="3"/>
  <c r="X158" i="3" s="1"/>
  <c r="CT173" i="3"/>
  <c r="BX140" i="3"/>
  <c r="BN29" i="3"/>
  <c r="BN158" i="3" s="1"/>
  <c r="BC45" i="3"/>
  <c r="BC174" i="3" s="1"/>
  <c r="CF32" i="3"/>
  <c r="CF161" i="3" s="1"/>
  <c r="BZ17" i="3"/>
  <c r="BZ146" i="3" s="1"/>
  <c r="CE149" i="3"/>
  <c r="CK20" i="3"/>
  <c r="CK149" i="3" s="1"/>
  <c r="BY13" i="3"/>
  <c r="BY142" i="3" s="1"/>
  <c r="K165" i="3"/>
  <c r="BJ39" i="3"/>
  <c r="BJ168" i="3" s="1"/>
  <c r="BU17" i="3"/>
  <c r="BU146" i="3" s="1"/>
  <c r="CV15" i="3"/>
  <c r="CV144" i="3" s="1"/>
  <c r="CI143" i="3"/>
  <c r="CK14" i="3"/>
  <c r="CK143" i="3" s="1"/>
  <c r="CI158" i="3"/>
  <c r="CK29" i="3"/>
  <c r="CK158" i="3" s="1"/>
  <c r="BN19" i="3"/>
  <c r="BN148" i="3" s="1"/>
  <c r="BD25" i="3"/>
  <c r="BD154" i="3" s="1"/>
  <c r="BO26" i="3"/>
  <c r="BO155" i="3" s="1"/>
  <c r="Y36" i="3"/>
  <c r="Y165" i="3" s="1"/>
  <c r="CF10" i="3"/>
  <c r="CF139" i="3" s="1"/>
  <c r="AY10" i="3"/>
  <c r="AY139" i="3" s="1"/>
  <c r="BZ24" i="3"/>
  <c r="BZ153" i="3" s="1"/>
  <c r="BZ19" i="3"/>
  <c r="BZ148" i="3" s="1"/>
  <c r="BY35" i="3"/>
  <c r="BY164" i="3" s="1"/>
  <c r="BJ32" i="3"/>
  <c r="BJ161" i="3" s="1"/>
  <c r="BY15" i="3"/>
  <c r="BY144" i="3" s="1"/>
  <c r="AR13" i="3"/>
  <c r="AR142" i="3" s="1"/>
  <c r="CK21" i="3"/>
  <c r="CK150" i="3" s="1"/>
  <c r="CU29" i="3"/>
  <c r="CU158" i="3" s="1"/>
  <c r="BO19" i="3"/>
  <c r="BO148" i="3" s="1"/>
  <c r="BO27" i="3"/>
  <c r="BO156" i="3" s="1"/>
  <c r="CQ9" i="3"/>
  <c r="CQ138" i="3" s="1"/>
  <c r="CQ32" i="3"/>
  <c r="CQ161" i="3" s="1"/>
  <c r="BC29" i="3"/>
  <c r="BC158" i="3" s="1"/>
  <c r="AS22" i="3"/>
  <c r="AS151" i="3" s="1"/>
  <c r="CI167" i="3"/>
  <c r="CJ32" i="3"/>
  <c r="CJ161" i="3" s="1"/>
  <c r="CF39" i="3"/>
  <c r="CF168" i="3" s="1"/>
  <c r="BU23" i="3"/>
  <c r="BU152" i="3" s="1"/>
  <c r="AN39" i="3"/>
  <c r="AN168" i="3" s="1"/>
  <c r="BC6" i="3"/>
  <c r="BC135" i="3" s="1"/>
  <c r="AS32" i="3"/>
  <c r="AS161" i="3" s="1"/>
  <c r="W144" i="3"/>
  <c r="CU15" i="3"/>
  <c r="CU144" i="3" s="1"/>
  <c r="X15" i="3"/>
  <c r="X144" i="3" s="1"/>
  <c r="AR15" i="3"/>
  <c r="AR144" i="3" s="1"/>
  <c r="L15" i="3"/>
  <c r="L144" i="3" s="1"/>
  <c r="K144" i="3"/>
  <c r="Y15" i="3"/>
  <c r="Y144" i="3" s="1"/>
  <c r="AQ151" i="3"/>
  <c r="AR22" i="3"/>
  <c r="AR151" i="3" s="1"/>
  <c r="AQ172" i="3"/>
  <c r="CJ44" i="3"/>
  <c r="CJ173" i="3" s="1"/>
  <c r="CJ38" i="3"/>
  <c r="CJ167" i="3" s="1"/>
  <c r="AS39" i="3"/>
  <c r="AS168" i="3" s="1"/>
  <c r="BD34" i="3"/>
  <c r="BD163" i="3" s="1"/>
  <c r="CP141" i="3"/>
  <c r="CV12" i="3"/>
  <c r="CV141" i="3" s="1"/>
  <c r="AM162" i="3"/>
  <c r="CP143" i="3"/>
  <c r="BC9" i="3"/>
  <c r="BC138" i="3" s="1"/>
  <c r="AY39" i="3"/>
  <c r="AY168" i="3" s="1"/>
  <c r="X13" i="3"/>
  <c r="X142" i="3" s="1"/>
  <c r="W142" i="3"/>
  <c r="L39" i="3"/>
  <c r="L168" i="3" s="1"/>
  <c r="K464" i="1"/>
  <c r="BO20" i="3"/>
  <c r="BO149" i="3" s="1"/>
  <c r="K457" i="1"/>
  <c r="L32" i="3"/>
  <c r="L161" i="3" s="1"/>
  <c r="K161" i="3"/>
  <c r="AY45" i="3"/>
  <c r="AY174" i="3" s="1"/>
  <c r="CV14" i="3"/>
  <c r="CV143" i="3" s="1"/>
  <c r="BN9" i="3"/>
  <c r="BN138" i="3" s="1"/>
  <c r="BD6" i="3"/>
  <c r="BD135" i="3" s="1"/>
  <c r="AS40" i="3"/>
  <c r="AS169" i="3" s="1"/>
  <c r="AN32" i="3"/>
  <c r="AN161" i="3" s="1"/>
  <c r="CJ39" i="3"/>
  <c r="CJ168" i="3" s="1"/>
  <c r="CV28" i="3"/>
  <c r="CV157" i="3" s="1"/>
  <c r="W150" i="3"/>
  <c r="CJ21" i="3"/>
  <c r="CJ150" i="3" s="1"/>
  <c r="CK16" i="3"/>
  <c r="CK145" i="3" s="1"/>
  <c r="CE145" i="3"/>
  <c r="J164" i="3"/>
  <c r="CF35" i="3"/>
  <c r="CF164" i="3" s="1"/>
  <c r="L23" i="3"/>
  <c r="L152" i="3" s="1"/>
  <c r="K152" i="3"/>
  <c r="Y23" i="3"/>
  <c r="Y152" i="3" s="1"/>
  <c r="AX143" i="3"/>
  <c r="AY14" i="3"/>
  <c r="AY143" i="3" s="1"/>
  <c r="AN23" i="3"/>
  <c r="AN152" i="3" s="1"/>
  <c r="J152" i="3"/>
  <c r="CK36" i="3"/>
  <c r="CK165" i="3" s="1"/>
  <c r="CK44" i="3"/>
  <c r="CK173" i="3" s="1"/>
  <c r="AY21" i="3"/>
  <c r="AY150" i="3" s="1"/>
  <c r="AS43" i="3"/>
  <c r="AS172" i="3" s="1"/>
  <c r="AN24" i="3"/>
  <c r="AN153" i="3" s="1"/>
  <c r="BJ23" i="3"/>
  <c r="BJ152" i="3" s="1"/>
  <c r="BN32" i="3"/>
  <c r="BN161" i="3" s="1"/>
  <c r="BD11" i="3"/>
  <c r="BD140" i="3" s="1"/>
  <c r="Y10" i="3"/>
  <c r="Y139" i="3" s="1"/>
  <c r="CF23" i="3"/>
  <c r="CF152" i="3" s="1"/>
  <c r="BD21" i="3"/>
  <c r="BD150" i="3" s="1"/>
  <c r="W158" i="3"/>
  <c r="CJ29" i="3"/>
  <c r="CJ158" i="3" s="1"/>
  <c r="X26" i="3"/>
  <c r="X155" i="3" s="1"/>
  <c r="W155" i="3"/>
  <c r="BN26" i="3"/>
  <c r="BN155" i="3" s="1"/>
  <c r="L26" i="3"/>
  <c r="L155" i="3" s="1"/>
  <c r="J146" i="3"/>
  <c r="AN17" i="3"/>
  <c r="AN146" i="3" s="1"/>
  <c r="CJ46" i="3"/>
  <c r="CJ175" i="3" s="1"/>
  <c r="BN45" i="3"/>
  <c r="BN174" i="3" s="1"/>
  <c r="AN40" i="3"/>
  <c r="AN169" i="3" s="1"/>
  <c r="X17" i="3"/>
  <c r="X146" i="3" s="1"/>
  <c r="BC17" i="3"/>
  <c r="BC146" i="3" s="1"/>
  <c r="W146" i="3"/>
  <c r="J154" i="3"/>
  <c r="AY25" i="3"/>
  <c r="AY154" i="3" s="1"/>
  <c r="CQ25" i="3"/>
  <c r="CQ154" i="3" s="1"/>
  <c r="AX157" i="3"/>
  <c r="BD28" i="3"/>
  <c r="BD157" i="3" s="1"/>
  <c r="X10" i="3"/>
  <c r="X139" i="3" s="1"/>
  <c r="AR10" i="3"/>
  <c r="AR139" i="3" s="1"/>
  <c r="W139" i="3"/>
  <c r="CJ10" i="3"/>
  <c r="CJ139" i="3" s="1"/>
  <c r="BC10" i="3"/>
  <c r="BC139" i="3" s="1"/>
  <c r="X39" i="3"/>
  <c r="X168" i="3" s="1"/>
  <c r="W168" i="3"/>
  <c r="BN39" i="3"/>
  <c r="BN168" i="3" s="1"/>
  <c r="P464" i="1"/>
  <c r="BU41" i="3"/>
  <c r="BU170" i="3" s="1"/>
  <c r="BO23" i="3"/>
  <c r="BO152" i="3" s="1"/>
  <c r="AY17" i="3"/>
  <c r="AY146" i="3" s="1"/>
  <c r="AM169" i="3"/>
  <c r="CT143" i="3"/>
  <c r="CU14" i="3"/>
  <c r="CU143" i="3" s="1"/>
  <c r="BC13" i="3"/>
  <c r="BC142" i="3" s="1"/>
  <c r="BD13" i="3"/>
  <c r="BD142" i="3" s="1"/>
  <c r="BN23" i="3"/>
  <c r="BN152" i="3" s="1"/>
  <c r="CT167" i="3"/>
  <c r="AN44" i="3"/>
  <c r="AN173" i="3" s="1"/>
  <c r="AR9" i="3"/>
  <c r="AR138" i="3" s="1"/>
  <c r="CJ9" i="3"/>
  <c r="CJ138" i="3" s="1"/>
  <c r="BB150" i="3"/>
  <c r="AN33" i="3"/>
  <c r="AN162" i="3" s="1"/>
  <c r="BD27" i="3"/>
  <c r="BD156" i="3" s="1"/>
  <c r="BB169" i="3"/>
  <c r="BC40" i="3"/>
  <c r="BC169" i="3" s="1"/>
  <c r="CF25" i="3"/>
  <c r="CF154" i="3" s="1"/>
  <c r="CU26" i="3"/>
  <c r="CU155" i="3" s="1"/>
  <c r="CP150" i="3"/>
  <c r="CQ21" i="3"/>
  <c r="CQ150" i="3" s="1"/>
  <c r="AM150" i="3"/>
  <c r="AN21" i="3"/>
  <c r="AN150" i="3" s="1"/>
  <c r="Y39" i="3"/>
  <c r="Y168" i="3" s="1"/>
  <c r="BD40" i="3"/>
  <c r="BD169" i="3" s="1"/>
  <c r="CU9" i="3"/>
  <c r="CU138" i="3" s="1"/>
  <c r="BC21" i="3"/>
  <c r="BC150" i="3" s="1"/>
  <c r="BY26" i="3"/>
  <c r="BY155" i="3" s="1"/>
  <c r="Y9" i="3"/>
  <c r="Y138" i="3" s="1"/>
  <c r="CV21" i="3"/>
  <c r="CV150" i="3" s="1"/>
  <c r="L17" i="3"/>
  <c r="L146" i="3" s="1"/>
  <c r="K146" i="3"/>
  <c r="Y17" i="3"/>
  <c r="Y146" i="3" s="1"/>
  <c r="DX19" i="3"/>
  <c r="DY148" i="3"/>
  <c r="K139" i="3"/>
  <c r="AX171" i="3"/>
  <c r="BY9" i="3"/>
  <c r="BY138" i="3" s="1"/>
  <c r="X9" i="3"/>
  <c r="X138" i="3" s="1"/>
  <c r="BX145" i="3"/>
  <c r="BN27" i="3"/>
  <c r="BN156" i="3" s="1"/>
  <c r="CU21" i="3"/>
  <c r="CU150" i="3" s="1"/>
  <c r="BZ27" i="3"/>
  <c r="BZ156" i="3" s="1"/>
  <c r="X25" i="3"/>
  <c r="X154" i="3" s="1"/>
  <c r="W154" i="3"/>
  <c r="BY25" i="3"/>
  <c r="BY154" i="3" s="1"/>
  <c r="CU25" i="3"/>
  <c r="CU154" i="3" s="1"/>
  <c r="AM157" i="3"/>
  <c r="AS28" i="3"/>
  <c r="AS157" i="3" s="1"/>
  <c r="AS7" i="3"/>
  <c r="AS136" i="3" s="1"/>
  <c r="AR24" i="3"/>
  <c r="AR153" i="3" s="1"/>
  <c r="AY31" i="3"/>
  <c r="AY160" i="3" s="1"/>
  <c r="BC27" i="3"/>
  <c r="BC156" i="3" s="1"/>
  <c r="X27" i="3"/>
  <c r="X156" i="3" s="1"/>
  <c r="K157" i="3"/>
  <c r="Y28" i="3"/>
  <c r="Y157" i="3" s="1"/>
  <c r="L28" i="3"/>
  <c r="L157" i="3" s="1"/>
  <c r="W157" i="3"/>
  <c r="X28" i="3"/>
  <c r="X157" i="3" s="1"/>
  <c r="BC28" i="3"/>
  <c r="BC157" i="3" s="1"/>
  <c r="CU28" i="3"/>
  <c r="CU157" i="3" s="1"/>
  <c r="AR28" i="3"/>
  <c r="AR157" i="3" s="1"/>
  <c r="CJ28" i="3"/>
  <c r="CJ157" i="3" s="1"/>
  <c r="CE140" i="3"/>
  <c r="CK11" i="3"/>
  <c r="CK140" i="3" s="1"/>
  <c r="W156" i="3"/>
  <c r="AR27" i="3"/>
  <c r="AR156" i="3" s="1"/>
  <c r="AM160" i="3"/>
  <c r="AS31" i="3"/>
  <c r="AS160" i="3" s="1"/>
  <c r="BD45" i="3"/>
  <c r="BD174" i="3" s="1"/>
  <c r="AN8" i="3"/>
  <c r="AN137" i="3" s="1"/>
  <c r="CJ27" i="3"/>
  <c r="CJ156" i="3" s="1"/>
  <c r="W161" i="3"/>
  <c r="X32" i="3"/>
  <c r="X161" i="3" s="1"/>
  <c r="CU32" i="3"/>
  <c r="CU161" i="3" s="1"/>
  <c r="P457" i="1"/>
  <c r="AR32" i="3"/>
  <c r="AR161" i="3" s="1"/>
  <c r="BO35" i="3"/>
  <c r="BO164" i="3" s="1"/>
  <c r="BM164" i="3"/>
  <c r="BY23" i="3"/>
  <c r="BY152" i="3" s="1"/>
  <c r="BX152" i="3"/>
  <c r="BZ23" i="3"/>
  <c r="BZ152" i="3" s="1"/>
  <c r="AQ167" i="3"/>
  <c r="AR38" i="3"/>
  <c r="AR167" i="3" s="1"/>
  <c r="AS38" i="3"/>
  <c r="AS167" i="3" s="1"/>
  <c r="BX139" i="3"/>
  <c r="BY10" i="3"/>
  <c r="BY139" i="3" s="1"/>
  <c r="J157" i="3"/>
  <c r="CF28" i="3"/>
  <c r="CF157" i="3" s="1"/>
  <c r="AN28" i="3"/>
  <c r="AN157" i="3" s="1"/>
  <c r="AY28" i="3"/>
  <c r="AY157" i="3" s="1"/>
  <c r="CQ28" i="3"/>
  <c r="CQ157" i="3" s="1"/>
  <c r="CU27" i="3"/>
  <c r="CU156" i="3" s="1"/>
  <c r="CI155" i="3"/>
  <c r="CK26" i="3"/>
  <c r="CK155" i="3" s="1"/>
  <c r="CJ26" i="3"/>
  <c r="CJ155" i="3" s="1"/>
  <c r="AM135" i="3"/>
  <c r="AN6" i="3"/>
  <c r="AN135" i="3" s="1"/>
  <c r="AS6" i="3"/>
  <c r="AS135" i="3" s="1"/>
  <c r="Y20" i="3"/>
  <c r="Y149" i="3" s="1"/>
  <c r="L20" i="3"/>
  <c r="L149" i="3" s="1"/>
  <c r="K149" i="3"/>
  <c r="BI138" i="3"/>
  <c r="BO9" i="3"/>
  <c r="BO138" i="3" s="1"/>
  <c r="BD30" i="3"/>
  <c r="BD159" i="3" s="1"/>
  <c r="BX146" i="3"/>
  <c r="BY17" i="3"/>
  <c r="BY146" i="3" s="1"/>
  <c r="CI156" i="3"/>
  <c r="CK27" i="3"/>
  <c r="CK156" i="3" s="1"/>
  <c r="Y12" i="3"/>
  <c r="Y141" i="3" s="1"/>
  <c r="L12" i="3"/>
  <c r="L141" i="3" s="1"/>
  <c r="K141" i="3"/>
  <c r="AM159" i="3"/>
  <c r="AS30" i="3"/>
  <c r="AS159" i="3" s="1"/>
  <c r="BN12" i="3"/>
  <c r="BN141" i="3" s="1"/>
  <c r="W141" i="3"/>
  <c r="CU12" i="3"/>
  <c r="CU141" i="3" s="1"/>
  <c r="X12" i="3"/>
  <c r="X141" i="3" s="1"/>
  <c r="AM153" i="3"/>
  <c r="AS24" i="3"/>
  <c r="AS153" i="3" s="1"/>
  <c r="CI135" i="3"/>
  <c r="CK6" i="3"/>
  <c r="CK135" i="3" s="1"/>
  <c r="X16" i="3"/>
  <c r="X145" i="3" s="1"/>
  <c r="CV38" i="3"/>
  <c r="CV167" i="3" s="1"/>
  <c r="BO29" i="3"/>
  <c r="BO158" i="3" s="1"/>
  <c r="CP167" i="3"/>
  <c r="BC26" i="3"/>
  <c r="BC155" i="3" s="1"/>
  <c r="BB155" i="3"/>
  <c r="BY30" i="3"/>
  <c r="BY159" i="3" s="1"/>
  <c r="BX159" i="3"/>
  <c r="Y27" i="3"/>
  <c r="Y156" i="3" s="1"/>
  <c r="AM141" i="3"/>
  <c r="AS12" i="3"/>
  <c r="AS141" i="3" s="1"/>
  <c r="AN12" i="3"/>
  <c r="AN141" i="3" s="1"/>
  <c r="CF20" i="3"/>
  <c r="CF149" i="3" s="1"/>
  <c r="AN20" i="3"/>
  <c r="AN149" i="3" s="1"/>
  <c r="J149" i="3"/>
  <c r="BJ20" i="3"/>
  <c r="BJ149" i="3" s="1"/>
  <c r="BI150" i="3"/>
  <c r="BJ21" i="3"/>
  <c r="BJ150" i="3" s="1"/>
  <c r="AY20" i="3"/>
  <c r="AY149" i="3" s="1"/>
  <c r="BD20" i="3"/>
  <c r="BD149" i="3" s="1"/>
  <c r="AS37" i="3"/>
  <c r="AS166" i="3" s="1"/>
  <c r="BO15" i="3"/>
  <c r="BO144" i="3" s="1"/>
  <c r="AN30" i="3"/>
  <c r="AN159" i="3" s="1"/>
  <c r="BU46" i="3"/>
  <c r="BU175" i="3" s="1"/>
  <c r="AR12" i="3"/>
  <c r="AR141" i="3" s="1"/>
  <c r="BO22" i="3"/>
  <c r="BO151" i="3" s="1"/>
  <c r="BJ22" i="3"/>
  <c r="BJ151" i="3" s="1"/>
  <c r="CI170" i="3"/>
  <c r="CK41" i="3"/>
  <c r="CK170" i="3" s="1"/>
  <c r="CJ41" i="3"/>
  <c r="CJ170" i="3" s="1"/>
  <c r="AR39" i="3"/>
  <c r="AR168" i="3" s="1"/>
  <c r="AQ168" i="3"/>
  <c r="CK19" i="3"/>
  <c r="CK148" i="3" s="1"/>
  <c r="CI148" i="3"/>
  <c r="CJ19" i="3"/>
  <c r="CJ148" i="3" s="1"/>
  <c r="AS34" i="3"/>
  <c r="AS163" i="3" s="1"/>
  <c r="AN34" i="3"/>
  <c r="AN163" i="3" s="1"/>
  <c r="AM163" i="3"/>
  <c r="BN21" i="3"/>
  <c r="BN150" i="3" s="1"/>
  <c r="BM150" i="3"/>
  <c r="BO21" i="3"/>
  <c r="BO150" i="3" s="1"/>
  <c r="CP153" i="3"/>
  <c r="CV24" i="3"/>
  <c r="CV153" i="3" s="1"/>
  <c r="CQ27" i="3"/>
  <c r="CQ156" i="3" s="1"/>
  <c r="BU27" i="3"/>
  <c r="BU156" i="3" s="1"/>
  <c r="J156" i="3"/>
  <c r="AY27" i="3"/>
  <c r="AY156" i="3" s="1"/>
  <c r="CT145" i="3"/>
  <c r="CV16" i="3"/>
  <c r="CV145" i="3" s="1"/>
  <c r="CF27" i="3"/>
  <c r="CF156" i="3" s="1"/>
  <c r="AN27" i="3"/>
  <c r="AN156" i="3" s="1"/>
  <c r="AX153" i="3"/>
  <c r="BD24" i="3"/>
  <c r="BD153" i="3" s="1"/>
  <c r="CQ39" i="3"/>
  <c r="CQ168" i="3" s="1"/>
  <c r="AY36" i="3"/>
  <c r="AY165" i="3" s="1"/>
  <c r="CQ36" i="3"/>
  <c r="CQ165" i="3" s="1"/>
  <c r="CF36" i="3"/>
  <c r="CF165" i="3" s="1"/>
  <c r="AN36" i="3"/>
  <c r="AN165" i="3" s="1"/>
  <c r="J165" i="3"/>
  <c r="AN35" i="3"/>
  <c r="AN164" i="3" s="1"/>
  <c r="AM164" i="3"/>
  <c r="CE151" i="3"/>
  <c r="CF22" i="3"/>
  <c r="CF151" i="3" s="1"/>
  <c r="AS8" i="3"/>
  <c r="AS137" i="3" s="1"/>
  <c r="AM148" i="3"/>
  <c r="AS19" i="3"/>
  <c r="AS148" i="3" s="1"/>
  <c r="CQ20" i="3"/>
  <c r="CQ149" i="3" s="1"/>
  <c r="CV20" i="3"/>
  <c r="CV149" i="3" s="1"/>
  <c r="CP149" i="3"/>
  <c r="BN16" i="3"/>
  <c r="BN145" i="3" s="1"/>
  <c r="CU16" i="3"/>
  <c r="CU145" i="3" s="1"/>
  <c r="CJ16" i="3"/>
  <c r="CJ145" i="3" s="1"/>
  <c r="BC16" i="3"/>
  <c r="BC145" i="3" s="1"/>
  <c r="AR16" i="3"/>
  <c r="AR145" i="3" s="1"/>
  <c r="J160" i="3"/>
  <c r="CF31" i="3"/>
  <c r="CF160" i="3" s="1"/>
  <c r="BU31" i="3"/>
  <c r="BU160" i="3" s="1"/>
  <c r="AN31" i="3"/>
  <c r="AN160" i="3" s="1"/>
  <c r="AQ169" i="3"/>
  <c r="AR40" i="3"/>
  <c r="AR169" i="3" s="1"/>
  <c r="CP142" i="3"/>
  <c r="CV13" i="3"/>
  <c r="CV142" i="3" s="1"/>
  <c r="CQ13" i="3"/>
  <c r="CQ142" i="3" s="1"/>
  <c r="AQ143" i="3"/>
  <c r="AR14" i="3"/>
  <c r="AR143" i="3" s="1"/>
  <c r="AN46" i="3"/>
  <c r="AN175" i="3" s="1"/>
  <c r="BY11" i="3"/>
  <c r="BY140" i="3" s="1"/>
  <c r="AS35" i="3"/>
  <c r="AS164" i="3" s="1"/>
  <c r="AM143" i="3"/>
  <c r="AS14" i="3"/>
  <c r="AS143" i="3" s="1"/>
  <c r="CT168" i="3"/>
  <c r="CU39" i="3"/>
  <c r="CU168" i="3" s="1"/>
  <c r="BB159" i="3"/>
  <c r="BC30" i="3"/>
  <c r="BC159" i="3" s="1"/>
  <c r="BJ43" i="3"/>
  <c r="BJ172" i="3" s="1"/>
  <c r="BJ38" i="3"/>
  <c r="BJ167" i="3" s="1"/>
  <c r="BI167" i="3"/>
  <c r="CF16" i="3"/>
  <c r="CF145" i="3" s="1"/>
  <c r="BJ16" i="3"/>
  <c r="BJ145" i="3" s="1"/>
  <c r="J145" i="3"/>
  <c r="AN16" i="3"/>
  <c r="AN145" i="3" s="1"/>
  <c r="AQ137" i="3"/>
  <c r="AR8" i="3"/>
  <c r="AR137" i="3" s="1"/>
  <c r="CU20" i="3"/>
  <c r="CU149" i="3" s="1"/>
  <c r="CT149" i="3"/>
  <c r="AX163" i="3"/>
  <c r="AY34" i="3"/>
  <c r="AY163" i="3" s="1"/>
  <c r="BO43" i="3"/>
  <c r="BO172" i="3" s="1"/>
  <c r="AS46" i="3"/>
  <c r="AS175" i="3" s="1"/>
  <c r="AQ164" i="3"/>
  <c r="AS45" i="3"/>
  <c r="AS174" i="3" s="1"/>
  <c r="CT171" i="3"/>
  <c r="BU16" i="3"/>
  <c r="BU145" i="3" s="1"/>
  <c r="BT145" i="3"/>
  <c r="CU33" i="3"/>
  <c r="CU162" i="3" s="1"/>
  <c r="CT162" i="3"/>
  <c r="BJ37" i="3"/>
  <c r="BJ166" i="3" s="1"/>
  <c r="BI166" i="3"/>
  <c r="BX157" i="3"/>
  <c r="BY28" i="3"/>
  <c r="BY157" i="3" s="1"/>
  <c r="AY16" i="3"/>
  <c r="AY145" i="3" s="1"/>
  <c r="BM174" i="3"/>
  <c r="BM146" i="3"/>
  <c r="BO17" i="3"/>
  <c r="BO146" i="3" s="1"/>
  <c r="BN17" i="3"/>
  <c r="BN146" i="3" s="1"/>
  <c r="L9" i="3"/>
  <c r="L138" i="3" s="1"/>
  <c r="K138" i="3"/>
  <c r="BI146" i="3"/>
  <c r="BJ17" i="3"/>
  <c r="BJ146" i="3" s="1"/>
  <c r="Y31" i="3"/>
  <c r="Y160" i="3" s="1"/>
  <c r="CU31" i="3"/>
  <c r="CU160" i="3" s="1"/>
  <c r="BC31" i="3"/>
  <c r="BC160" i="3" s="1"/>
  <c r="AR31" i="3"/>
  <c r="AR160" i="3" s="1"/>
  <c r="CJ31" i="3"/>
  <c r="CJ160" i="3" s="1"/>
  <c r="X31" i="3"/>
  <c r="X160" i="3" s="1"/>
  <c r="W160" i="3"/>
  <c r="BY31" i="3"/>
  <c r="BY160" i="3" s="1"/>
  <c r="BN31" i="3"/>
  <c r="BN160" i="3" s="1"/>
  <c r="D134" i="3"/>
  <c r="CV42" i="3"/>
  <c r="CV171" i="3" s="1"/>
  <c r="AY42" i="3"/>
  <c r="AY171" i="3" s="1"/>
  <c r="AN45" i="3"/>
  <c r="AN174" i="3" s="1"/>
  <c r="BZ32" i="3"/>
  <c r="BZ161" i="3" s="1"/>
  <c r="CV7" i="3"/>
  <c r="CV136" i="3" s="1"/>
  <c r="AY44" i="3"/>
  <c r="AY173" i="3" s="1"/>
  <c r="AX173" i="3"/>
  <c r="CK22" i="3"/>
  <c r="CK151" i="3" s="1"/>
  <c r="CP162" i="3"/>
  <c r="CQ33" i="3"/>
  <c r="CQ162" i="3" s="1"/>
  <c r="CV33" i="3"/>
  <c r="CV162" i="3" s="1"/>
  <c r="BU28" i="3"/>
  <c r="BU157" i="3" s="1"/>
  <c r="BT157" i="3"/>
  <c r="BZ28" i="3"/>
  <c r="BZ157" i="3" s="1"/>
  <c r="BT161" i="3"/>
  <c r="CQ16" i="3"/>
  <c r="CQ145" i="3" s="1"/>
  <c r="CQ29" i="3"/>
  <c r="CQ158" i="3" s="1"/>
  <c r="CQ45" i="3"/>
  <c r="CQ174" i="3" s="1"/>
  <c r="CP174" i="3"/>
  <c r="CT142" i="3"/>
  <c r="CU13" i="3"/>
  <c r="CU142" i="3" s="1"/>
  <c r="BD18" i="3"/>
  <c r="BD147" i="3" s="1"/>
  <c r="AX147" i="3"/>
  <c r="AY18" i="3"/>
  <c r="AY147" i="3" s="1"/>
  <c r="BN38" i="3"/>
  <c r="BN167" i="3" s="1"/>
  <c r="BM167" i="3"/>
  <c r="BO38" i="3"/>
  <c r="BO167" i="3" s="1"/>
  <c r="CI144" i="3"/>
  <c r="CK15" i="3"/>
  <c r="CK144" i="3" s="1"/>
  <c r="L31" i="3"/>
  <c r="L160" i="3" s="1"/>
  <c r="K160" i="3"/>
  <c r="Y16" i="3"/>
  <c r="Y145" i="3" s="1"/>
  <c r="BM136" i="3"/>
  <c r="BO7" i="3"/>
  <c r="BO136" i="3" s="1"/>
  <c r="AN9" i="3"/>
  <c r="AN138" i="3" s="1"/>
  <c r="AY9" i="3"/>
  <c r="AY138" i="3" s="1"/>
  <c r="BJ9" i="3"/>
  <c r="BJ138" i="3" s="1"/>
  <c r="CF9" i="3"/>
  <c r="CF138" i="3" s="1"/>
  <c r="BU9" i="3"/>
  <c r="BU138" i="3" s="1"/>
  <c r="J138" i="3"/>
  <c r="BJ36" i="3"/>
  <c r="BJ165" i="3" s="1"/>
  <c r="CU46" i="3"/>
  <c r="CU175" i="3" s="1"/>
  <c r="CT175" i="3"/>
  <c r="CK46" i="3"/>
  <c r="CK175" i="3" s="1"/>
  <c r="CF46" i="3"/>
  <c r="CF175" i="3" s="1"/>
  <c r="BY46" i="3"/>
  <c r="BY175" i="3" s="1"/>
  <c r="BX175" i="3"/>
  <c r="BZ46" i="3"/>
  <c r="BZ175" i="3" s="1"/>
  <c r="BM175" i="3"/>
  <c r="BN46" i="3"/>
  <c r="BN175" i="3" s="1"/>
  <c r="BO46" i="3"/>
  <c r="BO175" i="3" s="1"/>
  <c r="BI175" i="3"/>
  <c r="BC46" i="3"/>
  <c r="BC175" i="3" s="1"/>
  <c r="BB175" i="3"/>
  <c r="CT139" i="3"/>
  <c r="CU10" i="3"/>
  <c r="CU139" i="3" s="1"/>
  <c r="AX151" i="3"/>
  <c r="BD22" i="3"/>
  <c r="BD151" i="3" s="1"/>
  <c r="AY22" i="3"/>
  <c r="AY151" i="3" s="1"/>
  <c r="BX168" i="3"/>
  <c r="BY39" i="3"/>
  <c r="BY168" i="3" s="1"/>
  <c r="CE174" i="3"/>
  <c r="CF45" i="3"/>
  <c r="CF174" i="3" s="1"/>
  <c r="BJ7" i="3"/>
  <c r="BJ136" i="3" s="1"/>
  <c r="J136" i="3"/>
  <c r="CQ7" i="3"/>
  <c r="CQ136" i="3" s="1"/>
  <c r="BU7" i="3"/>
  <c r="BU136" i="3" s="1"/>
  <c r="CF7" i="3"/>
  <c r="CF136" i="3" s="1"/>
  <c r="AN7" i="3"/>
  <c r="AN136" i="3" s="1"/>
  <c r="K140" i="3"/>
  <c r="L11" i="3"/>
  <c r="L140" i="3" s="1"/>
  <c r="AX161" i="3"/>
  <c r="BD32" i="3"/>
  <c r="BD161" i="3" s="1"/>
  <c r="AY32" i="3"/>
  <c r="AY161" i="3" s="1"/>
  <c r="CI163" i="3"/>
  <c r="CK34" i="3"/>
  <c r="CK163" i="3" s="1"/>
  <c r="CJ34" i="3"/>
  <c r="CJ163" i="3" s="1"/>
  <c r="AN26" i="3"/>
  <c r="AN155" i="3" s="1"/>
  <c r="AM155" i="3"/>
  <c r="AS26" i="3"/>
  <c r="AS155" i="3" s="1"/>
  <c r="CV10" i="3"/>
  <c r="CV139" i="3" s="1"/>
  <c r="BC43" i="3"/>
  <c r="BC172" i="3" s="1"/>
  <c r="BB172" i="3"/>
  <c r="BB151" i="3"/>
  <c r="BC22" i="3"/>
  <c r="BC151" i="3" s="1"/>
  <c r="AQ155" i="3"/>
  <c r="AR26" i="3"/>
  <c r="AR155" i="3" s="1"/>
  <c r="K136" i="3"/>
  <c r="L7" i="3"/>
  <c r="L136" i="3" s="1"/>
  <c r="Y7" i="3"/>
  <c r="Y136" i="3" s="1"/>
  <c r="CU41" i="3"/>
  <c r="CU170" i="3" s="1"/>
  <c r="CT170" i="3"/>
  <c r="BB166" i="3"/>
  <c r="BC37" i="3"/>
  <c r="BC166" i="3" s="1"/>
  <c r="J153" i="3"/>
  <c r="CQ24" i="3"/>
  <c r="CQ153" i="3" s="1"/>
  <c r="CF24" i="3"/>
  <c r="CF153" i="3" s="1"/>
  <c r="BU24" i="3"/>
  <c r="BU153" i="3" s="1"/>
  <c r="AY24" i="3"/>
  <c r="AY153" i="3" s="1"/>
  <c r="BM154" i="3"/>
  <c r="BN25" i="3"/>
  <c r="BN154" i="3" s="1"/>
  <c r="BO25" i="3"/>
  <c r="BO154" i="3" s="1"/>
  <c r="CQ41" i="3"/>
  <c r="CQ170" i="3" s="1"/>
  <c r="CV41" i="3"/>
  <c r="CV170" i="3" s="1"/>
  <c r="CP170" i="3"/>
  <c r="CE163" i="3"/>
  <c r="CF34" i="3"/>
  <c r="CF163" i="3" s="1"/>
  <c r="BU39" i="3"/>
  <c r="BU168" i="3" s="1"/>
  <c r="BT168" i="3"/>
  <c r="BZ39" i="3"/>
  <c r="BZ168" i="3" s="1"/>
  <c r="L18" i="3"/>
  <c r="L147" i="3" s="1"/>
  <c r="Y18" i="3"/>
  <c r="Y147" i="3" s="1"/>
  <c r="K147" i="3"/>
  <c r="CT146" i="3"/>
  <c r="CU17" i="3"/>
  <c r="CU146" i="3" s="1"/>
  <c r="CP160" i="3"/>
  <c r="CQ31" i="3"/>
  <c r="CQ160" i="3" s="1"/>
  <c r="CV31" i="3"/>
  <c r="CV160" i="3" s="1"/>
  <c r="BB164" i="3"/>
  <c r="BC35" i="3"/>
  <c r="BC164" i="3" s="1"/>
  <c r="BD37" i="3"/>
  <c r="BD166" i="3" s="1"/>
  <c r="AX166" i="3"/>
  <c r="AY37" i="3"/>
  <c r="AY166" i="3" s="1"/>
  <c r="K153" i="3"/>
  <c r="Y24" i="3"/>
  <c r="Y153" i="3" s="1"/>
  <c r="L24" i="3"/>
  <c r="L153" i="3" s="1"/>
  <c r="BI154" i="3"/>
  <c r="BJ25" i="3"/>
  <c r="BJ154" i="3" s="1"/>
  <c r="CE141" i="3"/>
  <c r="CF12" i="3"/>
  <c r="CF141" i="3" s="1"/>
  <c r="CJ7" i="3"/>
  <c r="CJ136" i="3" s="1"/>
  <c r="W136" i="3"/>
  <c r="X7" i="3"/>
  <c r="X136" i="3" s="1"/>
  <c r="CU7" i="3"/>
  <c r="CU136" i="3" s="1"/>
  <c r="BN7" i="3"/>
  <c r="BN136" i="3" s="1"/>
  <c r="AR7" i="3"/>
  <c r="AR136" i="3" s="1"/>
  <c r="CK45" i="3"/>
  <c r="CK174" i="3" s="1"/>
  <c r="BJ44" i="3"/>
  <c r="BJ173" i="3" s="1"/>
  <c r="BI173" i="3"/>
  <c r="CP146" i="3"/>
  <c r="CV17" i="3"/>
  <c r="CV146" i="3" s="1"/>
  <c r="CQ17" i="3"/>
  <c r="CQ146" i="3" s="1"/>
  <c r="AN29" i="3"/>
  <c r="AN158" i="3" s="1"/>
  <c r="AY29" i="3"/>
  <c r="AY158" i="3" s="1"/>
  <c r="CF29" i="3"/>
  <c r="CF158" i="3" s="1"/>
  <c r="J158" i="3"/>
  <c r="BU29" i="3"/>
  <c r="BU158" i="3" s="1"/>
  <c r="BT149" i="3"/>
  <c r="BU20" i="3"/>
  <c r="BU149" i="3" s="1"/>
  <c r="BZ20" i="3"/>
  <c r="BZ149" i="3" s="1"/>
  <c r="BB161" i="3"/>
  <c r="BC32" i="3"/>
  <c r="BC161" i="3" s="1"/>
  <c r="AR18" i="3"/>
  <c r="AR147" i="3" s="1"/>
  <c r="BY18" i="3"/>
  <c r="BY147" i="3" s="1"/>
  <c r="X18" i="3"/>
  <c r="X147" i="3" s="1"/>
  <c r="W147" i="3"/>
  <c r="BN18" i="3"/>
  <c r="BN147" i="3" s="1"/>
  <c r="BC18" i="3"/>
  <c r="BC147" i="3" s="1"/>
  <c r="BN11" i="3"/>
  <c r="BN140" i="3" s="1"/>
  <c r="L37" i="3"/>
  <c r="L166" i="3" s="1"/>
  <c r="Y37" i="3"/>
  <c r="Y166" i="3" s="1"/>
  <c r="K462" i="1"/>
  <c r="K166" i="3"/>
  <c r="BN37" i="3"/>
  <c r="BN166" i="3" s="1"/>
  <c r="W166" i="3"/>
  <c r="AR37" i="3"/>
  <c r="AR166" i="3" s="1"/>
  <c r="X37" i="3"/>
  <c r="X166" i="3" s="1"/>
  <c r="CJ37" i="3"/>
  <c r="CJ166" i="3" s="1"/>
  <c r="P462" i="1"/>
  <c r="BY37" i="3"/>
  <c r="BY166" i="3" s="1"/>
  <c r="CI141" i="3"/>
  <c r="CJ12" i="3"/>
  <c r="CJ141" i="3" s="1"/>
  <c r="CK12" i="3"/>
  <c r="CK141" i="3" s="1"/>
  <c r="BX161" i="3"/>
  <c r="BY32" i="3"/>
  <c r="BY161" i="3" s="1"/>
  <c r="BY20" i="3"/>
  <c r="BY149" i="3" s="1"/>
  <c r="BX149" i="3"/>
  <c r="AX164" i="3"/>
  <c r="BD35" i="3"/>
  <c r="BD164" i="3" s="1"/>
  <c r="AY35" i="3"/>
  <c r="AY164" i="3" s="1"/>
  <c r="CE146" i="3"/>
  <c r="CF17" i="3"/>
  <c r="CF146" i="3" s="1"/>
  <c r="CP151" i="3"/>
  <c r="CQ22" i="3"/>
  <c r="CQ151" i="3" s="1"/>
  <c r="CV22" i="3"/>
  <c r="CV151" i="3" s="1"/>
  <c r="BY7" i="3"/>
  <c r="BY136" i="3" s="1"/>
  <c r="AQ174" i="3"/>
  <c r="AR45" i="3"/>
  <c r="AR174" i="3" s="1"/>
  <c r="AR42" i="3"/>
  <c r="AR171" i="3" s="1"/>
  <c r="AQ171" i="3"/>
  <c r="X24" i="3"/>
  <c r="X153" i="3" s="1"/>
  <c r="BY24" i="3"/>
  <c r="BY153" i="3" s="1"/>
  <c r="CU24" i="3"/>
  <c r="CU153" i="3" s="1"/>
  <c r="CJ24" i="3"/>
  <c r="CJ153" i="3" s="1"/>
  <c r="BC24" i="3"/>
  <c r="BC153" i="3" s="1"/>
  <c r="BN24" i="3"/>
  <c r="BN153" i="3" s="1"/>
  <c r="W153" i="3"/>
  <c r="CI146" i="3"/>
  <c r="CK17" i="3"/>
  <c r="CK146" i="3" s="1"/>
  <c r="CJ17" i="3"/>
  <c r="CJ146" i="3" s="1"/>
  <c r="CT151" i="3"/>
  <c r="CU22" i="3"/>
  <c r="CU151" i="3" s="1"/>
  <c r="CV46" i="3"/>
  <c r="CV175" i="3" s="1"/>
  <c r="CQ46" i="3"/>
  <c r="CQ175" i="3" s="1"/>
  <c r="BX170" i="3"/>
  <c r="BY41" i="3"/>
  <c r="BY170" i="3" s="1"/>
  <c r="BB173" i="3"/>
  <c r="BC44" i="3"/>
  <c r="BC173" i="3" s="1"/>
  <c r="BD44" i="3"/>
  <c r="BD173" i="3" s="1"/>
  <c r="BD12" i="3"/>
  <c r="BD141" i="3" s="1"/>
  <c r="AX141" i="3"/>
  <c r="AY12" i="3"/>
  <c r="AY141" i="3" s="1"/>
  <c r="CE137" i="3"/>
  <c r="CF8" i="3"/>
  <c r="CF137" i="3" s="1"/>
  <c r="BO28" i="3"/>
  <c r="BO157" i="3" s="1"/>
  <c r="BN28" i="3"/>
  <c r="BN157" i="3" s="1"/>
  <c r="BM157" i="3"/>
  <c r="BB162" i="3"/>
  <c r="BC33" i="3"/>
  <c r="BC162" i="3" s="1"/>
  <c r="AN25" i="3"/>
  <c r="AN154" i="3" s="1"/>
  <c r="AM154" i="3"/>
  <c r="AS25" i="3"/>
  <c r="AS154" i="3" s="1"/>
  <c r="CE171" i="3"/>
  <c r="CF42" i="3"/>
  <c r="CF171" i="3" s="1"/>
  <c r="BD46" i="3"/>
  <c r="BD175" i="3" s="1"/>
  <c r="AY46" i="3"/>
  <c r="AY175" i="3" s="1"/>
  <c r="BX141" i="3"/>
  <c r="BY12" i="3"/>
  <c r="BY141" i="3" s="1"/>
  <c r="BT174" i="3"/>
  <c r="BU45" i="3"/>
  <c r="BU174" i="3" s="1"/>
  <c r="BZ45" i="3"/>
  <c r="BZ174" i="3" s="1"/>
  <c r="CV35" i="3"/>
  <c r="CV164" i="3" s="1"/>
  <c r="CP164" i="3"/>
  <c r="CQ35" i="3"/>
  <c r="CQ164" i="3" s="1"/>
  <c r="CI137" i="3"/>
  <c r="CJ8" i="3"/>
  <c r="CJ137" i="3" s="1"/>
  <c r="CK8" i="3"/>
  <c r="CK137" i="3" s="1"/>
  <c r="BI157" i="3"/>
  <c r="BJ28" i="3"/>
  <c r="BJ157" i="3" s="1"/>
  <c r="BN41" i="3"/>
  <c r="BN170" i="3" s="1"/>
  <c r="BO41" i="3"/>
  <c r="BO170" i="3" s="1"/>
  <c r="BM170" i="3"/>
  <c r="BB170" i="3"/>
  <c r="BC41" i="3"/>
  <c r="BC170" i="3" s="1"/>
  <c r="CU34" i="3"/>
  <c r="CU163" i="3" s="1"/>
  <c r="CT163" i="3"/>
  <c r="CE147" i="3"/>
  <c r="CF18" i="3"/>
  <c r="CF147" i="3" s="1"/>
  <c r="AX148" i="3"/>
  <c r="BD19" i="3"/>
  <c r="BD148" i="3" s="1"/>
  <c r="AY19" i="3"/>
  <c r="AY148" i="3" s="1"/>
  <c r="AY41" i="3"/>
  <c r="AY170" i="3" s="1"/>
  <c r="AX170" i="3"/>
  <c r="BD41" i="3"/>
  <c r="BD170" i="3" s="1"/>
  <c r="BU42" i="3"/>
  <c r="BU171" i="3" s="1"/>
  <c r="BT171" i="3"/>
  <c r="BZ42" i="3"/>
  <c r="BZ171" i="3" s="1"/>
  <c r="BJ42" i="3"/>
  <c r="BJ171" i="3" s="1"/>
  <c r="BI171" i="3"/>
  <c r="CP172" i="3"/>
  <c r="CQ43" i="3"/>
  <c r="CQ172" i="3" s="1"/>
  <c r="CV43" i="3"/>
  <c r="CV172" i="3" s="1"/>
  <c r="BT141" i="3"/>
  <c r="BU12" i="3"/>
  <c r="BU141" i="3" s="1"/>
  <c r="BZ12" i="3"/>
  <c r="BZ141" i="3" s="1"/>
  <c r="BX174" i="3"/>
  <c r="BY45" i="3"/>
  <c r="BY174" i="3" s="1"/>
  <c r="CT164" i="3"/>
  <c r="CU35" i="3"/>
  <c r="CU164" i="3" s="1"/>
  <c r="BT165" i="3"/>
  <c r="BU36" i="3"/>
  <c r="BU165" i="3" s="1"/>
  <c r="BZ36" i="3"/>
  <c r="BZ165" i="3" s="1"/>
  <c r="BB136" i="3"/>
  <c r="BC7" i="3"/>
  <c r="BC136" i="3" s="1"/>
  <c r="BX171" i="3"/>
  <c r="BY42" i="3"/>
  <c r="BY171" i="3" s="1"/>
  <c r="BI139" i="3"/>
  <c r="BJ10" i="3"/>
  <c r="BJ139" i="3" s="1"/>
  <c r="BJ11" i="3"/>
  <c r="BJ140" i="3" s="1"/>
  <c r="CQ11" i="3"/>
  <c r="CQ140" i="3" s="1"/>
  <c r="BU11" i="3"/>
  <c r="BU140" i="3" s="1"/>
  <c r="AN11" i="3"/>
  <c r="AN140" i="3" s="1"/>
  <c r="J140" i="3"/>
  <c r="CF11" i="3"/>
  <c r="CF140" i="3" s="1"/>
  <c r="AY11" i="3"/>
  <c r="AY140" i="3" s="1"/>
  <c r="BM139" i="3"/>
  <c r="BO10" i="3"/>
  <c r="BO139" i="3" s="1"/>
  <c r="BN10" i="3"/>
  <c r="BN139" i="3" s="1"/>
  <c r="BD7" i="3"/>
  <c r="BD136" i="3" s="1"/>
  <c r="AY7" i="3"/>
  <c r="AY136" i="3" s="1"/>
  <c r="AX136" i="3"/>
  <c r="AQ154" i="3"/>
  <c r="AR25" i="3"/>
  <c r="AR154" i="3" s="1"/>
  <c r="CP163" i="3"/>
  <c r="CV34" i="3"/>
  <c r="CV163" i="3" s="1"/>
  <c r="CQ34" i="3"/>
  <c r="CQ163" i="3" s="1"/>
  <c r="X11" i="3"/>
  <c r="X140" i="3" s="1"/>
  <c r="AR11" i="3"/>
  <c r="AR140" i="3" s="1"/>
  <c r="W140" i="3"/>
  <c r="Y11" i="3"/>
  <c r="Y140" i="3" s="1"/>
  <c r="CU11" i="3"/>
  <c r="CU140" i="3" s="1"/>
  <c r="BC11" i="3"/>
  <c r="BC140" i="3" s="1"/>
  <c r="CJ11" i="3"/>
  <c r="CJ140" i="3" s="1"/>
  <c r="AN19" i="3"/>
  <c r="AN148" i="3" s="1"/>
  <c r="CQ19" i="3"/>
  <c r="CQ148" i="3" s="1"/>
  <c r="J148" i="3"/>
  <c r="BU19" i="3"/>
  <c r="BU148" i="3" s="1"/>
  <c r="BJ19" i="3"/>
  <c r="BJ148" i="3" s="1"/>
  <c r="CF19" i="3"/>
  <c r="CF148" i="3" s="1"/>
  <c r="BD33" i="3"/>
  <c r="BD162" i="3" s="1"/>
  <c r="AX162" i="3"/>
  <c r="AY33" i="3"/>
  <c r="AY162" i="3" s="1"/>
  <c r="BO42" i="3"/>
  <c r="BO171" i="3" s="1"/>
  <c r="BM171" i="3"/>
  <c r="BN42" i="3"/>
  <c r="BN171" i="3" s="1"/>
  <c r="L19" i="3"/>
  <c r="L148" i="3" s="1"/>
  <c r="K148" i="3"/>
  <c r="Y19" i="3"/>
  <c r="Y148" i="3" s="1"/>
  <c r="CI147" i="3"/>
  <c r="CJ18" i="3"/>
  <c r="CJ147" i="3" s="1"/>
  <c r="CK18" i="3"/>
  <c r="CK147" i="3" s="1"/>
  <c r="BC19" i="3"/>
  <c r="BC148" i="3" s="1"/>
  <c r="BB148" i="3"/>
  <c r="Y5" i="3"/>
  <c r="Y134" i="3" s="1"/>
  <c r="CU5" i="3"/>
  <c r="CU134" i="3" s="1"/>
  <c r="L5" i="3"/>
  <c r="L134" i="3" s="1"/>
  <c r="K134" i="3"/>
  <c r="CJ5" i="3"/>
  <c r="CJ134" i="3" s="1"/>
  <c r="W130" i="3"/>
  <c r="X130" i="3" s="1"/>
  <c r="X5" i="3"/>
  <c r="X134" i="3" s="1"/>
  <c r="W134" i="3"/>
  <c r="BC5" i="3"/>
  <c r="BC134" i="3" s="1"/>
  <c r="J134" i="3"/>
  <c r="CF5" i="3"/>
  <c r="CF134" i="3" s="1"/>
  <c r="CQ5" i="3"/>
  <c r="CQ134" i="3" s="1"/>
  <c r="BJ5" i="3"/>
  <c r="BJ134" i="3" s="1"/>
  <c r="AN5" i="3"/>
  <c r="AN134" i="3" s="1"/>
  <c r="BU5" i="3"/>
  <c r="BU134" i="3" s="1"/>
  <c r="AY5" i="3"/>
  <c r="AY134" i="3" s="1"/>
  <c r="BN5" i="3"/>
  <c r="BN134" i="3" s="1"/>
  <c r="AC6" i="3" l="1"/>
  <c r="BK442" i="1"/>
  <c r="EK17" i="3"/>
  <c r="EL17" i="3" s="1"/>
  <c r="BK441" i="1"/>
  <c r="EK16" i="3"/>
  <c r="EL16" i="3" s="1"/>
  <c r="BK464" i="1"/>
  <c r="EK39" i="3"/>
  <c r="EL39" i="3" s="1"/>
  <c r="BK437" i="1"/>
  <c r="EK12" i="3"/>
  <c r="EL12" i="3" s="1"/>
  <c r="BK467" i="1"/>
  <c r="EK42" i="3"/>
  <c r="EL42" i="3" s="1"/>
  <c r="BK431" i="1"/>
  <c r="EK6" i="3"/>
  <c r="EL6" i="3" s="1"/>
  <c r="BK466" i="1"/>
  <c r="EK41" i="3"/>
  <c r="EL41" i="3" s="1"/>
  <c r="BK438" i="1"/>
  <c r="EK13" i="3"/>
  <c r="EL13" i="3" s="1"/>
  <c r="BK458" i="1"/>
  <c r="EK33" i="3"/>
  <c r="EL33" i="3" s="1"/>
  <c r="BK435" i="1"/>
  <c r="EK10" i="3"/>
  <c r="EL10" i="3" s="1"/>
  <c r="BK465" i="1"/>
  <c r="EK40" i="3"/>
  <c r="EL40" i="3" s="1"/>
  <c r="BK447" i="1"/>
  <c r="EK22" i="3"/>
  <c r="EL22" i="3" s="1"/>
  <c r="BK457" i="1"/>
  <c r="EK32" i="3"/>
  <c r="EL32" i="3" s="1"/>
  <c r="BK436" i="1"/>
  <c r="EK11" i="3"/>
  <c r="EL11" i="3" s="1"/>
  <c r="BK468" i="1"/>
  <c r="EK43" i="3"/>
  <c r="EL43" i="3" s="1"/>
  <c r="BK450" i="1"/>
  <c r="EK25" i="3"/>
  <c r="EL25" i="3" s="1"/>
  <c r="BK439" i="1"/>
  <c r="EK14" i="3"/>
  <c r="EL14" i="3" s="1"/>
  <c r="BK452" i="1"/>
  <c r="EK27" i="3"/>
  <c r="EL27" i="3" s="1"/>
  <c r="BK469" i="1"/>
  <c r="EK44" i="3"/>
  <c r="EL44" i="3" s="1"/>
  <c r="BK459" i="1"/>
  <c r="EK34" i="3"/>
  <c r="EL34" i="3" s="1"/>
  <c r="BK445" i="1"/>
  <c r="EK20" i="3"/>
  <c r="EL20" i="3" s="1"/>
  <c r="BK449" i="1"/>
  <c r="EK24" i="3"/>
  <c r="EL24" i="3" s="1"/>
  <c r="BK440" i="1"/>
  <c r="EK15" i="3"/>
  <c r="EL15" i="3" s="1"/>
  <c r="BK433" i="1"/>
  <c r="EK8" i="3"/>
  <c r="EL8" i="3" s="1"/>
  <c r="BK432" i="1"/>
  <c r="EK7" i="3"/>
  <c r="EL7" i="3" s="1"/>
  <c r="BK448" i="1"/>
  <c r="EK23" i="3"/>
  <c r="EL23" i="3" s="1"/>
  <c r="BK456" i="1"/>
  <c r="EK31" i="3"/>
  <c r="EL31" i="3" s="1"/>
  <c r="BK443" i="1"/>
  <c r="EK18" i="3"/>
  <c r="EL18" i="3" s="1"/>
  <c r="BK454" i="1"/>
  <c r="EK29" i="3"/>
  <c r="EL29" i="3" s="1"/>
  <c r="BK434" i="1"/>
  <c r="EK9" i="3"/>
  <c r="EL9" i="3" s="1"/>
  <c r="BK453" i="1"/>
  <c r="EK28" i="3"/>
  <c r="EL28" i="3" s="1"/>
  <c r="BK470" i="1"/>
  <c r="EK45" i="3"/>
  <c r="EL45" i="3" s="1"/>
  <c r="BK446" i="1"/>
  <c r="EK21" i="3"/>
  <c r="EL21" i="3" s="1"/>
  <c r="BK455" i="1"/>
  <c r="EK30" i="3"/>
  <c r="EL30" i="3" s="1"/>
  <c r="BK444" i="1"/>
  <c r="EK19" i="3"/>
  <c r="EL19" i="3" s="1"/>
  <c r="BK451" i="1"/>
  <c r="EK26" i="3"/>
  <c r="EL26" i="3" s="1"/>
  <c r="BK430" i="1"/>
  <c r="T537" i="1"/>
  <c r="F588" i="1"/>
  <c r="E589" i="1"/>
  <c r="DX148" i="3"/>
  <c r="AP56" i="3"/>
  <c r="CS55" i="3"/>
  <c r="CS184" i="3" s="1"/>
  <c r="AP184" i="3"/>
  <c r="DB47" i="3"/>
  <c r="DB176" i="3" s="1"/>
  <c r="AP177" i="3"/>
  <c r="CS48" i="3"/>
  <c r="CS177" i="3" s="1"/>
  <c r="H473" i="1"/>
  <c r="AC5" i="3" l="1"/>
  <c r="E590" i="1"/>
  <c r="F589" i="1"/>
  <c r="DB55" i="3"/>
  <c r="DB184" i="3" s="1"/>
  <c r="CS56" i="3"/>
  <c r="CS185" i="3" s="1"/>
  <c r="AP185" i="3"/>
  <c r="DB48" i="3"/>
  <c r="DB177" i="3" s="1"/>
  <c r="H472" i="1"/>
  <c r="E591" i="1" l="1"/>
  <c r="F590" i="1"/>
  <c r="DB56" i="3"/>
  <c r="DB185" i="3" s="1"/>
  <c r="H474" i="1"/>
  <c r="F591" i="1" l="1"/>
  <c r="E592" i="1"/>
  <c r="H475" i="1"/>
  <c r="F592" i="1" l="1"/>
  <c r="E593" i="1"/>
  <c r="H476" i="1"/>
  <c r="E594" i="1" l="1"/>
  <c r="F593" i="1"/>
  <c r="H477" i="1"/>
  <c r="F594" i="1" l="1"/>
  <c r="E595" i="1"/>
  <c r="H478" i="1"/>
  <c r="F595" i="1" l="1"/>
  <c r="E596" i="1"/>
  <c r="H479" i="1"/>
  <c r="F596" i="1" l="1"/>
  <c r="E597" i="1"/>
  <c r="H480" i="1"/>
  <c r="F597" i="1" l="1"/>
  <c r="E598" i="1"/>
  <c r="H481" i="1"/>
  <c r="F598" i="1" l="1"/>
  <c r="E599" i="1"/>
  <c r="H482" i="1"/>
  <c r="F599" i="1" l="1"/>
  <c r="E600" i="1"/>
  <c r="H483" i="1"/>
  <c r="E601" i="1" l="1"/>
  <c r="F600" i="1"/>
  <c r="H484" i="1"/>
  <c r="F601" i="1" l="1"/>
  <c r="H485" i="1"/>
  <c r="H486" i="1" l="1"/>
  <c r="H487" i="1" l="1"/>
  <c r="AK50" i="8" l="1"/>
  <c r="AK51" i="8" l="1"/>
  <c r="H488" i="1"/>
  <c r="AK52" i="8" l="1"/>
  <c r="H489" i="1"/>
  <c r="AK53" i="8" l="1"/>
  <c r="AK54" i="8" s="1"/>
  <c r="H490" i="1"/>
  <c r="AK57" i="8" l="1"/>
  <c r="AL65" i="3"/>
  <c r="AK58" i="8" l="1"/>
  <c r="CZ65" i="3"/>
  <c r="CZ194" i="3" s="1"/>
  <c r="AL194" i="3"/>
  <c r="AK59" i="8" l="1"/>
  <c r="BE492" i="1"/>
  <c r="H492" i="1"/>
  <c r="AK60" i="8" l="1"/>
  <c r="BE493" i="1"/>
  <c r="H493" i="1"/>
  <c r="AK61" i="8" l="1"/>
  <c r="BE494" i="1"/>
  <c r="H494" i="1"/>
  <c r="AK64" i="8" l="1"/>
  <c r="H495" i="1"/>
  <c r="BE495" i="1"/>
  <c r="AK65" i="8" l="1"/>
  <c r="H496" i="1"/>
  <c r="BE496" i="1"/>
  <c r="AK66" i="8" l="1"/>
  <c r="H497" i="1"/>
  <c r="BE497" i="1"/>
  <c r="AK67" i="8" l="1"/>
  <c r="BE498" i="1"/>
  <c r="H498" i="1"/>
  <c r="AK68" i="8" l="1"/>
  <c r="H499" i="1"/>
  <c r="BE499" i="1"/>
  <c r="AK69" i="8" l="1"/>
  <c r="BE500" i="1"/>
  <c r="H500" i="1"/>
  <c r="AK70" i="8" l="1"/>
  <c r="H501" i="1"/>
  <c r="BE501" i="1"/>
  <c r="AK71" i="8" l="1"/>
  <c r="BE502" i="1"/>
  <c r="H502" i="1"/>
  <c r="AK72" i="8" l="1"/>
  <c r="H503" i="1"/>
  <c r="BE503" i="1"/>
  <c r="AK73" i="8" l="1"/>
  <c r="H504" i="1"/>
  <c r="BE504" i="1"/>
  <c r="AK74" i="8" l="1"/>
  <c r="H505" i="1"/>
  <c r="BE505" i="1"/>
  <c r="AK75" i="8" l="1"/>
  <c r="BE506" i="1"/>
  <c r="H506" i="1"/>
  <c r="AK76" i="8" l="1"/>
  <c r="BE507" i="1"/>
  <c r="H507" i="1"/>
  <c r="AK77" i="8" l="1"/>
  <c r="H508" i="1"/>
  <c r="BE508" i="1"/>
  <c r="AK78" i="8" l="1"/>
  <c r="H509" i="1"/>
  <c r="BE509" i="1"/>
  <c r="AK79" i="8" l="1"/>
  <c r="H510" i="1"/>
  <c r="BE510" i="1"/>
  <c r="AK80" i="8" l="1"/>
  <c r="BE511" i="1"/>
  <c r="H511" i="1"/>
  <c r="AK127" i="8" l="1"/>
  <c r="AK81" i="8"/>
  <c r="C512" i="1"/>
  <c r="BE512" i="1"/>
  <c r="H512" i="1"/>
  <c r="AK128" i="8" l="1"/>
  <c r="AK82" i="8"/>
  <c r="H513" i="1"/>
  <c r="C513" i="1"/>
  <c r="BE513" i="1"/>
  <c r="AK129" i="8" l="1"/>
  <c r="AK83" i="8"/>
  <c r="H514" i="1"/>
  <c r="C514" i="1"/>
  <c r="BE514" i="1"/>
  <c r="AK130" i="8" l="1"/>
  <c r="AK84" i="8"/>
  <c r="C515" i="1"/>
  <c r="BE515" i="1"/>
  <c r="H515" i="1"/>
  <c r="AK131" i="8" l="1"/>
  <c r="AK85" i="8"/>
  <c r="H516" i="1"/>
  <c r="BE516" i="1"/>
  <c r="AK132" i="8" l="1"/>
  <c r="AK86" i="8"/>
  <c r="BE517" i="1"/>
  <c r="H517" i="1"/>
  <c r="AK133" i="8" l="1"/>
  <c r="AK87" i="8"/>
  <c r="R77" i="8"/>
  <c r="R78" i="8"/>
  <c r="R76" i="8"/>
  <c r="R75" i="8"/>
  <c r="R74" i="8"/>
  <c r="AK134" i="8" l="1"/>
  <c r="AK88" i="8"/>
  <c r="R82" i="8"/>
  <c r="R129" i="8" s="1"/>
  <c r="R84" i="8"/>
  <c r="R131" i="8" s="1"/>
  <c r="R80" i="8"/>
  <c r="R127" i="8" s="1"/>
  <c r="R81" i="8"/>
  <c r="R87" i="8" s="1"/>
  <c r="R83" i="8"/>
  <c r="R89" i="8" s="1"/>
  <c r="AK135" i="8" l="1"/>
  <c r="AK89" i="8"/>
  <c r="R130" i="8"/>
  <c r="R88" i="8"/>
  <c r="R94" i="8" s="1"/>
  <c r="R90" i="8"/>
  <c r="R137" i="8" s="1"/>
  <c r="R86" i="8"/>
  <c r="R133" i="8" s="1"/>
  <c r="R128" i="8"/>
  <c r="R136" i="8"/>
  <c r="R95" i="8"/>
  <c r="R134" i="8"/>
  <c r="R93" i="8"/>
  <c r="H518" i="1"/>
  <c r="BE518" i="1"/>
  <c r="R135" i="8" l="1"/>
  <c r="AK136" i="8"/>
  <c r="AK90" i="8"/>
  <c r="R96" i="8"/>
  <c r="R143" i="8" s="1"/>
  <c r="R92" i="8"/>
  <c r="R98" i="8" s="1"/>
  <c r="R104" i="8" s="1"/>
  <c r="R110" i="8" s="1"/>
  <c r="R142" i="8"/>
  <c r="R101" i="8"/>
  <c r="R140" i="8"/>
  <c r="R99" i="8"/>
  <c r="R141" i="8"/>
  <c r="R100" i="8"/>
  <c r="EB93" i="3"/>
  <c r="EB222" i="3" s="1"/>
  <c r="ED93" i="3"/>
  <c r="R157" i="8" l="1"/>
  <c r="R116" i="8"/>
  <c r="R163" i="8" s="1"/>
  <c r="AK137" i="8"/>
  <c r="AK91" i="8"/>
  <c r="R102" i="8"/>
  <c r="R148" i="8"/>
  <c r="R107" i="8"/>
  <c r="R147" i="8"/>
  <c r="R106" i="8"/>
  <c r="R146" i="8"/>
  <c r="R105" i="8"/>
  <c r="R145" i="8"/>
  <c r="R151" i="8"/>
  <c r="R139" i="8"/>
  <c r="ED94" i="3"/>
  <c r="ED95" i="3" s="1"/>
  <c r="EF93" i="3"/>
  <c r="ED222" i="3"/>
  <c r="R154" i="8" l="1"/>
  <c r="R113" i="8"/>
  <c r="R153" i="8"/>
  <c r="R112" i="8"/>
  <c r="R152" i="8"/>
  <c r="R111" i="8"/>
  <c r="R149" i="8"/>
  <c r="R108" i="8"/>
  <c r="AK138" i="8"/>
  <c r="AK92" i="8"/>
  <c r="ED96" i="3"/>
  <c r="EF96" i="3" s="1"/>
  <c r="EF222" i="3"/>
  <c r="ED223" i="3"/>
  <c r="EF94" i="3"/>
  <c r="EF95" i="3"/>
  <c r="ED224" i="3"/>
  <c r="H519" i="1"/>
  <c r="BE519" i="1"/>
  <c r="R160" i="8" l="1"/>
  <c r="R119" i="8"/>
  <c r="R159" i="8"/>
  <c r="R118" i="8"/>
  <c r="R165" i="8" s="1"/>
  <c r="R158" i="8"/>
  <c r="R117" i="8"/>
  <c r="R164" i="8" s="1"/>
  <c r="R155" i="8"/>
  <c r="R114" i="8"/>
  <c r="R161" i="8" s="1"/>
  <c r="ED97" i="3"/>
  <c r="ED225" i="3"/>
  <c r="AK139" i="8"/>
  <c r="AK93" i="8"/>
  <c r="EF223" i="3"/>
  <c r="EF225" i="3"/>
  <c r="EF224" i="3"/>
  <c r="R519" i="1"/>
  <c r="T519" i="1" s="1"/>
  <c r="EF97" i="3" l="1"/>
  <c r="ED226" i="3"/>
  <c r="ED98" i="3"/>
  <c r="AK140" i="8"/>
  <c r="AK94" i="8"/>
  <c r="BE520" i="1"/>
  <c r="H520" i="1"/>
  <c r="C520" i="1"/>
  <c r="B520" i="1" s="1"/>
  <c r="EF226" i="3" l="1"/>
  <c r="BK520" i="1"/>
  <c r="EK95" i="3"/>
  <c r="EL95" i="3" s="1"/>
  <c r="ED99" i="3"/>
  <c r="ED227" i="3"/>
  <c r="EF98" i="3"/>
  <c r="AK141" i="8"/>
  <c r="AK95" i="8"/>
  <c r="BE521" i="1"/>
  <c r="H521" i="1"/>
  <c r="C521" i="1"/>
  <c r="B521" i="1" s="1"/>
  <c r="EF227" i="3" l="1"/>
  <c r="BK521" i="1"/>
  <c r="EK96" i="3"/>
  <c r="EL96" i="3" s="1"/>
  <c r="ED100" i="3"/>
  <c r="ED101" i="3" s="1"/>
  <c r="EF99" i="3"/>
  <c r="ED228" i="3"/>
  <c r="AK142" i="8"/>
  <c r="AK96" i="8"/>
  <c r="C522" i="1"/>
  <c r="B522" i="1" s="1"/>
  <c r="H522" i="1"/>
  <c r="BE522" i="1"/>
  <c r="EF228" i="3" l="1"/>
  <c r="ED102" i="3"/>
  <c r="ED103" i="3" s="1"/>
  <c r="BK522" i="1"/>
  <c r="EK97" i="3"/>
  <c r="EL97" i="3" s="1"/>
  <c r="ED229" i="3"/>
  <c r="EF100" i="3"/>
  <c r="EF101" i="3"/>
  <c r="ED230" i="3"/>
  <c r="AK143" i="8"/>
  <c r="AK97" i="8"/>
  <c r="BE523" i="1"/>
  <c r="C523" i="1"/>
  <c r="B523" i="1" s="1"/>
  <c r="H523" i="1"/>
  <c r="EF230" i="3" l="1"/>
  <c r="EF102" i="3"/>
  <c r="EF229" i="3"/>
  <c r="ED104" i="3"/>
  <c r="EF104" i="3" s="1"/>
  <c r="ED231" i="3"/>
  <c r="BK523" i="1"/>
  <c r="EK98" i="3"/>
  <c r="EL98" i="3" s="1"/>
  <c r="EF103" i="3"/>
  <c r="ED232" i="3"/>
  <c r="AK144" i="8"/>
  <c r="AK98" i="8"/>
  <c r="H524" i="1"/>
  <c r="BE524" i="1"/>
  <c r="B524" i="1"/>
  <c r="EF233" i="3" l="1"/>
  <c r="ED233" i="3"/>
  <c r="EF231" i="3"/>
  <c r="EF232" i="3"/>
  <c r="BK524" i="1"/>
  <c r="EK99" i="3"/>
  <c r="EL99" i="3" s="1"/>
  <c r="AK145" i="8"/>
  <c r="AK99" i="8"/>
  <c r="BE525" i="1"/>
  <c r="H525" i="1"/>
  <c r="B525" i="1"/>
  <c r="BK525" i="1" l="1"/>
  <c r="EK100" i="3"/>
  <c r="EL100" i="3" s="1"/>
  <c r="AK146" i="8"/>
  <c r="AK100" i="8"/>
  <c r="R525" i="1"/>
  <c r="T525" i="1" s="1"/>
  <c r="AK147" i="8" l="1"/>
  <c r="AK101" i="8"/>
  <c r="B526" i="1"/>
  <c r="H526" i="1"/>
  <c r="BE526" i="1"/>
  <c r="BK526" i="1" l="1"/>
  <c r="EK101" i="3"/>
  <c r="EL101" i="3" s="1"/>
  <c r="AK148" i="8"/>
  <c r="AK102" i="8"/>
  <c r="N76" i="11"/>
  <c r="K76" i="11"/>
  <c r="AK149" i="8" l="1"/>
  <c r="AK103" i="8"/>
  <c r="K77" i="11"/>
  <c r="K78" i="11" s="1"/>
  <c r="L78" i="11" s="1"/>
  <c r="M78" i="11" s="1"/>
  <c r="N77" i="11"/>
  <c r="AK150" i="8" l="1"/>
  <c r="AK104" i="8"/>
  <c r="N78" i="11"/>
  <c r="K79" i="11"/>
  <c r="AK151" i="8" l="1"/>
  <c r="AK105" i="8"/>
  <c r="L79" i="11"/>
  <c r="M79" i="11" s="1"/>
  <c r="N79" i="11" s="1"/>
  <c r="AK106" i="8" l="1"/>
  <c r="M80" i="11"/>
  <c r="J129" i="11"/>
  <c r="K80" i="11"/>
  <c r="K129" i="11" s="1"/>
  <c r="AK153" i="8" l="1"/>
  <c r="AK107" i="8"/>
  <c r="J131" i="11"/>
  <c r="M129" i="11"/>
  <c r="N80" i="11"/>
  <c r="K81" i="11"/>
  <c r="K82" i="11" s="1"/>
  <c r="K131" i="11" s="1"/>
  <c r="J130" i="11"/>
  <c r="AK154" i="8" l="1"/>
  <c r="AK108" i="8"/>
  <c r="K83" i="11"/>
  <c r="J132" i="11"/>
  <c r="K130" i="11"/>
  <c r="L81" i="11"/>
  <c r="N129" i="11"/>
  <c r="AK155" i="8" l="1"/>
  <c r="AK109" i="8"/>
  <c r="L130" i="11"/>
  <c r="M81" i="11"/>
  <c r="L83" i="11"/>
  <c r="L132" i="11" s="1"/>
  <c r="K132" i="11"/>
  <c r="K84" i="11"/>
  <c r="K133" i="11" s="1"/>
  <c r="J133" i="11"/>
  <c r="AK156" i="8" l="1"/>
  <c r="AK110" i="8"/>
  <c r="M85" i="11"/>
  <c r="M130" i="11"/>
  <c r="N81" i="11"/>
  <c r="K85" i="11"/>
  <c r="K134" i="11" s="1"/>
  <c r="J134" i="11"/>
  <c r="AK157" i="8" l="1"/>
  <c r="AK112" i="8"/>
  <c r="N82" i="11"/>
  <c r="N131" i="11" s="1"/>
  <c r="N130" i="11"/>
  <c r="J135" i="11"/>
  <c r="K86" i="11"/>
  <c r="J88" i="11"/>
  <c r="M134" i="11"/>
  <c r="AK159" i="8" l="1"/>
  <c r="AK113" i="8"/>
  <c r="N83" i="11"/>
  <c r="N132" i="11" s="1"/>
  <c r="J137" i="11"/>
  <c r="K88" i="11"/>
  <c r="J89" i="11"/>
  <c r="L86" i="11"/>
  <c r="L135" i="11" s="1"/>
  <c r="K135" i="11"/>
  <c r="AK160" i="8" l="1"/>
  <c r="AK114" i="8"/>
  <c r="N85" i="11"/>
  <c r="J138" i="11"/>
  <c r="K89" i="11"/>
  <c r="K137" i="11"/>
  <c r="J90" i="11"/>
  <c r="AK161" i="8" l="1"/>
  <c r="AK115" i="8"/>
  <c r="N86" i="11"/>
  <c r="N134" i="11"/>
  <c r="K90" i="11"/>
  <c r="J139" i="11"/>
  <c r="J91" i="11"/>
  <c r="K138" i="11"/>
  <c r="AK116" i="8" l="1"/>
  <c r="AK162" i="8"/>
  <c r="N87" i="11"/>
  <c r="N135" i="11"/>
  <c r="L90" i="11"/>
  <c r="L139" i="11" s="1"/>
  <c r="K139" i="11"/>
  <c r="K91" i="11"/>
  <c r="J140" i="11"/>
  <c r="J92" i="11"/>
  <c r="AK117" i="8" l="1"/>
  <c r="AK118" i="8" s="1"/>
  <c r="AK163" i="8"/>
  <c r="N88" i="11"/>
  <c r="N89" i="11" s="1"/>
  <c r="N136" i="11"/>
  <c r="L91" i="11"/>
  <c r="L140" i="11" s="1"/>
  <c r="K140" i="11"/>
  <c r="K92" i="11"/>
  <c r="K141" i="11" s="1"/>
  <c r="J141" i="11"/>
  <c r="J93" i="11"/>
  <c r="AK165" i="8" l="1"/>
  <c r="AK119" i="8"/>
  <c r="N138" i="11"/>
  <c r="N137" i="11"/>
  <c r="N90" i="11"/>
  <c r="N139" i="11" s="1"/>
  <c r="K93" i="11"/>
  <c r="K142" i="11" s="1"/>
  <c r="J142" i="11"/>
  <c r="J94" i="11"/>
  <c r="J95" i="11" l="1"/>
  <c r="J96" i="11" s="1"/>
  <c r="N91" i="11"/>
  <c r="J143" i="11"/>
  <c r="K94" i="11"/>
  <c r="K143" i="11" s="1"/>
  <c r="J144" i="11" l="1"/>
  <c r="N92" i="11"/>
  <c r="N141" i="11" s="1"/>
  <c r="N140" i="11"/>
  <c r="J145" i="11"/>
  <c r="J97" i="11"/>
  <c r="K95" i="11"/>
  <c r="K144" i="11" s="1"/>
  <c r="N93" i="11" l="1"/>
  <c r="K96" i="11"/>
  <c r="K145" i="11" s="1"/>
  <c r="J146" i="11"/>
  <c r="J98" i="11"/>
  <c r="J99" i="11" l="1"/>
  <c r="J148" i="11" s="1"/>
  <c r="N142" i="11"/>
  <c r="N94" i="11"/>
  <c r="K97" i="11"/>
  <c r="K146" i="11" s="1"/>
  <c r="J147" i="11"/>
  <c r="J100" i="11" l="1"/>
  <c r="J149" i="11" s="1"/>
  <c r="N95" i="11"/>
  <c r="N96" i="11" s="1"/>
  <c r="N143" i="11"/>
  <c r="K98" i="11"/>
  <c r="K147" i="11" s="1"/>
  <c r="J101" i="11" l="1"/>
  <c r="J150" i="11" s="1"/>
  <c r="N145" i="11"/>
  <c r="N144" i="11"/>
  <c r="N97" i="11"/>
  <c r="N146" i="11" s="1"/>
  <c r="K99" i="11"/>
  <c r="K148" i="11" s="1"/>
  <c r="J102" i="11" l="1"/>
  <c r="J103" i="11" s="1"/>
  <c r="J152" i="11" s="1"/>
  <c r="N98" i="11"/>
  <c r="K100" i="11"/>
  <c r="J151" i="11" l="1"/>
  <c r="N147" i="11"/>
  <c r="J104" i="11"/>
  <c r="K149" i="11"/>
  <c r="K101" i="11"/>
  <c r="K150" i="11" s="1"/>
  <c r="N99" i="11"/>
  <c r="J153" i="11" l="1"/>
  <c r="J105" i="11"/>
  <c r="K102" i="11"/>
  <c r="N148" i="11"/>
  <c r="N100" i="11"/>
  <c r="J106" i="11" l="1"/>
  <c r="J154" i="11"/>
  <c r="K103" i="11"/>
  <c r="K152" i="11" s="1"/>
  <c r="K151" i="11"/>
  <c r="N149" i="11"/>
  <c r="N101" i="11"/>
  <c r="J155" i="11" l="1"/>
  <c r="J107" i="11"/>
  <c r="K104" i="11"/>
  <c r="K153" i="11" s="1"/>
  <c r="N150" i="11"/>
  <c r="N102" i="11"/>
  <c r="H527" i="1"/>
  <c r="BE527" i="1"/>
  <c r="B527" i="1"/>
  <c r="BK527" i="1" l="1"/>
  <c r="EK102" i="3"/>
  <c r="EL102" i="3" s="1"/>
  <c r="J108" i="11"/>
  <c r="J156" i="11"/>
  <c r="K105" i="11"/>
  <c r="N103" i="11"/>
  <c r="N151" i="11"/>
  <c r="H528" i="1"/>
  <c r="B528" i="1"/>
  <c r="BE528" i="1"/>
  <c r="BK528" i="1" l="1"/>
  <c r="EK103" i="3"/>
  <c r="EL103" i="3" s="1"/>
  <c r="J109" i="11"/>
  <c r="J157" i="11"/>
  <c r="K106" i="11"/>
  <c r="K154" i="11"/>
  <c r="N104" i="11"/>
  <c r="N152" i="11"/>
  <c r="H529" i="1"/>
  <c r="B529" i="1"/>
  <c r="BE529" i="1"/>
  <c r="BK529" i="1" l="1"/>
  <c r="EK104" i="3"/>
  <c r="EL104" i="3" s="1"/>
  <c r="J158" i="11"/>
  <c r="J110" i="11"/>
  <c r="K155" i="11"/>
  <c r="K107" i="11"/>
  <c r="N153" i="11"/>
  <c r="N105" i="11"/>
  <c r="H530" i="1"/>
  <c r="C530" i="1"/>
  <c r="B530" i="1" s="1"/>
  <c r="BE530" i="1"/>
  <c r="BK530" i="1" l="1"/>
  <c r="EK105" i="3"/>
  <c r="EL105" i="3" s="1"/>
  <c r="J111" i="11"/>
  <c r="J160" i="11" s="1"/>
  <c r="J159" i="11"/>
  <c r="K108" i="11"/>
  <c r="K156" i="11"/>
  <c r="N106" i="11"/>
  <c r="N154" i="11"/>
  <c r="BE531" i="1"/>
  <c r="BK531" i="1"/>
  <c r="H531" i="1"/>
  <c r="J112" i="11" l="1"/>
  <c r="J161" i="11" s="1"/>
  <c r="K157" i="11"/>
  <c r="K109" i="11"/>
  <c r="N155" i="11"/>
  <c r="N107" i="11"/>
  <c r="ED105" i="3"/>
  <c r="K158" i="11" l="1"/>
  <c r="K110" i="11"/>
  <c r="EF105" i="3"/>
  <c r="N108" i="11"/>
  <c r="N156" i="11"/>
  <c r="ED234" i="3"/>
  <c r="ED106" i="3"/>
  <c r="K159" i="11" l="1"/>
  <c r="K111" i="11"/>
  <c r="K160" i="11" s="1"/>
  <c r="N157" i="11"/>
  <c r="N109" i="11"/>
  <c r="ED235" i="3"/>
  <c r="EF106" i="3"/>
  <c r="EF234" i="3"/>
  <c r="ED107" i="3"/>
  <c r="K112" i="11" l="1"/>
  <c r="K161" i="11" s="1"/>
  <c r="N158" i="11"/>
  <c r="N110" i="11"/>
  <c r="ED236" i="3"/>
  <c r="EF107" i="3"/>
  <c r="EF235" i="3"/>
  <c r="ED108" i="3"/>
  <c r="H532" i="1"/>
  <c r="BE532" i="1"/>
  <c r="C532" i="1"/>
  <c r="B532" i="1" s="1"/>
  <c r="BK532" i="1" l="1"/>
  <c r="EK107" i="3"/>
  <c r="EL107" i="3" s="1"/>
  <c r="N159" i="11"/>
  <c r="N111" i="11"/>
  <c r="N160" i="11" s="1"/>
  <c r="ED237" i="3"/>
  <c r="EF108" i="3"/>
  <c r="EF236" i="3"/>
  <c r="ED109" i="3"/>
  <c r="T532" i="1"/>
  <c r="N112" i="11" l="1"/>
  <c r="EF109" i="3"/>
  <c r="ED238" i="3"/>
  <c r="ED110" i="3"/>
  <c r="ED239" i="3" s="1"/>
  <c r="EF237" i="3"/>
  <c r="H533" i="1"/>
  <c r="C533" i="1"/>
  <c r="B533" i="1" s="1"/>
  <c r="BE533" i="1"/>
  <c r="EF238" i="3" l="1"/>
  <c r="N113" i="11"/>
  <c r="N161" i="11"/>
  <c r="BK533" i="1"/>
  <c r="EK108" i="3"/>
  <c r="EL108" i="3" s="1"/>
  <c r="EF110" i="3"/>
  <c r="ED111" i="3"/>
  <c r="ED112" i="3" s="1"/>
  <c r="ED113" i="3" s="1"/>
  <c r="ED242" i="3" s="1"/>
  <c r="BE534" i="1"/>
  <c r="H534" i="1"/>
  <c r="C534" i="1"/>
  <c r="B534" i="1" s="1"/>
  <c r="EF239" i="3" l="1"/>
  <c r="N162" i="11"/>
  <c r="N114" i="11"/>
  <c r="BK534" i="1"/>
  <c r="EK109" i="3"/>
  <c r="EL109" i="3" s="1"/>
  <c r="EF113" i="3"/>
  <c r="EF242" i="3" s="1"/>
  <c r="ED114" i="3"/>
  <c r="ED115" i="3" s="1"/>
  <c r="ED244" i="3" s="1"/>
  <c r="EF112" i="3"/>
  <c r="EF241" i="3" s="1"/>
  <c r="ED241" i="3"/>
  <c r="EF111" i="3"/>
  <c r="ED240" i="3"/>
  <c r="R535" i="1"/>
  <c r="T535" i="1" s="1"/>
  <c r="R534" i="1"/>
  <c r="T534" i="1" s="1"/>
  <c r="AK152" i="8"/>
  <c r="AG152" i="8"/>
  <c r="Z155" i="11"/>
  <c r="Z154" i="11"/>
  <c r="EF240" i="3" l="1"/>
  <c r="N115" i="11"/>
  <c r="N163" i="11"/>
  <c r="EF115" i="3"/>
  <c r="EF244" i="3" s="1"/>
  <c r="ED116" i="3"/>
  <c r="ED245" i="3" s="1"/>
  <c r="EF114" i="3"/>
  <c r="EF243" i="3" s="1"/>
  <c r="ED243" i="3"/>
  <c r="C535" i="1"/>
  <c r="B535" i="1" s="1"/>
  <c r="BE535" i="1"/>
  <c r="H535" i="1"/>
  <c r="N116" i="11" l="1"/>
  <c r="N164" i="11"/>
  <c r="EF116" i="3"/>
  <c r="EF245" i="3" s="1"/>
  <c r="ED117" i="3"/>
  <c r="BK535" i="1"/>
  <c r="EK110" i="3"/>
  <c r="EL110" i="3" s="1"/>
  <c r="C536" i="1"/>
  <c r="B536" i="1" s="1"/>
  <c r="H536" i="1"/>
  <c r="BE536" i="1"/>
  <c r="N117" i="11" l="1"/>
  <c r="N165" i="11"/>
  <c r="EF117" i="3"/>
  <c r="EF246" i="3" s="1"/>
  <c r="ED246" i="3"/>
  <c r="ED118" i="3"/>
  <c r="ED247" i="3" s="1"/>
  <c r="BK536" i="1"/>
  <c r="EK111" i="3"/>
  <c r="EL111" i="3" s="1"/>
  <c r="H537" i="1"/>
  <c r="C537" i="1"/>
  <c r="B537" i="1" s="1"/>
  <c r="BE537" i="1"/>
  <c r="N166" i="11" l="1"/>
  <c r="N118" i="11"/>
  <c r="EF118" i="3"/>
  <c r="EF247" i="3" s="1"/>
  <c r="ED119" i="3"/>
  <c r="ED248" i="3" s="1"/>
  <c r="BK537" i="1"/>
  <c r="EK112" i="3"/>
  <c r="EL112" i="3" s="1"/>
  <c r="H538" i="1"/>
  <c r="C538" i="1"/>
  <c r="B538" i="1" s="1"/>
  <c r="BE538" i="1"/>
  <c r="EF119" i="3" l="1"/>
  <c r="EF248" i="3" s="1"/>
  <c r="ED120" i="3"/>
  <c r="BK538" i="1"/>
  <c r="EK113" i="3"/>
  <c r="EL113" i="3" s="1"/>
  <c r="P111" i="11"/>
  <c r="P160" i="11" s="1"/>
  <c r="EF120" i="3" l="1"/>
  <c r="EF249" i="3" s="1"/>
  <c r="ED249" i="3"/>
  <c r="ED121" i="3"/>
  <c r="ED122" i="3" s="1"/>
  <c r="ED251" i="3" s="1"/>
  <c r="BE539" i="1"/>
  <c r="H539" i="1"/>
  <c r="B539" i="1"/>
  <c r="EF122" i="3" l="1"/>
  <c r="EF251" i="3" s="1"/>
  <c r="EF121" i="3"/>
  <c r="EF250" i="3" s="1"/>
  <c r="ED250" i="3"/>
  <c r="BK539" i="1"/>
  <c r="EK114" i="3"/>
  <c r="EL114" i="3" s="1"/>
  <c r="K158" i="8"/>
  <c r="AO158" i="8" l="1"/>
  <c r="AM158" i="8"/>
  <c r="AN158" i="8"/>
  <c r="D540" i="1" l="1"/>
  <c r="BE540" i="1"/>
  <c r="H540" i="1"/>
  <c r="C540" i="1" l="1"/>
  <c r="B540" i="1" s="1"/>
  <c r="BK540" i="1" l="1"/>
  <c r="EK115" i="3"/>
  <c r="EL115" i="3" s="1"/>
  <c r="J113" i="11"/>
  <c r="K113" i="11" l="1"/>
  <c r="K162" i="11" s="1"/>
  <c r="J162" i="11"/>
  <c r="J114" i="11"/>
  <c r="J163" i="11" s="1"/>
  <c r="H541" i="1"/>
  <c r="BE541" i="1"/>
  <c r="D541" i="1"/>
  <c r="C541" i="1" s="1"/>
  <c r="B541" i="1" s="1"/>
  <c r="K114" i="11" l="1"/>
  <c r="K163" i="11" s="1"/>
  <c r="J115" i="11"/>
  <c r="J164" i="11" s="1"/>
  <c r="BK541" i="1"/>
  <c r="EK116" i="3"/>
  <c r="EL116" i="3" s="1"/>
  <c r="K115" i="11" l="1"/>
  <c r="K164" i="11" s="1"/>
  <c r="J116" i="11"/>
  <c r="J117" i="11" l="1"/>
  <c r="J165" i="11"/>
  <c r="K116" i="11"/>
  <c r="J166" i="11" l="1"/>
  <c r="J118" i="11"/>
  <c r="J119" i="11" s="1"/>
  <c r="K117" i="11"/>
  <c r="K166" i="11" s="1"/>
  <c r="K165" i="11"/>
  <c r="U117" i="3"/>
  <c r="U246" i="3" s="1"/>
  <c r="V117" i="3"/>
  <c r="V246" i="3" s="1"/>
  <c r="K118" i="11" l="1"/>
  <c r="K119" i="11" s="1"/>
  <c r="E117" i="3"/>
  <c r="E246" i="3" s="1"/>
  <c r="H542" i="1"/>
  <c r="D117" i="3"/>
  <c r="D542" i="1"/>
  <c r="C542" i="1" s="1"/>
  <c r="B542" i="1" s="1"/>
  <c r="BE542" i="1"/>
  <c r="D246" i="3" l="1"/>
  <c r="BK542" i="1"/>
  <c r="EK117" i="3"/>
  <c r="EL117" i="3" s="1"/>
  <c r="E118" i="3" l="1"/>
  <c r="E247" i="3" s="1"/>
  <c r="D118" i="3"/>
  <c r="D543" i="1"/>
  <c r="C543" i="1" s="1"/>
  <c r="B543" i="1" s="1"/>
  <c r="BE543" i="1"/>
  <c r="H543" i="1"/>
  <c r="D247" i="3" l="1"/>
  <c r="BK543" i="1"/>
  <c r="EK118" i="3"/>
  <c r="EL118" i="3" s="1"/>
  <c r="V118" i="3" l="1"/>
  <c r="V247" i="3" s="1"/>
  <c r="U118" i="3"/>
  <c r="U247" i="3" s="1"/>
  <c r="D544" i="1" l="1"/>
  <c r="C544" i="1" s="1"/>
  <c r="B544" i="1" s="1"/>
  <c r="H544" i="1"/>
  <c r="BE544" i="1"/>
  <c r="BK544" i="1" l="1"/>
  <c r="EK119" i="3"/>
  <c r="EL119" i="3" s="1"/>
  <c r="U119" i="3"/>
  <c r="U248" i="3" s="1"/>
  <c r="V119" i="3"/>
  <c r="V248" i="3" s="1"/>
  <c r="BE545" i="1" l="1"/>
  <c r="H545" i="1"/>
  <c r="D545" i="1"/>
  <c r="C545" i="1" s="1"/>
  <c r="B545" i="1" s="1"/>
  <c r="BK545" i="1" l="1"/>
  <c r="EK120" i="3"/>
  <c r="EL120" i="3" s="1"/>
  <c r="AM164" i="8"/>
  <c r="AN164" i="8"/>
  <c r="AK164" i="8"/>
  <c r="AO164" i="8"/>
  <c r="D176" i="14"/>
  <c r="H546" i="1" l="1"/>
  <c r="D546" i="1"/>
  <c r="C546" i="1" s="1"/>
  <c r="B546" i="1" s="1"/>
  <c r="BE546" i="1"/>
  <c r="BK546" i="1" l="1"/>
  <c r="EK121" i="3"/>
  <c r="EL121" i="3" s="1"/>
  <c r="D122" i="3"/>
  <c r="D547" i="1"/>
  <c r="C547" i="1" s="1"/>
  <c r="B547" i="1" s="1"/>
  <c r="E122" i="3"/>
  <c r="E251" i="3" s="1"/>
  <c r="BE547" i="1"/>
  <c r="H547" i="1"/>
  <c r="D251" i="3" l="1"/>
  <c r="BK547" i="1"/>
  <c r="EK122" i="3"/>
  <c r="EL122" i="3" s="1"/>
  <c r="H548" i="1"/>
  <c r="BE548" i="1"/>
  <c r="D548" i="1"/>
  <c r="C548" i="1" s="1"/>
  <c r="B548" i="1" s="1"/>
  <c r="BK548" i="1" s="1"/>
  <c r="U122" i="3" l="1"/>
  <c r="U251" i="3" s="1"/>
  <c r="V122" i="3"/>
  <c r="V251" i="3" s="1"/>
  <c r="H551" i="1" l="1"/>
  <c r="D551" i="1"/>
  <c r="C551" i="1" s="1"/>
  <c r="B551" i="1" s="1"/>
  <c r="BE551" i="1"/>
  <c r="H550" i="1"/>
  <c r="D550" i="1"/>
  <c r="C550" i="1" s="1"/>
  <c r="B550" i="1" s="1"/>
  <c r="BE550" i="1"/>
  <c r="D549" i="1"/>
  <c r="C549" i="1" s="1"/>
  <c r="B549" i="1" s="1"/>
  <c r="H549" i="1"/>
  <c r="BE549" i="1"/>
  <c r="CO244" i="3" l="1"/>
  <c r="AL115" i="3"/>
  <c r="CZ115" i="3" l="1"/>
  <c r="CZ244" i="3" s="1"/>
  <c r="AL244" i="3"/>
  <c r="M506" i="1" l="1"/>
  <c r="M494" i="1"/>
  <c r="M482" i="1"/>
  <c r="M470" i="1"/>
  <c r="M458" i="1"/>
  <c r="M505" i="1"/>
  <c r="M493" i="1"/>
  <c r="M481" i="1"/>
  <c r="M469" i="1"/>
  <c r="M457" i="1"/>
  <c r="M504" i="1"/>
  <c r="M492" i="1"/>
  <c r="M480" i="1"/>
  <c r="M468" i="1"/>
  <c r="M503" i="1"/>
  <c r="M491" i="1"/>
  <c r="M479" i="1"/>
  <c r="M467" i="1"/>
  <c r="T467" i="1" s="1"/>
  <c r="M502" i="1"/>
  <c r="M490" i="1"/>
  <c r="M478" i="1"/>
  <c r="M466" i="1"/>
  <c r="T466" i="1" s="1"/>
  <c r="M501" i="1"/>
  <c r="M489" i="1"/>
  <c r="M477" i="1"/>
  <c r="M465" i="1"/>
  <c r="T465" i="1" s="1"/>
  <c r="M500" i="1"/>
  <c r="M488" i="1"/>
  <c r="M476" i="1"/>
  <c r="M464" i="1"/>
  <c r="T464" i="1" s="1"/>
  <c r="M499" i="1"/>
  <c r="M487" i="1"/>
  <c r="M475" i="1"/>
  <c r="M463" i="1"/>
  <c r="T463" i="1" s="1"/>
  <c r="M498" i="1"/>
  <c r="M486" i="1"/>
  <c r="M474" i="1"/>
  <c r="M462" i="1"/>
  <c r="T462" i="1" s="1"/>
  <c r="M497" i="1"/>
  <c r="M485" i="1"/>
  <c r="M473" i="1"/>
  <c r="M461" i="1"/>
  <c r="T461" i="1" s="1"/>
  <c r="M496" i="1"/>
  <c r="M484" i="1"/>
  <c r="M472" i="1"/>
  <c r="M460" i="1"/>
  <c r="T460" i="1" s="1"/>
  <c r="M495" i="1"/>
  <c r="M483" i="1"/>
  <c r="M471" i="1"/>
  <c r="M459" i="1"/>
  <c r="T459" i="1" s="1"/>
  <c r="Q551" i="1" l="1"/>
  <c r="U126" i="3" l="1"/>
  <c r="U255" i="3" s="1"/>
  <c r="V126" i="3"/>
  <c r="V255" i="3" s="1"/>
  <c r="Q548" i="1" l="1"/>
  <c r="Q549" i="1"/>
  <c r="Q550" i="1"/>
  <c r="U125" i="3" l="1"/>
  <c r="U254" i="3" s="1"/>
  <c r="V125" i="3"/>
  <c r="V254" i="3" s="1"/>
  <c r="V124" i="3"/>
  <c r="V253" i="3" s="1"/>
  <c r="U124" i="3"/>
  <c r="U253" i="3" s="1"/>
  <c r="U123" i="3"/>
  <c r="U252" i="3" s="1"/>
  <c r="V123" i="3"/>
  <c r="V252" i="3" s="1"/>
  <c r="U542" i="1" l="1"/>
  <c r="U530" i="1"/>
  <c r="U518" i="1"/>
  <c r="U506" i="1"/>
  <c r="U541" i="1"/>
  <c r="U529" i="1"/>
  <c r="U517" i="1"/>
  <c r="U505" i="1"/>
  <c r="U493" i="1"/>
  <c r="U540" i="1"/>
  <c r="U528" i="1"/>
  <c r="U516" i="1"/>
  <c r="U504" i="1"/>
  <c r="U492" i="1"/>
  <c r="U539" i="1"/>
  <c r="U527" i="1"/>
  <c r="U515" i="1"/>
  <c r="U503" i="1"/>
  <c r="U491" i="1"/>
  <c r="U538" i="1"/>
  <c r="U526" i="1"/>
  <c r="U514" i="1"/>
  <c r="U502" i="1"/>
  <c r="U490" i="1"/>
  <c r="U537" i="1"/>
  <c r="U525" i="1"/>
  <c r="U513" i="1"/>
  <c r="U501" i="1"/>
  <c r="U489" i="1"/>
  <c r="U536" i="1"/>
  <c r="U524" i="1"/>
  <c r="U512" i="1"/>
  <c r="U500" i="1"/>
  <c r="U488" i="1"/>
  <c r="U535" i="1"/>
  <c r="U523" i="1"/>
  <c r="U511" i="1"/>
  <c r="U499" i="1"/>
  <c r="U487" i="1"/>
  <c r="U546" i="1"/>
  <c r="U534" i="1"/>
  <c r="U522" i="1"/>
  <c r="U510" i="1"/>
  <c r="U498" i="1"/>
  <c r="U486" i="1"/>
  <c r="U545" i="1"/>
  <c r="U533" i="1"/>
  <c r="U521" i="1"/>
  <c r="U509" i="1"/>
  <c r="U497" i="1"/>
  <c r="U485" i="1"/>
  <c r="U544" i="1"/>
  <c r="U532" i="1"/>
  <c r="U520" i="1"/>
  <c r="U508" i="1"/>
  <c r="U496" i="1"/>
  <c r="U484" i="1"/>
  <c r="U543" i="1"/>
  <c r="U531" i="1"/>
  <c r="U519" i="1"/>
  <c r="U507" i="1"/>
  <c r="U495" i="1"/>
  <c r="U483" i="1"/>
  <c r="G552" i="1" l="1"/>
  <c r="G567" i="1"/>
  <c r="G569" i="1"/>
  <c r="G571" i="1"/>
  <c r="G566" i="1"/>
  <c r="G568" i="1"/>
  <c r="G570" i="1"/>
  <c r="G558" i="1"/>
  <c r="G560" i="1"/>
  <c r="G555" i="1"/>
  <c r="G562" i="1"/>
  <c r="G557" i="1"/>
  <c r="G564" i="1"/>
  <c r="G559" i="1"/>
  <c r="G554" i="1"/>
  <c r="G561" i="1"/>
  <c r="G563" i="1"/>
  <c r="G556" i="1"/>
  <c r="G573" i="1"/>
  <c r="D127" i="3" l="1"/>
  <c r="D130" i="3" s="1"/>
  <c r="E127" i="3"/>
  <c r="H561" i="1"/>
  <c r="D561" i="1"/>
  <c r="C561" i="1" s="1"/>
  <c r="B561" i="1" s="1"/>
  <c r="BE561" i="1"/>
  <c r="D567" i="1"/>
  <c r="C567" i="1" s="1"/>
  <c r="B567" i="1" s="1"/>
  <c r="H567" i="1"/>
  <c r="BE567" i="1"/>
  <c r="H563" i="1"/>
  <c r="BE563" i="1"/>
  <c r="D563" i="1"/>
  <c r="C563" i="1" s="1"/>
  <c r="B563" i="1" s="1"/>
  <c r="H554" i="1"/>
  <c r="D554" i="1"/>
  <c r="C554" i="1" s="1"/>
  <c r="B554" i="1" s="1"/>
  <c r="BE554" i="1"/>
  <c r="BE559" i="1"/>
  <c r="D559" i="1"/>
  <c r="C559" i="1" s="1"/>
  <c r="B559" i="1" s="1"/>
  <c r="H559" i="1"/>
  <c r="H564" i="1"/>
  <c r="D564" i="1"/>
  <c r="C564" i="1" s="1"/>
  <c r="B564" i="1" s="1"/>
  <c r="BE564" i="1"/>
  <c r="H573" i="1"/>
  <c r="BE573" i="1"/>
  <c r="D573" i="1"/>
  <c r="C573" i="1" s="1"/>
  <c r="B573" i="1" s="1"/>
  <c r="BE557" i="1"/>
  <c r="D557" i="1"/>
  <c r="C557" i="1" s="1"/>
  <c r="B557" i="1" s="1"/>
  <c r="H557" i="1"/>
  <c r="BE556" i="1"/>
  <c r="D556" i="1"/>
  <c r="C556" i="1" s="1"/>
  <c r="B556" i="1" s="1"/>
  <c r="H556" i="1"/>
  <c r="H562" i="1"/>
  <c r="D562" i="1"/>
  <c r="C562" i="1" s="1"/>
  <c r="B562" i="1" s="1"/>
  <c r="BE562" i="1"/>
  <c r="D552" i="1"/>
  <c r="C552" i="1" s="1"/>
  <c r="B552" i="1" s="1"/>
  <c r="BE552" i="1"/>
  <c r="H552" i="1"/>
  <c r="H555" i="1"/>
  <c r="BE555" i="1"/>
  <c r="D555" i="1"/>
  <c r="C555" i="1" s="1"/>
  <c r="B555" i="1" s="1"/>
  <c r="D568" i="1"/>
  <c r="C568" i="1" s="1"/>
  <c r="B568" i="1" s="1"/>
  <c r="H568" i="1"/>
  <c r="BE568" i="1"/>
  <c r="BE566" i="1"/>
  <c r="H566" i="1"/>
  <c r="D566" i="1"/>
  <c r="C566" i="1" s="1"/>
  <c r="B566" i="1" s="1"/>
  <c r="D560" i="1"/>
  <c r="C560" i="1" s="1"/>
  <c r="B560" i="1" s="1"/>
  <c r="H560" i="1"/>
  <c r="BE560" i="1"/>
  <c r="H558" i="1"/>
  <c r="BE558" i="1"/>
  <c r="D558" i="1"/>
  <c r="C558" i="1" s="1"/>
  <c r="B558" i="1" s="1"/>
  <c r="D571" i="1"/>
  <c r="C571" i="1" s="1"/>
  <c r="B571" i="1" s="1"/>
  <c r="H571" i="1"/>
  <c r="BE571" i="1"/>
  <c r="BE570" i="1"/>
  <c r="H570" i="1"/>
  <c r="D570" i="1"/>
  <c r="C570" i="1" s="1"/>
  <c r="B570" i="1" s="1"/>
  <c r="D569" i="1"/>
  <c r="C569" i="1" s="1"/>
  <c r="B569" i="1" s="1"/>
  <c r="H569" i="1"/>
  <c r="BE569" i="1"/>
  <c r="G583" i="1"/>
  <c r="G578" i="1"/>
  <c r="G579" i="1"/>
  <c r="G593" i="1"/>
  <c r="G586" i="1"/>
  <c r="G594" i="1"/>
  <c r="G581" i="1"/>
  <c r="G592" i="1"/>
  <c r="G582" i="1"/>
  <c r="G588" i="1"/>
  <c r="G580" i="1"/>
  <c r="G575" i="1"/>
  <c r="G587" i="1"/>
  <c r="G595" i="1"/>
  <c r="G590" i="1"/>
  <c r="G553" i="1"/>
  <c r="G591" i="1"/>
  <c r="G584" i="1"/>
  <c r="G565" i="1"/>
  <c r="G597" i="1"/>
  <c r="N567" i="1"/>
  <c r="M567" i="1" s="1"/>
  <c r="G574" i="1"/>
  <c r="G585" i="1"/>
  <c r="G576" i="1"/>
  <c r="G572" i="1"/>
  <c r="BE581" i="1" l="1"/>
  <c r="H581" i="1"/>
  <c r="D581" i="1"/>
  <c r="C581" i="1" s="1"/>
  <c r="B581" i="1" s="1"/>
  <c r="BE580" i="1"/>
  <c r="D580" i="1"/>
  <c r="C580" i="1" s="1"/>
  <c r="B580" i="1" s="1"/>
  <c r="H580" i="1"/>
  <c r="BE579" i="1"/>
  <c r="H579" i="1"/>
  <c r="D579" i="1"/>
  <c r="C579" i="1" s="1"/>
  <c r="B579" i="1" s="1"/>
  <c r="BE585" i="1"/>
  <c r="H585" i="1"/>
  <c r="D585" i="1"/>
  <c r="C585" i="1" s="1"/>
  <c r="B585" i="1" s="1"/>
  <c r="D595" i="1"/>
  <c r="H595" i="1"/>
  <c r="BE595" i="1"/>
  <c r="D593" i="1"/>
  <c r="BE593" i="1"/>
  <c r="H593" i="1"/>
  <c r="D578" i="1"/>
  <c r="C578" i="1" s="1"/>
  <c r="B578" i="1" s="1"/>
  <c r="BE578" i="1"/>
  <c r="H578" i="1"/>
  <c r="D590" i="1"/>
  <c r="BE590" i="1"/>
  <c r="H590" i="1"/>
  <c r="D575" i="1"/>
  <c r="C575" i="1" s="1"/>
  <c r="B575" i="1" s="1"/>
  <c r="BE575" i="1"/>
  <c r="H575" i="1"/>
  <c r="BE594" i="1"/>
  <c r="D594" i="1"/>
  <c r="H594" i="1"/>
  <c r="BE553" i="1"/>
  <c r="H553" i="1"/>
  <c r="D553" i="1"/>
  <c r="C553" i="1" s="1"/>
  <c r="B553" i="1" s="1"/>
  <c r="H583" i="1"/>
  <c r="BE583" i="1"/>
  <c r="D583" i="1"/>
  <c r="C583" i="1" s="1"/>
  <c r="B583" i="1" s="1"/>
  <c r="H597" i="1"/>
  <c r="BE597" i="1"/>
  <c r="D597" i="1"/>
  <c r="BE584" i="1"/>
  <c r="H584" i="1"/>
  <c r="D584" i="1"/>
  <c r="C584" i="1" s="1"/>
  <c r="B584" i="1" s="1"/>
  <c r="H591" i="1"/>
  <c r="BE591" i="1"/>
  <c r="D591" i="1"/>
  <c r="D586" i="1"/>
  <c r="C586" i="1" s="1"/>
  <c r="B586" i="1" s="1"/>
  <c r="BE586" i="1"/>
  <c r="H586" i="1"/>
  <c r="BE574" i="1"/>
  <c r="D574" i="1"/>
  <c r="C574" i="1" s="1"/>
  <c r="B574" i="1" s="1"/>
  <c r="H574" i="1"/>
  <c r="BE582" i="1"/>
  <c r="H582" i="1"/>
  <c r="D582" i="1"/>
  <c r="C582" i="1" s="1"/>
  <c r="B582" i="1" s="1"/>
  <c r="H572" i="1"/>
  <c r="D572" i="1"/>
  <c r="C572" i="1" s="1"/>
  <c r="B572" i="1" s="1"/>
  <c r="BE572" i="1"/>
  <c r="D587" i="1"/>
  <c r="H587" i="1"/>
  <c r="BE587" i="1"/>
  <c r="H576" i="1"/>
  <c r="D576" i="1"/>
  <c r="C576" i="1" s="1"/>
  <c r="B576" i="1" s="1"/>
  <c r="BE576" i="1"/>
  <c r="D592" i="1"/>
  <c r="H592" i="1"/>
  <c r="BE592" i="1"/>
  <c r="H565" i="1"/>
  <c r="D565" i="1"/>
  <c r="C565" i="1" s="1"/>
  <c r="B565" i="1" s="1"/>
  <c r="BE565" i="1"/>
  <c r="H588" i="1"/>
  <c r="BE588" i="1"/>
  <c r="D588" i="1"/>
  <c r="G599" i="1"/>
  <c r="G596" i="1"/>
  <c r="G598" i="1"/>
  <c r="G600" i="1"/>
  <c r="G577" i="1"/>
  <c r="J597" i="1" l="1"/>
  <c r="C597" i="1"/>
  <c r="B597" i="1" s="1"/>
  <c r="C590" i="1"/>
  <c r="B590" i="1" s="1"/>
  <c r="J590" i="1"/>
  <c r="J592" i="1"/>
  <c r="C592" i="1"/>
  <c r="B592" i="1" s="1"/>
  <c r="H596" i="1"/>
  <c r="D596" i="1"/>
  <c r="BE596" i="1"/>
  <c r="J593" i="1"/>
  <c r="C593" i="1"/>
  <c r="B593" i="1" s="1"/>
  <c r="G589" i="1"/>
  <c r="J595" i="1"/>
  <c r="C595" i="1"/>
  <c r="B595" i="1" s="1"/>
  <c r="C587" i="1"/>
  <c r="B587" i="1" s="1"/>
  <c r="J587" i="1"/>
  <c r="D577" i="1"/>
  <c r="C577" i="1" s="1"/>
  <c r="B577" i="1" s="1"/>
  <c r="BE577" i="1"/>
  <c r="H577" i="1"/>
  <c r="D598" i="1"/>
  <c r="H598" i="1"/>
  <c r="BE598" i="1"/>
  <c r="C588" i="1"/>
  <c r="B588" i="1" s="1"/>
  <c r="J588" i="1"/>
  <c r="C594" i="1"/>
  <c r="B594" i="1" s="1"/>
  <c r="J594" i="1"/>
  <c r="D600" i="1"/>
  <c r="H600" i="1"/>
  <c r="BE600" i="1"/>
  <c r="H599" i="1"/>
  <c r="BE599" i="1"/>
  <c r="D599" i="1"/>
  <c r="J591" i="1"/>
  <c r="C591" i="1"/>
  <c r="B591" i="1" s="1"/>
  <c r="G601" i="1"/>
  <c r="J598" i="1" l="1"/>
  <c r="C598" i="1"/>
  <c r="B598" i="1" s="1"/>
  <c r="BE589" i="1"/>
  <c r="H589" i="1"/>
  <c r="D589" i="1"/>
  <c r="J599" i="1"/>
  <c r="C599" i="1"/>
  <c r="B599" i="1" s="1"/>
  <c r="D601" i="1"/>
  <c r="BE601" i="1"/>
  <c r="H601" i="1"/>
  <c r="C596" i="1"/>
  <c r="B596" i="1" s="1"/>
  <c r="J596" i="1"/>
  <c r="C600" i="1"/>
  <c r="B600" i="1" s="1"/>
  <c r="J600" i="1"/>
  <c r="J601" i="1" l="1"/>
  <c r="C601" i="1"/>
  <c r="B601" i="1" s="1"/>
  <c r="J589" i="1"/>
  <c r="C589" i="1"/>
  <c r="B589" i="1" s="1"/>
  <c r="Q552" i="1" l="1"/>
  <c r="U127" i="3" l="1"/>
  <c r="V127" i="3"/>
  <c r="Q553" i="1"/>
  <c r="Q554" i="1" l="1"/>
  <c r="Q55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Tore Alden</author>
  </authors>
  <commentList>
    <comment ref="E506" authorId="0" shapeId="0" xr:uid="{9C8C4473-17F0-4920-A3FF-4355B699CC5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Cedar Rapids IA - raised capacity 10% - +0.017</t>
        </r>
      </text>
    </comment>
    <comment ref="E507" authorId="0" shapeId="0" xr:uid="{C43D4919-6854-4274-937A-109AF33C97AB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Kansas City MO - tripled truck load out capacity - est +20% +0.018  - CHS - Fairmont - Increasing Capacity by 30% - +0.047</t>
        </r>
      </text>
    </comment>
    <comment ref="E512" authorId="0" shapeId="0" xr:uid="{19717B75-076E-4013-B160-9DEBB27D4C75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ADM  - Quincy - $25MM expansion to refining and storage - est 10% increase in refining capacity</t>
        </r>
      </text>
    </comment>
    <comment ref="E518" authorId="0" shapeId="0" xr:uid="{C6D7E823-084C-44DB-AF78-9CBBC55E7CD3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Sidney OH - doubled capacity - +.0825</t>
        </r>
      </text>
    </comment>
    <comment ref="E519" authorId="0" shapeId="0" xr:uid="{E893F14E-E2B1-4B5A-8E20-D33097E1CC88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Fayetville - $25 MM in improvements - est. +10% capacity - +0.010 
Cargill - Wichita - Double unload capacity +0.035</t>
        </r>
      </text>
    </comment>
    <comment ref="E520" authorId="0" shapeId="0" xr:uid="{48219CF5-ACDF-45D1-972C-837B10B095E6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Shell Rock Soy Processing - Shell Rock IA - Est opening date - +0.110</t>
        </r>
      </text>
    </comment>
    <comment ref="E528" authorId="0" shapeId="0" xr:uid="{91F9AA1F-4290-454F-B7FC-1AED4AB71ADF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CHS - Mankato - Increasing veg oil processing capacity by 35%</t>
        </r>
      </text>
    </comment>
    <comment ref="E530" authorId="0" shapeId="0" xr:uid="{DF203423-DF37-41A2-B639-6CB089C7095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ADM - Spiritwood - New facility - + 0.150</t>
        </r>
      </text>
    </comment>
    <comment ref="E531" authorId="0" shapeId="0" xr:uid="{34AD3E9C-60CB-4D3B-8BD3-876DDB762DE9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AGP - Sgt. Bluff - $71.5 expansion - adds 8 mmbu / yr - +0.023</t>
        </r>
      </text>
    </comment>
    <comment ref="E536" authorId="0" shapeId="0" xr:uid="{05959506-F3E2-484C-AB3F-75B2E79F1DF7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Perdue - Chesapeake - doubled capacity - +0.016</t>
        </r>
      </text>
    </comment>
    <comment ref="E538" authorId="0" shapeId="0" xr:uid="{3C6DC504-17D9-4F46-8CE8-214EC4C4C33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Bunge - Desterhan - Investment with Chevron - double capacity - +0.055</t>
        </r>
      </text>
    </comment>
    <comment ref="E539" authorId="0" shapeId="0" xr:uid="{C3C18DD5-3827-4A22-8B35-B77E47E5840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Savage/Bartlett - Coffeyville - New Facility - 38.5 mmbu / yr - +0.110</t>
        </r>
      </text>
    </comment>
    <comment ref="E541" authorId="0" shapeId="0" xr:uid="{85D50A4D-F207-43D0-8A5F-BAA2FB217AF2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Bunge - Cairo - Investment with Chevron - double capacity - +0.1075</t>
        </r>
      </text>
    </comment>
    <comment ref="E542" authorId="0" shapeId="0" xr:uid="{A271D605-2070-4366-8F0A-89E9C0AE31F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CGB / MN Soy - Casselton - New Facility - 42.5 mmbu / yr - +0.1215</t>
        </r>
      </text>
    </comment>
    <comment ref="E543" authorId="0" shapeId="0" xr:uid="{9C917AD4-2D8D-463D-8407-8E12F47F4413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Platinum Crush - Alta - New Facility - 38.5 mmby / yr - +0.110</t>
        </r>
      </text>
    </comment>
    <comment ref="E556" authorId="0" shapeId="0" xr:uid="{61084DA4-08F3-40DB-9447-AF7AFBCE7358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AGP - David City - New Facility - 52.5 mmbu / yr - +0.150</t>
        </r>
      </text>
    </comment>
    <comment ref="E560" authorId="0" shapeId="0" xr:uid="{F4B69928-ED41-4080-B2AB-6F23F3D01325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N Bowdish Co - Norfolk - New Facility - 38.5 mmbu / yr - +0.110</t>
        </r>
      </text>
    </comment>
    <comment ref="E564" authorId="0" shapeId="0" xr:uid="{7C6AF263-53A2-45F8-95FB-CF100E35D386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SD Soy Processing - Mitchell - New Facility - 35 mmbu / yr - +0.100</t>
        </r>
      </text>
    </comment>
    <comment ref="E566" authorId="0" shapeId="0" xr:uid="{0181E34B-4504-4899-A5AE-BBFFFE29958D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Hayti - New Facility - 62 mmbu / yr - +0.177</t>
        </r>
      </text>
    </comment>
  </commentList>
</comments>
</file>

<file path=xl/sharedStrings.xml><?xml version="1.0" encoding="utf-8"?>
<sst xmlns="http://schemas.openxmlformats.org/spreadsheetml/2006/main" count="7912" uniqueCount="443">
  <si>
    <t>Date</t>
  </si>
  <si>
    <t>Non-NOPA Daily Crush Rate</t>
  </si>
  <si>
    <t>Census-NOPA</t>
  </si>
  <si>
    <t>Daily NOPA Capacity</t>
  </si>
  <si>
    <t>NOPA Crushing Capacity (Mil. Bushel)</t>
  </si>
  <si>
    <t>NOPA Crush (Mil. Bushel)</t>
  </si>
  <si>
    <t>NOPA Crush as a % of Capacity</t>
  </si>
  <si>
    <t>NOPA Soybean Meal Production (1,000 Short Tons)</t>
  </si>
  <si>
    <t>NOPA Soybean Meal Yield Per Bushel Crush (Pounds)</t>
  </si>
  <si>
    <t>NOPA Soybean Meal Exports (1,000 Short Tons)</t>
  </si>
  <si>
    <t>NOPA Soybean Oil Production (Mil. Pounds)</t>
  </si>
  <si>
    <t>NOPA Soybean Oil Yield Per Bushel Crushed (Pounds)</t>
  </si>
  <si>
    <t>NOPA Soybean Oil Stocks (Mil. Pounds)</t>
  </si>
  <si>
    <t>NOPA/Census</t>
  </si>
  <si>
    <t>IL Crush</t>
  </si>
  <si>
    <t>IN,KY,OH, MI Crush</t>
  </si>
  <si>
    <t>SC,NC,DE,MD,VA,GA,AL,FL Crush</t>
  </si>
  <si>
    <t>Southwest Crush</t>
  </si>
  <si>
    <t>AR,MS,TN,LA,MO Crush</t>
  </si>
  <si>
    <t>NE,KS,OK,TX,CA,WA,OR,MO Crush</t>
  </si>
  <si>
    <t>IA Crush</t>
  </si>
  <si>
    <t>MN,MT,ND,SD Crush</t>
  </si>
  <si>
    <t>Total</t>
  </si>
  <si>
    <t>Change in Iowa Crush</t>
  </si>
  <si>
    <t>IL Capacity</t>
  </si>
  <si>
    <t>IN,KY,OH, MI Capacity</t>
  </si>
  <si>
    <t>SC,NC,DE,MD,VA,GA,AL,FL Capacity</t>
  </si>
  <si>
    <t>AR,MS,TN,LA,MO Capacity</t>
  </si>
  <si>
    <t>NE,KS,OK,TX,CA,WA,OR,MO Capacity</t>
  </si>
  <si>
    <t>IA Capacity</t>
  </si>
  <si>
    <t>MN,MT,ND,SD Capacity</t>
  </si>
  <si>
    <t>Total Capacity</t>
  </si>
  <si>
    <t>IL</t>
  </si>
  <si>
    <t>IN,KY,OH</t>
  </si>
  <si>
    <t>SC,NC,DE,MD,VA,GA,AL,FL</t>
  </si>
  <si>
    <t>AR,MS,TN,LA,MO</t>
  </si>
  <si>
    <t>NE,KS,OK,TX,CA,WA,OR,MO</t>
  </si>
  <si>
    <t>IA</t>
  </si>
  <si>
    <t>MN,MT,ND,SD</t>
  </si>
  <si>
    <t>Census/NOPA</t>
  </si>
  <si>
    <t>Average Daily Crush</t>
  </si>
  <si>
    <t>Monthly Record</t>
  </si>
  <si>
    <t>&lt;=Dreyfus, startup early 2008</t>
  </si>
  <si>
    <t>Last year</t>
  </si>
  <si>
    <t>Last month</t>
  </si>
  <si>
    <t>Estimated Annual Capacity</t>
  </si>
  <si>
    <t>Daily Rate</t>
  </si>
  <si>
    <t>Daily Rate LM</t>
  </si>
  <si>
    <t>Max NOPA</t>
  </si>
  <si>
    <t>USDA forecast</t>
  </si>
  <si>
    <t>NOPA Monthly Data Breakdown in Reuters O#SEED-US-STAT Quote</t>
  </si>
  <si>
    <t>United States</t>
  </si>
  <si>
    <t>Illinois</t>
  </si>
  <si>
    <t>Iowa</t>
  </si>
  <si>
    <t>North and East (Indiana, Kentucky, Maryland, Ohio, Pennsylvania &amp; Virginia)</t>
  </si>
  <si>
    <t>North Central (Michigan, Minnesota, North Dakota &amp; South Dakota)</t>
  </si>
  <si>
    <t>South, West &amp; Pacific (Alabama, Arkansas, California, Georgia, Louisiana, North Carolina &amp; South Carolina)</t>
  </si>
  <si>
    <t>West Central (Kansas, Missouri &amp; Nebraska)</t>
  </si>
  <si>
    <t>Check</t>
  </si>
  <si>
    <t>CANOLA</t>
  </si>
  <si>
    <t>COTTONSEED</t>
  </si>
  <si>
    <t>Soybeans</t>
  </si>
  <si>
    <t>Soybean Meal</t>
  </si>
  <si>
    <t>Millfeed</t>
  </si>
  <si>
    <t>Soybean Oil</t>
  </si>
  <si>
    <t>Meal + Oil</t>
  </si>
  <si>
    <t>Canola</t>
  </si>
  <si>
    <t>Canola Meal</t>
  </si>
  <si>
    <t>Canola Oil</t>
  </si>
  <si>
    <t>Cottonseed</t>
  </si>
  <si>
    <t>Cottonseed Meal</t>
  </si>
  <si>
    <t>Cottonseed Oil</t>
  </si>
  <si>
    <t>Crush</t>
  </si>
  <si>
    <t>Difference w/ NOPA</t>
  </si>
  <si>
    <t>Production</t>
  </si>
  <si>
    <t>Stocks</t>
  </si>
  <si>
    <t>Yield</t>
  </si>
  <si>
    <t>Yield w/hulls</t>
  </si>
  <si>
    <t>less NOPA</t>
  </si>
  <si>
    <t>Crude Stocks</t>
  </si>
  <si>
    <t>Refined Stocks</t>
  </si>
  <si>
    <t>Processed</t>
  </si>
  <si>
    <t>Refined Production</t>
  </si>
  <si>
    <t>Refining Loss</t>
  </si>
  <si>
    <t>less US</t>
  </si>
  <si>
    <t>Total Stocks</t>
  </si>
  <si>
    <t>Crude Production</t>
  </si>
  <si>
    <t>Refined Usage</t>
  </si>
  <si>
    <t>1,000 tons</t>
  </si>
  <si>
    <t>mil bu</t>
  </si>
  <si>
    <t>%</t>
  </si>
  <si>
    <t>tons</t>
  </si>
  <si>
    <t>lbs/bu</t>
  </si>
  <si>
    <t>short tons</t>
  </si>
  <si>
    <t>mil lbs</t>
  </si>
  <si>
    <t>NASS Cumulative</t>
  </si>
  <si>
    <t>NOPA Cumulative</t>
  </si>
  <si>
    <t>Last Year</t>
  </si>
  <si>
    <t>Divide the monthly NOPA change in stocks by the weighted average of the difference between NOPA and industry to gauge how much to adjust NOPA oil stocks</t>
  </si>
  <si>
    <t>Historical Revisions</t>
  </si>
  <si>
    <t>Soybean Crush (000 Short Tons)</t>
  </si>
  <si>
    <t>Soybean Stocks at Oil Mills (000 Short Tons)</t>
  </si>
  <si>
    <t>Cottonseed Crush (000 Short Tons)</t>
  </si>
  <si>
    <t>Cottonseed Stocks at Oil Mills (000 Short Tons)</t>
  </si>
  <si>
    <t>Peanut Crush (000 Short Tons)</t>
  </si>
  <si>
    <t>Sunflowerseed Crush (000 Short Tons)</t>
  </si>
  <si>
    <t>Sunflowerseed Stocks at Oil Mills (000 Short Tons)</t>
  </si>
  <si>
    <t>Rapeseed Crush (000 Short Tons)</t>
  </si>
  <si>
    <t>Rapeseed Stocks at Oil Mills (000 Short Tons)</t>
  </si>
  <si>
    <t>Crude Soybean Oil Production (Milllion Pounds)</t>
  </si>
  <si>
    <t>Total Soybean Oil Stocks (Milllion Pounds)</t>
  </si>
  <si>
    <t>Crude Soybean Oil Stocks (Milllion Pounds)</t>
  </si>
  <si>
    <t>Refined Soybean Oil Stocks (Milllion Pounds)</t>
  </si>
  <si>
    <t>Crude Cottonsseed Oil Production (Milllion Pounds)</t>
  </si>
  <si>
    <t>Total Cottonsseed Oil Stocks (Milllion Pounds)</t>
  </si>
  <si>
    <t>Crude Cottonsseed Oil Stocks (Milllion Pounds)</t>
  </si>
  <si>
    <t>Refined Cottonsseed Oil Stocks (Milllion Pounds)</t>
  </si>
  <si>
    <t>Crude Peanut Oil Production (Milllion Pounds)</t>
  </si>
  <si>
    <t>Total Peanut Oil Stocks (Milllion Pounds)</t>
  </si>
  <si>
    <t>Crude Peanut Oil Stocks (Milllion Pounds)</t>
  </si>
  <si>
    <t>Refined Peanut Oil Stocks (Milllion Pounds)</t>
  </si>
  <si>
    <t>Crude Sunflowerseed Oil Production (Milllion Pounds)</t>
  </si>
  <si>
    <t>Refined Sunflowerseed Oil Production (Milllion Pounds)</t>
  </si>
  <si>
    <t>Total Sunflowerseed Oil Stocks (Milllion Pounds)</t>
  </si>
  <si>
    <t>Crude Sunflowerseed Oil Stocks (Milllion Pounds)</t>
  </si>
  <si>
    <t>Refined Sunflowerseed Oil Stocks (Milllion Pounds)</t>
  </si>
  <si>
    <t>Crude Rapeseed Oil Production (Milllion Pounds)</t>
  </si>
  <si>
    <t>Refined Rapeseed Oil Production (Milllion Pounds)</t>
  </si>
  <si>
    <t>Rapeseed oil consumption in refining (Million pounds)</t>
  </si>
  <si>
    <t>Total Rapeseed Oil Stocks (Milllion Pounds)</t>
  </si>
  <si>
    <t>Crude Rapeseed Oil Stocks (Milllion Pounds)</t>
  </si>
  <si>
    <t>Refined Rapeseed Oil Stocks (Milllion Pounds)</t>
  </si>
  <si>
    <t>Total Crude Corn Oil Production (Milllion Pounds)</t>
  </si>
  <si>
    <t>Crude Corn Oil Production, Wet Mill (Milllion Pounds)</t>
  </si>
  <si>
    <t>Crude Corn Oil Production, Dry Mill (Milllion Pounds)</t>
  </si>
  <si>
    <t>Total Corn Oil Stocks (Milllion Pounds)</t>
  </si>
  <si>
    <t>Crude Corn Oil Stocks (Milllion Pounds)</t>
  </si>
  <si>
    <t>Refined Corn Oil Stocks (Milllion Pounds)</t>
  </si>
  <si>
    <t>Soybean Meal Production (000 Short Tons)</t>
  </si>
  <si>
    <t>Soybean Meal Stocks (000 Short Tons)</t>
  </si>
  <si>
    <t>Soybean Hull Meal Production (000 Short Tons)</t>
  </si>
  <si>
    <t>Soybean Hull Meal Stocks (000 Short Tons)</t>
  </si>
  <si>
    <t>Cottonsseed Meal Production (000 Short Tons)</t>
  </si>
  <si>
    <t>Cottonsseed Meal Stocks (000 Short Tons)</t>
  </si>
  <si>
    <t>Cottonsseed Hull Meal Production (000 Short Tons)</t>
  </si>
  <si>
    <t>Cottonsseed Hull Meal Stocks (000 Short Tons)</t>
  </si>
  <si>
    <t>Peanut Meal Production (000 Short Tons)</t>
  </si>
  <si>
    <t>Peanut Meal Stocks (000 Short Tons)</t>
  </si>
  <si>
    <t>Sunflowerseed Meal Production (000 Short Tons)</t>
  </si>
  <si>
    <t>Sunflowerseed Meal Stocks (000 Short Tons)</t>
  </si>
  <si>
    <t>Rapeseed Meal Production (000 Short Tons)</t>
  </si>
  <si>
    <t>Rapeseed Meal Stocks (000 Short Tons)</t>
  </si>
  <si>
    <t>Edible Tallow Production (Million Pounds)</t>
  </si>
  <si>
    <t>Edible Tallow Stocks (Million Pounds)</t>
  </si>
  <si>
    <t>Feather Meal Production (Million Pounds)</t>
  </si>
  <si>
    <t>Feather Meal Stocks (Million Pounds)</t>
  </si>
  <si>
    <t>Inedible Tallow Production (Million Pounds)</t>
  </si>
  <si>
    <t>Yellow Grease Production (Million Pounds)</t>
  </si>
  <si>
    <t>Other Grease Production (Million Pounds)</t>
  </si>
  <si>
    <t>Total Grease Production (Million Pounds)</t>
  </si>
  <si>
    <t>Other Inedible Tallow and Grease Production (Million Pounds)</t>
  </si>
  <si>
    <t>Total Inedible Tallow and Grease Production (Million Pounds)</t>
  </si>
  <si>
    <t>Inedible Tallow Stocks (Million Pounds)</t>
  </si>
  <si>
    <t>Yellow Grease Stocks (Million Pounds)</t>
  </si>
  <si>
    <t>Other Grease Stocks (Million Pounds)</t>
  </si>
  <si>
    <t>Total Grease Stocks (Million Pounds)</t>
  </si>
  <si>
    <t>Other Inedible Tallow and Grease Stocks (Million Pounds)</t>
  </si>
  <si>
    <t>Total Inedible Tallow and Grease Stocks (Million Pounds)</t>
  </si>
  <si>
    <t>Lard Production (Million Pounds)</t>
  </si>
  <si>
    <t>Lard Stocks (Million Pounds)</t>
  </si>
  <si>
    <t>Meat and Bone Meal Production (Million Pounds)</t>
  </si>
  <si>
    <t>Dry Rendered Tankage Production (Million Pounds)</t>
  </si>
  <si>
    <t>Total Meat Meal and Tankage Production (Including Other Category) (Million Pounds)</t>
  </si>
  <si>
    <t>Meat and Bone Meal Stocks (Million Pounds)</t>
  </si>
  <si>
    <t>Dry Rendered Tankage Stocks (Million Pounds)</t>
  </si>
  <si>
    <t>Total Meat and Bone Meal Stocks (Million Pounds</t>
  </si>
  <si>
    <t>Poultry Fat Production (Million Pounds)</t>
  </si>
  <si>
    <t>Poultry Fat Stocks (Million Pounds)</t>
  </si>
  <si>
    <t>Poultry By-Product Meal Production (Million Pounds)</t>
  </si>
  <si>
    <t>Poultry By-Product Meal Stocks (Million Pounds)</t>
  </si>
  <si>
    <t>Crude Tall Oil Production (Million Pounds)</t>
  </si>
  <si>
    <t>Crude Tall Oil Stocks (Million Pounds)</t>
  </si>
  <si>
    <t>Refined Tall Oil Stocks (Million Pounds)</t>
  </si>
  <si>
    <t>Vegetable Foots Production (Million Pounds)</t>
  </si>
  <si>
    <t>Vegetable Foots Stocks (Million Pounds)</t>
  </si>
  <si>
    <t>"All Other Products" Production (Million Pounds)</t>
  </si>
  <si>
    <t>"All Other Products" Stocks (Million Pounds)</t>
  </si>
  <si>
    <t>Coconut Oil Refined Production (Million Pounds)</t>
  </si>
  <si>
    <t>Total Coconut Oil Stocks (Million Pounds)</t>
  </si>
  <si>
    <t>Crude Coconut Oil Stocks (Million Pounds)</t>
  </si>
  <si>
    <t>Refined Coconut Oil Stocks (Million Pounds)</t>
  </si>
  <si>
    <t>Linseed Oil Production (Million Pounds)</t>
  </si>
  <si>
    <t>Total Linseed Oil Stocks (Million Pounds)</t>
  </si>
  <si>
    <t>Linseed Oil Crude Stocks (Million Pounds)</t>
  </si>
  <si>
    <t>Linseed Oil Refined Stocks (Million Pounds)</t>
  </si>
  <si>
    <t>Total Palm Oil Stocks (Million Pounds)</t>
  </si>
  <si>
    <t>Palm Oil Crude Stocks (Million Pounds)</t>
  </si>
  <si>
    <t>Palm Oil Refined Stocks (Million Pounds)</t>
  </si>
  <si>
    <t>Palm Kernel Oil Refined Production (Million Pounds)</t>
  </si>
  <si>
    <t>Palm Kernel Oil Stocks (Million Pounds)</t>
  </si>
  <si>
    <t>Total Safflower Oil Stocks (Million Pounds)</t>
  </si>
  <si>
    <t>Safflower Oil Crude Stocks (Million Pounds)</t>
  </si>
  <si>
    <t>Safflower Oil Refined Stocks (Million Pounds)</t>
  </si>
  <si>
    <t>Soybeans crushed or used</t>
  </si>
  <si>
    <t>AR</t>
  </si>
  <si>
    <t>GA</t>
  </si>
  <si>
    <t>IN</t>
  </si>
  <si>
    <t>KS</t>
  </si>
  <si>
    <t>MN</t>
  </si>
  <si>
    <t>MS</t>
  </si>
  <si>
    <t>MO</t>
  </si>
  <si>
    <t>OH</t>
  </si>
  <si>
    <t>SC</t>
  </si>
  <si>
    <t>TN</t>
  </si>
  <si>
    <t>Others</t>
  </si>
  <si>
    <t>TOTAL</t>
  </si>
  <si>
    <t>Soybean stocks at mills, end of month</t>
  </si>
  <si>
    <t>Soybean crude oil production</t>
  </si>
  <si>
    <t>Soybean cake and meal production</t>
  </si>
  <si>
    <t>Soybean crude oil stocks at mills, end of month</t>
  </si>
  <si>
    <t>Soybean cake and meal stocks at mills, end of month</t>
  </si>
  <si>
    <t>Refined Soybean Oil Production (Milllion Pounds)</t>
  </si>
  <si>
    <t>Soybean oil consumption in refining (million pounds)</t>
  </si>
  <si>
    <t>Difference Between Balance Sheet and Reported Consumption</t>
  </si>
  <si>
    <t>Change from last year</t>
  </si>
  <si>
    <t>Balance Sheet Soyoil Domestic Use</t>
  </si>
  <si>
    <t>Selected edible and inedible products</t>
  </si>
  <si>
    <t>Edible products</t>
  </si>
  <si>
    <t>Baking or frying fats</t>
  </si>
  <si>
    <t>Margarine</t>
  </si>
  <si>
    <t>Salad or cooking oil</t>
  </si>
  <si>
    <t>Other edible products</t>
  </si>
  <si>
    <t>Inedible products</t>
  </si>
  <si>
    <t>Total methyl esters from SBO</t>
  </si>
  <si>
    <t>Methyl esters from crude SBO</t>
  </si>
  <si>
    <t>Methyl esters from once-refined SBO</t>
  </si>
  <si>
    <t>Fatty acids</t>
  </si>
  <si>
    <t>Paint and varnish</t>
  </si>
  <si>
    <t>Resins and plastics</t>
  </si>
  <si>
    <t>Soap</t>
  </si>
  <si>
    <t>Other inedible products</t>
  </si>
  <si>
    <t>Inedible tallow and grease consumption (million pounds)</t>
  </si>
  <si>
    <t>Feed</t>
  </si>
  <si>
    <t>Inedible tallow</t>
  </si>
  <si>
    <t>Grease</t>
  </si>
  <si>
    <t>Yellow grease</t>
  </si>
  <si>
    <t>Other grease</t>
  </si>
  <si>
    <t>Lubricants</t>
  </si>
  <si>
    <t>Methyl Esters-All</t>
  </si>
  <si>
    <t>Methyl Esters-Inedible Tallow</t>
  </si>
  <si>
    <t>Methyl Esters-Yellow Grease</t>
  </si>
  <si>
    <t>Methyl Esters-Other Grease</t>
  </si>
  <si>
    <t>Other Inedible Products</t>
  </si>
  <si>
    <t>Refined Cottonsseed Oil Production (Milllion Pounds)</t>
  </si>
  <si>
    <t>Cottonsseed oil consumption in refining (million pounds)</t>
  </si>
  <si>
    <t>Selected edible and inedible products 1/</t>
  </si>
  <si>
    <t>Methyl esters</t>
  </si>
  <si>
    <t>Soybean Meal Yield</t>
  </si>
  <si>
    <t>Yield Less NOPA Yield</t>
  </si>
  <si>
    <t>10-Year Average Delta</t>
  </si>
  <si>
    <t>Soybean Oil Yield</t>
  </si>
  <si>
    <t>Total Soybean Oil Stocks</t>
  </si>
  <si>
    <t>NOPA Stocks / Census Stocks</t>
  </si>
  <si>
    <t>10-Year Average NOPA Percent of Census Stocks</t>
  </si>
  <si>
    <t>NA</t>
  </si>
  <si>
    <t>(D)</t>
  </si>
  <si>
    <t>-</t>
  </si>
  <si>
    <t>(S)</t>
  </si>
  <si>
    <t>COPA Weekly Canola Crush Volume</t>
  </si>
  <si>
    <t>COPA Weekly Capacity Utilization</t>
  </si>
  <si>
    <t>Implied Annual Capacity</t>
  </si>
  <si>
    <t>COPA Weekly Soybean Crush Volume</t>
  </si>
  <si>
    <t>March Realized</t>
  </si>
  <si>
    <t>March Weekly</t>
  </si>
  <si>
    <t>March Average Daily</t>
  </si>
  <si>
    <t>Delta</t>
  </si>
  <si>
    <t>April Realized</t>
  </si>
  <si>
    <t>April Weekly</t>
  </si>
  <si>
    <t>April Average Daily</t>
  </si>
  <si>
    <t>May Realized</t>
  </si>
  <si>
    <t>May Weekly</t>
  </si>
  <si>
    <t>May Average Daily</t>
  </si>
  <si>
    <t>June Realized</t>
  </si>
  <si>
    <t>June Weekly</t>
  </si>
  <si>
    <t>June Average Daily</t>
  </si>
  <si>
    <t>July Realized</t>
  </si>
  <si>
    <t>July Weekly</t>
  </si>
  <si>
    <t>July Average Daily</t>
  </si>
  <si>
    <t>August Realized</t>
  </si>
  <si>
    <t>August Weekly</t>
  </si>
  <si>
    <t>August Average Daily</t>
  </si>
  <si>
    <t>September Realized</t>
  </si>
  <si>
    <t>September Weekly</t>
  </si>
  <si>
    <t>September Average Daily</t>
  </si>
  <si>
    <t>October Realized</t>
  </si>
  <si>
    <t>October Weekly</t>
  </si>
  <si>
    <t>October Average Daily</t>
  </si>
  <si>
    <t>November Realized</t>
  </si>
  <si>
    <t>November Weekly</t>
  </si>
  <si>
    <t>November Average Daily</t>
  </si>
  <si>
    <t>December Realized</t>
  </si>
  <si>
    <t>December Weekly</t>
  </si>
  <si>
    <t>December Average Daily</t>
  </si>
  <si>
    <t>January Realized</t>
  </si>
  <si>
    <t>January Weekly</t>
  </si>
  <si>
    <t>January Average Daily</t>
  </si>
  <si>
    <t>February Realized</t>
  </si>
  <si>
    <t>February Weekly</t>
  </si>
  <si>
    <t>February Average Daily</t>
  </si>
  <si>
    <t>Choice White Grease</t>
  </si>
  <si>
    <t>Feather Meal</t>
  </si>
  <si>
    <t xml:space="preserve"> </t>
  </si>
  <si>
    <t>Lard</t>
  </si>
  <si>
    <t>Meat and Bone Meal</t>
  </si>
  <si>
    <t xml:space="preserve">  </t>
  </si>
  <si>
    <t>Other Grease</t>
  </si>
  <si>
    <t>Poultry Fats</t>
  </si>
  <si>
    <t>Poultry By-Product</t>
  </si>
  <si>
    <t>Edible Tallow</t>
  </si>
  <si>
    <t>Inedible Tallow</t>
  </si>
  <si>
    <t>Technical Tallow</t>
  </si>
  <si>
    <t>Yellow Grease</t>
  </si>
  <si>
    <t>Processing Use</t>
  </si>
  <si>
    <t>End-of-Month Stocks</t>
  </si>
  <si>
    <t>Palm Kernel</t>
  </si>
  <si>
    <t>Palm Oil</t>
  </si>
  <si>
    <t>Safflower</t>
  </si>
  <si>
    <t>Sunflower</t>
  </si>
  <si>
    <t>Coconut</t>
  </si>
  <si>
    <t>Refined Consumption</t>
  </si>
  <si>
    <t>Edible Use</t>
  </si>
  <si>
    <t>Inedible Use</t>
  </si>
  <si>
    <t xml:space="preserve">  Crude Oil Processed in Refining</t>
  </si>
  <si>
    <t xml:space="preserve">  Once Refined Oil Produced</t>
  </si>
  <si>
    <t xml:space="preserve">  Once Refined Oil Removed for Use in Processing</t>
  </si>
  <si>
    <t>Once Refined Stocks</t>
  </si>
  <si>
    <t>Crude Processed</t>
  </si>
  <si>
    <t>Once Refined Produced</t>
  </si>
  <si>
    <t>Crude Proccessed</t>
  </si>
  <si>
    <t>Oilseed Ending Stocks at Mills</t>
  </si>
  <si>
    <t>Oil Production</t>
  </si>
  <si>
    <t>Oil Ending Stocks at Mills</t>
  </si>
  <si>
    <t>Meal Production</t>
  </si>
  <si>
    <t>Meal Ending Stocks</t>
  </si>
  <si>
    <t>Meal Ending Stocks at Mills</t>
  </si>
  <si>
    <t>Month</t>
  </si>
  <si>
    <t>Soybean</t>
  </si>
  <si>
    <t>Groundnuts</t>
  </si>
  <si>
    <t>Sunflowerseed</t>
  </si>
  <si>
    <t>Rapeseed</t>
  </si>
  <si>
    <t>Seasame</t>
  </si>
  <si>
    <t>Corn Germs</t>
  </si>
  <si>
    <t>Copra</t>
  </si>
  <si>
    <t>Linseed</t>
  </si>
  <si>
    <t>Unspecified</t>
  </si>
  <si>
    <t>Sum Total</t>
  </si>
  <si>
    <t>Castorseed</t>
  </si>
  <si>
    <t>Groundnut</t>
  </si>
  <si>
    <t>Seasameseed</t>
  </si>
  <si>
    <t>Corn</t>
  </si>
  <si>
    <t>Castor</t>
  </si>
  <si>
    <t>Other</t>
  </si>
  <si>
    <t>Palm</t>
  </si>
  <si>
    <t>Corn Germ</t>
  </si>
  <si>
    <t>Corn Gluten Feed</t>
  </si>
  <si>
    <t>Fish</t>
  </si>
  <si>
    <t>Sesame</t>
  </si>
  <si>
    <t>Monthly</t>
  </si>
  <si>
    <t>Max</t>
  </si>
  <si>
    <t>USDA Imp Cap</t>
  </si>
  <si>
    <t>5-Yr. Avg Yr/Yr Change</t>
  </si>
  <si>
    <t>Yr/Yr Change</t>
  </si>
  <si>
    <t>Week/Week Change</t>
  </si>
  <si>
    <t>Meal Used for Animal Feed</t>
  </si>
  <si>
    <t>Meal Used for Edible Protein Products</t>
  </si>
  <si>
    <t>Further Refined Percent</t>
  </si>
  <si>
    <t>Est. Industry Crush Capacity</t>
  </si>
  <si>
    <t>5-Yr. Avg Week/Week Change</t>
  </si>
  <si>
    <t>Combined Meal and Oil Yield</t>
  </si>
  <si>
    <t>5-Year Average Change in Yield</t>
  </si>
  <si>
    <t>Months that are record large</t>
  </si>
  <si>
    <t>Month-to-Month Change in Yield</t>
  </si>
  <si>
    <t>NOPA</t>
  </si>
  <si>
    <t>Industry-Wide Estimate</t>
  </si>
  <si>
    <t>NOPA - Industry-Wide</t>
  </si>
  <si>
    <t/>
  </si>
  <si>
    <t>Soybean Crush Margin - Dalian - Imported Soybeans</t>
  </si>
  <si>
    <t>Port Stocks Days of Coverage</t>
  </si>
  <si>
    <t>Annual Crush Rate (million tonnes)</t>
  </si>
  <si>
    <t>Combined Yield</t>
  </si>
  <si>
    <t>SBO Yield</t>
  </si>
  <si>
    <t>SBM Yield</t>
  </si>
  <si>
    <t>Chinese SBM Port Stocks</t>
  </si>
  <si>
    <t>Chinese SBO Port Stocks</t>
  </si>
  <si>
    <t>Chinese Soybean Port Stocks</t>
  </si>
  <si>
    <t>Chinese SBO Production</t>
  </si>
  <si>
    <t>Chinese Meal Production</t>
  </si>
  <si>
    <t>Chinese Weekly Crush</t>
  </si>
  <si>
    <t>Monthly Crush</t>
  </si>
  <si>
    <t>Monthly Oil Production</t>
  </si>
  <si>
    <t>Monthly Meal Production</t>
  </si>
  <si>
    <t>Soybean Meal Production</t>
  </si>
  <si>
    <t>Soybean Millfeed Production</t>
  </si>
  <si>
    <t>Soybean Oil Production</t>
  </si>
  <si>
    <t>Soybean Millfeed Stocks</t>
  </si>
  <si>
    <t>Soybean Meal Stocks</t>
  </si>
  <si>
    <t>Soybean Oil Crude Stocks</t>
  </si>
  <si>
    <t>Soybean Oil Crusher Stocks</t>
  </si>
  <si>
    <t>Soybean Oil Refiner Stocks</t>
  </si>
  <si>
    <t>Soybean Oil Offsite Stocks</t>
  </si>
  <si>
    <t>Soybean Oil Refined Stocks</t>
  </si>
  <si>
    <t>Soybean Oil Processed</t>
  </si>
  <si>
    <t>Soybean Oil Refined Production</t>
  </si>
  <si>
    <t>Soybean Oil Inedible Crude Use</t>
  </si>
  <si>
    <t>Soybean Oil Refined Processed</t>
  </si>
  <si>
    <t>Soybean Oil Edible Refined Use</t>
  </si>
  <si>
    <t>Soybean Oil Inedible Refined Use</t>
  </si>
  <si>
    <t>Implied Industry Capacity</t>
  </si>
  <si>
    <t>Avg Daily</t>
  </si>
  <si>
    <t>Dark Blue - Real totals - Black FM Pre-Report Prediction</t>
  </si>
  <si>
    <t>Pre-Report Oil Stocks Forecast</t>
  </si>
  <si>
    <t>Delta to FM Forecast</t>
  </si>
  <si>
    <t>Non-NOPA Crush Percentage</t>
  </si>
  <si>
    <t>NOPA Mar-24</t>
  </si>
  <si>
    <t>Ind Mar-24</t>
  </si>
  <si>
    <t>Processed/Production</t>
  </si>
  <si>
    <t>MAY</t>
  </si>
  <si>
    <t>JUNE</t>
  </si>
  <si>
    <t>JULY</t>
  </si>
  <si>
    <t>Combined</t>
  </si>
  <si>
    <t>Estimated Soy Capacity</t>
  </si>
  <si>
    <t>Average Daily Soybean Crush</t>
  </si>
  <si>
    <t>Soybean Capacity Utilization</t>
  </si>
  <si>
    <t>Average Daily Canola Crush</t>
  </si>
  <si>
    <t>Average Daily Cottonseed Crush</t>
  </si>
  <si>
    <t>Average Daily Combined Oilseed Crush</t>
  </si>
  <si>
    <t>AUGUST</t>
  </si>
  <si>
    <t>SEPTEMBER</t>
  </si>
  <si>
    <t>d</t>
  </si>
  <si>
    <t>OCTOBER</t>
  </si>
  <si>
    <t>NOVEMBER</t>
  </si>
  <si>
    <t>DECEMBER</t>
  </si>
  <si>
    <t>5-Year Average Crush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</si>
</sst>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3" formatCode="_(* #,##0.00_);_(* \(#,##0.00\);_(* &quot;-&quot;??_);_(@_)"/>
    <numFmt numFmtId="164" formatCode="0.0"/>
    <numFmt numFmtId="165" formatCode="#,##0.0"/>
    <numFmt numFmtId="166" formatCode="0.000"/>
    <numFmt numFmtId="167" formatCode="_(* #,##0.0_);_(* \(#,##0.0\);_(* &quot;-&quot;??_);_(@_)"/>
    <numFmt numFmtId="168" formatCode="_(* #,##0_);_(* \(#,##0\);_(* &quot;-&quot;??_);_(@_)"/>
    <numFmt numFmtId="169" formatCode="0.0%"/>
    <numFmt numFmtId="170" formatCode="_(* #,##0.000_);_(* \(#,##0.000\);_(* &quot;-&quot;??_);_(@_)"/>
    <numFmt numFmtId="171" formatCode="&quot;$&quot;#,##0\ ;\(&quot;$&quot;#,##0\)"/>
    <numFmt numFmtId="172" formatCode="0.00_)"/>
    <numFmt numFmtId="173" formatCode="0.000_)"/>
    <numFmt numFmtId="174" formatCode="#,##0.000"/>
    <numFmt numFmtId="175" formatCode="0.000_);[Red]\(0.000\)"/>
    <numFmt numFmtId="176" formatCode="#,##0.000_);[Red]\(#,##0.000\)"/>
    <numFmt numFmtId="177" formatCode="[$-409]mmm\-yy;@"/>
    <numFmt numFmtId="178" formatCode="[$-409]d\-mmm\-yy;@"/>
    <numFmt numFmtId="179" formatCode="#,##0.0_);[Red]\(#,##0.0\)"/>
  </numFmts>
  <fonts count="63"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sz val="12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sz val="11"/>
      <name val="Tms Rmn"/>
      <family val="1"/>
    </font>
    <font>
      <b/>
      <i/>
      <sz val="16"/>
      <name val="Helv"/>
    </font>
    <font>
      <sz val="10"/>
      <color indexed="1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8E9A44"/>
      <name val="Arial"/>
      <family val="2"/>
    </font>
    <font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1"/>
      <color theme="1"/>
      <name val="Arial Narrow"/>
      <family val="2"/>
    </font>
    <font>
      <sz val="10"/>
      <name val="Helvetica-Normal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b/>
      <sz val="11"/>
      <color theme="1"/>
      <name val="Aptos Display"/>
      <family val="2"/>
    </font>
    <font>
      <sz val="11"/>
      <color rgb="FFFF0000"/>
      <name val="Aptos Display"/>
      <family val="2"/>
    </font>
    <font>
      <b/>
      <sz val="10"/>
      <color rgb="FFFF0000"/>
      <name val="Aptos Display"/>
      <family val="2"/>
    </font>
    <font>
      <sz val="10"/>
      <color rgb="FFFF0000"/>
      <name val="Aptos Display"/>
      <family val="2"/>
    </font>
    <font>
      <b/>
      <sz val="10"/>
      <color theme="1"/>
      <name val="Aptos Display"/>
      <family val="2"/>
    </font>
    <font>
      <sz val="10"/>
      <color theme="1"/>
      <name val="Aptos Display"/>
      <family val="2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1"/>
      <color rgb="FFFF0000"/>
      <name val="Aptos Display"/>
      <family val="2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b/>
      <sz val="8"/>
      <color rgb="FFFF0000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name val="Avenir Next LT Pro Demi"/>
      <family val="2"/>
    </font>
    <font>
      <sz val="8"/>
      <color theme="0"/>
      <name val="Avenir Next LT Pro Demi"/>
      <family val="2"/>
    </font>
    <font>
      <b/>
      <sz val="8"/>
      <color rgb="FF6F0791"/>
      <name val="Avenir Next LT Pro Demi"/>
      <family val="2"/>
    </font>
    <font>
      <sz val="8"/>
      <color rgb="FF0000FF"/>
      <name val="Avenir Next LT Pro Demi"/>
      <family val="2"/>
    </font>
    <font>
      <sz val="8"/>
      <color theme="3"/>
      <name val="Avenir Next LT Pro Demi"/>
      <family val="2"/>
    </font>
    <font>
      <sz val="8"/>
      <color indexed="12"/>
      <name val="Avenir Next LT Pro Demi"/>
      <family val="2"/>
    </font>
    <font>
      <b/>
      <sz val="8"/>
      <color indexed="10"/>
      <name val="Avenir Next LT Pro Demi"/>
      <family val="2"/>
    </font>
    <font>
      <sz val="8"/>
      <color indexed="10"/>
      <name val="Avenir Next LT Pro Demi"/>
      <family val="2"/>
    </font>
    <font>
      <sz val="8"/>
      <color rgb="FFFF0000"/>
      <name val="Avenir Next LT Pro Demi"/>
      <family val="2"/>
    </font>
    <font>
      <b/>
      <sz val="8"/>
      <color rgb="FF69C129"/>
      <name val="Avenir Next LT Pro Demi"/>
      <family val="2"/>
    </font>
    <font>
      <sz val="8"/>
      <color rgb="FF69C129"/>
      <name val="Avenir Next LT Pro Demi"/>
      <family val="2"/>
    </font>
    <font>
      <b/>
      <sz val="8"/>
      <color theme="3" tint="-0.249977111117893"/>
      <name val="Avenir Next LT Pro Dem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indexed="64"/>
      </right>
      <top/>
      <bottom/>
      <diagonal/>
    </border>
  </borders>
  <cellStyleXfs count="38">
    <xf numFmtId="0" fontId="0" fillId="0" borderId="0"/>
    <xf numFmtId="0" fontId="5" fillId="0" borderId="0"/>
    <xf numFmtId="43" fontId="6" fillId="0" borderId="0" applyFont="0" applyFill="0" applyBorder="0" applyAlignment="0" applyProtection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3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2" fillId="0" borderId="0" applyNumberFormat="0" applyFont="0" applyFill="0" applyAlignment="0" applyProtection="0"/>
    <xf numFmtId="0" fontId="13" fillId="0" borderId="0" applyNumberFormat="0" applyFont="0" applyFill="0" applyAlignment="0" applyProtection="0"/>
    <xf numFmtId="172" fontId="17" fillId="0" borderId="0"/>
    <xf numFmtId="0" fontId="6" fillId="0" borderId="0"/>
    <xf numFmtId="9" fontId="6" fillId="0" borderId="0" applyFont="0" applyFill="0" applyBorder="0" applyAlignment="0" applyProtection="0"/>
    <xf numFmtId="0" fontId="11" fillId="0" borderId="1" applyNumberFormat="0" applyFont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19" fillId="0" borderId="0" applyFont="0" applyFill="0" applyBorder="0" applyAlignment="0" applyProtection="0"/>
  </cellStyleXfs>
  <cellXfs count="354">
    <xf numFmtId="0" fontId="0" fillId="0" borderId="0" xfId="0"/>
    <xf numFmtId="165" fontId="7" fillId="0" borderId="0" xfId="28" applyNumberFormat="1" applyFont="1" applyAlignment="1">
      <alignment horizontal="right"/>
    </xf>
    <xf numFmtId="165" fontId="7" fillId="0" borderId="0" xfId="27" applyNumberFormat="1" applyFont="1" applyAlignment="1">
      <alignment horizontal="right"/>
    </xf>
    <xf numFmtId="165" fontId="10" fillId="0" borderId="0" xfId="27" applyNumberFormat="1" applyFont="1" applyAlignment="1">
      <alignment horizontal="right"/>
    </xf>
    <xf numFmtId="165" fontId="9" fillId="0" borderId="0" xfId="27" applyNumberFormat="1" applyFont="1" applyAlignment="1">
      <alignment horizontal="right"/>
    </xf>
    <xf numFmtId="165" fontId="9" fillId="0" borderId="0" xfId="28" applyNumberFormat="1" applyFont="1" applyAlignment="1">
      <alignment horizontal="right"/>
    </xf>
    <xf numFmtId="165" fontId="15" fillId="0" borderId="0" xfId="27" applyNumberFormat="1" applyFont="1" applyAlignment="1">
      <alignment horizontal="right"/>
    </xf>
    <xf numFmtId="165" fontId="18" fillId="0" borderId="0" xfId="28" applyNumberFormat="1" applyFont="1" applyAlignment="1">
      <alignment horizontal="right"/>
    </xf>
    <xf numFmtId="165" fontId="7" fillId="0" borderId="0" xfId="36" applyNumberFormat="1" applyFont="1" applyAlignment="1">
      <alignment horizontal="right" wrapText="1"/>
    </xf>
    <xf numFmtId="165" fontId="7" fillId="0" borderId="0" xfId="35" applyNumberFormat="1" applyFont="1" applyAlignment="1">
      <alignment horizontal="right"/>
    </xf>
    <xf numFmtId="165" fontId="7" fillId="0" borderId="0" xfId="35" quotePrefix="1" applyNumberFormat="1" applyFont="1" applyAlignment="1">
      <alignment horizontal="right" wrapText="1"/>
    </xf>
    <xf numFmtId="165" fontId="7" fillId="0" borderId="0" xfId="35" applyNumberFormat="1" applyFont="1" applyAlignment="1">
      <alignment horizontal="right" wrapText="1"/>
    </xf>
    <xf numFmtId="165" fontId="7" fillId="0" borderId="0" xfId="36" applyNumberFormat="1" applyFont="1" applyAlignment="1">
      <alignment horizontal="right"/>
    </xf>
    <xf numFmtId="165" fontId="9" fillId="0" borderId="0" xfId="35" quotePrefix="1" applyNumberFormat="1" applyFont="1" applyAlignment="1">
      <alignment horizontal="right" wrapText="1"/>
    </xf>
    <xf numFmtId="165" fontId="8" fillId="0" borderId="0" xfId="36" applyNumberFormat="1" applyFont="1" applyAlignment="1">
      <alignment horizontal="right"/>
    </xf>
    <xf numFmtId="165" fontId="10" fillId="0" borderId="0" xfId="35" applyNumberFormat="1" applyFont="1" applyAlignment="1">
      <alignment horizontal="right"/>
    </xf>
    <xf numFmtId="164" fontId="7" fillId="0" borderId="0" xfId="36" applyNumberFormat="1" applyFont="1"/>
    <xf numFmtId="165" fontId="10" fillId="0" borderId="0" xfId="36" applyNumberFormat="1" applyFont="1" applyAlignment="1">
      <alignment horizontal="right" wrapText="1"/>
    </xf>
    <xf numFmtId="165" fontId="10" fillId="0" borderId="0" xfId="36" applyNumberFormat="1" applyFont="1" applyAlignment="1">
      <alignment horizontal="right"/>
    </xf>
    <xf numFmtId="169" fontId="10" fillId="0" borderId="0" xfId="19" applyNumberFormat="1" applyFont="1" applyAlignment="1">
      <alignment horizontal="right"/>
    </xf>
    <xf numFmtId="165" fontId="14" fillId="0" borderId="0" xfId="36" applyNumberFormat="1" applyFont="1" applyAlignment="1">
      <alignment horizontal="right"/>
    </xf>
    <xf numFmtId="165" fontId="9" fillId="0" borderId="0" xfId="36" applyNumberFormat="1" applyFont="1" applyAlignment="1">
      <alignment horizontal="right"/>
    </xf>
    <xf numFmtId="165" fontId="9" fillId="0" borderId="0" xfId="35" applyNumberFormat="1" applyFont="1" applyAlignment="1">
      <alignment horizontal="right"/>
    </xf>
    <xf numFmtId="165" fontId="18" fillId="0" borderId="0" xfId="36" applyNumberFormat="1" applyFont="1" applyAlignment="1">
      <alignment horizontal="right"/>
    </xf>
    <xf numFmtId="165" fontId="15" fillId="0" borderId="0" xfId="36" applyNumberFormat="1" applyFont="1" applyAlignment="1">
      <alignment horizontal="right"/>
    </xf>
    <xf numFmtId="165" fontId="18" fillId="0" borderId="0" xfId="35" applyNumberFormat="1" applyFont="1" applyAlignment="1">
      <alignment horizontal="right"/>
    </xf>
    <xf numFmtId="17" fontId="5" fillId="0" borderId="2" xfId="25" applyNumberFormat="1" applyFont="1" applyBorder="1" applyAlignment="1">
      <alignment wrapText="1"/>
    </xf>
    <xf numFmtId="165" fontId="5" fillId="0" borderId="2" xfId="26" quotePrefix="1" applyNumberFormat="1" applyFont="1" applyBorder="1" applyAlignment="1">
      <alignment wrapText="1"/>
    </xf>
    <xf numFmtId="165" fontId="5" fillId="0" borderId="2" xfId="26" applyNumberFormat="1" applyFont="1" applyBorder="1" applyAlignment="1">
      <alignment wrapText="1"/>
    </xf>
    <xf numFmtId="165" fontId="5" fillId="0" borderId="2" xfId="26" quotePrefix="1" applyNumberFormat="1" applyFont="1" applyBorder="1" applyAlignment="1">
      <alignment horizontal="left" wrapText="1"/>
    </xf>
    <xf numFmtId="165" fontId="5" fillId="0" borderId="2" xfId="25" quotePrefix="1" applyNumberFormat="1" applyFont="1" applyBorder="1" applyAlignment="1">
      <alignment wrapText="1"/>
    </xf>
    <xf numFmtId="165" fontId="5" fillId="0" borderId="2" xfId="25" applyNumberFormat="1" applyFont="1" applyBorder="1" applyAlignment="1">
      <alignment wrapText="1"/>
    </xf>
    <xf numFmtId="165" fontId="5" fillId="0" borderId="2" xfId="25" quotePrefix="1" applyNumberFormat="1" applyFont="1" applyBorder="1" applyAlignment="1">
      <alignment horizontal="left" wrapText="1"/>
    </xf>
    <xf numFmtId="169" fontId="10" fillId="0" borderId="2" xfId="19" applyNumberFormat="1" applyFont="1" applyBorder="1" applyAlignment="1">
      <alignment wrapText="1"/>
    </xf>
    <xf numFmtId="165" fontId="10" fillId="0" borderId="2" xfId="25" quotePrefix="1" applyNumberFormat="1" applyFont="1" applyBorder="1" applyAlignment="1">
      <alignment horizontal="left" wrapText="1"/>
    </xf>
    <xf numFmtId="165" fontId="10" fillId="0" borderId="2" xfId="25" applyNumberFormat="1" applyFont="1" applyBorder="1" applyAlignment="1">
      <alignment wrapText="1"/>
    </xf>
    <xf numFmtId="165" fontId="5" fillId="0" borderId="2" xfId="25" quotePrefix="1" applyNumberFormat="1" applyFont="1" applyBorder="1" applyAlignment="1">
      <alignment horizontal="right" wrapText="1"/>
    </xf>
    <xf numFmtId="165" fontId="5" fillId="0" borderId="2" xfId="25" applyNumberFormat="1" applyFont="1" applyBorder="1" applyAlignment="1">
      <alignment horizontal="right" wrapText="1"/>
    </xf>
    <xf numFmtId="0" fontId="20" fillId="0" borderId="0" xfId="0" applyFont="1"/>
    <xf numFmtId="14" fontId="20" fillId="0" borderId="0" xfId="0" applyNumberFormat="1" applyFont="1"/>
    <xf numFmtId="165" fontId="5" fillId="0" borderId="0" xfId="29" quotePrefix="1" applyNumberFormat="1" applyFont="1" applyAlignment="1">
      <alignment horizontal="right" wrapText="1"/>
    </xf>
    <xf numFmtId="165" fontId="5" fillId="0" borderId="0" xfId="29" applyNumberFormat="1" applyFont="1" applyAlignment="1">
      <alignment horizontal="right" wrapText="1"/>
    </xf>
    <xf numFmtId="165" fontId="5" fillId="0" borderId="0" xfId="29" applyNumberFormat="1" applyFont="1" applyAlignment="1">
      <alignment horizontal="right"/>
    </xf>
    <xf numFmtId="165" fontId="5" fillId="0" borderId="0" xfId="30" applyNumberFormat="1" applyFont="1" applyAlignment="1">
      <alignment horizontal="right" wrapText="1"/>
    </xf>
    <xf numFmtId="165" fontId="5" fillId="0" borderId="0" xfId="30" applyNumberFormat="1" applyFont="1" applyAlignment="1">
      <alignment horizontal="right"/>
    </xf>
    <xf numFmtId="165" fontId="10" fillId="0" borderId="0" xfId="30" applyNumberFormat="1" applyFont="1" applyAlignment="1">
      <alignment horizontal="right" wrapText="1"/>
    </xf>
    <xf numFmtId="165" fontId="5" fillId="0" borderId="0" xfId="25" quotePrefix="1" applyNumberFormat="1" applyFont="1" applyAlignment="1">
      <alignment wrapText="1"/>
    </xf>
    <xf numFmtId="165" fontId="5" fillId="0" borderId="0" xfId="25" applyNumberFormat="1" applyFont="1" applyAlignment="1">
      <alignment wrapText="1"/>
    </xf>
    <xf numFmtId="4" fontId="5" fillId="0" borderId="0" xfId="30" applyNumberFormat="1" applyFont="1" applyAlignment="1">
      <alignment horizontal="right" wrapText="1"/>
    </xf>
    <xf numFmtId="165" fontId="5" fillId="0" borderId="0" xfId="35" quotePrefix="1" applyNumberFormat="1" applyFont="1" applyAlignment="1">
      <alignment horizontal="right" wrapText="1"/>
    </xf>
    <xf numFmtId="165" fontId="5" fillId="0" borderId="0" xfId="35" applyNumberFormat="1" applyFont="1" applyAlignment="1">
      <alignment horizontal="right" wrapText="1"/>
    </xf>
    <xf numFmtId="165" fontId="5" fillId="0" borderId="0" xfId="35" applyNumberFormat="1" applyFont="1" applyAlignment="1">
      <alignment horizontal="right"/>
    </xf>
    <xf numFmtId="165" fontId="5" fillId="0" borderId="0" xfId="36" applyNumberFormat="1" applyFont="1" applyAlignment="1">
      <alignment horizontal="right" wrapText="1"/>
    </xf>
    <xf numFmtId="165" fontId="5" fillId="0" borderId="0" xfId="36" applyNumberFormat="1" applyFont="1" applyAlignment="1">
      <alignment horizontal="right"/>
    </xf>
    <xf numFmtId="165" fontId="5" fillId="0" borderId="0" xfId="27" applyNumberFormat="1" applyFont="1" applyAlignment="1">
      <alignment horizontal="right" wrapText="1"/>
    </xf>
    <xf numFmtId="0" fontId="5" fillId="0" borderId="0" xfId="36" applyFont="1"/>
    <xf numFmtId="165" fontId="5" fillId="0" borderId="0" xfId="35" applyNumberFormat="1" applyFont="1" applyAlignment="1">
      <alignment horizontal="right" vertical="center"/>
    </xf>
    <xf numFmtId="165" fontId="5" fillId="0" borderId="0" xfId="36" quotePrefix="1" applyNumberFormat="1" applyFont="1" applyAlignment="1">
      <alignment horizontal="right"/>
    </xf>
    <xf numFmtId="0" fontId="5" fillId="0" borderId="0" xfId="18" applyFont="1"/>
    <xf numFmtId="164" fontId="5" fillId="0" borderId="0" xfId="36" applyNumberFormat="1" applyFont="1"/>
    <xf numFmtId="165" fontId="5" fillId="0" borderId="0" xfId="27" applyNumberFormat="1" applyFont="1" applyAlignment="1">
      <alignment horizontal="right"/>
    </xf>
    <xf numFmtId="165" fontId="5" fillId="0" borderId="0" xfId="28" applyNumberFormat="1" applyFont="1" applyAlignment="1">
      <alignment horizontal="right"/>
    </xf>
    <xf numFmtId="0" fontId="5" fillId="0" borderId="0" xfId="27" applyFont="1"/>
    <xf numFmtId="2" fontId="21" fillId="0" borderId="0" xfId="0" applyNumberFormat="1" applyFont="1"/>
    <xf numFmtId="43" fontId="21" fillId="0" borderId="0" xfId="0" applyNumberFormat="1" applyFont="1"/>
    <xf numFmtId="0" fontId="21" fillId="0" borderId="0" xfId="0" applyFont="1"/>
    <xf numFmtId="4" fontId="21" fillId="0" borderId="0" xfId="0" applyNumberFormat="1" applyFont="1"/>
    <xf numFmtId="165" fontId="21" fillId="0" borderId="0" xfId="0" applyNumberFormat="1" applyFont="1"/>
    <xf numFmtId="169" fontId="21" fillId="0" borderId="0" xfId="37" applyNumberFormat="1" applyFont="1"/>
    <xf numFmtId="165" fontId="22" fillId="0" borderId="0" xfId="36" applyNumberFormat="1" applyFont="1" applyAlignment="1">
      <alignment horizontal="right"/>
    </xf>
    <xf numFmtId="0" fontId="23" fillId="0" borderId="0" xfId="0" applyFont="1"/>
    <xf numFmtId="0" fontId="23" fillId="0" borderId="0" xfId="0" applyFont="1" applyAlignment="1">
      <alignment horizontal="center"/>
    </xf>
    <xf numFmtId="165" fontId="22" fillId="0" borderId="0" xfId="35" applyNumberFormat="1" applyFont="1" applyAlignment="1">
      <alignment horizontal="right"/>
    </xf>
    <xf numFmtId="0" fontId="25" fillId="0" borderId="0" xfId="0" applyFont="1"/>
    <xf numFmtId="17" fontId="26" fillId="0" borderId="0" xfId="33" applyNumberFormat="1" applyFont="1" applyAlignment="1">
      <alignment horizontal="left"/>
    </xf>
    <xf numFmtId="0" fontId="25" fillId="0" borderId="0" xfId="0" applyFont="1" applyAlignment="1">
      <alignment horizontal="center" vertical="center" wrapText="1"/>
    </xf>
    <xf numFmtId="165" fontId="27" fillId="0" borderId="0" xfId="35" applyNumberFormat="1" applyFont="1" applyAlignment="1">
      <alignment horizontal="right"/>
    </xf>
    <xf numFmtId="3" fontId="25" fillId="0" borderId="0" xfId="0" applyNumberFormat="1" applyFont="1"/>
    <xf numFmtId="178" fontId="25" fillId="0" borderId="0" xfId="0" applyNumberFormat="1" applyFont="1"/>
    <xf numFmtId="176" fontId="4" fillId="0" borderId="0" xfId="0" applyNumberFormat="1" applyFont="1"/>
    <xf numFmtId="176" fontId="24" fillId="0" borderId="0" xfId="0" applyNumberFormat="1" applyFont="1"/>
    <xf numFmtId="0" fontId="4" fillId="0" borderId="0" xfId="0" applyFont="1"/>
    <xf numFmtId="177" fontId="4" fillId="0" borderId="0" xfId="0" applyNumberFormat="1" applyFont="1"/>
    <xf numFmtId="0" fontId="4" fillId="0" borderId="6" xfId="0" applyFont="1" applyBorder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right"/>
    </xf>
    <xf numFmtId="17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quotePrefix="1" applyFont="1" applyAlignment="1">
      <alignment horizontal="right"/>
    </xf>
    <xf numFmtId="0" fontId="3" fillId="0" borderId="0" xfId="0" applyFont="1"/>
    <xf numFmtId="0" fontId="0" fillId="13" borderId="0" xfId="0" applyFill="1"/>
    <xf numFmtId="17" fontId="26" fillId="13" borderId="0" xfId="33" applyNumberFormat="1" applyFont="1" applyFill="1" applyAlignment="1">
      <alignment horizontal="left"/>
    </xf>
    <xf numFmtId="176" fontId="4" fillId="13" borderId="0" xfId="0" applyNumberFormat="1" applyFont="1" applyFill="1"/>
    <xf numFmtId="176" fontId="24" fillId="13" borderId="0" xfId="0" applyNumberFormat="1" applyFont="1" applyFill="1"/>
    <xf numFmtId="176" fontId="1" fillId="0" borderId="0" xfId="0" applyNumberFormat="1" applyFont="1"/>
    <xf numFmtId="176" fontId="30" fillId="0" borderId="0" xfId="0" applyNumberFormat="1" applyFont="1"/>
    <xf numFmtId="38" fontId="21" fillId="0" borderId="0" xfId="0" applyNumberFormat="1" applyFont="1"/>
    <xf numFmtId="14" fontId="21" fillId="0" borderId="0" xfId="0" applyNumberFormat="1" applyFont="1"/>
    <xf numFmtId="0" fontId="20" fillId="13" borderId="0" xfId="0" applyFont="1" applyFill="1"/>
    <xf numFmtId="38" fontId="21" fillId="13" borderId="0" xfId="0" applyNumberFormat="1" applyFont="1" applyFill="1"/>
    <xf numFmtId="14" fontId="21" fillId="13" borderId="0" xfId="0" applyNumberFormat="1" applyFont="1" applyFill="1"/>
    <xf numFmtId="0" fontId="20" fillId="0" borderId="0" xfId="0" applyFont="1" applyAlignment="1">
      <alignment horizontal="center" vertical="center" wrapText="1"/>
    </xf>
    <xf numFmtId="179" fontId="20" fillId="0" borderId="0" xfId="0" applyNumberFormat="1" applyFont="1"/>
    <xf numFmtId="176" fontId="31" fillId="0" borderId="0" xfId="0" applyNumberFormat="1" applyFont="1"/>
    <xf numFmtId="176" fontId="32" fillId="0" borderId="0" xfId="0" applyNumberFormat="1" applyFont="1"/>
    <xf numFmtId="176" fontId="2" fillId="0" borderId="0" xfId="0" applyNumberFormat="1" applyFont="1"/>
    <xf numFmtId="178" fontId="33" fillId="0" borderId="0" xfId="0" applyNumberFormat="1" applyFont="1"/>
    <xf numFmtId="38" fontId="34" fillId="0" borderId="0" xfId="0" applyNumberFormat="1" applyFont="1"/>
    <xf numFmtId="169" fontId="34" fillId="0" borderId="0" xfId="37" applyNumberFormat="1" applyFont="1"/>
    <xf numFmtId="0" fontId="33" fillId="0" borderId="0" xfId="0" applyFont="1"/>
    <xf numFmtId="169" fontId="34" fillId="13" borderId="0" xfId="37" applyNumberFormat="1" applyFont="1" applyFill="1"/>
    <xf numFmtId="169" fontId="34" fillId="0" borderId="0" xfId="37" applyNumberFormat="1" applyFont="1" applyFill="1"/>
    <xf numFmtId="0" fontId="33" fillId="0" borderId="0" xfId="0" applyFont="1" applyAlignment="1">
      <alignment horizontal="center" vertical="center" wrapText="1"/>
    </xf>
    <xf numFmtId="3" fontId="33" fillId="0" borderId="0" xfId="0" applyNumberFormat="1" applyFont="1"/>
    <xf numFmtId="38" fontId="35" fillId="0" borderId="0" xfId="0" applyNumberFormat="1" applyFont="1"/>
    <xf numFmtId="169" fontId="33" fillId="0" borderId="0" xfId="37" applyNumberFormat="1" applyFont="1"/>
    <xf numFmtId="3" fontId="36" fillId="0" borderId="0" xfId="0" applyNumberFormat="1" applyFont="1"/>
    <xf numFmtId="38" fontId="33" fillId="0" borderId="0" xfId="0" applyNumberFormat="1" applyFont="1"/>
    <xf numFmtId="0" fontId="34" fillId="0" borderId="0" xfId="0" applyFont="1" applyAlignment="1">
      <alignment horizontal="center" vertical="center" wrapText="1"/>
    </xf>
    <xf numFmtId="0" fontId="34" fillId="0" borderId="0" xfId="0" applyFont="1"/>
    <xf numFmtId="0" fontId="39" fillId="0" borderId="0" xfId="0" applyFont="1"/>
    <xf numFmtId="14" fontId="34" fillId="0" borderId="0" xfId="0" applyNumberFormat="1" applyFont="1"/>
    <xf numFmtId="40" fontId="34" fillId="0" borderId="0" xfId="0" applyNumberFormat="1" applyFont="1"/>
    <xf numFmtId="40" fontId="37" fillId="0" borderId="0" xfId="0" applyNumberFormat="1" applyFont="1"/>
    <xf numFmtId="40" fontId="38" fillId="0" borderId="0" xfId="0" applyNumberFormat="1" applyFont="1"/>
    <xf numFmtId="38" fontId="38" fillId="0" borderId="0" xfId="0" applyNumberFormat="1" applyFont="1"/>
    <xf numFmtId="38" fontId="37" fillId="0" borderId="0" xfId="0" applyNumberFormat="1" applyFont="1"/>
    <xf numFmtId="164" fontId="34" fillId="0" borderId="0" xfId="0" applyNumberFormat="1" applyFont="1"/>
    <xf numFmtId="166" fontId="34" fillId="0" borderId="0" xfId="0" applyNumberFormat="1" applyFont="1"/>
    <xf numFmtId="166" fontId="38" fillId="0" borderId="0" xfId="0" applyNumberFormat="1" applyFont="1"/>
    <xf numFmtId="166" fontId="37" fillId="0" borderId="0" xfId="0" applyNumberFormat="1" applyFont="1"/>
    <xf numFmtId="9" fontId="25" fillId="0" borderId="0" xfId="37" applyFont="1"/>
    <xf numFmtId="9" fontId="4" fillId="0" borderId="0" xfId="37" applyFont="1"/>
    <xf numFmtId="169" fontId="0" fillId="0" borderId="0" xfId="37" applyNumberFormat="1" applyFont="1"/>
    <xf numFmtId="38" fontId="40" fillId="0" borderId="0" xfId="0" applyNumberFormat="1" applyFont="1"/>
    <xf numFmtId="38" fontId="41" fillId="0" borderId="0" xfId="0" applyNumberFormat="1" applyFont="1"/>
    <xf numFmtId="3" fontId="43" fillId="0" borderId="0" xfId="0" applyNumberFormat="1" applyFont="1"/>
    <xf numFmtId="169" fontId="42" fillId="0" borderId="0" xfId="37" applyNumberFormat="1" applyFont="1"/>
    <xf numFmtId="0" fontId="42" fillId="0" borderId="0" xfId="0" applyFont="1"/>
    <xf numFmtId="3" fontId="42" fillId="0" borderId="0" xfId="0" applyNumberFormat="1" applyFont="1"/>
    <xf numFmtId="0" fontId="44" fillId="0" borderId="0" xfId="0" applyFont="1"/>
    <xf numFmtId="3" fontId="44" fillId="0" borderId="0" xfId="0" applyNumberFormat="1" applyFont="1"/>
    <xf numFmtId="178" fontId="42" fillId="0" borderId="0" xfId="0" applyNumberFormat="1" applyFont="1"/>
    <xf numFmtId="169" fontId="40" fillId="0" borderId="0" xfId="37" applyNumberFormat="1" applyFont="1"/>
    <xf numFmtId="0" fontId="25" fillId="13" borderId="0" xfId="0" applyFont="1" applyFill="1"/>
    <xf numFmtId="38" fontId="42" fillId="0" borderId="0" xfId="0" applyNumberFormat="1" applyFont="1"/>
    <xf numFmtId="2" fontId="33" fillId="0" borderId="0" xfId="0" applyNumberFormat="1" applyFont="1"/>
    <xf numFmtId="1" fontId="33" fillId="0" borderId="0" xfId="0" applyNumberFormat="1" applyFont="1"/>
    <xf numFmtId="14" fontId="0" fillId="0" borderId="0" xfId="0" applyNumberFormat="1"/>
    <xf numFmtId="179" fontId="45" fillId="0" borderId="0" xfId="0" applyNumberFormat="1" applyFont="1"/>
    <xf numFmtId="0" fontId="46" fillId="0" borderId="0" xfId="0" applyFont="1"/>
    <xf numFmtId="179" fontId="46" fillId="0" borderId="0" xfId="0" applyNumberFormat="1" applyFont="1"/>
    <xf numFmtId="0" fontId="47" fillId="0" borderId="0" xfId="0" applyFont="1"/>
    <xf numFmtId="0" fontId="47" fillId="0" borderId="0" xfId="0" applyFont="1" applyAlignment="1">
      <alignment horizontal="centerContinuous"/>
    </xf>
    <xf numFmtId="0" fontId="47" fillId="0" borderId="0" xfId="0" applyFont="1" applyAlignment="1">
      <alignment horizontal="center" vertical="center" wrapText="1"/>
    </xf>
    <xf numFmtId="17" fontId="48" fillId="0" borderId="0" xfId="33" applyNumberFormat="1" applyFont="1" applyAlignment="1">
      <alignment horizontal="left"/>
    </xf>
    <xf numFmtId="176" fontId="47" fillId="0" borderId="0" xfId="0" applyNumberFormat="1" applyFont="1" applyAlignment="1">
      <alignment horizontal="center"/>
    </xf>
    <xf numFmtId="176" fontId="49" fillId="0" borderId="0" xfId="0" applyNumberFormat="1" applyFont="1" applyAlignment="1">
      <alignment horizontal="center"/>
    </xf>
    <xf numFmtId="176" fontId="48" fillId="0" borderId="0" xfId="0" applyNumberFormat="1" applyFont="1" applyAlignment="1">
      <alignment horizontal="center"/>
    </xf>
    <xf numFmtId="0" fontId="47" fillId="13" borderId="0" xfId="0" applyFont="1" applyFill="1"/>
    <xf numFmtId="176" fontId="47" fillId="13" borderId="0" xfId="0" applyNumberFormat="1" applyFont="1" applyFill="1" applyAlignment="1">
      <alignment horizontal="center"/>
    </xf>
    <xf numFmtId="0" fontId="48" fillId="0" borderId="0" xfId="33" applyFont="1"/>
    <xf numFmtId="0" fontId="48" fillId="5" borderId="0" xfId="33" applyFont="1" applyFill="1" applyAlignment="1">
      <alignment horizontal="centerContinuous"/>
    </xf>
    <xf numFmtId="0" fontId="48" fillId="6" borderId="0" xfId="33" applyFont="1" applyFill="1" applyAlignment="1">
      <alignment horizontal="centerContinuous"/>
    </xf>
    <xf numFmtId="0" fontId="48" fillId="7" borderId="0" xfId="33" applyFont="1" applyFill="1" applyAlignment="1">
      <alignment horizontal="centerContinuous"/>
    </xf>
    <xf numFmtId="0" fontId="48" fillId="8" borderId="0" xfId="33" applyFont="1" applyFill="1" applyAlignment="1">
      <alignment horizontal="centerContinuous"/>
    </xf>
    <xf numFmtId="0" fontId="48" fillId="9" borderId="0" xfId="33" applyFont="1" applyFill="1" applyAlignment="1">
      <alignment horizontal="centerContinuous"/>
    </xf>
    <xf numFmtId="0" fontId="48" fillId="10" borderId="0" xfId="33" applyFont="1" applyFill="1" applyAlignment="1">
      <alignment horizontal="centerContinuous"/>
    </xf>
    <xf numFmtId="0" fontId="48" fillId="11" borderId="0" xfId="33" applyFont="1" applyFill="1" applyAlignment="1">
      <alignment horizontal="centerContinuous"/>
    </xf>
    <xf numFmtId="0" fontId="48" fillId="12" borderId="0" xfId="33" applyFont="1" applyFill="1" applyAlignment="1">
      <alignment horizontal="centerContinuous"/>
    </xf>
    <xf numFmtId="0" fontId="48" fillId="0" borderId="0" xfId="33" applyFont="1" applyAlignment="1">
      <alignment horizontal="center" vertical="center"/>
    </xf>
    <xf numFmtId="0" fontId="48" fillId="3" borderId="0" xfId="33" applyFont="1" applyFill="1" applyAlignment="1">
      <alignment horizontal="left" vertical="center"/>
    </xf>
    <xf numFmtId="0" fontId="48" fillId="2" borderId="0" xfId="33" applyFont="1" applyFill="1" applyAlignment="1">
      <alignment horizontal="left" vertical="center"/>
    </xf>
    <xf numFmtId="0" fontId="48" fillId="2" borderId="0" xfId="33" applyFont="1" applyFill="1" applyAlignment="1">
      <alignment horizontal="center" vertical="center"/>
    </xf>
    <xf numFmtId="0" fontId="48" fillId="3" borderId="0" xfId="33" applyFont="1" applyFill="1" applyAlignment="1">
      <alignment horizontal="center" vertical="center" wrapText="1"/>
    </xf>
    <xf numFmtId="0" fontId="48" fillId="3" borderId="0" xfId="33" applyFont="1" applyFill="1" applyAlignment="1">
      <alignment horizontal="center" vertical="center"/>
    </xf>
    <xf numFmtId="0" fontId="48" fillId="2" borderId="0" xfId="33" applyFont="1" applyFill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8" fillId="0" borderId="0" xfId="33" applyFont="1" applyAlignment="1">
      <alignment horizontal="center" vertical="center" wrapText="1"/>
    </xf>
    <xf numFmtId="0" fontId="48" fillId="4" borderId="0" xfId="33" applyFont="1" applyFill="1" applyAlignment="1">
      <alignment horizontal="center" vertical="center" wrapText="1"/>
    </xf>
    <xf numFmtId="0" fontId="51" fillId="0" borderId="0" xfId="0" applyFont="1" applyAlignment="1">
      <alignment horizontal="left" wrapText="1"/>
    </xf>
    <xf numFmtId="14" fontId="52" fillId="0" borderId="0" xfId="33" applyNumberFormat="1" applyFont="1"/>
    <xf numFmtId="0" fontId="48" fillId="0" borderId="0" xfId="33" applyFont="1" applyAlignment="1">
      <alignment horizontal="center"/>
    </xf>
    <xf numFmtId="0" fontId="51" fillId="0" borderId="0" xfId="0" applyFont="1" applyAlignment="1">
      <alignment horizontal="left"/>
    </xf>
    <xf numFmtId="176" fontId="48" fillId="0" borderId="0" xfId="33" applyNumberFormat="1" applyFont="1" applyAlignment="1">
      <alignment horizontal="right"/>
    </xf>
    <xf numFmtId="179" fontId="48" fillId="0" borderId="0" xfId="33" applyNumberFormat="1" applyFont="1" applyAlignment="1">
      <alignment horizontal="right"/>
    </xf>
    <xf numFmtId="169" fontId="48" fillId="0" borderId="0" xfId="19" applyNumberFormat="1" applyFont="1" applyAlignment="1">
      <alignment horizontal="right"/>
    </xf>
    <xf numFmtId="38" fontId="48" fillId="0" borderId="0" xfId="33" applyNumberFormat="1" applyFont="1" applyAlignment="1">
      <alignment horizontal="right"/>
    </xf>
    <xf numFmtId="40" fontId="48" fillId="0" borderId="0" xfId="33" applyNumberFormat="1" applyFont="1"/>
    <xf numFmtId="169" fontId="48" fillId="0" borderId="0" xfId="19" applyNumberFormat="1" applyFont="1"/>
    <xf numFmtId="2" fontId="48" fillId="0" borderId="0" xfId="33" applyNumberFormat="1" applyFont="1"/>
    <xf numFmtId="43" fontId="48" fillId="0" borderId="0" xfId="33" applyNumberFormat="1" applyFont="1"/>
    <xf numFmtId="164" fontId="48" fillId="0" borderId="0" xfId="33" applyNumberFormat="1" applyFont="1"/>
    <xf numFmtId="3" fontId="48" fillId="0" borderId="0" xfId="33" applyNumberFormat="1" applyFont="1"/>
    <xf numFmtId="175" fontId="48" fillId="0" borderId="0" xfId="33" applyNumberFormat="1" applyFont="1"/>
    <xf numFmtId="174" fontId="48" fillId="0" borderId="0" xfId="33" applyNumberFormat="1" applyFont="1"/>
    <xf numFmtId="174" fontId="49" fillId="0" borderId="0" xfId="33" applyNumberFormat="1" applyFont="1"/>
    <xf numFmtId="169" fontId="48" fillId="0" borderId="0" xfId="37" applyNumberFormat="1" applyFont="1"/>
    <xf numFmtId="176" fontId="48" fillId="0" borderId="0" xfId="33" applyNumberFormat="1" applyFont="1"/>
    <xf numFmtId="174" fontId="51" fillId="0" borderId="0" xfId="33" applyNumberFormat="1" applyFont="1"/>
    <xf numFmtId="176" fontId="47" fillId="0" borderId="0" xfId="0" applyNumberFormat="1" applyFont="1"/>
    <xf numFmtId="169" fontId="47" fillId="0" borderId="0" xfId="37" applyNumberFormat="1" applyFont="1"/>
    <xf numFmtId="3" fontId="54" fillId="0" borderId="0" xfId="33" applyNumberFormat="1" applyFont="1"/>
    <xf numFmtId="3" fontId="49" fillId="0" borderId="0" xfId="33" applyNumberFormat="1" applyFont="1"/>
    <xf numFmtId="176" fontId="49" fillId="0" borderId="0" xfId="33" applyNumberFormat="1" applyFont="1"/>
    <xf numFmtId="169" fontId="49" fillId="0" borderId="0" xfId="19" applyNumberFormat="1" applyFont="1"/>
    <xf numFmtId="174" fontId="48" fillId="13" borderId="0" xfId="33" applyNumberFormat="1" applyFont="1" applyFill="1"/>
    <xf numFmtId="169" fontId="48" fillId="13" borderId="0" xfId="19" applyNumberFormat="1" applyFont="1" applyFill="1"/>
    <xf numFmtId="38" fontId="53" fillId="0" borderId="0" xfId="33" applyNumberFormat="1" applyFont="1"/>
    <xf numFmtId="38" fontId="48" fillId="0" borderId="0" xfId="33" applyNumberFormat="1" applyFont="1"/>
    <xf numFmtId="1" fontId="48" fillId="0" borderId="0" xfId="33" applyNumberFormat="1" applyFont="1"/>
    <xf numFmtId="169" fontId="49" fillId="0" borderId="0" xfId="37" applyNumberFormat="1" applyFont="1"/>
    <xf numFmtId="17" fontId="48" fillId="14" borderId="0" xfId="33" applyNumberFormat="1" applyFont="1" applyFill="1" applyAlignment="1">
      <alignment horizontal="left"/>
    </xf>
    <xf numFmtId="176" fontId="48" fillId="14" borderId="0" xfId="33" applyNumberFormat="1" applyFont="1" applyFill="1" applyAlignment="1">
      <alignment horizontal="right"/>
    </xf>
    <xf numFmtId="179" fontId="48" fillId="14" borderId="0" xfId="33" applyNumberFormat="1" applyFont="1" applyFill="1" applyAlignment="1">
      <alignment horizontal="right"/>
    </xf>
    <xf numFmtId="169" fontId="48" fillId="14" borderId="0" xfId="19" applyNumberFormat="1" applyFont="1" applyFill="1" applyAlignment="1">
      <alignment horizontal="right"/>
    </xf>
    <xf numFmtId="38" fontId="48" fillId="14" borderId="0" xfId="33" applyNumberFormat="1" applyFont="1" applyFill="1" applyAlignment="1">
      <alignment horizontal="right"/>
    </xf>
    <xf numFmtId="40" fontId="48" fillId="14" borderId="0" xfId="33" applyNumberFormat="1" applyFont="1" applyFill="1"/>
    <xf numFmtId="169" fontId="48" fillId="14" borderId="0" xfId="19" applyNumberFormat="1" applyFont="1" applyFill="1"/>
    <xf numFmtId="164" fontId="48" fillId="14" borderId="0" xfId="33" applyNumberFormat="1" applyFont="1" applyFill="1"/>
    <xf numFmtId="0" fontId="47" fillId="14" borderId="0" xfId="0" applyFont="1" applyFill="1"/>
    <xf numFmtId="3" fontId="49" fillId="14" borderId="0" xfId="33" applyNumberFormat="1" applyFont="1" applyFill="1"/>
    <xf numFmtId="0" fontId="48" fillId="14" borderId="0" xfId="33" applyFont="1" applyFill="1"/>
    <xf numFmtId="175" fontId="48" fillId="14" borderId="0" xfId="33" applyNumberFormat="1" applyFont="1" applyFill="1"/>
    <xf numFmtId="174" fontId="48" fillId="14" borderId="0" xfId="33" applyNumberFormat="1" applyFont="1" applyFill="1"/>
    <xf numFmtId="169" fontId="48" fillId="14" borderId="0" xfId="37" applyNumberFormat="1" applyFont="1" applyFill="1"/>
    <xf numFmtId="176" fontId="48" fillId="14" borderId="0" xfId="33" applyNumberFormat="1" applyFont="1" applyFill="1"/>
    <xf numFmtId="169" fontId="48" fillId="0" borderId="0" xfId="33" applyNumberFormat="1" applyFont="1" applyAlignment="1">
      <alignment horizontal="right"/>
    </xf>
    <xf numFmtId="17" fontId="48" fillId="13" borderId="0" xfId="33" applyNumberFormat="1" applyFont="1" applyFill="1" applyAlignment="1">
      <alignment horizontal="left"/>
    </xf>
    <xf numFmtId="176" fontId="48" fillId="13" borderId="0" xfId="33" applyNumberFormat="1" applyFont="1" applyFill="1"/>
    <xf numFmtId="179" fontId="48" fillId="13" borderId="0" xfId="33" applyNumberFormat="1" applyFont="1" applyFill="1"/>
    <xf numFmtId="164" fontId="48" fillId="13" borderId="0" xfId="33" applyNumberFormat="1" applyFont="1" applyFill="1"/>
    <xf numFmtId="169" fontId="48" fillId="13" borderId="0" xfId="19" applyNumberFormat="1" applyFont="1" applyFill="1" applyAlignment="1">
      <alignment horizontal="right"/>
    </xf>
    <xf numFmtId="3" fontId="48" fillId="13" borderId="0" xfId="33" applyNumberFormat="1" applyFont="1" applyFill="1"/>
    <xf numFmtId="43" fontId="48" fillId="13" borderId="0" xfId="33" applyNumberFormat="1" applyFont="1" applyFill="1"/>
    <xf numFmtId="0" fontId="48" fillId="13" borderId="0" xfId="33" applyFont="1" applyFill="1"/>
    <xf numFmtId="175" fontId="48" fillId="13" borderId="0" xfId="33" applyNumberFormat="1" applyFont="1" applyFill="1"/>
    <xf numFmtId="0" fontId="48" fillId="0" borderId="3" xfId="33" applyFont="1" applyBorder="1"/>
    <xf numFmtId="0" fontId="48" fillId="0" borderId="4" xfId="33" applyFont="1" applyBorder="1"/>
    <xf numFmtId="3" fontId="48" fillId="0" borderId="4" xfId="33" applyNumberFormat="1" applyFont="1" applyBorder="1"/>
    <xf numFmtId="164" fontId="48" fillId="0" borderId="4" xfId="33" applyNumberFormat="1" applyFont="1" applyBorder="1"/>
    <xf numFmtId="169" fontId="48" fillId="0" borderId="5" xfId="19" applyNumberFormat="1" applyFont="1" applyBorder="1"/>
    <xf numFmtId="9" fontId="48" fillId="0" borderId="0" xfId="19" applyFont="1"/>
    <xf numFmtId="17" fontId="51" fillId="0" borderId="0" xfId="33" applyNumberFormat="1" applyFont="1" applyAlignment="1">
      <alignment horizontal="left"/>
    </xf>
    <xf numFmtId="0" fontId="50" fillId="0" borderId="0" xfId="0" applyFont="1"/>
    <xf numFmtId="179" fontId="48" fillId="0" borderId="0" xfId="33" applyNumberFormat="1" applyFont="1"/>
    <xf numFmtId="179" fontId="47" fillId="0" borderId="0" xfId="0" applyNumberFormat="1" applyFont="1"/>
    <xf numFmtId="38" fontId="47" fillId="0" borderId="0" xfId="0" applyNumberFormat="1" applyFont="1"/>
    <xf numFmtId="17" fontId="48" fillId="0" borderId="2" xfId="21" applyNumberFormat="1" applyFont="1" applyBorder="1" applyAlignment="1">
      <alignment horizontal="left" wrapText="1"/>
    </xf>
    <xf numFmtId="17" fontId="48" fillId="0" borderId="2" xfId="21" applyNumberFormat="1" applyFont="1" applyBorder="1" applyAlignment="1">
      <alignment horizontal="center" vertical="center" wrapText="1"/>
    </xf>
    <xf numFmtId="170" fontId="48" fillId="0" borderId="2" xfId="22" applyNumberFormat="1" applyFont="1" applyBorder="1" applyAlignment="1">
      <alignment horizontal="center" vertical="center" wrapText="1"/>
    </xf>
    <xf numFmtId="170" fontId="48" fillId="0" borderId="2" xfId="22" quotePrefix="1" applyNumberFormat="1" applyFont="1" applyBorder="1" applyAlignment="1">
      <alignment horizontal="center" vertical="center" wrapText="1"/>
    </xf>
    <xf numFmtId="9" fontId="48" fillId="0" borderId="2" xfId="19" applyFont="1" applyBorder="1" applyAlignment="1">
      <alignment horizontal="center" vertical="center" wrapText="1"/>
    </xf>
    <xf numFmtId="174" fontId="48" fillId="0" borderId="2" xfId="22" quotePrefix="1" applyNumberFormat="1" applyFont="1" applyBorder="1" applyAlignment="1">
      <alignment horizontal="center" vertical="center" wrapText="1"/>
    </xf>
    <xf numFmtId="43" fontId="48" fillId="0" borderId="2" xfId="22" quotePrefix="1" applyFont="1" applyBorder="1" applyAlignment="1">
      <alignment horizontal="center" vertical="center" wrapText="1"/>
    </xf>
    <xf numFmtId="43" fontId="48" fillId="0" borderId="2" xfId="22" applyFont="1" applyBorder="1" applyAlignment="1">
      <alignment horizontal="center" vertical="center" wrapText="1"/>
    </xf>
    <xf numFmtId="169" fontId="48" fillId="0" borderId="2" xfId="37" applyNumberFormat="1" applyFont="1" applyBorder="1" applyAlignment="1">
      <alignment horizontal="center" vertical="center" wrapText="1"/>
    </xf>
    <xf numFmtId="0" fontId="48" fillId="0" borderId="2" xfId="21" applyFont="1" applyBorder="1" applyAlignment="1">
      <alignment horizontal="center" vertical="center" wrapText="1"/>
    </xf>
    <xf numFmtId="176" fontId="48" fillId="0" borderId="2" xfId="21" quotePrefix="1" applyNumberFormat="1" applyFont="1" applyBorder="1" applyAlignment="1">
      <alignment horizontal="center" vertical="center" wrapText="1"/>
    </xf>
    <xf numFmtId="176" fontId="48" fillId="0" borderId="2" xfId="21" applyNumberFormat="1" applyFont="1" applyBorder="1" applyAlignment="1">
      <alignment horizontal="center" vertical="center" wrapText="1"/>
    </xf>
    <xf numFmtId="176" fontId="48" fillId="0" borderId="0" xfId="21" applyNumberFormat="1" applyFont="1" applyAlignment="1">
      <alignment horizontal="center" vertical="center"/>
    </xf>
    <xf numFmtId="166" fontId="48" fillId="0" borderId="2" xfId="21" applyNumberFormat="1" applyFont="1" applyBorder="1" applyAlignment="1">
      <alignment horizontal="center" vertical="center" wrapText="1"/>
    </xf>
    <xf numFmtId="166" fontId="48" fillId="0" borderId="2" xfId="21" quotePrefix="1" applyNumberFormat="1" applyFont="1" applyBorder="1" applyAlignment="1">
      <alignment horizontal="center" vertical="center" wrapText="1"/>
    </xf>
    <xf numFmtId="0" fontId="48" fillId="0" borderId="2" xfId="21" applyFont="1" applyBorder="1" applyAlignment="1">
      <alignment wrapText="1"/>
    </xf>
    <xf numFmtId="14" fontId="47" fillId="0" borderId="0" xfId="0" applyNumberFormat="1" applyFont="1"/>
    <xf numFmtId="0" fontId="48" fillId="0" borderId="0" xfId="31" applyFont="1"/>
    <xf numFmtId="167" fontId="48" fillId="0" borderId="0" xfId="32" applyNumberFormat="1" applyFont="1"/>
    <xf numFmtId="170" fontId="48" fillId="0" borderId="0" xfId="32" applyNumberFormat="1" applyFont="1"/>
    <xf numFmtId="40" fontId="47" fillId="0" borderId="0" xfId="0" applyNumberFormat="1" applyFont="1"/>
    <xf numFmtId="176" fontId="48" fillId="0" borderId="0" xfId="31" applyNumberFormat="1" applyFont="1"/>
    <xf numFmtId="176" fontId="55" fillId="0" borderId="0" xfId="31" applyNumberFormat="1" applyFont="1"/>
    <xf numFmtId="43" fontId="48" fillId="0" borderId="0" xfId="31" applyNumberFormat="1" applyFont="1"/>
    <xf numFmtId="43" fontId="47" fillId="0" borderId="0" xfId="0" applyNumberFormat="1" applyFont="1"/>
    <xf numFmtId="0" fontId="48" fillId="0" borderId="0" xfId="24" applyFont="1"/>
    <xf numFmtId="167" fontId="48" fillId="0" borderId="0" xfId="23" applyNumberFormat="1" applyFont="1"/>
    <xf numFmtId="170" fontId="48" fillId="0" borderId="0" xfId="23" applyNumberFormat="1" applyFont="1"/>
    <xf numFmtId="176" fontId="48" fillId="0" borderId="0" xfId="24" applyNumberFormat="1" applyFont="1"/>
    <xf numFmtId="176" fontId="55" fillId="0" borderId="0" xfId="24" applyNumberFormat="1" applyFont="1"/>
    <xf numFmtId="170" fontId="47" fillId="0" borderId="0" xfId="0" applyNumberFormat="1" applyFont="1"/>
    <xf numFmtId="169" fontId="51" fillId="0" borderId="0" xfId="19" applyNumberFormat="1" applyFont="1"/>
    <xf numFmtId="169" fontId="48" fillId="0" borderId="0" xfId="37" applyNumberFormat="1" applyFont="1" applyAlignment="1">
      <alignment horizontal="right"/>
    </xf>
    <xf numFmtId="170" fontId="48" fillId="0" borderId="0" xfId="23" applyNumberFormat="1" applyFont="1" applyAlignment="1">
      <alignment horizontal="right"/>
    </xf>
    <xf numFmtId="43" fontId="48" fillId="0" borderId="0" xfId="23" applyFont="1"/>
    <xf numFmtId="166" fontId="48" fillId="0" borderId="0" xfId="24" applyNumberFormat="1" applyFont="1"/>
    <xf numFmtId="170" fontId="48" fillId="0" borderId="0" xfId="24" applyNumberFormat="1" applyFont="1"/>
    <xf numFmtId="9" fontId="48" fillId="0" borderId="0" xfId="24" applyNumberFormat="1" applyFont="1"/>
    <xf numFmtId="170" fontId="56" fillId="0" borderId="0" xfId="23" applyNumberFormat="1" applyFont="1"/>
    <xf numFmtId="169" fontId="56" fillId="0" borderId="0" xfId="19" applyNumberFormat="1" applyFont="1"/>
    <xf numFmtId="170" fontId="51" fillId="0" borderId="0" xfId="23" applyNumberFormat="1" applyFont="1"/>
    <xf numFmtId="170" fontId="57" fillId="0" borderId="0" xfId="23" applyNumberFormat="1" applyFont="1"/>
    <xf numFmtId="170" fontId="58" fillId="0" borderId="0" xfId="23" applyNumberFormat="1" applyFont="1"/>
    <xf numFmtId="167" fontId="58" fillId="0" borderId="0" xfId="23" applyNumberFormat="1" applyFont="1"/>
    <xf numFmtId="169" fontId="58" fillId="0" borderId="0" xfId="19" applyNumberFormat="1" applyFont="1"/>
    <xf numFmtId="166" fontId="48" fillId="0" borderId="0" xfId="24" quotePrefix="1" applyNumberFormat="1" applyFont="1" applyAlignment="1">
      <alignment horizontal="left"/>
    </xf>
    <xf numFmtId="170" fontId="59" fillId="0" borderId="0" xfId="23" applyNumberFormat="1" applyFont="1"/>
    <xf numFmtId="167" fontId="59" fillId="0" borderId="0" xfId="23" applyNumberFormat="1" applyFont="1"/>
    <xf numFmtId="170" fontId="49" fillId="0" borderId="0" xfId="23" applyNumberFormat="1" applyFont="1"/>
    <xf numFmtId="43" fontId="48" fillId="0" borderId="0" xfId="24" applyNumberFormat="1" applyFont="1"/>
    <xf numFmtId="40" fontId="48" fillId="0" borderId="0" xfId="24" applyNumberFormat="1" applyFont="1"/>
    <xf numFmtId="169" fontId="48" fillId="0" borderId="0" xfId="24" applyNumberFormat="1" applyFont="1"/>
    <xf numFmtId="174" fontId="47" fillId="0" borderId="0" xfId="0" applyNumberFormat="1" applyFont="1"/>
    <xf numFmtId="176" fontId="55" fillId="0" borderId="0" xfId="0" applyNumberFormat="1" applyFont="1"/>
    <xf numFmtId="176" fontId="53" fillId="0" borderId="0" xfId="0" applyNumberFormat="1" applyFont="1"/>
    <xf numFmtId="176" fontId="48" fillId="0" borderId="0" xfId="0" applyNumberFormat="1" applyFont="1"/>
    <xf numFmtId="170" fontId="51" fillId="0" borderId="0" xfId="23" applyNumberFormat="1" applyFont="1" applyFill="1"/>
    <xf numFmtId="170" fontId="48" fillId="0" borderId="0" xfId="23" applyNumberFormat="1" applyFont="1" applyFill="1"/>
    <xf numFmtId="167" fontId="48" fillId="0" borderId="0" xfId="23" applyNumberFormat="1" applyFont="1" applyFill="1"/>
    <xf numFmtId="169" fontId="51" fillId="0" borderId="0" xfId="19" applyNumberFormat="1" applyFont="1" applyFill="1"/>
    <xf numFmtId="169" fontId="48" fillId="0" borderId="0" xfId="37" applyNumberFormat="1" applyFont="1" applyFill="1"/>
    <xf numFmtId="176" fontId="48" fillId="13" borderId="0" xfId="24" applyNumberFormat="1" applyFont="1" applyFill="1"/>
    <xf numFmtId="176" fontId="47" fillId="13" borderId="0" xfId="0" applyNumberFormat="1" applyFont="1" applyFill="1"/>
    <xf numFmtId="167" fontId="51" fillId="0" borderId="0" xfId="23" applyNumberFormat="1" applyFont="1"/>
    <xf numFmtId="176" fontId="50" fillId="0" borderId="0" xfId="0" applyNumberFormat="1" applyFont="1"/>
    <xf numFmtId="43" fontId="48" fillId="0" borderId="0" xfId="23" applyFont="1" applyAlignment="1">
      <alignment horizontal="left"/>
    </xf>
    <xf numFmtId="170" fontId="51" fillId="0" borderId="0" xfId="23" applyNumberFormat="1" applyFont="1" applyAlignment="1">
      <alignment horizontal="center"/>
    </xf>
    <xf numFmtId="0" fontId="47" fillId="0" borderId="0" xfId="0" applyFont="1" applyAlignment="1">
      <alignment horizontal="center"/>
    </xf>
    <xf numFmtId="37" fontId="51" fillId="0" borderId="0" xfId="23" applyNumberFormat="1" applyFont="1"/>
    <xf numFmtId="169" fontId="50" fillId="0" borderId="0" xfId="37" applyNumberFormat="1" applyFont="1"/>
    <xf numFmtId="177" fontId="48" fillId="0" borderId="0" xfId="24" applyNumberFormat="1" applyFont="1"/>
    <xf numFmtId="168" fontId="48" fillId="0" borderId="0" xfId="24" applyNumberFormat="1" applyFont="1"/>
    <xf numFmtId="166" fontId="47" fillId="0" borderId="0" xfId="0" applyNumberFormat="1" applyFont="1"/>
    <xf numFmtId="169" fontId="47" fillId="13" borderId="0" xfId="37" applyNumberFormat="1" applyFont="1" applyFill="1"/>
    <xf numFmtId="170" fontId="60" fillId="0" borderId="0" xfId="23" applyNumberFormat="1" applyFont="1"/>
    <xf numFmtId="169" fontId="60" fillId="0" borderId="0" xfId="19" applyNumberFormat="1" applyFont="1"/>
    <xf numFmtId="14" fontId="61" fillId="0" borderId="0" xfId="0" applyNumberFormat="1" applyFont="1"/>
    <xf numFmtId="167" fontId="60" fillId="0" borderId="0" xfId="23" applyNumberFormat="1" applyFont="1"/>
    <xf numFmtId="176" fontId="60" fillId="0" borderId="0" xfId="0" applyNumberFormat="1" applyFont="1"/>
    <xf numFmtId="176" fontId="48" fillId="0" borderId="0" xfId="33" applyNumberFormat="1" applyFont="1" applyAlignment="1">
      <alignment horizontal="left"/>
    </xf>
    <xf numFmtId="179" fontId="48" fillId="14" borderId="0" xfId="33" applyNumberFormat="1" applyFont="1" applyFill="1"/>
    <xf numFmtId="179" fontId="48" fillId="0" borderId="0" xfId="33" applyNumberFormat="1" applyFont="1" applyAlignment="1">
      <alignment horizontal="left"/>
    </xf>
    <xf numFmtId="38" fontId="48" fillId="14" borderId="0" xfId="33" applyNumberFormat="1" applyFont="1" applyFill="1"/>
    <xf numFmtId="38" fontId="47" fillId="0" borderId="0" xfId="33" applyNumberFormat="1" applyFont="1"/>
    <xf numFmtId="40" fontId="48" fillId="0" borderId="0" xfId="33" applyNumberFormat="1" applyFont="1" applyAlignment="1">
      <alignment horizontal="left"/>
    </xf>
    <xf numFmtId="40" fontId="48" fillId="13" borderId="0" xfId="33" applyNumberFormat="1" applyFont="1" applyFill="1"/>
    <xf numFmtId="38" fontId="48" fillId="0" borderId="0" xfId="33" applyNumberFormat="1" applyFont="1" applyAlignment="1">
      <alignment horizontal="left"/>
    </xf>
    <xf numFmtId="38" fontId="48" fillId="13" borderId="0" xfId="33" applyNumberFormat="1" applyFont="1" applyFill="1"/>
    <xf numFmtId="169" fontId="48" fillId="0" borderId="0" xfId="33" applyNumberFormat="1" applyFont="1" applyAlignment="1">
      <alignment horizontal="left"/>
    </xf>
    <xf numFmtId="169" fontId="48" fillId="13" borderId="0" xfId="33" applyNumberFormat="1" applyFont="1" applyFill="1"/>
    <xf numFmtId="38" fontId="49" fillId="0" borderId="0" xfId="33" applyNumberFormat="1" applyFont="1"/>
    <xf numFmtId="38" fontId="49" fillId="14" borderId="0" xfId="33" applyNumberFormat="1" applyFont="1" applyFill="1"/>
    <xf numFmtId="179" fontId="48" fillId="0" borderId="0" xfId="37" applyNumberFormat="1" applyFont="1"/>
    <xf numFmtId="38" fontId="48" fillId="0" borderId="0" xfId="37" applyNumberFormat="1" applyFont="1" applyAlignment="1">
      <alignment horizontal="left"/>
    </xf>
    <xf numFmtId="38" fontId="60" fillId="0" borderId="0" xfId="33" applyNumberFormat="1" applyFont="1"/>
    <xf numFmtId="176" fontId="51" fillId="0" borderId="0" xfId="33" applyNumberFormat="1" applyFont="1"/>
    <xf numFmtId="176" fontId="49" fillId="14" borderId="0" xfId="33" applyNumberFormat="1" applyFont="1" applyFill="1"/>
    <xf numFmtId="3" fontId="47" fillId="0" borderId="0" xfId="0" applyNumberFormat="1" applyFont="1"/>
    <xf numFmtId="38" fontId="48" fillId="0" borderId="0" xfId="37" applyNumberFormat="1" applyFont="1"/>
    <xf numFmtId="176" fontId="62" fillId="0" borderId="0" xfId="33" applyNumberFormat="1" applyFont="1"/>
    <xf numFmtId="170" fontId="51" fillId="0" borderId="0" xfId="23" applyNumberFormat="1" applyFont="1" applyAlignment="1">
      <alignment horizontal="center"/>
    </xf>
    <xf numFmtId="0" fontId="50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176" fontId="20" fillId="0" borderId="0" xfId="0" applyNumberFormat="1" applyFont="1" applyAlignment="1">
      <alignment horizontal="center"/>
    </xf>
  </cellXfs>
  <cellStyles count="38">
    <cellStyle name="Comma  - Style1" xfId="3" xr:uid="{00000000-0005-0000-0000-000001000000}"/>
    <cellStyle name="Comma  - Style2" xfId="4" xr:uid="{00000000-0005-0000-0000-000002000000}"/>
    <cellStyle name="Comma  - Style3" xfId="5" xr:uid="{00000000-0005-0000-0000-000003000000}"/>
    <cellStyle name="Comma  - Style4" xfId="6" xr:uid="{00000000-0005-0000-0000-000004000000}"/>
    <cellStyle name="Comma  - Style5" xfId="7" xr:uid="{00000000-0005-0000-0000-000005000000}"/>
    <cellStyle name="Comma  - Style6" xfId="8" xr:uid="{00000000-0005-0000-0000-000006000000}"/>
    <cellStyle name="Comma  - Style7" xfId="9" xr:uid="{00000000-0005-0000-0000-000007000000}"/>
    <cellStyle name="Comma  - Style8" xfId="10" xr:uid="{00000000-0005-0000-0000-000008000000}"/>
    <cellStyle name="Comma 10" xfId="35" xr:uid="{00000000-0005-0000-0000-000009000000}"/>
    <cellStyle name="Comma 2" xfId="2" xr:uid="{00000000-0005-0000-0000-00000A000000}"/>
    <cellStyle name="Comma 3" xfId="22" xr:uid="{00000000-0005-0000-0000-00000B000000}"/>
    <cellStyle name="Comma 4" xfId="23" xr:uid="{00000000-0005-0000-0000-00000C000000}"/>
    <cellStyle name="Comma 5" xfId="26" xr:uid="{00000000-0005-0000-0000-00000D000000}"/>
    <cellStyle name="Comma 6" xfId="28" xr:uid="{00000000-0005-0000-0000-00000E000000}"/>
    <cellStyle name="Comma 7" xfId="29" xr:uid="{00000000-0005-0000-0000-00000F000000}"/>
    <cellStyle name="Comma 8" xfId="32" xr:uid="{00000000-0005-0000-0000-000010000000}"/>
    <cellStyle name="Comma 9" xfId="34" xr:uid="{00000000-0005-0000-0000-000011000000}"/>
    <cellStyle name="Comma0" xfId="11" xr:uid="{00000000-0005-0000-0000-000012000000}"/>
    <cellStyle name="Currency0" xfId="12" xr:uid="{00000000-0005-0000-0000-000013000000}"/>
    <cellStyle name="Date" xfId="13" xr:uid="{00000000-0005-0000-0000-000014000000}"/>
    <cellStyle name="Fixed" xfId="14" xr:uid="{00000000-0005-0000-0000-000015000000}"/>
    <cellStyle name="Heading 1 2" xfId="15" xr:uid="{00000000-0005-0000-0000-000016000000}"/>
    <cellStyle name="Heading 2 2" xfId="16" xr:uid="{00000000-0005-0000-0000-000017000000}"/>
    <cellStyle name="Normal" xfId="0" builtinId="0"/>
    <cellStyle name="Normal - Style1" xfId="17" xr:uid="{00000000-0005-0000-0000-000019000000}"/>
    <cellStyle name="Normal 10" xfId="36" xr:uid="{00000000-0005-0000-0000-00001A000000}"/>
    <cellStyle name="Normal 2" xfId="1" xr:uid="{00000000-0005-0000-0000-00001B000000}"/>
    <cellStyle name="Normal 3" xfId="21" xr:uid="{00000000-0005-0000-0000-00001C000000}"/>
    <cellStyle name="Normal 4" xfId="24" xr:uid="{00000000-0005-0000-0000-00001D000000}"/>
    <cellStyle name="Normal 5" xfId="25" xr:uid="{00000000-0005-0000-0000-00001E000000}"/>
    <cellStyle name="Normal 6" xfId="27" xr:uid="{00000000-0005-0000-0000-00001F000000}"/>
    <cellStyle name="Normal 7" xfId="30" xr:uid="{00000000-0005-0000-0000-000020000000}"/>
    <cellStyle name="Normal 8" xfId="31" xr:uid="{00000000-0005-0000-0000-000021000000}"/>
    <cellStyle name="Normal 9" xfId="33" xr:uid="{00000000-0005-0000-0000-000022000000}"/>
    <cellStyle name="Normal_m311j0813" xfId="18" xr:uid="{00000000-0005-0000-0000-000023000000}"/>
    <cellStyle name="Percent" xfId="37" builtinId="5"/>
    <cellStyle name="Percent 2" xfId="19" xr:uid="{00000000-0005-0000-0000-000025000000}"/>
    <cellStyle name="Total 2" xfId="20" xr:uid="{00000000-0005-0000-0000-000026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69C129"/>
      <color rgb="FF6F0791"/>
      <color rgb="FF8C8C8C"/>
      <color rgb="FF305165"/>
      <color rgb="FF505A5B"/>
      <color rgb="FFD7BA2F"/>
      <color rgb="FF8E9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9.xml"/><Relationship Id="rId26" Type="http://schemas.openxmlformats.org/officeDocument/2006/relationships/customXml" Target="../customXml/item3.xml"/><Relationship Id="rId3" Type="http://schemas.openxmlformats.org/officeDocument/2006/relationships/chartsheet" Target="chart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1.xml"/><Relationship Id="rId12" Type="http://schemas.openxmlformats.org/officeDocument/2006/relationships/worksheet" Target="worksheets/sheet6.xml"/><Relationship Id="rId17" Type="http://schemas.openxmlformats.org/officeDocument/2006/relationships/chartsheet" Target="chartsheets/sheet9.xml"/><Relationship Id="rId25" Type="http://schemas.openxmlformats.org/officeDocument/2006/relationships/customXml" Target="../customXml/item2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8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5.xml"/><Relationship Id="rId24" Type="http://schemas.openxmlformats.org/officeDocument/2006/relationships/customXml" Target="../customXml/item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7.xml"/><Relationship Id="rId23" Type="http://schemas.openxmlformats.org/officeDocument/2006/relationships/calcChain" Target="calcChain.xml"/><Relationship Id="rId10" Type="http://schemas.openxmlformats.org/officeDocument/2006/relationships/worksheet" Target="worksheets/sheet4.xml"/><Relationship Id="rId19" Type="http://schemas.openxmlformats.org/officeDocument/2006/relationships/externalLink" Target="externalLinks/externalLink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600"/>
              <a:t>US soybean crush set</a:t>
            </a:r>
            <a:r>
              <a:rPr lang="pt-BR" sz="1600" baseline="0"/>
              <a:t> a new all-time high in December according to NOPA. </a:t>
            </a:r>
            <a:br>
              <a:rPr lang="pt-BR" sz="1600" baseline="0"/>
            </a:br>
            <a:r>
              <a:rPr lang="pt-BR" sz="1600" baseline="0"/>
              <a:t>Strong prices in January should increase crushing even further? </a:t>
            </a:r>
            <a:endParaRPr lang="pt-BR" sz="1600"/>
          </a:p>
        </c:rich>
      </c:tx>
      <c:layout>
        <c:manualLayout>
          <c:xMode val="edge"/>
          <c:yMode val="edge"/>
          <c:x val="0.1096481625497021"/>
          <c:y val="4.3906467206956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875360668119936E-2"/>
          <c:y val="0.1549592819174454"/>
          <c:w val="0.92609518799476265"/>
          <c:h val="0.71411424176313354"/>
        </c:manualLayout>
      </c:layout>
      <c:lineChart>
        <c:grouping val="standard"/>
        <c:varyColors val="0"/>
        <c:ser>
          <c:idx val="0"/>
          <c:order val="0"/>
          <c:tx>
            <c:strRef>
              <c:f>'[1]Soy Complex'!$BM$386</c:f>
              <c:strCache>
                <c:ptCount val="1"/>
                <c:pt idx="0">
                  <c:v>23/24 </c:v>
                </c:pt>
              </c:strCache>
            </c:strRef>
          </c:tx>
          <c:spPr>
            <a:ln w="38100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'[1]Soy Complex'!$A$148:$A$159</c:f>
              <c:strCache>
                <c:ptCount val="12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'NOPA Crush'!$G$530:$G$541</c:f>
              <c:numCache>
                <c:formatCode>_(* #,##0.000_);_(* \(#,##0.000\);_(* "-"??_);_(@_)</c:formatCode>
                <c:ptCount val="12"/>
                <c:pt idx="0">
                  <c:v>165.45599999999999</c:v>
                </c:pt>
                <c:pt idx="1">
                  <c:v>189.774</c:v>
                </c:pt>
                <c:pt idx="2">
                  <c:v>189.03800000000001</c:v>
                </c:pt>
                <c:pt idx="3">
                  <c:v>195.328</c:v>
                </c:pt>
                <c:pt idx="4">
                  <c:v>185.78</c:v>
                </c:pt>
                <c:pt idx="5">
                  <c:v>186.19399999999999</c:v>
                </c:pt>
                <c:pt idx="6">
                  <c:v>196.40600000000001</c:v>
                </c:pt>
                <c:pt idx="7">
                  <c:v>166.03399999999999</c:v>
                </c:pt>
                <c:pt idx="8">
                  <c:v>183.625</c:v>
                </c:pt>
                <c:pt idx="9">
                  <c:v>175.59899999999999</c:v>
                </c:pt>
                <c:pt idx="10">
                  <c:v>182.881</c:v>
                </c:pt>
                <c:pt idx="11">
                  <c:v>158.00800000000001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6-4807-B4AE-C528D56C157D}"/>
            </c:ext>
          </c:extLst>
        </c:ser>
        <c:ser>
          <c:idx val="1"/>
          <c:order val="1"/>
          <c:tx>
            <c:strRef>
              <c:f>'[1]Soy Complex'!$BN$386</c:f>
              <c:strCache>
                <c:ptCount val="1"/>
                <c:pt idx="0">
                  <c:v>24/25 </c:v>
                </c:pt>
              </c:strCache>
            </c:strRef>
          </c:tx>
          <c:spPr>
            <a:ln w="38100" cap="rnd">
              <a:solidFill>
                <a:srgbClr val="6F0791"/>
              </a:solidFill>
              <a:prstDash val="sysDash"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156-4807-B4AE-C528D56C157D}"/>
              </c:ext>
            </c:extLst>
          </c:dPt>
          <c:dPt>
            <c:idx val="1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156-4807-B4AE-C528D56C157D}"/>
              </c:ext>
            </c:extLst>
          </c:dPt>
          <c:dPt>
            <c:idx val="2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156-4807-B4AE-C528D56C157D}"/>
              </c:ext>
            </c:extLst>
          </c:dPt>
          <c:dPt>
            <c:idx val="3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156-4807-B4AE-C528D56C157D}"/>
              </c:ext>
            </c:extLst>
          </c:dPt>
          <c:dPt>
            <c:idx val="4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156-4807-B4AE-C528D56C157D}"/>
              </c:ext>
            </c:extLst>
          </c:dPt>
          <c:dPt>
            <c:idx val="10"/>
            <c:marker>
              <c:symbol val="circle"/>
              <c:size val="10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6-4807-B4AE-C528D56C157D}"/>
              </c:ext>
            </c:extLst>
          </c:dPt>
          <c:dPt>
            <c:idx val="11"/>
            <c:marker>
              <c:symbol val="circle"/>
              <c:size val="10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6-4807-B4AE-C528D56C157D}"/>
              </c:ext>
            </c:extLst>
          </c:dPt>
          <c:cat>
            <c:strRef>
              <c:f>'[1]Soy Complex'!$A$148:$A$159</c:f>
              <c:strCache>
                <c:ptCount val="12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'NOPA Crush'!$G$542:$G$553</c:f>
              <c:numCache>
                <c:formatCode>_(* #,##0.000_);_(* \(#,##0.000\);_(* "-"??_);_(@_)</c:formatCode>
                <c:ptCount val="12"/>
                <c:pt idx="0">
                  <c:v>177.32</c:v>
                </c:pt>
                <c:pt idx="1">
                  <c:v>199.959</c:v>
                </c:pt>
                <c:pt idx="2">
                  <c:v>193.185</c:v>
                </c:pt>
                <c:pt idx="3">
                  <c:v>206.60400000000001</c:v>
                </c:pt>
                <c:pt idx="4">
                  <c:v>200.38300000000001</c:v>
                </c:pt>
                <c:pt idx="5">
                  <c:v>177.87</c:v>
                </c:pt>
                <c:pt idx="6">
                  <c:v>194.55099999999999</c:v>
                </c:pt>
                <c:pt idx="7">
                  <c:v>190.226</c:v>
                </c:pt>
                <c:pt idx="8">
                  <c:v>192.82900000000001</c:v>
                </c:pt>
                <c:pt idx="9">
                  <c:v>185.709</c:v>
                </c:pt>
                <c:pt idx="10">
                  <c:v>191.33848654031266</c:v>
                </c:pt>
                <c:pt idx="11">
                  <c:v>169.52712439507425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56-4807-B4AE-C528D56C157D}"/>
            </c:ext>
          </c:extLst>
        </c:ser>
        <c:ser>
          <c:idx val="2"/>
          <c:order val="2"/>
          <c:tx>
            <c:v>5-Year-Avg Crush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'NOPA Crush'!$BL$530:$BL$541</c:f>
              <c:numCache>
                <c:formatCode>_(* #,##0.000_);_(* \(#,##0.000\);_(* "-"??_);_(@_)</c:formatCode>
                <c:ptCount val="12"/>
                <c:pt idx="0">
                  <c:v>157.34899999999999</c:v>
                </c:pt>
                <c:pt idx="1">
                  <c:v>180.28899999999999</c:v>
                </c:pt>
                <c:pt idx="2">
                  <c:v>174.3064</c:v>
                </c:pt>
                <c:pt idx="3">
                  <c:v>178.7346</c:v>
                </c:pt>
                <c:pt idx="4">
                  <c:v>178.88939999999999</c:v>
                </c:pt>
                <c:pt idx="5">
                  <c:v>161.28299999999999</c:v>
                </c:pt>
                <c:pt idx="6">
                  <c:v>179.52879999999999</c:v>
                </c:pt>
                <c:pt idx="7">
                  <c:v>167.01479999999998</c:v>
                </c:pt>
                <c:pt idx="8">
                  <c:v>167.37860000000001</c:v>
                </c:pt>
                <c:pt idx="9">
                  <c:v>159.64320000000001</c:v>
                </c:pt>
                <c:pt idx="10">
                  <c:v>167.90299999999999</c:v>
                </c:pt>
                <c:pt idx="11">
                  <c:v>163.79479999999998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56-4807-B4AE-C528D56C1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810704"/>
        <c:axId val="1319806384"/>
      </c:lineChart>
      <c:catAx>
        <c:axId val="13198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06384"/>
        <c:crosses val="autoZero"/>
        <c:auto val="1"/>
        <c:lblAlgn val="ctr"/>
        <c:lblOffset val="100"/>
        <c:noMultiLvlLbl val="0"/>
      </c:catAx>
      <c:valAx>
        <c:axId val="1319806384"/>
        <c:scaling>
          <c:orientation val="minMax"/>
          <c:max val="2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Million bushels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107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304647441078703"/>
          <c:y val="0.17023625386482918"/>
          <c:w val="0.36145784763933358"/>
          <c:h val="3.3347019463718805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'NOPA Crush'!$A$246:$A$470</c:f>
              <c:numCache>
                <c:formatCode>m/d/yyyy</c:formatCode>
                <c:ptCount val="22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</c:numCache>
            </c:numRef>
          </c:cat>
          <c:val>
            <c:numRef>
              <c:f>'NOPA Crush'!$Q$246:$Q$470</c:f>
              <c:numCache>
                <c:formatCode>#,##0.000_);[Red]\(#,##0.000\)</c:formatCode>
                <c:ptCount val="225"/>
                <c:pt idx="0">
                  <c:v>1582.6020000000001</c:v>
                </c:pt>
                <c:pt idx="1">
                  <c:v>1662.539</c:v>
                </c:pt>
                <c:pt idx="2">
                  <c:v>1629.5</c:v>
                </c:pt>
                <c:pt idx="3">
                  <c:v>1613.7929999999999</c:v>
                </c:pt>
                <c:pt idx="4">
                  <c:v>1553.8240000000001</c:v>
                </c:pt>
                <c:pt idx="5">
                  <c:v>1566.6590000000001</c:v>
                </c:pt>
                <c:pt idx="6">
                  <c:v>1625.883</c:v>
                </c:pt>
                <c:pt idx="7">
                  <c:v>1622.87</c:v>
                </c:pt>
                <c:pt idx="8">
                  <c:v>1619.3869999999999</c:v>
                </c:pt>
                <c:pt idx="9">
                  <c:v>1741.7750000000001</c:v>
                </c:pt>
                <c:pt idx="10">
                  <c:v>1782.367</c:v>
                </c:pt>
                <c:pt idx="11">
                  <c:v>1811.8240000000001</c:v>
                </c:pt>
                <c:pt idx="12">
                  <c:v>1938.84</c:v>
                </c:pt>
                <c:pt idx="13">
                  <c:v>1925.886</c:v>
                </c:pt>
                <c:pt idx="14">
                  <c:v>1946.0719999999999</c:v>
                </c:pt>
                <c:pt idx="15">
                  <c:v>1991.145</c:v>
                </c:pt>
                <c:pt idx="16">
                  <c:v>2060.4520000000002</c:v>
                </c:pt>
                <c:pt idx="17">
                  <c:v>2036.7550000000001</c:v>
                </c:pt>
                <c:pt idx="18">
                  <c:v>2333.6889999999999</c:v>
                </c:pt>
                <c:pt idx="19">
                  <c:v>2289.3110000000001</c:v>
                </c:pt>
                <c:pt idx="20">
                  <c:v>2289.953</c:v>
                </c:pt>
                <c:pt idx="21">
                  <c:v>2179.9690000000001</c:v>
                </c:pt>
                <c:pt idx="22">
                  <c:v>2234.6889999999999</c:v>
                </c:pt>
                <c:pt idx="23">
                  <c:v>2322.3850000000002</c:v>
                </c:pt>
                <c:pt idx="24">
                  <c:v>2457.37</c:v>
                </c:pt>
                <c:pt idx="25">
                  <c:v>2306.8609999999999</c:v>
                </c:pt>
                <c:pt idx="26">
                  <c:v>2404.9119999999998</c:v>
                </c:pt>
                <c:pt idx="27">
                  <c:v>2284.8780000000002</c:v>
                </c:pt>
                <c:pt idx="28">
                  <c:v>2422.0149999999999</c:v>
                </c:pt>
                <c:pt idx="29">
                  <c:v>2212.1680000000001</c:v>
                </c:pt>
                <c:pt idx="30">
                  <c:v>2138.08</c:v>
                </c:pt>
                <c:pt idx="31">
                  <c:v>2050.2930000000001</c:v>
                </c:pt>
                <c:pt idx="32">
                  <c:v>1901.2339999999999</c:v>
                </c:pt>
                <c:pt idx="33">
                  <c:v>1886.11</c:v>
                </c:pt>
                <c:pt idx="34">
                  <c:v>1845.99</c:v>
                </c:pt>
                <c:pt idx="35">
                  <c:v>1966.4179999999999</c:v>
                </c:pt>
                <c:pt idx="36">
                  <c:v>1924.338</c:v>
                </c:pt>
                <c:pt idx="37">
                  <c:v>1833.3810000000001</c:v>
                </c:pt>
                <c:pt idx="38">
                  <c:v>1759.817</c:v>
                </c:pt>
                <c:pt idx="39">
                  <c:v>1692.61</c:v>
                </c:pt>
                <c:pt idx="40">
                  <c:v>1575.175</c:v>
                </c:pt>
                <c:pt idx="41">
                  <c:v>1466.739</c:v>
                </c:pt>
                <c:pt idx="42">
                  <c:v>1286.816</c:v>
                </c:pt>
                <c:pt idx="43">
                  <c:v>1218.3989999999999</c:v>
                </c:pt>
                <c:pt idx="44">
                  <c:v>1080.1400000000001</c:v>
                </c:pt>
                <c:pt idx="45">
                  <c:v>1043.633</c:v>
                </c:pt>
                <c:pt idx="46">
                  <c:v>1126.184</c:v>
                </c:pt>
                <c:pt idx="47">
                  <c:v>1203.3430000000001</c:v>
                </c:pt>
                <c:pt idx="48">
                  <c:v>1147.8499999999999</c:v>
                </c:pt>
                <c:pt idx="49">
                  <c:v>1507.386</c:v>
                </c:pt>
                <c:pt idx="50">
                  <c:v>1392.0920000000001</c:v>
                </c:pt>
                <c:pt idx="51">
                  <c:v>1214.508</c:v>
                </c:pt>
                <c:pt idx="52">
                  <c:v>1193.665</c:v>
                </c:pt>
                <c:pt idx="53">
                  <c:v>1145.1379999999999</c:v>
                </c:pt>
                <c:pt idx="54">
                  <c:v>1022.985</c:v>
                </c:pt>
                <c:pt idx="55">
                  <c:v>868.55600000000004</c:v>
                </c:pt>
                <c:pt idx="56">
                  <c:v>797.36900000000003</c:v>
                </c:pt>
                <c:pt idx="57">
                  <c:v>882.45100000000002</c:v>
                </c:pt>
                <c:pt idx="58">
                  <c:v>886.28599999999994</c:v>
                </c:pt>
                <c:pt idx="59">
                  <c:v>973.38699999999994</c:v>
                </c:pt>
                <c:pt idx="60">
                  <c:v>1216.9110000000001</c:v>
                </c:pt>
                <c:pt idx="61">
                  <c:v>1247.501</c:v>
                </c:pt>
                <c:pt idx="62">
                  <c:v>1369.3620000000001</c:v>
                </c:pt>
                <c:pt idx="63">
                  <c:v>1476.6980000000001</c:v>
                </c:pt>
                <c:pt idx="64">
                  <c:v>1571.296</c:v>
                </c:pt>
                <c:pt idx="65">
                  <c:v>1563.877</c:v>
                </c:pt>
                <c:pt idx="66">
                  <c:v>1575.961</c:v>
                </c:pt>
                <c:pt idx="67">
                  <c:v>1412.193</c:v>
                </c:pt>
                <c:pt idx="68">
                  <c:v>1374.4580000000001</c:v>
                </c:pt>
                <c:pt idx="69">
                  <c:v>1495.1410000000001</c:v>
                </c:pt>
                <c:pt idx="70">
                  <c:v>1608.231</c:v>
                </c:pt>
                <c:pt idx="71">
                  <c:v>1829.4849999999999</c:v>
                </c:pt>
                <c:pt idx="72">
                  <c:v>2056.6869999999999</c:v>
                </c:pt>
                <c:pt idx="73">
                  <c:v>2316.491</c:v>
                </c:pt>
                <c:pt idx="74">
                  <c:v>2392.8040000000001</c:v>
                </c:pt>
                <c:pt idx="75">
                  <c:v>2350.0549999999998</c:v>
                </c:pt>
                <c:pt idx="76">
                  <c:v>2494.5410000000002</c:v>
                </c:pt>
                <c:pt idx="77">
                  <c:v>2542.4989999999998</c:v>
                </c:pt>
                <c:pt idx="78">
                  <c:v>2688.0079999999998</c:v>
                </c:pt>
                <c:pt idx="79">
                  <c:v>2678.0259999999998</c:v>
                </c:pt>
                <c:pt idx="80">
                  <c:v>2630.098</c:v>
                </c:pt>
                <c:pt idx="81">
                  <c:v>2629.6889999999999</c:v>
                </c:pt>
                <c:pt idx="82">
                  <c:v>2694.2190000000001</c:v>
                </c:pt>
                <c:pt idx="83">
                  <c:v>2605.86</c:v>
                </c:pt>
                <c:pt idx="84">
                  <c:v>2738.5230000000001</c:v>
                </c:pt>
                <c:pt idx="85">
                  <c:v>2819.6750000000002</c:v>
                </c:pt>
                <c:pt idx="86">
                  <c:v>2933.422</c:v>
                </c:pt>
                <c:pt idx="87">
                  <c:v>2901.9349999999999</c:v>
                </c:pt>
                <c:pt idx="88">
                  <c:v>2923.5880000000002</c:v>
                </c:pt>
                <c:pt idx="89">
                  <c:v>2951.3789999999999</c:v>
                </c:pt>
                <c:pt idx="90">
                  <c:v>2835.3710000000001</c:v>
                </c:pt>
                <c:pt idx="91">
                  <c:v>2701.712</c:v>
                </c:pt>
                <c:pt idx="92">
                  <c:v>2561.36</c:v>
                </c:pt>
                <c:pt idx="93">
                  <c:v>2679.7979999999998</c:v>
                </c:pt>
                <c:pt idx="94">
                  <c:v>2689.3589999999999</c:v>
                </c:pt>
                <c:pt idx="95">
                  <c:v>2712.4279999999999</c:v>
                </c:pt>
                <c:pt idx="96">
                  <c:v>2817.7979999999998</c:v>
                </c:pt>
                <c:pt idx="97">
                  <c:v>2717.431</c:v>
                </c:pt>
                <c:pt idx="98">
                  <c:v>2529.2669999999998</c:v>
                </c:pt>
                <c:pt idx="99">
                  <c:v>2409.4290000000001</c:v>
                </c:pt>
                <c:pt idx="100">
                  <c:v>2489.1779999999999</c:v>
                </c:pt>
                <c:pt idx="101">
                  <c:v>2449.3029999999999</c:v>
                </c:pt>
                <c:pt idx="102">
                  <c:v>2367.0169999999998</c:v>
                </c:pt>
                <c:pt idx="103">
                  <c:v>2152.31</c:v>
                </c:pt>
                <c:pt idx="104">
                  <c:v>1988.027</c:v>
                </c:pt>
                <c:pt idx="105">
                  <c:v>1983.8710000000001</c:v>
                </c:pt>
                <c:pt idx="106">
                  <c:v>2042.415</c:v>
                </c:pt>
                <c:pt idx="107">
                  <c:v>2175.8359999999998</c:v>
                </c:pt>
                <c:pt idx="108">
                  <c:v>2393.5239999999999</c:v>
                </c:pt>
                <c:pt idx="109">
                  <c:v>2500.9110000000001</c:v>
                </c:pt>
                <c:pt idx="110">
                  <c:v>2592.5039999999999</c:v>
                </c:pt>
                <c:pt idx="111">
                  <c:v>2709.9540000000002</c:v>
                </c:pt>
                <c:pt idx="112">
                  <c:v>2695.944</c:v>
                </c:pt>
                <c:pt idx="113">
                  <c:v>2907.181</c:v>
                </c:pt>
                <c:pt idx="114">
                  <c:v>2804.0369999999998</c:v>
                </c:pt>
                <c:pt idx="115">
                  <c:v>2520.1320000000001</c:v>
                </c:pt>
                <c:pt idx="116">
                  <c:v>2261.944</c:v>
                </c:pt>
                <c:pt idx="117">
                  <c:v>2286.0639999999999</c:v>
                </c:pt>
                <c:pt idx="118">
                  <c:v>2410.8620000000001</c:v>
                </c:pt>
                <c:pt idx="119">
                  <c:v>2594.393</c:v>
                </c:pt>
                <c:pt idx="120">
                  <c:v>2694.723</c:v>
                </c:pt>
                <c:pt idx="121">
                  <c:v>2851.9650000000001</c:v>
                </c:pt>
                <c:pt idx="122">
                  <c:v>2738.3519999999999</c:v>
                </c:pt>
                <c:pt idx="123">
                  <c:v>2811.5070000000001</c:v>
                </c:pt>
                <c:pt idx="124">
                  <c:v>2905.5659999999998</c:v>
                </c:pt>
                <c:pt idx="125">
                  <c:v>3036.0819999999999</c:v>
                </c:pt>
                <c:pt idx="126">
                  <c:v>3026.1959999999999</c:v>
                </c:pt>
                <c:pt idx="127">
                  <c:v>2818.2950000000001</c:v>
                </c:pt>
                <c:pt idx="128">
                  <c:v>2765.1590000000001</c:v>
                </c:pt>
                <c:pt idx="129">
                  <c:v>2821.2640000000001</c:v>
                </c:pt>
                <c:pt idx="130">
                  <c:v>2830.51</c:v>
                </c:pt>
                <c:pt idx="131">
                  <c:v>3020.3069999999998</c:v>
                </c:pt>
                <c:pt idx="132">
                  <c:v>3098.4050000000002</c:v>
                </c:pt>
                <c:pt idx="133">
                  <c:v>3101.877</c:v>
                </c:pt>
                <c:pt idx="134">
                  <c:v>3059.7930000000001</c:v>
                </c:pt>
                <c:pt idx="135">
                  <c:v>2694.4319999999998</c:v>
                </c:pt>
                <c:pt idx="136">
                  <c:v>2709.7190000000001</c:v>
                </c:pt>
                <c:pt idx="137">
                  <c:v>2587.5680000000002</c:v>
                </c:pt>
                <c:pt idx="138">
                  <c:v>2530.0100000000002</c:v>
                </c:pt>
                <c:pt idx="139">
                  <c:v>2312.9540000000002</c:v>
                </c:pt>
                <c:pt idx="140">
                  <c:v>1950.42</c:v>
                </c:pt>
                <c:pt idx="141">
                  <c:v>1876.09</c:v>
                </c:pt>
                <c:pt idx="142">
                  <c:v>1855.2909999999999</c:v>
                </c:pt>
                <c:pt idx="143">
                  <c:v>1938.0309999999999</c:v>
                </c:pt>
                <c:pt idx="144">
                  <c:v>2098.2260000000001</c:v>
                </c:pt>
                <c:pt idx="145">
                  <c:v>2242.2579999999998</c:v>
                </c:pt>
                <c:pt idx="146">
                  <c:v>2363.2020000000002</c:v>
                </c:pt>
                <c:pt idx="147">
                  <c:v>2384.942</c:v>
                </c:pt>
                <c:pt idx="148">
                  <c:v>2312.3580000000002</c:v>
                </c:pt>
                <c:pt idx="149">
                  <c:v>2306.1280000000002</c:v>
                </c:pt>
                <c:pt idx="150">
                  <c:v>2345.2269999999999</c:v>
                </c:pt>
                <c:pt idx="151">
                  <c:v>2168.4769999999999</c:v>
                </c:pt>
                <c:pt idx="152">
                  <c:v>2042.991</c:v>
                </c:pt>
                <c:pt idx="153">
                  <c:v>2187.6779999999999</c:v>
                </c:pt>
                <c:pt idx="154">
                  <c:v>2384.7559999999999</c:v>
                </c:pt>
                <c:pt idx="155">
                  <c:v>2600.2040000000002</c:v>
                </c:pt>
                <c:pt idx="156">
                  <c:v>2822.982</c:v>
                </c:pt>
                <c:pt idx="157">
                  <c:v>2790.0509999999999</c:v>
                </c:pt>
                <c:pt idx="158">
                  <c:v>2764.8879999999999</c:v>
                </c:pt>
                <c:pt idx="159">
                  <c:v>2637.636</c:v>
                </c:pt>
                <c:pt idx="160">
                  <c:v>2468.9969999999998</c:v>
                </c:pt>
                <c:pt idx="161">
                  <c:v>2297.6419999999998</c:v>
                </c:pt>
                <c:pt idx="162">
                  <c:v>2049.8969999999999</c:v>
                </c:pt>
                <c:pt idx="163">
                  <c:v>1668.539</c:v>
                </c:pt>
                <c:pt idx="164">
                  <c:v>1372.2819999999999</c:v>
                </c:pt>
                <c:pt idx="165">
                  <c:v>1377.34</c:v>
                </c:pt>
                <c:pt idx="166">
                  <c:v>1485.6130000000001</c:v>
                </c:pt>
                <c:pt idx="167">
                  <c:v>1681.223</c:v>
                </c:pt>
                <c:pt idx="168">
                  <c:v>1794.11</c:v>
                </c:pt>
                <c:pt idx="169">
                  <c:v>1892.943</c:v>
                </c:pt>
                <c:pt idx="170">
                  <c:v>2022.5650000000001</c:v>
                </c:pt>
                <c:pt idx="171">
                  <c:v>2057.6350000000002</c:v>
                </c:pt>
                <c:pt idx="172">
                  <c:v>1970.136</c:v>
                </c:pt>
                <c:pt idx="173">
                  <c:v>1847.0409999999999</c:v>
                </c:pt>
                <c:pt idx="174">
                  <c:v>1589.079</c:v>
                </c:pt>
                <c:pt idx="175">
                  <c:v>1213.5029999999999</c:v>
                </c:pt>
                <c:pt idx="176">
                  <c:v>936.88</c:v>
                </c:pt>
                <c:pt idx="177">
                  <c:v>966.06200000000001</c:v>
                </c:pt>
                <c:pt idx="178">
                  <c:v>1004.582</c:v>
                </c:pt>
                <c:pt idx="179">
                  <c:v>1067.5640000000001</c:v>
                </c:pt>
                <c:pt idx="180">
                  <c:v>1228.0650000000001</c:v>
                </c:pt>
                <c:pt idx="181">
                  <c:v>1322.0550000000001</c:v>
                </c:pt>
                <c:pt idx="182">
                  <c:v>1419.5429999999999</c:v>
                </c:pt>
                <c:pt idx="183">
                  <c:v>1440.9849999999999</c:v>
                </c:pt>
                <c:pt idx="184">
                  <c:v>1577.8030000000001</c:v>
                </c:pt>
                <c:pt idx="185">
                  <c:v>1573.9259999999999</c:v>
                </c:pt>
                <c:pt idx="186">
                  <c:v>1624.3119999999999</c:v>
                </c:pt>
                <c:pt idx="187">
                  <c:v>1480.17</c:v>
                </c:pt>
                <c:pt idx="188">
                  <c:v>1354.702</c:v>
                </c:pt>
                <c:pt idx="189">
                  <c:v>1407.8150000000001</c:v>
                </c:pt>
                <c:pt idx="190">
                  <c:v>1476.989</c:v>
                </c:pt>
                <c:pt idx="191">
                  <c:v>1481.085</c:v>
                </c:pt>
                <c:pt idx="192">
                  <c:v>1581.636</c:v>
                </c:pt>
                <c:pt idx="193">
                  <c:v>1792.0519999999999</c:v>
                </c:pt>
                <c:pt idx="194">
                  <c:v>1858.8140000000001</c:v>
                </c:pt>
                <c:pt idx="195">
                  <c:v>1942.7280000000001</c:v>
                </c:pt>
                <c:pt idx="196">
                  <c:v>1993.5630000000001</c:v>
                </c:pt>
                <c:pt idx="197">
                  <c:v>1984.9760000000001</c:v>
                </c:pt>
                <c:pt idx="198">
                  <c:v>1743.184</c:v>
                </c:pt>
                <c:pt idx="199">
                  <c:v>1620.279</c:v>
                </c:pt>
                <c:pt idx="200">
                  <c:v>1375.953</c:v>
                </c:pt>
                <c:pt idx="201">
                  <c:v>1343.069</c:v>
                </c:pt>
                <c:pt idx="202">
                  <c:v>1338.6410000000001</c:v>
                </c:pt>
                <c:pt idx="203">
                  <c:v>1433.9469999999999</c:v>
                </c:pt>
                <c:pt idx="204">
                  <c:v>1628.7940000000001</c:v>
                </c:pt>
                <c:pt idx="205">
                  <c:v>1770.06</c:v>
                </c:pt>
                <c:pt idx="206">
                  <c:v>1815.16</c:v>
                </c:pt>
                <c:pt idx="207">
                  <c:v>1725.403</c:v>
                </c:pt>
                <c:pt idx="208">
                  <c:v>1749.096</c:v>
                </c:pt>
                <c:pt idx="209">
                  <c:v>1703.405</c:v>
                </c:pt>
                <c:pt idx="210">
                  <c:v>1557.8530000000001</c:v>
                </c:pt>
                <c:pt idx="211">
                  <c:v>1417.0160000000001</c:v>
                </c:pt>
                <c:pt idx="212">
                  <c:v>1301.912</c:v>
                </c:pt>
                <c:pt idx="213">
                  <c:v>1224.066</c:v>
                </c:pt>
                <c:pt idx="214">
                  <c:v>1326.3030000000001</c:v>
                </c:pt>
                <c:pt idx="215">
                  <c:v>1538.491</c:v>
                </c:pt>
                <c:pt idx="216">
                  <c:v>1728.414</c:v>
                </c:pt>
                <c:pt idx="217">
                  <c:v>1855.6980000000001</c:v>
                </c:pt>
                <c:pt idx="218">
                  <c:v>1946.123</c:v>
                </c:pt>
                <c:pt idx="219">
                  <c:v>2092.4470000000001</c:v>
                </c:pt>
                <c:pt idx="220">
                  <c:v>1856.06</c:v>
                </c:pt>
                <c:pt idx="221">
                  <c:v>1765.9449999999999</c:v>
                </c:pt>
                <c:pt idx="222">
                  <c:v>1763.508</c:v>
                </c:pt>
                <c:pt idx="223">
                  <c:v>1623.1279999999999</c:v>
                </c:pt>
                <c:pt idx="224">
                  <c:v>1531.3920000000001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D-4A6D-9A9B-004D77324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43584"/>
        <c:axId val="151845120"/>
      </c:lineChart>
      <c:dateAx>
        <c:axId val="15184358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845120"/>
        <c:crosses val="autoZero"/>
        <c:auto val="1"/>
        <c:lblOffset val="100"/>
        <c:baseTimeUnit val="months"/>
      </c:dateAx>
      <c:valAx>
        <c:axId val="1518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84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NOPA US</a:t>
            </a: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Soybean Crushing Capacity</a:t>
            </a:r>
            <a:endPara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26212495754995E-2"/>
          <c:y val="9.9947947338096185E-2"/>
          <c:w val="0.87853450114121889"/>
          <c:h val="0.7071007363017676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'NOPA Crush'!$A$158:$A$625</c:f>
              <c:numCache>
                <c:formatCode>m/d/yyyy</c:formatCode>
                <c:ptCount val="468"/>
                <c:pt idx="0">
                  <c:v>33848</c:v>
                </c:pt>
                <c:pt idx="1">
                  <c:v>33878</c:v>
                </c:pt>
                <c:pt idx="2">
                  <c:v>33909</c:v>
                </c:pt>
                <c:pt idx="3">
                  <c:v>33939</c:v>
                </c:pt>
                <c:pt idx="4">
                  <c:v>33970</c:v>
                </c:pt>
                <c:pt idx="5">
                  <c:v>34001</c:v>
                </c:pt>
                <c:pt idx="6">
                  <c:v>34029</c:v>
                </c:pt>
                <c:pt idx="7">
                  <c:v>34060</c:v>
                </c:pt>
                <c:pt idx="8">
                  <c:v>34090</c:v>
                </c:pt>
                <c:pt idx="9">
                  <c:v>34121</c:v>
                </c:pt>
                <c:pt idx="10">
                  <c:v>34151</c:v>
                </c:pt>
                <c:pt idx="11">
                  <c:v>34182</c:v>
                </c:pt>
                <c:pt idx="12">
                  <c:v>34213</c:v>
                </c:pt>
                <c:pt idx="13">
                  <c:v>34243</c:v>
                </c:pt>
                <c:pt idx="14">
                  <c:v>34274</c:v>
                </c:pt>
                <c:pt idx="15">
                  <c:v>34304</c:v>
                </c:pt>
                <c:pt idx="16">
                  <c:v>34335</c:v>
                </c:pt>
                <c:pt idx="17">
                  <c:v>34366</c:v>
                </c:pt>
                <c:pt idx="18">
                  <c:v>34394</c:v>
                </c:pt>
                <c:pt idx="19">
                  <c:v>34425</c:v>
                </c:pt>
                <c:pt idx="20">
                  <c:v>34455</c:v>
                </c:pt>
                <c:pt idx="21">
                  <c:v>34486</c:v>
                </c:pt>
                <c:pt idx="22">
                  <c:v>34516</c:v>
                </c:pt>
                <c:pt idx="23">
                  <c:v>34547</c:v>
                </c:pt>
                <c:pt idx="24">
                  <c:v>34578</c:v>
                </c:pt>
                <c:pt idx="25">
                  <c:v>34608</c:v>
                </c:pt>
                <c:pt idx="26">
                  <c:v>34639</c:v>
                </c:pt>
                <c:pt idx="27">
                  <c:v>34669</c:v>
                </c:pt>
                <c:pt idx="28">
                  <c:v>34700</c:v>
                </c:pt>
                <c:pt idx="29">
                  <c:v>34731</c:v>
                </c:pt>
                <c:pt idx="30">
                  <c:v>34759</c:v>
                </c:pt>
                <c:pt idx="31">
                  <c:v>34790</c:v>
                </c:pt>
                <c:pt idx="32">
                  <c:v>34820</c:v>
                </c:pt>
                <c:pt idx="33">
                  <c:v>34851</c:v>
                </c:pt>
                <c:pt idx="34">
                  <c:v>34881</c:v>
                </c:pt>
                <c:pt idx="35">
                  <c:v>34912</c:v>
                </c:pt>
                <c:pt idx="36">
                  <c:v>34943</c:v>
                </c:pt>
                <c:pt idx="37">
                  <c:v>34973</c:v>
                </c:pt>
                <c:pt idx="38">
                  <c:v>35004</c:v>
                </c:pt>
                <c:pt idx="39">
                  <c:v>35034</c:v>
                </c:pt>
                <c:pt idx="40">
                  <c:v>35065</c:v>
                </c:pt>
                <c:pt idx="41">
                  <c:v>35096</c:v>
                </c:pt>
                <c:pt idx="42">
                  <c:v>35125</c:v>
                </c:pt>
                <c:pt idx="43">
                  <c:v>35156</c:v>
                </c:pt>
                <c:pt idx="44">
                  <c:v>35186</c:v>
                </c:pt>
                <c:pt idx="45">
                  <c:v>35217</c:v>
                </c:pt>
                <c:pt idx="46">
                  <c:v>35247</c:v>
                </c:pt>
                <c:pt idx="47">
                  <c:v>35278</c:v>
                </c:pt>
                <c:pt idx="48">
                  <c:v>35309</c:v>
                </c:pt>
                <c:pt idx="49">
                  <c:v>35339</c:v>
                </c:pt>
                <c:pt idx="50">
                  <c:v>35370</c:v>
                </c:pt>
                <c:pt idx="51">
                  <c:v>35400</c:v>
                </c:pt>
                <c:pt idx="52">
                  <c:v>35431</c:v>
                </c:pt>
                <c:pt idx="53">
                  <c:v>35462</c:v>
                </c:pt>
                <c:pt idx="54">
                  <c:v>35490</c:v>
                </c:pt>
                <c:pt idx="55">
                  <c:v>35521</c:v>
                </c:pt>
                <c:pt idx="56">
                  <c:v>35551</c:v>
                </c:pt>
                <c:pt idx="57">
                  <c:v>35582</c:v>
                </c:pt>
                <c:pt idx="58">
                  <c:v>35612</c:v>
                </c:pt>
                <c:pt idx="59">
                  <c:v>35643</c:v>
                </c:pt>
                <c:pt idx="60">
                  <c:v>35674</c:v>
                </c:pt>
                <c:pt idx="61">
                  <c:v>35704</c:v>
                </c:pt>
                <c:pt idx="62">
                  <c:v>35735</c:v>
                </c:pt>
                <c:pt idx="63">
                  <c:v>35765</c:v>
                </c:pt>
                <c:pt idx="64">
                  <c:v>35796</c:v>
                </c:pt>
                <c:pt idx="65">
                  <c:v>35827</c:v>
                </c:pt>
                <c:pt idx="66">
                  <c:v>35855</c:v>
                </c:pt>
                <c:pt idx="67">
                  <c:v>35886</c:v>
                </c:pt>
                <c:pt idx="68">
                  <c:v>35916</c:v>
                </c:pt>
                <c:pt idx="69">
                  <c:v>35947</c:v>
                </c:pt>
                <c:pt idx="70">
                  <c:v>35977</c:v>
                </c:pt>
                <c:pt idx="71">
                  <c:v>36008</c:v>
                </c:pt>
                <c:pt idx="72">
                  <c:v>36039</c:v>
                </c:pt>
                <c:pt idx="73">
                  <c:v>36069</c:v>
                </c:pt>
                <c:pt idx="74">
                  <c:v>36100</c:v>
                </c:pt>
                <c:pt idx="75">
                  <c:v>36130</c:v>
                </c:pt>
                <c:pt idx="76">
                  <c:v>36161</c:v>
                </c:pt>
                <c:pt idx="77">
                  <c:v>36192</c:v>
                </c:pt>
                <c:pt idx="78">
                  <c:v>36220</c:v>
                </c:pt>
                <c:pt idx="79">
                  <c:v>36251</c:v>
                </c:pt>
                <c:pt idx="80">
                  <c:v>36281</c:v>
                </c:pt>
                <c:pt idx="81">
                  <c:v>36312</c:v>
                </c:pt>
                <c:pt idx="82">
                  <c:v>36342</c:v>
                </c:pt>
                <c:pt idx="83">
                  <c:v>36373</c:v>
                </c:pt>
                <c:pt idx="84">
                  <c:v>36404</c:v>
                </c:pt>
                <c:pt idx="85">
                  <c:v>36434</c:v>
                </c:pt>
                <c:pt idx="86">
                  <c:v>36465</c:v>
                </c:pt>
                <c:pt idx="87">
                  <c:v>36495</c:v>
                </c:pt>
                <c:pt idx="88">
                  <c:v>36526</c:v>
                </c:pt>
                <c:pt idx="89">
                  <c:v>36557</c:v>
                </c:pt>
                <c:pt idx="90">
                  <c:v>36586</c:v>
                </c:pt>
                <c:pt idx="91">
                  <c:v>36617</c:v>
                </c:pt>
                <c:pt idx="92">
                  <c:v>36647</c:v>
                </c:pt>
                <c:pt idx="93">
                  <c:v>36678</c:v>
                </c:pt>
                <c:pt idx="94">
                  <c:v>36708</c:v>
                </c:pt>
                <c:pt idx="95">
                  <c:v>36739</c:v>
                </c:pt>
                <c:pt idx="96">
                  <c:v>36770</c:v>
                </c:pt>
                <c:pt idx="97">
                  <c:v>36800</c:v>
                </c:pt>
                <c:pt idx="98">
                  <c:v>36831</c:v>
                </c:pt>
                <c:pt idx="99">
                  <c:v>36861</c:v>
                </c:pt>
                <c:pt idx="100">
                  <c:v>36892</c:v>
                </c:pt>
                <c:pt idx="101">
                  <c:v>36923</c:v>
                </c:pt>
                <c:pt idx="102">
                  <c:v>36951</c:v>
                </c:pt>
                <c:pt idx="103">
                  <c:v>36982</c:v>
                </c:pt>
                <c:pt idx="104">
                  <c:v>37012</c:v>
                </c:pt>
                <c:pt idx="105">
                  <c:v>37043</c:v>
                </c:pt>
                <c:pt idx="106">
                  <c:v>37073</c:v>
                </c:pt>
                <c:pt idx="107">
                  <c:v>37104</c:v>
                </c:pt>
                <c:pt idx="108">
                  <c:v>37135</c:v>
                </c:pt>
                <c:pt idx="109">
                  <c:v>37165</c:v>
                </c:pt>
                <c:pt idx="110">
                  <c:v>37196</c:v>
                </c:pt>
                <c:pt idx="111">
                  <c:v>37226</c:v>
                </c:pt>
                <c:pt idx="112">
                  <c:v>37257</c:v>
                </c:pt>
                <c:pt idx="113">
                  <c:v>37288</c:v>
                </c:pt>
                <c:pt idx="114">
                  <c:v>37316</c:v>
                </c:pt>
                <c:pt idx="115">
                  <c:v>37347</c:v>
                </c:pt>
                <c:pt idx="116">
                  <c:v>37377</c:v>
                </c:pt>
                <c:pt idx="117">
                  <c:v>37408</c:v>
                </c:pt>
                <c:pt idx="118">
                  <c:v>37438</c:v>
                </c:pt>
                <c:pt idx="119">
                  <c:v>37469</c:v>
                </c:pt>
                <c:pt idx="120">
                  <c:v>37500</c:v>
                </c:pt>
                <c:pt idx="121">
                  <c:v>37530</c:v>
                </c:pt>
                <c:pt idx="122">
                  <c:v>37561</c:v>
                </c:pt>
                <c:pt idx="123">
                  <c:v>37591</c:v>
                </c:pt>
                <c:pt idx="124">
                  <c:v>37622</c:v>
                </c:pt>
                <c:pt idx="125">
                  <c:v>37653</c:v>
                </c:pt>
                <c:pt idx="126">
                  <c:v>37681</c:v>
                </c:pt>
                <c:pt idx="127">
                  <c:v>37712</c:v>
                </c:pt>
                <c:pt idx="128">
                  <c:v>37742</c:v>
                </c:pt>
                <c:pt idx="129">
                  <c:v>37773</c:v>
                </c:pt>
                <c:pt idx="130">
                  <c:v>37803</c:v>
                </c:pt>
                <c:pt idx="131">
                  <c:v>37834</c:v>
                </c:pt>
                <c:pt idx="132">
                  <c:v>37865</c:v>
                </c:pt>
                <c:pt idx="133">
                  <c:v>37895</c:v>
                </c:pt>
                <c:pt idx="134">
                  <c:v>37926</c:v>
                </c:pt>
                <c:pt idx="135">
                  <c:v>37956</c:v>
                </c:pt>
                <c:pt idx="136">
                  <c:v>37987</c:v>
                </c:pt>
                <c:pt idx="137">
                  <c:v>38018</c:v>
                </c:pt>
                <c:pt idx="138">
                  <c:v>38047</c:v>
                </c:pt>
                <c:pt idx="139">
                  <c:v>38078</c:v>
                </c:pt>
                <c:pt idx="140">
                  <c:v>38108</c:v>
                </c:pt>
                <c:pt idx="141">
                  <c:v>38139</c:v>
                </c:pt>
                <c:pt idx="142">
                  <c:v>38169</c:v>
                </c:pt>
                <c:pt idx="143">
                  <c:v>38200</c:v>
                </c:pt>
                <c:pt idx="144">
                  <c:v>38231</c:v>
                </c:pt>
                <c:pt idx="145">
                  <c:v>38261</c:v>
                </c:pt>
                <c:pt idx="146">
                  <c:v>38292</c:v>
                </c:pt>
                <c:pt idx="147">
                  <c:v>38322</c:v>
                </c:pt>
                <c:pt idx="148">
                  <c:v>38353</c:v>
                </c:pt>
                <c:pt idx="149">
                  <c:v>38384</c:v>
                </c:pt>
                <c:pt idx="150">
                  <c:v>38412</c:v>
                </c:pt>
                <c:pt idx="151">
                  <c:v>38443</c:v>
                </c:pt>
                <c:pt idx="152">
                  <c:v>38473</c:v>
                </c:pt>
                <c:pt idx="153">
                  <c:v>38504</c:v>
                </c:pt>
                <c:pt idx="154">
                  <c:v>38534</c:v>
                </c:pt>
                <c:pt idx="155">
                  <c:v>38565</c:v>
                </c:pt>
                <c:pt idx="156">
                  <c:v>38596</c:v>
                </c:pt>
                <c:pt idx="157">
                  <c:v>38626</c:v>
                </c:pt>
                <c:pt idx="158">
                  <c:v>38657</c:v>
                </c:pt>
                <c:pt idx="159">
                  <c:v>38687</c:v>
                </c:pt>
                <c:pt idx="160">
                  <c:v>38718</c:v>
                </c:pt>
                <c:pt idx="161">
                  <c:v>38749</c:v>
                </c:pt>
                <c:pt idx="162">
                  <c:v>38777</c:v>
                </c:pt>
                <c:pt idx="163">
                  <c:v>38808</c:v>
                </c:pt>
                <c:pt idx="164">
                  <c:v>38838</c:v>
                </c:pt>
                <c:pt idx="165">
                  <c:v>38869</c:v>
                </c:pt>
                <c:pt idx="166">
                  <c:v>38899</c:v>
                </c:pt>
                <c:pt idx="167">
                  <c:v>38930</c:v>
                </c:pt>
                <c:pt idx="168">
                  <c:v>38961</c:v>
                </c:pt>
                <c:pt idx="169">
                  <c:v>38991</c:v>
                </c:pt>
                <c:pt idx="170">
                  <c:v>39022</c:v>
                </c:pt>
                <c:pt idx="171">
                  <c:v>39052</c:v>
                </c:pt>
                <c:pt idx="172">
                  <c:v>39083</c:v>
                </c:pt>
                <c:pt idx="173">
                  <c:v>39114</c:v>
                </c:pt>
                <c:pt idx="174">
                  <c:v>39142</c:v>
                </c:pt>
                <c:pt idx="175">
                  <c:v>39173</c:v>
                </c:pt>
                <c:pt idx="176">
                  <c:v>39203</c:v>
                </c:pt>
                <c:pt idx="177">
                  <c:v>39234</c:v>
                </c:pt>
                <c:pt idx="178">
                  <c:v>39264</c:v>
                </c:pt>
                <c:pt idx="179">
                  <c:v>39295</c:v>
                </c:pt>
                <c:pt idx="180">
                  <c:v>39326</c:v>
                </c:pt>
                <c:pt idx="181">
                  <c:v>39356</c:v>
                </c:pt>
                <c:pt idx="182">
                  <c:v>39387</c:v>
                </c:pt>
                <c:pt idx="183">
                  <c:v>39417</c:v>
                </c:pt>
                <c:pt idx="184">
                  <c:v>39448</c:v>
                </c:pt>
                <c:pt idx="185">
                  <c:v>39479</c:v>
                </c:pt>
                <c:pt idx="186">
                  <c:v>39508</c:v>
                </c:pt>
                <c:pt idx="187">
                  <c:v>39539</c:v>
                </c:pt>
                <c:pt idx="188">
                  <c:v>39569</c:v>
                </c:pt>
                <c:pt idx="189">
                  <c:v>39600</c:v>
                </c:pt>
                <c:pt idx="190">
                  <c:v>39630</c:v>
                </c:pt>
                <c:pt idx="191">
                  <c:v>39661</c:v>
                </c:pt>
                <c:pt idx="192">
                  <c:v>39692</c:v>
                </c:pt>
                <c:pt idx="193">
                  <c:v>39722</c:v>
                </c:pt>
                <c:pt idx="194">
                  <c:v>39753</c:v>
                </c:pt>
                <c:pt idx="195">
                  <c:v>39783</c:v>
                </c:pt>
                <c:pt idx="196">
                  <c:v>39814</c:v>
                </c:pt>
                <c:pt idx="197">
                  <c:v>39845</c:v>
                </c:pt>
                <c:pt idx="198">
                  <c:v>39873</c:v>
                </c:pt>
                <c:pt idx="199">
                  <c:v>39904</c:v>
                </c:pt>
                <c:pt idx="200">
                  <c:v>39934</c:v>
                </c:pt>
                <c:pt idx="201">
                  <c:v>39965</c:v>
                </c:pt>
                <c:pt idx="202">
                  <c:v>39995</c:v>
                </c:pt>
                <c:pt idx="203">
                  <c:v>40026</c:v>
                </c:pt>
                <c:pt idx="204">
                  <c:v>40057</c:v>
                </c:pt>
                <c:pt idx="205">
                  <c:v>40087</c:v>
                </c:pt>
                <c:pt idx="206">
                  <c:v>40118</c:v>
                </c:pt>
                <c:pt idx="207">
                  <c:v>40148</c:v>
                </c:pt>
                <c:pt idx="208">
                  <c:v>40179</c:v>
                </c:pt>
                <c:pt idx="209">
                  <c:v>40210</c:v>
                </c:pt>
                <c:pt idx="210">
                  <c:v>40238</c:v>
                </c:pt>
                <c:pt idx="211">
                  <c:v>40269</c:v>
                </c:pt>
                <c:pt idx="212">
                  <c:v>40299</c:v>
                </c:pt>
                <c:pt idx="213">
                  <c:v>40330</c:v>
                </c:pt>
                <c:pt idx="214">
                  <c:v>40360</c:v>
                </c:pt>
                <c:pt idx="215">
                  <c:v>40391</c:v>
                </c:pt>
                <c:pt idx="216">
                  <c:v>40422</c:v>
                </c:pt>
                <c:pt idx="217">
                  <c:v>40452</c:v>
                </c:pt>
                <c:pt idx="218">
                  <c:v>40483</c:v>
                </c:pt>
                <c:pt idx="219">
                  <c:v>40513</c:v>
                </c:pt>
                <c:pt idx="220">
                  <c:v>40544</c:v>
                </c:pt>
                <c:pt idx="221">
                  <c:v>40575</c:v>
                </c:pt>
                <c:pt idx="222">
                  <c:v>40603</c:v>
                </c:pt>
                <c:pt idx="223">
                  <c:v>40634</c:v>
                </c:pt>
                <c:pt idx="224">
                  <c:v>40664</c:v>
                </c:pt>
                <c:pt idx="225">
                  <c:v>40695</c:v>
                </c:pt>
                <c:pt idx="226">
                  <c:v>40725</c:v>
                </c:pt>
                <c:pt idx="227">
                  <c:v>40756</c:v>
                </c:pt>
                <c:pt idx="228">
                  <c:v>40787</c:v>
                </c:pt>
                <c:pt idx="229">
                  <c:v>40817</c:v>
                </c:pt>
                <c:pt idx="230">
                  <c:v>40848</c:v>
                </c:pt>
                <c:pt idx="231">
                  <c:v>40878</c:v>
                </c:pt>
                <c:pt idx="232">
                  <c:v>40909</c:v>
                </c:pt>
                <c:pt idx="233">
                  <c:v>40940</c:v>
                </c:pt>
                <c:pt idx="234">
                  <c:v>40969</c:v>
                </c:pt>
                <c:pt idx="235">
                  <c:v>41000</c:v>
                </c:pt>
                <c:pt idx="236">
                  <c:v>41030</c:v>
                </c:pt>
                <c:pt idx="237">
                  <c:v>41061</c:v>
                </c:pt>
                <c:pt idx="238">
                  <c:v>41091</c:v>
                </c:pt>
                <c:pt idx="239">
                  <c:v>41122</c:v>
                </c:pt>
                <c:pt idx="240">
                  <c:v>41153</c:v>
                </c:pt>
                <c:pt idx="241">
                  <c:v>41183</c:v>
                </c:pt>
                <c:pt idx="242">
                  <c:v>41214</c:v>
                </c:pt>
                <c:pt idx="243">
                  <c:v>41244</c:v>
                </c:pt>
                <c:pt idx="244">
                  <c:v>41275</c:v>
                </c:pt>
                <c:pt idx="245">
                  <c:v>41306</c:v>
                </c:pt>
                <c:pt idx="246">
                  <c:v>41334</c:v>
                </c:pt>
                <c:pt idx="247">
                  <c:v>41365</c:v>
                </c:pt>
                <c:pt idx="248">
                  <c:v>41395</c:v>
                </c:pt>
                <c:pt idx="249">
                  <c:v>41426</c:v>
                </c:pt>
                <c:pt idx="250">
                  <c:v>41456</c:v>
                </c:pt>
                <c:pt idx="251">
                  <c:v>41487</c:v>
                </c:pt>
                <c:pt idx="252">
                  <c:v>41518</c:v>
                </c:pt>
                <c:pt idx="253">
                  <c:v>41548</c:v>
                </c:pt>
                <c:pt idx="254">
                  <c:v>41579</c:v>
                </c:pt>
                <c:pt idx="255">
                  <c:v>41609</c:v>
                </c:pt>
                <c:pt idx="256">
                  <c:v>41640</c:v>
                </c:pt>
                <c:pt idx="257">
                  <c:v>41671</c:v>
                </c:pt>
                <c:pt idx="258">
                  <c:v>41699</c:v>
                </c:pt>
                <c:pt idx="259">
                  <c:v>41730</c:v>
                </c:pt>
                <c:pt idx="260">
                  <c:v>41760</c:v>
                </c:pt>
                <c:pt idx="261">
                  <c:v>41791</c:v>
                </c:pt>
                <c:pt idx="262">
                  <c:v>41821</c:v>
                </c:pt>
                <c:pt idx="263">
                  <c:v>41852</c:v>
                </c:pt>
                <c:pt idx="264">
                  <c:v>41883</c:v>
                </c:pt>
                <c:pt idx="265">
                  <c:v>41913</c:v>
                </c:pt>
                <c:pt idx="266">
                  <c:v>41944</c:v>
                </c:pt>
                <c:pt idx="267">
                  <c:v>41974</c:v>
                </c:pt>
                <c:pt idx="268">
                  <c:v>42005</c:v>
                </c:pt>
                <c:pt idx="269">
                  <c:v>42036</c:v>
                </c:pt>
                <c:pt idx="270">
                  <c:v>42064</c:v>
                </c:pt>
                <c:pt idx="271">
                  <c:v>42095</c:v>
                </c:pt>
                <c:pt idx="272">
                  <c:v>42125</c:v>
                </c:pt>
                <c:pt idx="273">
                  <c:v>42156</c:v>
                </c:pt>
                <c:pt idx="274">
                  <c:v>42186</c:v>
                </c:pt>
                <c:pt idx="275">
                  <c:v>42217</c:v>
                </c:pt>
                <c:pt idx="276">
                  <c:v>42248</c:v>
                </c:pt>
                <c:pt idx="277">
                  <c:v>42278</c:v>
                </c:pt>
                <c:pt idx="278">
                  <c:v>42309</c:v>
                </c:pt>
                <c:pt idx="279">
                  <c:v>42339</c:v>
                </c:pt>
                <c:pt idx="280">
                  <c:v>42370</c:v>
                </c:pt>
                <c:pt idx="281">
                  <c:v>42401</c:v>
                </c:pt>
                <c:pt idx="282">
                  <c:v>42430</c:v>
                </c:pt>
                <c:pt idx="283">
                  <c:v>42461</c:v>
                </c:pt>
                <c:pt idx="284">
                  <c:v>42491</c:v>
                </c:pt>
                <c:pt idx="285">
                  <c:v>42522</c:v>
                </c:pt>
                <c:pt idx="286">
                  <c:v>42552</c:v>
                </c:pt>
                <c:pt idx="287">
                  <c:v>42583</c:v>
                </c:pt>
                <c:pt idx="288">
                  <c:v>42614</c:v>
                </c:pt>
                <c:pt idx="289">
                  <c:v>42644</c:v>
                </c:pt>
                <c:pt idx="290">
                  <c:v>42675</c:v>
                </c:pt>
                <c:pt idx="291">
                  <c:v>42705</c:v>
                </c:pt>
                <c:pt idx="292">
                  <c:v>42736</c:v>
                </c:pt>
                <c:pt idx="293">
                  <c:v>42767</c:v>
                </c:pt>
                <c:pt idx="294">
                  <c:v>42795</c:v>
                </c:pt>
                <c:pt idx="295">
                  <c:v>42826</c:v>
                </c:pt>
                <c:pt idx="296">
                  <c:v>42856</c:v>
                </c:pt>
                <c:pt idx="297">
                  <c:v>42887</c:v>
                </c:pt>
                <c:pt idx="298">
                  <c:v>42917</c:v>
                </c:pt>
                <c:pt idx="299">
                  <c:v>42948</c:v>
                </c:pt>
                <c:pt idx="300">
                  <c:v>42979</c:v>
                </c:pt>
                <c:pt idx="301">
                  <c:v>43009</c:v>
                </c:pt>
                <c:pt idx="302">
                  <c:v>43040</c:v>
                </c:pt>
                <c:pt idx="303">
                  <c:v>43070</c:v>
                </c:pt>
                <c:pt idx="304">
                  <c:v>43101</c:v>
                </c:pt>
                <c:pt idx="305">
                  <c:v>43132</c:v>
                </c:pt>
                <c:pt idx="306">
                  <c:v>43160</c:v>
                </c:pt>
                <c:pt idx="307">
                  <c:v>43191</c:v>
                </c:pt>
                <c:pt idx="308">
                  <c:v>43221</c:v>
                </c:pt>
                <c:pt idx="309">
                  <c:v>43252</c:v>
                </c:pt>
                <c:pt idx="310">
                  <c:v>43282</c:v>
                </c:pt>
                <c:pt idx="311">
                  <c:v>43313</c:v>
                </c:pt>
                <c:pt idx="312">
                  <c:v>43344</c:v>
                </c:pt>
                <c:pt idx="313">
                  <c:v>43374</c:v>
                </c:pt>
                <c:pt idx="314">
                  <c:v>43405</c:v>
                </c:pt>
                <c:pt idx="315">
                  <c:v>43435</c:v>
                </c:pt>
                <c:pt idx="316">
                  <c:v>43466</c:v>
                </c:pt>
                <c:pt idx="317">
                  <c:v>43497</c:v>
                </c:pt>
                <c:pt idx="318">
                  <c:v>43525</c:v>
                </c:pt>
                <c:pt idx="319">
                  <c:v>43556</c:v>
                </c:pt>
                <c:pt idx="320">
                  <c:v>43586</c:v>
                </c:pt>
                <c:pt idx="321">
                  <c:v>43617</c:v>
                </c:pt>
                <c:pt idx="322">
                  <c:v>43647</c:v>
                </c:pt>
                <c:pt idx="323">
                  <c:v>43678</c:v>
                </c:pt>
                <c:pt idx="324">
                  <c:v>43709</c:v>
                </c:pt>
                <c:pt idx="325">
                  <c:v>43739</c:v>
                </c:pt>
                <c:pt idx="326">
                  <c:v>43770</c:v>
                </c:pt>
                <c:pt idx="327">
                  <c:v>43800</c:v>
                </c:pt>
                <c:pt idx="328">
                  <c:v>43831</c:v>
                </c:pt>
                <c:pt idx="329">
                  <c:v>43862</c:v>
                </c:pt>
                <c:pt idx="330">
                  <c:v>43891</c:v>
                </c:pt>
                <c:pt idx="331">
                  <c:v>43922</c:v>
                </c:pt>
                <c:pt idx="332">
                  <c:v>43952</c:v>
                </c:pt>
                <c:pt idx="333">
                  <c:v>43983</c:v>
                </c:pt>
                <c:pt idx="334">
                  <c:v>44013</c:v>
                </c:pt>
                <c:pt idx="335">
                  <c:v>44044</c:v>
                </c:pt>
                <c:pt idx="336">
                  <c:v>44075</c:v>
                </c:pt>
                <c:pt idx="337">
                  <c:v>44105</c:v>
                </c:pt>
                <c:pt idx="338">
                  <c:v>44136</c:v>
                </c:pt>
                <c:pt idx="339">
                  <c:v>44166</c:v>
                </c:pt>
                <c:pt idx="340">
                  <c:v>44197</c:v>
                </c:pt>
                <c:pt idx="341">
                  <c:v>44228</c:v>
                </c:pt>
                <c:pt idx="342">
                  <c:v>44256</c:v>
                </c:pt>
                <c:pt idx="343">
                  <c:v>44287</c:v>
                </c:pt>
                <c:pt idx="344">
                  <c:v>44317</c:v>
                </c:pt>
                <c:pt idx="345">
                  <c:v>44348</c:v>
                </c:pt>
                <c:pt idx="346">
                  <c:v>44378</c:v>
                </c:pt>
                <c:pt idx="347">
                  <c:v>44409</c:v>
                </c:pt>
                <c:pt idx="348">
                  <c:v>44440</c:v>
                </c:pt>
                <c:pt idx="349">
                  <c:v>44470</c:v>
                </c:pt>
                <c:pt idx="350">
                  <c:v>44501</c:v>
                </c:pt>
                <c:pt idx="351">
                  <c:v>44531</c:v>
                </c:pt>
                <c:pt idx="352">
                  <c:v>44562</c:v>
                </c:pt>
                <c:pt idx="353">
                  <c:v>44593</c:v>
                </c:pt>
                <c:pt idx="354">
                  <c:v>44621</c:v>
                </c:pt>
                <c:pt idx="355">
                  <c:v>44652</c:v>
                </c:pt>
                <c:pt idx="356">
                  <c:v>44682</c:v>
                </c:pt>
                <c:pt idx="357">
                  <c:v>44713</c:v>
                </c:pt>
                <c:pt idx="358">
                  <c:v>44743</c:v>
                </c:pt>
                <c:pt idx="359">
                  <c:v>44774</c:v>
                </c:pt>
                <c:pt idx="360">
                  <c:v>44805</c:v>
                </c:pt>
                <c:pt idx="361">
                  <c:v>44835</c:v>
                </c:pt>
                <c:pt idx="362">
                  <c:v>44866</c:v>
                </c:pt>
                <c:pt idx="363">
                  <c:v>44896</c:v>
                </c:pt>
                <c:pt idx="364">
                  <c:v>44927</c:v>
                </c:pt>
                <c:pt idx="365">
                  <c:v>44958</c:v>
                </c:pt>
                <c:pt idx="366">
                  <c:v>44986</c:v>
                </c:pt>
                <c:pt idx="367">
                  <c:v>45017</c:v>
                </c:pt>
                <c:pt idx="368">
                  <c:v>45047</c:v>
                </c:pt>
                <c:pt idx="369">
                  <c:v>45078</c:v>
                </c:pt>
                <c:pt idx="370">
                  <c:v>45108</c:v>
                </c:pt>
                <c:pt idx="371">
                  <c:v>45139</c:v>
                </c:pt>
                <c:pt idx="372">
                  <c:v>45170</c:v>
                </c:pt>
                <c:pt idx="373">
                  <c:v>45200</c:v>
                </c:pt>
                <c:pt idx="374">
                  <c:v>45231</c:v>
                </c:pt>
                <c:pt idx="375">
                  <c:v>45261</c:v>
                </c:pt>
                <c:pt idx="376">
                  <c:v>45292</c:v>
                </c:pt>
                <c:pt idx="377">
                  <c:v>45323</c:v>
                </c:pt>
                <c:pt idx="378">
                  <c:v>45352</c:v>
                </c:pt>
                <c:pt idx="379">
                  <c:v>45383</c:v>
                </c:pt>
                <c:pt idx="380">
                  <c:v>45413</c:v>
                </c:pt>
                <c:pt idx="381">
                  <c:v>45444</c:v>
                </c:pt>
                <c:pt idx="382">
                  <c:v>45474</c:v>
                </c:pt>
                <c:pt idx="383">
                  <c:v>45505</c:v>
                </c:pt>
                <c:pt idx="384">
                  <c:v>45536</c:v>
                </c:pt>
                <c:pt idx="385">
                  <c:v>45566</c:v>
                </c:pt>
                <c:pt idx="386">
                  <c:v>45597</c:v>
                </c:pt>
                <c:pt idx="387">
                  <c:v>45627</c:v>
                </c:pt>
                <c:pt idx="388">
                  <c:v>45658</c:v>
                </c:pt>
                <c:pt idx="389">
                  <c:v>45689</c:v>
                </c:pt>
                <c:pt idx="390">
                  <c:v>45717</c:v>
                </c:pt>
                <c:pt idx="391">
                  <c:v>45748</c:v>
                </c:pt>
                <c:pt idx="392">
                  <c:v>45778</c:v>
                </c:pt>
                <c:pt idx="393">
                  <c:v>45809</c:v>
                </c:pt>
                <c:pt idx="394">
                  <c:v>45839</c:v>
                </c:pt>
                <c:pt idx="395">
                  <c:v>45870</c:v>
                </c:pt>
                <c:pt idx="396">
                  <c:v>45901</c:v>
                </c:pt>
                <c:pt idx="397">
                  <c:v>45931</c:v>
                </c:pt>
                <c:pt idx="398">
                  <c:v>45962</c:v>
                </c:pt>
                <c:pt idx="399">
                  <c:v>45992</c:v>
                </c:pt>
                <c:pt idx="400">
                  <c:v>46023</c:v>
                </c:pt>
                <c:pt idx="401">
                  <c:v>46054</c:v>
                </c:pt>
                <c:pt idx="402">
                  <c:v>46082</c:v>
                </c:pt>
                <c:pt idx="403">
                  <c:v>46113</c:v>
                </c:pt>
                <c:pt idx="404">
                  <c:v>46143</c:v>
                </c:pt>
                <c:pt idx="405">
                  <c:v>46174</c:v>
                </c:pt>
                <c:pt idx="406">
                  <c:v>46204</c:v>
                </c:pt>
                <c:pt idx="407">
                  <c:v>46235</c:v>
                </c:pt>
                <c:pt idx="408">
                  <c:v>46266</c:v>
                </c:pt>
                <c:pt idx="409">
                  <c:v>46296</c:v>
                </c:pt>
                <c:pt idx="410">
                  <c:v>46327</c:v>
                </c:pt>
                <c:pt idx="411">
                  <c:v>46357</c:v>
                </c:pt>
                <c:pt idx="412">
                  <c:v>46388</c:v>
                </c:pt>
                <c:pt idx="413">
                  <c:v>46419</c:v>
                </c:pt>
                <c:pt idx="414">
                  <c:v>46447</c:v>
                </c:pt>
                <c:pt idx="415">
                  <c:v>46478</c:v>
                </c:pt>
                <c:pt idx="416">
                  <c:v>46508</c:v>
                </c:pt>
                <c:pt idx="417">
                  <c:v>46539</c:v>
                </c:pt>
                <c:pt idx="418">
                  <c:v>46569</c:v>
                </c:pt>
                <c:pt idx="419">
                  <c:v>46600</c:v>
                </c:pt>
                <c:pt idx="420">
                  <c:v>46631</c:v>
                </c:pt>
                <c:pt idx="421">
                  <c:v>46661</c:v>
                </c:pt>
                <c:pt idx="422">
                  <c:v>46692</c:v>
                </c:pt>
                <c:pt idx="423">
                  <c:v>46722</c:v>
                </c:pt>
                <c:pt idx="424">
                  <c:v>46753</c:v>
                </c:pt>
                <c:pt idx="425">
                  <c:v>46784</c:v>
                </c:pt>
                <c:pt idx="426">
                  <c:v>46813</c:v>
                </c:pt>
                <c:pt idx="427">
                  <c:v>46844</c:v>
                </c:pt>
                <c:pt idx="428">
                  <c:v>46874</c:v>
                </c:pt>
                <c:pt idx="429">
                  <c:v>46905</c:v>
                </c:pt>
                <c:pt idx="430">
                  <c:v>46935</c:v>
                </c:pt>
                <c:pt idx="431">
                  <c:v>46966</c:v>
                </c:pt>
                <c:pt idx="432">
                  <c:v>46997</c:v>
                </c:pt>
                <c:pt idx="433">
                  <c:v>47027</c:v>
                </c:pt>
                <c:pt idx="434">
                  <c:v>47058</c:v>
                </c:pt>
                <c:pt idx="435">
                  <c:v>47088</c:v>
                </c:pt>
                <c:pt idx="436">
                  <c:v>47119</c:v>
                </c:pt>
                <c:pt idx="437">
                  <c:v>47150</c:v>
                </c:pt>
                <c:pt idx="438">
                  <c:v>47178</c:v>
                </c:pt>
                <c:pt idx="439">
                  <c:v>47209</c:v>
                </c:pt>
                <c:pt idx="440">
                  <c:v>47239</c:v>
                </c:pt>
                <c:pt idx="441">
                  <c:v>47270</c:v>
                </c:pt>
                <c:pt idx="442">
                  <c:v>47300</c:v>
                </c:pt>
                <c:pt idx="443">
                  <c:v>47331</c:v>
                </c:pt>
                <c:pt idx="444">
                  <c:v>47362</c:v>
                </c:pt>
              </c:numCache>
            </c:numRef>
          </c:cat>
          <c:val>
            <c:numRef>
              <c:f>'NOPA Crush'!$E$158:$E$625</c:f>
              <c:numCache>
                <c:formatCode>_(* #,##0.000_);_(* \(#,##0.000\);_(* "-"??_);_(@_)</c:formatCode>
                <c:ptCount val="468"/>
                <c:pt idx="0">
                  <c:v>3.8273666666666668</c:v>
                </c:pt>
                <c:pt idx="1">
                  <c:v>3.975806451612903</c:v>
                </c:pt>
                <c:pt idx="2">
                  <c:v>3.9758333333333336</c:v>
                </c:pt>
                <c:pt idx="3">
                  <c:v>3.8711612903225805</c:v>
                </c:pt>
                <c:pt idx="4">
                  <c:v>3.9944516129032257</c:v>
                </c:pt>
                <c:pt idx="5">
                  <c:v>3.9944285714285712</c:v>
                </c:pt>
                <c:pt idx="6">
                  <c:v>3.9944516129032257</c:v>
                </c:pt>
                <c:pt idx="7">
                  <c:v>4.0049666666666663</c:v>
                </c:pt>
                <c:pt idx="8">
                  <c:v>4.0050322580645163</c:v>
                </c:pt>
                <c:pt idx="9">
                  <c:v>4.0049999999999999</c:v>
                </c:pt>
                <c:pt idx="10">
                  <c:v>4.0231935483870966</c:v>
                </c:pt>
                <c:pt idx="11">
                  <c:v>4.0231935483870966</c:v>
                </c:pt>
                <c:pt idx="12">
                  <c:v>4.0232000000000001</c:v>
                </c:pt>
                <c:pt idx="13">
                  <c:v>4.0418064516129038</c:v>
                </c:pt>
                <c:pt idx="14">
                  <c:v>4.0417666666666667</c:v>
                </c:pt>
                <c:pt idx="15">
                  <c:v>4.0418064516129038</c:v>
                </c:pt>
                <c:pt idx="16">
                  <c:v>4.048451612903226</c:v>
                </c:pt>
                <c:pt idx="17">
                  <c:v>4.0483928571428569</c:v>
                </c:pt>
                <c:pt idx="18">
                  <c:v>4.048451612903226</c:v>
                </c:pt>
                <c:pt idx="19">
                  <c:v>4.0607666666666669</c:v>
                </c:pt>
                <c:pt idx="20">
                  <c:v>4.0607096774193554</c:v>
                </c:pt>
                <c:pt idx="21">
                  <c:v>4.0607666666666669</c:v>
                </c:pt>
                <c:pt idx="22">
                  <c:v>4.0586129032258063</c:v>
                </c:pt>
                <c:pt idx="23">
                  <c:v>4.0585806451612907</c:v>
                </c:pt>
                <c:pt idx="24">
                  <c:v>4.0586333333333338</c:v>
                </c:pt>
                <c:pt idx="25">
                  <c:v>4.0728709677419355</c:v>
                </c:pt>
                <c:pt idx="26">
                  <c:v>4.0728666666666671</c:v>
                </c:pt>
                <c:pt idx="27">
                  <c:v>4.0728709677419355</c:v>
                </c:pt>
                <c:pt idx="28">
                  <c:v>4.7911935483870964</c:v>
                </c:pt>
                <c:pt idx="29">
                  <c:v>4.7912499999999998</c:v>
                </c:pt>
                <c:pt idx="30">
                  <c:v>4.7911935483870964</c:v>
                </c:pt>
                <c:pt idx="31">
                  <c:v>4.8530999999999995</c:v>
                </c:pt>
                <c:pt idx="32">
                  <c:v>4.8530967741935482</c:v>
                </c:pt>
                <c:pt idx="33">
                  <c:v>4.8530999999999995</c:v>
                </c:pt>
                <c:pt idx="34">
                  <c:v>4.8624516129032251</c:v>
                </c:pt>
                <c:pt idx="35">
                  <c:v>4.8624516129032251</c:v>
                </c:pt>
                <c:pt idx="36">
                  <c:v>4.8624333333333327</c:v>
                </c:pt>
                <c:pt idx="37">
                  <c:v>4.8232258064516129</c:v>
                </c:pt>
                <c:pt idx="38">
                  <c:v>4.8231999999999999</c:v>
                </c:pt>
                <c:pt idx="39">
                  <c:v>4.8232258064516129</c:v>
                </c:pt>
                <c:pt idx="40">
                  <c:v>4.8821290322580646</c:v>
                </c:pt>
                <c:pt idx="41">
                  <c:v>4.8821379310344826</c:v>
                </c:pt>
                <c:pt idx="42">
                  <c:v>4.8821290322580646</c:v>
                </c:pt>
                <c:pt idx="43">
                  <c:v>4.8990333333333336</c:v>
                </c:pt>
                <c:pt idx="44">
                  <c:v>4.8990645161290329</c:v>
                </c:pt>
                <c:pt idx="45">
                  <c:v>4.8990333333333336</c:v>
                </c:pt>
                <c:pt idx="46">
                  <c:v>4.8830967741935485</c:v>
                </c:pt>
                <c:pt idx="47">
                  <c:v>4.8830967741935485</c:v>
                </c:pt>
                <c:pt idx="48">
                  <c:v>4.8831333333333333</c:v>
                </c:pt>
                <c:pt idx="49">
                  <c:v>4.9527096774193549</c:v>
                </c:pt>
                <c:pt idx="50">
                  <c:v>5.0201000000000002</c:v>
                </c:pt>
                <c:pt idx="51">
                  <c:v>5.0200967741935481</c:v>
                </c:pt>
                <c:pt idx="52">
                  <c:v>5.0738387096774193</c:v>
                </c:pt>
                <c:pt idx="53">
                  <c:v>5.2550357142857136</c:v>
                </c:pt>
                <c:pt idx="54">
                  <c:v>5.0738387096774193</c:v>
                </c:pt>
                <c:pt idx="55">
                  <c:v>5.0919666666666661</c:v>
                </c:pt>
                <c:pt idx="56">
                  <c:v>5.0920322580645161</c:v>
                </c:pt>
                <c:pt idx="57">
                  <c:v>5.0919666666666661</c:v>
                </c:pt>
                <c:pt idx="58">
                  <c:v>5.1423870967741934</c:v>
                </c:pt>
                <c:pt idx="59">
                  <c:v>5.1423870967741934</c:v>
                </c:pt>
                <c:pt idx="60">
                  <c:v>5.142433333333333</c:v>
                </c:pt>
                <c:pt idx="61">
                  <c:v>5.2614193548387105</c:v>
                </c:pt>
                <c:pt idx="62">
                  <c:v>5.2614666666666663</c:v>
                </c:pt>
                <c:pt idx="63">
                  <c:v>5.2614193548387105</c:v>
                </c:pt>
                <c:pt idx="64">
                  <c:v>5.436387096774193</c:v>
                </c:pt>
                <c:pt idx="65">
                  <c:v>5.6305357142857142</c:v>
                </c:pt>
                <c:pt idx="66">
                  <c:v>5.436387096774193</c:v>
                </c:pt>
                <c:pt idx="67">
                  <c:v>5.4889333333333337</c:v>
                </c:pt>
                <c:pt idx="68">
                  <c:v>5.4889677419354834</c:v>
                </c:pt>
                <c:pt idx="69">
                  <c:v>5.4889333333333337</c:v>
                </c:pt>
                <c:pt idx="70">
                  <c:v>5.4841935483870961</c:v>
                </c:pt>
                <c:pt idx="71">
                  <c:v>5.4841612903225805</c:v>
                </c:pt>
                <c:pt idx="72">
                  <c:v>5.4841666666666669</c:v>
                </c:pt>
                <c:pt idx="73">
                  <c:v>5.4060645161290317</c:v>
                </c:pt>
                <c:pt idx="74">
                  <c:v>5.4060999999999995</c:v>
                </c:pt>
                <c:pt idx="75">
                  <c:v>5.4060645161290317</c:v>
                </c:pt>
                <c:pt idx="76">
                  <c:v>5.4297096774193552</c:v>
                </c:pt>
                <c:pt idx="77">
                  <c:v>5.6236785714285711</c:v>
                </c:pt>
                <c:pt idx="78">
                  <c:v>5.4297096774193552</c:v>
                </c:pt>
                <c:pt idx="79">
                  <c:v>5.5312666666666663</c:v>
                </c:pt>
                <c:pt idx="80">
                  <c:v>5.5312903225806451</c:v>
                </c:pt>
                <c:pt idx="81">
                  <c:v>5.5312666666666663</c:v>
                </c:pt>
                <c:pt idx="82">
                  <c:v>5.5675806451612901</c:v>
                </c:pt>
                <c:pt idx="83">
                  <c:v>5.5675806451612901</c:v>
                </c:pt>
                <c:pt idx="84">
                  <c:v>5.5675666666666661</c:v>
                </c:pt>
                <c:pt idx="85">
                  <c:v>5.6959677419354833</c:v>
                </c:pt>
                <c:pt idx="86">
                  <c:v>5.6959333333333326</c:v>
                </c:pt>
                <c:pt idx="87">
                  <c:v>5.6959677419354833</c:v>
                </c:pt>
                <c:pt idx="88">
                  <c:v>5.7155806451612898</c:v>
                </c:pt>
                <c:pt idx="89">
                  <c:v>5.7155862068965524</c:v>
                </c:pt>
                <c:pt idx="90">
                  <c:v>5.7155806451612898</c:v>
                </c:pt>
                <c:pt idx="91">
                  <c:v>5.5957666666666661</c:v>
                </c:pt>
                <c:pt idx="92">
                  <c:v>5.560741935483871</c:v>
                </c:pt>
                <c:pt idx="93">
                  <c:v>5.5263333333333327</c:v>
                </c:pt>
                <c:pt idx="94">
                  <c:v>5.2545806451612904</c:v>
                </c:pt>
                <c:pt idx="95">
                  <c:v>5.2545806451612904</c:v>
                </c:pt>
                <c:pt idx="96">
                  <c:v>5.2545666666666664</c:v>
                </c:pt>
                <c:pt idx="97">
                  <c:v>5.2569354838709677</c:v>
                </c:pt>
                <c:pt idx="98">
                  <c:v>5.2569333333333335</c:v>
                </c:pt>
                <c:pt idx="99">
                  <c:v>5.2569354838709677</c:v>
                </c:pt>
                <c:pt idx="100">
                  <c:v>5.225677419354839</c:v>
                </c:pt>
                <c:pt idx="101">
                  <c:v>5.2256785714285714</c:v>
                </c:pt>
                <c:pt idx="102">
                  <c:v>5.225677419354839</c:v>
                </c:pt>
                <c:pt idx="103">
                  <c:v>5.2290333333333336</c:v>
                </c:pt>
                <c:pt idx="104">
                  <c:v>5.2290322580645157</c:v>
                </c:pt>
                <c:pt idx="105">
                  <c:v>5.2290333333333336</c:v>
                </c:pt>
                <c:pt idx="106">
                  <c:v>5.2263548387096774</c:v>
                </c:pt>
                <c:pt idx="107">
                  <c:v>5.2263548387096774</c:v>
                </c:pt>
                <c:pt idx="108">
                  <c:v>5.2263333333333328</c:v>
                </c:pt>
                <c:pt idx="109">
                  <c:v>5.2680645161290327</c:v>
                </c:pt>
                <c:pt idx="110">
                  <c:v>5.2680666666666669</c:v>
                </c:pt>
                <c:pt idx="111">
                  <c:v>5.2680645161290327</c:v>
                </c:pt>
                <c:pt idx="112">
                  <c:v>5.2943225806451615</c:v>
                </c:pt>
                <c:pt idx="113">
                  <c:v>5.2943214285714291</c:v>
                </c:pt>
                <c:pt idx="114">
                  <c:v>5.2943225806451615</c:v>
                </c:pt>
                <c:pt idx="115">
                  <c:v>5.3068</c:v>
                </c:pt>
                <c:pt idx="116">
                  <c:v>5.3068064516129034</c:v>
                </c:pt>
                <c:pt idx="117">
                  <c:v>5.3068</c:v>
                </c:pt>
                <c:pt idx="118">
                  <c:v>5.2303225806451605</c:v>
                </c:pt>
                <c:pt idx="119">
                  <c:v>5.2303225806451605</c:v>
                </c:pt>
                <c:pt idx="120">
                  <c:v>5.2303333333333333</c:v>
                </c:pt>
                <c:pt idx="121">
                  <c:v>5.2334516129032256</c:v>
                </c:pt>
                <c:pt idx="122">
                  <c:v>5.2334666666666667</c:v>
                </c:pt>
                <c:pt idx="123">
                  <c:v>5.2334516129032256</c:v>
                </c:pt>
                <c:pt idx="124">
                  <c:v>5.2388064516129029</c:v>
                </c:pt>
                <c:pt idx="125">
                  <c:v>5.2387857142857142</c:v>
                </c:pt>
                <c:pt idx="126">
                  <c:v>5.2388064516129029</c:v>
                </c:pt>
                <c:pt idx="127">
                  <c:v>5.241766666666666</c:v>
                </c:pt>
                <c:pt idx="128">
                  <c:v>5.2417741935483875</c:v>
                </c:pt>
                <c:pt idx="129">
                  <c:v>5.241766666666666</c:v>
                </c:pt>
                <c:pt idx="130">
                  <c:v>5.1028709677419348</c:v>
                </c:pt>
                <c:pt idx="131">
                  <c:v>5.1028709677419348</c:v>
                </c:pt>
                <c:pt idx="132">
                  <c:v>5.1029</c:v>
                </c:pt>
                <c:pt idx="133">
                  <c:v>5.1139354838709679</c:v>
                </c:pt>
                <c:pt idx="134">
                  <c:v>5.1139333333333337</c:v>
                </c:pt>
                <c:pt idx="135">
                  <c:v>5.1139354838709679</c:v>
                </c:pt>
                <c:pt idx="136">
                  <c:v>5.2405161290322573</c:v>
                </c:pt>
                <c:pt idx="137">
                  <c:v>5.2389655172413798</c:v>
                </c:pt>
                <c:pt idx="138">
                  <c:v>5.2405161290322573</c:v>
                </c:pt>
                <c:pt idx="139">
                  <c:v>5.2403000000000004</c:v>
                </c:pt>
                <c:pt idx="140">
                  <c:v>5.2403225806451612</c:v>
                </c:pt>
                <c:pt idx="141">
                  <c:v>5.2403000000000004</c:v>
                </c:pt>
                <c:pt idx="142">
                  <c:v>5.2434838709677418</c:v>
                </c:pt>
                <c:pt idx="143">
                  <c:v>5.2434516129032254</c:v>
                </c:pt>
                <c:pt idx="144">
                  <c:v>5.2435</c:v>
                </c:pt>
                <c:pt idx="145">
                  <c:v>5.3272258064516134</c:v>
                </c:pt>
                <c:pt idx="146">
                  <c:v>5.3272000000000004</c:v>
                </c:pt>
                <c:pt idx="147">
                  <c:v>5.3391935483870965</c:v>
                </c:pt>
                <c:pt idx="148">
                  <c:v>5.3391935483870965</c:v>
                </c:pt>
                <c:pt idx="149">
                  <c:v>5.3392142857142852</c:v>
                </c:pt>
                <c:pt idx="150">
                  <c:v>5.3391935483870965</c:v>
                </c:pt>
                <c:pt idx="151">
                  <c:v>5.3383999999999991</c:v>
                </c:pt>
                <c:pt idx="152">
                  <c:v>5.3384193548387104</c:v>
                </c:pt>
                <c:pt idx="153">
                  <c:v>5.3383999999999991</c:v>
                </c:pt>
                <c:pt idx="154">
                  <c:v>5.3420645161290325</c:v>
                </c:pt>
                <c:pt idx="155">
                  <c:v>5.3420645161290325</c:v>
                </c:pt>
                <c:pt idx="156">
                  <c:v>5.3420666666666667</c:v>
                </c:pt>
                <c:pt idx="157">
                  <c:v>5.2636451612903228</c:v>
                </c:pt>
                <c:pt idx="158">
                  <c:v>5.2636666666666665</c:v>
                </c:pt>
                <c:pt idx="159">
                  <c:v>5.2636451612903228</c:v>
                </c:pt>
                <c:pt idx="160">
                  <c:v>5.253774193548387</c:v>
                </c:pt>
                <c:pt idx="161">
                  <c:v>5.2537857142857138</c:v>
                </c:pt>
                <c:pt idx="162">
                  <c:v>5.253774193548387</c:v>
                </c:pt>
                <c:pt idx="163">
                  <c:v>5.3048666666666664</c:v>
                </c:pt>
                <c:pt idx="164">
                  <c:v>5.3048709677419357</c:v>
                </c:pt>
                <c:pt idx="165">
                  <c:v>5.3048666666666664</c:v>
                </c:pt>
                <c:pt idx="166">
                  <c:v>5.3242903225806453</c:v>
                </c:pt>
                <c:pt idx="167">
                  <c:v>5.3242903225806453</c:v>
                </c:pt>
                <c:pt idx="168">
                  <c:v>5.3243</c:v>
                </c:pt>
                <c:pt idx="169">
                  <c:v>5.3462580645161291</c:v>
                </c:pt>
                <c:pt idx="170">
                  <c:v>5.3462333333333332</c:v>
                </c:pt>
                <c:pt idx="171">
                  <c:v>5.3462580645161291</c:v>
                </c:pt>
                <c:pt idx="172">
                  <c:v>5.3590322580645156</c:v>
                </c:pt>
                <c:pt idx="173">
                  <c:v>5.3590357142857146</c:v>
                </c:pt>
                <c:pt idx="174">
                  <c:v>5.3590322580645156</c:v>
                </c:pt>
                <c:pt idx="175">
                  <c:v>5.3332000000000006</c:v>
                </c:pt>
                <c:pt idx="176">
                  <c:v>5.3331935483870971</c:v>
                </c:pt>
                <c:pt idx="177">
                  <c:v>5.3332000000000006</c:v>
                </c:pt>
                <c:pt idx="178">
                  <c:v>5.3545483870967745</c:v>
                </c:pt>
                <c:pt idx="179">
                  <c:v>5.3545483870967745</c:v>
                </c:pt>
                <c:pt idx="180">
                  <c:v>5.3545333333333334</c:v>
                </c:pt>
                <c:pt idx="181">
                  <c:v>5.3761612903225808</c:v>
                </c:pt>
                <c:pt idx="182">
                  <c:v>5.3761666666666663</c:v>
                </c:pt>
                <c:pt idx="183">
                  <c:v>5.3761612903225808</c:v>
                </c:pt>
                <c:pt idx="184">
                  <c:v>5.5313225806451616</c:v>
                </c:pt>
                <c:pt idx="185">
                  <c:v>5.5313103448275855</c:v>
                </c:pt>
                <c:pt idx="186">
                  <c:v>5.5313225806451616</c:v>
                </c:pt>
                <c:pt idx="187">
                  <c:v>5.4438666666666666</c:v>
                </c:pt>
                <c:pt idx="188">
                  <c:v>5.4438387096774186</c:v>
                </c:pt>
                <c:pt idx="189">
                  <c:v>5.4438666666666666</c:v>
                </c:pt>
                <c:pt idx="190">
                  <c:v>5.4723548387096779</c:v>
                </c:pt>
                <c:pt idx="191">
                  <c:v>5.4723548387096779</c:v>
                </c:pt>
                <c:pt idx="192">
                  <c:v>5.4723666666666668</c:v>
                </c:pt>
                <c:pt idx="193">
                  <c:v>5.5686774193548381</c:v>
                </c:pt>
                <c:pt idx="194">
                  <c:v>5.5687000000000006</c:v>
                </c:pt>
                <c:pt idx="195">
                  <c:v>5.5686774193548381</c:v>
                </c:pt>
                <c:pt idx="196">
                  <c:v>5.5870645161290327</c:v>
                </c:pt>
                <c:pt idx="197">
                  <c:v>5.587071428571428</c:v>
                </c:pt>
                <c:pt idx="198">
                  <c:v>5.5870645161290327</c:v>
                </c:pt>
                <c:pt idx="199">
                  <c:v>5.5897666666666668</c:v>
                </c:pt>
                <c:pt idx="200">
                  <c:v>5.5897741935483864</c:v>
                </c:pt>
                <c:pt idx="201">
                  <c:v>5.5897666666666668</c:v>
                </c:pt>
                <c:pt idx="202">
                  <c:v>5.545064516129032</c:v>
                </c:pt>
                <c:pt idx="203">
                  <c:v>5.545064516129032</c:v>
                </c:pt>
                <c:pt idx="204">
                  <c:v>5.545066666666667</c:v>
                </c:pt>
                <c:pt idx="205">
                  <c:v>5.5769677419354835</c:v>
                </c:pt>
                <c:pt idx="206">
                  <c:v>5.5769666666666664</c:v>
                </c:pt>
                <c:pt idx="207">
                  <c:v>5.5769677419354835</c:v>
                </c:pt>
                <c:pt idx="208">
                  <c:v>5.7021612903225805</c:v>
                </c:pt>
                <c:pt idx="209">
                  <c:v>5.7021785714285711</c:v>
                </c:pt>
                <c:pt idx="210">
                  <c:v>5.7021612903225805</c:v>
                </c:pt>
                <c:pt idx="211">
                  <c:v>5.7021612903225805</c:v>
                </c:pt>
                <c:pt idx="212">
                  <c:v>5.5821612903225803</c:v>
                </c:pt>
                <c:pt idx="213">
                  <c:v>5.5821612903225803</c:v>
                </c:pt>
                <c:pt idx="214">
                  <c:v>5.5821612903225803</c:v>
                </c:pt>
                <c:pt idx="215">
                  <c:v>5.5821612903225803</c:v>
                </c:pt>
                <c:pt idx="216">
                  <c:v>5.5821612903225803</c:v>
                </c:pt>
                <c:pt idx="217">
                  <c:v>5.5821612903225803</c:v>
                </c:pt>
                <c:pt idx="218">
                  <c:v>5.5821612903225803</c:v>
                </c:pt>
                <c:pt idx="219">
                  <c:v>5.5821612903225803</c:v>
                </c:pt>
                <c:pt idx="220">
                  <c:v>5.5821612903225803</c:v>
                </c:pt>
                <c:pt idx="221">
                  <c:v>5.5821612903225803</c:v>
                </c:pt>
                <c:pt idx="222">
                  <c:v>5.5821612903225803</c:v>
                </c:pt>
                <c:pt idx="223">
                  <c:v>5.5221612903225807</c:v>
                </c:pt>
                <c:pt idx="224">
                  <c:v>5.5221612903225807</c:v>
                </c:pt>
                <c:pt idx="225">
                  <c:v>5.5221612903225807</c:v>
                </c:pt>
                <c:pt idx="226">
                  <c:v>5.5221612903225807</c:v>
                </c:pt>
                <c:pt idx="227">
                  <c:v>5.5221612903225807</c:v>
                </c:pt>
                <c:pt idx="228">
                  <c:v>5.5221612903225807</c:v>
                </c:pt>
                <c:pt idx="229">
                  <c:v>5.5221612903225807</c:v>
                </c:pt>
                <c:pt idx="230">
                  <c:v>5.5221612903225807</c:v>
                </c:pt>
                <c:pt idx="231">
                  <c:v>5.5221612903225807</c:v>
                </c:pt>
                <c:pt idx="232">
                  <c:v>5.5221612903225807</c:v>
                </c:pt>
                <c:pt idx="233">
                  <c:v>5.4541612903225811</c:v>
                </c:pt>
                <c:pt idx="234">
                  <c:v>5.4541612903225811</c:v>
                </c:pt>
                <c:pt idx="235">
                  <c:v>5.4541612903225811</c:v>
                </c:pt>
                <c:pt idx="236">
                  <c:v>5.4541612903225811</c:v>
                </c:pt>
                <c:pt idx="237">
                  <c:v>5.4541612903225811</c:v>
                </c:pt>
                <c:pt idx="238">
                  <c:v>5.4541612903225811</c:v>
                </c:pt>
                <c:pt idx="239">
                  <c:v>5.4541612903225811</c:v>
                </c:pt>
                <c:pt idx="240">
                  <c:v>5.4541612903225811</c:v>
                </c:pt>
                <c:pt idx="241">
                  <c:v>5.4541612903225811</c:v>
                </c:pt>
                <c:pt idx="242">
                  <c:v>5.4541612903225811</c:v>
                </c:pt>
                <c:pt idx="243">
                  <c:v>5.4541612903225811</c:v>
                </c:pt>
                <c:pt idx="244">
                  <c:v>5.4541612903225811</c:v>
                </c:pt>
                <c:pt idx="245">
                  <c:v>5.4541612903225811</c:v>
                </c:pt>
                <c:pt idx="246">
                  <c:v>5.4541612903225811</c:v>
                </c:pt>
                <c:pt idx="247">
                  <c:v>5.4541612903225811</c:v>
                </c:pt>
                <c:pt idx="248">
                  <c:v>5.4541612903225811</c:v>
                </c:pt>
                <c:pt idx="249">
                  <c:v>5.4541612903225811</c:v>
                </c:pt>
                <c:pt idx="250">
                  <c:v>5.4541612903225811</c:v>
                </c:pt>
                <c:pt idx="251">
                  <c:v>5.4541612903225811</c:v>
                </c:pt>
                <c:pt idx="252">
                  <c:v>5.4541612903225811</c:v>
                </c:pt>
                <c:pt idx="253">
                  <c:v>5.4541612903225811</c:v>
                </c:pt>
                <c:pt idx="254">
                  <c:v>5.4541612903225811</c:v>
                </c:pt>
                <c:pt idx="255">
                  <c:v>5.4541612903225811</c:v>
                </c:pt>
                <c:pt idx="256">
                  <c:v>5.4541612903225811</c:v>
                </c:pt>
                <c:pt idx="257">
                  <c:v>5.4541612903225811</c:v>
                </c:pt>
                <c:pt idx="258">
                  <c:v>5.4541612903225811</c:v>
                </c:pt>
                <c:pt idx="259">
                  <c:v>5.4541612903225811</c:v>
                </c:pt>
                <c:pt idx="260">
                  <c:v>5.4541612903225811</c:v>
                </c:pt>
                <c:pt idx="261">
                  <c:v>5.4541612903225811</c:v>
                </c:pt>
                <c:pt idx="262">
                  <c:v>5.4541612903225811</c:v>
                </c:pt>
                <c:pt idx="263">
                  <c:v>5.4541612903225811</c:v>
                </c:pt>
                <c:pt idx="264">
                  <c:v>5.4541612903225811</c:v>
                </c:pt>
                <c:pt idx="265">
                  <c:v>5.4541612903225811</c:v>
                </c:pt>
                <c:pt idx="266">
                  <c:v>5.4541612903225811</c:v>
                </c:pt>
                <c:pt idx="267">
                  <c:v>5.4541612903225811</c:v>
                </c:pt>
                <c:pt idx="268">
                  <c:v>5.4541612903225811</c:v>
                </c:pt>
                <c:pt idx="269">
                  <c:v>5.4541612903225811</c:v>
                </c:pt>
                <c:pt idx="270">
                  <c:v>5.4541612903225811</c:v>
                </c:pt>
                <c:pt idx="271">
                  <c:v>5.4541612903225811</c:v>
                </c:pt>
                <c:pt idx="272">
                  <c:v>5.4541612903225811</c:v>
                </c:pt>
                <c:pt idx="273">
                  <c:v>5.4541612903225811</c:v>
                </c:pt>
                <c:pt idx="274">
                  <c:v>5.4541612903225811</c:v>
                </c:pt>
                <c:pt idx="275">
                  <c:v>5.4541612903225811</c:v>
                </c:pt>
                <c:pt idx="276">
                  <c:v>5.4541612903225811</c:v>
                </c:pt>
                <c:pt idx="277">
                  <c:v>5.4541612903225811</c:v>
                </c:pt>
                <c:pt idx="278">
                  <c:v>5.4541612903225811</c:v>
                </c:pt>
                <c:pt idx="279">
                  <c:v>5.4541612903225811</c:v>
                </c:pt>
                <c:pt idx="280">
                  <c:v>5.4541612903225811</c:v>
                </c:pt>
                <c:pt idx="281">
                  <c:v>5.4541612903225811</c:v>
                </c:pt>
                <c:pt idx="282">
                  <c:v>5.4541612903225811</c:v>
                </c:pt>
                <c:pt idx="283">
                  <c:v>5.4541612903225811</c:v>
                </c:pt>
                <c:pt idx="284">
                  <c:v>5.4541612903225811</c:v>
                </c:pt>
                <c:pt idx="285">
                  <c:v>5.4541612903225811</c:v>
                </c:pt>
                <c:pt idx="286">
                  <c:v>5.4541612903225811</c:v>
                </c:pt>
                <c:pt idx="287">
                  <c:v>5.4541612903225811</c:v>
                </c:pt>
                <c:pt idx="288">
                  <c:v>5.4541612903225811</c:v>
                </c:pt>
                <c:pt idx="289">
                  <c:v>5.4714612903225808</c:v>
                </c:pt>
                <c:pt idx="290">
                  <c:v>5.4714612903225808</c:v>
                </c:pt>
                <c:pt idx="291">
                  <c:v>5.4714612903225808</c:v>
                </c:pt>
                <c:pt idx="292">
                  <c:v>5.4714612903225808</c:v>
                </c:pt>
                <c:pt idx="293">
                  <c:v>5.4714612903225808</c:v>
                </c:pt>
                <c:pt idx="294">
                  <c:v>5.4714612903225808</c:v>
                </c:pt>
                <c:pt idx="295">
                  <c:v>5.4714612903225808</c:v>
                </c:pt>
                <c:pt idx="296">
                  <c:v>5.5244612903225807</c:v>
                </c:pt>
                <c:pt idx="297">
                  <c:v>5.5244612903225807</c:v>
                </c:pt>
                <c:pt idx="298">
                  <c:v>5.5244612903225807</c:v>
                </c:pt>
                <c:pt idx="299">
                  <c:v>5.5244612903225807</c:v>
                </c:pt>
                <c:pt idx="300">
                  <c:v>5.5244612903225807</c:v>
                </c:pt>
                <c:pt idx="301">
                  <c:v>5.5244612903225807</c:v>
                </c:pt>
                <c:pt idx="302">
                  <c:v>5.5244612903225807</c:v>
                </c:pt>
                <c:pt idx="303">
                  <c:v>5.5244612903225807</c:v>
                </c:pt>
                <c:pt idx="304">
                  <c:v>5.5244612903225807</c:v>
                </c:pt>
                <c:pt idx="305">
                  <c:v>5.5244612903225807</c:v>
                </c:pt>
                <c:pt idx="306">
                  <c:v>5.5244612903225807</c:v>
                </c:pt>
                <c:pt idx="307">
                  <c:v>5.5244612903225807</c:v>
                </c:pt>
                <c:pt idx="308">
                  <c:v>5.5244612903225807</c:v>
                </c:pt>
                <c:pt idx="309">
                  <c:v>5.5244612903225807</c:v>
                </c:pt>
                <c:pt idx="310">
                  <c:v>5.5244612903225807</c:v>
                </c:pt>
                <c:pt idx="311">
                  <c:v>5.5244612903225807</c:v>
                </c:pt>
                <c:pt idx="312">
                  <c:v>5.5244612903225807</c:v>
                </c:pt>
                <c:pt idx="313">
                  <c:v>5.5244612903225807</c:v>
                </c:pt>
                <c:pt idx="314">
                  <c:v>5.5244612903225807</c:v>
                </c:pt>
                <c:pt idx="315">
                  <c:v>5.5244612903225807</c:v>
                </c:pt>
                <c:pt idx="316">
                  <c:v>5.5244612903225807</c:v>
                </c:pt>
                <c:pt idx="317">
                  <c:v>5.5244612903225807</c:v>
                </c:pt>
                <c:pt idx="318">
                  <c:v>5.7064612903225811</c:v>
                </c:pt>
                <c:pt idx="319">
                  <c:v>5.7064612903225811</c:v>
                </c:pt>
                <c:pt idx="320">
                  <c:v>5.8274612903225815</c:v>
                </c:pt>
                <c:pt idx="321">
                  <c:v>5.8844612903225819</c:v>
                </c:pt>
                <c:pt idx="322">
                  <c:v>5.8844612903225819</c:v>
                </c:pt>
                <c:pt idx="323">
                  <c:v>5.8844612903225819</c:v>
                </c:pt>
                <c:pt idx="324">
                  <c:v>5.8844612903225819</c:v>
                </c:pt>
                <c:pt idx="325">
                  <c:v>5.8844612903225819</c:v>
                </c:pt>
                <c:pt idx="326">
                  <c:v>5.8844612903225819</c:v>
                </c:pt>
                <c:pt idx="327">
                  <c:v>5.8844612903225819</c:v>
                </c:pt>
                <c:pt idx="328">
                  <c:v>5.8844612903225819</c:v>
                </c:pt>
                <c:pt idx="329">
                  <c:v>6.0114612903225817</c:v>
                </c:pt>
                <c:pt idx="330">
                  <c:v>6.0114612903225817</c:v>
                </c:pt>
                <c:pt idx="331">
                  <c:v>6.0114612903225817</c:v>
                </c:pt>
                <c:pt idx="332">
                  <c:v>6.1324612903225812</c:v>
                </c:pt>
                <c:pt idx="333">
                  <c:v>6.1324612903225812</c:v>
                </c:pt>
                <c:pt idx="334">
                  <c:v>6.1324612903225812</c:v>
                </c:pt>
                <c:pt idx="335">
                  <c:v>6.1324612903225812</c:v>
                </c:pt>
                <c:pt idx="336">
                  <c:v>6.1324612903225812</c:v>
                </c:pt>
                <c:pt idx="337">
                  <c:v>6.1324612903225812</c:v>
                </c:pt>
                <c:pt idx="338">
                  <c:v>6.1324612903225812</c:v>
                </c:pt>
                <c:pt idx="339">
                  <c:v>6.1324612903225812</c:v>
                </c:pt>
                <c:pt idx="340">
                  <c:v>6.1324612903225812</c:v>
                </c:pt>
                <c:pt idx="341">
                  <c:v>6.1324612903225812</c:v>
                </c:pt>
                <c:pt idx="342">
                  <c:v>6.2294612903225817</c:v>
                </c:pt>
                <c:pt idx="343">
                  <c:v>6.2294612903225817</c:v>
                </c:pt>
                <c:pt idx="344">
                  <c:v>6.2294612903225817</c:v>
                </c:pt>
                <c:pt idx="345">
                  <c:v>6.2294612903225817</c:v>
                </c:pt>
                <c:pt idx="346">
                  <c:v>6.2294612903225817</c:v>
                </c:pt>
                <c:pt idx="347">
                  <c:v>6.2294612903225817</c:v>
                </c:pt>
                <c:pt idx="348">
                  <c:v>6.246461290322582</c:v>
                </c:pt>
                <c:pt idx="349">
                  <c:v>6.3114612903225815</c:v>
                </c:pt>
                <c:pt idx="350">
                  <c:v>6.3114612903225815</c:v>
                </c:pt>
                <c:pt idx="351">
                  <c:v>6.3114612903225815</c:v>
                </c:pt>
                <c:pt idx="352">
                  <c:v>6.3114612903225815</c:v>
                </c:pt>
                <c:pt idx="353">
                  <c:v>6.3114612903225815</c:v>
                </c:pt>
                <c:pt idx="354">
                  <c:v>6.3349612903225818</c:v>
                </c:pt>
                <c:pt idx="355">
                  <c:v>6.3349612903225818</c:v>
                </c:pt>
                <c:pt idx="356">
                  <c:v>6.3349612903225818</c:v>
                </c:pt>
                <c:pt idx="357">
                  <c:v>6.3349612903225818</c:v>
                </c:pt>
                <c:pt idx="358">
                  <c:v>6.3349612903225818</c:v>
                </c:pt>
                <c:pt idx="359">
                  <c:v>6.3349612903225818</c:v>
                </c:pt>
                <c:pt idx="360">
                  <c:v>6.4174612903225814</c:v>
                </c:pt>
                <c:pt idx="361">
                  <c:v>6.4624612903225813</c:v>
                </c:pt>
                <c:pt idx="362">
                  <c:v>6.5724612903225816</c:v>
                </c:pt>
                <c:pt idx="363">
                  <c:v>6.5724612903225816</c:v>
                </c:pt>
                <c:pt idx="364">
                  <c:v>6.5724612903225816</c:v>
                </c:pt>
                <c:pt idx="365">
                  <c:v>6.5724612903225816</c:v>
                </c:pt>
                <c:pt idx="366">
                  <c:v>6.5724612903225816</c:v>
                </c:pt>
                <c:pt idx="367">
                  <c:v>6.5724612903225816</c:v>
                </c:pt>
                <c:pt idx="368">
                  <c:v>6.5724612903225816</c:v>
                </c:pt>
                <c:pt idx="369">
                  <c:v>6.5724612903225816</c:v>
                </c:pt>
                <c:pt idx="370">
                  <c:v>6.5724612903225816</c:v>
                </c:pt>
                <c:pt idx="371">
                  <c:v>6.5724612903225816</c:v>
                </c:pt>
                <c:pt idx="372">
                  <c:v>6.722461290322582</c:v>
                </c:pt>
                <c:pt idx="373">
                  <c:v>6.7454612903225817</c:v>
                </c:pt>
                <c:pt idx="374">
                  <c:v>6.7454612903225817</c:v>
                </c:pt>
                <c:pt idx="375">
                  <c:v>6.7454612903225817</c:v>
                </c:pt>
                <c:pt idx="376">
                  <c:v>6.7454612903225817</c:v>
                </c:pt>
                <c:pt idx="377">
                  <c:v>6.7454612903225817</c:v>
                </c:pt>
                <c:pt idx="378">
                  <c:v>6.7614612903225817</c:v>
                </c:pt>
                <c:pt idx="379">
                  <c:v>6.7614612903225817</c:v>
                </c:pt>
                <c:pt idx="380">
                  <c:v>6.8164612903225814</c:v>
                </c:pt>
                <c:pt idx="381">
                  <c:v>6.9264612903225817</c:v>
                </c:pt>
                <c:pt idx="382">
                  <c:v>6.9264612903225817</c:v>
                </c:pt>
                <c:pt idx="383">
                  <c:v>7.0339612903225817</c:v>
                </c:pt>
                <c:pt idx="384">
                  <c:v>7.1554612903225818</c:v>
                </c:pt>
                <c:pt idx="385">
                  <c:v>7.2654612903225821</c:v>
                </c:pt>
                <c:pt idx="386">
                  <c:v>7.2654612903225821</c:v>
                </c:pt>
                <c:pt idx="387">
                  <c:v>7.2654612903225821</c:v>
                </c:pt>
                <c:pt idx="388">
                  <c:v>7.2654612903225821</c:v>
                </c:pt>
                <c:pt idx="389">
                  <c:v>7.2654612903225821</c:v>
                </c:pt>
                <c:pt idx="390">
                  <c:v>7.2654612903225821</c:v>
                </c:pt>
                <c:pt idx="391">
                  <c:v>7.2654612903225821</c:v>
                </c:pt>
                <c:pt idx="392">
                  <c:v>7.2654612903225821</c:v>
                </c:pt>
                <c:pt idx="393">
                  <c:v>7.2654612903225821</c:v>
                </c:pt>
                <c:pt idx="394">
                  <c:v>7.2654612903225821</c:v>
                </c:pt>
                <c:pt idx="395">
                  <c:v>7.2654612903225821</c:v>
                </c:pt>
                <c:pt idx="396">
                  <c:v>7.2654612903225821</c:v>
                </c:pt>
                <c:pt idx="397">
                  <c:v>7.2654612903225821</c:v>
                </c:pt>
                <c:pt idx="398">
                  <c:v>7.4154612903225825</c:v>
                </c:pt>
                <c:pt idx="399">
                  <c:v>7.4154612903225825</c:v>
                </c:pt>
                <c:pt idx="400">
                  <c:v>7.4154612903225825</c:v>
                </c:pt>
                <c:pt idx="401">
                  <c:v>7.4154612903225825</c:v>
                </c:pt>
                <c:pt idx="402">
                  <c:v>7.5254612903225828</c:v>
                </c:pt>
                <c:pt idx="403">
                  <c:v>7.5254612903225828</c:v>
                </c:pt>
                <c:pt idx="404">
                  <c:v>7.5254612903225828</c:v>
                </c:pt>
                <c:pt idx="405">
                  <c:v>7.5254612903225828</c:v>
                </c:pt>
                <c:pt idx="406">
                  <c:v>7.6254612903225825</c:v>
                </c:pt>
                <c:pt idx="407">
                  <c:v>7.6254612903225825</c:v>
                </c:pt>
                <c:pt idx="408">
                  <c:v>7.8024612903225821</c:v>
                </c:pt>
                <c:pt idx="409">
                  <c:v>7.8024612903225821</c:v>
                </c:pt>
                <c:pt idx="410">
                  <c:v>7.8024612903225821</c:v>
                </c:pt>
                <c:pt idx="411">
                  <c:v>7.8024612903225821</c:v>
                </c:pt>
                <c:pt idx="412">
                  <c:v>7.8024612903225821</c:v>
                </c:pt>
                <c:pt idx="413">
                  <c:v>7.8024612903225821</c:v>
                </c:pt>
                <c:pt idx="414">
                  <c:v>7.8024612903225821</c:v>
                </c:pt>
                <c:pt idx="415">
                  <c:v>7.8024612903225821</c:v>
                </c:pt>
                <c:pt idx="416">
                  <c:v>7.8024612903225821</c:v>
                </c:pt>
                <c:pt idx="417">
                  <c:v>7.8024612903225821</c:v>
                </c:pt>
                <c:pt idx="418">
                  <c:v>7.8024612903225821</c:v>
                </c:pt>
                <c:pt idx="419">
                  <c:v>7.8024612903225821</c:v>
                </c:pt>
                <c:pt idx="420">
                  <c:v>7.8024612903225821</c:v>
                </c:pt>
                <c:pt idx="421">
                  <c:v>7.8024612903225821</c:v>
                </c:pt>
                <c:pt idx="422">
                  <c:v>7.8024612903225821</c:v>
                </c:pt>
                <c:pt idx="423">
                  <c:v>7.8024612903225821</c:v>
                </c:pt>
                <c:pt idx="424">
                  <c:v>7.8024612903225821</c:v>
                </c:pt>
                <c:pt idx="425">
                  <c:v>7.8024612903225821</c:v>
                </c:pt>
                <c:pt idx="426">
                  <c:v>7.8024612903225821</c:v>
                </c:pt>
                <c:pt idx="427">
                  <c:v>7.8024612903225821</c:v>
                </c:pt>
                <c:pt idx="428">
                  <c:v>7.8024612903225821</c:v>
                </c:pt>
                <c:pt idx="429">
                  <c:v>7.8024612903225821</c:v>
                </c:pt>
                <c:pt idx="430">
                  <c:v>7.8024612903225821</c:v>
                </c:pt>
                <c:pt idx="431">
                  <c:v>7.8024612903225821</c:v>
                </c:pt>
                <c:pt idx="432">
                  <c:v>7.8024612903225821</c:v>
                </c:pt>
                <c:pt idx="433">
                  <c:v>7.8024612903225821</c:v>
                </c:pt>
                <c:pt idx="434">
                  <c:v>7.8024612903225821</c:v>
                </c:pt>
                <c:pt idx="435">
                  <c:v>7.8024612903225821</c:v>
                </c:pt>
                <c:pt idx="436">
                  <c:v>7.8024612903225821</c:v>
                </c:pt>
                <c:pt idx="437">
                  <c:v>7.8024612903225821</c:v>
                </c:pt>
                <c:pt idx="438">
                  <c:v>7.8024612903225821</c:v>
                </c:pt>
                <c:pt idx="439">
                  <c:v>7.8024612903225821</c:v>
                </c:pt>
                <c:pt idx="440">
                  <c:v>7.8024612903225821</c:v>
                </c:pt>
                <c:pt idx="441">
                  <c:v>7.8024612903225821</c:v>
                </c:pt>
                <c:pt idx="442">
                  <c:v>7.8024612903225821</c:v>
                </c:pt>
                <c:pt idx="443">
                  <c:v>7.8024612903225821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E-42CE-96A7-1C2A020BD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93344"/>
        <c:axId val="192889984"/>
      </c:lineChart>
      <c:dateAx>
        <c:axId val="1519933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2889984"/>
        <c:crosses val="autoZero"/>
        <c:auto val="1"/>
        <c:lblOffset val="100"/>
        <c:baseTimeUnit val="months"/>
        <c:majorUnit val="24"/>
        <c:majorTimeUnit val="months"/>
      </c:dateAx>
      <c:valAx>
        <c:axId val="192889984"/>
        <c:scaling>
          <c:orientation val="minMax"/>
          <c:min val="3.75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(million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 bushels per day)</a:t>
                </a:r>
                <a:endParaRPr lang="en-US" sz="1400">
                  <a:solidFill>
                    <a:sysClr val="windowText" lastClr="000000"/>
                  </a:solidFill>
                  <a:latin typeface="Bahnschrift SemiBold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8.0240722166499499E-3"/>
              <c:y val="0.2831839825331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1993344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NOPA Soybean Oil Stocks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5877040687787532E-2"/>
          <c:y val="0.10476784209472077"/>
          <c:w val="0.87153823159164923"/>
          <c:h val="0.7557683612626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2700">
                <a:solidFill>
                  <a:srgbClr val="8C8C8C"/>
                </a:solidFill>
              </a:ln>
              <a:effectLst/>
            </c:spPr>
          </c:marker>
          <c:dPt>
            <c:idx val="6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761-4E3D-ABCF-9B79ECC4A2D1}"/>
              </c:ext>
            </c:extLst>
          </c:dPt>
          <c:dPt>
            <c:idx val="62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61-4E3D-ABCF-9B79ECC4A2D1}"/>
              </c:ext>
            </c:extLst>
          </c:dPt>
          <c:dPt>
            <c:idx val="63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61-4E3D-ABCF-9B79ECC4A2D1}"/>
              </c:ext>
            </c:extLst>
          </c:dPt>
          <c:dPt>
            <c:idx val="64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61-4E3D-ABCF-9B79ECC4A2D1}"/>
              </c:ext>
            </c:extLst>
          </c:dPt>
          <c:dPt>
            <c:idx val="65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761-4E3D-ABCF-9B79ECC4A2D1}"/>
              </c:ext>
            </c:extLst>
          </c:dPt>
          <c:dPt>
            <c:idx val="66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61-4E3D-ABCF-9B79ECC4A2D1}"/>
              </c:ext>
            </c:extLst>
          </c:dPt>
          <c:dPt>
            <c:idx val="67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6761-4E3D-ABCF-9B79ECC4A2D1}"/>
              </c:ext>
            </c:extLst>
          </c:dPt>
          <c:dPt>
            <c:idx val="68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61-4E3D-ABCF-9B79ECC4A2D1}"/>
              </c:ext>
            </c:extLst>
          </c:dPt>
          <c:dPt>
            <c:idx val="69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761-4E3D-ABCF-9B79ECC4A2D1}"/>
              </c:ext>
            </c:extLst>
          </c:dPt>
          <c:dPt>
            <c:idx val="70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4532-4ED3-8783-B8E6EB9AFF9E}"/>
              </c:ext>
            </c:extLst>
          </c:dPt>
          <c:dPt>
            <c:idx val="7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532-4ED3-8783-B8E6EB9AFF9E}"/>
              </c:ext>
            </c:extLst>
          </c:dPt>
          <c:dPt>
            <c:idx val="72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4532-4ED3-8783-B8E6EB9AFF9E}"/>
              </c:ext>
            </c:extLst>
          </c:dPt>
          <c:dPt>
            <c:idx val="73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4532-4ED3-8783-B8E6EB9AFF9E}"/>
              </c:ext>
            </c:extLst>
          </c:dPt>
          <c:dPt>
            <c:idx val="74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4532-4ED3-8783-B8E6EB9AFF9E}"/>
              </c:ext>
            </c:extLst>
          </c:dPt>
          <c:dPt>
            <c:idx val="75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4532-4ED3-8783-B8E6EB9AFF9E}"/>
              </c:ext>
            </c:extLst>
          </c:dPt>
          <c:dPt>
            <c:idx val="76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4532-4ED3-8783-B8E6EB9AFF9E}"/>
              </c:ext>
            </c:extLst>
          </c:dPt>
          <c:dPt>
            <c:idx val="77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4532-4ED3-8783-B8E6EB9AFF9E}"/>
              </c:ext>
            </c:extLst>
          </c:dPt>
          <c:dPt>
            <c:idx val="78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4532-4ED3-8783-B8E6EB9AFF9E}"/>
              </c:ext>
            </c:extLst>
          </c:dPt>
          <c:dPt>
            <c:idx val="79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4532-4ED3-8783-B8E6EB9AFF9E}"/>
              </c:ext>
            </c:extLst>
          </c:dPt>
          <c:dPt>
            <c:idx val="80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4532-4ED3-8783-B8E6EB9AFF9E}"/>
              </c:ext>
            </c:extLst>
          </c:dPt>
          <c:dPt>
            <c:idx val="8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4532-4ED3-8783-B8E6EB9AFF9E}"/>
              </c:ext>
            </c:extLst>
          </c:dPt>
          <c:dPt>
            <c:idx val="9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F5A6-4EA4-9162-ED2CD455C199}"/>
              </c:ext>
            </c:extLst>
          </c:dPt>
          <c:dPt>
            <c:idx val="92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F5A6-4EA4-9162-ED2CD455C199}"/>
              </c:ext>
            </c:extLst>
          </c:dPt>
          <c:dPt>
            <c:idx val="93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F5A6-4EA4-9162-ED2CD455C199}"/>
              </c:ext>
            </c:extLst>
          </c:dPt>
          <c:dPt>
            <c:idx val="94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F5A6-4EA4-9162-ED2CD455C199}"/>
              </c:ext>
            </c:extLst>
          </c:dPt>
          <c:dPt>
            <c:idx val="95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F5A6-4EA4-9162-ED2CD455C199}"/>
              </c:ext>
            </c:extLst>
          </c:dPt>
          <c:dPt>
            <c:idx val="96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F5A6-4EA4-9162-ED2CD455C199}"/>
              </c:ext>
            </c:extLst>
          </c:dPt>
          <c:dPt>
            <c:idx val="97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F5A6-4EA4-9162-ED2CD455C199}"/>
              </c:ext>
            </c:extLst>
          </c:dPt>
          <c:dPt>
            <c:idx val="98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F5A6-4EA4-9162-ED2CD455C199}"/>
              </c:ext>
            </c:extLst>
          </c:dPt>
          <c:dPt>
            <c:idx val="99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F5A6-4EA4-9162-ED2CD455C199}"/>
              </c:ext>
            </c:extLst>
          </c:dPt>
          <c:dPt>
            <c:idx val="100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F5A6-4EA4-9162-ED2CD455C199}"/>
              </c:ext>
            </c:extLst>
          </c:dPt>
          <c:dPt>
            <c:idx val="10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F5A6-4EA4-9162-ED2CD455C199}"/>
              </c:ext>
            </c:extLst>
          </c:dPt>
          <c:dPt>
            <c:idx val="102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F5A6-4EA4-9162-ED2CD455C199}"/>
              </c:ext>
            </c:extLst>
          </c:dPt>
          <c:dPt>
            <c:idx val="103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F5A6-4EA4-9162-ED2CD455C199}"/>
              </c:ext>
            </c:extLst>
          </c:dPt>
          <c:dPt>
            <c:idx val="104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F5A6-4EA4-9162-ED2CD455C199}"/>
              </c:ext>
            </c:extLst>
          </c:dPt>
          <c:dPt>
            <c:idx val="105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F5A6-4EA4-9162-ED2CD455C199}"/>
              </c:ext>
            </c:extLst>
          </c:dPt>
          <c:dPt>
            <c:idx val="116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208E-4E19-B717-A6FCCB24B44C}"/>
              </c:ext>
            </c:extLst>
          </c:dPt>
          <c:dPt>
            <c:idx val="117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8E-4E19-B717-A6FCCB24B44C}"/>
              </c:ext>
            </c:extLst>
          </c:dPt>
          <c:dPt>
            <c:idx val="118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208E-4E19-B717-A6FCCB24B44C}"/>
              </c:ext>
            </c:extLst>
          </c:dPt>
          <c:dPt>
            <c:idx val="119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208E-4E19-B717-A6FCCB24B44C}"/>
              </c:ext>
            </c:extLst>
          </c:dPt>
          <c:dPt>
            <c:idx val="120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208E-4E19-B717-A6FCCB24B44C}"/>
              </c:ext>
            </c:extLst>
          </c:dPt>
          <c:dPt>
            <c:idx val="121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208E-4E19-B717-A6FCCB24B44C}"/>
              </c:ext>
            </c:extLst>
          </c:dPt>
          <c:dPt>
            <c:idx val="122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208E-4E19-B717-A6FCCB24B44C}"/>
              </c:ext>
            </c:extLst>
          </c:dPt>
          <c:dPt>
            <c:idx val="123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208E-4E19-B717-A6FCCB24B44C}"/>
              </c:ext>
            </c:extLst>
          </c:dPt>
          <c:dPt>
            <c:idx val="124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208E-4E19-B717-A6FCCB24B44C}"/>
              </c:ext>
            </c:extLst>
          </c:dPt>
          <c:dPt>
            <c:idx val="125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208E-4E19-B717-A6FCCB24B44C}"/>
              </c:ext>
            </c:extLst>
          </c:dPt>
          <c:dPt>
            <c:idx val="126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208E-4E19-B717-A6FCCB24B44C}"/>
              </c:ext>
            </c:extLst>
          </c:dPt>
          <c:dPt>
            <c:idx val="127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208E-4E19-B717-A6FCCB24B44C}"/>
              </c:ext>
            </c:extLst>
          </c:dPt>
          <c:dPt>
            <c:idx val="128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208E-4E19-B717-A6FCCB24B44C}"/>
              </c:ext>
            </c:extLst>
          </c:dPt>
          <c:dPt>
            <c:idx val="129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208E-4E19-B717-A6FCCB24B44C}"/>
              </c:ext>
            </c:extLst>
          </c:dPt>
          <c:cat>
            <c:numRef>
              <c:f>'NOPA Crush'!$A$401:$A$545</c:f>
              <c:numCache>
                <c:formatCode>m/d/yyyy</c:formatCode>
                <c:ptCount val="145"/>
                <c:pt idx="0">
                  <c:v>41244</c:v>
                </c:pt>
                <c:pt idx="1">
                  <c:v>41275</c:v>
                </c:pt>
                <c:pt idx="2">
                  <c:v>41306</c:v>
                </c:pt>
                <c:pt idx="3">
                  <c:v>41334</c:v>
                </c:pt>
                <c:pt idx="4">
                  <c:v>41365</c:v>
                </c:pt>
                <c:pt idx="5">
                  <c:v>41395</c:v>
                </c:pt>
                <c:pt idx="6">
                  <c:v>41426</c:v>
                </c:pt>
                <c:pt idx="7">
                  <c:v>41456</c:v>
                </c:pt>
                <c:pt idx="8">
                  <c:v>41487</c:v>
                </c:pt>
                <c:pt idx="9">
                  <c:v>41518</c:v>
                </c:pt>
                <c:pt idx="10">
                  <c:v>41548</c:v>
                </c:pt>
                <c:pt idx="11">
                  <c:v>41579</c:v>
                </c:pt>
                <c:pt idx="12">
                  <c:v>41609</c:v>
                </c:pt>
                <c:pt idx="13">
                  <c:v>41640</c:v>
                </c:pt>
                <c:pt idx="14">
                  <c:v>41671</c:v>
                </c:pt>
                <c:pt idx="15">
                  <c:v>41699</c:v>
                </c:pt>
                <c:pt idx="16">
                  <c:v>41730</c:v>
                </c:pt>
                <c:pt idx="17">
                  <c:v>41760</c:v>
                </c:pt>
                <c:pt idx="18">
                  <c:v>41791</c:v>
                </c:pt>
                <c:pt idx="19">
                  <c:v>41821</c:v>
                </c:pt>
                <c:pt idx="20">
                  <c:v>41852</c:v>
                </c:pt>
                <c:pt idx="21">
                  <c:v>41883</c:v>
                </c:pt>
                <c:pt idx="22">
                  <c:v>41913</c:v>
                </c:pt>
                <c:pt idx="23">
                  <c:v>41944</c:v>
                </c:pt>
                <c:pt idx="24">
                  <c:v>41974</c:v>
                </c:pt>
                <c:pt idx="25">
                  <c:v>42005</c:v>
                </c:pt>
                <c:pt idx="26">
                  <c:v>42036</c:v>
                </c:pt>
                <c:pt idx="27">
                  <c:v>42064</c:v>
                </c:pt>
                <c:pt idx="28">
                  <c:v>42095</c:v>
                </c:pt>
                <c:pt idx="29">
                  <c:v>42125</c:v>
                </c:pt>
                <c:pt idx="30">
                  <c:v>42156</c:v>
                </c:pt>
                <c:pt idx="31">
                  <c:v>42186</c:v>
                </c:pt>
                <c:pt idx="32">
                  <c:v>42217</c:v>
                </c:pt>
                <c:pt idx="33">
                  <c:v>42248</c:v>
                </c:pt>
                <c:pt idx="34">
                  <c:v>42278</c:v>
                </c:pt>
                <c:pt idx="35">
                  <c:v>42309</c:v>
                </c:pt>
                <c:pt idx="36">
                  <c:v>42339</c:v>
                </c:pt>
                <c:pt idx="37">
                  <c:v>42370</c:v>
                </c:pt>
                <c:pt idx="38">
                  <c:v>42401</c:v>
                </c:pt>
                <c:pt idx="39">
                  <c:v>42430</c:v>
                </c:pt>
                <c:pt idx="40">
                  <c:v>42461</c:v>
                </c:pt>
                <c:pt idx="41">
                  <c:v>42491</c:v>
                </c:pt>
                <c:pt idx="42">
                  <c:v>42522</c:v>
                </c:pt>
                <c:pt idx="43">
                  <c:v>42552</c:v>
                </c:pt>
                <c:pt idx="44">
                  <c:v>42583</c:v>
                </c:pt>
                <c:pt idx="45">
                  <c:v>42614</c:v>
                </c:pt>
                <c:pt idx="46">
                  <c:v>42644</c:v>
                </c:pt>
                <c:pt idx="47">
                  <c:v>42675</c:v>
                </c:pt>
                <c:pt idx="48">
                  <c:v>42705</c:v>
                </c:pt>
                <c:pt idx="49">
                  <c:v>42736</c:v>
                </c:pt>
                <c:pt idx="50">
                  <c:v>42767</c:v>
                </c:pt>
                <c:pt idx="51">
                  <c:v>42795</c:v>
                </c:pt>
                <c:pt idx="52">
                  <c:v>42826</c:v>
                </c:pt>
                <c:pt idx="53">
                  <c:v>42856</c:v>
                </c:pt>
                <c:pt idx="54">
                  <c:v>42887</c:v>
                </c:pt>
                <c:pt idx="55">
                  <c:v>42917</c:v>
                </c:pt>
                <c:pt idx="56">
                  <c:v>42948</c:v>
                </c:pt>
                <c:pt idx="57">
                  <c:v>42979</c:v>
                </c:pt>
                <c:pt idx="58">
                  <c:v>43009</c:v>
                </c:pt>
                <c:pt idx="59">
                  <c:v>43040</c:v>
                </c:pt>
                <c:pt idx="60">
                  <c:v>43070</c:v>
                </c:pt>
                <c:pt idx="61">
                  <c:v>43101</c:v>
                </c:pt>
                <c:pt idx="62">
                  <c:v>43132</c:v>
                </c:pt>
                <c:pt idx="63">
                  <c:v>43160</c:v>
                </c:pt>
                <c:pt idx="64">
                  <c:v>43191</c:v>
                </c:pt>
                <c:pt idx="65">
                  <c:v>43221</c:v>
                </c:pt>
                <c:pt idx="66">
                  <c:v>43252</c:v>
                </c:pt>
                <c:pt idx="67">
                  <c:v>43282</c:v>
                </c:pt>
                <c:pt idx="68">
                  <c:v>43313</c:v>
                </c:pt>
                <c:pt idx="69">
                  <c:v>43344</c:v>
                </c:pt>
                <c:pt idx="70">
                  <c:v>43374</c:v>
                </c:pt>
                <c:pt idx="71">
                  <c:v>43405</c:v>
                </c:pt>
                <c:pt idx="72">
                  <c:v>43435</c:v>
                </c:pt>
                <c:pt idx="73">
                  <c:v>43466</c:v>
                </c:pt>
                <c:pt idx="74">
                  <c:v>43497</c:v>
                </c:pt>
                <c:pt idx="75">
                  <c:v>43525</c:v>
                </c:pt>
                <c:pt idx="76">
                  <c:v>43556</c:v>
                </c:pt>
                <c:pt idx="77">
                  <c:v>43586</c:v>
                </c:pt>
                <c:pt idx="78">
                  <c:v>43617</c:v>
                </c:pt>
                <c:pt idx="79">
                  <c:v>43647</c:v>
                </c:pt>
                <c:pt idx="80">
                  <c:v>43678</c:v>
                </c:pt>
                <c:pt idx="81">
                  <c:v>43709</c:v>
                </c:pt>
                <c:pt idx="82">
                  <c:v>43739</c:v>
                </c:pt>
                <c:pt idx="83">
                  <c:v>43770</c:v>
                </c:pt>
                <c:pt idx="84">
                  <c:v>43800</c:v>
                </c:pt>
                <c:pt idx="85">
                  <c:v>43831</c:v>
                </c:pt>
                <c:pt idx="86">
                  <c:v>43862</c:v>
                </c:pt>
                <c:pt idx="87">
                  <c:v>43891</c:v>
                </c:pt>
                <c:pt idx="88">
                  <c:v>43922</c:v>
                </c:pt>
                <c:pt idx="89">
                  <c:v>43952</c:v>
                </c:pt>
                <c:pt idx="90">
                  <c:v>43983</c:v>
                </c:pt>
                <c:pt idx="91">
                  <c:v>44013</c:v>
                </c:pt>
                <c:pt idx="92">
                  <c:v>44044</c:v>
                </c:pt>
                <c:pt idx="93">
                  <c:v>44075</c:v>
                </c:pt>
                <c:pt idx="94">
                  <c:v>44105</c:v>
                </c:pt>
                <c:pt idx="95">
                  <c:v>44136</c:v>
                </c:pt>
                <c:pt idx="96">
                  <c:v>44166</c:v>
                </c:pt>
                <c:pt idx="97">
                  <c:v>44197</c:v>
                </c:pt>
                <c:pt idx="98">
                  <c:v>44228</c:v>
                </c:pt>
                <c:pt idx="99">
                  <c:v>44256</c:v>
                </c:pt>
                <c:pt idx="100">
                  <c:v>44287</c:v>
                </c:pt>
                <c:pt idx="101">
                  <c:v>44317</c:v>
                </c:pt>
                <c:pt idx="102">
                  <c:v>44348</c:v>
                </c:pt>
                <c:pt idx="103">
                  <c:v>44378</c:v>
                </c:pt>
                <c:pt idx="104">
                  <c:v>44409</c:v>
                </c:pt>
                <c:pt idx="105">
                  <c:v>44440</c:v>
                </c:pt>
                <c:pt idx="106">
                  <c:v>44470</c:v>
                </c:pt>
                <c:pt idx="107">
                  <c:v>44501</c:v>
                </c:pt>
                <c:pt idx="108">
                  <c:v>44531</c:v>
                </c:pt>
                <c:pt idx="109">
                  <c:v>44562</c:v>
                </c:pt>
                <c:pt idx="110">
                  <c:v>44593</c:v>
                </c:pt>
                <c:pt idx="111">
                  <c:v>44621</c:v>
                </c:pt>
                <c:pt idx="112">
                  <c:v>44652</c:v>
                </c:pt>
                <c:pt idx="113">
                  <c:v>44682</c:v>
                </c:pt>
                <c:pt idx="114">
                  <c:v>44713</c:v>
                </c:pt>
                <c:pt idx="115">
                  <c:v>44743</c:v>
                </c:pt>
                <c:pt idx="116">
                  <c:v>44774</c:v>
                </c:pt>
                <c:pt idx="117">
                  <c:v>44805</c:v>
                </c:pt>
                <c:pt idx="118">
                  <c:v>44835</c:v>
                </c:pt>
                <c:pt idx="119">
                  <c:v>44866</c:v>
                </c:pt>
                <c:pt idx="120">
                  <c:v>44896</c:v>
                </c:pt>
                <c:pt idx="121">
                  <c:v>44927</c:v>
                </c:pt>
                <c:pt idx="122">
                  <c:v>44958</c:v>
                </c:pt>
                <c:pt idx="123">
                  <c:v>44986</c:v>
                </c:pt>
                <c:pt idx="124">
                  <c:v>45017</c:v>
                </c:pt>
                <c:pt idx="125">
                  <c:v>45047</c:v>
                </c:pt>
                <c:pt idx="126">
                  <c:v>45078</c:v>
                </c:pt>
                <c:pt idx="127">
                  <c:v>45108</c:v>
                </c:pt>
                <c:pt idx="128">
                  <c:v>45139</c:v>
                </c:pt>
                <c:pt idx="129">
                  <c:v>45170</c:v>
                </c:pt>
                <c:pt idx="130">
                  <c:v>45200</c:v>
                </c:pt>
                <c:pt idx="131">
                  <c:v>45231</c:v>
                </c:pt>
                <c:pt idx="132">
                  <c:v>45261</c:v>
                </c:pt>
                <c:pt idx="133">
                  <c:v>45292</c:v>
                </c:pt>
                <c:pt idx="134">
                  <c:v>45323</c:v>
                </c:pt>
                <c:pt idx="135">
                  <c:v>45352</c:v>
                </c:pt>
                <c:pt idx="136">
                  <c:v>45383</c:v>
                </c:pt>
                <c:pt idx="137">
                  <c:v>45413</c:v>
                </c:pt>
                <c:pt idx="138">
                  <c:v>45444</c:v>
                </c:pt>
                <c:pt idx="139">
                  <c:v>45474</c:v>
                </c:pt>
                <c:pt idx="140">
                  <c:v>45505</c:v>
                </c:pt>
                <c:pt idx="141">
                  <c:v>45536</c:v>
                </c:pt>
                <c:pt idx="142">
                  <c:v>45566</c:v>
                </c:pt>
                <c:pt idx="143">
                  <c:v>45597</c:v>
                </c:pt>
                <c:pt idx="144">
                  <c:v>45627</c:v>
                </c:pt>
              </c:numCache>
            </c:numRef>
          </c:cat>
          <c:val>
            <c:numRef>
              <c:f>'NOPA Crush'!$Q$401:$Q$545</c:f>
              <c:numCache>
                <c:formatCode>#,##0.000_);[Red]\(#,##0.000\)</c:formatCode>
                <c:ptCount val="145"/>
                <c:pt idx="0">
                  <c:v>2600.2040000000002</c:v>
                </c:pt>
                <c:pt idx="1">
                  <c:v>2822.982</c:v>
                </c:pt>
                <c:pt idx="2">
                  <c:v>2790.0509999999999</c:v>
                </c:pt>
                <c:pt idx="3">
                  <c:v>2764.8879999999999</c:v>
                </c:pt>
                <c:pt idx="4">
                  <c:v>2637.636</c:v>
                </c:pt>
                <c:pt idx="5">
                  <c:v>2468.9969999999998</c:v>
                </c:pt>
                <c:pt idx="6">
                  <c:v>2297.6419999999998</c:v>
                </c:pt>
                <c:pt idx="7">
                  <c:v>2049.8969999999999</c:v>
                </c:pt>
                <c:pt idx="8">
                  <c:v>1668.539</c:v>
                </c:pt>
                <c:pt idx="9">
                  <c:v>1372.2819999999999</c:v>
                </c:pt>
                <c:pt idx="10">
                  <c:v>1377.34</c:v>
                </c:pt>
                <c:pt idx="11">
                  <c:v>1485.6130000000001</c:v>
                </c:pt>
                <c:pt idx="12">
                  <c:v>1681.223</c:v>
                </c:pt>
                <c:pt idx="13">
                  <c:v>1794.11</c:v>
                </c:pt>
                <c:pt idx="14">
                  <c:v>1892.943</c:v>
                </c:pt>
                <c:pt idx="15">
                  <c:v>2022.5650000000001</c:v>
                </c:pt>
                <c:pt idx="16">
                  <c:v>2057.6350000000002</c:v>
                </c:pt>
                <c:pt idx="17">
                  <c:v>1970.136</c:v>
                </c:pt>
                <c:pt idx="18">
                  <c:v>1847.0409999999999</c:v>
                </c:pt>
                <c:pt idx="19">
                  <c:v>1589.079</c:v>
                </c:pt>
                <c:pt idx="20">
                  <c:v>1213.5029999999999</c:v>
                </c:pt>
                <c:pt idx="21">
                  <c:v>936.88</c:v>
                </c:pt>
                <c:pt idx="22">
                  <c:v>966.06200000000001</c:v>
                </c:pt>
                <c:pt idx="23">
                  <c:v>1004.582</c:v>
                </c:pt>
                <c:pt idx="24">
                  <c:v>1067.5640000000001</c:v>
                </c:pt>
                <c:pt idx="25">
                  <c:v>1228.0650000000001</c:v>
                </c:pt>
                <c:pt idx="26">
                  <c:v>1322.0550000000001</c:v>
                </c:pt>
                <c:pt idx="27">
                  <c:v>1419.5429999999999</c:v>
                </c:pt>
                <c:pt idx="28">
                  <c:v>1440.9849999999999</c:v>
                </c:pt>
                <c:pt idx="29">
                  <c:v>1577.8030000000001</c:v>
                </c:pt>
                <c:pt idx="30">
                  <c:v>1573.9259999999999</c:v>
                </c:pt>
                <c:pt idx="31">
                  <c:v>1624.3119999999999</c:v>
                </c:pt>
                <c:pt idx="32">
                  <c:v>1480.17</c:v>
                </c:pt>
                <c:pt idx="33">
                  <c:v>1354.702</c:v>
                </c:pt>
                <c:pt idx="34">
                  <c:v>1407.8150000000001</c:v>
                </c:pt>
                <c:pt idx="35">
                  <c:v>1476.989</c:v>
                </c:pt>
                <c:pt idx="36">
                  <c:v>1481.085</c:v>
                </c:pt>
                <c:pt idx="37">
                  <c:v>1581.636</c:v>
                </c:pt>
                <c:pt idx="38">
                  <c:v>1792.0519999999999</c:v>
                </c:pt>
                <c:pt idx="39">
                  <c:v>1858.8140000000001</c:v>
                </c:pt>
                <c:pt idx="40">
                  <c:v>1942.7280000000001</c:v>
                </c:pt>
                <c:pt idx="41">
                  <c:v>1993.5630000000001</c:v>
                </c:pt>
                <c:pt idx="42">
                  <c:v>1984.9760000000001</c:v>
                </c:pt>
                <c:pt idx="43">
                  <c:v>1743.184</c:v>
                </c:pt>
                <c:pt idx="44">
                  <c:v>1620.279</c:v>
                </c:pt>
                <c:pt idx="45">
                  <c:v>1375.953</c:v>
                </c:pt>
                <c:pt idx="46">
                  <c:v>1343.069</c:v>
                </c:pt>
                <c:pt idx="47">
                  <c:v>1338.6410000000001</c:v>
                </c:pt>
                <c:pt idx="48">
                  <c:v>1433.9469999999999</c:v>
                </c:pt>
                <c:pt idx="49">
                  <c:v>1628.7940000000001</c:v>
                </c:pt>
                <c:pt idx="50">
                  <c:v>1770.06</c:v>
                </c:pt>
                <c:pt idx="51">
                  <c:v>1815.16</c:v>
                </c:pt>
                <c:pt idx="52">
                  <c:v>1725.403</c:v>
                </c:pt>
                <c:pt idx="53">
                  <c:v>1749.096</c:v>
                </c:pt>
                <c:pt idx="54">
                  <c:v>1703.405</c:v>
                </c:pt>
                <c:pt idx="55">
                  <c:v>1557.8530000000001</c:v>
                </c:pt>
                <c:pt idx="56">
                  <c:v>1417.0160000000001</c:v>
                </c:pt>
                <c:pt idx="57">
                  <c:v>1301.912</c:v>
                </c:pt>
                <c:pt idx="58">
                  <c:v>1224.066</c:v>
                </c:pt>
                <c:pt idx="59">
                  <c:v>1326.3030000000001</c:v>
                </c:pt>
                <c:pt idx="60">
                  <c:v>1538.491</c:v>
                </c:pt>
                <c:pt idx="61">
                  <c:v>1728.414</c:v>
                </c:pt>
                <c:pt idx="62">
                  <c:v>1855.6980000000001</c:v>
                </c:pt>
                <c:pt idx="63">
                  <c:v>1946.123</c:v>
                </c:pt>
                <c:pt idx="64">
                  <c:v>2092.4470000000001</c:v>
                </c:pt>
                <c:pt idx="65">
                  <c:v>1856.06</c:v>
                </c:pt>
                <c:pt idx="66">
                  <c:v>1765.9449999999999</c:v>
                </c:pt>
                <c:pt idx="67">
                  <c:v>1763.508</c:v>
                </c:pt>
                <c:pt idx="68">
                  <c:v>1623.1279999999999</c:v>
                </c:pt>
                <c:pt idx="69">
                  <c:v>1531.3920000000001</c:v>
                </c:pt>
                <c:pt idx="70">
                  <c:v>1502.6990000000001</c:v>
                </c:pt>
                <c:pt idx="71">
                  <c:v>1484.173</c:v>
                </c:pt>
                <c:pt idx="72">
                  <c:v>1498.06</c:v>
                </c:pt>
                <c:pt idx="73">
                  <c:v>1549.1690000000001</c:v>
                </c:pt>
                <c:pt idx="74">
                  <c:v>1751.865</c:v>
                </c:pt>
                <c:pt idx="75">
                  <c:v>1760.598</c:v>
                </c:pt>
                <c:pt idx="76">
                  <c:v>1786.8679999999999</c:v>
                </c:pt>
                <c:pt idx="77">
                  <c:v>1581.3820000000001</c:v>
                </c:pt>
                <c:pt idx="78">
                  <c:v>1535.4670000000001</c:v>
                </c:pt>
                <c:pt idx="79">
                  <c:v>1467.1310000000001</c:v>
                </c:pt>
                <c:pt idx="80">
                  <c:v>1400.646</c:v>
                </c:pt>
                <c:pt idx="81">
                  <c:v>1441.8050000000001</c:v>
                </c:pt>
                <c:pt idx="82">
                  <c:v>1423.0889999999999</c:v>
                </c:pt>
                <c:pt idx="83">
                  <c:v>1448.0930000000001</c:v>
                </c:pt>
                <c:pt idx="84">
                  <c:v>1757.069</c:v>
                </c:pt>
                <c:pt idx="85">
                  <c:v>2012.7280000000001</c:v>
                </c:pt>
                <c:pt idx="86">
                  <c:v>1922.12</c:v>
                </c:pt>
                <c:pt idx="87">
                  <c:v>1898.8620000000001</c:v>
                </c:pt>
                <c:pt idx="88">
                  <c:v>2110.8319999999999</c:v>
                </c:pt>
                <c:pt idx="89">
                  <c:v>1880.2249999999999</c:v>
                </c:pt>
                <c:pt idx="90">
                  <c:v>1777.6959999999999</c:v>
                </c:pt>
                <c:pt idx="91">
                  <c:v>1618.954</c:v>
                </c:pt>
                <c:pt idx="92">
                  <c:v>1518.51</c:v>
                </c:pt>
                <c:pt idx="93">
                  <c:v>1433.2940000000001</c:v>
                </c:pt>
                <c:pt idx="94">
                  <c:v>1487.3320000000001</c:v>
                </c:pt>
                <c:pt idx="95">
                  <c:v>1557.83</c:v>
                </c:pt>
                <c:pt idx="96">
                  <c:v>1698.752</c:v>
                </c:pt>
                <c:pt idx="97">
                  <c:v>1798.886</c:v>
                </c:pt>
                <c:pt idx="98">
                  <c:v>1757.3209999999999</c:v>
                </c:pt>
                <c:pt idx="99">
                  <c:v>1771.0809999999999</c:v>
                </c:pt>
                <c:pt idx="100">
                  <c:v>1702.2650000000001</c:v>
                </c:pt>
                <c:pt idx="101">
                  <c:v>1670.55</c:v>
                </c:pt>
                <c:pt idx="102">
                  <c:v>1537.2850000000001</c:v>
                </c:pt>
                <c:pt idx="103">
                  <c:v>1616.8030000000001</c:v>
                </c:pt>
                <c:pt idx="104">
                  <c:v>1667.828</c:v>
                </c:pt>
                <c:pt idx="105">
                  <c:v>1684.1469999999999</c:v>
                </c:pt>
                <c:pt idx="106">
                  <c:v>1834.4939999999999</c:v>
                </c:pt>
                <c:pt idx="107">
                  <c:v>1832.2</c:v>
                </c:pt>
                <c:pt idx="108">
                  <c:v>2031.413</c:v>
                </c:pt>
                <c:pt idx="109">
                  <c:v>2026.057</c:v>
                </c:pt>
                <c:pt idx="110">
                  <c:v>2059.3330000000001</c:v>
                </c:pt>
                <c:pt idx="111">
                  <c:v>1907.623</c:v>
                </c:pt>
                <c:pt idx="112">
                  <c:v>1814.1980000000001</c:v>
                </c:pt>
                <c:pt idx="113">
                  <c:v>1908</c:v>
                </c:pt>
                <c:pt idx="114">
                  <c:v>1766.8320000000001</c:v>
                </c:pt>
                <c:pt idx="115">
                  <c:v>1683.585</c:v>
                </c:pt>
                <c:pt idx="116">
                  <c:v>1564.73</c:v>
                </c:pt>
                <c:pt idx="117">
                  <c:v>1459.259</c:v>
                </c:pt>
                <c:pt idx="118">
                  <c:v>1527.722</c:v>
                </c:pt>
                <c:pt idx="119">
                  <c:v>1630.202</c:v>
                </c:pt>
                <c:pt idx="120">
                  <c:v>1790.569</c:v>
                </c:pt>
                <c:pt idx="121">
                  <c:v>1828.6010000000001</c:v>
                </c:pt>
                <c:pt idx="122">
                  <c:v>1808.816</c:v>
                </c:pt>
                <c:pt idx="123">
                  <c:v>1851.1110000000001</c:v>
                </c:pt>
                <c:pt idx="124">
                  <c:v>1957.0429999999999</c:v>
                </c:pt>
                <c:pt idx="125">
                  <c:v>1871.5450000000001</c:v>
                </c:pt>
                <c:pt idx="126">
                  <c:v>1689.9010000000001</c:v>
                </c:pt>
                <c:pt idx="127">
                  <c:v>1526.992</c:v>
                </c:pt>
                <c:pt idx="128">
                  <c:v>1249.7619999999999</c:v>
                </c:pt>
                <c:pt idx="129">
                  <c:v>1107.6369999999999</c:v>
                </c:pt>
                <c:pt idx="130">
                  <c:v>1099.086</c:v>
                </c:pt>
                <c:pt idx="131">
                  <c:v>1213.51</c:v>
                </c:pt>
                <c:pt idx="132">
                  <c:v>1359.97</c:v>
                </c:pt>
                <c:pt idx="133">
                  <c:v>1506.5450000000001</c:v>
                </c:pt>
                <c:pt idx="134">
                  <c:v>1689.8409999999999</c:v>
                </c:pt>
                <c:pt idx="135">
                  <c:v>1850.874</c:v>
                </c:pt>
                <c:pt idx="136">
                  <c:v>1754.704</c:v>
                </c:pt>
                <c:pt idx="137">
                  <c:v>1723.556</c:v>
                </c:pt>
                <c:pt idx="138">
                  <c:v>1622.269</c:v>
                </c:pt>
                <c:pt idx="139">
                  <c:v>1499.154</c:v>
                </c:pt>
                <c:pt idx="140">
                  <c:v>1138.3910000000001</c:v>
                </c:pt>
                <c:pt idx="141">
                  <c:v>1066.2729999999999</c:v>
                </c:pt>
                <c:pt idx="142">
                  <c:v>1066.5609999999999</c:v>
                </c:pt>
                <c:pt idx="143">
                  <c:v>1084.3050000000001</c:v>
                </c:pt>
                <c:pt idx="144">
                  <c:v>1236.1420000000001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C-4DD2-9AE6-8FD016FC5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822336"/>
        <c:axId val="407823872"/>
      </c:lineChart>
      <c:dateAx>
        <c:axId val="40782233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07823872"/>
        <c:crosses val="autoZero"/>
        <c:auto val="1"/>
        <c:lblOffset val="100"/>
        <c:baseTimeUnit val="months"/>
        <c:majorUnit val="6"/>
        <c:majorTimeUnit val="months"/>
      </c:dateAx>
      <c:valAx>
        <c:axId val="40782387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p</a:t>
                </a:r>
                <a:r>
                  <a:rPr lang="en-US" sz="1200"/>
                  <a:t>ounds)</a:t>
                </a:r>
              </a:p>
            </c:rich>
          </c:tx>
          <c:layout>
            <c:manualLayout>
              <c:xMode val="edge"/>
              <c:yMode val="edge"/>
              <c:x val="0"/>
              <c:y val="0.36764275656511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07822336"/>
        <c:crosses val="autoZero"/>
        <c:crossBetween val="midCat"/>
      </c:valAx>
      <c:spPr>
        <a:noFill/>
        <a:ln w="285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'NOPA Crush'!$BE$1</c:f>
              <c:strCache>
                <c:ptCount val="1"/>
                <c:pt idx="0">
                  <c:v>Average Daily Crush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'NOPA Crush'!$A$2:$A$650</c:f>
              <c:numCache>
                <c:formatCode>m/d/yyyy</c:formatCode>
                <c:ptCount val="649"/>
                <c:pt idx="0">
                  <c:v>29099</c:v>
                </c:pt>
                <c:pt idx="1">
                  <c:v>29129</c:v>
                </c:pt>
                <c:pt idx="2">
                  <c:v>29160</c:v>
                </c:pt>
                <c:pt idx="3">
                  <c:v>29190</c:v>
                </c:pt>
                <c:pt idx="4">
                  <c:v>29221</c:v>
                </c:pt>
                <c:pt idx="5">
                  <c:v>29252</c:v>
                </c:pt>
                <c:pt idx="6">
                  <c:v>29281</c:v>
                </c:pt>
                <c:pt idx="7">
                  <c:v>29312</c:v>
                </c:pt>
                <c:pt idx="8">
                  <c:v>29342</c:v>
                </c:pt>
                <c:pt idx="9">
                  <c:v>29373</c:v>
                </c:pt>
                <c:pt idx="10">
                  <c:v>29403</c:v>
                </c:pt>
                <c:pt idx="11">
                  <c:v>29434</c:v>
                </c:pt>
                <c:pt idx="12">
                  <c:v>29465</c:v>
                </c:pt>
                <c:pt idx="13">
                  <c:v>29495</c:v>
                </c:pt>
                <c:pt idx="14">
                  <c:v>29526</c:v>
                </c:pt>
                <c:pt idx="15">
                  <c:v>29556</c:v>
                </c:pt>
                <c:pt idx="16">
                  <c:v>29587</c:v>
                </c:pt>
                <c:pt idx="17">
                  <c:v>29618</c:v>
                </c:pt>
                <c:pt idx="18">
                  <c:v>29646</c:v>
                </c:pt>
                <c:pt idx="19">
                  <c:v>29677</c:v>
                </c:pt>
                <c:pt idx="20">
                  <c:v>29707</c:v>
                </c:pt>
                <c:pt idx="21">
                  <c:v>29738</c:v>
                </c:pt>
                <c:pt idx="22">
                  <c:v>29768</c:v>
                </c:pt>
                <c:pt idx="23">
                  <c:v>29799</c:v>
                </c:pt>
                <c:pt idx="24">
                  <c:v>29830</c:v>
                </c:pt>
                <c:pt idx="25">
                  <c:v>29860</c:v>
                </c:pt>
                <c:pt idx="26">
                  <c:v>29891</c:v>
                </c:pt>
                <c:pt idx="27">
                  <c:v>29921</c:v>
                </c:pt>
                <c:pt idx="28">
                  <c:v>29952</c:v>
                </c:pt>
                <c:pt idx="29">
                  <c:v>29983</c:v>
                </c:pt>
                <c:pt idx="30">
                  <c:v>30011</c:v>
                </c:pt>
                <c:pt idx="31">
                  <c:v>30042</c:v>
                </c:pt>
                <c:pt idx="32">
                  <c:v>30072</c:v>
                </c:pt>
                <c:pt idx="33">
                  <c:v>30103</c:v>
                </c:pt>
                <c:pt idx="34">
                  <c:v>30133</c:v>
                </c:pt>
                <c:pt idx="35">
                  <c:v>30164</c:v>
                </c:pt>
                <c:pt idx="36">
                  <c:v>30195</c:v>
                </c:pt>
                <c:pt idx="37">
                  <c:v>30225</c:v>
                </c:pt>
                <c:pt idx="38">
                  <c:v>30256</c:v>
                </c:pt>
                <c:pt idx="39">
                  <c:v>30286</c:v>
                </c:pt>
                <c:pt idx="40">
                  <c:v>30317</c:v>
                </c:pt>
                <c:pt idx="41">
                  <c:v>30348</c:v>
                </c:pt>
                <c:pt idx="42">
                  <c:v>30376</c:v>
                </c:pt>
                <c:pt idx="43">
                  <c:v>30407</c:v>
                </c:pt>
                <c:pt idx="44">
                  <c:v>30437</c:v>
                </c:pt>
                <c:pt idx="45">
                  <c:v>30468</c:v>
                </c:pt>
                <c:pt idx="46">
                  <c:v>30498</c:v>
                </c:pt>
                <c:pt idx="47">
                  <c:v>30529</c:v>
                </c:pt>
                <c:pt idx="48">
                  <c:v>30560</c:v>
                </c:pt>
                <c:pt idx="49">
                  <c:v>30590</c:v>
                </c:pt>
                <c:pt idx="50">
                  <c:v>30621</c:v>
                </c:pt>
                <c:pt idx="51">
                  <c:v>30651</c:v>
                </c:pt>
                <c:pt idx="52">
                  <c:v>30682</c:v>
                </c:pt>
                <c:pt idx="53">
                  <c:v>30713</c:v>
                </c:pt>
                <c:pt idx="54">
                  <c:v>30742</c:v>
                </c:pt>
                <c:pt idx="55">
                  <c:v>30773</c:v>
                </c:pt>
                <c:pt idx="56">
                  <c:v>30803</c:v>
                </c:pt>
                <c:pt idx="57">
                  <c:v>30834</c:v>
                </c:pt>
                <c:pt idx="58">
                  <c:v>30864</c:v>
                </c:pt>
                <c:pt idx="59">
                  <c:v>30895</c:v>
                </c:pt>
                <c:pt idx="60">
                  <c:v>30926</c:v>
                </c:pt>
                <c:pt idx="61">
                  <c:v>30956</c:v>
                </c:pt>
                <c:pt idx="62">
                  <c:v>30987</c:v>
                </c:pt>
                <c:pt idx="63">
                  <c:v>31017</c:v>
                </c:pt>
                <c:pt idx="64">
                  <c:v>31048</c:v>
                </c:pt>
                <c:pt idx="65">
                  <c:v>31079</c:v>
                </c:pt>
                <c:pt idx="66">
                  <c:v>31107</c:v>
                </c:pt>
                <c:pt idx="67">
                  <c:v>31138</c:v>
                </c:pt>
                <c:pt idx="68">
                  <c:v>31168</c:v>
                </c:pt>
                <c:pt idx="69">
                  <c:v>31199</c:v>
                </c:pt>
                <c:pt idx="70">
                  <c:v>31229</c:v>
                </c:pt>
                <c:pt idx="71">
                  <c:v>31260</c:v>
                </c:pt>
                <c:pt idx="72">
                  <c:v>31291</c:v>
                </c:pt>
                <c:pt idx="73">
                  <c:v>31321</c:v>
                </c:pt>
                <c:pt idx="74">
                  <c:v>31352</c:v>
                </c:pt>
                <c:pt idx="75">
                  <c:v>31382</c:v>
                </c:pt>
                <c:pt idx="76">
                  <c:v>31413</c:v>
                </c:pt>
                <c:pt idx="77">
                  <c:v>31444</c:v>
                </c:pt>
                <c:pt idx="78">
                  <c:v>31472</c:v>
                </c:pt>
                <c:pt idx="79">
                  <c:v>31503</c:v>
                </c:pt>
                <c:pt idx="80">
                  <c:v>31533</c:v>
                </c:pt>
                <c:pt idx="81">
                  <c:v>31564</c:v>
                </c:pt>
                <c:pt idx="82">
                  <c:v>31594</c:v>
                </c:pt>
                <c:pt idx="83">
                  <c:v>31625</c:v>
                </c:pt>
                <c:pt idx="84">
                  <c:v>31656</c:v>
                </c:pt>
                <c:pt idx="85">
                  <c:v>31686</c:v>
                </c:pt>
                <c:pt idx="86">
                  <c:v>31717</c:v>
                </c:pt>
                <c:pt idx="87">
                  <c:v>31747</c:v>
                </c:pt>
                <c:pt idx="88">
                  <c:v>31778</c:v>
                </c:pt>
                <c:pt idx="89">
                  <c:v>31809</c:v>
                </c:pt>
                <c:pt idx="90">
                  <c:v>31837</c:v>
                </c:pt>
                <c:pt idx="91">
                  <c:v>31868</c:v>
                </c:pt>
                <c:pt idx="92">
                  <c:v>31898</c:v>
                </c:pt>
                <c:pt idx="93">
                  <c:v>31929</c:v>
                </c:pt>
                <c:pt idx="94">
                  <c:v>31959</c:v>
                </c:pt>
                <c:pt idx="95">
                  <c:v>31990</c:v>
                </c:pt>
                <c:pt idx="96">
                  <c:v>32021</c:v>
                </c:pt>
                <c:pt idx="97">
                  <c:v>32051</c:v>
                </c:pt>
                <c:pt idx="98">
                  <c:v>32082</c:v>
                </c:pt>
                <c:pt idx="99">
                  <c:v>32112</c:v>
                </c:pt>
                <c:pt idx="100">
                  <c:v>32143</c:v>
                </c:pt>
                <c:pt idx="101">
                  <c:v>32174</c:v>
                </c:pt>
                <c:pt idx="102">
                  <c:v>32203</c:v>
                </c:pt>
                <c:pt idx="103">
                  <c:v>32234</c:v>
                </c:pt>
                <c:pt idx="104">
                  <c:v>32264</c:v>
                </c:pt>
                <c:pt idx="105">
                  <c:v>32295</c:v>
                </c:pt>
                <c:pt idx="106">
                  <c:v>32325</c:v>
                </c:pt>
                <c:pt idx="107">
                  <c:v>32356</c:v>
                </c:pt>
                <c:pt idx="108">
                  <c:v>32387</c:v>
                </c:pt>
                <c:pt idx="109">
                  <c:v>32417</c:v>
                </c:pt>
                <c:pt idx="110">
                  <c:v>32448</c:v>
                </c:pt>
                <c:pt idx="111">
                  <c:v>32478</c:v>
                </c:pt>
                <c:pt idx="112">
                  <c:v>32509</c:v>
                </c:pt>
                <c:pt idx="113">
                  <c:v>32540</c:v>
                </c:pt>
                <c:pt idx="114">
                  <c:v>32568</c:v>
                </c:pt>
                <c:pt idx="115">
                  <c:v>32599</c:v>
                </c:pt>
                <c:pt idx="116">
                  <c:v>32629</c:v>
                </c:pt>
                <c:pt idx="117">
                  <c:v>32660</c:v>
                </c:pt>
                <c:pt idx="118">
                  <c:v>32690</c:v>
                </c:pt>
                <c:pt idx="119">
                  <c:v>32721</c:v>
                </c:pt>
                <c:pt idx="120">
                  <c:v>32752</c:v>
                </c:pt>
                <c:pt idx="121">
                  <c:v>32782</c:v>
                </c:pt>
                <c:pt idx="122">
                  <c:v>32813</c:v>
                </c:pt>
                <c:pt idx="123">
                  <c:v>32843</c:v>
                </c:pt>
                <c:pt idx="124">
                  <c:v>32874</c:v>
                </c:pt>
                <c:pt idx="125">
                  <c:v>32905</c:v>
                </c:pt>
                <c:pt idx="126">
                  <c:v>32933</c:v>
                </c:pt>
                <c:pt idx="127">
                  <c:v>32964</c:v>
                </c:pt>
                <c:pt idx="128">
                  <c:v>32994</c:v>
                </c:pt>
                <c:pt idx="129">
                  <c:v>33025</c:v>
                </c:pt>
                <c:pt idx="130">
                  <c:v>33055</c:v>
                </c:pt>
                <c:pt idx="131">
                  <c:v>33086</c:v>
                </c:pt>
                <c:pt idx="132">
                  <c:v>33117</c:v>
                </c:pt>
                <c:pt idx="133">
                  <c:v>33147</c:v>
                </c:pt>
                <c:pt idx="134">
                  <c:v>33178</c:v>
                </c:pt>
                <c:pt idx="135">
                  <c:v>33208</c:v>
                </c:pt>
                <c:pt idx="136">
                  <c:v>33239</c:v>
                </c:pt>
                <c:pt idx="137">
                  <c:v>33270</c:v>
                </c:pt>
                <c:pt idx="138">
                  <c:v>33298</c:v>
                </c:pt>
                <c:pt idx="139">
                  <c:v>33329</c:v>
                </c:pt>
                <c:pt idx="140">
                  <c:v>33359</c:v>
                </c:pt>
                <c:pt idx="141">
                  <c:v>33390</c:v>
                </c:pt>
                <c:pt idx="142">
                  <c:v>33420</c:v>
                </c:pt>
                <c:pt idx="143">
                  <c:v>33451</c:v>
                </c:pt>
                <c:pt idx="144">
                  <c:v>33482</c:v>
                </c:pt>
                <c:pt idx="145">
                  <c:v>33512</c:v>
                </c:pt>
                <c:pt idx="146">
                  <c:v>33543</c:v>
                </c:pt>
                <c:pt idx="147">
                  <c:v>33573</c:v>
                </c:pt>
                <c:pt idx="148">
                  <c:v>33604</c:v>
                </c:pt>
                <c:pt idx="149">
                  <c:v>33635</c:v>
                </c:pt>
                <c:pt idx="150">
                  <c:v>33664</c:v>
                </c:pt>
                <c:pt idx="151">
                  <c:v>33695</c:v>
                </c:pt>
                <c:pt idx="152">
                  <c:v>33725</c:v>
                </c:pt>
                <c:pt idx="153">
                  <c:v>33756</c:v>
                </c:pt>
                <c:pt idx="154">
                  <c:v>33786</c:v>
                </c:pt>
                <c:pt idx="155">
                  <c:v>33817</c:v>
                </c:pt>
                <c:pt idx="156">
                  <c:v>33848</c:v>
                </c:pt>
                <c:pt idx="157">
                  <c:v>33878</c:v>
                </c:pt>
                <c:pt idx="158">
                  <c:v>33909</c:v>
                </c:pt>
                <c:pt idx="159">
                  <c:v>33939</c:v>
                </c:pt>
                <c:pt idx="160">
                  <c:v>33970</c:v>
                </c:pt>
                <c:pt idx="161">
                  <c:v>34001</c:v>
                </c:pt>
                <c:pt idx="162">
                  <c:v>34029</c:v>
                </c:pt>
                <c:pt idx="163">
                  <c:v>34060</c:v>
                </c:pt>
                <c:pt idx="164">
                  <c:v>34090</c:v>
                </c:pt>
                <c:pt idx="165">
                  <c:v>34121</c:v>
                </c:pt>
                <c:pt idx="166">
                  <c:v>34151</c:v>
                </c:pt>
                <c:pt idx="167">
                  <c:v>34182</c:v>
                </c:pt>
                <c:pt idx="168">
                  <c:v>34213</c:v>
                </c:pt>
                <c:pt idx="169">
                  <c:v>34243</c:v>
                </c:pt>
                <c:pt idx="170">
                  <c:v>34274</c:v>
                </c:pt>
                <c:pt idx="171">
                  <c:v>34304</c:v>
                </c:pt>
                <c:pt idx="172">
                  <c:v>34335</c:v>
                </c:pt>
                <c:pt idx="173">
                  <c:v>34366</c:v>
                </c:pt>
                <c:pt idx="174">
                  <c:v>34394</c:v>
                </c:pt>
                <c:pt idx="175">
                  <c:v>34425</c:v>
                </c:pt>
                <c:pt idx="176">
                  <c:v>34455</c:v>
                </c:pt>
                <c:pt idx="177">
                  <c:v>34486</c:v>
                </c:pt>
                <c:pt idx="178">
                  <c:v>34516</c:v>
                </c:pt>
                <c:pt idx="179">
                  <c:v>34547</c:v>
                </c:pt>
                <c:pt idx="180">
                  <c:v>34578</c:v>
                </c:pt>
                <c:pt idx="181">
                  <c:v>34608</c:v>
                </c:pt>
                <c:pt idx="182">
                  <c:v>34639</c:v>
                </c:pt>
                <c:pt idx="183">
                  <c:v>34669</c:v>
                </c:pt>
                <c:pt idx="184">
                  <c:v>34700</c:v>
                </c:pt>
                <c:pt idx="185">
                  <c:v>34731</c:v>
                </c:pt>
                <c:pt idx="186">
                  <c:v>34759</c:v>
                </c:pt>
                <c:pt idx="187">
                  <c:v>34790</c:v>
                </c:pt>
                <c:pt idx="188">
                  <c:v>34820</c:v>
                </c:pt>
                <c:pt idx="189">
                  <c:v>34851</c:v>
                </c:pt>
                <c:pt idx="190">
                  <c:v>34881</c:v>
                </c:pt>
                <c:pt idx="191">
                  <c:v>34912</c:v>
                </c:pt>
                <c:pt idx="192">
                  <c:v>34943</c:v>
                </c:pt>
                <c:pt idx="193">
                  <c:v>34973</c:v>
                </c:pt>
                <c:pt idx="194">
                  <c:v>35004</c:v>
                </c:pt>
                <c:pt idx="195">
                  <c:v>35034</c:v>
                </c:pt>
                <c:pt idx="196">
                  <c:v>35065</c:v>
                </c:pt>
                <c:pt idx="197">
                  <c:v>35096</c:v>
                </c:pt>
                <c:pt idx="198">
                  <c:v>35125</c:v>
                </c:pt>
                <c:pt idx="199">
                  <c:v>35156</c:v>
                </c:pt>
                <c:pt idx="200">
                  <c:v>35186</c:v>
                </c:pt>
                <c:pt idx="201">
                  <c:v>35217</c:v>
                </c:pt>
                <c:pt idx="202">
                  <c:v>35247</c:v>
                </c:pt>
                <c:pt idx="203">
                  <c:v>35278</c:v>
                </c:pt>
                <c:pt idx="204">
                  <c:v>35309</c:v>
                </c:pt>
                <c:pt idx="205">
                  <c:v>35339</c:v>
                </c:pt>
                <c:pt idx="206">
                  <c:v>35370</c:v>
                </c:pt>
                <c:pt idx="207">
                  <c:v>35400</c:v>
                </c:pt>
                <c:pt idx="208">
                  <c:v>35431</c:v>
                </c:pt>
                <c:pt idx="209">
                  <c:v>35462</c:v>
                </c:pt>
                <c:pt idx="210">
                  <c:v>35490</c:v>
                </c:pt>
                <c:pt idx="211">
                  <c:v>35521</c:v>
                </c:pt>
                <c:pt idx="212">
                  <c:v>35551</c:v>
                </c:pt>
                <c:pt idx="213">
                  <c:v>35582</c:v>
                </c:pt>
                <c:pt idx="214">
                  <c:v>35612</c:v>
                </c:pt>
                <c:pt idx="215">
                  <c:v>35643</c:v>
                </c:pt>
                <c:pt idx="216">
                  <c:v>35674</c:v>
                </c:pt>
                <c:pt idx="217">
                  <c:v>35704</c:v>
                </c:pt>
                <c:pt idx="218">
                  <c:v>35735</c:v>
                </c:pt>
                <c:pt idx="219">
                  <c:v>35765</c:v>
                </c:pt>
                <c:pt idx="220">
                  <c:v>35796</c:v>
                </c:pt>
                <c:pt idx="221">
                  <c:v>35827</c:v>
                </c:pt>
                <c:pt idx="222">
                  <c:v>35855</c:v>
                </c:pt>
                <c:pt idx="223">
                  <c:v>35886</c:v>
                </c:pt>
                <c:pt idx="224">
                  <c:v>35916</c:v>
                </c:pt>
                <c:pt idx="225">
                  <c:v>35947</c:v>
                </c:pt>
                <c:pt idx="226">
                  <c:v>35977</c:v>
                </c:pt>
                <c:pt idx="227">
                  <c:v>36008</c:v>
                </c:pt>
                <c:pt idx="228">
                  <c:v>36039</c:v>
                </c:pt>
                <c:pt idx="229">
                  <c:v>36069</c:v>
                </c:pt>
                <c:pt idx="230">
                  <c:v>36100</c:v>
                </c:pt>
                <c:pt idx="231">
                  <c:v>36130</c:v>
                </c:pt>
                <c:pt idx="232">
                  <c:v>36161</c:v>
                </c:pt>
                <c:pt idx="233">
                  <c:v>36192</c:v>
                </c:pt>
                <c:pt idx="234">
                  <c:v>36220</c:v>
                </c:pt>
                <c:pt idx="235">
                  <c:v>36251</c:v>
                </c:pt>
                <c:pt idx="236">
                  <c:v>36281</c:v>
                </c:pt>
                <c:pt idx="237">
                  <c:v>36312</c:v>
                </c:pt>
                <c:pt idx="238">
                  <c:v>36342</c:v>
                </c:pt>
                <c:pt idx="239">
                  <c:v>36373</c:v>
                </c:pt>
                <c:pt idx="240">
                  <c:v>36404</c:v>
                </c:pt>
                <c:pt idx="241">
                  <c:v>36434</c:v>
                </c:pt>
                <c:pt idx="242">
                  <c:v>36465</c:v>
                </c:pt>
                <c:pt idx="243">
                  <c:v>36495</c:v>
                </c:pt>
                <c:pt idx="244">
                  <c:v>36526</c:v>
                </c:pt>
                <c:pt idx="245">
                  <c:v>36557</c:v>
                </c:pt>
                <c:pt idx="246">
                  <c:v>36586</c:v>
                </c:pt>
                <c:pt idx="247">
                  <c:v>36617</c:v>
                </c:pt>
                <c:pt idx="248">
                  <c:v>36647</c:v>
                </c:pt>
                <c:pt idx="249">
                  <c:v>36678</c:v>
                </c:pt>
                <c:pt idx="250">
                  <c:v>36708</c:v>
                </c:pt>
                <c:pt idx="251">
                  <c:v>36739</c:v>
                </c:pt>
                <c:pt idx="252">
                  <c:v>36770</c:v>
                </c:pt>
                <c:pt idx="253">
                  <c:v>36800</c:v>
                </c:pt>
                <c:pt idx="254">
                  <c:v>36831</c:v>
                </c:pt>
                <c:pt idx="255">
                  <c:v>36861</c:v>
                </c:pt>
                <c:pt idx="256">
                  <c:v>36892</c:v>
                </c:pt>
                <c:pt idx="257">
                  <c:v>36923</c:v>
                </c:pt>
                <c:pt idx="258">
                  <c:v>36951</c:v>
                </c:pt>
                <c:pt idx="259">
                  <c:v>36982</c:v>
                </c:pt>
                <c:pt idx="260">
                  <c:v>37012</c:v>
                </c:pt>
                <c:pt idx="261">
                  <c:v>37043</c:v>
                </c:pt>
                <c:pt idx="262">
                  <c:v>37073</c:v>
                </c:pt>
                <c:pt idx="263">
                  <c:v>37104</c:v>
                </c:pt>
                <c:pt idx="264">
                  <c:v>37135</c:v>
                </c:pt>
                <c:pt idx="265">
                  <c:v>37165</c:v>
                </c:pt>
                <c:pt idx="266">
                  <c:v>37196</c:v>
                </c:pt>
                <c:pt idx="267">
                  <c:v>37226</c:v>
                </c:pt>
                <c:pt idx="268">
                  <c:v>37257</c:v>
                </c:pt>
                <c:pt idx="269">
                  <c:v>37288</c:v>
                </c:pt>
                <c:pt idx="270">
                  <c:v>37316</c:v>
                </c:pt>
                <c:pt idx="271">
                  <c:v>37347</c:v>
                </c:pt>
                <c:pt idx="272">
                  <c:v>37377</c:v>
                </c:pt>
                <c:pt idx="273">
                  <c:v>37408</c:v>
                </c:pt>
                <c:pt idx="274">
                  <c:v>37438</c:v>
                </c:pt>
                <c:pt idx="275">
                  <c:v>37469</c:v>
                </c:pt>
                <c:pt idx="276">
                  <c:v>37500</c:v>
                </c:pt>
                <c:pt idx="277">
                  <c:v>37530</c:v>
                </c:pt>
                <c:pt idx="278">
                  <c:v>37561</c:v>
                </c:pt>
                <c:pt idx="279">
                  <c:v>37591</c:v>
                </c:pt>
                <c:pt idx="280">
                  <c:v>37622</c:v>
                </c:pt>
                <c:pt idx="281">
                  <c:v>37653</c:v>
                </c:pt>
                <c:pt idx="282">
                  <c:v>37681</c:v>
                </c:pt>
                <c:pt idx="283">
                  <c:v>37712</c:v>
                </c:pt>
                <c:pt idx="284">
                  <c:v>37742</c:v>
                </c:pt>
                <c:pt idx="285">
                  <c:v>37773</c:v>
                </c:pt>
                <c:pt idx="286">
                  <c:v>37803</c:v>
                </c:pt>
                <c:pt idx="287">
                  <c:v>37834</c:v>
                </c:pt>
                <c:pt idx="288">
                  <c:v>37865</c:v>
                </c:pt>
                <c:pt idx="289">
                  <c:v>37895</c:v>
                </c:pt>
                <c:pt idx="290">
                  <c:v>37926</c:v>
                </c:pt>
                <c:pt idx="291">
                  <c:v>37956</c:v>
                </c:pt>
                <c:pt idx="292">
                  <c:v>37987</c:v>
                </c:pt>
                <c:pt idx="293">
                  <c:v>38018</c:v>
                </c:pt>
                <c:pt idx="294">
                  <c:v>38047</c:v>
                </c:pt>
                <c:pt idx="295">
                  <c:v>38078</c:v>
                </c:pt>
                <c:pt idx="296">
                  <c:v>38108</c:v>
                </c:pt>
                <c:pt idx="297">
                  <c:v>38139</c:v>
                </c:pt>
                <c:pt idx="298">
                  <c:v>38169</c:v>
                </c:pt>
                <c:pt idx="299">
                  <c:v>38200</c:v>
                </c:pt>
                <c:pt idx="300">
                  <c:v>38231</c:v>
                </c:pt>
                <c:pt idx="301">
                  <c:v>38261</c:v>
                </c:pt>
                <c:pt idx="302">
                  <c:v>38292</c:v>
                </c:pt>
                <c:pt idx="303">
                  <c:v>38322</c:v>
                </c:pt>
                <c:pt idx="304">
                  <c:v>38353</c:v>
                </c:pt>
                <c:pt idx="305">
                  <c:v>38384</c:v>
                </c:pt>
                <c:pt idx="306">
                  <c:v>38412</c:v>
                </c:pt>
                <c:pt idx="307">
                  <c:v>38443</c:v>
                </c:pt>
                <c:pt idx="308">
                  <c:v>38473</c:v>
                </c:pt>
                <c:pt idx="309">
                  <c:v>38504</c:v>
                </c:pt>
                <c:pt idx="310">
                  <c:v>38534</c:v>
                </c:pt>
                <c:pt idx="311">
                  <c:v>38565</c:v>
                </c:pt>
                <c:pt idx="312">
                  <c:v>38596</c:v>
                </c:pt>
                <c:pt idx="313">
                  <c:v>38626</c:v>
                </c:pt>
                <c:pt idx="314">
                  <c:v>38657</c:v>
                </c:pt>
                <c:pt idx="315">
                  <c:v>38687</c:v>
                </c:pt>
                <c:pt idx="316">
                  <c:v>38718</c:v>
                </c:pt>
                <c:pt idx="317">
                  <c:v>38749</c:v>
                </c:pt>
                <c:pt idx="318">
                  <c:v>38777</c:v>
                </c:pt>
                <c:pt idx="319">
                  <c:v>38808</c:v>
                </c:pt>
                <c:pt idx="320">
                  <c:v>38838</c:v>
                </c:pt>
                <c:pt idx="321">
                  <c:v>38869</c:v>
                </c:pt>
                <c:pt idx="322">
                  <c:v>38899</c:v>
                </c:pt>
                <c:pt idx="323">
                  <c:v>38930</c:v>
                </c:pt>
                <c:pt idx="324">
                  <c:v>38961</c:v>
                </c:pt>
                <c:pt idx="325">
                  <c:v>38991</c:v>
                </c:pt>
                <c:pt idx="326">
                  <c:v>39022</c:v>
                </c:pt>
                <c:pt idx="327">
                  <c:v>39052</c:v>
                </c:pt>
                <c:pt idx="328">
                  <c:v>39083</c:v>
                </c:pt>
                <c:pt idx="329">
                  <c:v>39114</c:v>
                </c:pt>
                <c:pt idx="330">
                  <c:v>39142</c:v>
                </c:pt>
                <c:pt idx="331">
                  <c:v>39173</c:v>
                </c:pt>
                <c:pt idx="332">
                  <c:v>39203</c:v>
                </c:pt>
                <c:pt idx="333">
                  <c:v>39234</c:v>
                </c:pt>
                <c:pt idx="334">
                  <c:v>39264</c:v>
                </c:pt>
                <c:pt idx="335">
                  <c:v>39295</c:v>
                </c:pt>
                <c:pt idx="336">
                  <c:v>39326</c:v>
                </c:pt>
                <c:pt idx="337">
                  <c:v>39356</c:v>
                </c:pt>
                <c:pt idx="338">
                  <c:v>39387</c:v>
                </c:pt>
                <c:pt idx="339">
                  <c:v>39417</c:v>
                </c:pt>
                <c:pt idx="340">
                  <c:v>39448</c:v>
                </c:pt>
                <c:pt idx="341">
                  <c:v>39479</c:v>
                </c:pt>
                <c:pt idx="342">
                  <c:v>39508</c:v>
                </c:pt>
                <c:pt idx="343">
                  <c:v>39539</c:v>
                </c:pt>
                <c:pt idx="344">
                  <c:v>39569</c:v>
                </c:pt>
                <c:pt idx="345">
                  <c:v>39600</c:v>
                </c:pt>
                <c:pt idx="346">
                  <c:v>39630</c:v>
                </c:pt>
                <c:pt idx="347">
                  <c:v>39661</c:v>
                </c:pt>
                <c:pt idx="348">
                  <c:v>39692</c:v>
                </c:pt>
                <c:pt idx="349">
                  <c:v>39722</c:v>
                </c:pt>
                <c:pt idx="350">
                  <c:v>39753</c:v>
                </c:pt>
                <c:pt idx="351">
                  <c:v>39783</c:v>
                </c:pt>
                <c:pt idx="352">
                  <c:v>39814</c:v>
                </c:pt>
                <c:pt idx="353">
                  <c:v>39845</c:v>
                </c:pt>
                <c:pt idx="354">
                  <c:v>39873</c:v>
                </c:pt>
                <c:pt idx="355">
                  <c:v>39904</c:v>
                </c:pt>
                <c:pt idx="356">
                  <c:v>39934</c:v>
                </c:pt>
                <c:pt idx="357">
                  <c:v>39965</c:v>
                </c:pt>
                <c:pt idx="358">
                  <c:v>39995</c:v>
                </c:pt>
                <c:pt idx="359">
                  <c:v>40026</c:v>
                </c:pt>
                <c:pt idx="360">
                  <c:v>40057</c:v>
                </c:pt>
                <c:pt idx="361">
                  <c:v>40087</c:v>
                </c:pt>
                <c:pt idx="362">
                  <c:v>40118</c:v>
                </c:pt>
                <c:pt idx="363">
                  <c:v>40148</c:v>
                </c:pt>
                <c:pt idx="364">
                  <c:v>40179</c:v>
                </c:pt>
                <c:pt idx="365">
                  <c:v>40210</c:v>
                </c:pt>
                <c:pt idx="366">
                  <c:v>40238</c:v>
                </c:pt>
                <c:pt idx="367">
                  <c:v>40269</c:v>
                </c:pt>
                <c:pt idx="368">
                  <c:v>40299</c:v>
                </c:pt>
                <c:pt idx="369">
                  <c:v>40330</c:v>
                </c:pt>
                <c:pt idx="370">
                  <c:v>40360</c:v>
                </c:pt>
                <c:pt idx="371">
                  <c:v>40391</c:v>
                </c:pt>
                <c:pt idx="372">
                  <c:v>40422</c:v>
                </c:pt>
                <c:pt idx="373">
                  <c:v>40452</c:v>
                </c:pt>
                <c:pt idx="374">
                  <c:v>40483</c:v>
                </c:pt>
                <c:pt idx="375">
                  <c:v>40513</c:v>
                </c:pt>
                <c:pt idx="376">
                  <c:v>40544</c:v>
                </c:pt>
                <c:pt idx="377">
                  <c:v>40575</c:v>
                </c:pt>
                <c:pt idx="378">
                  <c:v>40603</c:v>
                </c:pt>
                <c:pt idx="379">
                  <c:v>40634</c:v>
                </c:pt>
                <c:pt idx="380">
                  <c:v>40664</c:v>
                </c:pt>
                <c:pt idx="381">
                  <c:v>40695</c:v>
                </c:pt>
                <c:pt idx="382">
                  <c:v>40725</c:v>
                </c:pt>
                <c:pt idx="383">
                  <c:v>40756</c:v>
                </c:pt>
                <c:pt idx="384">
                  <c:v>40787</c:v>
                </c:pt>
                <c:pt idx="385">
                  <c:v>40817</c:v>
                </c:pt>
                <c:pt idx="386">
                  <c:v>40848</c:v>
                </c:pt>
                <c:pt idx="387">
                  <c:v>40878</c:v>
                </c:pt>
                <c:pt idx="388">
                  <c:v>40909</c:v>
                </c:pt>
                <c:pt idx="389">
                  <c:v>40940</c:v>
                </c:pt>
                <c:pt idx="390">
                  <c:v>40969</c:v>
                </c:pt>
                <c:pt idx="391">
                  <c:v>41000</c:v>
                </c:pt>
                <c:pt idx="392">
                  <c:v>41030</c:v>
                </c:pt>
                <c:pt idx="393">
                  <c:v>41061</c:v>
                </c:pt>
                <c:pt idx="394">
                  <c:v>41091</c:v>
                </c:pt>
                <c:pt idx="395">
                  <c:v>41122</c:v>
                </c:pt>
                <c:pt idx="396">
                  <c:v>41153</c:v>
                </c:pt>
                <c:pt idx="397">
                  <c:v>41183</c:v>
                </c:pt>
                <c:pt idx="398">
                  <c:v>41214</c:v>
                </c:pt>
                <c:pt idx="399">
                  <c:v>41244</c:v>
                </c:pt>
                <c:pt idx="400">
                  <c:v>41275</c:v>
                </c:pt>
                <c:pt idx="401">
                  <c:v>41306</c:v>
                </c:pt>
                <c:pt idx="402">
                  <c:v>41334</c:v>
                </c:pt>
                <c:pt idx="403">
                  <c:v>41365</c:v>
                </c:pt>
                <c:pt idx="404">
                  <c:v>41395</c:v>
                </c:pt>
                <c:pt idx="405">
                  <c:v>41426</c:v>
                </c:pt>
                <c:pt idx="406">
                  <c:v>41456</c:v>
                </c:pt>
                <c:pt idx="407">
                  <c:v>41487</c:v>
                </c:pt>
                <c:pt idx="408">
                  <c:v>41518</c:v>
                </c:pt>
                <c:pt idx="409">
                  <c:v>41548</c:v>
                </c:pt>
                <c:pt idx="410">
                  <c:v>41579</c:v>
                </c:pt>
                <c:pt idx="411">
                  <c:v>41609</c:v>
                </c:pt>
                <c:pt idx="412">
                  <c:v>41640</c:v>
                </c:pt>
                <c:pt idx="413">
                  <c:v>41671</c:v>
                </c:pt>
                <c:pt idx="414">
                  <c:v>41699</c:v>
                </c:pt>
                <c:pt idx="415">
                  <c:v>41730</c:v>
                </c:pt>
                <c:pt idx="416">
                  <c:v>41760</c:v>
                </c:pt>
                <c:pt idx="417">
                  <c:v>41791</c:v>
                </c:pt>
                <c:pt idx="418">
                  <c:v>41821</c:v>
                </c:pt>
                <c:pt idx="419">
                  <c:v>41852</c:v>
                </c:pt>
                <c:pt idx="420">
                  <c:v>41883</c:v>
                </c:pt>
                <c:pt idx="421">
                  <c:v>41913</c:v>
                </c:pt>
                <c:pt idx="422">
                  <c:v>41944</c:v>
                </c:pt>
                <c:pt idx="423">
                  <c:v>41974</c:v>
                </c:pt>
                <c:pt idx="424">
                  <c:v>42005</c:v>
                </c:pt>
                <c:pt idx="425">
                  <c:v>42036</c:v>
                </c:pt>
                <c:pt idx="426">
                  <c:v>42064</c:v>
                </c:pt>
                <c:pt idx="427">
                  <c:v>42095</c:v>
                </c:pt>
                <c:pt idx="428">
                  <c:v>42125</c:v>
                </c:pt>
                <c:pt idx="429">
                  <c:v>42156</c:v>
                </c:pt>
                <c:pt idx="430">
                  <c:v>42186</c:v>
                </c:pt>
                <c:pt idx="431">
                  <c:v>42217</c:v>
                </c:pt>
                <c:pt idx="432">
                  <c:v>42248</c:v>
                </c:pt>
                <c:pt idx="433">
                  <c:v>42278</c:v>
                </c:pt>
                <c:pt idx="434">
                  <c:v>42309</c:v>
                </c:pt>
                <c:pt idx="435">
                  <c:v>42339</c:v>
                </c:pt>
                <c:pt idx="436">
                  <c:v>42370</c:v>
                </c:pt>
                <c:pt idx="437">
                  <c:v>42401</c:v>
                </c:pt>
                <c:pt idx="438">
                  <c:v>42430</c:v>
                </c:pt>
                <c:pt idx="439">
                  <c:v>42461</c:v>
                </c:pt>
                <c:pt idx="440">
                  <c:v>42491</c:v>
                </c:pt>
                <c:pt idx="441">
                  <c:v>42522</c:v>
                </c:pt>
                <c:pt idx="442">
                  <c:v>42552</c:v>
                </c:pt>
                <c:pt idx="443">
                  <c:v>42583</c:v>
                </c:pt>
                <c:pt idx="444">
                  <c:v>42614</c:v>
                </c:pt>
                <c:pt idx="445">
                  <c:v>42644</c:v>
                </c:pt>
                <c:pt idx="446">
                  <c:v>42675</c:v>
                </c:pt>
                <c:pt idx="447">
                  <c:v>42705</c:v>
                </c:pt>
                <c:pt idx="448">
                  <c:v>42736</c:v>
                </c:pt>
                <c:pt idx="449">
                  <c:v>42767</c:v>
                </c:pt>
                <c:pt idx="450">
                  <c:v>42795</c:v>
                </c:pt>
                <c:pt idx="451">
                  <c:v>42826</c:v>
                </c:pt>
                <c:pt idx="452">
                  <c:v>42856</c:v>
                </c:pt>
                <c:pt idx="453">
                  <c:v>42887</c:v>
                </c:pt>
                <c:pt idx="454">
                  <c:v>42917</c:v>
                </c:pt>
                <c:pt idx="455">
                  <c:v>42948</c:v>
                </c:pt>
                <c:pt idx="456">
                  <c:v>42979</c:v>
                </c:pt>
                <c:pt idx="457">
                  <c:v>43009</c:v>
                </c:pt>
                <c:pt idx="458">
                  <c:v>43040</c:v>
                </c:pt>
                <c:pt idx="459">
                  <c:v>43070</c:v>
                </c:pt>
                <c:pt idx="460">
                  <c:v>43101</c:v>
                </c:pt>
                <c:pt idx="461">
                  <c:v>43132</c:v>
                </c:pt>
                <c:pt idx="462">
                  <c:v>43160</c:v>
                </c:pt>
                <c:pt idx="463">
                  <c:v>43191</c:v>
                </c:pt>
                <c:pt idx="464">
                  <c:v>43221</c:v>
                </c:pt>
                <c:pt idx="465">
                  <c:v>43252</c:v>
                </c:pt>
                <c:pt idx="466">
                  <c:v>43282</c:v>
                </c:pt>
                <c:pt idx="467">
                  <c:v>43313</c:v>
                </c:pt>
                <c:pt idx="468">
                  <c:v>43344</c:v>
                </c:pt>
                <c:pt idx="469">
                  <c:v>43374</c:v>
                </c:pt>
                <c:pt idx="470">
                  <c:v>43405</c:v>
                </c:pt>
                <c:pt idx="471">
                  <c:v>43435</c:v>
                </c:pt>
                <c:pt idx="472">
                  <c:v>43466</c:v>
                </c:pt>
                <c:pt idx="473">
                  <c:v>43497</c:v>
                </c:pt>
                <c:pt idx="474">
                  <c:v>43525</c:v>
                </c:pt>
                <c:pt idx="475">
                  <c:v>43556</c:v>
                </c:pt>
                <c:pt idx="476">
                  <c:v>43586</c:v>
                </c:pt>
                <c:pt idx="477">
                  <c:v>43617</c:v>
                </c:pt>
                <c:pt idx="478">
                  <c:v>43647</c:v>
                </c:pt>
                <c:pt idx="479">
                  <c:v>43678</c:v>
                </c:pt>
                <c:pt idx="480">
                  <c:v>43709</c:v>
                </c:pt>
                <c:pt idx="481">
                  <c:v>43739</c:v>
                </c:pt>
                <c:pt idx="482">
                  <c:v>43770</c:v>
                </c:pt>
                <c:pt idx="483">
                  <c:v>43800</c:v>
                </c:pt>
                <c:pt idx="484">
                  <c:v>43831</c:v>
                </c:pt>
                <c:pt idx="485">
                  <c:v>43862</c:v>
                </c:pt>
                <c:pt idx="486">
                  <c:v>43891</c:v>
                </c:pt>
                <c:pt idx="487">
                  <c:v>43922</c:v>
                </c:pt>
                <c:pt idx="488">
                  <c:v>43952</c:v>
                </c:pt>
                <c:pt idx="489">
                  <c:v>43983</c:v>
                </c:pt>
                <c:pt idx="490">
                  <c:v>44013</c:v>
                </c:pt>
                <c:pt idx="491">
                  <c:v>44044</c:v>
                </c:pt>
                <c:pt idx="492">
                  <c:v>44075</c:v>
                </c:pt>
                <c:pt idx="493">
                  <c:v>44105</c:v>
                </c:pt>
                <c:pt idx="494">
                  <c:v>44136</c:v>
                </c:pt>
                <c:pt idx="495">
                  <c:v>44166</c:v>
                </c:pt>
                <c:pt idx="496">
                  <c:v>44197</c:v>
                </c:pt>
                <c:pt idx="497">
                  <c:v>44228</c:v>
                </c:pt>
                <c:pt idx="498">
                  <c:v>44256</c:v>
                </c:pt>
                <c:pt idx="499">
                  <c:v>44287</c:v>
                </c:pt>
                <c:pt idx="500">
                  <c:v>44317</c:v>
                </c:pt>
                <c:pt idx="501">
                  <c:v>44348</c:v>
                </c:pt>
                <c:pt idx="502">
                  <c:v>44378</c:v>
                </c:pt>
                <c:pt idx="503">
                  <c:v>44409</c:v>
                </c:pt>
                <c:pt idx="504">
                  <c:v>44440</c:v>
                </c:pt>
                <c:pt idx="505">
                  <c:v>44470</c:v>
                </c:pt>
                <c:pt idx="506">
                  <c:v>44501</c:v>
                </c:pt>
                <c:pt idx="507">
                  <c:v>44531</c:v>
                </c:pt>
                <c:pt idx="508">
                  <c:v>44562</c:v>
                </c:pt>
                <c:pt idx="509">
                  <c:v>44593</c:v>
                </c:pt>
                <c:pt idx="510">
                  <c:v>44621</c:v>
                </c:pt>
                <c:pt idx="511">
                  <c:v>44652</c:v>
                </c:pt>
                <c:pt idx="512">
                  <c:v>44682</c:v>
                </c:pt>
                <c:pt idx="513">
                  <c:v>44713</c:v>
                </c:pt>
                <c:pt idx="514">
                  <c:v>44743</c:v>
                </c:pt>
                <c:pt idx="515">
                  <c:v>44774</c:v>
                </c:pt>
                <c:pt idx="516">
                  <c:v>44805</c:v>
                </c:pt>
                <c:pt idx="517">
                  <c:v>44835</c:v>
                </c:pt>
                <c:pt idx="518">
                  <c:v>44866</c:v>
                </c:pt>
                <c:pt idx="519">
                  <c:v>44896</c:v>
                </c:pt>
                <c:pt idx="520">
                  <c:v>44927</c:v>
                </c:pt>
                <c:pt idx="521">
                  <c:v>44958</c:v>
                </c:pt>
                <c:pt idx="522">
                  <c:v>44986</c:v>
                </c:pt>
                <c:pt idx="523">
                  <c:v>45017</c:v>
                </c:pt>
                <c:pt idx="524">
                  <c:v>45047</c:v>
                </c:pt>
                <c:pt idx="525">
                  <c:v>45078</c:v>
                </c:pt>
                <c:pt idx="526">
                  <c:v>45108</c:v>
                </c:pt>
                <c:pt idx="527">
                  <c:v>45139</c:v>
                </c:pt>
                <c:pt idx="528">
                  <c:v>45170</c:v>
                </c:pt>
                <c:pt idx="529">
                  <c:v>45200</c:v>
                </c:pt>
                <c:pt idx="530">
                  <c:v>45231</c:v>
                </c:pt>
                <c:pt idx="531">
                  <c:v>45261</c:v>
                </c:pt>
                <c:pt idx="532">
                  <c:v>45292</c:v>
                </c:pt>
                <c:pt idx="533">
                  <c:v>45323</c:v>
                </c:pt>
                <c:pt idx="534">
                  <c:v>45352</c:v>
                </c:pt>
                <c:pt idx="535">
                  <c:v>45383</c:v>
                </c:pt>
                <c:pt idx="536">
                  <c:v>45413</c:v>
                </c:pt>
                <c:pt idx="537">
                  <c:v>45444</c:v>
                </c:pt>
                <c:pt idx="538">
                  <c:v>45474</c:v>
                </c:pt>
                <c:pt idx="539">
                  <c:v>45505</c:v>
                </c:pt>
                <c:pt idx="540">
                  <c:v>45536</c:v>
                </c:pt>
                <c:pt idx="541">
                  <c:v>45566</c:v>
                </c:pt>
                <c:pt idx="542">
                  <c:v>45597</c:v>
                </c:pt>
                <c:pt idx="543">
                  <c:v>45627</c:v>
                </c:pt>
                <c:pt idx="544">
                  <c:v>45658</c:v>
                </c:pt>
                <c:pt idx="545">
                  <c:v>45689</c:v>
                </c:pt>
                <c:pt idx="546">
                  <c:v>45717</c:v>
                </c:pt>
                <c:pt idx="547">
                  <c:v>45748</c:v>
                </c:pt>
                <c:pt idx="548">
                  <c:v>45778</c:v>
                </c:pt>
                <c:pt idx="549">
                  <c:v>45809</c:v>
                </c:pt>
                <c:pt idx="550">
                  <c:v>45839</c:v>
                </c:pt>
                <c:pt idx="551">
                  <c:v>45870</c:v>
                </c:pt>
                <c:pt idx="552">
                  <c:v>45901</c:v>
                </c:pt>
                <c:pt idx="553">
                  <c:v>45931</c:v>
                </c:pt>
                <c:pt idx="554">
                  <c:v>45962</c:v>
                </c:pt>
                <c:pt idx="555">
                  <c:v>45992</c:v>
                </c:pt>
                <c:pt idx="556">
                  <c:v>46023</c:v>
                </c:pt>
                <c:pt idx="557">
                  <c:v>46054</c:v>
                </c:pt>
                <c:pt idx="558">
                  <c:v>46082</c:v>
                </c:pt>
                <c:pt idx="559">
                  <c:v>46113</c:v>
                </c:pt>
                <c:pt idx="560">
                  <c:v>46143</c:v>
                </c:pt>
                <c:pt idx="561">
                  <c:v>46174</c:v>
                </c:pt>
                <c:pt idx="562">
                  <c:v>46204</c:v>
                </c:pt>
                <c:pt idx="563">
                  <c:v>46235</c:v>
                </c:pt>
                <c:pt idx="564">
                  <c:v>46266</c:v>
                </c:pt>
                <c:pt idx="565">
                  <c:v>46296</c:v>
                </c:pt>
                <c:pt idx="566">
                  <c:v>46327</c:v>
                </c:pt>
                <c:pt idx="567">
                  <c:v>46357</c:v>
                </c:pt>
                <c:pt idx="568">
                  <c:v>46388</c:v>
                </c:pt>
                <c:pt idx="569">
                  <c:v>46419</c:v>
                </c:pt>
                <c:pt idx="570">
                  <c:v>46447</c:v>
                </c:pt>
                <c:pt idx="571">
                  <c:v>46478</c:v>
                </c:pt>
                <c:pt idx="572">
                  <c:v>46508</c:v>
                </c:pt>
                <c:pt idx="573">
                  <c:v>46539</c:v>
                </c:pt>
                <c:pt idx="574">
                  <c:v>46569</c:v>
                </c:pt>
                <c:pt idx="575">
                  <c:v>46600</c:v>
                </c:pt>
                <c:pt idx="576">
                  <c:v>46631</c:v>
                </c:pt>
                <c:pt idx="577">
                  <c:v>46661</c:v>
                </c:pt>
                <c:pt idx="578">
                  <c:v>46692</c:v>
                </c:pt>
                <c:pt idx="579">
                  <c:v>46722</c:v>
                </c:pt>
                <c:pt idx="580">
                  <c:v>46753</c:v>
                </c:pt>
                <c:pt idx="581">
                  <c:v>46784</c:v>
                </c:pt>
                <c:pt idx="582">
                  <c:v>46813</c:v>
                </c:pt>
                <c:pt idx="583">
                  <c:v>46844</c:v>
                </c:pt>
                <c:pt idx="584">
                  <c:v>46874</c:v>
                </c:pt>
                <c:pt idx="585">
                  <c:v>46905</c:v>
                </c:pt>
                <c:pt idx="586">
                  <c:v>46935</c:v>
                </c:pt>
                <c:pt idx="587">
                  <c:v>46966</c:v>
                </c:pt>
                <c:pt idx="588">
                  <c:v>46997</c:v>
                </c:pt>
                <c:pt idx="589">
                  <c:v>47027</c:v>
                </c:pt>
                <c:pt idx="590">
                  <c:v>47058</c:v>
                </c:pt>
                <c:pt idx="591">
                  <c:v>47088</c:v>
                </c:pt>
                <c:pt idx="592">
                  <c:v>47119</c:v>
                </c:pt>
                <c:pt idx="593">
                  <c:v>47150</c:v>
                </c:pt>
                <c:pt idx="594">
                  <c:v>47178</c:v>
                </c:pt>
                <c:pt idx="595">
                  <c:v>47209</c:v>
                </c:pt>
                <c:pt idx="596">
                  <c:v>47239</c:v>
                </c:pt>
                <c:pt idx="597">
                  <c:v>47270</c:v>
                </c:pt>
                <c:pt idx="598">
                  <c:v>47300</c:v>
                </c:pt>
                <c:pt idx="599">
                  <c:v>47331</c:v>
                </c:pt>
                <c:pt idx="600">
                  <c:v>47362</c:v>
                </c:pt>
              </c:numCache>
            </c:numRef>
          </c:cat>
          <c:val>
            <c:numRef>
              <c:f>'NOPA Crush'!$BE$2:$BE$650</c:f>
              <c:numCache>
                <c:formatCode>_(* #,##0.00_);_(* \(#,##0.00\);_(* "-"??_);_(@_)</c:formatCode>
                <c:ptCount val="649"/>
                <c:pt idx="0">
                  <c:v>2.5166666666666666</c:v>
                </c:pt>
                <c:pt idx="1">
                  <c:v>3.0806451612903225</c:v>
                </c:pt>
                <c:pt idx="2">
                  <c:v>3.3666666666666667</c:v>
                </c:pt>
                <c:pt idx="3">
                  <c:v>3.3580645161290321</c:v>
                </c:pt>
                <c:pt idx="4">
                  <c:v>3.3741935483870966</c:v>
                </c:pt>
                <c:pt idx="5">
                  <c:v>3.4103448275862069</c:v>
                </c:pt>
                <c:pt idx="6">
                  <c:v>3.2709677419354839</c:v>
                </c:pt>
                <c:pt idx="7">
                  <c:v>3.0466666666666669</c:v>
                </c:pt>
                <c:pt idx="8">
                  <c:v>3.0064516129032257</c:v>
                </c:pt>
                <c:pt idx="9">
                  <c:v>2.73</c:v>
                </c:pt>
                <c:pt idx="10">
                  <c:v>2.7129032258064516</c:v>
                </c:pt>
                <c:pt idx="11">
                  <c:v>2.6483870967741932</c:v>
                </c:pt>
                <c:pt idx="12">
                  <c:v>2.6933333333333334</c:v>
                </c:pt>
                <c:pt idx="13">
                  <c:v>3.1903225806451614</c:v>
                </c:pt>
                <c:pt idx="14">
                  <c:v>3.2233333333333336</c:v>
                </c:pt>
                <c:pt idx="15">
                  <c:v>3.0032258064516126</c:v>
                </c:pt>
                <c:pt idx="16">
                  <c:v>2.9580645161290322</c:v>
                </c:pt>
                <c:pt idx="17">
                  <c:v>2.8000000000000003</c:v>
                </c:pt>
                <c:pt idx="18">
                  <c:v>2.8741935483870966</c:v>
                </c:pt>
                <c:pt idx="19">
                  <c:v>2.8166666666666669</c:v>
                </c:pt>
                <c:pt idx="20">
                  <c:v>2.6548387096774193</c:v>
                </c:pt>
                <c:pt idx="21">
                  <c:v>2.4099999999999997</c:v>
                </c:pt>
                <c:pt idx="22">
                  <c:v>2.3322580645161288</c:v>
                </c:pt>
                <c:pt idx="23">
                  <c:v>2.3806451612903223</c:v>
                </c:pt>
                <c:pt idx="24">
                  <c:v>2.5366666666666666</c:v>
                </c:pt>
                <c:pt idx="25">
                  <c:v>3.3645161290322578</c:v>
                </c:pt>
                <c:pt idx="26">
                  <c:v>3.2</c:v>
                </c:pt>
                <c:pt idx="27">
                  <c:v>3.3032258064516129</c:v>
                </c:pt>
                <c:pt idx="28">
                  <c:v>3.0387096774193547</c:v>
                </c:pt>
                <c:pt idx="29">
                  <c:v>3.0642857142857141</c:v>
                </c:pt>
                <c:pt idx="30">
                  <c:v>2.7290322580645161</c:v>
                </c:pt>
                <c:pt idx="31">
                  <c:v>2.6599999999999997</c:v>
                </c:pt>
                <c:pt idx="32">
                  <c:v>2.7870967741935484</c:v>
                </c:pt>
                <c:pt idx="33">
                  <c:v>2.5433333333333334</c:v>
                </c:pt>
                <c:pt idx="34">
                  <c:v>2.2548387096774194</c:v>
                </c:pt>
                <c:pt idx="35">
                  <c:v>2.1774193548387095</c:v>
                </c:pt>
                <c:pt idx="36">
                  <c:v>2.5</c:v>
                </c:pt>
                <c:pt idx="37">
                  <c:v>3.1741935483870969</c:v>
                </c:pt>
                <c:pt idx="38">
                  <c:v>3.5866666666666664</c:v>
                </c:pt>
                <c:pt idx="39">
                  <c:v>3.5999999999999996</c:v>
                </c:pt>
                <c:pt idx="40">
                  <c:v>3.5483870967741935</c:v>
                </c:pt>
                <c:pt idx="41">
                  <c:v>3.3142857142857141</c:v>
                </c:pt>
                <c:pt idx="42">
                  <c:v>3.0451612903225809</c:v>
                </c:pt>
                <c:pt idx="43">
                  <c:v>2.7233333333333336</c:v>
                </c:pt>
                <c:pt idx="44">
                  <c:v>2.6838709677419357</c:v>
                </c:pt>
                <c:pt idx="45">
                  <c:v>2.7166666666666668</c:v>
                </c:pt>
                <c:pt idx="46">
                  <c:v>2.6322580645161286</c:v>
                </c:pt>
                <c:pt idx="47">
                  <c:v>2.7419354838709675</c:v>
                </c:pt>
                <c:pt idx="48">
                  <c:v>2.8699999999999997</c:v>
                </c:pt>
                <c:pt idx="49">
                  <c:v>3.0870967741935487</c:v>
                </c:pt>
                <c:pt idx="50">
                  <c:v>2.8733333333333335</c:v>
                </c:pt>
                <c:pt idx="51">
                  <c:v>2.8870967741935485</c:v>
                </c:pt>
                <c:pt idx="52">
                  <c:v>3.0290322580645164</c:v>
                </c:pt>
                <c:pt idx="53">
                  <c:v>2.7275862068965515</c:v>
                </c:pt>
                <c:pt idx="54">
                  <c:v>2.774193548387097</c:v>
                </c:pt>
                <c:pt idx="55">
                  <c:v>2.4866666666666664</c:v>
                </c:pt>
                <c:pt idx="56">
                  <c:v>2.5548387096774197</c:v>
                </c:pt>
                <c:pt idx="57">
                  <c:v>2.3433333333333333</c:v>
                </c:pt>
                <c:pt idx="58">
                  <c:v>2.2225806451612904</c:v>
                </c:pt>
                <c:pt idx="59">
                  <c:v>2.2903225806451615</c:v>
                </c:pt>
                <c:pt idx="60">
                  <c:v>2.1800000000000002</c:v>
                </c:pt>
                <c:pt idx="61">
                  <c:v>2.4516129032258065</c:v>
                </c:pt>
                <c:pt idx="62">
                  <c:v>2.81</c:v>
                </c:pt>
                <c:pt idx="63">
                  <c:v>2.7838709677419353</c:v>
                </c:pt>
                <c:pt idx="64">
                  <c:v>2.6645161290322581</c:v>
                </c:pt>
                <c:pt idx="65">
                  <c:v>2.4392857142857141</c:v>
                </c:pt>
                <c:pt idx="66">
                  <c:v>2.3806451612903223</c:v>
                </c:pt>
                <c:pt idx="67">
                  <c:v>2.4699999999999998</c:v>
                </c:pt>
                <c:pt idx="68">
                  <c:v>2.5548387096774197</c:v>
                </c:pt>
                <c:pt idx="69">
                  <c:v>2.3866666666666663</c:v>
                </c:pt>
                <c:pt idx="70">
                  <c:v>2.2999999999999998</c:v>
                </c:pt>
                <c:pt idx="71">
                  <c:v>2.1838709677419357</c:v>
                </c:pt>
                <c:pt idx="72">
                  <c:v>2.17</c:v>
                </c:pt>
                <c:pt idx="73">
                  <c:v>2.5935483870967744</c:v>
                </c:pt>
                <c:pt idx="74">
                  <c:v>2.76</c:v>
                </c:pt>
                <c:pt idx="75">
                  <c:v>2.7637096774193548</c:v>
                </c:pt>
                <c:pt idx="76">
                  <c:v>2.7371935483870966</c:v>
                </c:pt>
                <c:pt idx="77">
                  <c:v>2.4811071428571432</c:v>
                </c:pt>
                <c:pt idx="78">
                  <c:v>2.5278387096774195</c:v>
                </c:pt>
                <c:pt idx="79">
                  <c:v>2.414733333333333</c:v>
                </c:pt>
                <c:pt idx="80">
                  <c:v>2.4202258064516129</c:v>
                </c:pt>
                <c:pt idx="81">
                  <c:v>2.2220666666666671</c:v>
                </c:pt>
                <c:pt idx="82">
                  <c:v>2.3489032258064517</c:v>
                </c:pt>
                <c:pt idx="83">
                  <c:v>2.2521290322580647</c:v>
                </c:pt>
                <c:pt idx="84">
                  <c:v>2.3099333333333334</c:v>
                </c:pt>
                <c:pt idx="85">
                  <c:v>2.9899999999999998</c:v>
                </c:pt>
                <c:pt idx="86">
                  <c:v>3.1685333333333334</c:v>
                </c:pt>
                <c:pt idx="87">
                  <c:v>3.0037096774193546</c:v>
                </c:pt>
                <c:pt idx="88">
                  <c:v>3.092451612903226</c:v>
                </c:pt>
                <c:pt idx="89">
                  <c:v>3.1547499999999999</c:v>
                </c:pt>
                <c:pt idx="90">
                  <c:v>2.9795806451612905</c:v>
                </c:pt>
                <c:pt idx="91">
                  <c:v>2.7744</c:v>
                </c:pt>
                <c:pt idx="92">
                  <c:v>2.6152903225806452</c:v>
                </c:pt>
                <c:pt idx="93">
                  <c:v>2.5306666666666668</c:v>
                </c:pt>
                <c:pt idx="94">
                  <c:v>2.6080967741935486</c:v>
                </c:pt>
                <c:pt idx="95">
                  <c:v>2.4379677419354837</c:v>
                </c:pt>
                <c:pt idx="96">
                  <c:v>2.3560000000000003</c:v>
                </c:pt>
                <c:pt idx="97">
                  <c:v>2.8180645161290321</c:v>
                </c:pt>
                <c:pt idx="98">
                  <c:v>3.1801000000000004</c:v>
                </c:pt>
                <c:pt idx="99">
                  <c:v>3.0428709677419352</c:v>
                </c:pt>
                <c:pt idx="100">
                  <c:v>2.9435806451612905</c:v>
                </c:pt>
                <c:pt idx="101">
                  <c:v>2.9076896551724136</c:v>
                </c:pt>
                <c:pt idx="102">
                  <c:v>2.9430000000000001</c:v>
                </c:pt>
                <c:pt idx="103">
                  <c:v>2.9221333333333335</c:v>
                </c:pt>
                <c:pt idx="104">
                  <c:v>2.6605483870967741</c:v>
                </c:pt>
                <c:pt idx="105">
                  <c:v>2.5045000000000002</c:v>
                </c:pt>
                <c:pt idx="106">
                  <c:v>2.4699677419354837</c:v>
                </c:pt>
                <c:pt idx="107">
                  <c:v>2.3010967741935486</c:v>
                </c:pt>
                <c:pt idx="108">
                  <c:v>2.3429666666666669</c:v>
                </c:pt>
                <c:pt idx="109">
                  <c:v>2.576709677419355</c:v>
                </c:pt>
                <c:pt idx="110">
                  <c:v>2.8682000000000003</c:v>
                </c:pt>
                <c:pt idx="111">
                  <c:v>2.7966451612903227</c:v>
                </c:pt>
                <c:pt idx="112">
                  <c:v>2.7813548387096771</c:v>
                </c:pt>
                <c:pt idx="113">
                  <c:v>2.5965714285714285</c:v>
                </c:pt>
                <c:pt idx="114">
                  <c:v>2.5251612903225809</c:v>
                </c:pt>
                <c:pt idx="115">
                  <c:v>2.5286666666666666</c:v>
                </c:pt>
                <c:pt idx="116">
                  <c:v>2.3764516129032258</c:v>
                </c:pt>
                <c:pt idx="117">
                  <c:v>2.190833333333333</c:v>
                </c:pt>
                <c:pt idx="118">
                  <c:v>2.0746451612903223</c:v>
                </c:pt>
                <c:pt idx="119">
                  <c:v>2.2120645161290322</c:v>
                </c:pt>
                <c:pt idx="120">
                  <c:v>2.1639666666666666</c:v>
                </c:pt>
                <c:pt idx="121">
                  <c:v>2.5724516129032255</c:v>
                </c:pt>
                <c:pt idx="122">
                  <c:v>2.9491000000000001</c:v>
                </c:pt>
                <c:pt idx="123">
                  <c:v>2.8645483870967743</c:v>
                </c:pt>
                <c:pt idx="124">
                  <c:v>2.9128387096774193</c:v>
                </c:pt>
                <c:pt idx="125">
                  <c:v>2.7811071428571426</c:v>
                </c:pt>
                <c:pt idx="126">
                  <c:v>2.7747741935483869</c:v>
                </c:pt>
                <c:pt idx="127">
                  <c:v>2.6384666666666665</c:v>
                </c:pt>
                <c:pt idx="128">
                  <c:v>2.4996129032258065</c:v>
                </c:pt>
                <c:pt idx="129">
                  <c:v>2.5837999999999997</c:v>
                </c:pt>
                <c:pt idx="130">
                  <c:v>2.5663870967741937</c:v>
                </c:pt>
                <c:pt idx="131">
                  <c:v>2.7408064516129031</c:v>
                </c:pt>
                <c:pt idx="132">
                  <c:v>2.6388000000000003</c:v>
                </c:pt>
                <c:pt idx="133">
                  <c:v>2.9614193548387098</c:v>
                </c:pt>
                <c:pt idx="134">
                  <c:v>3.0488333333333335</c:v>
                </c:pt>
                <c:pt idx="135">
                  <c:v>2.8607096774193548</c:v>
                </c:pt>
                <c:pt idx="136">
                  <c:v>2.8419032258064516</c:v>
                </c:pt>
                <c:pt idx="137">
                  <c:v>2.7450357142857142</c:v>
                </c:pt>
                <c:pt idx="138">
                  <c:v>2.7427419354838714</c:v>
                </c:pt>
                <c:pt idx="139">
                  <c:v>2.7372333333333336</c:v>
                </c:pt>
                <c:pt idx="140">
                  <c:v>2.5140967741935483</c:v>
                </c:pt>
                <c:pt idx="141">
                  <c:v>2.5160666666666667</c:v>
                </c:pt>
                <c:pt idx="142">
                  <c:v>2.7027741935483873</c:v>
                </c:pt>
                <c:pt idx="143">
                  <c:v>2.8530645161290322</c:v>
                </c:pt>
                <c:pt idx="144">
                  <c:v>2.8034666666666666</c:v>
                </c:pt>
                <c:pt idx="145">
                  <c:v>2.9980322580645158</c:v>
                </c:pt>
                <c:pt idx="146">
                  <c:v>3.0788666666666669</c:v>
                </c:pt>
                <c:pt idx="147">
                  <c:v>3.0172258064516133</c:v>
                </c:pt>
                <c:pt idx="148">
                  <c:v>3.0593225806451612</c:v>
                </c:pt>
                <c:pt idx="149">
                  <c:v>2.9458620689655173</c:v>
                </c:pt>
                <c:pt idx="150">
                  <c:v>2.9173225806451613</c:v>
                </c:pt>
                <c:pt idx="151">
                  <c:v>2.8572666666666668</c:v>
                </c:pt>
                <c:pt idx="152">
                  <c:v>2.556322580645161</c:v>
                </c:pt>
                <c:pt idx="153">
                  <c:v>2.7869000000000002</c:v>
                </c:pt>
                <c:pt idx="154">
                  <c:v>2.8732258064516127</c:v>
                </c:pt>
                <c:pt idx="155">
                  <c:v>2.8821290322580646</c:v>
                </c:pt>
                <c:pt idx="156">
                  <c:v>2.9022333333333332</c:v>
                </c:pt>
                <c:pt idx="157">
                  <c:v>3.0974516129032259</c:v>
                </c:pt>
                <c:pt idx="158">
                  <c:v>3.1792000000000002</c:v>
                </c:pt>
                <c:pt idx="159">
                  <c:v>3.1291612903225809</c:v>
                </c:pt>
                <c:pt idx="160">
                  <c:v>3.1837096774193547</c:v>
                </c:pt>
                <c:pt idx="161">
                  <c:v>3.0652142857142857</c:v>
                </c:pt>
                <c:pt idx="162">
                  <c:v>3.0265806451612902</c:v>
                </c:pt>
                <c:pt idx="163">
                  <c:v>2.9239999999999999</c:v>
                </c:pt>
                <c:pt idx="164">
                  <c:v>2.8177096774193551</c:v>
                </c:pt>
                <c:pt idx="165">
                  <c:v>2.7456999999999998</c:v>
                </c:pt>
                <c:pt idx="166">
                  <c:v>2.6656129032258065</c:v>
                </c:pt>
                <c:pt idx="167">
                  <c:v>2.6140645161290323</c:v>
                </c:pt>
                <c:pt idx="168">
                  <c:v>2.7435666666666667</c:v>
                </c:pt>
                <c:pt idx="169">
                  <c:v>3.0566774193548389</c:v>
                </c:pt>
                <c:pt idx="170">
                  <c:v>3.1783666666666668</c:v>
                </c:pt>
                <c:pt idx="171">
                  <c:v>3.1249677419354835</c:v>
                </c:pt>
                <c:pt idx="172">
                  <c:v>3.0073548387096771</c:v>
                </c:pt>
                <c:pt idx="173">
                  <c:v>3.0617142857142854</c:v>
                </c:pt>
                <c:pt idx="174">
                  <c:v>2.9654516129032258</c:v>
                </c:pt>
                <c:pt idx="175">
                  <c:v>2.9117333333333333</c:v>
                </c:pt>
                <c:pt idx="176">
                  <c:v>2.6920322580645162</c:v>
                </c:pt>
                <c:pt idx="177">
                  <c:v>2.6346666666666669</c:v>
                </c:pt>
                <c:pt idx="178">
                  <c:v>2.6585806451612903</c:v>
                </c:pt>
                <c:pt idx="179">
                  <c:v>2.8262903225806451</c:v>
                </c:pt>
                <c:pt idx="180">
                  <c:v>2.9117333333333333</c:v>
                </c:pt>
                <c:pt idx="181">
                  <c:v>3.2023870967741934</c:v>
                </c:pt>
                <c:pt idx="182">
                  <c:v>3.4384333333333337</c:v>
                </c:pt>
                <c:pt idx="183">
                  <c:v>3.4651935483870968</c:v>
                </c:pt>
                <c:pt idx="184">
                  <c:v>4.0834193548387097</c:v>
                </c:pt>
                <c:pt idx="185">
                  <c:v>4.1274642857142858</c:v>
                </c:pt>
                <c:pt idx="186">
                  <c:v>4.0835483870967746</c:v>
                </c:pt>
                <c:pt idx="187">
                  <c:v>3.9647333333333332</c:v>
                </c:pt>
                <c:pt idx="188">
                  <c:v>3.6400322580645161</c:v>
                </c:pt>
                <c:pt idx="189">
                  <c:v>3.4797666666666669</c:v>
                </c:pt>
                <c:pt idx="190">
                  <c:v>3.4769354838709678</c:v>
                </c:pt>
                <c:pt idx="191">
                  <c:v>3.4879677419354835</c:v>
                </c:pt>
                <c:pt idx="192">
                  <c:v>3.5501999999999998</c:v>
                </c:pt>
                <c:pt idx="193">
                  <c:v>3.8711290322580645</c:v>
                </c:pt>
                <c:pt idx="194">
                  <c:v>4.0633999999999997</c:v>
                </c:pt>
                <c:pt idx="195">
                  <c:v>3.9971612903225808</c:v>
                </c:pt>
                <c:pt idx="196">
                  <c:v>3.9393225806451615</c:v>
                </c:pt>
                <c:pt idx="197">
                  <c:v>3.7893103448275864</c:v>
                </c:pt>
                <c:pt idx="198">
                  <c:v>3.6885806451612906</c:v>
                </c:pt>
                <c:pt idx="199">
                  <c:v>3.7151333333333332</c:v>
                </c:pt>
                <c:pt idx="200">
                  <c:v>3.3868387096774195</c:v>
                </c:pt>
                <c:pt idx="201">
                  <c:v>3.5517333333333334</c:v>
                </c:pt>
                <c:pt idx="202">
                  <c:v>3.5840000000000001</c:v>
                </c:pt>
                <c:pt idx="203">
                  <c:v>3.3610322580645158</c:v>
                </c:pt>
                <c:pt idx="204">
                  <c:v>3.3099666666666669</c:v>
                </c:pt>
                <c:pt idx="205">
                  <c:v>4.0516129032258066</c:v>
                </c:pt>
                <c:pt idx="206">
                  <c:v>4.3614000000000006</c:v>
                </c:pt>
                <c:pt idx="207">
                  <c:v>4.3726129032258063</c:v>
                </c:pt>
                <c:pt idx="208">
                  <c:v>4.3602903225806457</c:v>
                </c:pt>
                <c:pt idx="209">
                  <c:v>4.4006071428571429</c:v>
                </c:pt>
                <c:pt idx="210">
                  <c:v>4.1351935483870967</c:v>
                </c:pt>
                <c:pt idx="211">
                  <c:v>3.7486333333333333</c:v>
                </c:pt>
                <c:pt idx="212">
                  <c:v>3.4892903225806453</c:v>
                </c:pt>
                <c:pt idx="213">
                  <c:v>3.5481666666666665</c:v>
                </c:pt>
                <c:pt idx="214">
                  <c:v>3.3837741935483874</c:v>
                </c:pt>
                <c:pt idx="215">
                  <c:v>3.3272903225806454</c:v>
                </c:pt>
                <c:pt idx="216">
                  <c:v>3.6452</c:v>
                </c:pt>
                <c:pt idx="217">
                  <c:v>4.5260967741935483</c:v>
                </c:pt>
                <c:pt idx="218">
                  <c:v>4.6743333333333332</c:v>
                </c:pt>
                <c:pt idx="219">
                  <c:v>4.7792258064516133</c:v>
                </c:pt>
                <c:pt idx="220">
                  <c:v>4.7925806451612898</c:v>
                </c:pt>
                <c:pt idx="221">
                  <c:v>4.840464285714285</c:v>
                </c:pt>
                <c:pt idx="222">
                  <c:v>4.6424193548387098</c:v>
                </c:pt>
                <c:pt idx="223">
                  <c:v>4.3666999999999998</c:v>
                </c:pt>
                <c:pt idx="224">
                  <c:v>3.903161290322581</c:v>
                </c:pt>
                <c:pt idx="225">
                  <c:v>3.8096999999999999</c:v>
                </c:pt>
                <c:pt idx="226">
                  <c:v>3.9053225806451612</c:v>
                </c:pt>
                <c:pt idx="227">
                  <c:v>3.5246451612903225</c:v>
                </c:pt>
                <c:pt idx="228">
                  <c:v>4.0518333333333336</c:v>
                </c:pt>
                <c:pt idx="229">
                  <c:v>4.5977741935483873</c:v>
                </c:pt>
                <c:pt idx="230">
                  <c:v>4.6863000000000001</c:v>
                </c:pt>
                <c:pt idx="231">
                  <c:v>4.5514193548387096</c:v>
                </c:pt>
                <c:pt idx="232">
                  <c:v>4.3188064516129039</c:v>
                </c:pt>
                <c:pt idx="233">
                  <c:v>4.4691785714285714</c:v>
                </c:pt>
                <c:pt idx="234">
                  <c:v>4.4043870967741938</c:v>
                </c:pt>
                <c:pt idx="235">
                  <c:v>4.1901000000000002</c:v>
                </c:pt>
                <c:pt idx="236">
                  <c:v>4.0428709677419352</c:v>
                </c:pt>
                <c:pt idx="237">
                  <c:v>3.9305666666666665</c:v>
                </c:pt>
                <c:pt idx="238">
                  <c:v>4.0680322580645161</c:v>
                </c:pt>
                <c:pt idx="239">
                  <c:v>4.0552258064516131</c:v>
                </c:pt>
                <c:pt idx="240">
                  <c:v>4.4054666666666664</c:v>
                </c:pt>
                <c:pt idx="241">
                  <c:v>4.8021935483870966</c:v>
                </c:pt>
                <c:pt idx="242">
                  <c:v>4.6972333333333331</c:v>
                </c:pt>
                <c:pt idx="243">
                  <c:v>4.5400645161290321</c:v>
                </c:pt>
                <c:pt idx="244">
                  <c:v>4.4569677419354834</c:v>
                </c:pt>
                <c:pt idx="245">
                  <c:v>4.2537586206896547</c:v>
                </c:pt>
                <c:pt idx="246">
                  <c:v>4.1380645161290319</c:v>
                </c:pt>
                <c:pt idx="247">
                  <c:v>3.9548666666666668</c:v>
                </c:pt>
                <c:pt idx="248">
                  <c:v>3.8899032258064516</c:v>
                </c:pt>
                <c:pt idx="249">
                  <c:v>3.8646333333333329</c:v>
                </c:pt>
                <c:pt idx="250">
                  <c:v>4.1399032258064512</c:v>
                </c:pt>
                <c:pt idx="251">
                  <c:v>3.8555483870967744</c:v>
                </c:pt>
                <c:pt idx="252">
                  <c:v>4.2392666666666665</c:v>
                </c:pt>
                <c:pt idx="253">
                  <c:v>4.7008387096774191</c:v>
                </c:pt>
                <c:pt idx="254">
                  <c:v>4.6703333333333337</c:v>
                </c:pt>
                <c:pt idx="255">
                  <c:v>4.4660967741935487</c:v>
                </c:pt>
                <c:pt idx="256">
                  <c:v>4.6087741935483875</c:v>
                </c:pt>
                <c:pt idx="257">
                  <c:v>4.4623214285714283</c:v>
                </c:pt>
                <c:pt idx="258">
                  <c:v>4.447387096774194</c:v>
                </c:pt>
                <c:pt idx="259">
                  <c:v>4.2678333333333329</c:v>
                </c:pt>
                <c:pt idx="260">
                  <c:v>4.148741935483871</c:v>
                </c:pt>
                <c:pt idx="261">
                  <c:v>4.1411333333333333</c:v>
                </c:pt>
                <c:pt idx="262">
                  <c:v>4.273870967741936</c:v>
                </c:pt>
                <c:pt idx="263">
                  <c:v>4.1565161290322585</c:v>
                </c:pt>
                <c:pt idx="264">
                  <c:v>4.1541333333333332</c:v>
                </c:pt>
                <c:pt idx="265">
                  <c:v>4.7269354838709674</c:v>
                </c:pt>
                <c:pt idx="266">
                  <c:v>4.8224666666666671</c:v>
                </c:pt>
                <c:pt idx="267">
                  <c:v>4.7990645161290315</c:v>
                </c:pt>
                <c:pt idx="268">
                  <c:v>4.8722580645161289</c:v>
                </c:pt>
                <c:pt idx="269">
                  <c:v>4.8202857142857143</c:v>
                </c:pt>
                <c:pt idx="270">
                  <c:v>4.6894838709677416</c:v>
                </c:pt>
                <c:pt idx="271">
                  <c:v>4.5132666666666665</c:v>
                </c:pt>
                <c:pt idx="272">
                  <c:v>4.3884516129032258</c:v>
                </c:pt>
                <c:pt idx="273">
                  <c:v>4.3542999999999994</c:v>
                </c:pt>
                <c:pt idx="274">
                  <c:v>4.0622903225806448</c:v>
                </c:pt>
                <c:pt idx="275">
                  <c:v>4.0672903225806447</c:v>
                </c:pt>
                <c:pt idx="276">
                  <c:v>3.9913666666666665</c:v>
                </c:pt>
                <c:pt idx="277">
                  <c:v>4.6696451612903225</c:v>
                </c:pt>
                <c:pt idx="278">
                  <c:v>4.718866666666667</c:v>
                </c:pt>
                <c:pt idx="279">
                  <c:v>4.6803225806451616</c:v>
                </c:pt>
                <c:pt idx="280">
                  <c:v>4.4673870967741935</c:v>
                </c:pt>
                <c:pt idx="281">
                  <c:v>4.4674642857142857</c:v>
                </c:pt>
                <c:pt idx="282">
                  <c:v>4.4556774193548385</c:v>
                </c:pt>
                <c:pt idx="283">
                  <c:v>4.1039666666666665</c:v>
                </c:pt>
                <c:pt idx="284">
                  <c:v>4.0455806451612899</c:v>
                </c:pt>
                <c:pt idx="285">
                  <c:v>3.9220666666666668</c:v>
                </c:pt>
                <c:pt idx="286">
                  <c:v>4.056774193548387</c:v>
                </c:pt>
                <c:pt idx="287">
                  <c:v>3.9103870967741932</c:v>
                </c:pt>
                <c:pt idx="288">
                  <c:v>4.1057666666666668</c:v>
                </c:pt>
                <c:pt idx="289">
                  <c:v>4.5667741935483868</c:v>
                </c:pt>
                <c:pt idx="290">
                  <c:v>4.6764666666666672</c:v>
                </c:pt>
                <c:pt idx="291">
                  <c:v>4.464612903225806</c:v>
                </c:pt>
                <c:pt idx="292">
                  <c:v>4.4532258064516137</c:v>
                </c:pt>
                <c:pt idx="293">
                  <c:v>4.2811724137931035</c:v>
                </c:pt>
                <c:pt idx="294">
                  <c:v>3.9170645161290323</c:v>
                </c:pt>
                <c:pt idx="295">
                  <c:v>3.5124333333333335</c:v>
                </c:pt>
                <c:pt idx="296">
                  <c:v>3.5456774193548388</c:v>
                </c:pt>
                <c:pt idx="297">
                  <c:v>3.4140333333333337</c:v>
                </c:pt>
                <c:pt idx="298">
                  <c:v>3.5051612903225804</c:v>
                </c:pt>
                <c:pt idx="299">
                  <c:v>3.112709677419355</c:v>
                </c:pt>
                <c:pt idx="300">
                  <c:v>3.7989666666666664</c:v>
                </c:pt>
                <c:pt idx="301">
                  <c:v>4.7785806451612904</c:v>
                </c:pt>
                <c:pt idx="302">
                  <c:v>4.8127666666666666</c:v>
                </c:pt>
                <c:pt idx="303">
                  <c:v>4.6254516129032259</c:v>
                </c:pt>
                <c:pt idx="304">
                  <c:v>4.560612903225806</c:v>
                </c:pt>
                <c:pt idx="305">
                  <c:v>4.6827142857142858</c:v>
                </c:pt>
                <c:pt idx="306">
                  <c:v>4.5746129032258063</c:v>
                </c:pt>
                <c:pt idx="307">
                  <c:v>4.472833333333333</c:v>
                </c:pt>
                <c:pt idx="308">
                  <c:v>4.4094516129032266</c:v>
                </c:pt>
                <c:pt idx="309">
                  <c:v>4.1752333333333338</c:v>
                </c:pt>
                <c:pt idx="310">
                  <c:v>4.3157096774193553</c:v>
                </c:pt>
                <c:pt idx="311">
                  <c:v>3.9746129032258062</c:v>
                </c:pt>
                <c:pt idx="312">
                  <c:v>4.2366999999999999</c:v>
                </c:pt>
                <c:pt idx="313">
                  <c:v>4.86641935483871</c:v>
                </c:pt>
                <c:pt idx="314">
                  <c:v>4.8311000000000002</c:v>
                </c:pt>
                <c:pt idx="315">
                  <c:v>4.5885483870967745</c:v>
                </c:pt>
                <c:pt idx="316">
                  <c:v>4.6982580645161285</c:v>
                </c:pt>
                <c:pt idx="317">
                  <c:v>4.6426428571428575</c:v>
                </c:pt>
                <c:pt idx="318">
                  <c:v>4.6081290322580646</c:v>
                </c:pt>
                <c:pt idx="319">
                  <c:v>4.3590999999999998</c:v>
                </c:pt>
                <c:pt idx="320">
                  <c:v>4.471967741935484</c:v>
                </c:pt>
                <c:pt idx="321">
                  <c:v>4.3775333333333331</c:v>
                </c:pt>
                <c:pt idx="322">
                  <c:v>4.6008387096774195</c:v>
                </c:pt>
                <c:pt idx="323">
                  <c:v>4.342225806451613</c:v>
                </c:pt>
                <c:pt idx="324">
                  <c:v>4.5773333333333328</c:v>
                </c:pt>
                <c:pt idx="325">
                  <c:v>4.999483870967742</c:v>
                </c:pt>
                <c:pt idx="326">
                  <c:v>4.9399333333333333</c:v>
                </c:pt>
                <c:pt idx="327">
                  <c:v>4.8116774193548393</c:v>
                </c:pt>
                <c:pt idx="328">
                  <c:v>4.8018709677419356</c:v>
                </c:pt>
                <c:pt idx="329">
                  <c:v>4.6706785714285717</c:v>
                </c:pt>
                <c:pt idx="330">
                  <c:v>4.7739032258064524</c:v>
                </c:pt>
                <c:pt idx="331">
                  <c:v>4.6239999999999997</c:v>
                </c:pt>
                <c:pt idx="332">
                  <c:v>4.6243225806451616</c:v>
                </c:pt>
                <c:pt idx="333">
                  <c:v>4.7194333333333329</c:v>
                </c:pt>
                <c:pt idx="334">
                  <c:v>4.5975483870967739</c:v>
                </c:pt>
                <c:pt idx="335">
                  <c:v>4.4375483870967738</c:v>
                </c:pt>
                <c:pt idx="336">
                  <c:v>4.6609666666666669</c:v>
                </c:pt>
                <c:pt idx="337">
                  <c:v>4.9991612903225802</c:v>
                </c:pt>
                <c:pt idx="338">
                  <c:v>4.8915999999999995</c:v>
                </c:pt>
                <c:pt idx="339">
                  <c:v>5.0292580645161298</c:v>
                </c:pt>
                <c:pt idx="340">
                  <c:v>4.9173870967741937</c:v>
                </c:pt>
                <c:pt idx="341">
                  <c:v>4.7904482758620688</c:v>
                </c:pt>
                <c:pt idx="342">
                  <c:v>4.7795161290322579</c:v>
                </c:pt>
                <c:pt idx="343">
                  <c:v>4.6655333333333333</c:v>
                </c:pt>
                <c:pt idx="344">
                  <c:v>4.645225806451613</c:v>
                </c:pt>
                <c:pt idx="345">
                  <c:v>4.4504333333333337</c:v>
                </c:pt>
                <c:pt idx="346">
                  <c:v>4.2914193548387098</c:v>
                </c:pt>
                <c:pt idx="347">
                  <c:v>3.9251935483870968</c:v>
                </c:pt>
                <c:pt idx="348">
                  <c:v>4.0125333333333337</c:v>
                </c:pt>
                <c:pt idx="349">
                  <c:v>4.6257096774193549</c:v>
                </c:pt>
                <c:pt idx="350">
                  <c:v>4.6473000000000004</c:v>
                </c:pt>
                <c:pt idx="351">
                  <c:v>4.3479677419354843</c:v>
                </c:pt>
                <c:pt idx="352">
                  <c:v>4.4870967741935486</c:v>
                </c:pt>
                <c:pt idx="353">
                  <c:v>4.5952857142857146</c:v>
                </c:pt>
                <c:pt idx="354">
                  <c:v>4.4276451612903225</c:v>
                </c:pt>
                <c:pt idx="355">
                  <c:v>4.4705000000000004</c:v>
                </c:pt>
                <c:pt idx="356">
                  <c:v>4.5860967741935488</c:v>
                </c:pt>
                <c:pt idx="357">
                  <c:v>4.4381666666666666</c:v>
                </c:pt>
                <c:pt idx="358">
                  <c:v>3.9006451612903228</c:v>
                </c:pt>
                <c:pt idx="359">
                  <c:v>3.6328064516129035</c:v>
                </c:pt>
                <c:pt idx="360">
                  <c:v>3.5793000000000004</c:v>
                </c:pt>
                <c:pt idx="361">
                  <c:v>5.0084516129032259</c:v>
                </c:pt>
                <c:pt idx="362">
                  <c:v>5.3419666666666661</c:v>
                </c:pt>
                <c:pt idx="363">
                  <c:v>5.302483870967742</c:v>
                </c:pt>
                <c:pt idx="364">
                  <c:v>5.238612903225806</c:v>
                </c:pt>
                <c:pt idx="365">
                  <c:v>5.2982500000000003</c:v>
                </c:pt>
                <c:pt idx="366">
                  <c:v>4.826677419354839</c:v>
                </c:pt>
                <c:pt idx="367">
                  <c:v>4.3906333333333327</c:v>
                </c:pt>
                <c:pt idx="368">
                  <c:v>4.1230645161290322</c:v>
                </c:pt>
                <c:pt idx="369">
                  <c:v>4.2080333333333337</c:v>
                </c:pt>
                <c:pt idx="370">
                  <c:v>4.0058387096774188</c:v>
                </c:pt>
                <c:pt idx="371">
                  <c:v>3.9482903225806454</c:v>
                </c:pt>
                <c:pt idx="372">
                  <c:v>4.1638999999999999</c:v>
                </c:pt>
                <c:pt idx="373">
                  <c:v>4.8988387096774195</c:v>
                </c:pt>
                <c:pt idx="374">
                  <c:v>4.9622333333333328</c:v>
                </c:pt>
                <c:pt idx="375">
                  <c:v>4.6947419354838713</c:v>
                </c:pt>
                <c:pt idx="376">
                  <c:v>4.665645161290322</c:v>
                </c:pt>
                <c:pt idx="377">
                  <c:v>4.4601428571428574</c:v>
                </c:pt>
                <c:pt idx="378">
                  <c:v>4.3351935483870969</c:v>
                </c:pt>
                <c:pt idx="379">
                  <c:v>4.0443333333333333</c:v>
                </c:pt>
                <c:pt idx="380">
                  <c:v>3.8812580645161292</c:v>
                </c:pt>
                <c:pt idx="381">
                  <c:v>3.9239333333333333</c:v>
                </c:pt>
                <c:pt idx="382">
                  <c:v>3.9661935483870967</c:v>
                </c:pt>
                <c:pt idx="383">
                  <c:v>3.8311935483870965</c:v>
                </c:pt>
                <c:pt idx="384">
                  <c:v>3.6771000000000003</c:v>
                </c:pt>
                <c:pt idx="385">
                  <c:v>4.5541612903225808</c:v>
                </c:pt>
                <c:pt idx="386">
                  <c:v>4.7092333333333327</c:v>
                </c:pt>
                <c:pt idx="387">
                  <c:v>4.6909677419354834</c:v>
                </c:pt>
                <c:pt idx="388">
                  <c:v>4.6068709677419353</c:v>
                </c:pt>
                <c:pt idx="389">
                  <c:v>4.7017241379310342</c:v>
                </c:pt>
                <c:pt idx="390">
                  <c:v>4.5333548387096769</c:v>
                </c:pt>
                <c:pt idx="391">
                  <c:v>4.3902666666666663</c:v>
                </c:pt>
                <c:pt idx="392">
                  <c:v>4.4601935483870969</c:v>
                </c:pt>
                <c:pt idx="393">
                  <c:v>4.4718666666666671</c:v>
                </c:pt>
                <c:pt idx="394">
                  <c:v>4.4316129032258065</c:v>
                </c:pt>
                <c:pt idx="395">
                  <c:v>4.0249354838709674</c:v>
                </c:pt>
                <c:pt idx="396">
                  <c:v>3.9910666666666668</c:v>
                </c:pt>
                <c:pt idx="397">
                  <c:v>4.9527741935483869</c:v>
                </c:pt>
                <c:pt idx="398">
                  <c:v>5.2435999999999998</c:v>
                </c:pt>
                <c:pt idx="399">
                  <c:v>5.1580322580645159</c:v>
                </c:pt>
                <c:pt idx="400">
                  <c:v>5.1030645161290318</c:v>
                </c:pt>
                <c:pt idx="401">
                  <c:v>4.8686428571428575</c:v>
                </c:pt>
                <c:pt idx="402">
                  <c:v>4.4219354838709686</c:v>
                </c:pt>
                <c:pt idx="403">
                  <c:v>4.0037666666666665</c:v>
                </c:pt>
                <c:pt idx="404">
                  <c:v>3.9558387096774195</c:v>
                </c:pt>
                <c:pt idx="405">
                  <c:v>3.9683666666666668</c:v>
                </c:pt>
                <c:pt idx="406">
                  <c:v>3.7528387096774192</c:v>
                </c:pt>
                <c:pt idx="407">
                  <c:v>3.56458064516129</c:v>
                </c:pt>
                <c:pt idx="408">
                  <c:v>3.6226666666666669</c:v>
                </c:pt>
                <c:pt idx="409">
                  <c:v>5.0665483870967742</c:v>
                </c:pt>
                <c:pt idx="410">
                  <c:v>5.3381666666666669</c:v>
                </c:pt>
                <c:pt idx="411">
                  <c:v>5.3349677419354835</c:v>
                </c:pt>
                <c:pt idx="412">
                  <c:v>5.0626774193548387</c:v>
                </c:pt>
                <c:pt idx="413">
                  <c:v>5.0575714285714284</c:v>
                </c:pt>
                <c:pt idx="414">
                  <c:v>4.9625806451612906</c:v>
                </c:pt>
                <c:pt idx="415">
                  <c:v>4.4222333333333337</c:v>
                </c:pt>
                <c:pt idx="416">
                  <c:v>4.1556129032258067</c:v>
                </c:pt>
                <c:pt idx="417">
                  <c:v>3.9572666666666669</c:v>
                </c:pt>
                <c:pt idx="418">
                  <c:v>3.858709677419355</c:v>
                </c:pt>
                <c:pt idx="419">
                  <c:v>3.568806451612903</c:v>
                </c:pt>
                <c:pt idx="420">
                  <c:v>3.3323333333333331</c:v>
                </c:pt>
                <c:pt idx="421">
                  <c:v>5.0954838709677421</c:v>
                </c:pt>
                <c:pt idx="422">
                  <c:v>5.3737000000000004</c:v>
                </c:pt>
                <c:pt idx="423">
                  <c:v>5.3349354838709679</c:v>
                </c:pt>
                <c:pt idx="424">
                  <c:v>5.2475806451612907</c:v>
                </c:pt>
                <c:pt idx="425">
                  <c:v>5.2489285714285714</c:v>
                </c:pt>
                <c:pt idx="426">
                  <c:v>5.2523225806451617</c:v>
                </c:pt>
                <c:pt idx="427">
                  <c:v>5.0121000000000002</c:v>
                </c:pt>
                <c:pt idx="428">
                  <c:v>4.7876129032258063</c:v>
                </c:pt>
                <c:pt idx="429">
                  <c:v>4.7491000000000003</c:v>
                </c:pt>
                <c:pt idx="430">
                  <c:v>4.6847419354838715</c:v>
                </c:pt>
                <c:pt idx="431">
                  <c:v>4.3646451612903228</c:v>
                </c:pt>
                <c:pt idx="432">
                  <c:v>4.223466666666666</c:v>
                </c:pt>
                <c:pt idx="433">
                  <c:v>5.1256451612903229</c:v>
                </c:pt>
                <c:pt idx="434">
                  <c:v>5.2044666666666659</c:v>
                </c:pt>
                <c:pt idx="435">
                  <c:v>5.0874516129032266</c:v>
                </c:pt>
                <c:pt idx="436">
                  <c:v>4.8533225806451616</c:v>
                </c:pt>
                <c:pt idx="437">
                  <c:v>5.0407241379310346</c:v>
                </c:pt>
                <c:pt idx="438">
                  <c:v>5.0545161290322582</c:v>
                </c:pt>
                <c:pt idx="439">
                  <c:v>4.920466666666667</c:v>
                </c:pt>
                <c:pt idx="440">
                  <c:v>4.9122580645161289</c:v>
                </c:pt>
                <c:pt idx="441">
                  <c:v>4.835</c:v>
                </c:pt>
                <c:pt idx="442">
                  <c:v>4.6359677419354837</c:v>
                </c:pt>
                <c:pt idx="443">
                  <c:v>4.2523225806451617</c:v>
                </c:pt>
                <c:pt idx="444">
                  <c:v>4.3411666666666671</c:v>
                </c:pt>
                <c:pt idx="445">
                  <c:v>5.3109999999999999</c:v>
                </c:pt>
                <c:pt idx="446">
                  <c:v>5.3584000000000005</c:v>
                </c:pt>
                <c:pt idx="447">
                  <c:v>5.1669677419354834</c:v>
                </c:pt>
                <c:pt idx="448">
                  <c:v>5.1813225806451619</c:v>
                </c:pt>
                <c:pt idx="449">
                  <c:v>5.0997142857142856</c:v>
                </c:pt>
                <c:pt idx="450">
                  <c:v>4.9374193548387098</c:v>
                </c:pt>
                <c:pt idx="451">
                  <c:v>4.6377999999999995</c:v>
                </c:pt>
                <c:pt idx="452">
                  <c:v>4.814387096774194</c:v>
                </c:pt>
                <c:pt idx="453">
                  <c:v>4.6024666666666674</c:v>
                </c:pt>
                <c:pt idx="454">
                  <c:v>4.6683225806451611</c:v>
                </c:pt>
                <c:pt idx="455">
                  <c:v>4.5943225806451613</c:v>
                </c:pt>
                <c:pt idx="456">
                  <c:v>4.5473000000000008</c:v>
                </c:pt>
                <c:pt idx="457">
                  <c:v>5.2981290322580641</c:v>
                </c:pt>
                <c:pt idx="458">
                  <c:v>5.4515333333333329</c:v>
                </c:pt>
                <c:pt idx="459">
                  <c:v>5.3671612903225805</c:v>
                </c:pt>
                <c:pt idx="460">
                  <c:v>5.2616451612903221</c:v>
                </c:pt>
                <c:pt idx="461">
                  <c:v>5.4899642857142856</c:v>
                </c:pt>
                <c:pt idx="462">
                  <c:v>5.5438064516129035</c:v>
                </c:pt>
                <c:pt idx="463">
                  <c:v>5.3671999999999995</c:v>
                </c:pt>
                <c:pt idx="464">
                  <c:v>5.2765161290322578</c:v>
                </c:pt>
                <c:pt idx="465">
                  <c:v>5.3075999999999999</c:v>
                </c:pt>
                <c:pt idx="466">
                  <c:v>5.4107419354838715</c:v>
                </c:pt>
                <c:pt idx="467">
                  <c:v>5.125322580645161</c:v>
                </c:pt>
                <c:pt idx="468">
                  <c:v>5.3593000000000002</c:v>
                </c:pt>
                <c:pt idx="469">
                  <c:v>5.5595483870967746</c:v>
                </c:pt>
                <c:pt idx="470">
                  <c:v>5.5652999999999997</c:v>
                </c:pt>
                <c:pt idx="471">
                  <c:v>5.5406129032258056</c:v>
                </c:pt>
                <c:pt idx="472">
                  <c:v>5.5364516129032255</c:v>
                </c:pt>
                <c:pt idx="473">
                  <c:v>5.5177857142857141</c:v>
                </c:pt>
                <c:pt idx="474">
                  <c:v>5.4842258064516125</c:v>
                </c:pt>
                <c:pt idx="475">
                  <c:v>5.3330000000000002</c:v>
                </c:pt>
                <c:pt idx="476">
                  <c:v>4.9934193548387098</c:v>
                </c:pt>
                <c:pt idx="477">
                  <c:v>4.9614333333333329</c:v>
                </c:pt>
                <c:pt idx="478">
                  <c:v>5.4223548387096772</c:v>
                </c:pt>
                <c:pt idx="479">
                  <c:v>5.4220967741935491</c:v>
                </c:pt>
                <c:pt idx="480">
                  <c:v>5.0855333333333332</c:v>
                </c:pt>
                <c:pt idx="481">
                  <c:v>5.6579677419354839</c:v>
                </c:pt>
                <c:pt idx="482">
                  <c:v>5.4969666666666663</c:v>
                </c:pt>
                <c:pt idx="483">
                  <c:v>5.6390967741935487</c:v>
                </c:pt>
                <c:pt idx="484">
                  <c:v>5.7077419354838712</c:v>
                </c:pt>
                <c:pt idx="485">
                  <c:v>5.7340689655172419</c:v>
                </c:pt>
                <c:pt idx="486">
                  <c:v>5.8507741935483866</c:v>
                </c:pt>
                <c:pt idx="487">
                  <c:v>5.725133333333333</c:v>
                </c:pt>
                <c:pt idx="488">
                  <c:v>5.4704516129032257</c:v>
                </c:pt>
                <c:pt idx="489">
                  <c:v>5.5754333333333337</c:v>
                </c:pt>
                <c:pt idx="490">
                  <c:v>5.5740000000000007</c:v>
                </c:pt>
                <c:pt idx="491">
                  <c:v>5.3243548387096773</c:v>
                </c:pt>
                <c:pt idx="492">
                  <c:v>5.3830333333333336</c:v>
                </c:pt>
                <c:pt idx="493">
                  <c:v>5.9756451612903225</c:v>
                </c:pt>
                <c:pt idx="494">
                  <c:v>6.0339333333333336</c:v>
                </c:pt>
                <c:pt idx="495">
                  <c:v>5.9083548387096769</c:v>
                </c:pt>
                <c:pt idx="496">
                  <c:v>5.9565806451612904</c:v>
                </c:pt>
                <c:pt idx="497">
                  <c:v>5.5413571428571426</c:v>
                </c:pt>
                <c:pt idx="498">
                  <c:v>5.74141935483871</c:v>
                </c:pt>
                <c:pt idx="499">
                  <c:v>5.3436666666666666</c:v>
                </c:pt>
                <c:pt idx="500">
                  <c:v>5.2748709677419354</c:v>
                </c:pt>
                <c:pt idx="501">
                  <c:v>5.0803333333333329</c:v>
                </c:pt>
                <c:pt idx="502">
                  <c:v>5.0033870967741931</c:v>
                </c:pt>
                <c:pt idx="503">
                  <c:v>5.1239677419354832</c:v>
                </c:pt>
                <c:pt idx="504">
                  <c:v>5.1266666666666669</c:v>
                </c:pt>
                <c:pt idx="505">
                  <c:v>5.9352580645161286</c:v>
                </c:pt>
                <c:pt idx="506">
                  <c:v>5.9820666666666664</c:v>
                </c:pt>
                <c:pt idx="507">
                  <c:v>6.0141290322580643</c:v>
                </c:pt>
                <c:pt idx="508">
                  <c:v>5.8779354838709681</c:v>
                </c:pt>
                <c:pt idx="509">
                  <c:v>5.8948928571428567</c:v>
                </c:pt>
                <c:pt idx="510">
                  <c:v>5.8859677419354837</c:v>
                </c:pt>
                <c:pt idx="511">
                  <c:v>5.6596000000000002</c:v>
                </c:pt>
                <c:pt idx="512">
                  <c:v>5.5186129032258062</c:v>
                </c:pt>
                <c:pt idx="513">
                  <c:v>5.489233333333333</c:v>
                </c:pt>
                <c:pt idx="514">
                  <c:v>5.4909677419354841</c:v>
                </c:pt>
                <c:pt idx="515">
                  <c:v>5.3399354838709678</c:v>
                </c:pt>
                <c:pt idx="516">
                  <c:v>5.2703000000000007</c:v>
                </c:pt>
                <c:pt idx="517">
                  <c:v>5.9504516129032261</c:v>
                </c:pt>
                <c:pt idx="518">
                  <c:v>5.9728000000000003</c:v>
                </c:pt>
                <c:pt idx="519">
                  <c:v>5.7259677419354835</c:v>
                </c:pt>
                <c:pt idx="520">
                  <c:v>5.7744193548387095</c:v>
                </c:pt>
                <c:pt idx="521">
                  <c:v>5.9076428571428563</c:v>
                </c:pt>
                <c:pt idx="522">
                  <c:v>5.9938709677419357</c:v>
                </c:pt>
                <c:pt idx="523">
                  <c:v>5.7744</c:v>
                </c:pt>
                <c:pt idx="524">
                  <c:v>5.7391935483870968</c:v>
                </c:pt>
                <c:pt idx="525">
                  <c:v>5.5007666666666664</c:v>
                </c:pt>
                <c:pt idx="526">
                  <c:v>5.5904193548387093</c:v>
                </c:pt>
                <c:pt idx="527">
                  <c:v>5.2081612903225807</c:v>
                </c:pt>
                <c:pt idx="528">
                  <c:v>5.5151999999999992</c:v>
                </c:pt>
                <c:pt idx="529">
                  <c:v>6.1217419354838709</c:v>
                </c:pt>
                <c:pt idx="530">
                  <c:v>6.3012666666666668</c:v>
                </c:pt>
                <c:pt idx="531">
                  <c:v>6.3009032258064517</c:v>
                </c:pt>
                <c:pt idx="532">
                  <c:v>5.9929032258064519</c:v>
                </c:pt>
                <c:pt idx="533">
                  <c:v>6.4204827586206896</c:v>
                </c:pt>
                <c:pt idx="534">
                  <c:v>6.3356774193548393</c:v>
                </c:pt>
                <c:pt idx="535">
                  <c:v>5.534466666666666</c:v>
                </c:pt>
                <c:pt idx="536">
                  <c:v>5.9233870967741939</c:v>
                </c:pt>
                <c:pt idx="537">
                  <c:v>5.8532999999999999</c:v>
                </c:pt>
                <c:pt idx="538">
                  <c:v>5.8993870967741939</c:v>
                </c:pt>
                <c:pt idx="539">
                  <c:v>5.0970322580645169</c:v>
                </c:pt>
                <c:pt idx="540">
                  <c:v>5.9106666666666667</c:v>
                </c:pt>
                <c:pt idx="541">
                  <c:v>6.4502903225806456</c:v>
                </c:pt>
                <c:pt idx="542">
                  <c:v>6.4394999999999998</c:v>
                </c:pt>
                <c:pt idx="543">
                  <c:v>6.6646451612903226</c:v>
                </c:pt>
                <c:pt idx="544">
                  <c:v>6.463967741935484</c:v>
                </c:pt>
                <c:pt idx="545">
                  <c:v>6.3525</c:v>
                </c:pt>
                <c:pt idx="546">
                  <c:v>6.2758387096774193</c:v>
                </c:pt>
                <c:pt idx="547">
                  <c:v>6.3408666666666669</c:v>
                </c:pt>
                <c:pt idx="548">
                  <c:v>6.2202903225806452</c:v>
                </c:pt>
                <c:pt idx="549">
                  <c:v>6.1902999999999997</c:v>
                </c:pt>
                <c:pt idx="550">
                  <c:v>6.1722092432358924</c:v>
                </c:pt>
                <c:pt idx="551">
                  <c:v>5.468616915970137</c:v>
                </c:pt>
                <c:pt idx="552">
                  <c:v>5.7809986081145377</c:v>
                </c:pt>
                <c:pt idx="553">
                  <c:v>6.5370689029345668</c:v>
                </c:pt>
                <c:pt idx="554">
                  <c:v>6.315112609951206</c:v>
                </c:pt>
                <c:pt idx="555">
                  <c:v>6.8411186193501274</c:v>
                </c:pt>
                <c:pt idx="556">
                  <c:v>6.7803086760670155</c:v>
                </c:pt>
                <c:pt idx="557">
                  <c:v>6.8335173764397377</c:v>
                </c:pt>
                <c:pt idx="558">
                  <c:v>7.1147633641241326</c:v>
                </c:pt>
                <c:pt idx="559">
                  <c:v>6.4407864927363052</c:v>
                </c:pt>
                <c:pt idx="560">
                  <c:v>6.3850440447267856</c:v>
                </c:pt>
                <c:pt idx="561">
                  <c:v>6.2522756685586565</c:v>
                </c:pt>
                <c:pt idx="562">
                  <c:v>6.2938291298021163</c:v>
                </c:pt>
                <c:pt idx="563">
                  <c:v>6.5066639312930104</c:v>
                </c:pt>
                <c:pt idx="564">
                  <c:v>6.1266017857735582</c:v>
                </c:pt>
                <c:pt idx="565">
                  <c:v>7.0539534208410206</c:v>
                </c:pt>
                <c:pt idx="566">
                  <c:v>7.1005743773580727</c:v>
                </c:pt>
                <c:pt idx="567">
                  <c:v>6.9931434775579078</c:v>
                </c:pt>
                <c:pt idx="568">
                  <c:v>6.8411186193501274</c:v>
                </c:pt>
                <c:pt idx="569">
                  <c:v>7.0691559066617984</c:v>
                </c:pt>
                <c:pt idx="570">
                  <c:v>6.9323335342747958</c:v>
                </c:pt>
                <c:pt idx="571">
                  <c:v>6.723552729002777</c:v>
                </c:pt>
                <c:pt idx="572">
                  <c:v>6.6586887895007907</c:v>
                </c:pt>
                <c:pt idx="573">
                  <c:v>6.5664603755214035</c:v>
                </c:pt>
                <c:pt idx="574">
                  <c:v>6.5674738745761214</c:v>
                </c:pt>
                <c:pt idx="575">
                  <c:v>5.9593744417450001</c:v>
                </c:pt>
                <c:pt idx="576">
                  <c:v>6.1894387271661078</c:v>
                </c:pt>
                <c:pt idx="577">
                  <c:v>7.0843583924825761</c:v>
                </c:pt>
                <c:pt idx="578">
                  <c:v>7.0691559066617975</c:v>
                </c:pt>
                <c:pt idx="579">
                  <c:v>7.0539534208410206</c:v>
                </c:pt>
                <c:pt idx="580">
                  <c:v>6.9931434775579078</c:v>
                </c:pt>
                <c:pt idx="581">
                  <c:v>6.8903956423554078</c:v>
                </c:pt>
                <c:pt idx="582">
                  <c:v>7.0539534208410206</c:v>
                </c:pt>
                <c:pt idx="583">
                  <c:v>6.6921342583065018</c:v>
                </c:pt>
                <c:pt idx="584">
                  <c:v>6.6890937611423462</c:v>
                </c:pt>
                <c:pt idx="585">
                  <c:v>6.5664603755214035</c:v>
                </c:pt>
                <c:pt idx="586">
                  <c:v>6.6282838178592343</c:v>
                </c:pt>
                <c:pt idx="587">
                  <c:v>6.2026142148774488</c:v>
                </c:pt>
                <c:pt idx="588">
                  <c:v>6.315112609951206</c:v>
                </c:pt>
                <c:pt idx="589">
                  <c:v>7.1755733074072445</c:v>
                </c:pt>
                <c:pt idx="590">
                  <c:v>7.226248260143171</c:v>
                </c:pt>
                <c:pt idx="591">
                  <c:v>7.2667882223319129</c:v>
                </c:pt>
                <c:pt idx="592">
                  <c:v>7.1147633641241326</c:v>
                </c:pt>
                <c:pt idx="593">
                  <c:v>7.3384570840584384</c:v>
                </c:pt>
                <c:pt idx="594">
                  <c:v>7.2971931939734693</c:v>
                </c:pt>
                <c:pt idx="595">
                  <c:v>6.9120635531804249</c:v>
                </c:pt>
                <c:pt idx="596">
                  <c:v>6.871523590991683</c:v>
                </c:pt>
                <c:pt idx="597">
                  <c:v>6.8492266117878753</c:v>
                </c:pt>
                <c:pt idx="598">
                  <c:v>6.9019285626332394</c:v>
                </c:pt>
                <c:pt idx="599">
                  <c:v>6.415449016368342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A7-48F3-87BB-2FF5F3C87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522320"/>
        <c:axId val="490517728"/>
      </c:lineChart>
      <c:dateAx>
        <c:axId val="4905223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90517728"/>
        <c:crosses val="autoZero"/>
        <c:auto val="1"/>
        <c:lblOffset val="100"/>
        <c:baseTimeUnit val="months"/>
      </c:dateAx>
      <c:valAx>
        <c:axId val="4905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 per day)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90522320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'NOPA Crush'!$A$486:$A$593</c:f>
              <c:numCache>
                <c:formatCode>m/d/yyyy</c:formatCode>
                <c:ptCount val="10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  <c:pt idx="96">
                  <c:v>46753</c:v>
                </c:pt>
                <c:pt idx="97">
                  <c:v>46784</c:v>
                </c:pt>
                <c:pt idx="98">
                  <c:v>46813</c:v>
                </c:pt>
                <c:pt idx="99">
                  <c:v>46844</c:v>
                </c:pt>
                <c:pt idx="100">
                  <c:v>46874</c:v>
                </c:pt>
                <c:pt idx="101">
                  <c:v>46905</c:v>
                </c:pt>
                <c:pt idx="102">
                  <c:v>46935</c:v>
                </c:pt>
                <c:pt idx="103">
                  <c:v>46966</c:v>
                </c:pt>
                <c:pt idx="104">
                  <c:v>46997</c:v>
                </c:pt>
                <c:pt idx="105">
                  <c:v>47027</c:v>
                </c:pt>
                <c:pt idx="106">
                  <c:v>47058</c:v>
                </c:pt>
                <c:pt idx="107">
                  <c:v>47088</c:v>
                </c:pt>
              </c:numCache>
            </c:numRef>
          </c:cat>
          <c:val>
            <c:numRef>
              <c:f>'NOPA Crush'!$B$486:$B$593</c:f>
              <c:numCache>
                <c:formatCode>_(* #,##0.000_);_(* \(#,##0.000\);_(* "-"??_);_(@_)</c:formatCode>
                <c:ptCount val="108"/>
                <c:pt idx="0">
                  <c:v>6.3064640300186587</c:v>
                </c:pt>
                <c:pt idx="1">
                  <c:v>6.3556208931847324</c:v>
                </c:pt>
                <c:pt idx="2">
                  <c:v>6.3916398265601764</c:v>
                </c:pt>
                <c:pt idx="3">
                  <c:v>6.4484904331068496</c:v>
                </c:pt>
                <c:pt idx="4">
                  <c:v>6.5153973835977101</c:v>
                </c:pt>
                <c:pt idx="5">
                  <c:v>6.5231421093481661</c:v>
                </c:pt>
                <c:pt idx="6">
                  <c:v>6.5783639677976602</c:v>
                </c:pt>
                <c:pt idx="7">
                  <c:v>6.5119764335997115</c:v>
                </c:pt>
                <c:pt idx="8">
                  <c:v>6.5185290665913049</c:v>
                </c:pt>
                <c:pt idx="9">
                  <c:v>6.5317572418108165</c:v>
                </c:pt>
                <c:pt idx="10">
                  <c:v>6.4918909952640913</c:v>
                </c:pt>
                <c:pt idx="11">
                  <c:v>6.485942856548383</c:v>
                </c:pt>
                <c:pt idx="12">
                  <c:v>6.5532969924259001</c:v>
                </c:pt>
                <c:pt idx="13">
                  <c:v>6.5186427770561535</c:v>
                </c:pt>
                <c:pt idx="14">
                  <c:v>6.6097517699425685</c:v>
                </c:pt>
                <c:pt idx="15">
                  <c:v>6.6238234627627088</c:v>
                </c:pt>
                <c:pt idx="16">
                  <c:v>6.6343724604264418</c:v>
                </c:pt>
                <c:pt idx="17">
                  <c:v>6.6358808745175484</c:v>
                </c:pt>
                <c:pt idx="18">
                  <c:v>6.7156108103285872</c:v>
                </c:pt>
                <c:pt idx="19">
                  <c:v>6.6220137200201687</c:v>
                </c:pt>
                <c:pt idx="20">
                  <c:v>6.6972622263165187</c:v>
                </c:pt>
                <c:pt idx="21">
                  <c:v>6.7891383960569387</c:v>
                </c:pt>
                <c:pt idx="22">
                  <c:v>6.7290147629323309</c:v>
                </c:pt>
                <c:pt idx="23">
                  <c:v>6.7380217209572493</c:v>
                </c:pt>
                <c:pt idx="24">
                  <c:v>6.7597122943367367</c:v>
                </c:pt>
                <c:pt idx="25">
                  <c:v>6.6908042779799635</c:v>
                </c:pt>
                <c:pt idx="26">
                  <c:v>6.7181327686068126</c:v>
                </c:pt>
                <c:pt idx="27">
                  <c:v>6.7781853398247272</c:v>
                </c:pt>
                <c:pt idx="28">
                  <c:v>6.7210861030242093</c:v>
                </c:pt>
                <c:pt idx="29">
                  <c:v>6.7186078020117517</c:v>
                </c:pt>
                <c:pt idx="30">
                  <c:v>6.7799760501404807</c:v>
                </c:pt>
                <c:pt idx="31">
                  <c:v>6.7227742911981414</c:v>
                </c:pt>
                <c:pt idx="32">
                  <c:v>6.8277308655539262</c:v>
                </c:pt>
                <c:pt idx="33">
                  <c:v>6.9198400710316506</c:v>
                </c:pt>
                <c:pt idx="34">
                  <c:v>6.907491397849463</c:v>
                </c:pt>
                <c:pt idx="35">
                  <c:v>6.9029179569892483</c:v>
                </c:pt>
                <c:pt idx="36">
                  <c:v>6.964061290322582</c:v>
                </c:pt>
                <c:pt idx="37">
                  <c:v>6.9429720430107542</c:v>
                </c:pt>
                <c:pt idx="38">
                  <c:v>7.0066422427035331</c:v>
                </c:pt>
                <c:pt idx="39">
                  <c:v>7.0161677419354849</c:v>
                </c:pt>
                <c:pt idx="40">
                  <c:v>6.9520679569892474</c:v>
                </c:pt>
                <c:pt idx="41">
                  <c:v>6.8798010752688183</c:v>
                </c:pt>
                <c:pt idx="42">
                  <c:v>6.9568068458781376</c:v>
                </c:pt>
                <c:pt idx="43">
                  <c:v>6.8157731182795711</c:v>
                </c:pt>
                <c:pt idx="44">
                  <c:v>7.0227311827957006</c:v>
                </c:pt>
                <c:pt idx="45">
                  <c:v>7.1326446236559162</c:v>
                </c:pt>
                <c:pt idx="46">
                  <c:v>7.1019860215053763</c:v>
                </c:pt>
                <c:pt idx="47">
                  <c:v>7.0440368458781375</c:v>
                </c:pt>
                <c:pt idx="48">
                  <c:v>7.0196440860215068</c:v>
                </c:pt>
                <c:pt idx="49">
                  <c:v>6.979260215053765</c:v>
                </c:pt>
                <c:pt idx="50">
                  <c:v>7.0072957730812009</c:v>
                </c:pt>
                <c:pt idx="51">
                  <c:v>7.1335645161290335</c:v>
                </c:pt>
                <c:pt idx="52">
                  <c:v>7.08316017921147</c:v>
                </c:pt>
                <c:pt idx="53">
                  <c:v>7.181092473118281</c:v>
                </c:pt>
                <c:pt idx="54">
                  <c:v>7.2607185418829179</c:v>
                </c:pt>
                <c:pt idx="55">
                  <c:v>7.280016949941202</c:v>
                </c:pt>
                <c:pt idx="56">
                  <c:v>7.4365835212600535</c:v>
                </c:pt>
                <c:pt idx="57">
                  <c:v>7.7061550041637457</c:v>
                </c:pt>
                <c:pt idx="58">
                  <c:v>7.6375596520257547</c:v>
                </c:pt>
                <c:pt idx="59">
                  <c:v>7.680599342624352</c:v>
                </c:pt>
                <c:pt idx="60">
                  <c:v>7.6127103228654187</c:v>
                </c:pt>
                <c:pt idx="61">
                  <c:v>7.5410187870510237</c:v>
                </c:pt>
                <c:pt idx="62">
                  <c:v>7.5885118454247165</c:v>
                </c:pt>
                <c:pt idx="63">
                  <c:v>7.5913167242117732</c:v>
                </c:pt>
                <c:pt idx="64">
                  <c:v>7.5778043360756442</c:v>
                </c:pt>
                <c:pt idx="65">
                  <c:v>7.5591730238593264</c:v>
                </c:pt>
                <c:pt idx="66">
                  <c:v>7.6151765512227261</c:v>
                </c:pt>
                <c:pt idx="67">
                  <c:v>7.5294549388484668</c:v>
                </c:pt>
                <c:pt idx="68">
                  <c:v>7.5404162687389329</c:v>
                </c:pt>
                <c:pt idx="69">
                  <c:v>7.712083849680071</c:v>
                </c:pt>
                <c:pt idx="70">
                  <c:v>7.7803720840385377</c:v>
                </c:pt>
                <c:pt idx="71">
                  <c:v>7.8415918029712914</c:v>
                </c:pt>
                <c:pt idx="72">
                  <c:v>7.7797043871486018</c:v>
                </c:pt>
                <c:pt idx="73">
                  <c:v>7.71188426428591</c:v>
                </c:pt>
                <c:pt idx="74">
                  <c:v>7.8916957269495835</c:v>
                </c:pt>
                <c:pt idx="75">
                  <c:v>7.8564515772199934</c:v>
                </c:pt>
                <c:pt idx="76">
                  <c:v>7.8460772102833758</c:v>
                </c:pt>
                <c:pt idx="77">
                  <c:v>7.8221135891064817</c:v>
                </c:pt>
                <c:pt idx="78">
                  <c:v>7.982067492324207</c:v>
                </c:pt>
                <c:pt idx="79">
                  <c:v>7.9395659309196454</c:v>
                </c:pt>
                <c:pt idx="80">
                  <c:v>8.0938537946225182</c:v>
                </c:pt>
                <c:pt idx="81">
                  <c:v>8.2843981915827563</c:v>
                </c:pt>
                <c:pt idx="82">
                  <c:v>8.2127589986798242</c:v>
                </c:pt>
                <c:pt idx="83">
                  <c:v>8.2380613699190395</c:v>
                </c:pt>
                <c:pt idx="84">
                  <c:v>8.1699711413802252</c:v>
                </c:pt>
                <c:pt idx="85">
                  <c:v>8.1091057461467138</c:v>
                </c:pt>
                <c:pt idx="86">
                  <c:v>8.1593051003694033</c:v>
                </c:pt>
                <c:pt idx="87">
                  <c:v>8.1479828581081719</c:v>
                </c:pt>
                <c:pt idx="88">
                  <c:v>8.1368178925674091</c:v>
                </c:pt>
                <c:pt idx="89">
                  <c:v>8.1140207397991393</c:v>
                </c:pt>
                <c:pt idx="90">
                  <c:v>8.1745721098025381</c:v>
                </c:pt>
                <c:pt idx="91">
                  <c:v>8.0901459144208268</c:v>
                </c:pt>
                <c:pt idx="92">
                  <c:v>8.0968424356922615</c:v>
                </c:pt>
                <c:pt idx="93">
                  <c:v>8.2864755058123265</c:v>
                </c:pt>
                <c:pt idx="94">
                  <c:v>8.2109435220941727</c:v>
                </c:pt>
                <c:pt idx="95">
                  <c:v>8.2418491966981389</c:v>
                </c:pt>
                <c:pt idx="96">
                  <c:v>8.1781380269592834</c:v>
                </c:pt>
                <c:pt idx="97">
                  <c:v>8.1120261695355147</c:v>
                </c:pt>
                <c:pt idx="98">
                  <c:v>8.1530446826492842</c:v>
                </c:pt>
                <c:pt idx="99">
                  <c:v>8.1463682713428192</c:v>
                </c:pt>
                <c:pt idx="100">
                  <c:v>8.1383446350434134</c:v>
                </c:pt>
                <c:pt idx="101">
                  <c:v>8.1140207397991393</c:v>
                </c:pt>
                <c:pt idx="102">
                  <c:v>8.1780175803532789</c:v>
                </c:pt>
                <c:pt idx="103">
                  <c:v>8.1018881439758559</c:v>
                </c:pt>
                <c:pt idx="104">
                  <c:v>8.102819717831748</c:v>
                </c:pt>
                <c:pt idx="105">
                  <c:v>8.2927074485010355</c:v>
                </c:pt>
                <c:pt idx="106">
                  <c:v>8.2200209050224302</c:v>
                </c:pt>
                <c:pt idx="107">
                  <c:v>8.2551065904249885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0-4F68-8407-CA4201BF9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35255"/>
        <c:axId val="68537223"/>
      </c:areaChart>
      <c:dateAx>
        <c:axId val="685352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537223"/>
        <c:crosses val="autoZero"/>
        <c:auto val="1"/>
        <c:lblOffset val="100"/>
        <c:baseTimeUnit val="months"/>
      </c:dateAx>
      <c:valAx>
        <c:axId val="68537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535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China: Weekly Soybean Stocks</a:t>
            </a:r>
            <a:r>
              <a:rPr lang="en-US" sz="2400" baseline="0"/>
              <a:t> and Crush Volume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60146630748211E-2"/>
          <c:y val="0.11286686250898305"/>
          <c:w val="0.83600965879220845"/>
          <c:h val="0.7999074675750496"/>
        </c:manualLayout>
      </c:layout>
      <c:lineChart>
        <c:grouping val="standard"/>
        <c:varyColors val="0"/>
        <c:ser>
          <c:idx val="0"/>
          <c:order val="0"/>
          <c:tx>
            <c:strRef>
              <c:f>'China Weekly'!$D$1</c:f>
              <c:strCache>
                <c:ptCount val="1"/>
                <c:pt idx="0">
                  <c:v>Chinese Weekly Crush</c:v>
                </c:pt>
              </c:strCache>
            </c:strRef>
          </c:tx>
          <c:spPr>
            <a:ln w="15875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15875">
                <a:solidFill>
                  <a:srgbClr val="D7BA2F"/>
                </a:solidFill>
              </a:ln>
              <a:effectLst/>
            </c:spPr>
          </c:marker>
          <c:cat>
            <c:numRef>
              <c:f>'China Weekly'!$A$492:$A$774</c:f>
              <c:numCache>
                <c:formatCode>m/d/yyyy</c:formatCode>
                <c:ptCount val="283"/>
                <c:pt idx="0">
                  <c:v>43710</c:v>
                </c:pt>
                <c:pt idx="1">
                  <c:v>43717</c:v>
                </c:pt>
                <c:pt idx="2">
                  <c:v>43724</c:v>
                </c:pt>
                <c:pt idx="3">
                  <c:v>43731</c:v>
                </c:pt>
                <c:pt idx="4">
                  <c:v>43738</c:v>
                </c:pt>
                <c:pt idx="5">
                  <c:v>43745</c:v>
                </c:pt>
                <c:pt idx="6">
                  <c:v>43752</c:v>
                </c:pt>
                <c:pt idx="7">
                  <c:v>43759</c:v>
                </c:pt>
                <c:pt idx="8">
                  <c:v>43766</c:v>
                </c:pt>
                <c:pt idx="9">
                  <c:v>43773</c:v>
                </c:pt>
                <c:pt idx="10">
                  <c:v>43780</c:v>
                </c:pt>
                <c:pt idx="11">
                  <c:v>43787</c:v>
                </c:pt>
                <c:pt idx="12">
                  <c:v>43794</c:v>
                </c:pt>
                <c:pt idx="13">
                  <c:v>43801</c:v>
                </c:pt>
                <c:pt idx="14">
                  <c:v>43808</c:v>
                </c:pt>
                <c:pt idx="15">
                  <c:v>43815</c:v>
                </c:pt>
                <c:pt idx="16">
                  <c:v>43822</c:v>
                </c:pt>
                <c:pt idx="17">
                  <c:v>43829</c:v>
                </c:pt>
                <c:pt idx="18">
                  <c:v>43836</c:v>
                </c:pt>
                <c:pt idx="19">
                  <c:v>43843</c:v>
                </c:pt>
                <c:pt idx="20">
                  <c:v>43850</c:v>
                </c:pt>
                <c:pt idx="21">
                  <c:v>43857</c:v>
                </c:pt>
                <c:pt idx="22">
                  <c:v>43864</c:v>
                </c:pt>
                <c:pt idx="23">
                  <c:v>43871</c:v>
                </c:pt>
                <c:pt idx="24">
                  <c:v>43878</c:v>
                </c:pt>
                <c:pt idx="25">
                  <c:v>43885</c:v>
                </c:pt>
                <c:pt idx="26">
                  <c:v>43892</c:v>
                </c:pt>
                <c:pt idx="27">
                  <c:v>43899</c:v>
                </c:pt>
                <c:pt idx="28">
                  <c:v>43906</c:v>
                </c:pt>
                <c:pt idx="29">
                  <c:v>43913</c:v>
                </c:pt>
                <c:pt idx="30">
                  <c:v>43920</c:v>
                </c:pt>
                <c:pt idx="31">
                  <c:v>43927</c:v>
                </c:pt>
                <c:pt idx="32">
                  <c:v>43934</c:v>
                </c:pt>
                <c:pt idx="33">
                  <c:v>43941</c:v>
                </c:pt>
                <c:pt idx="34">
                  <c:v>43948</c:v>
                </c:pt>
                <c:pt idx="35">
                  <c:v>43955</c:v>
                </c:pt>
                <c:pt idx="36">
                  <c:v>43962</c:v>
                </c:pt>
                <c:pt idx="37">
                  <c:v>43969</c:v>
                </c:pt>
                <c:pt idx="38">
                  <c:v>43976</c:v>
                </c:pt>
                <c:pt idx="39">
                  <c:v>43983</c:v>
                </c:pt>
                <c:pt idx="40">
                  <c:v>43990</c:v>
                </c:pt>
                <c:pt idx="41">
                  <c:v>43997</c:v>
                </c:pt>
                <c:pt idx="42">
                  <c:v>44004</c:v>
                </c:pt>
                <c:pt idx="43">
                  <c:v>44011</c:v>
                </c:pt>
                <c:pt idx="44">
                  <c:v>44018</c:v>
                </c:pt>
                <c:pt idx="45">
                  <c:v>44025</c:v>
                </c:pt>
                <c:pt idx="46">
                  <c:v>44032</c:v>
                </c:pt>
                <c:pt idx="47">
                  <c:v>44039</c:v>
                </c:pt>
                <c:pt idx="48">
                  <c:v>44046</c:v>
                </c:pt>
                <c:pt idx="49">
                  <c:v>44053</c:v>
                </c:pt>
                <c:pt idx="50">
                  <c:v>44060</c:v>
                </c:pt>
                <c:pt idx="51">
                  <c:v>44067</c:v>
                </c:pt>
                <c:pt idx="52">
                  <c:v>44074</c:v>
                </c:pt>
                <c:pt idx="53">
                  <c:v>44081</c:v>
                </c:pt>
                <c:pt idx="54">
                  <c:v>44088</c:v>
                </c:pt>
                <c:pt idx="55">
                  <c:v>44095</c:v>
                </c:pt>
                <c:pt idx="56">
                  <c:v>44102</c:v>
                </c:pt>
                <c:pt idx="57">
                  <c:v>44109</c:v>
                </c:pt>
                <c:pt idx="58">
                  <c:v>44116</c:v>
                </c:pt>
                <c:pt idx="59">
                  <c:v>44123</c:v>
                </c:pt>
                <c:pt idx="60">
                  <c:v>44130</c:v>
                </c:pt>
                <c:pt idx="61">
                  <c:v>44137</c:v>
                </c:pt>
                <c:pt idx="62">
                  <c:v>44144</c:v>
                </c:pt>
                <c:pt idx="63">
                  <c:v>44151</c:v>
                </c:pt>
                <c:pt idx="64">
                  <c:v>44158</c:v>
                </c:pt>
                <c:pt idx="65">
                  <c:v>44165</c:v>
                </c:pt>
                <c:pt idx="66">
                  <c:v>44172</c:v>
                </c:pt>
                <c:pt idx="67">
                  <c:v>44179</c:v>
                </c:pt>
                <c:pt idx="68">
                  <c:v>44186</c:v>
                </c:pt>
                <c:pt idx="69">
                  <c:v>44193</c:v>
                </c:pt>
                <c:pt idx="70">
                  <c:v>44200</c:v>
                </c:pt>
                <c:pt idx="71">
                  <c:v>44207</c:v>
                </c:pt>
                <c:pt idx="72">
                  <c:v>44214</c:v>
                </c:pt>
                <c:pt idx="73">
                  <c:v>44221</c:v>
                </c:pt>
                <c:pt idx="74">
                  <c:v>44228</c:v>
                </c:pt>
                <c:pt idx="75">
                  <c:v>44235</c:v>
                </c:pt>
                <c:pt idx="76">
                  <c:v>44242</c:v>
                </c:pt>
                <c:pt idx="77">
                  <c:v>44249</c:v>
                </c:pt>
                <c:pt idx="78">
                  <c:v>44256</c:v>
                </c:pt>
                <c:pt idx="79">
                  <c:v>44266</c:v>
                </c:pt>
                <c:pt idx="80">
                  <c:v>44273</c:v>
                </c:pt>
                <c:pt idx="81">
                  <c:v>44280</c:v>
                </c:pt>
                <c:pt idx="82">
                  <c:v>44287</c:v>
                </c:pt>
                <c:pt idx="83">
                  <c:v>44294</c:v>
                </c:pt>
                <c:pt idx="84">
                  <c:v>44301</c:v>
                </c:pt>
                <c:pt idx="85">
                  <c:v>44308</c:v>
                </c:pt>
                <c:pt idx="86">
                  <c:v>44315</c:v>
                </c:pt>
                <c:pt idx="87">
                  <c:v>44322</c:v>
                </c:pt>
                <c:pt idx="88">
                  <c:v>44329</c:v>
                </c:pt>
                <c:pt idx="89">
                  <c:v>44336</c:v>
                </c:pt>
                <c:pt idx="90">
                  <c:v>44343</c:v>
                </c:pt>
                <c:pt idx="91">
                  <c:v>44350</c:v>
                </c:pt>
                <c:pt idx="92">
                  <c:v>44357</c:v>
                </c:pt>
                <c:pt idx="93">
                  <c:v>44364</c:v>
                </c:pt>
                <c:pt idx="94">
                  <c:v>44371</c:v>
                </c:pt>
                <c:pt idx="95">
                  <c:v>44378</c:v>
                </c:pt>
                <c:pt idx="96">
                  <c:v>44385</c:v>
                </c:pt>
                <c:pt idx="97">
                  <c:v>44392</c:v>
                </c:pt>
                <c:pt idx="98">
                  <c:v>44399</c:v>
                </c:pt>
                <c:pt idx="99">
                  <c:v>44406</c:v>
                </c:pt>
                <c:pt idx="100">
                  <c:v>44413</c:v>
                </c:pt>
                <c:pt idx="101">
                  <c:v>44420</c:v>
                </c:pt>
                <c:pt idx="102">
                  <c:v>44427</c:v>
                </c:pt>
                <c:pt idx="103">
                  <c:v>44434</c:v>
                </c:pt>
                <c:pt idx="104">
                  <c:v>44441</c:v>
                </c:pt>
                <c:pt idx="105">
                  <c:v>44448</c:v>
                </c:pt>
                <c:pt idx="106">
                  <c:v>44455</c:v>
                </c:pt>
                <c:pt idx="107">
                  <c:v>44462</c:v>
                </c:pt>
                <c:pt idx="108">
                  <c:v>44469</c:v>
                </c:pt>
                <c:pt idx="109">
                  <c:v>44476</c:v>
                </c:pt>
                <c:pt idx="110">
                  <c:v>44483</c:v>
                </c:pt>
                <c:pt idx="111">
                  <c:v>44490</c:v>
                </c:pt>
                <c:pt idx="112">
                  <c:v>44497</c:v>
                </c:pt>
                <c:pt idx="113">
                  <c:v>44504</c:v>
                </c:pt>
                <c:pt idx="114">
                  <c:v>44511</c:v>
                </c:pt>
                <c:pt idx="115">
                  <c:v>44518</c:v>
                </c:pt>
                <c:pt idx="116">
                  <c:v>44525</c:v>
                </c:pt>
                <c:pt idx="117">
                  <c:v>44532</c:v>
                </c:pt>
                <c:pt idx="118">
                  <c:v>44539</c:v>
                </c:pt>
                <c:pt idx="119">
                  <c:v>44546</c:v>
                </c:pt>
                <c:pt idx="120">
                  <c:v>44553</c:v>
                </c:pt>
                <c:pt idx="121">
                  <c:v>44560</c:v>
                </c:pt>
                <c:pt idx="122">
                  <c:v>44567</c:v>
                </c:pt>
                <c:pt idx="123">
                  <c:v>44574</c:v>
                </c:pt>
                <c:pt idx="124">
                  <c:v>44581</c:v>
                </c:pt>
                <c:pt idx="125">
                  <c:v>44588</c:v>
                </c:pt>
                <c:pt idx="126">
                  <c:v>44595</c:v>
                </c:pt>
                <c:pt idx="127">
                  <c:v>44602</c:v>
                </c:pt>
                <c:pt idx="128">
                  <c:v>44609</c:v>
                </c:pt>
                <c:pt idx="129">
                  <c:v>44616</c:v>
                </c:pt>
                <c:pt idx="130">
                  <c:v>44623</c:v>
                </c:pt>
                <c:pt idx="131">
                  <c:v>44630</c:v>
                </c:pt>
                <c:pt idx="132">
                  <c:v>44637</c:v>
                </c:pt>
                <c:pt idx="133">
                  <c:v>44644</c:v>
                </c:pt>
                <c:pt idx="134">
                  <c:v>44651</c:v>
                </c:pt>
                <c:pt idx="135">
                  <c:v>44658</c:v>
                </c:pt>
                <c:pt idx="136">
                  <c:v>44665</c:v>
                </c:pt>
                <c:pt idx="137">
                  <c:v>44672</c:v>
                </c:pt>
                <c:pt idx="138">
                  <c:v>44679</c:v>
                </c:pt>
                <c:pt idx="139">
                  <c:v>44686</c:v>
                </c:pt>
                <c:pt idx="140">
                  <c:v>44693</c:v>
                </c:pt>
                <c:pt idx="141">
                  <c:v>44700</c:v>
                </c:pt>
                <c:pt idx="142">
                  <c:v>44707</c:v>
                </c:pt>
                <c:pt idx="143">
                  <c:v>44714</c:v>
                </c:pt>
                <c:pt idx="144">
                  <c:v>44721</c:v>
                </c:pt>
                <c:pt idx="145">
                  <c:v>44728</c:v>
                </c:pt>
                <c:pt idx="146">
                  <c:v>44735</c:v>
                </c:pt>
                <c:pt idx="147">
                  <c:v>44742</c:v>
                </c:pt>
                <c:pt idx="148">
                  <c:v>44749</c:v>
                </c:pt>
                <c:pt idx="149">
                  <c:v>44756</c:v>
                </c:pt>
                <c:pt idx="150">
                  <c:v>44763</c:v>
                </c:pt>
                <c:pt idx="151">
                  <c:v>44770</c:v>
                </c:pt>
                <c:pt idx="152">
                  <c:v>44777</c:v>
                </c:pt>
                <c:pt idx="153">
                  <c:v>44784</c:v>
                </c:pt>
                <c:pt idx="154">
                  <c:v>44791</c:v>
                </c:pt>
                <c:pt idx="155">
                  <c:v>44798</c:v>
                </c:pt>
                <c:pt idx="156">
                  <c:v>44805</c:v>
                </c:pt>
                <c:pt idx="157">
                  <c:v>44812</c:v>
                </c:pt>
                <c:pt idx="158">
                  <c:v>44819</c:v>
                </c:pt>
                <c:pt idx="159">
                  <c:v>44826</c:v>
                </c:pt>
                <c:pt idx="160">
                  <c:v>44833</c:v>
                </c:pt>
                <c:pt idx="161">
                  <c:v>44840</c:v>
                </c:pt>
                <c:pt idx="162">
                  <c:v>44847</c:v>
                </c:pt>
                <c:pt idx="163">
                  <c:v>44854</c:v>
                </c:pt>
                <c:pt idx="164">
                  <c:v>44861</c:v>
                </c:pt>
                <c:pt idx="165">
                  <c:v>44868</c:v>
                </c:pt>
                <c:pt idx="166">
                  <c:v>44875</c:v>
                </c:pt>
                <c:pt idx="167">
                  <c:v>44882</c:v>
                </c:pt>
                <c:pt idx="168">
                  <c:v>44889</c:v>
                </c:pt>
                <c:pt idx="169">
                  <c:v>44896</c:v>
                </c:pt>
                <c:pt idx="170">
                  <c:v>44903</c:v>
                </c:pt>
                <c:pt idx="171">
                  <c:v>44910</c:v>
                </c:pt>
                <c:pt idx="172">
                  <c:v>44917</c:v>
                </c:pt>
                <c:pt idx="173">
                  <c:v>44924</c:v>
                </c:pt>
                <c:pt idx="174">
                  <c:v>44931</c:v>
                </c:pt>
                <c:pt idx="175">
                  <c:v>44938</c:v>
                </c:pt>
                <c:pt idx="176">
                  <c:v>44945</c:v>
                </c:pt>
                <c:pt idx="177">
                  <c:v>44952</c:v>
                </c:pt>
                <c:pt idx="178">
                  <c:v>44959</c:v>
                </c:pt>
                <c:pt idx="179">
                  <c:v>44966</c:v>
                </c:pt>
                <c:pt idx="180">
                  <c:v>44973</c:v>
                </c:pt>
                <c:pt idx="181">
                  <c:v>44980</c:v>
                </c:pt>
                <c:pt idx="182">
                  <c:v>44987</c:v>
                </c:pt>
                <c:pt idx="183">
                  <c:v>44994</c:v>
                </c:pt>
                <c:pt idx="184">
                  <c:v>45001</c:v>
                </c:pt>
                <c:pt idx="185">
                  <c:v>45008</c:v>
                </c:pt>
                <c:pt idx="186">
                  <c:v>45015</c:v>
                </c:pt>
                <c:pt idx="187">
                  <c:v>45022</c:v>
                </c:pt>
                <c:pt idx="188">
                  <c:v>45029</c:v>
                </c:pt>
                <c:pt idx="189">
                  <c:v>45036</c:v>
                </c:pt>
                <c:pt idx="190">
                  <c:v>45043</c:v>
                </c:pt>
                <c:pt idx="191">
                  <c:v>45050</c:v>
                </c:pt>
                <c:pt idx="192">
                  <c:v>45057</c:v>
                </c:pt>
                <c:pt idx="193">
                  <c:v>45064</c:v>
                </c:pt>
                <c:pt idx="194">
                  <c:v>45071</c:v>
                </c:pt>
                <c:pt idx="195">
                  <c:v>45078</c:v>
                </c:pt>
                <c:pt idx="196">
                  <c:v>45085</c:v>
                </c:pt>
                <c:pt idx="197">
                  <c:v>45092</c:v>
                </c:pt>
                <c:pt idx="198">
                  <c:v>45099</c:v>
                </c:pt>
                <c:pt idx="199">
                  <c:v>45106</c:v>
                </c:pt>
                <c:pt idx="200">
                  <c:v>45113</c:v>
                </c:pt>
                <c:pt idx="201">
                  <c:v>45120</c:v>
                </c:pt>
                <c:pt idx="202">
                  <c:v>45127</c:v>
                </c:pt>
                <c:pt idx="203">
                  <c:v>45134</c:v>
                </c:pt>
                <c:pt idx="204">
                  <c:v>45141</c:v>
                </c:pt>
                <c:pt idx="205">
                  <c:v>45148</c:v>
                </c:pt>
                <c:pt idx="206">
                  <c:v>45155</c:v>
                </c:pt>
                <c:pt idx="207">
                  <c:v>45162</c:v>
                </c:pt>
                <c:pt idx="208">
                  <c:v>45169</c:v>
                </c:pt>
                <c:pt idx="209">
                  <c:v>45176</c:v>
                </c:pt>
                <c:pt idx="210">
                  <c:v>45183</c:v>
                </c:pt>
                <c:pt idx="211">
                  <c:v>45189</c:v>
                </c:pt>
                <c:pt idx="212">
                  <c:v>45196</c:v>
                </c:pt>
                <c:pt idx="213">
                  <c:v>45210</c:v>
                </c:pt>
                <c:pt idx="214">
                  <c:v>45217</c:v>
                </c:pt>
                <c:pt idx="215">
                  <c:v>45224</c:v>
                </c:pt>
                <c:pt idx="216">
                  <c:v>45231</c:v>
                </c:pt>
                <c:pt idx="217">
                  <c:v>45238</c:v>
                </c:pt>
                <c:pt idx="218">
                  <c:v>45245</c:v>
                </c:pt>
                <c:pt idx="219">
                  <c:v>45252</c:v>
                </c:pt>
                <c:pt idx="220">
                  <c:v>45259</c:v>
                </c:pt>
                <c:pt idx="221">
                  <c:v>45266</c:v>
                </c:pt>
                <c:pt idx="222">
                  <c:v>45273</c:v>
                </c:pt>
                <c:pt idx="223">
                  <c:v>45280</c:v>
                </c:pt>
                <c:pt idx="224">
                  <c:v>45289</c:v>
                </c:pt>
                <c:pt idx="225">
                  <c:v>45294</c:v>
                </c:pt>
                <c:pt idx="226">
                  <c:v>45301</c:v>
                </c:pt>
                <c:pt idx="227">
                  <c:v>45308</c:v>
                </c:pt>
                <c:pt idx="228">
                  <c:v>45315</c:v>
                </c:pt>
                <c:pt idx="229">
                  <c:v>45322</c:v>
                </c:pt>
                <c:pt idx="230">
                  <c:v>45329</c:v>
                </c:pt>
                <c:pt idx="231">
                  <c:v>45334</c:v>
                </c:pt>
                <c:pt idx="232">
                  <c:v>45350</c:v>
                </c:pt>
                <c:pt idx="233">
                  <c:v>45366</c:v>
                </c:pt>
                <c:pt idx="234">
                  <c:v>45373</c:v>
                </c:pt>
                <c:pt idx="235">
                  <c:v>45380</c:v>
                </c:pt>
                <c:pt idx="236">
                  <c:v>45387</c:v>
                </c:pt>
                <c:pt idx="237">
                  <c:v>45394</c:v>
                </c:pt>
                <c:pt idx="238">
                  <c:v>45401</c:v>
                </c:pt>
                <c:pt idx="239">
                  <c:v>45408</c:v>
                </c:pt>
                <c:pt idx="240">
                  <c:v>45415</c:v>
                </c:pt>
                <c:pt idx="241">
                  <c:v>45422</c:v>
                </c:pt>
                <c:pt idx="242">
                  <c:v>45429</c:v>
                </c:pt>
                <c:pt idx="243">
                  <c:v>45436</c:v>
                </c:pt>
                <c:pt idx="244">
                  <c:v>45443</c:v>
                </c:pt>
                <c:pt idx="245">
                  <c:v>45450</c:v>
                </c:pt>
                <c:pt idx="246">
                  <c:v>45457</c:v>
                </c:pt>
                <c:pt idx="247">
                  <c:v>45464</c:v>
                </c:pt>
                <c:pt idx="248">
                  <c:v>45471</c:v>
                </c:pt>
                <c:pt idx="249">
                  <c:v>45478</c:v>
                </c:pt>
                <c:pt idx="250">
                  <c:v>45485</c:v>
                </c:pt>
                <c:pt idx="251">
                  <c:v>45492</c:v>
                </c:pt>
                <c:pt idx="252">
                  <c:v>45499</c:v>
                </c:pt>
                <c:pt idx="253">
                  <c:v>45506</c:v>
                </c:pt>
                <c:pt idx="254">
                  <c:v>45513</c:v>
                </c:pt>
                <c:pt idx="255">
                  <c:v>45520</c:v>
                </c:pt>
                <c:pt idx="256">
                  <c:v>45527</c:v>
                </c:pt>
                <c:pt idx="257">
                  <c:v>45534</c:v>
                </c:pt>
                <c:pt idx="258">
                  <c:v>45541</c:v>
                </c:pt>
                <c:pt idx="259">
                  <c:v>45548</c:v>
                </c:pt>
                <c:pt idx="260">
                  <c:v>45555</c:v>
                </c:pt>
                <c:pt idx="261">
                  <c:v>45562</c:v>
                </c:pt>
                <c:pt idx="262">
                  <c:v>45569</c:v>
                </c:pt>
                <c:pt idx="263">
                  <c:v>45576</c:v>
                </c:pt>
                <c:pt idx="264">
                  <c:v>45583</c:v>
                </c:pt>
                <c:pt idx="265">
                  <c:v>45590</c:v>
                </c:pt>
                <c:pt idx="266">
                  <c:v>45609</c:v>
                </c:pt>
                <c:pt idx="267">
                  <c:v>45616</c:v>
                </c:pt>
                <c:pt idx="268">
                  <c:v>45623</c:v>
                </c:pt>
                <c:pt idx="269">
                  <c:v>45630</c:v>
                </c:pt>
                <c:pt idx="270">
                  <c:v>45637</c:v>
                </c:pt>
                <c:pt idx="271">
                  <c:v>45644</c:v>
                </c:pt>
                <c:pt idx="272">
                  <c:v>45651</c:v>
                </c:pt>
                <c:pt idx="273">
                  <c:v>45658</c:v>
                </c:pt>
                <c:pt idx="274">
                  <c:v>45665</c:v>
                </c:pt>
                <c:pt idx="275">
                  <c:v>45672</c:v>
                </c:pt>
                <c:pt idx="276">
                  <c:v>45679</c:v>
                </c:pt>
                <c:pt idx="277">
                  <c:v>45686</c:v>
                </c:pt>
                <c:pt idx="278">
                  <c:v>45693</c:v>
                </c:pt>
                <c:pt idx="279">
                  <c:v>45700</c:v>
                </c:pt>
                <c:pt idx="280">
                  <c:v>45707</c:v>
                </c:pt>
                <c:pt idx="281">
                  <c:v>45714</c:v>
                </c:pt>
              </c:numCache>
            </c:numRef>
          </c:cat>
          <c:val>
            <c:numRef>
              <c:f>'China Weekly'!$D$492:$D$774</c:f>
              <c:numCache>
                <c:formatCode>#,##0.00_);[Red]\(#,##0.00\)</c:formatCode>
                <c:ptCount val="283"/>
                <c:pt idx="0">
                  <c:v>1.9004000000000001</c:v>
                </c:pt>
                <c:pt idx="1">
                  <c:v>1.81315</c:v>
                </c:pt>
                <c:pt idx="2">
                  <c:v>1.7997000000000001</c:v>
                </c:pt>
                <c:pt idx="3">
                  <c:v>1.829</c:v>
                </c:pt>
                <c:pt idx="4">
                  <c:v>1.81515</c:v>
                </c:pt>
                <c:pt idx="6">
                  <c:v>1.1556999999999999</c:v>
                </c:pt>
                <c:pt idx="7">
                  <c:v>1.7278</c:v>
                </c:pt>
                <c:pt idx="8">
                  <c:v>1.7499499999999999</c:v>
                </c:pt>
                <c:pt idx="9">
                  <c:v>1.5544500000000001</c:v>
                </c:pt>
                <c:pt idx="10">
                  <c:v>1.54745</c:v>
                </c:pt>
                <c:pt idx="11">
                  <c:v>1.6351</c:v>
                </c:pt>
                <c:pt idx="12">
                  <c:v>1.7706999999999999</c:v>
                </c:pt>
                <c:pt idx="13">
                  <c:v>1.77535</c:v>
                </c:pt>
                <c:pt idx="14">
                  <c:v>1.6526000000000001</c:v>
                </c:pt>
                <c:pt idx="15">
                  <c:v>1.667</c:v>
                </c:pt>
                <c:pt idx="16">
                  <c:v>1.9987999999999999</c:v>
                </c:pt>
                <c:pt idx="17">
                  <c:v>1.9987999999999999</c:v>
                </c:pt>
                <c:pt idx="18">
                  <c:v>2.0585986668746146</c:v>
                </c:pt>
                <c:pt idx="19">
                  <c:v>2.0400999999999998</c:v>
                </c:pt>
                <c:pt idx="20">
                  <c:v>2.0017</c:v>
                </c:pt>
                <c:pt idx="21">
                  <c:v>0.94199999999999995</c:v>
                </c:pt>
                <c:pt idx="22">
                  <c:v>5.2699999999999997E-2</c:v>
                </c:pt>
                <c:pt idx="23">
                  <c:v>0.78749999999999998</c:v>
                </c:pt>
                <c:pt idx="24">
                  <c:v>1.5755999999999999</c:v>
                </c:pt>
                <c:pt idx="25">
                  <c:v>1.8088</c:v>
                </c:pt>
                <c:pt idx="26">
                  <c:v>1.9272</c:v>
                </c:pt>
                <c:pt idx="27">
                  <c:v>1.6593</c:v>
                </c:pt>
                <c:pt idx="28">
                  <c:v>1.4711000000000001</c:v>
                </c:pt>
                <c:pt idx="29">
                  <c:v>1.4761</c:v>
                </c:pt>
                <c:pt idx="30">
                  <c:v>1.4383999999999999</c:v>
                </c:pt>
                <c:pt idx="31">
                  <c:v>1.3566</c:v>
                </c:pt>
                <c:pt idx="32">
                  <c:v>1.5824</c:v>
                </c:pt>
                <c:pt idx="33">
                  <c:v>1.6749000000000001</c:v>
                </c:pt>
                <c:pt idx="34">
                  <c:v>1.7769999999999999</c:v>
                </c:pt>
                <c:pt idx="35">
                  <c:v>1.7495000000000001</c:v>
                </c:pt>
                <c:pt idx="36">
                  <c:v>1.9121999999999999</c:v>
                </c:pt>
                <c:pt idx="37">
                  <c:v>2.0975000000000001</c:v>
                </c:pt>
                <c:pt idx="38">
                  <c:v>2.0661</c:v>
                </c:pt>
                <c:pt idx="39">
                  <c:v>1.9155500000000001</c:v>
                </c:pt>
                <c:pt idx="40">
                  <c:v>2.052</c:v>
                </c:pt>
                <c:pt idx="41">
                  <c:v>2.1381999999999999</c:v>
                </c:pt>
                <c:pt idx="42">
                  <c:v>2.0310000000000001</c:v>
                </c:pt>
                <c:pt idx="43">
                  <c:v>2.0427</c:v>
                </c:pt>
                <c:pt idx="44">
                  <c:v>1.9996</c:v>
                </c:pt>
                <c:pt idx="45">
                  <c:v>2.0634999999999999</c:v>
                </c:pt>
                <c:pt idx="46">
                  <c:v>1.9553</c:v>
                </c:pt>
                <c:pt idx="47">
                  <c:v>1.98</c:v>
                </c:pt>
                <c:pt idx="48">
                  <c:v>2.0444</c:v>
                </c:pt>
                <c:pt idx="49">
                  <c:v>1.9658</c:v>
                </c:pt>
                <c:pt idx="50">
                  <c:v>2.0169999999999999</c:v>
                </c:pt>
                <c:pt idx="51">
                  <c:v>2.0381999999999998</c:v>
                </c:pt>
                <c:pt idx="52">
                  <c:v>1.95105</c:v>
                </c:pt>
                <c:pt idx="53">
                  <c:v>1.9716499999999999</c:v>
                </c:pt>
                <c:pt idx="54">
                  <c:v>2.1836500000000001</c:v>
                </c:pt>
                <c:pt idx="55">
                  <c:v>2.27325</c:v>
                </c:pt>
                <c:pt idx="56">
                  <c:v>1.8735999999999999</c:v>
                </c:pt>
                <c:pt idx="57">
                  <c:v>1.3875500000000001</c:v>
                </c:pt>
                <c:pt idx="58">
                  <c:v>2.0882999999999998</c:v>
                </c:pt>
                <c:pt idx="59">
                  <c:v>2.1972499999999999</c:v>
                </c:pt>
                <c:pt idx="60">
                  <c:v>2.09348</c:v>
                </c:pt>
                <c:pt idx="61">
                  <c:v>2.09558</c:v>
                </c:pt>
                <c:pt idx="62">
                  <c:v>2.1200800000000002</c:v>
                </c:pt>
                <c:pt idx="63">
                  <c:v>2.0356800000000002</c:v>
                </c:pt>
                <c:pt idx="64">
                  <c:v>1.84328</c:v>
                </c:pt>
                <c:pt idx="65">
                  <c:v>1.7896799999999999</c:v>
                </c:pt>
                <c:pt idx="66">
                  <c:v>1.95078</c:v>
                </c:pt>
                <c:pt idx="67">
                  <c:v>2.00718</c:v>
                </c:pt>
                <c:pt idx="68">
                  <c:v>1.88208</c:v>
                </c:pt>
                <c:pt idx="69">
                  <c:v>1.8599462029662295</c:v>
                </c:pt>
                <c:pt idx="70">
                  <c:v>1.68458</c:v>
                </c:pt>
                <c:pt idx="71">
                  <c:v>1.9819800000000001</c:v>
                </c:pt>
                <c:pt idx="72">
                  <c:v>2.1076199999999998</c:v>
                </c:pt>
                <c:pt idx="73">
                  <c:v>2.1488</c:v>
                </c:pt>
                <c:pt idx="74">
                  <c:v>1.9873000000000001</c:v>
                </c:pt>
                <c:pt idx="75">
                  <c:v>0.91359999999999997</c:v>
                </c:pt>
                <c:pt idx="76">
                  <c:v>0.32900000000000001</c:v>
                </c:pt>
                <c:pt idx="77">
                  <c:v>1.5192000000000001</c:v>
                </c:pt>
                <c:pt idx="78">
                  <c:v>1.6815</c:v>
                </c:pt>
                <c:pt idx="79">
                  <c:v>1.4487000000000001</c:v>
                </c:pt>
                <c:pt idx="80">
                  <c:v>1.57</c:v>
                </c:pt>
                <c:pt idx="81">
                  <c:v>1.56</c:v>
                </c:pt>
                <c:pt idx="82">
                  <c:v>1.55</c:v>
                </c:pt>
                <c:pt idx="83">
                  <c:v>1.36</c:v>
                </c:pt>
                <c:pt idx="84">
                  <c:v>1.62</c:v>
                </c:pt>
                <c:pt idx="85">
                  <c:v>1.78</c:v>
                </c:pt>
                <c:pt idx="86" formatCode="General">
                  <c:v>1.82</c:v>
                </c:pt>
                <c:pt idx="88" formatCode="General">
                  <c:v>1.88</c:v>
                </c:pt>
                <c:pt idx="89" formatCode="General">
                  <c:v>1.92</c:v>
                </c:pt>
                <c:pt idx="90" formatCode="General">
                  <c:v>2.0699999999999998</c:v>
                </c:pt>
                <c:pt idx="91" formatCode="General">
                  <c:v>2.02</c:v>
                </c:pt>
                <c:pt idx="92" formatCode="General">
                  <c:v>1.95</c:v>
                </c:pt>
                <c:pt idx="93" formatCode="General">
                  <c:v>1.9</c:v>
                </c:pt>
                <c:pt idx="94" formatCode="General">
                  <c:v>1.72</c:v>
                </c:pt>
                <c:pt idx="95" formatCode="General">
                  <c:v>1.69</c:v>
                </c:pt>
                <c:pt idx="96" formatCode="General">
                  <c:v>1.78</c:v>
                </c:pt>
                <c:pt idx="97" formatCode="General">
                  <c:v>1.73</c:v>
                </c:pt>
                <c:pt idx="98" formatCode="General">
                  <c:v>1.88</c:v>
                </c:pt>
                <c:pt idx="99" formatCode="General">
                  <c:v>1.72</c:v>
                </c:pt>
                <c:pt idx="100" formatCode="General">
                  <c:v>1.78</c:v>
                </c:pt>
                <c:pt idx="101" formatCode="General">
                  <c:v>1.97</c:v>
                </c:pt>
                <c:pt idx="102" formatCode="General">
                  <c:v>2.0099999999999998</c:v>
                </c:pt>
                <c:pt idx="103" formatCode="General">
                  <c:v>1.98</c:v>
                </c:pt>
                <c:pt idx="104" formatCode="General">
                  <c:v>1.73</c:v>
                </c:pt>
                <c:pt idx="105" formatCode="General">
                  <c:v>1.86</c:v>
                </c:pt>
                <c:pt idx="106" formatCode="General">
                  <c:v>1.89</c:v>
                </c:pt>
                <c:pt idx="107" formatCode="General">
                  <c:v>1.71</c:v>
                </c:pt>
                <c:pt idx="109" formatCode="General">
                  <c:v>1.41</c:v>
                </c:pt>
                <c:pt idx="110" formatCode="General">
                  <c:v>1.67</c:v>
                </c:pt>
                <c:pt idx="111" formatCode="General">
                  <c:v>1.6</c:v>
                </c:pt>
                <c:pt idx="112" formatCode="General">
                  <c:v>1.89</c:v>
                </c:pt>
                <c:pt idx="113" formatCode="General">
                  <c:v>2.0699999999999998</c:v>
                </c:pt>
                <c:pt idx="114" formatCode="General">
                  <c:v>1.95</c:v>
                </c:pt>
                <c:pt idx="115" formatCode="General">
                  <c:v>1.89</c:v>
                </c:pt>
                <c:pt idx="116" formatCode="General">
                  <c:v>2.02</c:v>
                </c:pt>
                <c:pt idx="117" formatCode="General">
                  <c:v>1.89</c:v>
                </c:pt>
                <c:pt idx="118" formatCode="General">
                  <c:v>1.91</c:v>
                </c:pt>
                <c:pt idx="119" formatCode="General">
                  <c:v>1.84</c:v>
                </c:pt>
                <c:pt idx="120" formatCode="General">
                  <c:v>1.79</c:v>
                </c:pt>
                <c:pt idx="121" formatCode="General">
                  <c:v>1.59</c:v>
                </c:pt>
                <c:pt idx="122" formatCode="General">
                  <c:v>1.46</c:v>
                </c:pt>
                <c:pt idx="123" formatCode="General">
                  <c:v>1.89</c:v>
                </c:pt>
                <c:pt idx="124" formatCode="General">
                  <c:v>2.15</c:v>
                </c:pt>
                <c:pt idx="126" formatCode="General">
                  <c:v>1.173</c:v>
                </c:pt>
                <c:pt idx="127" formatCode="General">
                  <c:v>1.7</c:v>
                </c:pt>
                <c:pt idx="128" formatCode="General">
                  <c:v>1.7</c:v>
                </c:pt>
                <c:pt idx="129" formatCode="General">
                  <c:v>1.71</c:v>
                </c:pt>
                <c:pt idx="130" formatCode="General">
                  <c:v>1.48</c:v>
                </c:pt>
                <c:pt idx="131" formatCode="General">
                  <c:v>1.44</c:v>
                </c:pt>
                <c:pt idx="132" formatCode="General">
                  <c:v>1.3</c:v>
                </c:pt>
                <c:pt idx="133" formatCode="General">
                  <c:v>1.2</c:v>
                </c:pt>
                <c:pt idx="134" formatCode="General">
                  <c:v>1.07</c:v>
                </c:pt>
                <c:pt idx="135" formatCode="General">
                  <c:v>1.22</c:v>
                </c:pt>
                <c:pt idx="136" formatCode="General">
                  <c:v>1.41</c:v>
                </c:pt>
                <c:pt idx="137" formatCode="General">
                  <c:v>1.65</c:v>
                </c:pt>
                <c:pt idx="138" formatCode="General">
                  <c:v>1.77</c:v>
                </c:pt>
                <c:pt idx="139" formatCode="General">
                  <c:v>1.71</c:v>
                </c:pt>
                <c:pt idx="140" formatCode="General">
                  <c:v>1.7</c:v>
                </c:pt>
                <c:pt idx="141" formatCode="General">
                  <c:v>1.93</c:v>
                </c:pt>
                <c:pt idx="142" formatCode="General">
                  <c:v>1.88</c:v>
                </c:pt>
                <c:pt idx="143" formatCode="General">
                  <c:v>1.64</c:v>
                </c:pt>
                <c:pt idx="144" formatCode="General">
                  <c:v>1.63</c:v>
                </c:pt>
                <c:pt idx="145" formatCode="General">
                  <c:v>1.88</c:v>
                </c:pt>
                <c:pt idx="146" formatCode="General">
                  <c:v>1.81</c:v>
                </c:pt>
                <c:pt idx="147" formatCode="General">
                  <c:v>1.82</c:v>
                </c:pt>
                <c:pt idx="148" formatCode="General">
                  <c:v>1.71</c:v>
                </c:pt>
                <c:pt idx="149" formatCode="General">
                  <c:v>1.7</c:v>
                </c:pt>
                <c:pt idx="150" formatCode="General">
                  <c:v>1.68</c:v>
                </c:pt>
                <c:pt idx="151" formatCode="General">
                  <c:v>1.74</c:v>
                </c:pt>
                <c:pt idx="152" formatCode="General">
                  <c:v>1.68</c:v>
                </c:pt>
                <c:pt idx="153" formatCode="General">
                  <c:v>1.66</c:v>
                </c:pt>
                <c:pt idx="154" formatCode="General">
                  <c:v>1.73</c:v>
                </c:pt>
                <c:pt idx="155" formatCode="General">
                  <c:v>1.98</c:v>
                </c:pt>
                <c:pt idx="156" formatCode="General">
                  <c:v>1.96</c:v>
                </c:pt>
                <c:pt idx="157" formatCode="General">
                  <c:v>1.96</c:v>
                </c:pt>
                <c:pt idx="158" formatCode="General">
                  <c:v>1.81</c:v>
                </c:pt>
                <c:pt idx="159" formatCode="General">
                  <c:v>2.0499999999999998</c:v>
                </c:pt>
                <c:pt idx="160" formatCode="General">
                  <c:v>1.52</c:v>
                </c:pt>
                <c:pt idx="162" formatCode="General">
                  <c:v>1.65</c:v>
                </c:pt>
                <c:pt idx="163" formatCode="General">
                  <c:v>1.61</c:v>
                </c:pt>
                <c:pt idx="164" formatCode="General">
                  <c:v>1.68</c:v>
                </c:pt>
                <c:pt idx="165" formatCode="General">
                  <c:v>1.52</c:v>
                </c:pt>
                <c:pt idx="166" formatCode="General">
                  <c:v>1.53</c:v>
                </c:pt>
                <c:pt idx="167" formatCode="General">
                  <c:v>1.53</c:v>
                </c:pt>
                <c:pt idx="168" formatCode="General">
                  <c:v>1.98</c:v>
                </c:pt>
                <c:pt idx="169" formatCode="General">
                  <c:v>2.0299999999999998</c:v>
                </c:pt>
                <c:pt idx="170" formatCode="General">
                  <c:v>1.98</c:v>
                </c:pt>
                <c:pt idx="171" formatCode="General">
                  <c:v>2.08</c:v>
                </c:pt>
                <c:pt idx="172" formatCode="General">
                  <c:v>2.11</c:v>
                </c:pt>
                <c:pt idx="173" formatCode="General">
                  <c:v>1.99</c:v>
                </c:pt>
                <c:pt idx="175" formatCode="General">
                  <c:v>2.08</c:v>
                </c:pt>
                <c:pt idx="176" formatCode="General">
                  <c:v>0.03</c:v>
                </c:pt>
                <c:pt idx="178" formatCode="General">
                  <c:v>1.28</c:v>
                </c:pt>
                <c:pt idx="179" formatCode="General">
                  <c:v>2.06</c:v>
                </c:pt>
                <c:pt idx="180" formatCode="General">
                  <c:v>1.71</c:v>
                </c:pt>
                <c:pt idx="181" formatCode="General">
                  <c:v>1.65</c:v>
                </c:pt>
                <c:pt idx="182" formatCode="General">
                  <c:v>1.47</c:v>
                </c:pt>
                <c:pt idx="183" formatCode="General">
                  <c:v>1.45</c:v>
                </c:pt>
                <c:pt idx="184" formatCode="General">
                  <c:v>1.53</c:v>
                </c:pt>
                <c:pt idx="185" formatCode="General">
                  <c:v>1.48</c:v>
                </c:pt>
                <c:pt idx="186" formatCode="General">
                  <c:v>1.38</c:v>
                </c:pt>
                <c:pt idx="187" formatCode="General">
                  <c:v>1.59</c:v>
                </c:pt>
                <c:pt idx="188" formatCode="General">
                  <c:v>1.64</c:v>
                </c:pt>
                <c:pt idx="189" formatCode="General">
                  <c:v>1.59</c:v>
                </c:pt>
                <c:pt idx="190" formatCode="General">
                  <c:v>1.64</c:v>
                </c:pt>
                <c:pt idx="191" formatCode="General">
                  <c:v>0.8</c:v>
                </c:pt>
                <c:pt idx="192" formatCode="General">
                  <c:v>1.98</c:v>
                </c:pt>
                <c:pt idx="193" formatCode="General">
                  <c:v>1.73</c:v>
                </c:pt>
                <c:pt idx="194" formatCode="General">
                  <c:v>1.89</c:v>
                </c:pt>
                <c:pt idx="195" formatCode="General">
                  <c:v>2.04</c:v>
                </c:pt>
                <c:pt idx="196" formatCode="General">
                  <c:v>2.16</c:v>
                </c:pt>
                <c:pt idx="197" formatCode="General">
                  <c:v>2.11</c:v>
                </c:pt>
                <c:pt idx="198" formatCode="General">
                  <c:v>2.2400000000000002</c:v>
                </c:pt>
                <c:pt idx="199" formatCode="General">
                  <c:v>2.08</c:v>
                </c:pt>
                <c:pt idx="200" formatCode="General">
                  <c:v>1.86</c:v>
                </c:pt>
                <c:pt idx="201" formatCode="General">
                  <c:v>1.77</c:v>
                </c:pt>
                <c:pt idx="202" formatCode="General">
                  <c:v>2.11</c:v>
                </c:pt>
                <c:pt idx="203" formatCode="General">
                  <c:v>2.2200000000000002</c:v>
                </c:pt>
                <c:pt idx="204" formatCode="General">
                  <c:v>2.16</c:v>
                </c:pt>
                <c:pt idx="205" formatCode="General">
                  <c:v>2.02</c:v>
                </c:pt>
                <c:pt idx="206" formatCode="General">
                  <c:v>2.1</c:v>
                </c:pt>
                <c:pt idx="207" formatCode="General">
                  <c:v>2.15</c:v>
                </c:pt>
                <c:pt idx="208" formatCode="General">
                  <c:v>2</c:v>
                </c:pt>
                <c:pt idx="209" formatCode="General">
                  <c:v>2.04</c:v>
                </c:pt>
                <c:pt idx="210" formatCode="General">
                  <c:v>1.97</c:v>
                </c:pt>
                <c:pt idx="211" formatCode="General">
                  <c:v>2.04</c:v>
                </c:pt>
                <c:pt idx="212" formatCode="General">
                  <c:v>2.15</c:v>
                </c:pt>
                <c:pt idx="213" formatCode="General">
                  <c:v>0.93</c:v>
                </c:pt>
                <c:pt idx="214" formatCode="General">
                  <c:v>1.57</c:v>
                </c:pt>
                <c:pt idx="215" formatCode="General">
                  <c:v>2.0299999999999998</c:v>
                </c:pt>
                <c:pt idx="216" formatCode="General">
                  <c:v>1.77</c:v>
                </c:pt>
                <c:pt idx="217" formatCode="General">
                  <c:v>1.7</c:v>
                </c:pt>
                <c:pt idx="218" formatCode="General">
                  <c:v>1.7</c:v>
                </c:pt>
                <c:pt idx="219" formatCode="General">
                  <c:v>1.85</c:v>
                </c:pt>
                <c:pt idx="220" formatCode="General">
                  <c:v>2.02</c:v>
                </c:pt>
                <c:pt idx="221" formatCode="General">
                  <c:v>2.02</c:v>
                </c:pt>
                <c:pt idx="222" formatCode="General">
                  <c:v>1.87</c:v>
                </c:pt>
                <c:pt idx="223" formatCode="General">
                  <c:v>1.88</c:v>
                </c:pt>
                <c:pt idx="224" formatCode="General">
                  <c:v>1.73</c:v>
                </c:pt>
                <c:pt idx="225" formatCode="General">
                  <c:v>1.8</c:v>
                </c:pt>
                <c:pt idx="226" formatCode="General">
                  <c:v>1.63</c:v>
                </c:pt>
                <c:pt idx="227" formatCode="General">
                  <c:v>1.73</c:v>
                </c:pt>
                <c:pt idx="228" formatCode="General">
                  <c:v>1.82</c:v>
                </c:pt>
                <c:pt idx="229" formatCode="General">
                  <c:v>1.99</c:v>
                </c:pt>
                <c:pt idx="230" formatCode="General">
                  <c:v>1.91</c:v>
                </c:pt>
                <c:pt idx="231" formatCode="General">
                  <c:v>0.79</c:v>
                </c:pt>
                <c:pt idx="232" formatCode="General">
                  <c:v>1.1299999999999999</c:v>
                </c:pt>
                <c:pt idx="233" formatCode="General">
                  <c:v>1.64</c:v>
                </c:pt>
                <c:pt idx="234" formatCode="General">
                  <c:v>1.53</c:v>
                </c:pt>
                <c:pt idx="235" formatCode="General">
                  <c:v>1.52</c:v>
                </c:pt>
                <c:pt idx="236" formatCode="General">
                  <c:v>1.52</c:v>
                </c:pt>
                <c:pt idx="237" formatCode="General">
                  <c:v>1.77</c:v>
                </c:pt>
                <c:pt idx="238" formatCode="General">
                  <c:v>1.95</c:v>
                </c:pt>
                <c:pt idx="239" formatCode="General">
                  <c:v>1.92</c:v>
                </c:pt>
                <c:pt idx="240" formatCode="General">
                  <c:v>1.72</c:v>
                </c:pt>
                <c:pt idx="241" formatCode="General">
                  <c:v>1.8</c:v>
                </c:pt>
                <c:pt idx="242" formatCode="General">
                  <c:v>1.89</c:v>
                </c:pt>
                <c:pt idx="243" formatCode="General">
                  <c:v>2.0099999999999998</c:v>
                </c:pt>
                <c:pt idx="244" formatCode="General">
                  <c:v>2.16</c:v>
                </c:pt>
                <c:pt idx="245" formatCode="General">
                  <c:v>1.97</c:v>
                </c:pt>
                <c:pt idx="246" formatCode="General">
                  <c:v>1.9</c:v>
                </c:pt>
                <c:pt idx="247" formatCode="General">
                  <c:v>1.94</c:v>
                </c:pt>
                <c:pt idx="248" formatCode="General">
                  <c:v>2.1800000000000002</c:v>
                </c:pt>
                <c:pt idx="249" formatCode="General">
                  <c:v>1.99</c:v>
                </c:pt>
                <c:pt idx="250" formatCode="General">
                  <c:v>2.06</c:v>
                </c:pt>
                <c:pt idx="251" formatCode="General">
                  <c:v>1.9</c:v>
                </c:pt>
                <c:pt idx="252" formatCode="General">
                  <c:v>1.97</c:v>
                </c:pt>
                <c:pt idx="253" formatCode="General">
                  <c:v>2.0699999999999998</c:v>
                </c:pt>
                <c:pt idx="254" formatCode="General">
                  <c:v>2.08</c:v>
                </c:pt>
                <c:pt idx="255" formatCode="General">
                  <c:v>2.02</c:v>
                </c:pt>
                <c:pt idx="256" formatCode="General">
                  <c:v>2.0499999999999998</c:v>
                </c:pt>
                <c:pt idx="257" formatCode="General">
                  <c:v>2.0499999999999998</c:v>
                </c:pt>
                <c:pt idx="258" formatCode="General">
                  <c:v>2.2000000000000002</c:v>
                </c:pt>
                <c:pt idx="259" formatCode="General">
                  <c:v>2.2400000000000002</c:v>
                </c:pt>
                <c:pt idx="260" formatCode="General">
                  <c:v>2.0499999999999998</c:v>
                </c:pt>
                <c:pt idx="261" formatCode="General">
                  <c:v>2.0499999999999998</c:v>
                </c:pt>
                <c:pt idx="262" formatCode="General">
                  <c:v>1.51</c:v>
                </c:pt>
                <c:pt idx="263" formatCode="General">
                  <c:v>1.54</c:v>
                </c:pt>
                <c:pt idx="264" formatCode="General">
                  <c:v>2.06</c:v>
                </c:pt>
                <c:pt idx="265" formatCode="General">
                  <c:v>2.1</c:v>
                </c:pt>
                <c:pt idx="266" formatCode="General">
                  <c:v>1.94</c:v>
                </c:pt>
                <c:pt idx="267" formatCode="General">
                  <c:v>1.97</c:v>
                </c:pt>
                <c:pt idx="268" formatCode="General">
                  <c:v>1.89</c:v>
                </c:pt>
                <c:pt idx="269" formatCode="General">
                  <c:v>1.66</c:v>
                </c:pt>
                <c:pt idx="270" formatCode="General">
                  <c:v>1.87</c:v>
                </c:pt>
                <c:pt idx="271" formatCode="General">
                  <c:v>1.87</c:v>
                </c:pt>
                <c:pt idx="272" formatCode="General">
                  <c:v>2.08</c:v>
                </c:pt>
                <c:pt idx="273" formatCode="0.00">
                  <c:v>1.73</c:v>
                </c:pt>
                <c:pt idx="274" formatCode="0.00">
                  <c:v>1.93</c:v>
                </c:pt>
                <c:pt idx="275" formatCode="0.00">
                  <c:v>2.41</c:v>
                </c:pt>
                <c:pt idx="276" formatCode="0.00">
                  <c:v>1.9</c:v>
                </c:pt>
                <c:pt idx="277" formatCode="0.00">
                  <c:v>0.15</c:v>
                </c:pt>
                <c:pt idx="278" formatCode="0.00">
                  <c:v>0.47</c:v>
                </c:pt>
                <c:pt idx="279" formatCode="0.00">
                  <c:v>1.94</c:v>
                </c:pt>
                <c:pt idx="280" formatCode="0.00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0-4A83-BFD1-8F1A1861F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468736"/>
        <c:axId val="819480544"/>
      </c:lineChart>
      <c:lineChart>
        <c:grouping val="standard"/>
        <c:varyColors val="0"/>
        <c:ser>
          <c:idx val="1"/>
          <c:order val="1"/>
          <c:tx>
            <c:strRef>
              <c:f>'China Weekly'!$H$1</c:f>
              <c:strCache>
                <c:ptCount val="1"/>
                <c:pt idx="0">
                  <c:v>Chinese Soybean Port Stocks</c:v>
                </c:pt>
              </c:strCache>
            </c:strRef>
          </c:tx>
          <c:spPr>
            <a:ln w="15875" cap="rnd">
              <a:solidFill>
                <a:srgbClr val="C4722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4722E"/>
              </a:solidFill>
              <a:ln w="15875">
                <a:solidFill>
                  <a:srgbClr val="C4722E"/>
                </a:solidFill>
              </a:ln>
              <a:effectLst/>
            </c:spPr>
          </c:marker>
          <c:val>
            <c:numRef>
              <c:f>'China Weekly'!$H$492:$H$774</c:f>
              <c:numCache>
                <c:formatCode>#,##0.00_);[Red]\(#,##0.00\)</c:formatCode>
                <c:ptCount val="283"/>
                <c:pt idx="0">
                  <c:v>6.4229999999999992</c:v>
                </c:pt>
                <c:pt idx="1">
                  <c:v>6.5739999999999998</c:v>
                </c:pt>
                <c:pt idx="2">
                  <c:v>6.5250000000000004</c:v>
                </c:pt>
                <c:pt idx="3">
                  <c:v>5.8339999999999996</c:v>
                </c:pt>
                <c:pt idx="4">
                  <c:v>5.226</c:v>
                </c:pt>
                <c:pt idx="6">
                  <c:v>5.2720000000000002</c:v>
                </c:pt>
                <c:pt idx="7">
                  <c:v>5.0489999999999995</c:v>
                </c:pt>
                <c:pt idx="8">
                  <c:v>4.6260000000000003</c:v>
                </c:pt>
                <c:pt idx="9">
                  <c:v>4.3739999999999997</c:v>
                </c:pt>
                <c:pt idx="10">
                  <c:v>4.532</c:v>
                </c:pt>
                <c:pt idx="11">
                  <c:v>4.4910000000000005</c:v>
                </c:pt>
                <c:pt idx="12">
                  <c:v>4.4050000000000002</c:v>
                </c:pt>
                <c:pt idx="13">
                  <c:v>4.3469999999999995</c:v>
                </c:pt>
                <c:pt idx="14">
                  <c:v>4.6930000000000005</c:v>
                </c:pt>
                <c:pt idx="15">
                  <c:v>4.7439999999999998</c:v>
                </c:pt>
                <c:pt idx="16">
                  <c:v>5.1679999999999993</c:v>
                </c:pt>
                <c:pt idx="17">
                  <c:v>4.7439999999999998</c:v>
                </c:pt>
                <c:pt idx="18">
                  <c:v>5.5712000000000002</c:v>
                </c:pt>
                <c:pt idx="19">
                  <c:v>5.3812999999999995</c:v>
                </c:pt>
                <c:pt idx="20">
                  <c:v>5.2003999999999992</c:v>
                </c:pt>
                <c:pt idx="23">
                  <c:v>6.1738999999999997</c:v>
                </c:pt>
                <c:pt idx="24">
                  <c:v>6.3426999999999998</c:v>
                </c:pt>
                <c:pt idx="25">
                  <c:v>5.6715</c:v>
                </c:pt>
                <c:pt idx="26">
                  <c:v>4.9161999999999999</c:v>
                </c:pt>
                <c:pt idx="27">
                  <c:v>3.9169</c:v>
                </c:pt>
                <c:pt idx="28">
                  <c:v>3.3689</c:v>
                </c:pt>
                <c:pt idx="29">
                  <c:v>3.5470999999999999</c:v>
                </c:pt>
                <c:pt idx="30">
                  <c:v>3.4898000000000002</c:v>
                </c:pt>
                <c:pt idx="31">
                  <c:v>3.6738999999999997</c:v>
                </c:pt>
                <c:pt idx="32">
                  <c:v>3.4074</c:v>
                </c:pt>
                <c:pt idx="33">
                  <c:v>3.7673000000000001</c:v>
                </c:pt>
                <c:pt idx="34">
                  <c:v>4.2625000000000002</c:v>
                </c:pt>
                <c:pt idx="35">
                  <c:v>4.3416000000000006</c:v>
                </c:pt>
                <c:pt idx="36">
                  <c:v>5.2992999999999997</c:v>
                </c:pt>
                <c:pt idx="37">
                  <c:v>5.8888999999999996</c:v>
                </c:pt>
                <c:pt idx="38">
                  <c:v>6.0004</c:v>
                </c:pt>
                <c:pt idx="39">
                  <c:v>6.2752999999999997</c:v>
                </c:pt>
                <c:pt idx="40">
                  <c:v>6.5129999999999999</c:v>
                </c:pt>
                <c:pt idx="41">
                  <c:v>6.5625</c:v>
                </c:pt>
                <c:pt idx="42">
                  <c:v>7.2134999999999998</c:v>
                </c:pt>
                <c:pt idx="43">
                  <c:v>7.1577000000000002</c:v>
                </c:pt>
                <c:pt idx="44">
                  <c:v>7.1825000000000001</c:v>
                </c:pt>
                <c:pt idx="45">
                  <c:v>7.3902000000000001</c:v>
                </c:pt>
                <c:pt idx="46">
                  <c:v>7.0091000000000001</c:v>
                </c:pt>
                <c:pt idx="47">
                  <c:v>7.2481000000000009</c:v>
                </c:pt>
                <c:pt idx="48">
                  <c:v>7.4871000000000008</c:v>
                </c:pt>
                <c:pt idx="49">
                  <c:v>7.6891999999999996</c:v>
                </c:pt>
                <c:pt idx="50">
                  <c:v>7.8329999999999993</c:v>
                </c:pt>
                <c:pt idx="51">
                  <c:v>7.8329999999999993</c:v>
                </c:pt>
                <c:pt idx="52">
                  <c:v>7.8098000000000001</c:v>
                </c:pt>
                <c:pt idx="53">
                  <c:v>7.9340000000000002</c:v>
                </c:pt>
                <c:pt idx="54">
                  <c:v>7.5637999999999996</c:v>
                </c:pt>
                <c:pt idx="55">
                  <c:v>7.4853999999999994</c:v>
                </c:pt>
                <c:pt idx="57">
                  <c:v>7.1227999999999998</c:v>
                </c:pt>
                <c:pt idx="58">
                  <c:v>7.0214999999999996</c:v>
                </c:pt>
                <c:pt idx="59">
                  <c:v>6.5763999999999996</c:v>
                </c:pt>
                <c:pt idx="60">
                  <c:v>6.9630999999999998</c:v>
                </c:pt>
                <c:pt idx="61">
                  <c:v>7.2403999999999993</c:v>
                </c:pt>
                <c:pt idx="62">
                  <c:v>7.2659000000000002</c:v>
                </c:pt>
                <c:pt idx="63">
                  <c:v>6.9699</c:v>
                </c:pt>
                <c:pt idx="64">
                  <c:v>6.4369000000000005</c:v>
                </c:pt>
                <c:pt idx="65">
                  <c:v>6.8207000000000004</c:v>
                </c:pt>
                <c:pt idx="66">
                  <c:v>6.7514000000000003</c:v>
                </c:pt>
                <c:pt idx="67">
                  <c:v>6.5823999999999998</c:v>
                </c:pt>
                <c:pt idx="68">
                  <c:v>6.6841999999999997</c:v>
                </c:pt>
                <c:pt idx="69">
                  <c:v>6.2144000000000004</c:v>
                </c:pt>
                <c:pt idx="70">
                  <c:v>6.4760999999999997</c:v>
                </c:pt>
                <c:pt idx="71">
                  <c:v>6.4253</c:v>
                </c:pt>
                <c:pt idx="72">
                  <c:v>5.8422999999999998</c:v>
                </c:pt>
                <c:pt idx="73">
                  <c:v>5.4873000000000003</c:v>
                </c:pt>
                <c:pt idx="74">
                  <c:v>4.8377999999999997</c:v>
                </c:pt>
                <c:pt idx="75">
                  <c:v>5.4472000000000005</c:v>
                </c:pt>
                <c:pt idx="76">
                  <c:v>5.7303999999999995</c:v>
                </c:pt>
                <c:pt idx="77">
                  <c:v>6.0152999999999999</c:v>
                </c:pt>
                <c:pt idx="78">
                  <c:v>5.7558000000000007</c:v>
                </c:pt>
                <c:pt idx="79">
                  <c:v>5.2652999999999999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0-4A83-BFD1-8F1A1861F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531320"/>
        <c:axId val="1267530992"/>
      </c:lineChart>
      <c:dateAx>
        <c:axId val="819468736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80544"/>
        <c:crosses val="autoZero"/>
        <c:auto val="1"/>
        <c:lblOffset val="100"/>
        <c:baseTimeUnit val="days"/>
        <c:majorUnit val="30"/>
        <c:majorTimeUnit val="days"/>
      </c:dateAx>
      <c:valAx>
        <c:axId val="8194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68736"/>
        <c:crosses val="autoZero"/>
        <c:crossBetween val="between"/>
      </c:valAx>
      <c:valAx>
        <c:axId val="12675309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67531320"/>
        <c:crosses val="max"/>
        <c:crossBetween val="between"/>
      </c:valAx>
      <c:catAx>
        <c:axId val="1267531320"/>
        <c:scaling>
          <c:orientation val="minMax"/>
        </c:scaling>
        <c:delete val="1"/>
        <c:axPos val="b"/>
        <c:majorTickMark val="out"/>
        <c:minorTickMark val="none"/>
        <c:tickLblPos val="nextTo"/>
        <c:crossAx val="1267530992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505A5B"/>
          </a:solidFill>
        </a:ln>
        <a:effectLst/>
      </c:spPr>
    </c:plotArea>
    <c:legend>
      <c:legendPos val="t"/>
      <c:layout>
        <c:manualLayout>
          <c:xMode val="edge"/>
          <c:yMode val="edge"/>
          <c:x val="0.43233493505494702"/>
          <c:y val="0.67587755582687326"/>
          <c:w val="0.32057151508094617"/>
          <c:h val="0.10256578838620864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918850086395286"/>
          <c:y val="0.18164520322249753"/>
          <c:w val="0.86610401265128412"/>
          <c:h val="0.72643570080632935"/>
        </c:manualLayout>
      </c:layout>
      <c:lineChart>
        <c:grouping val="standard"/>
        <c:varyColors val="0"/>
        <c:ser>
          <c:idx val="0"/>
          <c:order val="0"/>
          <c:tx>
            <c:strRef>
              <c:f>'China Weekly'!$S$1</c:f>
              <c:strCache>
                <c:ptCount val="1"/>
                <c:pt idx="0">
                  <c:v>Soybean Crush Margin - Dalian - Imported Soybeans</c:v>
                </c:pt>
              </c:strCache>
            </c:strRef>
          </c:tx>
          <c:spPr>
            <a:ln w="19050" cap="rnd">
              <a:solidFill>
                <a:srgbClr val="C4722E"/>
              </a:solidFill>
              <a:round/>
            </a:ln>
            <a:effectLst/>
          </c:spPr>
          <c:marker>
            <c:symbol val="none"/>
          </c:marker>
          <c:cat>
            <c:numRef>
              <c:f>'China Weekly'!$A$2:$A$774</c:f>
              <c:numCache>
                <c:formatCode>m/d/yyyy</c:formatCode>
                <c:ptCount val="773"/>
                <c:pt idx="0">
                  <c:v>40280</c:v>
                </c:pt>
                <c:pt idx="1">
                  <c:v>40287</c:v>
                </c:pt>
                <c:pt idx="2">
                  <c:v>40294</c:v>
                </c:pt>
                <c:pt idx="3">
                  <c:v>40301</c:v>
                </c:pt>
                <c:pt idx="4">
                  <c:v>40308</c:v>
                </c:pt>
                <c:pt idx="5">
                  <c:v>40315</c:v>
                </c:pt>
                <c:pt idx="6">
                  <c:v>40322</c:v>
                </c:pt>
                <c:pt idx="7">
                  <c:v>40329</c:v>
                </c:pt>
                <c:pt idx="8">
                  <c:v>40336</c:v>
                </c:pt>
                <c:pt idx="9">
                  <c:v>40343</c:v>
                </c:pt>
                <c:pt idx="10">
                  <c:v>40350</c:v>
                </c:pt>
                <c:pt idx="11">
                  <c:v>40357</c:v>
                </c:pt>
                <c:pt idx="12">
                  <c:v>40364</c:v>
                </c:pt>
                <c:pt idx="13">
                  <c:v>40371</c:v>
                </c:pt>
                <c:pt idx="14">
                  <c:v>40378</c:v>
                </c:pt>
                <c:pt idx="15">
                  <c:v>40385</c:v>
                </c:pt>
                <c:pt idx="16">
                  <c:v>40392</c:v>
                </c:pt>
                <c:pt idx="17">
                  <c:v>40399</c:v>
                </c:pt>
                <c:pt idx="18">
                  <c:v>40406</c:v>
                </c:pt>
                <c:pt idx="19">
                  <c:v>40413</c:v>
                </c:pt>
                <c:pt idx="20">
                  <c:v>40420</c:v>
                </c:pt>
                <c:pt idx="21">
                  <c:v>40427</c:v>
                </c:pt>
                <c:pt idx="22">
                  <c:v>40434</c:v>
                </c:pt>
                <c:pt idx="23">
                  <c:v>40441</c:v>
                </c:pt>
                <c:pt idx="24">
                  <c:v>40448</c:v>
                </c:pt>
                <c:pt idx="25">
                  <c:v>40455</c:v>
                </c:pt>
                <c:pt idx="26">
                  <c:v>40462</c:v>
                </c:pt>
                <c:pt idx="27">
                  <c:v>40469</c:v>
                </c:pt>
                <c:pt idx="28">
                  <c:v>40476</c:v>
                </c:pt>
                <c:pt idx="29">
                  <c:v>40483</c:v>
                </c:pt>
                <c:pt idx="30">
                  <c:v>40490</c:v>
                </c:pt>
                <c:pt idx="31">
                  <c:v>40497</c:v>
                </c:pt>
                <c:pt idx="32">
                  <c:v>40504</c:v>
                </c:pt>
                <c:pt idx="33">
                  <c:v>40511</c:v>
                </c:pt>
                <c:pt idx="34">
                  <c:v>40518</c:v>
                </c:pt>
                <c:pt idx="35">
                  <c:v>40525</c:v>
                </c:pt>
                <c:pt idx="36">
                  <c:v>40532</c:v>
                </c:pt>
                <c:pt idx="37">
                  <c:v>40539</c:v>
                </c:pt>
                <c:pt idx="38">
                  <c:v>40546</c:v>
                </c:pt>
                <c:pt idx="39">
                  <c:v>40553</c:v>
                </c:pt>
                <c:pt idx="40">
                  <c:v>40560</c:v>
                </c:pt>
                <c:pt idx="41">
                  <c:v>40567</c:v>
                </c:pt>
                <c:pt idx="42">
                  <c:v>40574</c:v>
                </c:pt>
                <c:pt idx="43">
                  <c:v>40581</c:v>
                </c:pt>
                <c:pt idx="44">
                  <c:v>40588</c:v>
                </c:pt>
                <c:pt idx="45">
                  <c:v>40595</c:v>
                </c:pt>
                <c:pt idx="46">
                  <c:v>40602</c:v>
                </c:pt>
                <c:pt idx="47">
                  <c:v>40609</c:v>
                </c:pt>
                <c:pt idx="48">
                  <c:v>40616</c:v>
                </c:pt>
                <c:pt idx="49">
                  <c:v>40623</c:v>
                </c:pt>
                <c:pt idx="50">
                  <c:v>40630</c:v>
                </c:pt>
                <c:pt idx="51">
                  <c:v>40637</c:v>
                </c:pt>
                <c:pt idx="52">
                  <c:v>40644</c:v>
                </c:pt>
                <c:pt idx="53">
                  <c:v>40651</c:v>
                </c:pt>
                <c:pt idx="54">
                  <c:v>40658</c:v>
                </c:pt>
                <c:pt idx="55">
                  <c:v>40665</c:v>
                </c:pt>
                <c:pt idx="56">
                  <c:v>40672</c:v>
                </c:pt>
                <c:pt idx="57">
                  <c:v>40679</c:v>
                </c:pt>
                <c:pt idx="58">
                  <c:v>40686</c:v>
                </c:pt>
                <c:pt idx="59">
                  <c:v>40693</c:v>
                </c:pt>
                <c:pt idx="60">
                  <c:v>40700</c:v>
                </c:pt>
                <c:pt idx="61">
                  <c:v>40707</c:v>
                </c:pt>
                <c:pt idx="62">
                  <c:v>40714</c:v>
                </c:pt>
                <c:pt idx="63">
                  <c:v>40721</c:v>
                </c:pt>
                <c:pt idx="64">
                  <c:v>40728</c:v>
                </c:pt>
                <c:pt idx="65">
                  <c:v>40735</c:v>
                </c:pt>
                <c:pt idx="66">
                  <c:v>40742</c:v>
                </c:pt>
                <c:pt idx="67">
                  <c:v>40749</c:v>
                </c:pt>
                <c:pt idx="68">
                  <c:v>40756</c:v>
                </c:pt>
                <c:pt idx="69">
                  <c:v>40763</c:v>
                </c:pt>
                <c:pt idx="70">
                  <c:v>40770</c:v>
                </c:pt>
                <c:pt idx="71">
                  <c:v>40777</c:v>
                </c:pt>
                <c:pt idx="72">
                  <c:v>40784</c:v>
                </c:pt>
                <c:pt idx="73">
                  <c:v>40791</c:v>
                </c:pt>
                <c:pt idx="74">
                  <c:v>40798</c:v>
                </c:pt>
                <c:pt idx="75">
                  <c:v>40805</c:v>
                </c:pt>
                <c:pt idx="76">
                  <c:v>40812</c:v>
                </c:pt>
                <c:pt idx="77">
                  <c:v>40819</c:v>
                </c:pt>
                <c:pt idx="78">
                  <c:v>40826</c:v>
                </c:pt>
                <c:pt idx="79">
                  <c:v>40833</c:v>
                </c:pt>
                <c:pt idx="80">
                  <c:v>40840</c:v>
                </c:pt>
                <c:pt idx="81">
                  <c:v>40847</c:v>
                </c:pt>
                <c:pt idx="82">
                  <c:v>40854</c:v>
                </c:pt>
                <c:pt idx="83">
                  <c:v>40861</c:v>
                </c:pt>
                <c:pt idx="84">
                  <c:v>40868</c:v>
                </c:pt>
                <c:pt idx="85">
                  <c:v>40875</c:v>
                </c:pt>
                <c:pt idx="86">
                  <c:v>40882</c:v>
                </c:pt>
                <c:pt idx="87">
                  <c:v>40889</c:v>
                </c:pt>
                <c:pt idx="88">
                  <c:v>40896</c:v>
                </c:pt>
                <c:pt idx="89">
                  <c:v>40903</c:v>
                </c:pt>
                <c:pt idx="90">
                  <c:v>40910</c:v>
                </c:pt>
                <c:pt idx="91">
                  <c:v>40917</c:v>
                </c:pt>
                <c:pt idx="92">
                  <c:v>40924</c:v>
                </c:pt>
                <c:pt idx="93">
                  <c:v>40931</c:v>
                </c:pt>
                <c:pt idx="94">
                  <c:v>40938</c:v>
                </c:pt>
                <c:pt idx="95">
                  <c:v>40945</c:v>
                </c:pt>
                <c:pt idx="96">
                  <c:v>40952</c:v>
                </c:pt>
                <c:pt idx="97">
                  <c:v>40959</c:v>
                </c:pt>
                <c:pt idx="98">
                  <c:v>40966</c:v>
                </c:pt>
                <c:pt idx="99">
                  <c:v>40973</c:v>
                </c:pt>
                <c:pt idx="100">
                  <c:v>40980</c:v>
                </c:pt>
                <c:pt idx="101">
                  <c:v>40987</c:v>
                </c:pt>
                <c:pt idx="102">
                  <c:v>40994</c:v>
                </c:pt>
                <c:pt idx="103">
                  <c:v>41001</c:v>
                </c:pt>
                <c:pt idx="104">
                  <c:v>41008</c:v>
                </c:pt>
                <c:pt idx="105">
                  <c:v>41015</c:v>
                </c:pt>
                <c:pt idx="106">
                  <c:v>41022</c:v>
                </c:pt>
                <c:pt idx="107">
                  <c:v>41029</c:v>
                </c:pt>
                <c:pt idx="108">
                  <c:v>41036</c:v>
                </c:pt>
                <c:pt idx="109">
                  <c:v>41043</c:v>
                </c:pt>
                <c:pt idx="110">
                  <c:v>41050</c:v>
                </c:pt>
                <c:pt idx="111">
                  <c:v>41057</c:v>
                </c:pt>
                <c:pt idx="112">
                  <c:v>41064</c:v>
                </c:pt>
                <c:pt idx="113">
                  <c:v>41071</c:v>
                </c:pt>
                <c:pt idx="114">
                  <c:v>41078</c:v>
                </c:pt>
                <c:pt idx="115">
                  <c:v>41085</c:v>
                </c:pt>
                <c:pt idx="116">
                  <c:v>41092</c:v>
                </c:pt>
                <c:pt idx="117">
                  <c:v>41099</c:v>
                </c:pt>
                <c:pt idx="118">
                  <c:v>41106</c:v>
                </c:pt>
                <c:pt idx="119">
                  <c:v>41113</c:v>
                </c:pt>
                <c:pt idx="120">
                  <c:v>41120</c:v>
                </c:pt>
                <c:pt idx="121">
                  <c:v>41127</c:v>
                </c:pt>
                <c:pt idx="122">
                  <c:v>41134</c:v>
                </c:pt>
                <c:pt idx="123">
                  <c:v>41141</c:v>
                </c:pt>
                <c:pt idx="124">
                  <c:v>41148</c:v>
                </c:pt>
                <c:pt idx="125">
                  <c:v>41155</c:v>
                </c:pt>
                <c:pt idx="126">
                  <c:v>41162</c:v>
                </c:pt>
                <c:pt idx="127">
                  <c:v>41169</c:v>
                </c:pt>
                <c:pt idx="128">
                  <c:v>41176</c:v>
                </c:pt>
                <c:pt idx="129">
                  <c:v>41183</c:v>
                </c:pt>
                <c:pt idx="130">
                  <c:v>41190</c:v>
                </c:pt>
                <c:pt idx="131">
                  <c:v>41197</c:v>
                </c:pt>
                <c:pt idx="132">
                  <c:v>41204</c:v>
                </c:pt>
                <c:pt idx="133">
                  <c:v>41211</c:v>
                </c:pt>
                <c:pt idx="134">
                  <c:v>41218</c:v>
                </c:pt>
                <c:pt idx="135">
                  <c:v>41225</c:v>
                </c:pt>
                <c:pt idx="136">
                  <c:v>41232</c:v>
                </c:pt>
                <c:pt idx="137">
                  <c:v>41239</c:v>
                </c:pt>
                <c:pt idx="138">
                  <c:v>41246</c:v>
                </c:pt>
                <c:pt idx="139">
                  <c:v>41253</c:v>
                </c:pt>
                <c:pt idx="140">
                  <c:v>41260</c:v>
                </c:pt>
                <c:pt idx="141">
                  <c:v>41267</c:v>
                </c:pt>
                <c:pt idx="142">
                  <c:v>41274</c:v>
                </c:pt>
                <c:pt idx="143">
                  <c:v>41281</c:v>
                </c:pt>
                <c:pt idx="144">
                  <c:v>41288</c:v>
                </c:pt>
                <c:pt idx="145">
                  <c:v>41295</c:v>
                </c:pt>
                <c:pt idx="146">
                  <c:v>41302</c:v>
                </c:pt>
                <c:pt idx="147">
                  <c:v>41309</c:v>
                </c:pt>
                <c:pt idx="148">
                  <c:v>41316</c:v>
                </c:pt>
                <c:pt idx="149">
                  <c:v>41323</c:v>
                </c:pt>
                <c:pt idx="150">
                  <c:v>41330</c:v>
                </c:pt>
                <c:pt idx="151">
                  <c:v>41337</c:v>
                </c:pt>
                <c:pt idx="152">
                  <c:v>41344</c:v>
                </c:pt>
                <c:pt idx="153">
                  <c:v>41351</c:v>
                </c:pt>
                <c:pt idx="154">
                  <c:v>41358</c:v>
                </c:pt>
                <c:pt idx="155">
                  <c:v>41365</c:v>
                </c:pt>
                <c:pt idx="156">
                  <c:v>41372</c:v>
                </c:pt>
                <c:pt idx="157">
                  <c:v>41379</c:v>
                </c:pt>
                <c:pt idx="158">
                  <c:v>41386</c:v>
                </c:pt>
                <c:pt idx="159">
                  <c:v>41393</c:v>
                </c:pt>
                <c:pt idx="160">
                  <c:v>41400</c:v>
                </c:pt>
                <c:pt idx="161">
                  <c:v>41407</c:v>
                </c:pt>
                <c:pt idx="162">
                  <c:v>41414</c:v>
                </c:pt>
                <c:pt idx="163">
                  <c:v>41421</c:v>
                </c:pt>
                <c:pt idx="164">
                  <c:v>41428</c:v>
                </c:pt>
                <c:pt idx="165">
                  <c:v>41435</c:v>
                </c:pt>
                <c:pt idx="166">
                  <c:v>41442</c:v>
                </c:pt>
                <c:pt idx="167">
                  <c:v>41449</c:v>
                </c:pt>
                <c:pt idx="168">
                  <c:v>41456</c:v>
                </c:pt>
                <c:pt idx="169">
                  <c:v>41463</c:v>
                </c:pt>
                <c:pt idx="170">
                  <c:v>41470</c:v>
                </c:pt>
                <c:pt idx="171">
                  <c:v>41477</c:v>
                </c:pt>
                <c:pt idx="172">
                  <c:v>41484</c:v>
                </c:pt>
                <c:pt idx="173">
                  <c:v>41491</c:v>
                </c:pt>
                <c:pt idx="174">
                  <c:v>41498</c:v>
                </c:pt>
                <c:pt idx="175">
                  <c:v>41505</c:v>
                </c:pt>
                <c:pt idx="176">
                  <c:v>41512</c:v>
                </c:pt>
                <c:pt idx="177">
                  <c:v>41519</c:v>
                </c:pt>
                <c:pt idx="178">
                  <c:v>41526</c:v>
                </c:pt>
                <c:pt idx="179">
                  <c:v>41533</c:v>
                </c:pt>
                <c:pt idx="180">
                  <c:v>41540</c:v>
                </c:pt>
                <c:pt idx="181">
                  <c:v>41547</c:v>
                </c:pt>
                <c:pt idx="182">
                  <c:v>41554</c:v>
                </c:pt>
                <c:pt idx="183">
                  <c:v>41561</c:v>
                </c:pt>
                <c:pt idx="184">
                  <c:v>41568</c:v>
                </c:pt>
                <c:pt idx="185">
                  <c:v>41575</c:v>
                </c:pt>
                <c:pt idx="186">
                  <c:v>41582</c:v>
                </c:pt>
                <c:pt idx="187">
                  <c:v>41589</c:v>
                </c:pt>
                <c:pt idx="188">
                  <c:v>41596</c:v>
                </c:pt>
                <c:pt idx="189">
                  <c:v>41603</c:v>
                </c:pt>
                <c:pt idx="190">
                  <c:v>41610</c:v>
                </c:pt>
                <c:pt idx="191">
                  <c:v>41617</c:v>
                </c:pt>
                <c:pt idx="192">
                  <c:v>41624</c:v>
                </c:pt>
                <c:pt idx="193">
                  <c:v>41631</c:v>
                </c:pt>
                <c:pt idx="194">
                  <c:v>41638</c:v>
                </c:pt>
                <c:pt idx="195">
                  <c:v>41645</c:v>
                </c:pt>
                <c:pt idx="196">
                  <c:v>41652</c:v>
                </c:pt>
                <c:pt idx="197">
                  <c:v>41659</c:v>
                </c:pt>
                <c:pt idx="198">
                  <c:v>41666</c:v>
                </c:pt>
                <c:pt idx="199">
                  <c:v>41673</c:v>
                </c:pt>
                <c:pt idx="200">
                  <c:v>41680</c:v>
                </c:pt>
                <c:pt idx="201">
                  <c:v>41687</c:v>
                </c:pt>
                <c:pt idx="202">
                  <c:v>41694</c:v>
                </c:pt>
                <c:pt idx="203">
                  <c:v>41701</c:v>
                </c:pt>
                <c:pt idx="204">
                  <c:v>41708</c:v>
                </c:pt>
                <c:pt idx="205">
                  <c:v>41715</c:v>
                </c:pt>
                <c:pt idx="206">
                  <c:v>41722</c:v>
                </c:pt>
                <c:pt idx="207">
                  <c:v>41729</c:v>
                </c:pt>
                <c:pt idx="208">
                  <c:v>41736</c:v>
                </c:pt>
                <c:pt idx="209">
                  <c:v>41743</c:v>
                </c:pt>
                <c:pt idx="210">
                  <c:v>41750</c:v>
                </c:pt>
                <c:pt idx="211">
                  <c:v>41757</c:v>
                </c:pt>
                <c:pt idx="212">
                  <c:v>41764</c:v>
                </c:pt>
                <c:pt idx="213">
                  <c:v>41771</c:v>
                </c:pt>
                <c:pt idx="214">
                  <c:v>41778</c:v>
                </c:pt>
                <c:pt idx="215">
                  <c:v>41785</c:v>
                </c:pt>
                <c:pt idx="216">
                  <c:v>41792</c:v>
                </c:pt>
                <c:pt idx="217">
                  <c:v>41799</c:v>
                </c:pt>
                <c:pt idx="218">
                  <c:v>41806</c:v>
                </c:pt>
                <c:pt idx="219">
                  <c:v>41813</c:v>
                </c:pt>
                <c:pt idx="220">
                  <c:v>41820</c:v>
                </c:pt>
                <c:pt idx="221">
                  <c:v>41827</c:v>
                </c:pt>
                <c:pt idx="222">
                  <c:v>41834</c:v>
                </c:pt>
                <c:pt idx="223">
                  <c:v>41841</c:v>
                </c:pt>
                <c:pt idx="224">
                  <c:v>41848</c:v>
                </c:pt>
                <c:pt idx="225">
                  <c:v>41855</c:v>
                </c:pt>
                <c:pt idx="226">
                  <c:v>41862</c:v>
                </c:pt>
                <c:pt idx="227">
                  <c:v>41869</c:v>
                </c:pt>
                <c:pt idx="228">
                  <c:v>41876</c:v>
                </c:pt>
                <c:pt idx="229">
                  <c:v>41883</c:v>
                </c:pt>
                <c:pt idx="230">
                  <c:v>41890</c:v>
                </c:pt>
                <c:pt idx="231">
                  <c:v>41897</c:v>
                </c:pt>
                <c:pt idx="232">
                  <c:v>41904</c:v>
                </c:pt>
                <c:pt idx="233">
                  <c:v>41911</c:v>
                </c:pt>
                <c:pt idx="234">
                  <c:v>41918</c:v>
                </c:pt>
                <c:pt idx="235">
                  <c:v>41925</c:v>
                </c:pt>
                <c:pt idx="236">
                  <c:v>41932</c:v>
                </c:pt>
                <c:pt idx="237">
                  <c:v>41939</c:v>
                </c:pt>
                <c:pt idx="238">
                  <c:v>41946</c:v>
                </c:pt>
                <c:pt idx="239">
                  <c:v>41953</c:v>
                </c:pt>
                <c:pt idx="240">
                  <c:v>41960</c:v>
                </c:pt>
                <c:pt idx="241">
                  <c:v>41967</c:v>
                </c:pt>
                <c:pt idx="242">
                  <c:v>41974</c:v>
                </c:pt>
                <c:pt idx="243">
                  <c:v>41981</c:v>
                </c:pt>
                <c:pt idx="244">
                  <c:v>41988</c:v>
                </c:pt>
                <c:pt idx="245">
                  <c:v>41995</c:v>
                </c:pt>
                <c:pt idx="246">
                  <c:v>42002</c:v>
                </c:pt>
                <c:pt idx="247">
                  <c:v>42009</c:v>
                </c:pt>
                <c:pt idx="248">
                  <c:v>42016</c:v>
                </c:pt>
                <c:pt idx="249">
                  <c:v>42023</c:v>
                </c:pt>
                <c:pt idx="250">
                  <c:v>42030</c:v>
                </c:pt>
                <c:pt idx="251">
                  <c:v>42037</c:v>
                </c:pt>
                <c:pt idx="252">
                  <c:v>42044</c:v>
                </c:pt>
                <c:pt idx="253">
                  <c:v>42051</c:v>
                </c:pt>
                <c:pt idx="254">
                  <c:v>42058</c:v>
                </c:pt>
                <c:pt idx="255">
                  <c:v>42065</c:v>
                </c:pt>
                <c:pt idx="256">
                  <c:v>42072</c:v>
                </c:pt>
                <c:pt idx="257">
                  <c:v>42079</c:v>
                </c:pt>
                <c:pt idx="258">
                  <c:v>42086</c:v>
                </c:pt>
                <c:pt idx="259">
                  <c:v>42093</c:v>
                </c:pt>
                <c:pt idx="260">
                  <c:v>42100</c:v>
                </c:pt>
                <c:pt idx="261">
                  <c:v>42107</c:v>
                </c:pt>
                <c:pt idx="262">
                  <c:v>42114</c:v>
                </c:pt>
                <c:pt idx="263">
                  <c:v>42121</c:v>
                </c:pt>
                <c:pt idx="264">
                  <c:v>42128</c:v>
                </c:pt>
                <c:pt idx="265">
                  <c:v>42135</c:v>
                </c:pt>
                <c:pt idx="266">
                  <c:v>42142</c:v>
                </c:pt>
                <c:pt idx="267">
                  <c:v>42149</c:v>
                </c:pt>
                <c:pt idx="268">
                  <c:v>42156</c:v>
                </c:pt>
                <c:pt idx="269">
                  <c:v>42163</c:v>
                </c:pt>
                <c:pt idx="270">
                  <c:v>42170</c:v>
                </c:pt>
                <c:pt idx="271">
                  <c:v>42177</c:v>
                </c:pt>
                <c:pt idx="272">
                  <c:v>42184</c:v>
                </c:pt>
                <c:pt idx="273">
                  <c:v>42191</c:v>
                </c:pt>
                <c:pt idx="274">
                  <c:v>42198</c:v>
                </c:pt>
                <c:pt idx="275">
                  <c:v>42205</c:v>
                </c:pt>
                <c:pt idx="276">
                  <c:v>42212</c:v>
                </c:pt>
                <c:pt idx="277">
                  <c:v>42219</c:v>
                </c:pt>
                <c:pt idx="278">
                  <c:v>42226</c:v>
                </c:pt>
                <c:pt idx="279">
                  <c:v>42233</c:v>
                </c:pt>
                <c:pt idx="280">
                  <c:v>42240</c:v>
                </c:pt>
                <c:pt idx="281">
                  <c:v>42247</c:v>
                </c:pt>
                <c:pt idx="282">
                  <c:v>42254</c:v>
                </c:pt>
                <c:pt idx="283">
                  <c:v>42261</c:v>
                </c:pt>
                <c:pt idx="284">
                  <c:v>42268</c:v>
                </c:pt>
                <c:pt idx="285">
                  <c:v>42275</c:v>
                </c:pt>
                <c:pt idx="286">
                  <c:v>42282</c:v>
                </c:pt>
                <c:pt idx="287">
                  <c:v>42289</c:v>
                </c:pt>
                <c:pt idx="288">
                  <c:v>42296</c:v>
                </c:pt>
                <c:pt idx="289">
                  <c:v>42303</c:v>
                </c:pt>
                <c:pt idx="290">
                  <c:v>42310</c:v>
                </c:pt>
                <c:pt idx="291">
                  <c:v>42317</c:v>
                </c:pt>
                <c:pt idx="292">
                  <c:v>42324</c:v>
                </c:pt>
                <c:pt idx="293">
                  <c:v>42331</c:v>
                </c:pt>
                <c:pt idx="294">
                  <c:v>42338</c:v>
                </c:pt>
                <c:pt idx="295">
                  <c:v>42345</c:v>
                </c:pt>
                <c:pt idx="296">
                  <c:v>42352</c:v>
                </c:pt>
                <c:pt idx="297">
                  <c:v>42359</c:v>
                </c:pt>
                <c:pt idx="298">
                  <c:v>42366</c:v>
                </c:pt>
                <c:pt idx="299">
                  <c:v>42373</c:v>
                </c:pt>
                <c:pt idx="300">
                  <c:v>42380</c:v>
                </c:pt>
                <c:pt idx="301">
                  <c:v>42387</c:v>
                </c:pt>
                <c:pt idx="302">
                  <c:v>42394</c:v>
                </c:pt>
                <c:pt idx="303">
                  <c:v>42401</c:v>
                </c:pt>
                <c:pt idx="304">
                  <c:v>42408</c:v>
                </c:pt>
                <c:pt idx="305">
                  <c:v>42415</c:v>
                </c:pt>
                <c:pt idx="306">
                  <c:v>42422</c:v>
                </c:pt>
                <c:pt idx="307">
                  <c:v>42429</c:v>
                </c:pt>
                <c:pt idx="308">
                  <c:v>42436</c:v>
                </c:pt>
                <c:pt idx="309">
                  <c:v>42443</c:v>
                </c:pt>
                <c:pt idx="310">
                  <c:v>42450</c:v>
                </c:pt>
                <c:pt idx="311">
                  <c:v>42457</c:v>
                </c:pt>
                <c:pt idx="312">
                  <c:v>42464</c:v>
                </c:pt>
                <c:pt idx="313">
                  <c:v>42471</c:v>
                </c:pt>
                <c:pt idx="314">
                  <c:v>42478</c:v>
                </c:pt>
                <c:pt idx="315">
                  <c:v>42485</c:v>
                </c:pt>
                <c:pt idx="316">
                  <c:v>42492</c:v>
                </c:pt>
                <c:pt idx="317">
                  <c:v>42499</c:v>
                </c:pt>
                <c:pt idx="318">
                  <c:v>42506</c:v>
                </c:pt>
                <c:pt idx="319">
                  <c:v>42513</c:v>
                </c:pt>
                <c:pt idx="320">
                  <c:v>42520</c:v>
                </c:pt>
                <c:pt idx="321">
                  <c:v>42527</c:v>
                </c:pt>
                <c:pt idx="322">
                  <c:v>42534</c:v>
                </c:pt>
                <c:pt idx="323">
                  <c:v>42541</c:v>
                </c:pt>
                <c:pt idx="324">
                  <c:v>42548</c:v>
                </c:pt>
                <c:pt idx="325">
                  <c:v>42555</c:v>
                </c:pt>
                <c:pt idx="326">
                  <c:v>42562</c:v>
                </c:pt>
                <c:pt idx="327">
                  <c:v>42569</c:v>
                </c:pt>
                <c:pt idx="328">
                  <c:v>42576</c:v>
                </c:pt>
                <c:pt idx="329">
                  <c:v>42583</c:v>
                </c:pt>
                <c:pt idx="330">
                  <c:v>42590</c:v>
                </c:pt>
                <c:pt idx="331">
                  <c:v>42597</c:v>
                </c:pt>
                <c:pt idx="332">
                  <c:v>42604</c:v>
                </c:pt>
                <c:pt idx="333">
                  <c:v>42611</c:v>
                </c:pt>
                <c:pt idx="334">
                  <c:v>42618</c:v>
                </c:pt>
                <c:pt idx="335">
                  <c:v>42625</c:v>
                </c:pt>
                <c:pt idx="336">
                  <c:v>42632</c:v>
                </c:pt>
                <c:pt idx="337">
                  <c:v>42639</c:v>
                </c:pt>
                <c:pt idx="338">
                  <c:v>42646</c:v>
                </c:pt>
                <c:pt idx="339">
                  <c:v>42653</c:v>
                </c:pt>
                <c:pt idx="340">
                  <c:v>42660</c:v>
                </c:pt>
                <c:pt idx="341">
                  <c:v>42667</c:v>
                </c:pt>
                <c:pt idx="342">
                  <c:v>42674</c:v>
                </c:pt>
                <c:pt idx="343">
                  <c:v>42681</c:v>
                </c:pt>
                <c:pt idx="344">
                  <c:v>42688</c:v>
                </c:pt>
                <c:pt idx="345">
                  <c:v>42695</c:v>
                </c:pt>
                <c:pt idx="346">
                  <c:v>42702</c:v>
                </c:pt>
                <c:pt idx="347">
                  <c:v>42709</c:v>
                </c:pt>
                <c:pt idx="348">
                  <c:v>42716</c:v>
                </c:pt>
                <c:pt idx="349">
                  <c:v>42723</c:v>
                </c:pt>
                <c:pt idx="350">
                  <c:v>42730</c:v>
                </c:pt>
                <c:pt idx="351">
                  <c:v>42737</c:v>
                </c:pt>
                <c:pt idx="352">
                  <c:v>42744</c:v>
                </c:pt>
                <c:pt idx="353">
                  <c:v>42751</c:v>
                </c:pt>
                <c:pt idx="354">
                  <c:v>42758</c:v>
                </c:pt>
                <c:pt idx="355">
                  <c:v>42765</c:v>
                </c:pt>
                <c:pt idx="356">
                  <c:v>42772</c:v>
                </c:pt>
                <c:pt idx="357">
                  <c:v>42779</c:v>
                </c:pt>
                <c:pt idx="358">
                  <c:v>42786</c:v>
                </c:pt>
                <c:pt idx="359">
                  <c:v>42793</c:v>
                </c:pt>
                <c:pt idx="360">
                  <c:v>42800</c:v>
                </c:pt>
                <c:pt idx="361">
                  <c:v>42807</c:v>
                </c:pt>
                <c:pt idx="362">
                  <c:v>42814</c:v>
                </c:pt>
                <c:pt idx="363">
                  <c:v>42821</c:v>
                </c:pt>
                <c:pt idx="364">
                  <c:v>42828</c:v>
                </c:pt>
                <c:pt idx="365">
                  <c:v>42835</c:v>
                </c:pt>
                <c:pt idx="366">
                  <c:v>42842</c:v>
                </c:pt>
                <c:pt idx="367">
                  <c:v>42849</c:v>
                </c:pt>
                <c:pt idx="368">
                  <c:v>42856</c:v>
                </c:pt>
                <c:pt idx="369">
                  <c:v>42863</c:v>
                </c:pt>
                <c:pt idx="370">
                  <c:v>42870</c:v>
                </c:pt>
                <c:pt idx="371">
                  <c:v>42877</c:v>
                </c:pt>
                <c:pt idx="372">
                  <c:v>42884</c:v>
                </c:pt>
                <c:pt idx="373">
                  <c:v>42891</c:v>
                </c:pt>
                <c:pt idx="374">
                  <c:v>42898</c:v>
                </c:pt>
                <c:pt idx="375">
                  <c:v>42905</c:v>
                </c:pt>
                <c:pt idx="376">
                  <c:v>42912</c:v>
                </c:pt>
                <c:pt idx="377">
                  <c:v>42919</c:v>
                </c:pt>
                <c:pt idx="378">
                  <c:v>42926</c:v>
                </c:pt>
                <c:pt idx="379">
                  <c:v>42933</c:v>
                </c:pt>
                <c:pt idx="380">
                  <c:v>42940</c:v>
                </c:pt>
                <c:pt idx="381">
                  <c:v>42947</c:v>
                </c:pt>
                <c:pt idx="382">
                  <c:v>42954</c:v>
                </c:pt>
                <c:pt idx="383">
                  <c:v>42961</c:v>
                </c:pt>
                <c:pt idx="384">
                  <c:v>42968</c:v>
                </c:pt>
                <c:pt idx="385">
                  <c:v>42975</c:v>
                </c:pt>
                <c:pt idx="386">
                  <c:v>42982</c:v>
                </c:pt>
                <c:pt idx="387">
                  <c:v>42989</c:v>
                </c:pt>
                <c:pt idx="388">
                  <c:v>42996</c:v>
                </c:pt>
                <c:pt idx="389">
                  <c:v>43003</c:v>
                </c:pt>
                <c:pt idx="390">
                  <c:v>43010</c:v>
                </c:pt>
                <c:pt idx="391">
                  <c:v>43017</c:v>
                </c:pt>
                <c:pt idx="392">
                  <c:v>43024</c:v>
                </c:pt>
                <c:pt idx="393">
                  <c:v>43031</c:v>
                </c:pt>
                <c:pt idx="394">
                  <c:v>43038</c:v>
                </c:pt>
                <c:pt idx="395">
                  <c:v>43045</c:v>
                </c:pt>
                <c:pt idx="396">
                  <c:v>43052</c:v>
                </c:pt>
                <c:pt idx="397">
                  <c:v>43059</c:v>
                </c:pt>
                <c:pt idx="398">
                  <c:v>43066</c:v>
                </c:pt>
                <c:pt idx="399">
                  <c:v>43073</c:v>
                </c:pt>
                <c:pt idx="400">
                  <c:v>43080</c:v>
                </c:pt>
                <c:pt idx="401">
                  <c:v>43087</c:v>
                </c:pt>
                <c:pt idx="402">
                  <c:v>43094</c:v>
                </c:pt>
                <c:pt idx="403">
                  <c:v>43101</c:v>
                </c:pt>
                <c:pt idx="404">
                  <c:v>43108</c:v>
                </c:pt>
                <c:pt idx="405">
                  <c:v>43115</c:v>
                </c:pt>
                <c:pt idx="406">
                  <c:v>43122</c:v>
                </c:pt>
                <c:pt idx="407">
                  <c:v>43129</c:v>
                </c:pt>
                <c:pt idx="408">
                  <c:v>43136</c:v>
                </c:pt>
                <c:pt idx="409">
                  <c:v>43143</c:v>
                </c:pt>
                <c:pt idx="410">
                  <c:v>43150</c:v>
                </c:pt>
                <c:pt idx="411">
                  <c:v>43157</c:v>
                </c:pt>
                <c:pt idx="412">
                  <c:v>43164</c:v>
                </c:pt>
                <c:pt idx="413">
                  <c:v>43171</c:v>
                </c:pt>
                <c:pt idx="414">
                  <c:v>43178</c:v>
                </c:pt>
                <c:pt idx="415">
                  <c:v>43185</c:v>
                </c:pt>
                <c:pt idx="416">
                  <c:v>43192</c:v>
                </c:pt>
                <c:pt idx="417">
                  <c:v>43199</c:v>
                </c:pt>
                <c:pt idx="418">
                  <c:v>43206</c:v>
                </c:pt>
                <c:pt idx="419">
                  <c:v>43213</c:v>
                </c:pt>
                <c:pt idx="420">
                  <c:v>43220</c:v>
                </c:pt>
                <c:pt idx="421">
                  <c:v>43227</c:v>
                </c:pt>
                <c:pt idx="422">
                  <c:v>43234</c:v>
                </c:pt>
                <c:pt idx="423">
                  <c:v>43241</c:v>
                </c:pt>
                <c:pt idx="424">
                  <c:v>43248</c:v>
                </c:pt>
                <c:pt idx="425">
                  <c:v>43255</c:v>
                </c:pt>
                <c:pt idx="426">
                  <c:v>43262</c:v>
                </c:pt>
                <c:pt idx="427">
                  <c:v>43269</c:v>
                </c:pt>
                <c:pt idx="428">
                  <c:v>43276</c:v>
                </c:pt>
                <c:pt idx="429">
                  <c:v>43283</c:v>
                </c:pt>
                <c:pt idx="430">
                  <c:v>43290</c:v>
                </c:pt>
                <c:pt idx="431">
                  <c:v>43297</c:v>
                </c:pt>
                <c:pt idx="432">
                  <c:v>43304</c:v>
                </c:pt>
                <c:pt idx="433">
                  <c:v>43311</c:v>
                </c:pt>
                <c:pt idx="434">
                  <c:v>43318</c:v>
                </c:pt>
                <c:pt idx="435">
                  <c:v>43325</c:v>
                </c:pt>
                <c:pt idx="436">
                  <c:v>43332</c:v>
                </c:pt>
                <c:pt idx="437">
                  <c:v>43339</c:v>
                </c:pt>
                <c:pt idx="438">
                  <c:v>43346</c:v>
                </c:pt>
                <c:pt idx="439">
                  <c:v>43353</c:v>
                </c:pt>
                <c:pt idx="440">
                  <c:v>43360</c:v>
                </c:pt>
                <c:pt idx="441">
                  <c:v>43367</c:v>
                </c:pt>
                <c:pt idx="442">
                  <c:v>43374</c:v>
                </c:pt>
                <c:pt idx="443">
                  <c:v>43381</c:v>
                </c:pt>
                <c:pt idx="444">
                  <c:v>43388</c:v>
                </c:pt>
                <c:pt idx="445">
                  <c:v>43395</c:v>
                </c:pt>
                <c:pt idx="446">
                  <c:v>43402</c:v>
                </c:pt>
                <c:pt idx="447">
                  <c:v>43409</c:v>
                </c:pt>
                <c:pt idx="448">
                  <c:v>43416</c:v>
                </c:pt>
                <c:pt idx="449">
                  <c:v>43423</c:v>
                </c:pt>
                <c:pt idx="450">
                  <c:v>43430</c:v>
                </c:pt>
                <c:pt idx="451">
                  <c:v>43437</c:v>
                </c:pt>
                <c:pt idx="452">
                  <c:v>43444</c:v>
                </c:pt>
                <c:pt idx="453">
                  <c:v>43451</c:v>
                </c:pt>
                <c:pt idx="454">
                  <c:v>43458</c:v>
                </c:pt>
                <c:pt idx="455">
                  <c:v>43465</c:v>
                </c:pt>
                <c:pt idx="456">
                  <c:v>43472</c:v>
                </c:pt>
                <c:pt idx="457">
                  <c:v>43479</c:v>
                </c:pt>
                <c:pt idx="458">
                  <c:v>43486</c:v>
                </c:pt>
                <c:pt idx="459">
                  <c:v>43493</c:v>
                </c:pt>
                <c:pt idx="460">
                  <c:v>43500</c:v>
                </c:pt>
                <c:pt idx="461">
                  <c:v>43507</c:v>
                </c:pt>
                <c:pt idx="462">
                  <c:v>43514</c:v>
                </c:pt>
                <c:pt idx="463">
                  <c:v>43521</c:v>
                </c:pt>
                <c:pt idx="464">
                  <c:v>43528</c:v>
                </c:pt>
                <c:pt idx="465">
                  <c:v>43535</c:v>
                </c:pt>
                <c:pt idx="466">
                  <c:v>43542</c:v>
                </c:pt>
                <c:pt idx="467">
                  <c:v>43549</c:v>
                </c:pt>
                <c:pt idx="468">
                  <c:v>43556</c:v>
                </c:pt>
                <c:pt idx="469">
                  <c:v>43563</c:v>
                </c:pt>
                <c:pt idx="470">
                  <c:v>43570</c:v>
                </c:pt>
                <c:pt idx="471">
                  <c:v>43577</c:v>
                </c:pt>
                <c:pt idx="472">
                  <c:v>43584</c:v>
                </c:pt>
                <c:pt idx="473">
                  <c:v>43591</c:v>
                </c:pt>
                <c:pt idx="474">
                  <c:v>43598</c:v>
                </c:pt>
                <c:pt idx="475">
                  <c:v>43605</c:v>
                </c:pt>
                <c:pt idx="476">
                  <c:v>43612</c:v>
                </c:pt>
                <c:pt idx="477">
                  <c:v>43619</c:v>
                </c:pt>
                <c:pt idx="478">
                  <c:v>43626</c:v>
                </c:pt>
                <c:pt idx="479">
                  <c:v>43633</c:v>
                </c:pt>
                <c:pt idx="480">
                  <c:v>43640</c:v>
                </c:pt>
                <c:pt idx="481">
                  <c:v>43647</c:v>
                </c:pt>
                <c:pt idx="482">
                  <c:v>43654</c:v>
                </c:pt>
                <c:pt idx="483">
                  <c:v>43661</c:v>
                </c:pt>
                <c:pt idx="484">
                  <c:v>43668</c:v>
                </c:pt>
                <c:pt idx="485">
                  <c:v>43675</c:v>
                </c:pt>
                <c:pt idx="486">
                  <c:v>43682</c:v>
                </c:pt>
                <c:pt idx="487">
                  <c:v>43689</c:v>
                </c:pt>
                <c:pt idx="488">
                  <c:v>43696</c:v>
                </c:pt>
                <c:pt idx="489">
                  <c:v>43703</c:v>
                </c:pt>
                <c:pt idx="490">
                  <c:v>43710</c:v>
                </c:pt>
                <c:pt idx="491">
                  <c:v>43717</c:v>
                </c:pt>
                <c:pt idx="492">
                  <c:v>43724</c:v>
                </c:pt>
                <c:pt idx="493">
                  <c:v>43731</c:v>
                </c:pt>
                <c:pt idx="494">
                  <c:v>43738</c:v>
                </c:pt>
                <c:pt idx="495">
                  <c:v>43745</c:v>
                </c:pt>
                <c:pt idx="496">
                  <c:v>43752</c:v>
                </c:pt>
                <c:pt idx="497">
                  <c:v>43759</c:v>
                </c:pt>
                <c:pt idx="498">
                  <c:v>43766</c:v>
                </c:pt>
                <c:pt idx="499">
                  <c:v>43773</c:v>
                </c:pt>
                <c:pt idx="500">
                  <c:v>43780</c:v>
                </c:pt>
                <c:pt idx="501">
                  <c:v>43787</c:v>
                </c:pt>
                <c:pt idx="502">
                  <c:v>43794</c:v>
                </c:pt>
                <c:pt idx="503">
                  <c:v>43801</c:v>
                </c:pt>
                <c:pt idx="504">
                  <c:v>43808</c:v>
                </c:pt>
                <c:pt idx="505">
                  <c:v>43815</c:v>
                </c:pt>
                <c:pt idx="506">
                  <c:v>43822</c:v>
                </c:pt>
                <c:pt idx="507">
                  <c:v>43829</c:v>
                </c:pt>
                <c:pt idx="508">
                  <c:v>43836</c:v>
                </c:pt>
                <c:pt idx="509">
                  <c:v>43843</c:v>
                </c:pt>
                <c:pt idx="510">
                  <c:v>43850</c:v>
                </c:pt>
                <c:pt idx="511">
                  <c:v>43857</c:v>
                </c:pt>
                <c:pt idx="512">
                  <c:v>43864</c:v>
                </c:pt>
                <c:pt idx="513">
                  <c:v>43871</c:v>
                </c:pt>
                <c:pt idx="514">
                  <c:v>43878</c:v>
                </c:pt>
                <c:pt idx="515">
                  <c:v>43885</c:v>
                </c:pt>
                <c:pt idx="516">
                  <c:v>43892</c:v>
                </c:pt>
                <c:pt idx="517">
                  <c:v>43899</c:v>
                </c:pt>
                <c:pt idx="518">
                  <c:v>43906</c:v>
                </c:pt>
                <c:pt idx="519">
                  <c:v>43913</c:v>
                </c:pt>
                <c:pt idx="520">
                  <c:v>43920</c:v>
                </c:pt>
                <c:pt idx="521">
                  <c:v>43927</c:v>
                </c:pt>
                <c:pt idx="522">
                  <c:v>43934</c:v>
                </c:pt>
                <c:pt idx="523">
                  <c:v>43941</c:v>
                </c:pt>
                <c:pt idx="524">
                  <c:v>43948</c:v>
                </c:pt>
                <c:pt idx="525">
                  <c:v>43955</c:v>
                </c:pt>
                <c:pt idx="526">
                  <c:v>43962</c:v>
                </c:pt>
                <c:pt idx="527">
                  <c:v>43969</c:v>
                </c:pt>
                <c:pt idx="528">
                  <c:v>43976</c:v>
                </c:pt>
                <c:pt idx="529">
                  <c:v>43983</c:v>
                </c:pt>
                <c:pt idx="530">
                  <c:v>43990</c:v>
                </c:pt>
                <c:pt idx="531">
                  <c:v>43997</c:v>
                </c:pt>
                <c:pt idx="532">
                  <c:v>44004</c:v>
                </c:pt>
                <c:pt idx="533">
                  <c:v>44011</c:v>
                </c:pt>
                <c:pt idx="534">
                  <c:v>44018</c:v>
                </c:pt>
                <c:pt idx="535">
                  <c:v>44025</c:v>
                </c:pt>
                <c:pt idx="536">
                  <c:v>44032</c:v>
                </c:pt>
                <c:pt idx="537">
                  <c:v>44039</c:v>
                </c:pt>
                <c:pt idx="538">
                  <c:v>44046</c:v>
                </c:pt>
                <c:pt idx="539">
                  <c:v>44053</c:v>
                </c:pt>
                <c:pt idx="540">
                  <c:v>44060</c:v>
                </c:pt>
                <c:pt idx="541">
                  <c:v>44067</c:v>
                </c:pt>
                <c:pt idx="542">
                  <c:v>44074</c:v>
                </c:pt>
                <c:pt idx="543">
                  <c:v>44081</c:v>
                </c:pt>
                <c:pt idx="544">
                  <c:v>44088</c:v>
                </c:pt>
                <c:pt idx="545">
                  <c:v>44095</c:v>
                </c:pt>
                <c:pt idx="546">
                  <c:v>44102</c:v>
                </c:pt>
                <c:pt idx="547">
                  <c:v>44109</c:v>
                </c:pt>
                <c:pt idx="548">
                  <c:v>44116</c:v>
                </c:pt>
                <c:pt idx="549">
                  <c:v>44123</c:v>
                </c:pt>
                <c:pt idx="550">
                  <c:v>44130</c:v>
                </c:pt>
                <c:pt idx="551">
                  <c:v>44137</c:v>
                </c:pt>
                <c:pt idx="552">
                  <c:v>44144</c:v>
                </c:pt>
                <c:pt idx="553">
                  <c:v>44151</c:v>
                </c:pt>
                <c:pt idx="554">
                  <c:v>44158</c:v>
                </c:pt>
                <c:pt idx="555">
                  <c:v>44165</c:v>
                </c:pt>
                <c:pt idx="556">
                  <c:v>44172</c:v>
                </c:pt>
                <c:pt idx="557">
                  <c:v>44179</c:v>
                </c:pt>
                <c:pt idx="558">
                  <c:v>44186</c:v>
                </c:pt>
                <c:pt idx="559">
                  <c:v>44193</c:v>
                </c:pt>
                <c:pt idx="560">
                  <c:v>44200</c:v>
                </c:pt>
                <c:pt idx="561">
                  <c:v>44207</c:v>
                </c:pt>
                <c:pt idx="562">
                  <c:v>44214</c:v>
                </c:pt>
                <c:pt idx="563">
                  <c:v>44221</c:v>
                </c:pt>
                <c:pt idx="564">
                  <c:v>44228</c:v>
                </c:pt>
                <c:pt idx="565">
                  <c:v>44235</c:v>
                </c:pt>
                <c:pt idx="566">
                  <c:v>44242</c:v>
                </c:pt>
                <c:pt idx="567">
                  <c:v>44249</c:v>
                </c:pt>
                <c:pt idx="568">
                  <c:v>44256</c:v>
                </c:pt>
                <c:pt idx="569">
                  <c:v>44266</c:v>
                </c:pt>
                <c:pt idx="570">
                  <c:v>44273</c:v>
                </c:pt>
                <c:pt idx="571">
                  <c:v>44280</c:v>
                </c:pt>
                <c:pt idx="572">
                  <c:v>44287</c:v>
                </c:pt>
                <c:pt idx="573">
                  <c:v>44294</c:v>
                </c:pt>
                <c:pt idx="574">
                  <c:v>44301</c:v>
                </c:pt>
                <c:pt idx="575">
                  <c:v>44308</c:v>
                </c:pt>
                <c:pt idx="576">
                  <c:v>44315</c:v>
                </c:pt>
                <c:pt idx="577">
                  <c:v>44322</c:v>
                </c:pt>
                <c:pt idx="578">
                  <c:v>44329</c:v>
                </c:pt>
                <c:pt idx="579">
                  <c:v>44336</c:v>
                </c:pt>
                <c:pt idx="580">
                  <c:v>44343</c:v>
                </c:pt>
                <c:pt idx="581">
                  <c:v>44350</c:v>
                </c:pt>
                <c:pt idx="582">
                  <c:v>44357</c:v>
                </c:pt>
                <c:pt idx="583">
                  <c:v>44364</c:v>
                </c:pt>
                <c:pt idx="584">
                  <c:v>44371</c:v>
                </c:pt>
                <c:pt idx="585">
                  <c:v>44378</c:v>
                </c:pt>
                <c:pt idx="586">
                  <c:v>44385</c:v>
                </c:pt>
                <c:pt idx="587">
                  <c:v>44392</c:v>
                </c:pt>
                <c:pt idx="588">
                  <c:v>44399</c:v>
                </c:pt>
                <c:pt idx="589">
                  <c:v>44406</c:v>
                </c:pt>
                <c:pt idx="590">
                  <c:v>44413</c:v>
                </c:pt>
                <c:pt idx="591">
                  <c:v>44420</c:v>
                </c:pt>
                <c:pt idx="592">
                  <c:v>44427</c:v>
                </c:pt>
                <c:pt idx="593">
                  <c:v>44434</c:v>
                </c:pt>
                <c:pt idx="594">
                  <c:v>44441</c:v>
                </c:pt>
                <c:pt idx="595">
                  <c:v>44448</c:v>
                </c:pt>
                <c:pt idx="596">
                  <c:v>44455</c:v>
                </c:pt>
                <c:pt idx="597">
                  <c:v>44462</c:v>
                </c:pt>
                <c:pt idx="598">
                  <c:v>44469</c:v>
                </c:pt>
                <c:pt idx="599">
                  <c:v>44476</c:v>
                </c:pt>
                <c:pt idx="600">
                  <c:v>44483</c:v>
                </c:pt>
                <c:pt idx="601">
                  <c:v>44490</c:v>
                </c:pt>
                <c:pt idx="602">
                  <c:v>44497</c:v>
                </c:pt>
                <c:pt idx="603">
                  <c:v>44504</c:v>
                </c:pt>
                <c:pt idx="604">
                  <c:v>44511</c:v>
                </c:pt>
                <c:pt idx="605">
                  <c:v>44518</c:v>
                </c:pt>
                <c:pt idx="606">
                  <c:v>44525</c:v>
                </c:pt>
                <c:pt idx="607">
                  <c:v>44532</c:v>
                </c:pt>
                <c:pt idx="608">
                  <c:v>44539</c:v>
                </c:pt>
                <c:pt idx="609">
                  <c:v>44546</c:v>
                </c:pt>
                <c:pt idx="610">
                  <c:v>44553</c:v>
                </c:pt>
                <c:pt idx="611">
                  <c:v>44560</c:v>
                </c:pt>
                <c:pt idx="612">
                  <c:v>44567</c:v>
                </c:pt>
                <c:pt idx="613">
                  <c:v>44574</c:v>
                </c:pt>
                <c:pt idx="614">
                  <c:v>44581</c:v>
                </c:pt>
                <c:pt idx="615">
                  <c:v>44588</c:v>
                </c:pt>
                <c:pt idx="616">
                  <c:v>44595</c:v>
                </c:pt>
                <c:pt idx="617">
                  <c:v>44602</c:v>
                </c:pt>
                <c:pt idx="618">
                  <c:v>44609</c:v>
                </c:pt>
                <c:pt idx="619">
                  <c:v>44616</c:v>
                </c:pt>
                <c:pt idx="620">
                  <c:v>44623</c:v>
                </c:pt>
                <c:pt idx="621">
                  <c:v>44630</c:v>
                </c:pt>
                <c:pt idx="622">
                  <c:v>44637</c:v>
                </c:pt>
                <c:pt idx="623">
                  <c:v>44644</c:v>
                </c:pt>
                <c:pt idx="624">
                  <c:v>44651</c:v>
                </c:pt>
                <c:pt idx="625">
                  <c:v>44658</c:v>
                </c:pt>
                <c:pt idx="626">
                  <c:v>44665</c:v>
                </c:pt>
                <c:pt idx="627">
                  <c:v>44672</c:v>
                </c:pt>
                <c:pt idx="628">
                  <c:v>44679</c:v>
                </c:pt>
                <c:pt idx="629">
                  <c:v>44686</c:v>
                </c:pt>
                <c:pt idx="630">
                  <c:v>44693</c:v>
                </c:pt>
                <c:pt idx="631">
                  <c:v>44700</c:v>
                </c:pt>
                <c:pt idx="632">
                  <c:v>44707</c:v>
                </c:pt>
                <c:pt idx="633">
                  <c:v>44714</c:v>
                </c:pt>
                <c:pt idx="634">
                  <c:v>44721</c:v>
                </c:pt>
                <c:pt idx="635">
                  <c:v>44728</c:v>
                </c:pt>
                <c:pt idx="636">
                  <c:v>44735</c:v>
                </c:pt>
                <c:pt idx="637">
                  <c:v>44742</c:v>
                </c:pt>
                <c:pt idx="638">
                  <c:v>44749</c:v>
                </c:pt>
                <c:pt idx="639">
                  <c:v>44756</c:v>
                </c:pt>
                <c:pt idx="640">
                  <c:v>44763</c:v>
                </c:pt>
                <c:pt idx="641">
                  <c:v>44770</c:v>
                </c:pt>
                <c:pt idx="642">
                  <c:v>44777</c:v>
                </c:pt>
                <c:pt idx="643">
                  <c:v>44784</c:v>
                </c:pt>
                <c:pt idx="644">
                  <c:v>44791</c:v>
                </c:pt>
                <c:pt idx="645">
                  <c:v>44798</c:v>
                </c:pt>
                <c:pt idx="646">
                  <c:v>44805</c:v>
                </c:pt>
                <c:pt idx="647">
                  <c:v>44812</c:v>
                </c:pt>
                <c:pt idx="648">
                  <c:v>44819</c:v>
                </c:pt>
                <c:pt idx="649">
                  <c:v>44826</c:v>
                </c:pt>
                <c:pt idx="650">
                  <c:v>44833</c:v>
                </c:pt>
                <c:pt idx="651">
                  <c:v>44840</c:v>
                </c:pt>
                <c:pt idx="652">
                  <c:v>44847</c:v>
                </c:pt>
                <c:pt idx="653">
                  <c:v>44854</c:v>
                </c:pt>
                <c:pt idx="654">
                  <c:v>44861</c:v>
                </c:pt>
                <c:pt idx="655">
                  <c:v>44868</c:v>
                </c:pt>
                <c:pt idx="656">
                  <c:v>44875</c:v>
                </c:pt>
                <c:pt idx="657">
                  <c:v>44882</c:v>
                </c:pt>
                <c:pt idx="658">
                  <c:v>44889</c:v>
                </c:pt>
                <c:pt idx="659">
                  <c:v>44896</c:v>
                </c:pt>
                <c:pt idx="660">
                  <c:v>44903</c:v>
                </c:pt>
                <c:pt idx="661">
                  <c:v>44910</c:v>
                </c:pt>
                <c:pt idx="662">
                  <c:v>44917</c:v>
                </c:pt>
                <c:pt idx="663">
                  <c:v>44924</c:v>
                </c:pt>
                <c:pt idx="664">
                  <c:v>44931</c:v>
                </c:pt>
                <c:pt idx="665">
                  <c:v>44938</c:v>
                </c:pt>
                <c:pt idx="666">
                  <c:v>44945</c:v>
                </c:pt>
                <c:pt idx="667">
                  <c:v>44952</c:v>
                </c:pt>
                <c:pt idx="668">
                  <c:v>44959</c:v>
                </c:pt>
                <c:pt idx="669">
                  <c:v>44966</c:v>
                </c:pt>
                <c:pt idx="670">
                  <c:v>44973</c:v>
                </c:pt>
                <c:pt idx="671">
                  <c:v>44980</c:v>
                </c:pt>
                <c:pt idx="672">
                  <c:v>44987</c:v>
                </c:pt>
                <c:pt idx="673">
                  <c:v>44994</c:v>
                </c:pt>
                <c:pt idx="674">
                  <c:v>45001</c:v>
                </c:pt>
                <c:pt idx="675">
                  <c:v>45008</c:v>
                </c:pt>
                <c:pt idx="676">
                  <c:v>45015</c:v>
                </c:pt>
                <c:pt idx="677">
                  <c:v>45022</c:v>
                </c:pt>
                <c:pt idx="678">
                  <c:v>45029</c:v>
                </c:pt>
                <c:pt idx="679">
                  <c:v>45036</c:v>
                </c:pt>
                <c:pt idx="680">
                  <c:v>45043</c:v>
                </c:pt>
                <c:pt idx="681">
                  <c:v>45050</c:v>
                </c:pt>
                <c:pt idx="682">
                  <c:v>45057</c:v>
                </c:pt>
                <c:pt idx="683">
                  <c:v>45064</c:v>
                </c:pt>
                <c:pt idx="684">
                  <c:v>45071</c:v>
                </c:pt>
                <c:pt idx="685">
                  <c:v>45078</c:v>
                </c:pt>
                <c:pt idx="686">
                  <c:v>45085</c:v>
                </c:pt>
                <c:pt idx="687">
                  <c:v>45092</c:v>
                </c:pt>
                <c:pt idx="688">
                  <c:v>45099</c:v>
                </c:pt>
                <c:pt idx="689">
                  <c:v>45106</c:v>
                </c:pt>
                <c:pt idx="690">
                  <c:v>45113</c:v>
                </c:pt>
                <c:pt idx="691">
                  <c:v>45120</c:v>
                </c:pt>
                <c:pt idx="692">
                  <c:v>45127</c:v>
                </c:pt>
                <c:pt idx="693">
                  <c:v>45134</c:v>
                </c:pt>
                <c:pt idx="694">
                  <c:v>45141</c:v>
                </c:pt>
                <c:pt idx="695">
                  <c:v>45148</c:v>
                </c:pt>
                <c:pt idx="696">
                  <c:v>45155</c:v>
                </c:pt>
                <c:pt idx="697">
                  <c:v>45162</c:v>
                </c:pt>
                <c:pt idx="698">
                  <c:v>45169</c:v>
                </c:pt>
                <c:pt idx="699">
                  <c:v>45176</c:v>
                </c:pt>
                <c:pt idx="700">
                  <c:v>45183</c:v>
                </c:pt>
                <c:pt idx="701">
                  <c:v>45189</c:v>
                </c:pt>
                <c:pt idx="702">
                  <c:v>45196</c:v>
                </c:pt>
                <c:pt idx="703">
                  <c:v>45210</c:v>
                </c:pt>
                <c:pt idx="704">
                  <c:v>45217</c:v>
                </c:pt>
                <c:pt idx="705">
                  <c:v>45224</c:v>
                </c:pt>
                <c:pt idx="706">
                  <c:v>45231</c:v>
                </c:pt>
                <c:pt idx="707">
                  <c:v>45238</c:v>
                </c:pt>
                <c:pt idx="708">
                  <c:v>45245</c:v>
                </c:pt>
                <c:pt idx="709">
                  <c:v>45252</c:v>
                </c:pt>
                <c:pt idx="710">
                  <c:v>45259</c:v>
                </c:pt>
                <c:pt idx="711">
                  <c:v>45266</c:v>
                </c:pt>
                <c:pt idx="712">
                  <c:v>45273</c:v>
                </c:pt>
                <c:pt idx="713">
                  <c:v>45280</c:v>
                </c:pt>
                <c:pt idx="714">
                  <c:v>45289</c:v>
                </c:pt>
                <c:pt idx="715">
                  <c:v>45294</c:v>
                </c:pt>
                <c:pt idx="716">
                  <c:v>45301</c:v>
                </c:pt>
                <c:pt idx="717">
                  <c:v>45308</c:v>
                </c:pt>
                <c:pt idx="718">
                  <c:v>45315</c:v>
                </c:pt>
                <c:pt idx="719">
                  <c:v>45322</c:v>
                </c:pt>
                <c:pt idx="720">
                  <c:v>45329</c:v>
                </c:pt>
                <c:pt idx="721">
                  <c:v>45334</c:v>
                </c:pt>
                <c:pt idx="722">
                  <c:v>45350</c:v>
                </c:pt>
                <c:pt idx="723">
                  <c:v>45366</c:v>
                </c:pt>
                <c:pt idx="724">
                  <c:v>45373</c:v>
                </c:pt>
                <c:pt idx="725">
                  <c:v>45380</c:v>
                </c:pt>
                <c:pt idx="726">
                  <c:v>45387</c:v>
                </c:pt>
                <c:pt idx="727">
                  <c:v>45394</c:v>
                </c:pt>
                <c:pt idx="728">
                  <c:v>45401</c:v>
                </c:pt>
                <c:pt idx="729">
                  <c:v>45408</c:v>
                </c:pt>
                <c:pt idx="730">
                  <c:v>45415</c:v>
                </c:pt>
                <c:pt idx="731">
                  <c:v>45422</c:v>
                </c:pt>
                <c:pt idx="732">
                  <c:v>45429</c:v>
                </c:pt>
                <c:pt idx="733">
                  <c:v>45436</c:v>
                </c:pt>
                <c:pt idx="734">
                  <c:v>45443</c:v>
                </c:pt>
                <c:pt idx="735">
                  <c:v>45450</c:v>
                </c:pt>
                <c:pt idx="736">
                  <c:v>45457</c:v>
                </c:pt>
                <c:pt idx="737">
                  <c:v>45464</c:v>
                </c:pt>
                <c:pt idx="738">
                  <c:v>45471</c:v>
                </c:pt>
                <c:pt idx="739">
                  <c:v>45478</c:v>
                </c:pt>
                <c:pt idx="740">
                  <c:v>45485</c:v>
                </c:pt>
                <c:pt idx="741">
                  <c:v>45492</c:v>
                </c:pt>
                <c:pt idx="742">
                  <c:v>45499</c:v>
                </c:pt>
                <c:pt idx="743">
                  <c:v>45506</c:v>
                </c:pt>
                <c:pt idx="744">
                  <c:v>45513</c:v>
                </c:pt>
                <c:pt idx="745">
                  <c:v>45520</c:v>
                </c:pt>
                <c:pt idx="746">
                  <c:v>45527</c:v>
                </c:pt>
                <c:pt idx="747">
                  <c:v>45534</c:v>
                </c:pt>
                <c:pt idx="748">
                  <c:v>45541</c:v>
                </c:pt>
                <c:pt idx="749">
                  <c:v>45548</c:v>
                </c:pt>
                <c:pt idx="750">
                  <c:v>45555</c:v>
                </c:pt>
                <c:pt idx="751">
                  <c:v>45562</c:v>
                </c:pt>
                <c:pt idx="752">
                  <c:v>45569</c:v>
                </c:pt>
                <c:pt idx="753">
                  <c:v>45576</c:v>
                </c:pt>
                <c:pt idx="754">
                  <c:v>45583</c:v>
                </c:pt>
                <c:pt idx="755">
                  <c:v>45590</c:v>
                </c:pt>
                <c:pt idx="756">
                  <c:v>45609</c:v>
                </c:pt>
                <c:pt idx="757">
                  <c:v>45616</c:v>
                </c:pt>
                <c:pt idx="758">
                  <c:v>45623</c:v>
                </c:pt>
                <c:pt idx="759">
                  <c:v>45630</c:v>
                </c:pt>
                <c:pt idx="760">
                  <c:v>45637</c:v>
                </c:pt>
                <c:pt idx="761">
                  <c:v>45644</c:v>
                </c:pt>
                <c:pt idx="762">
                  <c:v>45651</c:v>
                </c:pt>
                <c:pt idx="763">
                  <c:v>45658</c:v>
                </c:pt>
                <c:pt idx="764">
                  <c:v>45665</c:v>
                </c:pt>
                <c:pt idx="765">
                  <c:v>45672</c:v>
                </c:pt>
                <c:pt idx="766">
                  <c:v>45679</c:v>
                </c:pt>
                <c:pt idx="767">
                  <c:v>45686</c:v>
                </c:pt>
                <c:pt idx="768">
                  <c:v>45693</c:v>
                </c:pt>
                <c:pt idx="769">
                  <c:v>45700</c:v>
                </c:pt>
                <c:pt idx="770">
                  <c:v>45707</c:v>
                </c:pt>
                <c:pt idx="771">
                  <c:v>45714</c:v>
                </c:pt>
              </c:numCache>
            </c:numRef>
          </c:cat>
          <c:val>
            <c:numRef>
              <c:f>'China Weekly'!$S$2:$S$774</c:f>
              <c:numCache>
                <c:formatCode>#,##0.00_);[Red]\(#,##0.00\)</c:formatCode>
                <c:ptCount val="773"/>
                <c:pt idx="0">
                  <c:v>74.75</c:v>
                </c:pt>
                <c:pt idx="1">
                  <c:v>74.75</c:v>
                </c:pt>
                <c:pt idx="2">
                  <c:v>74.75</c:v>
                </c:pt>
                <c:pt idx="3">
                  <c:v>118.3</c:v>
                </c:pt>
                <c:pt idx="4">
                  <c:v>79.05</c:v>
                </c:pt>
                <c:pt idx="5">
                  <c:v>47.75</c:v>
                </c:pt>
                <c:pt idx="6">
                  <c:v>-40</c:v>
                </c:pt>
                <c:pt idx="7">
                  <c:v>-60.65</c:v>
                </c:pt>
                <c:pt idx="8">
                  <c:v>-119.8</c:v>
                </c:pt>
                <c:pt idx="9">
                  <c:v>-119.8</c:v>
                </c:pt>
                <c:pt idx="10">
                  <c:v>-9.15</c:v>
                </c:pt>
                <c:pt idx="11">
                  <c:v>-17</c:v>
                </c:pt>
                <c:pt idx="12">
                  <c:v>22.25</c:v>
                </c:pt>
                <c:pt idx="13">
                  <c:v>118.5</c:v>
                </c:pt>
                <c:pt idx="14">
                  <c:v>118.5</c:v>
                </c:pt>
                <c:pt idx="15">
                  <c:v>130.30000000000001</c:v>
                </c:pt>
                <c:pt idx="16">
                  <c:v>198.1</c:v>
                </c:pt>
                <c:pt idx="17">
                  <c:v>149.5</c:v>
                </c:pt>
                <c:pt idx="18">
                  <c:v>175</c:v>
                </c:pt>
                <c:pt idx="19">
                  <c:v>165.75</c:v>
                </c:pt>
                <c:pt idx="20">
                  <c:v>165.75</c:v>
                </c:pt>
                <c:pt idx="21">
                  <c:v>65.75</c:v>
                </c:pt>
                <c:pt idx="22">
                  <c:v>6.5</c:v>
                </c:pt>
                <c:pt idx="23">
                  <c:v>6.5</c:v>
                </c:pt>
                <c:pt idx="24">
                  <c:v>215.25</c:v>
                </c:pt>
                <c:pt idx="25">
                  <c:v>310</c:v>
                </c:pt>
                <c:pt idx="26">
                  <c:v>381.75</c:v>
                </c:pt>
                <c:pt idx="27">
                  <c:v>274</c:v>
                </c:pt>
                <c:pt idx="28">
                  <c:v>131</c:v>
                </c:pt>
                <c:pt idx="29">
                  <c:v>339</c:v>
                </c:pt>
                <c:pt idx="30">
                  <c:v>407.5</c:v>
                </c:pt>
                <c:pt idx="31">
                  <c:v>407.5</c:v>
                </c:pt>
                <c:pt idx="32">
                  <c:v>60.5</c:v>
                </c:pt>
                <c:pt idx="33">
                  <c:v>-17.5</c:v>
                </c:pt>
                <c:pt idx="34">
                  <c:v>-17.5</c:v>
                </c:pt>
                <c:pt idx="35">
                  <c:v>-29</c:v>
                </c:pt>
                <c:pt idx="36">
                  <c:v>118</c:v>
                </c:pt>
                <c:pt idx="37">
                  <c:v>118</c:v>
                </c:pt>
                <c:pt idx="38">
                  <c:v>224.7</c:v>
                </c:pt>
                <c:pt idx="39">
                  <c:v>96.75</c:v>
                </c:pt>
                <c:pt idx="40">
                  <c:v>48.25</c:v>
                </c:pt>
                <c:pt idx="41">
                  <c:v>57.5</c:v>
                </c:pt>
                <c:pt idx="42">
                  <c:v>57.5</c:v>
                </c:pt>
                <c:pt idx="43">
                  <c:v>165.15</c:v>
                </c:pt>
                <c:pt idx="44">
                  <c:v>183.75</c:v>
                </c:pt>
                <c:pt idx="45">
                  <c:v>38.25</c:v>
                </c:pt>
                <c:pt idx="46">
                  <c:v>6.75</c:v>
                </c:pt>
                <c:pt idx="47">
                  <c:v>19.75</c:v>
                </c:pt>
                <c:pt idx="48">
                  <c:v>-91.55</c:v>
                </c:pt>
                <c:pt idx="49">
                  <c:v>-50.8</c:v>
                </c:pt>
                <c:pt idx="50">
                  <c:v>-27.25</c:v>
                </c:pt>
                <c:pt idx="51">
                  <c:v>-150.05000000000001</c:v>
                </c:pt>
                <c:pt idx="52">
                  <c:v>-68.55</c:v>
                </c:pt>
                <c:pt idx="53">
                  <c:v>-87.05</c:v>
                </c:pt>
                <c:pt idx="54">
                  <c:v>-26.3</c:v>
                </c:pt>
                <c:pt idx="55">
                  <c:v>-26.3</c:v>
                </c:pt>
                <c:pt idx="56">
                  <c:v>-51.25</c:v>
                </c:pt>
                <c:pt idx="57">
                  <c:v>-88.25</c:v>
                </c:pt>
                <c:pt idx="58">
                  <c:v>-88.25</c:v>
                </c:pt>
                <c:pt idx="59">
                  <c:v>-88.25</c:v>
                </c:pt>
                <c:pt idx="60">
                  <c:v>-88.25</c:v>
                </c:pt>
                <c:pt idx="61">
                  <c:v>104.45</c:v>
                </c:pt>
                <c:pt idx="62">
                  <c:v>85.95</c:v>
                </c:pt>
                <c:pt idx="63">
                  <c:v>101.65</c:v>
                </c:pt>
                <c:pt idx="64">
                  <c:v>101.65</c:v>
                </c:pt>
                <c:pt idx="65">
                  <c:v>-22.75</c:v>
                </c:pt>
                <c:pt idx="66">
                  <c:v>-95</c:v>
                </c:pt>
                <c:pt idx="67">
                  <c:v>-67.25</c:v>
                </c:pt>
                <c:pt idx="68">
                  <c:v>-77.349999999999994</c:v>
                </c:pt>
                <c:pt idx="69">
                  <c:v>-118</c:v>
                </c:pt>
                <c:pt idx="70">
                  <c:v>-150.80000000000001</c:v>
                </c:pt>
                <c:pt idx="71">
                  <c:v>-145.25</c:v>
                </c:pt>
                <c:pt idx="72">
                  <c:v>-17.7</c:v>
                </c:pt>
                <c:pt idx="73">
                  <c:v>-54.7</c:v>
                </c:pt>
                <c:pt idx="74">
                  <c:v>-54.7</c:v>
                </c:pt>
                <c:pt idx="75">
                  <c:v>-93.95</c:v>
                </c:pt>
                <c:pt idx="76">
                  <c:v>-178.55</c:v>
                </c:pt>
                <c:pt idx="77">
                  <c:v>-262.64999999999998</c:v>
                </c:pt>
                <c:pt idx="78">
                  <c:v>-262.64999999999998</c:v>
                </c:pt>
                <c:pt idx="79">
                  <c:v>-143.30000000000001</c:v>
                </c:pt>
                <c:pt idx="80">
                  <c:v>-183.95</c:v>
                </c:pt>
                <c:pt idx="81">
                  <c:v>-232.45</c:v>
                </c:pt>
                <c:pt idx="82">
                  <c:v>-313.75</c:v>
                </c:pt>
                <c:pt idx="83">
                  <c:v>-323</c:v>
                </c:pt>
                <c:pt idx="84">
                  <c:v>-320.64999999999998</c:v>
                </c:pt>
                <c:pt idx="85">
                  <c:v>-366.9</c:v>
                </c:pt>
                <c:pt idx="86">
                  <c:v>-366.9</c:v>
                </c:pt>
                <c:pt idx="87">
                  <c:v>-226.05</c:v>
                </c:pt>
                <c:pt idx="88">
                  <c:v>5.3</c:v>
                </c:pt>
                <c:pt idx="89">
                  <c:v>48.25</c:v>
                </c:pt>
                <c:pt idx="90">
                  <c:v>110.2</c:v>
                </c:pt>
                <c:pt idx="91">
                  <c:v>110.2</c:v>
                </c:pt>
                <c:pt idx="92">
                  <c:v>114.5</c:v>
                </c:pt>
                <c:pt idx="93">
                  <c:v>114.5</c:v>
                </c:pt>
                <c:pt idx="94">
                  <c:v>168.55</c:v>
                </c:pt>
                <c:pt idx="95">
                  <c:v>168.55</c:v>
                </c:pt>
                <c:pt idx="96">
                  <c:v>162.80000000000001</c:v>
                </c:pt>
                <c:pt idx="97">
                  <c:v>162.80000000000001</c:v>
                </c:pt>
                <c:pt idx="98">
                  <c:v>162.80000000000001</c:v>
                </c:pt>
                <c:pt idx="99">
                  <c:v>132.6</c:v>
                </c:pt>
                <c:pt idx="100">
                  <c:v>169.6</c:v>
                </c:pt>
                <c:pt idx="101">
                  <c:v>171</c:v>
                </c:pt>
                <c:pt idx="102">
                  <c:v>319.2</c:v>
                </c:pt>
                <c:pt idx="103">
                  <c:v>501.7</c:v>
                </c:pt>
                <c:pt idx="104">
                  <c:v>486</c:v>
                </c:pt>
                <c:pt idx="105">
                  <c:v>401.8</c:v>
                </c:pt>
                <c:pt idx="106">
                  <c:v>258.14999999999998</c:v>
                </c:pt>
                <c:pt idx="107">
                  <c:v>201.8</c:v>
                </c:pt>
                <c:pt idx="108">
                  <c:v>116.3</c:v>
                </c:pt>
                <c:pt idx="109">
                  <c:v>-20.5</c:v>
                </c:pt>
                <c:pt idx="110">
                  <c:v>-45.45</c:v>
                </c:pt>
                <c:pt idx="111">
                  <c:v>-123.1</c:v>
                </c:pt>
                <c:pt idx="112">
                  <c:v>-211.5</c:v>
                </c:pt>
                <c:pt idx="113">
                  <c:v>-211.5</c:v>
                </c:pt>
                <c:pt idx="114">
                  <c:v>-161.69999999999999</c:v>
                </c:pt>
                <c:pt idx="115">
                  <c:v>-33.299999999999997</c:v>
                </c:pt>
                <c:pt idx="116">
                  <c:v>49.3</c:v>
                </c:pt>
                <c:pt idx="117">
                  <c:v>49.3</c:v>
                </c:pt>
                <c:pt idx="118">
                  <c:v>234.75</c:v>
                </c:pt>
                <c:pt idx="119">
                  <c:v>96.55</c:v>
                </c:pt>
                <c:pt idx="120">
                  <c:v>130.25</c:v>
                </c:pt>
                <c:pt idx="121">
                  <c:v>152.69999999999999</c:v>
                </c:pt>
                <c:pt idx="122">
                  <c:v>160.75</c:v>
                </c:pt>
                <c:pt idx="123">
                  <c:v>250</c:v>
                </c:pt>
                <c:pt idx="124">
                  <c:v>313.3</c:v>
                </c:pt>
                <c:pt idx="125">
                  <c:v>380.8</c:v>
                </c:pt>
                <c:pt idx="126">
                  <c:v>380.8</c:v>
                </c:pt>
                <c:pt idx="127">
                  <c:v>320.85000000000002</c:v>
                </c:pt>
                <c:pt idx="128">
                  <c:v>266.55</c:v>
                </c:pt>
                <c:pt idx="130">
                  <c:v>26.7</c:v>
                </c:pt>
                <c:pt idx="131">
                  <c:v>-449.25</c:v>
                </c:pt>
                <c:pt idx="132">
                  <c:v>-425.3</c:v>
                </c:pt>
                <c:pt idx="133">
                  <c:v>-509.4</c:v>
                </c:pt>
                <c:pt idx="134">
                  <c:v>-575.5</c:v>
                </c:pt>
                <c:pt idx="135">
                  <c:v>-724</c:v>
                </c:pt>
                <c:pt idx="136">
                  <c:v>-862.4</c:v>
                </c:pt>
                <c:pt idx="137">
                  <c:v>-645.9</c:v>
                </c:pt>
                <c:pt idx="138">
                  <c:v>-436.25</c:v>
                </c:pt>
                <c:pt idx="139">
                  <c:v>-317.75</c:v>
                </c:pt>
                <c:pt idx="140">
                  <c:v>-88.75</c:v>
                </c:pt>
                <c:pt idx="141">
                  <c:v>-135.19999999999999</c:v>
                </c:pt>
                <c:pt idx="142">
                  <c:v>-329.6</c:v>
                </c:pt>
                <c:pt idx="143">
                  <c:v>-337.65</c:v>
                </c:pt>
                <c:pt idx="144">
                  <c:v>-306.7</c:v>
                </c:pt>
                <c:pt idx="145">
                  <c:v>-257.85000000000002</c:v>
                </c:pt>
                <c:pt idx="146">
                  <c:v>22.9</c:v>
                </c:pt>
                <c:pt idx="147">
                  <c:v>22.9</c:v>
                </c:pt>
                <c:pt idx="148">
                  <c:v>22.9</c:v>
                </c:pt>
                <c:pt idx="149">
                  <c:v>86.1</c:v>
                </c:pt>
                <c:pt idx="150">
                  <c:v>153.5</c:v>
                </c:pt>
                <c:pt idx="151">
                  <c:v>160.35</c:v>
                </c:pt>
                <c:pt idx="152">
                  <c:v>186</c:v>
                </c:pt>
                <c:pt idx="153">
                  <c:v>123.65</c:v>
                </c:pt>
                <c:pt idx="154">
                  <c:v>65.400000000000006</c:v>
                </c:pt>
                <c:pt idx="155">
                  <c:v>-101.6</c:v>
                </c:pt>
                <c:pt idx="156">
                  <c:v>-42.35</c:v>
                </c:pt>
                <c:pt idx="157">
                  <c:v>-44.75</c:v>
                </c:pt>
                <c:pt idx="158">
                  <c:v>-72.7</c:v>
                </c:pt>
                <c:pt idx="159">
                  <c:v>-104.9</c:v>
                </c:pt>
                <c:pt idx="160">
                  <c:v>-76.400000000000006</c:v>
                </c:pt>
                <c:pt idx="161">
                  <c:v>-41</c:v>
                </c:pt>
                <c:pt idx="162">
                  <c:v>48.75</c:v>
                </c:pt>
                <c:pt idx="163">
                  <c:v>129.25</c:v>
                </c:pt>
                <c:pt idx="164">
                  <c:v>25.65</c:v>
                </c:pt>
                <c:pt idx="165">
                  <c:v>25.65</c:v>
                </c:pt>
                <c:pt idx="166">
                  <c:v>-20.25</c:v>
                </c:pt>
                <c:pt idx="167">
                  <c:v>-159.5</c:v>
                </c:pt>
                <c:pt idx="168">
                  <c:v>-32.700000000000003</c:v>
                </c:pt>
                <c:pt idx="169">
                  <c:v>87.35</c:v>
                </c:pt>
                <c:pt idx="170">
                  <c:v>68.849999999999994</c:v>
                </c:pt>
                <c:pt idx="171">
                  <c:v>113.3</c:v>
                </c:pt>
                <c:pt idx="172">
                  <c:v>90.15</c:v>
                </c:pt>
                <c:pt idx="173">
                  <c:v>19.399999999999999</c:v>
                </c:pt>
                <c:pt idx="174">
                  <c:v>102.3</c:v>
                </c:pt>
                <c:pt idx="175">
                  <c:v>264.5</c:v>
                </c:pt>
                <c:pt idx="176">
                  <c:v>321.25</c:v>
                </c:pt>
                <c:pt idx="177">
                  <c:v>295.89999999999998</c:v>
                </c:pt>
                <c:pt idx="178">
                  <c:v>277.32</c:v>
                </c:pt>
                <c:pt idx="179">
                  <c:v>227.8</c:v>
                </c:pt>
                <c:pt idx="180">
                  <c:v>209.3</c:v>
                </c:pt>
                <c:pt idx="181">
                  <c:v>209.3</c:v>
                </c:pt>
                <c:pt idx="182">
                  <c:v>185.25</c:v>
                </c:pt>
                <c:pt idx="183">
                  <c:v>213</c:v>
                </c:pt>
                <c:pt idx="184">
                  <c:v>180.8</c:v>
                </c:pt>
                <c:pt idx="185">
                  <c:v>92.25</c:v>
                </c:pt>
                <c:pt idx="186">
                  <c:v>70.05</c:v>
                </c:pt>
                <c:pt idx="187">
                  <c:v>151.75</c:v>
                </c:pt>
                <c:pt idx="188">
                  <c:v>152.30000000000001</c:v>
                </c:pt>
                <c:pt idx="189">
                  <c:v>342.55</c:v>
                </c:pt>
                <c:pt idx="190">
                  <c:v>366.6</c:v>
                </c:pt>
                <c:pt idx="191">
                  <c:v>391.25</c:v>
                </c:pt>
                <c:pt idx="192">
                  <c:v>332.5</c:v>
                </c:pt>
                <c:pt idx="193">
                  <c:v>257.64999999999998</c:v>
                </c:pt>
                <c:pt idx="194">
                  <c:v>260.64999999999998</c:v>
                </c:pt>
                <c:pt idx="195">
                  <c:v>190.15</c:v>
                </c:pt>
                <c:pt idx="196">
                  <c:v>107.25</c:v>
                </c:pt>
                <c:pt idx="197">
                  <c:v>107.25</c:v>
                </c:pt>
                <c:pt idx="198">
                  <c:v>107.25</c:v>
                </c:pt>
                <c:pt idx="199">
                  <c:v>36</c:v>
                </c:pt>
                <c:pt idx="200">
                  <c:v>36</c:v>
                </c:pt>
                <c:pt idx="201">
                  <c:v>30.45</c:v>
                </c:pt>
                <c:pt idx="202">
                  <c:v>-113.5</c:v>
                </c:pt>
                <c:pt idx="203">
                  <c:v>-168.65</c:v>
                </c:pt>
                <c:pt idx="204">
                  <c:v>-239.9</c:v>
                </c:pt>
                <c:pt idx="205">
                  <c:v>-336.5</c:v>
                </c:pt>
                <c:pt idx="206">
                  <c:v>-283.75</c:v>
                </c:pt>
                <c:pt idx="207">
                  <c:v>-67.7</c:v>
                </c:pt>
                <c:pt idx="208">
                  <c:v>-244.5</c:v>
                </c:pt>
                <c:pt idx="209">
                  <c:v>-244.5</c:v>
                </c:pt>
                <c:pt idx="210">
                  <c:v>-244.5</c:v>
                </c:pt>
                <c:pt idx="211">
                  <c:v>-126.15</c:v>
                </c:pt>
                <c:pt idx="212">
                  <c:v>-201</c:v>
                </c:pt>
                <c:pt idx="213">
                  <c:v>-244.65</c:v>
                </c:pt>
                <c:pt idx="214">
                  <c:v>-189.5</c:v>
                </c:pt>
                <c:pt idx="215">
                  <c:v>-189.5</c:v>
                </c:pt>
                <c:pt idx="216">
                  <c:v>-288.5</c:v>
                </c:pt>
                <c:pt idx="217">
                  <c:v>-179.25</c:v>
                </c:pt>
                <c:pt idx="218">
                  <c:v>-179.25</c:v>
                </c:pt>
                <c:pt idx="219">
                  <c:v>-187.3</c:v>
                </c:pt>
                <c:pt idx="220">
                  <c:v>-230.65</c:v>
                </c:pt>
                <c:pt idx="221">
                  <c:v>-321.60000000000002</c:v>
                </c:pt>
                <c:pt idx="222">
                  <c:v>-364.25</c:v>
                </c:pt>
                <c:pt idx="223">
                  <c:v>-332.75</c:v>
                </c:pt>
                <c:pt idx="224">
                  <c:v>-292.5</c:v>
                </c:pt>
                <c:pt idx="225">
                  <c:v>-332.75</c:v>
                </c:pt>
                <c:pt idx="226">
                  <c:v>-348.85</c:v>
                </c:pt>
                <c:pt idx="227">
                  <c:v>-258.10000000000002</c:v>
                </c:pt>
                <c:pt idx="228">
                  <c:v>-269.75</c:v>
                </c:pt>
                <c:pt idx="229">
                  <c:v>-303.14999999999998</c:v>
                </c:pt>
                <c:pt idx="230">
                  <c:v>-334.15</c:v>
                </c:pt>
                <c:pt idx="231">
                  <c:v>-334.15</c:v>
                </c:pt>
                <c:pt idx="232">
                  <c:v>-84.15</c:v>
                </c:pt>
                <c:pt idx="233">
                  <c:v>-84.15</c:v>
                </c:pt>
                <c:pt idx="234">
                  <c:v>-25.4</c:v>
                </c:pt>
                <c:pt idx="235">
                  <c:v>58</c:v>
                </c:pt>
                <c:pt idx="236">
                  <c:v>98.75</c:v>
                </c:pt>
                <c:pt idx="237">
                  <c:v>182.15</c:v>
                </c:pt>
                <c:pt idx="238">
                  <c:v>159.85</c:v>
                </c:pt>
                <c:pt idx="239">
                  <c:v>235.7</c:v>
                </c:pt>
                <c:pt idx="240">
                  <c:v>155.05000000000001</c:v>
                </c:pt>
                <c:pt idx="241">
                  <c:v>138.94999999999999</c:v>
                </c:pt>
                <c:pt idx="242">
                  <c:v>102.45</c:v>
                </c:pt>
                <c:pt idx="243">
                  <c:v>102.45</c:v>
                </c:pt>
                <c:pt idx="244">
                  <c:v>161.19999999999999</c:v>
                </c:pt>
                <c:pt idx="245">
                  <c:v>161.19999999999999</c:v>
                </c:pt>
                <c:pt idx="246">
                  <c:v>177.3</c:v>
                </c:pt>
                <c:pt idx="247">
                  <c:v>237.05</c:v>
                </c:pt>
                <c:pt idx="248">
                  <c:v>110.75</c:v>
                </c:pt>
                <c:pt idx="249">
                  <c:v>70.5</c:v>
                </c:pt>
                <c:pt idx="250">
                  <c:v>92.75</c:v>
                </c:pt>
                <c:pt idx="251">
                  <c:v>45.1</c:v>
                </c:pt>
                <c:pt idx="252">
                  <c:v>95.1</c:v>
                </c:pt>
                <c:pt idx="253">
                  <c:v>95.1</c:v>
                </c:pt>
                <c:pt idx="254">
                  <c:v>223.9</c:v>
                </c:pt>
                <c:pt idx="255">
                  <c:v>255.45</c:v>
                </c:pt>
                <c:pt idx="256">
                  <c:v>231.3</c:v>
                </c:pt>
                <c:pt idx="257">
                  <c:v>192.25</c:v>
                </c:pt>
                <c:pt idx="258">
                  <c:v>176.15</c:v>
                </c:pt>
                <c:pt idx="259">
                  <c:v>162.44999999999999</c:v>
                </c:pt>
                <c:pt idx="260">
                  <c:v>114.15</c:v>
                </c:pt>
                <c:pt idx="261">
                  <c:v>85.55</c:v>
                </c:pt>
                <c:pt idx="262">
                  <c:v>45.3</c:v>
                </c:pt>
                <c:pt idx="263">
                  <c:v>109.7</c:v>
                </c:pt>
                <c:pt idx="264">
                  <c:v>137.44999999999999</c:v>
                </c:pt>
                <c:pt idx="265">
                  <c:v>124.25</c:v>
                </c:pt>
                <c:pt idx="266">
                  <c:v>59.85</c:v>
                </c:pt>
                <c:pt idx="267">
                  <c:v>-42.75</c:v>
                </c:pt>
                <c:pt idx="268">
                  <c:v>-36.75</c:v>
                </c:pt>
                <c:pt idx="269">
                  <c:v>13.05</c:v>
                </c:pt>
                <c:pt idx="270">
                  <c:v>-3.05</c:v>
                </c:pt>
                <c:pt idx="271">
                  <c:v>77.45</c:v>
                </c:pt>
                <c:pt idx="272">
                  <c:v>139.44999999999999</c:v>
                </c:pt>
                <c:pt idx="273">
                  <c:v>177.3</c:v>
                </c:pt>
                <c:pt idx="274">
                  <c:v>177.3</c:v>
                </c:pt>
                <c:pt idx="275">
                  <c:v>177.3</c:v>
                </c:pt>
                <c:pt idx="276">
                  <c:v>143.9</c:v>
                </c:pt>
                <c:pt idx="277">
                  <c:v>110.5</c:v>
                </c:pt>
                <c:pt idx="278">
                  <c:v>185.35</c:v>
                </c:pt>
                <c:pt idx="279">
                  <c:v>153.15</c:v>
                </c:pt>
                <c:pt idx="280">
                  <c:v>118.55</c:v>
                </c:pt>
                <c:pt idx="281">
                  <c:v>118.55</c:v>
                </c:pt>
                <c:pt idx="282">
                  <c:v>94.4</c:v>
                </c:pt>
                <c:pt idx="283">
                  <c:v>126.6</c:v>
                </c:pt>
                <c:pt idx="284">
                  <c:v>101.25</c:v>
                </c:pt>
                <c:pt idx="285">
                  <c:v>110.5</c:v>
                </c:pt>
                <c:pt idx="286">
                  <c:v>110.5</c:v>
                </c:pt>
                <c:pt idx="287">
                  <c:v>185.35</c:v>
                </c:pt>
                <c:pt idx="288">
                  <c:v>194.6</c:v>
                </c:pt>
                <c:pt idx="289">
                  <c:v>185.35</c:v>
                </c:pt>
                <c:pt idx="290">
                  <c:v>120.95</c:v>
                </c:pt>
                <c:pt idx="291">
                  <c:v>88.75</c:v>
                </c:pt>
                <c:pt idx="292">
                  <c:v>-1</c:v>
                </c:pt>
                <c:pt idx="293">
                  <c:v>111.85</c:v>
                </c:pt>
                <c:pt idx="294">
                  <c:v>146.44999999999999</c:v>
                </c:pt>
                <c:pt idx="295">
                  <c:v>113.05</c:v>
                </c:pt>
                <c:pt idx="296">
                  <c:v>105</c:v>
                </c:pt>
                <c:pt idx="297">
                  <c:v>114.25</c:v>
                </c:pt>
                <c:pt idx="298">
                  <c:v>114.25</c:v>
                </c:pt>
                <c:pt idx="299">
                  <c:v>88.4</c:v>
                </c:pt>
                <c:pt idx="300">
                  <c:v>71.099999999999994</c:v>
                </c:pt>
                <c:pt idx="301">
                  <c:v>131.1</c:v>
                </c:pt>
                <c:pt idx="302">
                  <c:v>128.19999999999999</c:v>
                </c:pt>
                <c:pt idx="303">
                  <c:v>128.19999999999999</c:v>
                </c:pt>
                <c:pt idx="305">
                  <c:v>172.05</c:v>
                </c:pt>
                <c:pt idx="306">
                  <c:v>82.3</c:v>
                </c:pt>
                <c:pt idx="307">
                  <c:v>36.5</c:v>
                </c:pt>
                <c:pt idx="308">
                  <c:v>34</c:v>
                </c:pt>
                <c:pt idx="309">
                  <c:v>36.4</c:v>
                </c:pt>
                <c:pt idx="310">
                  <c:v>36.4</c:v>
                </c:pt>
                <c:pt idx="311">
                  <c:v>89.5</c:v>
                </c:pt>
                <c:pt idx="312">
                  <c:v>89.5</c:v>
                </c:pt>
                <c:pt idx="313">
                  <c:v>108</c:v>
                </c:pt>
                <c:pt idx="314">
                  <c:v>328.45</c:v>
                </c:pt>
                <c:pt idx="315">
                  <c:v>328.45</c:v>
                </c:pt>
                <c:pt idx="316">
                  <c:v>220.4</c:v>
                </c:pt>
                <c:pt idx="317">
                  <c:v>275.75</c:v>
                </c:pt>
                <c:pt idx="318">
                  <c:v>364.3</c:v>
                </c:pt>
                <c:pt idx="319">
                  <c:v>290.3</c:v>
                </c:pt>
                <c:pt idx="320">
                  <c:v>454.9</c:v>
                </c:pt>
                <c:pt idx="321">
                  <c:v>544.65</c:v>
                </c:pt>
                <c:pt idx="322">
                  <c:v>661.8</c:v>
                </c:pt>
                <c:pt idx="323">
                  <c:v>635.25</c:v>
                </c:pt>
                <c:pt idx="324">
                  <c:v>548.65</c:v>
                </c:pt>
                <c:pt idx="325">
                  <c:v>492.3</c:v>
                </c:pt>
                <c:pt idx="326">
                  <c:v>19.649999999999999</c:v>
                </c:pt>
                <c:pt idx="327">
                  <c:v>-126.45</c:v>
                </c:pt>
                <c:pt idx="328">
                  <c:v>-159.85</c:v>
                </c:pt>
                <c:pt idx="329">
                  <c:v>-231.1</c:v>
                </c:pt>
                <c:pt idx="330">
                  <c:v>-164.3</c:v>
                </c:pt>
                <c:pt idx="331">
                  <c:v>-112</c:v>
                </c:pt>
                <c:pt idx="332">
                  <c:v>-95.8</c:v>
                </c:pt>
                <c:pt idx="333">
                  <c:v>-119.95</c:v>
                </c:pt>
                <c:pt idx="334">
                  <c:v>-63</c:v>
                </c:pt>
                <c:pt idx="335">
                  <c:v>-63</c:v>
                </c:pt>
                <c:pt idx="336">
                  <c:v>-31</c:v>
                </c:pt>
                <c:pt idx="337">
                  <c:v>-11</c:v>
                </c:pt>
                <c:pt idx="338">
                  <c:v>-11</c:v>
                </c:pt>
                <c:pt idx="339">
                  <c:v>-2</c:v>
                </c:pt>
                <c:pt idx="340">
                  <c:v>16</c:v>
                </c:pt>
                <c:pt idx="341">
                  <c:v>88.95</c:v>
                </c:pt>
                <c:pt idx="342">
                  <c:v>35</c:v>
                </c:pt>
                <c:pt idx="343">
                  <c:v>82</c:v>
                </c:pt>
                <c:pt idx="344">
                  <c:v>82</c:v>
                </c:pt>
                <c:pt idx="345">
                  <c:v>238</c:v>
                </c:pt>
                <c:pt idx="346">
                  <c:v>301</c:v>
                </c:pt>
                <c:pt idx="347">
                  <c:v>239</c:v>
                </c:pt>
                <c:pt idx="348">
                  <c:v>494</c:v>
                </c:pt>
                <c:pt idx="349">
                  <c:v>378</c:v>
                </c:pt>
                <c:pt idx="350">
                  <c:v>339</c:v>
                </c:pt>
                <c:pt idx="351">
                  <c:v>339</c:v>
                </c:pt>
                <c:pt idx="352">
                  <c:v>339</c:v>
                </c:pt>
                <c:pt idx="353">
                  <c:v>240</c:v>
                </c:pt>
                <c:pt idx="354">
                  <c:v>240</c:v>
                </c:pt>
                <c:pt idx="355">
                  <c:v>240</c:v>
                </c:pt>
                <c:pt idx="356">
                  <c:v>209</c:v>
                </c:pt>
                <c:pt idx="357">
                  <c:v>200</c:v>
                </c:pt>
                <c:pt idx="358">
                  <c:v>200</c:v>
                </c:pt>
                <c:pt idx="359">
                  <c:v>131</c:v>
                </c:pt>
                <c:pt idx="360">
                  <c:v>85</c:v>
                </c:pt>
                <c:pt idx="361">
                  <c:v>0.45</c:v>
                </c:pt>
                <c:pt idx="362">
                  <c:v>0.45</c:v>
                </c:pt>
                <c:pt idx="363">
                  <c:v>-79</c:v>
                </c:pt>
                <c:pt idx="364">
                  <c:v>-75</c:v>
                </c:pt>
                <c:pt idx="365">
                  <c:v>-46</c:v>
                </c:pt>
                <c:pt idx="366">
                  <c:v>-46</c:v>
                </c:pt>
                <c:pt idx="367">
                  <c:v>-55</c:v>
                </c:pt>
                <c:pt idx="368">
                  <c:v>-24</c:v>
                </c:pt>
                <c:pt idx="369">
                  <c:v>-50</c:v>
                </c:pt>
                <c:pt idx="370">
                  <c:v>-161</c:v>
                </c:pt>
                <c:pt idx="371">
                  <c:v>-71</c:v>
                </c:pt>
                <c:pt idx="372">
                  <c:v>-161</c:v>
                </c:pt>
                <c:pt idx="373">
                  <c:v>-97</c:v>
                </c:pt>
                <c:pt idx="374">
                  <c:v>-136</c:v>
                </c:pt>
                <c:pt idx="375">
                  <c:v>-136</c:v>
                </c:pt>
                <c:pt idx="376">
                  <c:v>-117</c:v>
                </c:pt>
                <c:pt idx="377">
                  <c:v>27.6</c:v>
                </c:pt>
                <c:pt idx="378">
                  <c:v>29.85</c:v>
                </c:pt>
                <c:pt idx="379">
                  <c:v>58</c:v>
                </c:pt>
                <c:pt idx="380">
                  <c:v>74</c:v>
                </c:pt>
                <c:pt idx="381">
                  <c:v>15.5</c:v>
                </c:pt>
                <c:pt idx="382">
                  <c:v>101</c:v>
                </c:pt>
                <c:pt idx="383">
                  <c:v>94</c:v>
                </c:pt>
                <c:pt idx="384">
                  <c:v>141</c:v>
                </c:pt>
                <c:pt idx="385">
                  <c:v>132</c:v>
                </c:pt>
                <c:pt idx="386">
                  <c:v>206</c:v>
                </c:pt>
                <c:pt idx="387">
                  <c:v>171</c:v>
                </c:pt>
                <c:pt idx="388">
                  <c:v>233</c:v>
                </c:pt>
                <c:pt idx="389">
                  <c:v>253</c:v>
                </c:pt>
                <c:pt idx="391">
                  <c:v>333</c:v>
                </c:pt>
                <c:pt idx="392">
                  <c:v>303</c:v>
                </c:pt>
                <c:pt idx="393">
                  <c:v>229</c:v>
                </c:pt>
                <c:pt idx="394">
                  <c:v>229</c:v>
                </c:pt>
                <c:pt idx="395">
                  <c:v>219</c:v>
                </c:pt>
                <c:pt idx="396">
                  <c:v>210</c:v>
                </c:pt>
                <c:pt idx="397">
                  <c:v>211</c:v>
                </c:pt>
                <c:pt idx="398">
                  <c:v>146</c:v>
                </c:pt>
                <c:pt idx="399">
                  <c:v>209</c:v>
                </c:pt>
                <c:pt idx="400">
                  <c:v>142</c:v>
                </c:pt>
                <c:pt idx="401">
                  <c:v>129</c:v>
                </c:pt>
                <c:pt idx="402">
                  <c:v>113</c:v>
                </c:pt>
                <c:pt idx="403">
                  <c:v>132</c:v>
                </c:pt>
                <c:pt idx="404">
                  <c:v>132</c:v>
                </c:pt>
                <c:pt idx="405">
                  <c:v>166</c:v>
                </c:pt>
                <c:pt idx="406">
                  <c:v>166</c:v>
                </c:pt>
                <c:pt idx="407">
                  <c:v>166</c:v>
                </c:pt>
                <c:pt idx="408">
                  <c:v>92</c:v>
                </c:pt>
                <c:pt idx="409">
                  <c:v>92</c:v>
                </c:pt>
                <c:pt idx="410">
                  <c:v>287</c:v>
                </c:pt>
                <c:pt idx="411">
                  <c:v>344</c:v>
                </c:pt>
                <c:pt idx="412">
                  <c:v>344</c:v>
                </c:pt>
                <c:pt idx="413">
                  <c:v>276</c:v>
                </c:pt>
                <c:pt idx="414">
                  <c:v>276</c:v>
                </c:pt>
                <c:pt idx="415">
                  <c:v>276</c:v>
                </c:pt>
                <c:pt idx="416">
                  <c:v>333</c:v>
                </c:pt>
                <c:pt idx="417">
                  <c:v>266</c:v>
                </c:pt>
                <c:pt idx="418">
                  <c:v>207</c:v>
                </c:pt>
                <c:pt idx="419">
                  <c:v>167</c:v>
                </c:pt>
                <c:pt idx="420">
                  <c:v>201</c:v>
                </c:pt>
                <c:pt idx="421">
                  <c:v>106</c:v>
                </c:pt>
                <c:pt idx="422">
                  <c:v>-8</c:v>
                </c:pt>
                <c:pt idx="423">
                  <c:v>92</c:v>
                </c:pt>
                <c:pt idx="424">
                  <c:v>83</c:v>
                </c:pt>
                <c:pt idx="425">
                  <c:v>-53</c:v>
                </c:pt>
                <c:pt idx="426">
                  <c:v>-63</c:v>
                </c:pt>
                <c:pt idx="427">
                  <c:v>95</c:v>
                </c:pt>
                <c:pt idx="428">
                  <c:v>128</c:v>
                </c:pt>
                <c:pt idx="429">
                  <c:v>128</c:v>
                </c:pt>
                <c:pt idx="430">
                  <c:v>140</c:v>
                </c:pt>
                <c:pt idx="431">
                  <c:v>140</c:v>
                </c:pt>
                <c:pt idx="432">
                  <c:v>99</c:v>
                </c:pt>
                <c:pt idx="433">
                  <c:v>69</c:v>
                </c:pt>
                <c:pt idx="434">
                  <c:v>158</c:v>
                </c:pt>
                <c:pt idx="435">
                  <c:v>148</c:v>
                </c:pt>
                <c:pt idx="436">
                  <c:v>78</c:v>
                </c:pt>
                <c:pt idx="437">
                  <c:v>117</c:v>
                </c:pt>
                <c:pt idx="438">
                  <c:v>136</c:v>
                </c:pt>
                <c:pt idx="439">
                  <c:v>157</c:v>
                </c:pt>
                <c:pt idx="440">
                  <c:v>157</c:v>
                </c:pt>
                <c:pt idx="441">
                  <c:v>375</c:v>
                </c:pt>
                <c:pt idx="443">
                  <c:v>364</c:v>
                </c:pt>
                <c:pt idx="444">
                  <c:v>364</c:v>
                </c:pt>
                <c:pt idx="445">
                  <c:v>354</c:v>
                </c:pt>
                <c:pt idx="446">
                  <c:v>124</c:v>
                </c:pt>
                <c:pt idx="447">
                  <c:v>49</c:v>
                </c:pt>
                <c:pt idx="448">
                  <c:v>1.25</c:v>
                </c:pt>
                <c:pt idx="449">
                  <c:v>10</c:v>
                </c:pt>
                <c:pt idx="450">
                  <c:v>-29</c:v>
                </c:pt>
                <c:pt idx="451">
                  <c:v>-29</c:v>
                </c:pt>
                <c:pt idx="452">
                  <c:v>-296</c:v>
                </c:pt>
                <c:pt idx="453">
                  <c:v>-401</c:v>
                </c:pt>
                <c:pt idx="454">
                  <c:v>-450</c:v>
                </c:pt>
                <c:pt idx="455">
                  <c:v>-415</c:v>
                </c:pt>
                <c:pt idx="456">
                  <c:v>-417</c:v>
                </c:pt>
                <c:pt idx="457">
                  <c:v>-207</c:v>
                </c:pt>
                <c:pt idx="458">
                  <c:v>-150</c:v>
                </c:pt>
                <c:pt idx="459">
                  <c:v>-180</c:v>
                </c:pt>
                <c:pt idx="461">
                  <c:v>-220</c:v>
                </c:pt>
                <c:pt idx="462">
                  <c:v>-250</c:v>
                </c:pt>
                <c:pt idx="463">
                  <c:v>-190</c:v>
                </c:pt>
                <c:pt idx="464">
                  <c:v>-201</c:v>
                </c:pt>
                <c:pt idx="465">
                  <c:v>-171</c:v>
                </c:pt>
                <c:pt idx="466">
                  <c:v>-215</c:v>
                </c:pt>
                <c:pt idx="467">
                  <c:v>-215</c:v>
                </c:pt>
                <c:pt idx="468">
                  <c:v>-276</c:v>
                </c:pt>
                <c:pt idx="469">
                  <c:v>-186</c:v>
                </c:pt>
                <c:pt idx="470">
                  <c:v>-186</c:v>
                </c:pt>
                <c:pt idx="471">
                  <c:v>-181</c:v>
                </c:pt>
                <c:pt idx="472">
                  <c:v>-181</c:v>
                </c:pt>
                <c:pt idx="473">
                  <c:v>-125</c:v>
                </c:pt>
                <c:pt idx="474">
                  <c:v>33</c:v>
                </c:pt>
                <c:pt idx="475">
                  <c:v>42</c:v>
                </c:pt>
                <c:pt idx="476">
                  <c:v>209</c:v>
                </c:pt>
                <c:pt idx="477">
                  <c:v>181</c:v>
                </c:pt>
                <c:pt idx="478">
                  <c:v>181</c:v>
                </c:pt>
                <c:pt idx="479">
                  <c:v>88</c:v>
                </c:pt>
                <c:pt idx="480">
                  <c:v>88</c:v>
                </c:pt>
                <c:pt idx="481">
                  <c:v>88</c:v>
                </c:pt>
                <c:pt idx="482">
                  <c:v>-85</c:v>
                </c:pt>
                <c:pt idx="483">
                  <c:v>-5</c:v>
                </c:pt>
                <c:pt idx="484">
                  <c:v>-61</c:v>
                </c:pt>
                <c:pt idx="485">
                  <c:v>-21</c:v>
                </c:pt>
                <c:pt idx="486">
                  <c:v>65.95</c:v>
                </c:pt>
                <c:pt idx="487">
                  <c:v>155.25</c:v>
                </c:pt>
                <c:pt idx="488">
                  <c:v>191.2</c:v>
                </c:pt>
                <c:pt idx="489">
                  <c:v>265</c:v>
                </c:pt>
                <c:pt idx="490">
                  <c:v>255.5</c:v>
                </c:pt>
                <c:pt idx="491">
                  <c:v>233.9</c:v>
                </c:pt>
                <c:pt idx="492">
                  <c:v>219.55</c:v>
                </c:pt>
                <c:pt idx="493">
                  <c:v>9.5500000000000007</c:v>
                </c:pt>
                <c:pt idx="494">
                  <c:v>-52.35</c:v>
                </c:pt>
                <c:pt idx="495">
                  <c:v>31.45</c:v>
                </c:pt>
                <c:pt idx="496">
                  <c:v>91.15</c:v>
                </c:pt>
                <c:pt idx="497">
                  <c:v>164.75</c:v>
                </c:pt>
                <c:pt idx="498">
                  <c:v>164.9</c:v>
                </c:pt>
                <c:pt idx="499">
                  <c:v>269.10000000000002</c:v>
                </c:pt>
                <c:pt idx="500">
                  <c:v>248.7</c:v>
                </c:pt>
                <c:pt idx="501">
                  <c:v>233.85</c:v>
                </c:pt>
                <c:pt idx="502">
                  <c:v>214.85</c:v>
                </c:pt>
                <c:pt idx="503">
                  <c:v>174.3</c:v>
                </c:pt>
                <c:pt idx="504">
                  <c:v>122.6</c:v>
                </c:pt>
                <c:pt idx="505">
                  <c:v>90.1</c:v>
                </c:pt>
                <c:pt idx="506">
                  <c:v>110.35</c:v>
                </c:pt>
                <c:pt idx="507">
                  <c:v>178.55</c:v>
                </c:pt>
                <c:pt idx="508">
                  <c:v>188.45</c:v>
                </c:pt>
                <c:pt idx="509">
                  <c:v>140.94999999999999</c:v>
                </c:pt>
                <c:pt idx="510">
                  <c:v>120.05</c:v>
                </c:pt>
                <c:pt idx="512">
                  <c:v>106.7</c:v>
                </c:pt>
                <c:pt idx="513">
                  <c:v>51.6</c:v>
                </c:pt>
                <c:pt idx="514">
                  <c:v>128.30000000000001</c:v>
                </c:pt>
                <c:pt idx="515">
                  <c:v>96</c:v>
                </c:pt>
                <c:pt idx="516">
                  <c:v>123.95</c:v>
                </c:pt>
                <c:pt idx="517">
                  <c:v>104.7</c:v>
                </c:pt>
                <c:pt idx="518">
                  <c:v>176.4</c:v>
                </c:pt>
                <c:pt idx="519">
                  <c:v>374.15</c:v>
                </c:pt>
                <c:pt idx="520">
                  <c:v>414.7</c:v>
                </c:pt>
                <c:pt idx="521">
                  <c:v>425.75</c:v>
                </c:pt>
                <c:pt idx="522">
                  <c:v>364.4</c:v>
                </c:pt>
                <c:pt idx="523">
                  <c:v>325.85000000000002</c:v>
                </c:pt>
                <c:pt idx="524">
                  <c:v>278.5</c:v>
                </c:pt>
                <c:pt idx="525">
                  <c:v>155.4</c:v>
                </c:pt>
                <c:pt idx="526">
                  <c:v>101.95</c:v>
                </c:pt>
                <c:pt idx="527">
                  <c:v>68.599999999999994</c:v>
                </c:pt>
                <c:pt idx="528">
                  <c:v>194.95</c:v>
                </c:pt>
                <c:pt idx="529">
                  <c:v>209.8</c:v>
                </c:pt>
                <c:pt idx="530">
                  <c:v>150.1</c:v>
                </c:pt>
                <c:pt idx="531">
                  <c:v>165.3</c:v>
                </c:pt>
                <c:pt idx="532">
                  <c:v>179.3</c:v>
                </c:pt>
                <c:pt idx="533">
                  <c:v>248.6</c:v>
                </c:pt>
                <c:pt idx="534">
                  <c:v>276.25</c:v>
                </c:pt>
                <c:pt idx="535">
                  <c:v>243.6</c:v>
                </c:pt>
                <c:pt idx="536">
                  <c:v>370.25</c:v>
                </c:pt>
                <c:pt idx="537">
                  <c:v>0</c:v>
                </c:pt>
                <c:pt idx="538">
                  <c:v>317</c:v>
                </c:pt>
                <c:pt idx="539">
                  <c:v>173.95</c:v>
                </c:pt>
                <c:pt idx="540">
                  <c:v>179.3</c:v>
                </c:pt>
                <c:pt idx="541">
                  <c:v>262.39999999999998</c:v>
                </c:pt>
                <c:pt idx="542">
                  <c:v>245.3</c:v>
                </c:pt>
                <c:pt idx="543">
                  <c:v>293.85000000000002</c:v>
                </c:pt>
                <c:pt idx="544">
                  <c:v>447.4</c:v>
                </c:pt>
                <c:pt idx="545">
                  <c:v>353.25</c:v>
                </c:pt>
                <c:pt idx="546">
                  <c:v>316.55</c:v>
                </c:pt>
                <c:pt idx="547">
                  <c:v>443.15</c:v>
                </c:pt>
                <c:pt idx="548">
                  <c:v>400.95</c:v>
                </c:pt>
                <c:pt idx="549">
                  <c:v>449.15</c:v>
                </c:pt>
                <c:pt idx="550">
                  <c:v>370.1</c:v>
                </c:pt>
                <c:pt idx="551">
                  <c:v>457</c:v>
                </c:pt>
                <c:pt idx="552">
                  <c:v>383.9</c:v>
                </c:pt>
                <c:pt idx="553">
                  <c:v>469.05</c:v>
                </c:pt>
                <c:pt idx="554">
                  <c:v>409.8</c:v>
                </c:pt>
                <c:pt idx="555">
                  <c:v>370.9</c:v>
                </c:pt>
                <c:pt idx="556">
                  <c:v>357.25</c:v>
                </c:pt>
                <c:pt idx="557">
                  <c:v>489.6</c:v>
                </c:pt>
                <c:pt idx="558">
                  <c:v>613.5</c:v>
                </c:pt>
                <c:pt idx="559">
                  <c:v>744.85</c:v>
                </c:pt>
                <c:pt idx="560">
                  <c:v>917.3</c:v>
                </c:pt>
                <c:pt idx="561">
                  <c:v>1211.0999999999999</c:v>
                </c:pt>
                <c:pt idx="562">
                  <c:v>1074.5999999999999</c:v>
                </c:pt>
                <c:pt idx="563">
                  <c:v>1124</c:v>
                </c:pt>
                <c:pt idx="564">
                  <c:v>1033.8</c:v>
                </c:pt>
                <c:pt idx="565">
                  <c:v>1088.9000000000001</c:v>
                </c:pt>
                <c:pt idx="566">
                  <c:v>943.7</c:v>
                </c:pt>
                <c:pt idx="567">
                  <c:v>821.3</c:v>
                </c:pt>
                <c:pt idx="568">
                  <c:v>755.4</c:v>
                </c:pt>
                <c:pt idx="569">
                  <c:v>666.7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2-465A-810B-9889FD6C5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448072"/>
        <c:axId val="819448728"/>
      </c:lineChart>
      <c:dateAx>
        <c:axId val="819448072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48728"/>
        <c:crosses val="autoZero"/>
        <c:auto val="1"/>
        <c:lblOffset val="100"/>
        <c:baseTimeUnit val="days"/>
      </c:dateAx>
      <c:valAx>
        <c:axId val="81944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(CNY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48072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Weekly Chinese Soybean Oil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561827213925241"/>
          <c:y val="0.1071169024225954"/>
          <c:w val="0.87793669723080014"/>
          <c:h val="0.7597864573382547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C4722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4722E"/>
              </a:solidFill>
              <a:ln w="15875">
                <a:solidFill>
                  <a:srgbClr val="C4722E"/>
                </a:solidFill>
              </a:ln>
              <a:effectLst/>
            </c:spPr>
          </c:marker>
          <c:cat>
            <c:numRef>
              <c:f>'China Weekly'!$A$497:$A$774</c:f>
              <c:numCache>
                <c:formatCode>m/d/yyyy</c:formatCode>
                <c:ptCount val="278"/>
                <c:pt idx="0">
                  <c:v>43745</c:v>
                </c:pt>
                <c:pt idx="1">
                  <c:v>43752</c:v>
                </c:pt>
                <c:pt idx="2">
                  <c:v>43759</c:v>
                </c:pt>
                <c:pt idx="3">
                  <c:v>43766</c:v>
                </c:pt>
                <c:pt idx="4">
                  <c:v>43773</c:v>
                </c:pt>
                <c:pt idx="5">
                  <c:v>43780</c:v>
                </c:pt>
                <c:pt idx="6">
                  <c:v>43787</c:v>
                </c:pt>
                <c:pt idx="7">
                  <c:v>43794</c:v>
                </c:pt>
                <c:pt idx="8">
                  <c:v>43801</c:v>
                </c:pt>
                <c:pt idx="9">
                  <c:v>43808</c:v>
                </c:pt>
                <c:pt idx="10">
                  <c:v>43815</c:v>
                </c:pt>
                <c:pt idx="11">
                  <c:v>43822</c:v>
                </c:pt>
                <c:pt idx="12">
                  <c:v>43829</c:v>
                </c:pt>
                <c:pt idx="13">
                  <c:v>43836</c:v>
                </c:pt>
                <c:pt idx="14">
                  <c:v>43843</c:v>
                </c:pt>
                <c:pt idx="15">
                  <c:v>43850</c:v>
                </c:pt>
                <c:pt idx="16">
                  <c:v>43857</c:v>
                </c:pt>
                <c:pt idx="17">
                  <c:v>43864</c:v>
                </c:pt>
                <c:pt idx="18">
                  <c:v>43871</c:v>
                </c:pt>
                <c:pt idx="19">
                  <c:v>43878</c:v>
                </c:pt>
                <c:pt idx="20">
                  <c:v>43885</c:v>
                </c:pt>
                <c:pt idx="21">
                  <c:v>43892</c:v>
                </c:pt>
                <c:pt idx="22">
                  <c:v>43899</c:v>
                </c:pt>
                <c:pt idx="23">
                  <c:v>43906</c:v>
                </c:pt>
                <c:pt idx="24">
                  <c:v>43913</c:v>
                </c:pt>
                <c:pt idx="25">
                  <c:v>43920</c:v>
                </c:pt>
                <c:pt idx="26">
                  <c:v>43927</c:v>
                </c:pt>
                <c:pt idx="27">
                  <c:v>43934</c:v>
                </c:pt>
                <c:pt idx="28">
                  <c:v>43941</c:v>
                </c:pt>
                <c:pt idx="29">
                  <c:v>43948</c:v>
                </c:pt>
                <c:pt idx="30">
                  <c:v>43955</c:v>
                </c:pt>
                <c:pt idx="31">
                  <c:v>43962</c:v>
                </c:pt>
                <c:pt idx="32">
                  <c:v>43969</c:v>
                </c:pt>
                <c:pt idx="33">
                  <c:v>43976</c:v>
                </c:pt>
                <c:pt idx="34">
                  <c:v>43983</c:v>
                </c:pt>
                <c:pt idx="35">
                  <c:v>43990</c:v>
                </c:pt>
                <c:pt idx="36">
                  <c:v>43997</c:v>
                </c:pt>
                <c:pt idx="37">
                  <c:v>44004</c:v>
                </c:pt>
                <c:pt idx="38">
                  <c:v>44011</c:v>
                </c:pt>
                <c:pt idx="39">
                  <c:v>44018</c:v>
                </c:pt>
                <c:pt idx="40">
                  <c:v>44025</c:v>
                </c:pt>
                <c:pt idx="41">
                  <c:v>44032</c:v>
                </c:pt>
                <c:pt idx="42">
                  <c:v>44039</c:v>
                </c:pt>
                <c:pt idx="43">
                  <c:v>44046</c:v>
                </c:pt>
                <c:pt idx="44">
                  <c:v>44053</c:v>
                </c:pt>
                <c:pt idx="45">
                  <c:v>44060</c:v>
                </c:pt>
                <c:pt idx="46">
                  <c:v>44067</c:v>
                </c:pt>
                <c:pt idx="47">
                  <c:v>44074</c:v>
                </c:pt>
                <c:pt idx="48">
                  <c:v>44081</c:v>
                </c:pt>
                <c:pt idx="49">
                  <c:v>44088</c:v>
                </c:pt>
                <c:pt idx="50">
                  <c:v>44095</c:v>
                </c:pt>
                <c:pt idx="51">
                  <c:v>44102</c:v>
                </c:pt>
                <c:pt idx="52">
                  <c:v>44109</c:v>
                </c:pt>
                <c:pt idx="53">
                  <c:v>44116</c:v>
                </c:pt>
                <c:pt idx="54">
                  <c:v>44123</c:v>
                </c:pt>
                <c:pt idx="55">
                  <c:v>44130</c:v>
                </c:pt>
                <c:pt idx="56">
                  <c:v>44137</c:v>
                </c:pt>
                <c:pt idx="57">
                  <c:v>44144</c:v>
                </c:pt>
                <c:pt idx="58">
                  <c:v>44151</c:v>
                </c:pt>
                <c:pt idx="59">
                  <c:v>44158</c:v>
                </c:pt>
                <c:pt idx="60">
                  <c:v>44165</c:v>
                </c:pt>
                <c:pt idx="61">
                  <c:v>44172</c:v>
                </c:pt>
                <c:pt idx="62">
                  <c:v>44179</c:v>
                </c:pt>
                <c:pt idx="63">
                  <c:v>44186</c:v>
                </c:pt>
                <c:pt idx="64">
                  <c:v>44193</c:v>
                </c:pt>
                <c:pt idx="65">
                  <c:v>44200</c:v>
                </c:pt>
                <c:pt idx="66">
                  <c:v>44207</c:v>
                </c:pt>
                <c:pt idx="67">
                  <c:v>44214</c:v>
                </c:pt>
                <c:pt idx="68">
                  <c:v>44221</c:v>
                </c:pt>
                <c:pt idx="69">
                  <c:v>44228</c:v>
                </c:pt>
                <c:pt idx="70">
                  <c:v>44235</c:v>
                </c:pt>
                <c:pt idx="71">
                  <c:v>44242</c:v>
                </c:pt>
                <c:pt idx="72">
                  <c:v>44249</c:v>
                </c:pt>
                <c:pt idx="73">
                  <c:v>44256</c:v>
                </c:pt>
                <c:pt idx="74">
                  <c:v>44266</c:v>
                </c:pt>
                <c:pt idx="75">
                  <c:v>44273</c:v>
                </c:pt>
                <c:pt idx="76">
                  <c:v>44280</c:v>
                </c:pt>
                <c:pt idx="77">
                  <c:v>44287</c:v>
                </c:pt>
                <c:pt idx="78">
                  <c:v>44294</c:v>
                </c:pt>
                <c:pt idx="79">
                  <c:v>44301</c:v>
                </c:pt>
                <c:pt idx="80">
                  <c:v>44308</c:v>
                </c:pt>
                <c:pt idx="81">
                  <c:v>44315</c:v>
                </c:pt>
                <c:pt idx="82">
                  <c:v>44322</c:v>
                </c:pt>
                <c:pt idx="83">
                  <c:v>44329</c:v>
                </c:pt>
                <c:pt idx="84">
                  <c:v>44336</c:v>
                </c:pt>
                <c:pt idx="85">
                  <c:v>44343</c:v>
                </c:pt>
                <c:pt idx="86">
                  <c:v>44350</c:v>
                </c:pt>
                <c:pt idx="87">
                  <c:v>44357</c:v>
                </c:pt>
                <c:pt idx="88">
                  <c:v>44364</c:v>
                </c:pt>
                <c:pt idx="89">
                  <c:v>44371</c:v>
                </c:pt>
                <c:pt idx="90">
                  <c:v>44378</c:v>
                </c:pt>
                <c:pt idx="91">
                  <c:v>44385</c:v>
                </c:pt>
                <c:pt idx="92">
                  <c:v>44392</c:v>
                </c:pt>
                <c:pt idx="93">
                  <c:v>44399</c:v>
                </c:pt>
                <c:pt idx="94">
                  <c:v>44406</c:v>
                </c:pt>
                <c:pt idx="95">
                  <c:v>44413</c:v>
                </c:pt>
                <c:pt idx="96">
                  <c:v>44420</c:v>
                </c:pt>
                <c:pt idx="97">
                  <c:v>44427</c:v>
                </c:pt>
                <c:pt idx="98">
                  <c:v>44434</c:v>
                </c:pt>
                <c:pt idx="99">
                  <c:v>44441</c:v>
                </c:pt>
                <c:pt idx="100">
                  <c:v>44448</c:v>
                </c:pt>
                <c:pt idx="101">
                  <c:v>44455</c:v>
                </c:pt>
                <c:pt idx="102">
                  <c:v>44462</c:v>
                </c:pt>
                <c:pt idx="103">
                  <c:v>44469</c:v>
                </c:pt>
                <c:pt idx="104">
                  <c:v>44476</c:v>
                </c:pt>
                <c:pt idx="105">
                  <c:v>44483</c:v>
                </c:pt>
                <c:pt idx="106">
                  <c:v>44490</c:v>
                </c:pt>
                <c:pt idx="107">
                  <c:v>44497</c:v>
                </c:pt>
                <c:pt idx="108">
                  <c:v>44504</c:v>
                </c:pt>
                <c:pt idx="109">
                  <c:v>44511</c:v>
                </c:pt>
                <c:pt idx="110">
                  <c:v>44518</c:v>
                </c:pt>
                <c:pt idx="111">
                  <c:v>44525</c:v>
                </c:pt>
                <c:pt idx="112">
                  <c:v>44532</c:v>
                </c:pt>
                <c:pt idx="113">
                  <c:v>44539</c:v>
                </c:pt>
                <c:pt idx="114">
                  <c:v>44546</c:v>
                </c:pt>
                <c:pt idx="115">
                  <c:v>44553</c:v>
                </c:pt>
                <c:pt idx="116">
                  <c:v>44560</c:v>
                </c:pt>
                <c:pt idx="117">
                  <c:v>44567</c:v>
                </c:pt>
                <c:pt idx="118">
                  <c:v>44574</c:v>
                </c:pt>
                <c:pt idx="119">
                  <c:v>44581</c:v>
                </c:pt>
                <c:pt idx="120">
                  <c:v>44588</c:v>
                </c:pt>
                <c:pt idx="121">
                  <c:v>44595</c:v>
                </c:pt>
                <c:pt idx="122">
                  <c:v>44602</c:v>
                </c:pt>
                <c:pt idx="123">
                  <c:v>44609</c:v>
                </c:pt>
                <c:pt idx="124">
                  <c:v>44616</c:v>
                </c:pt>
                <c:pt idx="125">
                  <c:v>44623</c:v>
                </c:pt>
                <c:pt idx="126">
                  <c:v>44630</c:v>
                </c:pt>
                <c:pt idx="127">
                  <c:v>44637</c:v>
                </c:pt>
                <c:pt idx="128">
                  <c:v>44644</c:v>
                </c:pt>
                <c:pt idx="129">
                  <c:v>44651</c:v>
                </c:pt>
                <c:pt idx="130">
                  <c:v>44658</c:v>
                </c:pt>
                <c:pt idx="131">
                  <c:v>44665</c:v>
                </c:pt>
                <c:pt idx="132">
                  <c:v>44672</c:v>
                </c:pt>
                <c:pt idx="133">
                  <c:v>44679</c:v>
                </c:pt>
                <c:pt idx="134">
                  <c:v>44686</c:v>
                </c:pt>
                <c:pt idx="135">
                  <c:v>44693</c:v>
                </c:pt>
                <c:pt idx="136">
                  <c:v>44700</c:v>
                </c:pt>
                <c:pt idx="137">
                  <c:v>44707</c:v>
                </c:pt>
                <c:pt idx="138">
                  <c:v>44714</c:v>
                </c:pt>
                <c:pt idx="139">
                  <c:v>44721</c:v>
                </c:pt>
                <c:pt idx="140">
                  <c:v>44728</c:v>
                </c:pt>
                <c:pt idx="141">
                  <c:v>44735</c:v>
                </c:pt>
                <c:pt idx="142">
                  <c:v>44742</c:v>
                </c:pt>
                <c:pt idx="143">
                  <c:v>44749</c:v>
                </c:pt>
                <c:pt idx="144">
                  <c:v>44756</c:v>
                </c:pt>
                <c:pt idx="145">
                  <c:v>44763</c:v>
                </c:pt>
                <c:pt idx="146">
                  <c:v>44770</c:v>
                </c:pt>
                <c:pt idx="147">
                  <c:v>44777</c:v>
                </c:pt>
                <c:pt idx="148">
                  <c:v>44784</c:v>
                </c:pt>
                <c:pt idx="149">
                  <c:v>44791</c:v>
                </c:pt>
                <c:pt idx="150">
                  <c:v>44798</c:v>
                </c:pt>
                <c:pt idx="151">
                  <c:v>44805</c:v>
                </c:pt>
                <c:pt idx="152">
                  <c:v>44812</c:v>
                </c:pt>
                <c:pt idx="153">
                  <c:v>44819</c:v>
                </c:pt>
                <c:pt idx="154">
                  <c:v>44826</c:v>
                </c:pt>
                <c:pt idx="155">
                  <c:v>44833</c:v>
                </c:pt>
                <c:pt idx="156">
                  <c:v>44840</c:v>
                </c:pt>
                <c:pt idx="157">
                  <c:v>44847</c:v>
                </c:pt>
                <c:pt idx="158">
                  <c:v>44854</c:v>
                </c:pt>
                <c:pt idx="159">
                  <c:v>44861</c:v>
                </c:pt>
                <c:pt idx="160">
                  <c:v>44868</c:v>
                </c:pt>
                <c:pt idx="161">
                  <c:v>44875</c:v>
                </c:pt>
                <c:pt idx="162">
                  <c:v>44882</c:v>
                </c:pt>
                <c:pt idx="163">
                  <c:v>44889</c:v>
                </c:pt>
                <c:pt idx="164">
                  <c:v>44896</c:v>
                </c:pt>
                <c:pt idx="165">
                  <c:v>44903</c:v>
                </c:pt>
                <c:pt idx="166">
                  <c:v>44910</c:v>
                </c:pt>
                <c:pt idx="167">
                  <c:v>44917</c:v>
                </c:pt>
                <c:pt idx="168">
                  <c:v>44924</c:v>
                </c:pt>
                <c:pt idx="169">
                  <c:v>44931</c:v>
                </c:pt>
                <c:pt idx="170">
                  <c:v>44938</c:v>
                </c:pt>
                <c:pt idx="171">
                  <c:v>44945</c:v>
                </c:pt>
                <c:pt idx="172">
                  <c:v>44952</c:v>
                </c:pt>
                <c:pt idx="173">
                  <c:v>44959</c:v>
                </c:pt>
                <c:pt idx="174">
                  <c:v>44966</c:v>
                </c:pt>
                <c:pt idx="175">
                  <c:v>44973</c:v>
                </c:pt>
                <c:pt idx="176">
                  <c:v>44980</c:v>
                </c:pt>
                <c:pt idx="177">
                  <c:v>44987</c:v>
                </c:pt>
                <c:pt idx="178">
                  <c:v>44994</c:v>
                </c:pt>
                <c:pt idx="179">
                  <c:v>45001</c:v>
                </c:pt>
                <c:pt idx="180">
                  <c:v>45008</c:v>
                </c:pt>
                <c:pt idx="181">
                  <c:v>45015</c:v>
                </c:pt>
                <c:pt idx="182">
                  <c:v>45022</c:v>
                </c:pt>
                <c:pt idx="183">
                  <c:v>45029</c:v>
                </c:pt>
                <c:pt idx="184">
                  <c:v>45036</c:v>
                </c:pt>
                <c:pt idx="185">
                  <c:v>45043</c:v>
                </c:pt>
                <c:pt idx="186">
                  <c:v>45050</c:v>
                </c:pt>
                <c:pt idx="187">
                  <c:v>45057</c:v>
                </c:pt>
                <c:pt idx="188">
                  <c:v>45064</c:v>
                </c:pt>
                <c:pt idx="189">
                  <c:v>45071</c:v>
                </c:pt>
                <c:pt idx="190">
                  <c:v>45078</c:v>
                </c:pt>
                <c:pt idx="191">
                  <c:v>45085</c:v>
                </c:pt>
                <c:pt idx="192">
                  <c:v>45092</c:v>
                </c:pt>
                <c:pt idx="193">
                  <c:v>45099</c:v>
                </c:pt>
                <c:pt idx="194">
                  <c:v>45106</c:v>
                </c:pt>
                <c:pt idx="195">
                  <c:v>45113</c:v>
                </c:pt>
                <c:pt idx="196">
                  <c:v>45120</c:v>
                </c:pt>
                <c:pt idx="197">
                  <c:v>45127</c:v>
                </c:pt>
                <c:pt idx="198">
                  <c:v>45134</c:v>
                </c:pt>
                <c:pt idx="199">
                  <c:v>45141</c:v>
                </c:pt>
                <c:pt idx="200">
                  <c:v>45148</c:v>
                </c:pt>
                <c:pt idx="201">
                  <c:v>45155</c:v>
                </c:pt>
                <c:pt idx="202">
                  <c:v>45162</c:v>
                </c:pt>
                <c:pt idx="203">
                  <c:v>45169</c:v>
                </c:pt>
                <c:pt idx="204">
                  <c:v>45176</c:v>
                </c:pt>
                <c:pt idx="205">
                  <c:v>45183</c:v>
                </c:pt>
                <c:pt idx="206">
                  <c:v>45189</c:v>
                </c:pt>
                <c:pt idx="207">
                  <c:v>45196</c:v>
                </c:pt>
                <c:pt idx="208">
                  <c:v>45210</c:v>
                </c:pt>
                <c:pt idx="209">
                  <c:v>45217</c:v>
                </c:pt>
                <c:pt idx="210">
                  <c:v>45224</c:v>
                </c:pt>
                <c:pt idx="211">
                  <c:v>45231</c:v>
                </c:pt>
                <c:pt idx="212">
                  <c:v>45238</c:v>
                </c:pt>
                <c:pt idx="213">
                  <c:v>45245</c:v>
                </c:pt>
                <c:pt idx="214">
                  <c:v>45252</c:v>
                </c:pt>
                <c:pt idx="215">
                  <c:v>45259</c:v>
                </c:pt>
                <c:pt idx="216">
                  <c:v>45266</c:v>
                </c:pt>
                <c:pt idx="217">
                  <c:v>45273</c:v>
                </c:pt>
                <c:pt idx="218">
                  <c:v>45280</c:v>
                </c:pt>
                <c:pt idx="219">
                  <c:v>45289</c:v>
                </c:pt>
                <c:pt idx="220">
                  <c:v>45294</c:v>
                </c:pt>
                <c:pt idx="221">
                  <c:v>45301</c:v>
                </c:pt>
                <c:pt idx="222">
                  <c:v>45308</c:v>
                </c:pt>
                <c:pt idx="223">
                  <c:v>45315</c:v>
                </c:pt>
                <c:pt idx="224">
                  <c:v>45322</c:v>
                </c:pt>
                <c:pt idx="225">
                  <c:v>45329</c:v>
                </c:pt>
                <c:pt idx="226">
                  <c:v>45334</c:v>
                </c:pt>
                <c:pt idx="227">
                  <c:v>45350</c:v>
                </c:pt>
                <c:pt idx="228">
                  <c:v>45366</c:v>
                </c:pt>
                <c:pt idx="229">
                  <c:v>45373</c:v>
                </c:pt>
                <c:pt idx="230">
                  <c:v>45380</c:v>
                </c:pt>
                <c:pt idx="231">
                  <c:v>45387</c:v>
                </c:pt>
                <c:pt idx="232">
                  <c:v>45394</c:v>
                </c:pt>
                <c:pt idx="233">
                  <c:v>45401</c:v>
                </c:pt>
                <c:pt idx="234">
                  <c:v>45408</c:v>
                </c:pt>
                <c:pt idx="235">
                  <c:v>45415</c:v>
                </c:pt>
                <c:pt idx="236">
                  <c:v>45422</c:v>
                </c:pt>
                <c:pt idx="237">
                  <c:v>45429</c:v>
                </c:pt>
                <c:pt idx="238">
                  <c:v>45436</c:v>
                </c:pt>
                <c:pt idx="239">
                  <c:v>45443</c:v>
                </c:pt>
                <c:pt idx="240">
                  <c:v>45450</c:v>
                </c:pt>
                <c:pt idx="241">
                  <c:v>45457</c:v>
                </c:pt>
                <c:pt idx="242">
                  <c:v>45464</c:v>
                </c:pt>
                <c:pt idx="243">
                  <c:v>45471</c:v>
                </c:pt>
                <c:pt idx="244">
                  <c:v>45478</c:v>
                </c:pt>
                <c:pt idx="245">
                  <c:v>45485</c:v>
                </c:pt>
                <c:pt idx="246">
                  <c:v>45492</c:v>
                </c:pt>
                <c:pt idx="247">
                  <c:v>45499</c:v>
                </c:pt>
                <c:pt idx="248">
                  <c:v>45506</c:v>
                </c:pt>
                <c:pt idx="249">
                  <c:v>45513</c:v>
                </c:pt>
                <c:pt idx="250">
                  <c:v>45520</c:v>
                </c:pt>
                <c:pt idx="251">
                  <c:v>45527</c:v>
                </c:pt>
                <c:pt idx="252">
                  <c:v>45534</c:v>
                </c:pt>
                <c:pt idx="253">
                  <c:v>45541</c:v>
                </c:pt>
                <c:pt idx="254">
                  <c:v>45548</c:v>
                </c:pt>
                <c:pt idx="255">
                  <c:v>45555</c:v>
                </c:pt>
                <c:pt idx="256">
                  <c:v>45562</c:v>
                </c:pt>
                <c:pt idx="257">
                  <c:v>45569</c:v>
                </c:pt>
                <c:pt idx="258">
                  <c:v>45576</c:v>
                </c:pt>
                <c:pt idx="259">
                  <c:v>45583</c:v>
                </c:pt>
                <c:pt idx="260">
                  <c:v>45590</c:v>
                </c:pt>
                <c:pt idx="261">
                  <c:v>45609</c:v>
                </c:pt>
                <c:pt idx="262">
                  <c:v>45616</c:v>
                </c:pt>
                <c:pt idx="263">
                  <c:v>45623</c:v>
                </c:pt>
                <c:pt idx="264">
                  <c:v>45630</c:v>
                </c:pt>
                <c:pt idx="265">
                  <c:v>45637</c:v>
                </c:pt>
                <c:pt idx="266">
                  <c:v>45644</c:v>
                </c:pt>
                <c:pt idx="267">
                  <c:v>45651</c:v>
                </c:pt>
                <c:pt idx="268">
                  <c:v>45658</c:v>
                </c:pt>
                <c:pt idx="269">
                  <c:v>45665</c:v>
                </c:pt>
                <c:pt idx="270">
                  <c:v>45672</c:v>
                </c:pt>
                <c:pt idx="271">
                  <c:v>45679</c:v>
                </c:pt>
                <c:pt idx="272">
                  <c:v>45686</c:v>
                </c:pt>
                <c:pt idx="273">
                  <c:v>45693</c:v>
                </c:pt>
                <c:pt idx="274">
                  <c:v>45700</c:v>
                </c:pt>
                <c:pt idx="275">
                  <c:v>45707</c:v>
                </c:pt>
                <c:pt idx="276">
                  <c:v>45714</c:v>
                </c:pt>
              </c:numCache>
            </c:numRef>
          </c:cat>
          <c:val>
            <c:numRef>
              <c:f>'China Weekly'!$F$497:$F$774</c:f>
              <c:numCache>
                <c:formatCode>#,##0_);[Red]\(#,##0\)</c:formatCode>
                <c:ptCount val="278"/>
                <c:pt idx="1">
                  <c:v>219.583</c:v>
                </c:pt>
                <c:pt idx="2">
                  <c:v>328.28199999999998</c:v>
                </c:pt>
                <c:pt idx="3">
                  <c:v>332.49</c:v>
                </c:pt>
                <c:pt idx="4">
                  <c:v>295.34500000000003</c:v>
                </c:pt>
                <c:pt idx="5">
                  <c:v>294.01499999999999</c:v>
                </c:pt>
                <c:pt idx="6">
                  <c:v>294.01499999999999</c:v>
                </c:pt>
                <c:pt idx="7">
                  <c:v>336.43299999999999</c:v>
                </c:pt>
                <c:pt idx="8">
                  <c:v>337.31599999999997</c:v>
                </c:pt>
                <c:pt idx="9">
                  <c:v>313.99400000000003</c:v>
                </c:pt>
                <c:pt idx="10">
                  <c:v>316.73</c:v>
                </c:pt>
                <c:pt idx="11">
                  <c:v>352.73500000000001</c:v>
                </c:pt>
                <c:pt idx="12">
                  <c:v>379.77199999999999</c:v>
                </c:pt>
                <c:pt idx="13">
                  <c:v>391.13374670617679</c:v>
                </c:pt>
                <c:pt idx="14">
                  <c:v>387.61900000000003</c:v>
                </c:pt>
                <c:pt idx="15">
                  <c:v>380.32299999999998</c:v>
                </c:pt>
                <c:pt idx="16">
                  <c:v>178.98</c:v>
                </c:pt>
                <c:pt idx="17">
                  <c:v>10.013</c:v>
                </c:pt>
                <c:pt idx="18">
                  <c:v>149.625</c:v>
                </c:pt>
                <c:pt idx="19">
                  <c:v>299.36399999999998</c:v>
                </c:pt>
                <c:pt idx="20">
                  <c:v>343.67200000000003</c:v>
                </c:pt>
                <c:pt idx="21">
                  <c:v>366.16800000000001</c:v>
                </c:pt>
                <c:pt idx="22">
                  <c:v>315.267</c:v>
                </c:pt>
                <c:pt idx="23">
                  <c:v>279.50900000000001</c:v>
                </c:pt>
                <c:pt idx="24">
                  <c:v>263.45400000000001</c:v>
                </c:pt>
                <c:pt idx="25">
                  <c:v>273.29599999999999</c:v>
                </c:pt>
                <c:pt idx="26">
                  <c:v>257.75400000000002</c:v>
                </c:pt>
                <c:pt idx="27">
                  <c:v>300.65600000000001</c:v>
                </c:pt>
                <c:pt idx="28">
                  <c:v>318.23099999999999</c:v>
                </c:pt>
                <c:pt idx="29">
                  <c:v>337.63</c:v>
                </c:pt>
                <c:pt idx="30">
                  <c:v>332.40499999999997</c:v>
                </c:pt>
                <c:pt idx="31">
                  <c:v>363.31799999999998</c:v>
                </c:pt>
                <c:pt idx="32">
                  <c:v>398.52499999999998</c:v>
                </c:pt>
                <c:pt idx="33">
                  <c:v>392.55900000000003</c:v>
                </c:pt>
                <c:pt idx="34">
                  <c:v>363.95499999999998</c:v>
                </c:pt>
                <c:pt idx="35">
                  <c:v>389.88</c:v>
                </c:pt>
                <c:pt idx="36">
                  <c:v>406.25799999999998</c:v>
                </c:pt>
                <c:pt idx="37">
                  <c:v>385.89</c:v>
                </c:pt>
                <c:pt idx="38">
                  <c:v>388.113</c:v>
                </c:pt>
                <c:pt idx="39">
                  <c:v>379.92399999999998</c:v>
                </c:pt>
                <c:pt idx="40">
                  <c:v>392.065</c:v>
                </c:pt>
                <c:pt idx="41">
                  <c:v>371.50700000000001</c:v>
                </c:pt>
                <c:pt idx="42">
                  <c:v>376.2</c:v>
                </c:pt>
                <c:pt idx="43">
                  <c:v>388.43599999999998</c:v>
                </c:pt>
                <c:pt idx="44">
                  <c:v>373.50200000000001</c:v>
                </c:pt>
                <c:pt idx="45">
                  <c:v>383.23</c:v>
                </c:pt>
                <c:pt idx="46">
                  <c:v>387.25799999999998</c:v>
                </c:pt>
                <c:pt idx="47">
                  <c:v>370.7</c:v>
                </c:pt>
                <c:pt idx="48">
                  <c:v>374.61399999999998</c:v>
                </c:pt>
                <c:pt idx="49">
                  <c:v>414.89400000000001</c:v>
                </c:pt>
                <c:pt idx="50">
                  <c:v>431.91800000000001</c:v>
                </c:pt>
                <c:pt idx="51">
                  <c:v>355.98399999999998</c:v>
                </c:pt>
                <c:pt idx="52">
                  <c:v>263.63499999999999</c:v>
                </c:pt>
                <c:pt idx="53">
                  <c:v>396.77699999999999</c:v>
                </c:pt>
                <c:pt idx="54">
                  <c:v>417.47800000000001</c:v>
                </c:pt>
                <c:pt idx="55">
                  <c:v>397.76100000000002</c:v>
                </c:pt>
                <c:pt idx="56">
                  <c:v>398.16</c:v>
                </c:pt>
                <c:pt idx="57">
                  <c:v>402.815</c:v>
                </c:pt>
                <c:pt idx="58">
                  <c:v>386.779</c:v>
                </c:pt>
                <c:pt idx="59">
                  <c:v>350.22300000000001</c:v>
                </c:pt>
                <c:pt idx="60">
                  <c:v>340.03899999999999</c:v>
                </c:pt>
                <c:pt idx="61">
                  <c:v>370.64800000000002</c:v>
                </c:pt>
                <c:pt idx="62">
                  <c:v>381.36399999999998</c:v>
                </c:pt>
                <c:pt idx="63">
                  <c:v>357.59500000000003</c:v>
                </c:pt>
                <c:pt idx="64">
                  <c:v>353.3897785635836</c:v>
                </c:pt>
                <c:pt idx="65">
                  <c:v>320.07</c:v>
                </c:pt>
                <c:pt idx="66">
                  <c:v>376.57600000000002</c:v>
                </c:pt>
                <c:pt idx="67">
                  <c:v>400.44799999999998</c:v>
                </c:pt>
                <c:pt idx="68">
                  <c:v>408.27199999999999</c:v>
                </c:pt>
                <c:pt idx="69">
                  <c:v>377.58699999999999</c:v>
                </c:pt>
                <c:pt idx="70">
                  <c:v>173.584</c:v>
                </c:pt>
                <c:pt idx="71">
                  <c:v>62.51</c:v>
                </c:pt>
                <c:pt idx="72">
                  <c:v>288.64800000000002</c:v>
                </c:pt>
                <c:pt idx="73">
                  <c:v>319.48500000000001</c:v>
                </c:pt>
                <c:pt idx="74">
                  <c:v>275.25299999999999</c:v>
                </c:pt>
                <c:pt idx="75">
                  <c:v>298.3</c:v>
                </c:pt>
                <c:pt idx="76">
                  <c:v>296.39999999999998</c:v>
                </c:pt>
                <c:pt idx="77">
                  <c:v>294.50000000000006</c:v>
                </c:pt>
                <c:pt idx="78">
                  <c:v>258.40000000000003</c:v>
                </c:pt>
                <c:pt idx="79">
                  <c:v>307.8</c:v>
                </c:pt>
                <c:pt idx="80">
                  <c:v>338.2</c:v>
                </c:pt>
                <c:pt idx="81">
                  <c:v>345.8</c:v>
                </c:pt>
                <c:pt idx="83">
                  <c:v>357.2</c:v>
                </c:pt>
                <c:pt idx="84">
                  <c:v>364.8</c:v>
                </c:pt>
                <c:pt idx="85">
                  <c:v>393.29999999999995</c:v>
                </c:pt>
                <c:pt idx="86">
                  <c:v>383.8</c:v>
                </c:pt>
                <c:pt idx="87">
                  <c:v>370.5</c:v>
                </c:pt>
                <c:pt idx="88">
                  <c:v>361</c:v>
                </c:pt>
                <c:pt idx="89">
                  <c:v>326.79999999999995</c:v>
                </c:pt>
                <c:pt idx="90">
                  <c:v>321.10000000000002</c:v>
                </c:pt>
                <c:pt idx="91">
                  <c:v>338.2</c:v>
                </c:pt>
                <c:pt idx="92">
                  <c:v>328.7</c:v>
                </c:pt>
                <c:pt idx="93">
                  <c:v>357.2</c:v>
                </c:pt>
                <c:pt idx="94">
                  <c:v>326.79999999999995</c:v>
                </c:pt>
                <c:pt idx="95">
                  <c:v>338.2</c:v>
                </c:pt>
                <c:pt idx="96">
                  <c:v>374.3</c:v>
                </c:pt>
                <c:pt idx="97">
                  <c:v>381.9</c:v>
                </c:pt>
                <c:pt idx="98">
                  <c:v>376.2</c:v>
                </c:pt>
                <c:pt idx="99">
                  <c:v>328.7</c:v>
                </c:pt>
                <c:pt idx="100">
                  <c:v>353.40000000000003</c:v>
                </c:pt>
                <c:pt idx="101">
                  <c:v>359.09999999999997</c:v>
                </c:pt>
                <c:pt idx="102">
                  <c:v>324.90000000000003</c:v>
                </c:pt>
                <c:pt idx="104">
                  <c:v>267.89999999999998</c:v>
                </c:pt>
                <c:pt idx="105">
                  <c:v>317.29999999999995</c:v>
                </c:pt>
                <c:pt idx="106">
                  <c:v>304.00000000000006</c:v>
                </c:pt>
                <c:pt idx="107">
                  <c:v>359.09999999999997</c:v>
                </c:pt>
                <c:pt idx="108">
                  <c:v>393.29999999999995</c:v>
                </c:pt>
                <c:pt idx="109">
                  <c:v>370.5</c:v>
                </c:pt>
                <c:pt idx="110">
                  <c:v>359.09999999999997</c:v>
                </c:pt>
                <c:pt idx="111">
                  <c:v>383.8</c:v>
                </c:pt>
                <c:pt idx="112">
                  <c:v>359.09999999999997</c:v>
                </c:pt>
                <c:pt idx="113">
                  <c:v>362.9</c:v>
                </c:pt>
                <c:pt idx="114">
                  <c:v>349.6</c:v>
                </c:pt>
                <c:pt idx="115">
                  <c:v>340.1</c:v>
                </c:pt>
                <c:pt idx="116">
                  <c:v>302.10000000000002</c:v>
                </c:pt>
                <c:pt idx="117">
                  <c:v>277.39999999999998</c:v>
                </c:pt>
                <c:pt idx="118">
                  <c:v>359.09999999999997</c:v>
                </c:pt>
                <c:pt idx="119">
                  <c:v>408.5</c:v>
                </c:pt>
                <c:pt idx="121">
                  <c:v>222.87</c:v>
                </c:pt>
                <c:pt idx="122">
                  <c:v>323</c:v>
                </c:pt>
                <c:pt idx="123">
                  <c:v>323</c:v>
                </c:pt>
                <c:pt idx="124">
                  <c:v>324.90000000000003</c:v>
                </c:pt>
                <c:pt idx="125">
                  <c:v>281.2</c:v>
                </c:pt>
                <c:pt idx="126">
                  <c:v>273.60000000000002</c:v>
                </c:pt>
                <c:pt idx="127">
                  <c:v>247.00000000000003</c:v>
                </c:pt>
                <c:pt idx="128">
                  <c:v>227.99999999999997</c:v>
                </c:pt>
                <c:pt idx="129">
                  <c:v>203.3</c:v>
                </c:pt>
                <c:pt idx="130">
                  <c:v>231.8</c:v>
                </c:pt>
                <c:pt idx="131">
                  <c:v>267.89999999999998</c:v>
                </c:pt>
                <c:pt idx="132">
                  <c:v>313.5</c:v>
                </c:pt>
                <c:pt idx="133">
                  <c:v>336.3</c:v>
                </c:pt>
                <c:pt idx="134">
                  <c:v>324.90000000000003</c:v>
                </c:pt>
                <c:pt idx="135">
                  <c:v>323</c:v>
                </c:pt>
                <c:pt idx="136">
                  <c:v>366.7</c:v>
                </c:pt>
                <c:pt idx="137">
                  <c:v>357.2</c:v>
                </c:pt>
                <c:pt idx="138">
                  <c:v>311.59999999999997</c:v>
                </c:pt>
                <c:pt idx="139">
                  <c:v>309.7</c:v>
                </c:pt>
                <c:pt idx="140">
                  <c:v>357.2</c:v>
                </c:pt>
                <c:pt idx="141">
                  <c:v>343.90000000000003</c:v>
                </c:pt>
                <c:pt idx="142">
                  <c:v>345.8</c:v>
                </c:pt>
                <c:pt idx="143">
                  <c:v>324.90000000000003</c:v>
                </c:pt>
                <c:pt idx="144">
                  <c:v>323</c:v>
                </c:pt>
                <c:pt idx="145">
                  <c:v>319.2</c:v>
                </c:pt>
                <c:pt idx="146">
                  <c:v>330.6</c:v>
                </c:pt>
                <c:pt idx="147">
                  <c:v>319.2</c:v>
                </c:pt>
                <c:pt idx="148">
                  <c:v>315.40000000000003</c:v>
                </c:pt>
                <c:pt idx="149">
                  <c:v>328.7</c:v>
                </c:pt>
                <c:pt idx="150">
                  <c:v>376.2</c:v>
                </c:pt>
                <c:pt idx="151">
                  <c:v>372.40000000000003</c:v>
                </c:pt>
                <c:pt idx="152">
                  <c:v>372.40000000000003</c:v>
                </c:pt>
                <c:pt idx="153">
                  <c:v>343.90000000000003</c:v>
                </c:pt>
                <c:pt idx="154">
                  <c:v>389.49999999999994</c:v>
                </c:pt>
                <c:pt idx="155">
                  <c:v>288.8</c:v>
                </c:pt>
                <c:pt idx="157">
                  <c:v>313.5</c:v>
                </c:pt>
                <c:pt idx="158">
                  <c:v>305.89999999999998</c:v>
                </c:pt>
                <c:pt idx="159">
                  <c:v>319.2</c:v>
                </c:pt>
                <c:pt idx="160">
                  <c:v>288.8</c:v>
                </c:pt>
                <c:pt idx="161">
                  <c:v>290.7</c:v>
                </c:pt>
                <c:pt idx="162">
                  <c:v>290.7</c:v>
                </c:pt>
                <c:pt idx="163">
                  <c:v>376.2</c:v>
                </c:pt>
                <c:pt idx="164">
                  <c:v>385.7</c:v>
                </c:pt>
                <c:pt idx="165">
                  <c:v>376.2</c:v>
                </c:pt>
                <c:pt idx="166">
                  <c:v>395.2</c:v>
                </c:pt>
                <c:pt idx="167">
                  <c:v>400.9</c:v>
                </c:pt>
                <c:pt idx="168">
                  <c:v>378.09999999999997</c:v>
                </c:pt>
                <c:pt idx="170">
                  <c:v>395.2</c:v>
                </c:pt>
                <c:pt idx="171">
                  <c:v>5.7</c:v>
                </c:pt>
                <c:pt idx="173">
                  <c:v>243.2</c:v>
                </c:pt>
                <c:pt idx="174">
                  <c:v>391.40000000000003</c:v>
                </c:pt>
                <c:pt idx="175">
                  <c:v>324.90000000000003</c:v>
                </c:pt>
                <c:pt idx="176">
                  <c:v>313.5</c:v>
                </c:pt>
                <c:pt idx="177">
                  <c:v>279.3</c:v>
                </c:pt>
                <c:pt idx="178">
                  <c:v>275.49999999999994</c:v>
                </c:pt>
                <c:pt idx="179">
                  <c:v>290.7</c:v>
                </c:pt>
                <c:pt idx="180">
                  <c:v>281.2</c:v>
                </c:pt>
                <c:pt idx="181">
                  <c:v>262.2</c:v>
                </c:pt>
                <c:pt idx="182">
                  <c:v>302.10000000000002</c:v>
                </c:pt>
                <c:pt idx="183">
                  <c:v>311.59999999999997</c:v>
                </c:pt>
                <c:pt idx="184">
                  <c:v>302.10000000000002</c:v>
                </c:pt>
                <c:pt idx="185">
                  <c:v>311.59999999999997</c:v>
                </c:pt>
                <c:pt idx="186">
                  <c:v>152.00000000000003</c:v>
                </c:pt>
                <c:pt idx="187">
                  <c:v>376.2</c:v>
                </c:pt>
                <c:pt idx="188">
                  <c:v>328.7</c:v>
                </c:pt>
                <c:pt idx="189">
                  <c:v>359.09999999999997</c:v>
                </c:pt>
                <c:pt idx="190">
                  <c:v>387.6</c:v>
                </c:pt>
                <c:pt idx="191">
                  <c:v>410.40000000000003</c:v>
                </c:pt>
                <c:pt idx="192">
                  <c:v>400.9</c:v>
                </c:pt>
                <c:pt idx="193">
                  <c:v>425.6</c:v>
                </c:pt>
                <c:pt idx="194">
                  <c:v>395.2</c:v>
                </c:pt>
                <c:pt idx="195">
                  <c:v>353.40000000000003</c:v>
                </c:pt>
                <c:pt idx="196">
                  <c:v>336.3</c:v>
                </c:pt>
                <c:pt idx="197">
                  <c:v>400.9</c:v>
                </c:pt>
                <c:pt idx="198">
                  <c:v>421.80000000000007</c:v>
                </c:pt>
                <c:pt idx="199">
                  <c:v>410.40000000000003</c:v>
                </c:pt>
                <c:pt idx="200">
                  <c:v>383.8</c:v>
                </c:pt>
                <c:pt idx="201">
                  <c:v>399</c:v>
                </c:pt>
                <c:pt idx="202">
                  <c:v>408.5</c:v>
                </c:pt>
                <c:pt idx="203">
                  <c:v>380</c:v>
                </c:pt>
                <c:pt idx="204">
                  <c:v>387.6</c:v>
                </c:pt>
                <c:pt idx="205">
                  <c:v>374.3</c:v>
                </c:pt>
                <c:pt idx="206">
                  <c:v>387.6</c:v>
                </c:pt>
                <c:pt idx="207">
                  <c:v>408.5</c:v>
                </c:pt>
                <c:pt idx="208">
                  <c:v>176.70000000000002</c:v>
                </c:pt>
                <c:pt idx="209">
                  <c:v>298.3</c:v>
                </c:pt>
                <c:pt idx="210">
                  <c:v>385.7</c:v>
                </c:pt>
                <c:pt idx="211">
                  <c:v>336.3</c:v>
                </c:pt>
                <c:pt idx="212">
                  <c:v>323</c:v>
                </c:pt>
                <c:pt idx="213">
                  <c:v>323</c:v>
                </c:pt>
                <c:pt idx="214">
                  <c:v>351.50000000000006</c:v>
                </c:pt>
                <c:pt idx="215">
                  <c:v>383.8</c:v>
                </c:pt>
                <c:pt idx="216">
                  <c:v>383.8</c:v>
                </c:pt>
                <c:pt idx="217">
                  <c:v>355.3</c:v>
                </c:pt>
                <c:pt idx="218">
                  <c:v>357.2</c:v>
                </c:pt>
                <c:pt idx="219">
                  <c:v>328.7</c:v>
                </c:pt>
                <c:pt idx="220">
                  <c:v>342</c:v>
                </c:pt>
                <c:pt idx="221">
                  <c:v>309.7</c:v>
                </c:pt>
                <c:pt idx="222">
                  <c:v>328.7</c:v>
                </c:pt>
                <c:pt idx="223">
                  <c:v>345.8</c:v>
                </c:pt>
                <c:pt idx="224">
                  <c:v>378.09999999999997</c:v>
                </c:pt>
                <c:pt idx="225">
                  <c:v>362.9</c:v>
                </c:pt>
                <c:pt idx="226">
                  <c:v>150.10000000000002</c:v>
                </c:pt>
                <c:pt idx="227">
                  <c:v>214.69999999999996</c:v>
                </c:pt>
                <c:pt idx="228">
                  <c:v>311.59999999999997</c:v>
                </c:pt>
                <c:pt idx="229">
                  <c:v>290.7</c:v>
                </c:pt>
                <c:pt idx="230">
                  <c:v>288.8</c:v>
                </c:pt>
                <c:pt idx="231">
                  <c:v>288.8</c:v>
                </c:pt>
                <c:pt idx="232" formatCode="0">
                  <c:v>336.3</c:v>
                </c:pt>
                <c:pt idx="233" formatCode="0">
                  <c:v>370.5</c:v>
                </c:pt>
                <c:pt idx="234" formatCode="0">
                  <c:v>364.8</c:v>
                </c:pt>
                <c:pt idx="235" formatCode="0">
                  <c:v>326.79999999999995</c:v>
                </c:pt>
                <c:pt idx="236" formatCode="0">
                  <c:v>342</c:v>
                </c:pt>
                <c:pt idx="237" formatCode="0">
                  <c:v>359.09999999999997</c:v>
                </c:pt>
                <c:pt idx="238" formatCode="0">
                  <c:v>381.9</c:v>
                </c:pt>
                <c:pt idx="239" formatCode="0">
                  <c:v>410.40000000000003</c:v>
                </c:pt>
                <c:pt idx="240" formatCode="0">
                  <c:v>374.3</c:v>
                </c:pt>
                <c:pt idx="241" formatCode="0">
                  <c:v>361</c:v>
                </c:pt>
                <c:pt idx="242" formatCode="0">
                  <c:v>368.59999999999997</c:v>
                </c:pt>
                <c:pt idx="243" formatCode="0">
                  <c:v>414.2</c:v>
                </c:pt>
                <c:pt idx="244" formatCode="0">
                  <c:v>378.09999999999997</c:v>
                </c:pt>
                <c:pt idx="245" formatCode="0">
                  <c:v>391.40000000000003</c:v>
                </c:pt>
                <c:pt idx="246" formatCode="0">
                  <c:v>361</c:v>
                </c:pt>
                <c:pt idx="247" formatCode="0">
                  <c:v>374.3</c:v>
                </c:pt>
                <c:pt idx="248" formatCode="0">
                  <c:v>393.29999999999995</c:v>
                </c:pt>
                <c:pt idx="249" formatCode="0">
                  <c:v>395.2</c:v>
                </c:pt>
                <c:pt idx="250" formatCode="0">
                  <c:v>383.8</c:v>
                </c:pt>
                <c:pt idx="251" formatCode="0">
                  <c:v>389.49999999999994</c:v>
                </c:pt>
                <c:pt idx="252" formatCode="0">
                  <c:v>389.49999999999994</c:v>
                </c:pt>
                <c:pt idx="253" formatCode="0">
                  <c:v>418.00000000000006</c:v>
                </c:pt>
                <c:pt idx="254" formatCode="0">
                  <c:v>425.6</c:v>
                </c:pt>
                <c:pt idx="255" formatCode="0">
                  <c:v>390</c:v>
                </c:pt>
                <c:pt idx="256" formatCode="0">
                  <c:v>390</c:v>
                </c:pt>
                <c:pt idx="257" formatCode="0">
                  <c:v>287</c:v>
                </c:pt>
                <c:pt idx="258" formatCode="0">
                  <c:v>293</c:v>
                </c:pt>
                <c:pt idx="259" formatCode="0">
                  <c:v>391</c:v>
                </c:pt>
                <c:pt idx="260" formatCode="0">
                  <c:v>399.01492730634089</c:v>
                </c:pt>
                <c:pt idx="261" formatCode="0">
                  <c:v>368.61378998776252</c:v>
                </c:pt>
                <c:pt idx="262" formatCode="0">
                  <c:v>374.31400323499594</c:v>
                </c:pt>
                <c:pt idx="263" formatCode="0">
                  <c:v>359.11343457570678</c:v>
                </c:pt>
                <c:pt idx="264" formatCode="0">
                  <c:v>315.4117996802504</c:v>
                </c:pt>
                <c:pt idx="265" formatCode="0">
                  <c:v>355.31329241088451</c:v>
                </c:pt>
                <c:pt idx="266" formatCode="0">
                  <c:v>355.31329241088451</c:v>
                </c:pt>
                <c:pt idx="267" formatCode="0">
                  <c:v>395.21478514151858</c:v>
                </c:pt>
                <c:pt idx="268" formatCode="0">
                  <c:v>328.7122972571284</c:v>
                </c:pt>
                <c:pt idx="269" formatCode="0">
                  <c:v>366.7137189053513</c:v>
                </c:pt>
                <c:pt idx="270" formatCode="0">
                  <c:v>457.91713086108643</c:v>
                </c:pt>
                <c:pt idx="271" formatCode="0">
                  <c:v>361.01350565811788</c:v>
                </c:pt>
                <c:pt idx="272" formatCode="0">
                  <c:v>28.501066236167201</c:v>
                </c:pt>
                <c:pt idx="273" formatCode="0">
                  <c:v>89.30334087332389</c:v>
                </c:pt>
                <c:pt idx="274" formatCode="0">
                  <c:v>368.61378998776252</c:v>
                </c:pt>
                <c:pt idx="275" formatCode="0">
                  <c:v>408.51528271839652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F-48AF-A725-29E3DD362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975576"/>
        <c:axId val="1666974592"/>
      </c:lineChart>
      <c:dateAx>
        <c:axId val="166697557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66974592"/>
        <c:crosses val="autoZero"/>
        <c:auto val="1"/>
        <c:lblOffset val="100"/>
        <c:baseTimeUnit val="days"/>
      </c:dateAx>
      <c:valAx>
        <c:axId val="16669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(000</a:t>
                </a:r>
                <a:r>
                  <a:rPr lang="en-US" baseline="0"/>
                  <a:t> tonnes)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66975576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E81B3F-3B1C-4402-9E4C-8CB9858A5B7A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2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3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1D477D-8DD1-4492-93A8-83D6E1313C0E}">
  <sheetPr codeName="Chart4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E5ACC8-589D-4715-A781-4A2BB07DF2DD}">
  <sheetPr codeName="Chart5"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2BFD73-F314-4BD8-AC79-373BE264FC82}">
  <sheetPr codeName="Chart10"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C6B11D-DCF3-4199-B97B-EF4D5E422E3F}">
  <sheetPr codeName="Chart11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585EFF-B7FC-4AD9-92B0-3EA6BA22D7F2}">
  <sheetPr codeName="Chart12"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5326" cy="6284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2E93B-863F-51DD-3F1B-5D6CDA2DA5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0.02314</cdr:x>
      <cdr:y>0.93043</cdr:y>
    </cdr:from>
    <cdr:to>
      <cdr:x>0.54125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ADAA64-D330-87AF-B620-66378AA84D0F}"/>
            </a:ext>
          </a:extLst>
        </cdr:cNvPr>
        <cdr:cNvSpPr txBox="1"/>
      </cdr:nvSpPr>
      <cdr:spPr>
        <a:xfrm xmlns:a="http://schemas.openxmlformats.org/drawingml/2006/main">
          <a:off x="215432" y="5660466"/>
          <a:ext cx="4823600" cy="423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0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National Oilseed Processors Association (NOPA)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68088-518F-4FF5-9C2D-9E267304D0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E2962-8007-4594-B09E-498F83120D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0.48062</cdr:x>
      <cdr:y>0.95159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44E2291-24CA-40DB-9934-ABC016A9A931}"/>
            </a:ext>
          </a:extLst>
        </cdr:cNvPr>
        <cdr:cNvSpPr txBox="1"/>
      </cdr:nvSpPr>
      <cdr:spPr>
        <a:xfrm xmlns:a="http://schemas.openxmlformats.org/drawingml/2006/main">
          <a:off x="4564165" y="5121100"/>
          <a:ext cx="4932260" cy="26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NOPA represents about 95% of the domestic crushing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industry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0.95398</cdr:y>
    </cdr:from>
    <cdr:to>
      <cdr:x>0.25075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2A67767-C1A8-4FF6-90A1-D7D71073C01E}"/>
            </a:ext>
          </a:extLst>
        </cdr:cNvPr>
        <cdr:cNvSpPr txBox="1"/>
      </cdr:nvSpPr>
      <cdr:spPr>
        <a:xfrm xmlns:a="http://schemas.openxmlformats.org/drawingml/2006/main">
          <a:off x="0" y="5133975"/>
          <a:ext cx="23812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Th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BB64C-E082-48B7-A2DF-CE1B363ADA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832C3-BE0A-43EE-B592-E2156AFF33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C9A38-1EEA-4F57-8D67-81C3D61025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077C7-B1C3-BA54-428E-D1A0B98BF3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0.02006</cdr:x>
      <cdr:y>0.95067</cdr:y>
    </cdr:from>
    <cdr:to>
      <cdr:x>0.22672</cdr:x>
      <cdr:y>0.99682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DF06E9C-1452-4301-A325-B18555D6B837}"/>
            </a:ext>
          </a:extLst>
        </cdr:cNvPr>
        <cdr:cNvSpPr txBox="1"/>
      </cdr:nvSpPr>
      <cdr:spPr>
        <a:xfrm xmlns:a="http://schemas.openxmlformats.org/drawingml/2006/main">
          <a:off x="190500" y="5118652"/>
          <a:ext cx="1962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COFEED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4B269-9B2C-3B79-805C-60525E60F8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0.00535</cdr:x>
      <cdr:y>0.94526</cdr:y>
    </cdr:from>
    <cdr:to>
      <cdr:x>0.21201</cdr:x>
      <cdr:y>0.99141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73338C-D573-491E-98DE-B129BF1850F9}"/>
            </a:ext>
          </a:extLst>
        </cdr:cNvPr>
        <cdr:cNvSpPr txBox="1"/>
      </cdr:nvSpPr>
      <cdr:spPr>
        <a:xfrm xmlns:a="http://schemas.openxmlformats.org/drawingml/2006/main">
          <a:off x="50800" y="5089525"/>
          <a:ext cx="1962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COFEED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A6AEE-1F8F-E00F-A35E-62E16C0392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0.94349</cdr:y>
    </cdr:from>
    <cdr:to>
      <cdr:x>0.20666</cdr:x>
      <cdr:y>0.98964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73338C-D573-491E-98DE-B129BF1850F9}"/>
            </a:ext>
          </a:extLst>
        </cdr:cNvPr>
        <cdr:cNvSpPr txBox="1"/>
      </cdr:nvSpPr>
      <cdr:spPr>
        <a:xfrm xmlns:a="http://schemas.openxmlformats.org/drawingml/2006/main">
          <a:off x="0" y="5080000"/>
          <a:ext cx="1962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COFEED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US%20Oilseed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>
        <row r="13">
          <cell r="M13">
            <v>2285.3031666666666</v>
          </cell>
        </row>
      </sheetData>
      <sheetData sheetId="1"/>
      <sheetData sheetId="2"/>
      <sheetData sheetId="3"/>
      <sheetData sheetId="4"/>
      <sheetData sheetId="5">
        <row r="148">
          <cell r="A148" t="str">
            <v>September</v>
          </cell>
          <cell r="BO148">
            <v>184</v>
          </cell>
          <cell r="BP148">
            <v>195</v>
          </cell>
          <cell r="BQ148">
            <v>197</v>
          </cell>
          <cell r="BR148">
            <v>201</v>
          </cell>
        </row>
        <row r="149">
          <cell r="A149" t="str">
            <v>October</v>
          </cell>
          <cell r="BO149">
            <v>215</v>
          </cell>
          <cell r="BP149">
            <v>232</v>
          </cell>
          <cell r="BQ149">
            <v>233</v>
          </cell>
          <cell r="BR149">
            <v>236</v>
          </cell>
        </row>
        <row r="150">
          <cell r="A150" t="str">
            <v>November</v>
          </cell>
          <cell r="BO150">
            <v>201</v>
          </cell>
          <cell r="BP150">
            <v>226</v>
          </cell>
          <cell r="BQ150">
            <v>225</v>
          </cell>
          <cell r="BR150">
            <v>230</v>
          </cell>
        </row>
        <row r="151">
          <cell r="A151" t="str">
            <v>December</v>
          </cell>
          <cell r="BO151">
            <v>225</v>
          </cell>
          <cell r="BP151">
            <v>230</v>
          </cell>
          <cell r="BQ151">
            <v>232</v>
          </cell>
          <cell r="BR151">
            <v>239</v>
          </cell>
        </row>
        <row r="152">
          <cell r="A152" t="str">
            <v>January</v>
          </cell>
          <cell r="BO152">
            <v>223</v>
          </cell>
          <cell r="BP152">
            <v>225</v>
          </cell>
          <cell r="BQ152">
            <v>230</v>
          </cell>
          <cell r="BR152">
            <v>234</v>
          </cell>
        </row>
        <row r="153">
          <cell r="A153" t="str">
            <v>February</v>
          </cell>
          <cell r="BO153">
            <v>203</v>
          </cell>
          <cell r="BP153">
            <v>210</v>
          </cell>
          <cell r="BQ153">
            <v>212</v>
          </cell>
          <cell r="BR153">
            <v>218</v>
          </cell>
        </row>
        <row r="154">
          <cell r="A154" t="str">
            <v>March</v>
          </cell>
          <cell r="BO154">
            <v>234</v>
          </cell>
          <cell r="BP154">
            <v>228</v>
          </cell>
          <cell r="BQ154">
            <v>232</v>
          </cell>
          <cell r="BR154">
            <v>240</v>
          </cell>
        </row>
        <row r="155">
          <cell r="A155" t="str">
            <v>April</v>
          </cell>
          <cell r="BO155">
            <v>205</v>
          </cell>
          <cell r="BP155">
            <v>214</v>
          </cell>
          <cell r="BQ155">
            <v>213</v>
          </cell>
          <cell r="BR155">
            <v>220</v>
          </cell>
        </row>
        <row r="156">
          <cell r="A156" t="str">
            <v>May</v>
          </cell>
          <cell r="BO156">
            <v>210</v>
          </cell>
          <cell r="BP156">
            <v>219</v>
          </cell>
          <cell r="BQ156">
            <v>220</v>
          </cell>
          <cell r="BR156">
            <v>226</v>
          </cell>
        </row>
        <row r="157">
          <cell r="A157" t="str">
            <v>June</v>
          </cell>
          <cell r="BO157">
            <v>199</v>
          </cell>
          <cell r="BP157">
            <v>209</v>
          </cell>
          <cell r="BQ157">
            <v>209</v>
          </cell>
          <cell r="BR157">
            <v>218</v>
          </cell>
        </row>
        <row r="158">
          <cell r="A158" t="str">
            <v>July</v>
          </cell>
          <cell r="BN158">
            <v>203</v>
          </cell>
          <cell r="BO158">
            <v>207</v>
          </cell>
          <cell r="BP158">
            <v>216</v>
          </cell>
          <cell r="BQ158">
            <v>218</v>
          </cell>
          <cell r="BR158">
            <v>227</v>
          </cell>
        </row>
        <row r="159">
          <cell r="A159" t="str">
            <v>August</v>
          </cell>
          <cell r="BN159">
            <v>179.85930000000008</v>
          </cell>
          <cell r="BO159">
            <v>214</v>
          </cell>
          <cell r="BP159">
            <v>196</v>
          </cell>
          <cell r="BQ159">
            <v>204</v>
          </cell>
          <cell r="BR159">
            <v>211</v>
          </cell>
        </row>
        <row r="212">
          <cell r="BG212">
            <v>797.37959599999999</v>
          </cell>
          <cell r="BH212">
            <v>1108.262663</v>
          </cell>
          <cell r="BI212">
            <v>1130.33554783</v>
          </cell>
          <cell r="BJ212">
            <v>1005.0901000000001</v>
          </cell>
        </row>
        <row r="213">
          <cell r="BG213">
            <v>1128.056341</v>
          </cell>
          <cell r="BH213">
            <v>1167.636585</v>
          </cell>
          <cell r="BI213">
            <v>1237.8717879800001</v>
          </cell>
          <cell r="BJ213">
            <v>1158.6508000000001</v>
          </cell>
        </row>
        <row r="214">
          <cell r="BG214">
            <v>1189.7520930000001</v>
          </cell>
          <cell r="BH214">
            <v>1168.1914698759999</v>
          </cell>
          <cell r="BI214">
            <v>1085.8195555100001</v>
          </cell>
          <cell r="BJ214">
            <v>1314.7445</v>
          </cell>
        </row>
        <row r="215">
          <cell r="BG215">
            <v>1190.3170930000001</v>
          </cell>
          <cell r="BH215">
            <v>1566.2805289700002</v>
          </cell>
          <cell r="BI215">
            <v>975.24079999999992</v>
          </cell>
          <cell r="BJ215">
            <v>1278.9276</v>
          </cell>
        </row>
        <row r="216">
          <cell r="BG216">
            <v>1257.2756320000001</v>
          </cell>
          <cell r="BH216">
            <v>1085.3657044399999</v>
          </cell>
          <cell r="BI216">
            <v>1217.7133999999999</v>
          </cell>
          <cell r="BJ216">
            <v>1165.3915</v>
          </cell>
        </row>
        <row r="217">
          <cell r="BG217">
            <v>1344.517869</v>
          </cell>
          <cell r="BH217">
            <v>1171.2207246799999</v>
          </cell>
          <cell r="BI217">
            <v>1239.2695000000001</v>
          </cell>
          <cell r="BJ217">
            <v>1192.1148000000001</v>
          </cell>
        </row>
        <row r="218">
          <cell r="BG218">
            <v>1236.16417</v>
          </cell>
          <cell r="BH218">
            <v>1382.5652477400001</v>
          </cell>
          <cell r="BI218">
            <v>1097.9633000000001</v>
          </cell>
          <cell r="BJ218">
            <v>957.27910000000008</v>
          </cell>
        </row>
        <row r="219">
          <cell r="BG219">
            <v>1301.280755</v>
          </cell>
          <cell r="BH219">
            <v>1066.4595813999999</v>
          </cell>
          <cell r="BI219">
            <v>982.47129999999993</v>
          </cell>
          <cell r="BJ219">
            <v>955.98219999999992</v>
          </cell>
        </row>
        <row r="220">
          <cell r="BG220">
            <v>1402.3075179999998</v>
          </cell>
          <cell r="BH220">
            <v>817.39432807000003</v>
          </cell>
          <cell r="BI220">
            <v>991.90790000000004</v>
          </cell>
          <cell r="BJ220">
            <v>789.74419999999998</v>
          </cell>
        </row>
        <row r="221">
          <cell r="BG221">
            <v>1094.6885260000001</v>
          </cell>
          <cell r="BH221">
            <v>904.11812029999999</v>
          </cell>
          <cell r="BI221">
            <v>998.93580000000009</v>
          </cell>
          <cell r="BJ221">
            <v>979.60619999999994</v>
          </cell>
        </row>
        <row r="222">
          <cell r="BF222">
            <v>881.92067199999997</v>
          </cell>
          <cell r="BG222">
            <v>1223.211581</v>
          </cell>
          <cell r="BH222">
            <v>1037.90920252</v>
          </cell>
          <cell r="BI222">
            <v>1013.4987000000001</v>
          </cell>
          <cell r="BJ222">
            <v>846.72209999999995</v>
          </cell>
        </row>
        <row r="223">
          <cell r="BF223">
            <v>694.97980000000007</v>
          </cell>
          <cell r="BG223">
            <v>1061.0483980000001</v>
          </cell>
          <cell r="BH223">
            <v>951.76359695999997</v>
          </cell>
          <cell r="BI223">
            <v>894.75470000000007</v>
          </cell>
          <cell r="BJ223">
            <v>761.82780000000002</v>
          </cell>
        </row>
        <row r="386">
          <cell r="BM386" t="str">
            <v xml:space="preserve">23/24 </v>
          </cell>
          <cell r="BN386" t="str">
            <v xml:space="preserve">24/25 </v>
          </cell>
        </row>
        <row r="483">
          <cell r="BI483">
            <v>1820.9580000000001</v>
          </cell>
          <cell r="BJ483">
            <v>1968.011</v>
          </cell>
          <cell r="BK483">
            <v>2386.337</v>
          </cell>
          <cell r="BL483">
            <v>2093.623</v>
          </cell>
          <cell r="BM483">
            <v>1501.6000000000001</v>
          </cell>
          <cell r="BN483">
            <v>1592.123</v>
          </cell>
          <cell r="BO483">
            <v>2894.4137782779203</v>
          </cell>
        </row>
        <row r="484">
          <cell r="BI484">
            <v>1880.3579999999999</v>
          </cell>
          <cell r="BJ484">
            <v>2117.0970000000002</v>
          </cell>
          <cell r="BK484">
            <v>2405.9629999999997</v>
          </cell>
          <cell r="BL484">
            <v>2112.2809999999999</v>
          </cell>
          <cell r="BM484">
            <v>1599.096</v>
          </cell>
          <cell r="BN484">
            <v>1618.1489999999999</v>
          </cell>
        </row>
        <row r="485">
          <cell r="BI485">
            <v>2134.0639999999999</v>
          </cell>
          <cell r="BJ485">
            <v>2110.7860000000001</v>
          </cell>
          <cell r="BK485">
            <v>2465.8910000000001</v>
          </cell>
          <cell r="BL485">
            <v>2306.1469999999999</v>
          </cell>
          <cell r="BM485">
            <v>1823.8340000000001</v>
          </cell>
          <cell r="BN485">
            <v>1687.1959999999999</v>
          </cell>
        </row>
        <row r="486">
          <cell r="BI486">
            <v>2355.8969999999999</v>
          </cell>
          <cell r="BJ486">
            <v>2305.991</v>
          </cell>
          <cell r="BK486">
            <v>2499.924</v>
          </cell>
          <cell r="BL486">
            <v>2356.4009999999998</v>
          </cell>
          <cell r="BM486">
            <v>2028.049</v>
          </cell>
          <cell r="BN486">
            <v>2090.2280000000001</v>
          </cell>
        </row>
        <row r="487">
          <cell r="BI487">
            <v>2376.7980000000002</v>
          </cell>
          <cell r="BJ487">
            <v>2305.9880000000003</v>
          </cell>
          <cell r="BK487">
            <v>2566.107</v>
          </cell>
          <cell r="BL487">
            <v>2363.797</v>
          </cell>
          <cell r="BM487">
            <v>2146.8090000000002</v>
          </cell>
        </row>
        <row r="488">
          <cell r="BI488">
            <v>2326.5940000000001</v>
          </cell>
          <cell r="BJ488">
            <v>2245.2779999999998</v>
          </cell>
          <cell r="BK488">
            <v>2433.7180000000003</v>
          </cell>
          <cell r="BL488">
            <v>2387.5129999999999</v>
          </cell>
          <cell r="BM488">
            <v>2368.567</v>
          </cell>
          <cell r="BN488">
            <v>2079.6689999999999</v>
          </cell>
        </row>
        <row r="489">
          <cell r="BI489">
            <v>2600.6010000000001</v>
          </cell>
          <cell r="BJ489">
            <v>2177.5879999999997</v>
          </cell>
          <cell r="BK489">
            <v>2424.192</v>
          </cell>
          <cell r="BL489">
            <v>2539.6790000000001</v>
          </cell>
          <cell r="BM489">
            <v>2310.846</v>
          </cell>
          <cell r="BN489">
            <v>1975.8400000000001</v>
          </cell>
        </row>
        <row r="490">
          <cell r="BI490">
            <v>2445.415</v>
          </cell>
          <cell r="BJ490">
            <v>2146.9879999999998</v>
          </cell>
          <cell r="BK490">
            <v>2384.373</v>
          </cell>
          <cell r="BL490">
            <v>2386.2220000000002</v>
          </cell>
          <cell r="BM490">
            <v>2187.8820000000001</v>
          </cell>
          <cell r="BN490">
            <v>1875.9259999999999</v>
          </cell>
        </row>
        <row r="491">
          <cell r="BI491">
            <v>2270.8110000000001</v>
          </cell>
          <cell r="BJ491">
            <v>2100.654</v>
          </cell>
          <cell r="BK491">
            <v>2315.5039999999999</v>
          </cell>
          <cell r="BL491">
            <v>2203.0349999999999</v>
          </cell>
          <cell r="BM491">
            <v>2124.991</v>
          </cell>
          <cell r="BN491">
            <v>1894.569</v>
          </cell>
        </row>
        <row r="492">
          <cell r="BI492">
            <v>2123.2240000000002</v>
          </cell>
          <cell r="BJ492">
            <v>2070.1109999999999</v>
          </cell>
          <cell r="BK492">
            <v>2266.7939999999999</v>
          </cell>
          <cell r="BL492">
            <v>2136.2019999999998</v>
          </cell>
          <cell r="BM492">
            <v>2008.5349999999999</v>
          </cell>
          <cell r="BN492">
            <v>2271.6739279703638</v>
          </cell>
        </row>
        <row r="493">
          <cell r="BI493">
            <v>1945.107</v>
          </cell>
          <cell r="BJ493">
            <v>2183.4409999999998</v>
          </cell>
          <cell r="BK493">
            <v>2103.7129999999997</v>
          </cell>
          <cell r="BL493">
            <v>1772.383</v>
          </cell>
          <cell r="BM493">
            <v>1629.431</v>
          </cell>
          <cell r="BN493">
            <v>2172.1640550345232</v>
          </cell>
        </row>
        <row r="494">
          <cell r="BI494">
            <v>1852.675</v>
          </cell>
          <cell r="BJ494">
            <v>2131.2330000000002</v>
          </cell>
          <cell r="BK494">
            <v>1991.1480000000001</v>
          </cell>
          <cell r="BL494">
            <v>1607.0720000000001</v>
          </cell>
          <cell r="BM494">
            <v>1550.8580000000002</v>
          </cell>
          <cell r="BN494">
            <v>2554.8910756973655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75">
          <cell r="BO275">
            <v>473.08143306375933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BL650"/>
  <sheetViews>
    <sheetView tabSelected="1" zoomScale="115" zoomScaleNormal="115" workbookViewId="0">
      <pane xSplit="1" ySplit="1" topLeftCell="B385" activePane="bottomRight" state="frozen"/>
      <selection activeCell="C111" sqref="C111"/>
      <selection pane="topRight" activeCell="C111" sqref="C111"/>
      <selection pane="bottomLeft" activeCell="C111" sqref="C111"/>
      <selection pane="bottomRight" activeCell="G385" sqref="G385"/>
    </sheetView>
  </sheetViews>
  <sheetFormatPr defaultColWidth="9.140625" defaultRowHeight="11.25"/>
  <cols>
    <col min="1" max="1" width="10.42578125" style="154" bestFit="1" customWidth="1"/>
    <col min="2" max="2" width="9.42578125" style="154" customWidth="1"/>
    <col min="3" max="9" width="9.28515625" style="154" customWidth="1"/>
    <col min="10" max="11" width="9.140625" style="154" customWidth="1"/>
    <col min="12" max="17" width="9.28515625" style="154" customWidth="1"/>
    <col min="18" max="18" width="9.28515625" style="203" customWidth="1"/>
    <col min="19" max="20" width="9.28515625" style="154" customWidth="1"/>
    <col min="21" max="21" width="9.28515625" style="154" bestFit="1" customWidth="1"/>
    <col min="22" max="32" width="9.28515625" style="202" bestFit="1" customWidth="1"/>
    <col min="33" max="33" width="9.42578125" style="202" bestFit="1" customWidth="1"/>
    <col min="34" max="35" width="9.28515625" style="202" bestFit="1" customWidth="1"/>
    <col min="36" max="52" width="9.28515625" style="154" bestFit="1" customWidth="1"/>
    <col min="53" max="53" width="9.140625" style="154"/>
    <col min="54" max="54" width="9.28515625" style="154" bestFit="1" customWidth="1"/>
    <col min="55" max="55" width="9.140625" style="154"/>
    <col min="56" max="57" width="9.28515625" style="154" bestFit="1" customWidth="1"/>
    <col min="58" max="58" width="9.42578125" style="154" bestFit="1" customWidth="1"/>
    <col min="59" max="59" width="9.140625" style="154"/>
    <col min="60" max="61" width="9.28515625" style="154" bestFit="1" customWidth="1"/>
    <col min="62" max="62" width="9.140625" style="154"/>
    <col min="63" max="63" width="10.42578125" style="154" bestFit="1" customWidth="1"/>
    <col min="64" max="64" width="9.42578125" style="154" bestFit="1" customWidth="1"/>
    <col min="65" max="16384" width="9.140625" style="154"/>
  </cols>
  <sheetData>
    <row r="1" spans="1:64" ht="106.5" customHeight="1" thickBot="1">
      <c r="A1" s="250" t="s">
        <v>0</v>
      </c>
      <c r="B1" s="250" t="s">
        <v>376</v>
      </c>
      <c r="C1" s="251" t="s">
        <v>1</v>
      </c>
      <c r="D1" s="251" t="s">
        <v>2</v>
      </c>
      <c r="E1" s="251" t="s">
        <v>3</v>
      </c>
      <c r="F1" s="252" t="s">
        <v>4</v>
      </c>
      <c r="G1" s="253" t="s">
        <v>5</v>
      </c>
      <c r="H1" s="254" t="s">
        <v>6</v>
      </c>
      <c r="I1" s="255" t="s">
        <v>7</v>
      </c>
      <c r="J1" s="256" t="s">
        <v>8</v>
      </c>
      <c r="K1" s="257" t="s">
        <v>2</v>
      </c>
      <c r="L1" s="253" t="s">
        <v>9</v>
      </c>
      <c r="M1" s="252" t="s">
        <v>2</v>
      </c>
      <c r="N1" s="252" t="s">
        <v>10</v>
      </c>
      <c r="O1" s="256" t="s">
        <v>11</v>
      </c>
      <c r="P1" s="257" t="s">
        <v>2</v>
      </c>
      <c r="Q1" s="253" t="s">
        <v>12</v>
      </c>
      <c r="R1" s="258" t="s">
        <v>13</v>
      </c>
      <c r="S1" s="257" t="s">
        <v>2</v>
      </c>
      <c r="T1" s="259"/>
      <c r="U1" s="259"/>
      <c r="V1" s="260" t="s">
        <v>14</v>
      </c>
      <c r="W1" s="260" t="s">
        <v>15</v>
      </c>
      <c r="X1" s="260" t="s">
        <v>16</v>
      </c>
      <c r="Y1" s="261" t="s">
        <v>17</v>
      </c>
      <c r="Z1" s="260" t="s">
        <v>18</v>
      </c>
      <c r="AA1" s="260" t="s">
        <v>19</v>
      </c>
      <c r="AB1" s="260" t="s">
        <v>20</v>
      </c>
      <c r="AC1" s="260" t="s">
        <v>21</v>
      </c>
      <c r="AD1" s="261" t="s">
        <v>419</v>
      </c>
      <c r="AE1" s="261"/>
      <c r="AF1" s="262"/>
      <c r="AG1" s="262"/>
      <c r="AH1" s="260" t="s">
        <v>23</v>
      </c>
      <c r="AI1" s="260" t="s">
        <v>378</v>
      </c>
      <c r="AJ1" s="263" t="s">
        <v>24</v>
      </c>
      <c r="AK1" s="264" t="s">
        <v>25</v>
      </c>
      <c r="AL1" s="263" t="s">
        <v>26</v>
      </c>
      <c r="AM1" s="263" t="s">
        <v>27</v>
      </c>
      <c r="AN1" s="263" t="s">
        <v>28</v>
      </c>
      <c r="AO1" s="263" t="s">
        <v>29</v>
      </c>
      <c r="AP1" s="263" t="s">
        <v>30</v>
      </c>
      <c r="AQ1" s="263" t="s">
        <v>31</v>
      </c>
      <c r="AR1" s="263" t="s">
        <v>420</v>
      </c>
      <c r="AS1" s="263" t="s">
        <v>421</v>
      </c>
      <c r="AT1" s="263" t="s">
        <v>32</v>
      </c>
      <c r="AU1" s="263" t="s">
        <v>33</v>
      </c>
      <c r="AV1" s="263" t="s">
        <v>34</v>
      </c>
      <c r="AW1" s="263" t="s">
        <v>35</v>
      </c>
      <c r="AX1" s="263" t="s">
        <v>36</v>
      </c>
      <c r="AY1" s="263" t="s">
        <v>37</v>
      </c>
      <c r="AZ1" s="263" t="s">
        <v>38</v>
      </c>
      <c r="BA1" s="259"/>
      <c r="BB1" s="259" t="s">
        <v>39</v>
      </c>
      <c r="BC1" s="265"/>
      <c r="BD1" s="265"/>
      <c r="BE1" s="156" t="s">
        <v>40</v>
      </c>
      <c r="BF1" s="156" t="s">
        <v>41</v>
      </c>
      <c r="BG1" s="156" t="s">
        <v>380</v>
      </c>
      <c r="BH1" s="156" t="s">
        <v>379</v>
      </c>
      <c r="BI1" s="156" t="s">
        <v>381</v>
      </c>
      <c r="BK1" s="154" t="s">
        <v>417</v>
      </c>
      <c r="BL1" s="156" t="s">
        <v>442</v>
      </c>
    </row>
    <row r="2" spans="1:64">
      <c r="A2" s="266">
        <v>29099</v>
      </c>
      <c r="B2" s="266"/>
      <c r="C2" s="267"/>
      <c r="D2" s="268">
        <v>0.37666666666667936</v>
      </c>
      <c r="E2" s="267"/>
      <c r="F2" s="267"/>
      <c r="G2" s="269">
        <v>75.5</v>
      </c>
      <c r="H2" s="267"/>
      <c r="I2" s="267"/>
      <c r="J2" s="270">
        <v>47.3</v>
      </c>
      <c r="K2" s="267"/>
      <c r="L2" s="267"/>
      <c r="M2" s="267"/>
      <c r="N2" s="202">
        <v>845.1</v>
      </c>
      <c r="O2" s="270">
        <v>11.2</v>
      </c>
      <c r="P2" s="267"/>
      <c r="Q2" s="202">
        <v>215.4</v>
      </c>
      <c r="R2" s="199"/>
      <c r="S2" s="267"/>
      <c r="T2" s="267"/>
      <c r="U2" s="267"/>
      <c r="V2" s="271">
        <v>21.030999999999999</v>
      </c>
      <c r="W2" s="271">
        <v>7.9720000000000004</v>
      </c>
      <c r="X2" s="271">
        <v>10.805999999999999</v>
      </c>
      <c r="Y2" s="271"/>
      <c r="Z2" s="271">
        <v>7.4050000000000002</v>
      </c>
      <c r="AA2" s="271">
        <v>9.3670000000000009</v>
      </c>
      <c r="AB2" s="271">
        <v>13.616</v>
      </c>
      <c r="AC2" s="271">
        <v>5.2610000000000001</v>
      </c>
      <c r="AD2" s="272">
        <v>75.457999999999998</v>
      </c>
      <c r="AE2" s="271">
        <v>75.457999999999998</v>
      </c>
      <c r="AF2" s="271">
        <v>0</v>
      </c>
      <c r="AG2" s="271">
        <v>4.2000000000001592E-2</v>
      </c>
      <c r="AI2" s="202">
        <f>J2+O2</f>
        <v>58.5</v>
      </c>
      <c r="AJ2" s="267"/>
      <c r="AK2" s="267"/>
      <c r="AL2" s="267"/>
      <c r="AM2" s="267"/>
      <c r="AN2" s="267"/>
      <c r="AO2" s="267"/>
      <c r="AP2" s="267"/>
      <c r="AQ2" s="267"/>
      <c r="AR2" s="267"/>
      <c r="AS2" s="267"/>
      <c r="AT2" s="267"/>
      <c r="AU2" s="267"/>
      <c r="AV2" s="267"/>
      <c r="AW2" s="267"/>
      <c r="AX2" s="267"/>
      <c r="AY2" s="267"/>
      <c r="AZ2" s="267"/>
      <c r="BA2" s="267"/>
      <c r="BB2" s="267"/>
      <c r="BC2" s="267"/>
      <c r="BD2" s="273">
        <v>58.5</v>
      </c>
      <c r="BE2" s="274">
        <f>G2/30</f>
        <v>2.5166666666666666</v>
      </c>
    </row>
    <row r="3" spans="1:64">
      <c r="A3" s="266">
        <v>29129</v>
      </c>
      <c r="B3" s="266"/>
      <c r="C3" s="267"/>
      <c r="D3" s="268">
        <v>0.31000000000000227</v>
      </c>
      <c r="E3" s="267"/>
      <c r="F3" s="267"/>
      <c r="G3" s="269">
        <v>95.5</v>
      </c>
      <c r="H3" s="267"/>
      <c r="I3" s="267"/>
      <c r="J3" s="270">
        <v>47.3</v>
      </c>
      <c r="K3" s="267"/>
      <c r="L3" s="267"/>
      <c r="M3" s="267"/>
      <c r="N3" s="202">
        <v>1017.6</v>
      </c>
      <c r="O3" s="270">
        <v>10.7</v>
      </c>
      <c r="P3" s="267"/>
      <c r="Q3" s="202">
        <v>222.6</v>
      </c>
      <c r="R3" s="199"/>
      <c r="S3" s="267"/>
      <c r="T3" s="267"/>
      <c r="U3" s="267"/>
      <c r="V3" s="271">
        <v>23.077999999999999</v>
      </c>
      <c r="W3" s="271">
        <v>12.499000000000001</v>
      </c>
      <c r="X3" s="271">
        <v>15.587999999999999</v>
      </c>
      <c r="Y3" s="271"/>
      <c r="Z3" s="271">
        <v>11.177</v>
      </c>
      <c r="AA3" s="271">
        <v>11.727</v>
      </c>
      <c r="AB3" s="271">
        <v>15.836</v>
      </c>
      <c r="AC3" s="271">
        <v>5.6420000000000003</v>
      </c>
      <c r="AD3" s="272">
        <v>95.546999999999997</v>
      </c>
      <c r="AE3" s="271">
        <v>95.546999999999997</v>
      </c>
      <c r="AF3" s="271">
        <v>0</v>
      </c>
      <c r="AG3" s="271">
        <v>-4.6999999999997044E-2</v>
      </c>
      <c r="AH3" s="202">
        <f t="shared" ref="AH3:AH65" si="0">AB3-AB2</f>
        <v>2.2200000000000006</v>
      </c>
      <c r="AI3" s="202">
        <f t="shared" ref="AI3:AI66" si="1">J3+O3</f>
        <v>58</v>
      </c>
      <c r="AJ3" s="267"/>
      <c r="AK3" s="267"/>
      <c r="AL3" s="267"/>
      <c r="AM3" s="267"/>
      <c r="AN3" s="267"/>
      <c r="AO3" s="267"/>
      <c r="AP3" s="267"/>
      <c r="AQ3" s="267"/>
      <c r="AR3" s="267"/>
      <c r="AS3" s="267"/>
      <c r="AT3" s="267"/>
      <c r="AU3" s="267"/>
      <c r="AV3" s="267"/>
      <c r="AW3" s="267"/>
      <c r="AX3" s="267"/>
      <c r="AY3" s="267"/>
      <c r="AZ3" s="267"/>
      <c r="BA3" s="267"/>
      <c r="BB3" s="267"/>
      <c r="BC3" s="267"/>
      <c r="BD3" s="273">
        <v>58</v>
      </c>
      <c r="BE3" s="274">
        <f>G3/31</f>
        <v>3.0806451612903225</v>
      </c>
      <c r="BI3" s="270">
        <f>O3-O2</f>
        <v>-0.5</v>
      </c>
    </row>
    <row r="4" spans="1:64">
      <c r="A4" s="266">
        <v>29160</v>
      </c>
      <c r="B4" s="266"/>
      <c r="C4" s="267"/>
      <c r="D4" s="268">
        <v>0.4100000000000108</v>
      </c>
      <c r="E4" s="267"/>
      <c r="F4" s="267"/>
      <c r="G4" s="269">
        <v>101</v>
      </c>
      <c r="H4" s="267"/>
      <c r="I4" s="267"/>
      <c r="J4" s="270">
        <v>47.6</v>
      </c>
      <c r="K4" s="267"/>
      <c r="L4" s="267"/>
      <c r="M4" s="267"/>
      <c r="N4" s="202">
        <v>1063.8</v>
      </c>
      <c r="O4" s="270">
        <v>10.5</v>
      </c>
      <c r="P4" s="267"/>
      <c r="Q4" s="202">
        <v>246.3</v>
      </c>
      <c r="R4" s="199"/>
      <c r="S4" s="267"/>
      <c r="T4" s="267"/>
      <c r="U4" s="267"/>
      <c r="V4" s="271">
        <v>23.32</v>
      </c>
      <c r="W4" s="271">
        <v>12.557</v>
      </c>
      <c r="X4" s="271">
        <v>16.853000000000002</v>
      </c>
      <c r="Y4" s="271"/>
      <c r="Z4" s="271">
        <v>14.718</v>
      </c>
      <c r="AA4" s="271">
        <v>12.271000000000001</v>
      </c>
      <c r="AB4" s="271">
        <v>15.957000000000001</v>
      </c>
      <c r="AC4" s="271">
        <v>5.3220000000000001</v>
      </c>
      <c r="AD4" s="272">
        <v>100.998</v>
      </c>
      <c r="AE4" s="271">
        <v>100.99800000000002</v>
      </c>
      <c r="AF4" s="271">
        <v>0</v>
      </c>
      <c r="AG4" s="271">
        <v>1.9999999999953388E-3</v>
      </c>
      <c r="AH4" s="202">
        <f t="shared" si="0"/>
        <v>0.12100000000000044</v>
      </c>
      <c r="AI4" s="202">
        <f t="shared" si="1"/>
        <v>58.1</v>
      </c>
      <c r="AJ4" s="267"/>
      <c r="AK4" s="267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73">
        <v>58.1</v>
      </c>
      <c r="BE4" s="274">
        <f t="shared" ref="BE4" si="2">G4/30</f>
        <v>3.3666666666666667</v>
      </c>
      <c r="BI4" s="270">
        <f t="shared" ref="BI4:BI67" si="3">O4-O3</f>
        <v>-0.19999999999999929</v>
      </c>
    </row>
    <row r="5" spans="1:64">
      <c r="A5" s="266">
        <v>29190</v>
      </c>
      <c r="B5" s="266"/>
      <c r="C5" s="267"/>
      <c r="D5" s="268">
        <v>0.29333333333335077</v>
      </c>
      <c r="E5" s="267"/>
      <c r="F5" s="267"/>
      <c r="G5" s="269">
        <v>104.1</v>
      </c>
      <c r="H5" s="267"/>
      <c r="I5" s="267"/>
      <c r="J5" s="270">
        <v>47.6</v>
      </c>
      <c r="K5" s="267"/>
      <c r="L5" s="267"/>
      <c r="M5" s="267"/>
      <c r="N5" s="202">
        <v>1097</v>
      </c>
      <c r="O5" s="270">
        <v>10.5</v>
      </c>
      <c r="P5" s="267"/>
      <c r="Q5" s="202">
        <v>352.8</v>
      </c>
      <c r="R5" s="199"/>
      <c r="S5" s="267"/>
      <c r="T5" s="267"/>
      <c r="U5" s="267"/>
      <c r="V5" s="271">
        <v>23.366</v>
      </c>
      <c r="W5" s="271">
        <v>12.807</v>
      </c>
      <c r="X5" s="271">
        <v>16.686</v>
      </c>
      <c r="Y5" s="271"/>
      <c r="Z5" s="271">
        <v>15.308999999999999</v>
      </c>
      <c r="AA5" s="271">
        <v>12.675000000000001</v>
      </c>
      <c r="AB5" s="271">
        <v>17.600000000000001</v>
      </c>
      <c r="AC5" s="271">
        <v>5.6150000000000002</v>
      </c>
      <c r="AD5" s="272">
        <v>104.05800000000001</v>
      </c>
      <c r="AE5" s="271">
        <v>104.05800000000001</v>
      </c>
      <c r="AF5" s="271">
        <v>0</v>
      </c>
      <c r="AG5" s="271">
        <v>4.1999999999987381E-2</v>
      </c>
      <c r="AH5" s="202">
        <f t="shared" si="0"/>
        <v>1.6430000000000007</v>
      </c>
      <c r="AI5" s="202">
        <f t="shared" si="1"/>
        <v>58.1</v>
      </c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73">
        <v>58.1</v>
      </c>
      <c r="BE5" s="274">
        <f>G5/31</f>
        <v>3.3580645161290321</v>
      </c>
      <c r="BI5" s="270">
        <f t="shared" si="3"/>
        <v>0</v>
      </c>
    </row>
    <row r="6" spans="1:64">
      <c r="A6" s="266">
        <v>29221</v>
      </c>
      <c r="B6" s="266"/>
      <c r="C6" s="275"/>
      <c r="D6" s="276">
        <v>2.0233333333333263</v>
      </c>
      <c r="E6" s="275"/>
      <c r="F6" s="275"/>
      <c r="G6" s="277">
        <v>104.6</v>
      </c>
      <c r="H6" s="275"/>
      <c r="I6" s="275"/>
      <c r="J6" s="270">
        <v>47.5</v>
      </c>
      <c r="K6" s="275"/>
      <c r="L6" s="275"/>
      <c r="M6" s="275"/>
      <c r="N6" s="202">
        <v>1106</v>
      </c>
      <c r="O6" s="270">
        <v>10.6</v>
      </c>
      <c r="P6" s="275"/>
      <c r="Q6" s="202">
        <v>356.7</v>
      </c>
      <c r="R6" s="199"/>
      <c r="S6" s="275"/>
      <c r="T6" s="275"/>
      <c r="U6" s="275"/>
      <c r="V6" s="278">
        <v>24.37</v>
      </c>
      <c r="W6" s="278">
        <v>13.615</v>
      </c>
      <c r="X6" s="278">
        <v>16.593</v>
      </c>
      <c r="Y6" s="278"/>
      <c r="Z6" s="278">
        <v>14.833</v>
      </c>
      <c r="AA6" s="278">
        <v>12.092000000000001</v>
      </c>
      <c r="AB6" s="278">
        <v>17.303999999999998</v>
      </c>
      <c r="AC6" s="278">
        <v>5.8280000000000003</v>
      </c>
      <c r="AD6" s="279">
        <v>104.63500000000001</v>
      </c>
      <c r="AE6" s="278">
        <f>SUM(V6:AC6)</f>
        <v>104.63500000000001</v>
      </c>
      <c r="AF6" s="278">
        <f>AE6-AD6</f>
        <v>0</v>
      </c>
      <c r="AG6" s="278">
        <f t="shared" ref="AG6:AG69" si="4">AE6-G6</f>
        <v>3.50000000000108E-2</v>
      </c>
      <c r="AH6" s="202">
        <f t="shared" si="0"/>
        <v>-0.29600000000000293</v>
      </c>
      <c r="AI6" s="202">
        <f t="shared" si="1"/>
        <v>58.1</v>
      </c>
      <c r="AJ6" s="275"/>
      <c r="AK6" s="275"/>
      <c r="AL6" s="275"/>
      <c r="AM6" s="275"/>
      <c r="AN6" s="275"/>
      <c r="AO6" s="275"/>
      <c r="AP6" s="275"/>
      <c r="AQ6" s="275"/>
      <c r="AR6" s="275"/>
      <c r="AS6" s="275"/>
      <c r="AT6" s="275"/>
      <c r="AU6" s="275"/>
      <c r="AV6" s="275"/>
      <c r="AW6" s="275"/>
      <c r="AX6" s="275"/>
      <c r="AY6" s="275"/>
      <c r="AZ6" s="275"/>
      <c r="BA6" s="275"/>
      <c r="BB6" s="275"/>
      <c r="BC6" s="275"/>
      <c r="BE6" s="274">
        <f t="shared" ref="BE6:BE68" si="5">G6/31</f>
        <v>3.3741935483870966</v>
      </c>
      <c r="BI6" s="270">
        <f t="shared" si="3"/>
        <v>9.9999999999999645E-2</v>
      </c>
    </row>
    <row r="7" spans="1:64">
      <c r="A7" s="266">
        <v>29252</v>
      </c>
      <c r="B7" s="266"/>
      <c r="C7" s="275"/>
      <c r="D7" s="276">
        <v>1.1199999999999903</v>
      </c>
      <c r="E7" s="275"/>
      <c r="F7" s="275"/>
      <c r="G7" s="277">
        <v>98.9</v>
      </c>
      <c r="H7" s="275"/>
      <c r="I7" s="275"/>
      <c r="J7" s="270">
        <v>47.6</v>
      </c>
      <c r="K7" s="275"/>
      <c r="L7" s="275"/>
      <c r="M7" s="275"/>
      <c r="N7" s="202">
        <v>1054.4000000000001</v>
      </c>
      <c r="O7" s="270">
        <v>10.7</v>
      </c>
      <c r="P7" s="275"/>
      <c r="Q7" s="202">
        <v>391.8</v>
      </c>
      <c r="R7" s="199"/>
      <c r="S7" s="275"/>
      <c r="T7" s="275"/>
      <c r="U7" s="275"/>
      <c r="V7" s="278">
        <v>22.033999999999999</v>
      </c>
      <c r="W7" s="278">
        <v>12.41</v>
      </c>
      <c r="X7" s="278">
        <v>16.986999999999998</v>
      </c>
      <c r="Y7" s="278"/>
      <c r="Z7" s="278">
        <v>14.298</v>
      </c>
      <c r="AA7" s="278">
        <v>11.706</v>
      </c>
      <c r="AB7" s="278">
        <v>15.965</v>
      </c>
      <c r="AC7" s="278">
        <v>5.5030000000000001</v>
      </c>
      <c r="AD7" s="279">
        <v>98.903000000000006</v>
      </c>
      <c r="AE7" s="278">
        <f t="shared" ref="AE7:AE70" si="6">SUM(V7:AC7)</f>
        <v>98.903000000000006</v>
      </c>
      <c r="AF7" s="278">
        <f t="shared" ref="AF7:AF70" si="7">AE7-AD7</f>
        <v>0</v>
      </c>
      <c r="AG7" s="278">
        <f t="shared" si="4"/>
        <v>3.0000000000001137E-3</v>
      </c>
      <c r="AH7" s="202">
        <f t="shared" si="0"/>
        <v>-1.3389999999999986</v>
      </c>
      <c r="AI7" s="202">
        <f t="shared" si="1"/>
        <v>58.3</v>
      </c>
      <c r="AJ7" s="275"/>
      <c r="AK7" s="275"/>
      <c r="AL7" s="275"/>
      <c r="AM7" s="275"/>
      <c r="AN7" s="275"/>
      <c r="AO7" s="275"/>
      <c r="AP7" s="275"/>
      <c r="AQ7" s="275"/>
      <c r="AR7" s="275"/>
      <c r="AS7" s="275"/>
      <c r="AT7" s="275"/>
      <c r="AU7" s="275"/>
      <c r="AV7" s="275"/>
      <c r="AW7" s="275"/>
      <c r="AX7" s="275"/>
      <c r="AY7" s="275"/>
      <c r="AZ7" s="275"/>
      <c r="BA7" s="275"/>
      <c r="BB7" s="275"/>
      <c r="BC7" s="275"/>
      <c r="BE7" s="274">
        <f>G7/29</f>
        <v>3.4103448275862069</v>
      </c>
      <c r="BI7" s="270">
        <f t="shared" si="3"/>
        <v>9.9999999999999645E-2</v>
      </c>
    </row>
    <row r="8" spans="1:64">
      <c r="A8" s="266">
        <v>29281</v>
      </c>
      <c r="B8" s="266"/>
      <c r="C8" s="275"/>
      <c r="D8" s="276">
        <v>0.84666666666666401</v>
      </c>
      <c r="E8" s="275"/>
      <c r="F8" s="275"/>
      <c r="G8" s="277">
        <v>101.4</v>
      </c>
      <c r="H8" s="275"/>
      <c r="I8" s="275"/>
      <c r="J8" s="270">
        <v>47.6</v>
      </c>
      <c r="K8" s="275"/>
      <c r="L8" s="275"/>
      <c r="M8" s="275"/>
      <c r="N8" s="202">
        <v>1092.2</v>
      </c>
      <c r="O8" s="270">
        <v>10.8</v>
      </c>
      <c r="P8" s="275"/>
      <c r="Q8" s="202">
        <v>447.5</v>
      </c>
      <c r="R8" s="199"/>
      <c r="S8" s="275"/>
      <c r="T8" s="275"/>
      <c r="U8" s="275"/>
      <c r="V8" s="278">
        <v>23.937999999999999</v>
      </c>
      <c r="W8" s="278">
        <v>13.260999999999999</v>
      </c>
      <c r="X8" s="278">
        <v>16.120999999999999</v>
      </c>
      <c r="Y8" s="278"/>
      <c r="Z8" s="278">
        <v>13.603999999999999</v>
      </c>
      <c r="AA8" s="278">
        <v>12.018000000000001</v>
      </c>
      <c r="AB8" s="278">
        <v>16.867999999999999</v>
      </c>
      <c r="AC8" s="278">
        <v>5.5910000000000002</v>
      </c>
      <c r="AD8" s="279">
        <v>101.401</v>
      </c>
      <c r="AE8" s="278">
        <f t="shared" si="6"/>
        <v>101.40099999999998</v>
      </c>
      <c r="AF8" s="278">
        <f t="shared" si="7"/>
        <v>0</v>
      </c>
      <c r="AG8" s="278">
        <f t="shared" si="4"/>
        <v>9.9999999997635314E-4</v>
      </c>
      <c r="AH8" s="202">
        <f t="shared" si="0"/>
        <v>0.90299999999999869</v>
      </c>
      <c r="AI8" s="202">
        <f t="shared" si="1"/>
        <v>58.400000000000006</v>
      </c>
      <c r="AJ8" s="275"/>
      <c r="AK8" s="275"/>
      <c r="AL8" s="275"/>
      <c r="AM8" s="275"/>
      <c r="AN8" s="275"/>
      <c r="AO8" s="275"/>
      <c r="AP8" s="275"/>
      <c r="AQ8" s="275"/>
      <c r="AR8" s="275"/>
      <c r="AS8" s="275"/>
      <c r="AT8" s="275"/>
      <c r="AU8" s="275"/>
      <c r="AV8" s="275"/>
      <c r="AW8" s="275"/>
      <c r="AX8" s="275"/>
      <c r="AY8" s="275"/>
      <c r="AZ8" s="275"/>
      <c r="BA8" s="275"/>
      <c r="BB8" s="275"/>
      <c r="BC8" s="275"/>
      <c r="BE8" s="274">
        <f t="shared" si="5"/>
        <v>3.2709677419354839</v>
      </c>
      <c r="BI8" s="270">
        <f t="shared" si="3"/>
        <v>0.10000000000000142</v>
      </c>
    </row>
    <row r="9" spans="1:64">
      <c r="A9" s="266">
        <v>29312</v>
      </c>
      <c r="B9" s="266"/>
      <c r="C9" s="275"/>
      <c r="D9" s="276">
        <v>0.57333333333332348</v>
      </c>
      <c r="E9" s="275"/>
      <c r="F9" s="275"/>
      <c r="G9" s="277">
        <v>91.4</v>
      </c>
      <c r="H9" s="275"/>
      <c r="I9" s="275"/>
      <c r="J9" s="270">
        <v>47.6</v>
      </c>
      <c r="K9" s="275"/>
      <c r="L9" s="275"/>
      <c r="M9" s="275"/>
      <c r="N9" s="202">
        <v>988.8</v>
      </c>
      <c r="O9" s="270">
        <v>10.8</v>
      </c>
      <c r="P9" s="275"/>
      <c r="Q9" s="202">
        <v>436.6</v>
      </c>
      <c r="R9" s="199"/>
      <c r="S9" s="275"/>
      <c r="T9" s="275"/>
      <c r="U9" s="275"/>
      <c r="V9" s="278">
        <v>20.274000000000001</v>
      </c>
      <c r="W9" s="278">
        <v>11.733000000000001</v>
      </c>
      <c r="X9" s="278">
        <v>14.851000000000001</v>
      </c>
      <c r="Y9" s="278"/>
      <c r="Z9" s="278">
        <v>13.356999999999999</v>
      </c>
      <c r="AA9" s="278">
        <v>10.585000000000001</v>
      </c>
      <c r="AB9" s="278">
        <v>15.879</v>
      </c>
      <c r="AC9" s="278">
        <v>4.6740000000000004</v>
      </c>
      <c r="AD9" s="279">
        <v>91.352999999999994</v>
      </c>
      <c r="AE9" s="278">
        <f t="shared" si="6"/>
        <v>91.353000000000023</v>
      </c>
      <c r="AF9" s="278">
        <f t="shared" si="7"/>
        <v>0</v>
      </c>
      <c r="AG9" s="278">
        <f t="shared" si="4"/>
        <v>-4.6999999999982833E-2</v>
      </c>
      <c r="AH9" s="202">
        <f t="shared" si="0"/>
        <v>-0.98899999999999899</v>
      </c>
      <c r="AI9" s="202">
        <f t="shared" si="1"/>
        <v>58.400000000000006</v>
      </c>
      <c r="AJ9" s="275"/>
      <c r="AK9" s="275"/>
      <c r="AL9" s="275"/>
      <c r="AM9" s="275"/>
      <c r="AN9" s="275"/>
      <c r="AO9" s="275"/>
      <c r="AP9" s="275"/>
      <c r="AQ9" s="275"/>
      <c r="AR9" s="275"/>
      <c r="AS9" s="275"/>
      <c r="AT9" s="275"/>
      <c r="AU9" s="275"/>
      <c r="AV9" s="275"/>
      <c r="AW9" s="275"/>
      <c r="AX9" s="275"/>
      <c r="AY9" s="275"/>
      <c r="AZ9" s="275"/>
      <c r="BA9" s="275"/>
      <c r="BB9" s="275"/>
      <c r="BC9" s="275"/>
      <c r="BE9" s="274">
        <f>G9/30</f>
        <v>3.0466666666666669</v>
      </c>
      <c r="BI9" s="270">
        <f t="shared" si="3"/>
        <v>0</v>
      </c>
    </row>
    <row r="10" spans="1:64">
      <c r="A10" s="266">
        <v>29342</v>
      </c>
      <c r="B10" s="266"/>
      <c r="C10" s="275"/>
      <c r="D10" s="276">
        <v>0.62999999999999545</v>
      </c>
      <c r="E10" s="275"/>
      <c r="F10" s="275"/>
      <c r="G10" s="277">
        <v>93.2</v>
      </c>
      <c r="H10" s="275"/>
      <c r="I10" s="275"/>
      <c r="J10" s="270">
        <v>47.6</v>
      </c>
      <c r="K10" s="275"/>
      <c r="L10" s="275"/>
      <c r="M10" s="275"/>
      <c r="N10" s="202">
        <v>1012.5</v>
      </c>
      <c r="O10" s="270">
        <v>10.9</v>
      </c>
      <c r="P10" s="275"/>
      <c r="Q10" s="202">
        <v>481.6</v>
      </c>
      <c r="R10" s="199"/>
      <c r="S10" s="275"/>
      <c r="T10" s="275"/>
      <c r="U10" s="275"/>
      <c r="V10" s="278">
        <v>22.300999999999998</v>
      </c>
      <c r="W10" s="278">
        <v>10.929</v>
      </c>
      <c r="X10" s="278">
        <v>15.629</v>
      </c>
      <c r="Y10" s="278"/>
      <c r="Z10" s="278">
        <v>13.244</v>
      </c>
      <c r="AA10" s="278">
        <v>11.015000000000001</v>
      </c>
      <c r="AB10" s="278">
        <v>15.111000000000001</v>
      </c>
      <c r="AC10" s="278">
        <v>4.9530000000000003</v>
      </c>
      <c r="AD10" s="279">
        <v>93.182000000000002</v>
      </c>
      <c r="AE10" s="278">
        <f t="shared" si="6"/>
        <v>93.182000000000002</v>
      </c>
      <c r="AF10" s="278">
        <f t="shared" si="7"/>
        <v>0</v>
      </c>
      <c r="AG10" s="278">
        <f t="shared" si="4"/>
        <v>-1.8000000000000682E-2</v>
      </c>
      <c r="AH10" s="202">
        <f t="shared" si="0"/>
        <v>-0.76799999999999891</v>
      </c>
      <c r="AI10" s="202">
        <f t="shared" si="1"/>
        <v>58.5</v>
      </c>
      <c r="AJ10" s="275"/>
      <c r="AK10" s="275"/>
      <c r="AL10" s="275"/>
      <c r="AM10" s="275"/>
      <c r="AN10" s="275"/>
      <c r="AO10" s="275"/>
      <c r="AP10" s="275"/>
      <c r="AQ10" s="275"/>
      <c r="AR10" s="275"/>
      <c r="AS10" s="275"/>
      <c r="AT10" s="275"/>
      <c r="AU10" s="275"/>
      <c r="AV10" s="275"/>
      <c r="AW10" s="275"/>
      <c r="AX10" s="275"/>
      <c r="AY10" s="275"/>
      <c r="AZ10" s="275"/>
      <c r="BA10" s="275"/>
      <c r="BB10" s="275"/>
      <c r="BC10" s="275"/>
      <c r="BE10" s="274">
        <f t="shared" si="5"/>
        <v>3.0064516129032257</v>
      </c>
      <c r="BI10" s="270">
        <f t="shared" si="3"/>
        <v>9.9999999999999645E-2</v>
      </c>
    </row>
    <row r="11" spans="1:64">
      <c r="A11" s="266">
        <v>29373</v>
      </c>
      <c r="B11" s="266"/>
      <c r="C11" s="275"/>
      <c r="D11" s="276">
        <v>0.76333333333333542</v>
      </c>
      <c r="E11" s="275"/>
      <c r="F11" s="275"/>
      <c r="G11" s="277">
        <v>81.900000000000006</v>
      </c>
      <c r="H11" s="275"/>
      <c r="I11" s="275"/>
      <c r="J11" s="270">
        <v>47.8</v>
      </c>
      <c r="K11" s="275"/>
      <c r="L11" s="275"/>
      <c r="M11" s="275"/>
      <c r="N11" s="202">
        <v>884.9</v>
      </c>
      <c r="O11" s="270">
        <v>10.8</v>
      </c>
      <c r="P11" s="275"/>
      <c r="Q11" s="202">
        <v>521.5</v>
      </c>
      <c r="R11" s="199"/>
      <c r="S11" s="275"/>
      <c r="T11" s="275"/>
      <c r="U11" s="275"/>
      <c r="V11" s="278">
        <v>18.704000000000001</v>
      </c>
      <c r="W11" s="278">
        <v>10.409000000000001</v>
      </c>
      <c r="X11" s="278">
        <v>12.509</v>
      </c>
      <c r="Y11" s="278"/>
      <c r="Z11" s="278">
        <v>10.385</v>
      </c>
      <c r="AA11" s="278">
        <v>10.666</v>
      </c>
      <c r="AB11" s="278">
        <v>14.869</v>
      </c>
      <c r="AC11" s="278">
        <v>4.38</v>
      </c>
      <c r="AD11" s="279">
        <v>81.921999999999997</v>
      </c>
      <c r="AE11" s="278">
        <f t="shared" si="6"/>
        <v>81.921999999999997</v>
      </c>
      <c r="AF11" s="278">
        <f t="shared" si="7"/>
        <v>0</v>
      </c>
      <c r="AG11" s="278">
        <f t="shared" si="4"/>
        <v>2.199999999999136E-2</v>
      </c>
      <c r="AH11" s="202">
        <f t="shared" si="0"/>
        <v>-0.24200000000000088</v>
      </c>
      <c r="AI11" s="202">
        <f t="shared" si="1"/>
        <v>58.599999999999994</v>
      </c>
      <c r="AJ11" s="275"/>
      <c r="AK11" s="275"/>
      <c r="AL11" s="275"/>
      <c r="AM11" s="275"/>
      <c r="AN11" s="275"/>
      <c r="AO11" s="275"/>
      <c r="AP11" s="275"/>
      <c r="AQ11" s="275"/>
      <c r="AR11" s="275"/>
      <c r="AS11" s="275"/>
      <c r="AT11" s="275"/>
      <c r="AU11" s="275"/>
      <c r="AV11" s="275"/>
      <c r="AW11" s="275"/>
      <c r="AX11" s="275"/>
      <c r="AY11" s="275"/>
      <c r="AZ11" s="275"/>
      <c r="BA11" s="275"/>
      <c r="BB11" s="275"/>
      <c r="BC11" s="275"/>
      <c r="BE11" s="274">
        <f>G11/30</f>
        <v>2.73</v>
      </c>
      <c r="BI11" s="270">
        <f t="shared" si="3"/>
        <v>-9.9999999999999645E-2</v>
      </c>
    </row>
    <row r="12" spans="1:64">
      <c r="A12" s="266">
        <v>29403</v>
      </c>
      <c r="B12" s="266"/>
      <c r="C12" s="275"/>
      <c r="D12" s="276">
        <v>0.7566666666666606</v>
      </c>
      <c r="E12" s="275"/>
      <c r="F12" s="275"/>
      <c r="G12" s="277">
        <v>84.1</v>
      </c>
      <c r="H12" s="275"/>
      <c r="I12" s="275"/>
      <c r="J12" s="270">
        <v>48</v>
      </c>
      <c r="K12" s="275"/>
      <c r="L12" s="275"/>
      <c r="M12" s="275"/>
      <c r="N12" s="202">
        <v>919.6</v>
      </c>
      <c r="O12" s="270">
        <v>11</v>
      </c>
      <c r="P12" s="275"/>
      <c r="Q12" s="202">
        <v>558.79999999999995</v>
      </c>
      <c r="R12" s="199"/>
      <c r="S12" s="275"/>
      <c r="T12" s="275"/>
      <c r="U12" s="275"/>
      <c r="V12" s="278">
        <v>18.323</v>
      </c>
      <c r="W12" s="278">
        <v>11.26</v>
      </c>
      <c r="X12" s="278">
        <v>14.643000000000001</v>
      </c>
      <c r="Y12" s="278"/>
      <c r="Z12" s="278">
        <v>8.9329999999999998</v>
      </c>
      <c r="AA12" s="278">
        <v>11.44</v>
      </c>
      <c r="AB12" s="278">
        <v>15.164999999999999</v>
      </c>
      <c r="AC12" s="278">
        <v>4.3470000000000004</v>
      </c>
      <c r="AD12" s="279">
        <v>84.111000000000004</v>
      </c>
      <c r="AE12" s="278">
        <f t="shared" si="6"/>
        <v>84.111000000000004</v>
      </c>
      <c r="AF12" s="278">
        <f t="shared" si="7"/>
        <v>0</v>
      </c>
      <c r="AG12" s="278">
        <f t="shared" si="4"/>
        <v>1.1000000000009891E-2</v>
      </c>
      <c r="AH12" s="202">
        <f t="shared" si="0"/>
        <v>0.29599999999999937</v>
      </c>
      <c r="AI12" s="202">
        <f t="shared" si="1"/>
        <v>59</v>
      </c>
      <c r="AJ12" s="275"/>
      <c r="AK12" s="275"/>
      <c r="AL12" s="275"/>
      <c r="AM12" s="275"/>
      <c r="AN12" s="275"/>
      <c r="AO12" s="275"/>
      <c r="AP12" s="275"/>
      <c r="AQ12" s="275"/>
      <c r="AR12" s="275"/>
      <c r="AS12" s="275"/>
      <c r="AT12" s="275"/>
      <c r="AU12" s="275"/>
      <c r="AV12" s="275"/>
      <c r="AW12" s="275"/>
      <c r="AX12" s="275"/>
      <c r="AY12" s="275"/>
      <c r="AZ12" s="275"/>
      <c r="BA12" s="275"/>
      <c r="BB12" s="275"/>
      <c r="BC12" s="275"/>
      <c r="BE12" s="274">
        <f t="shared" si="5"/>
        <v>2.7129032258064516</v>
      </c>
      <c r="BI12" s="270">
        <f t="shared" si="3"/>
        <v>0.19999999999999929</v>
      </c>
    </row>
    <row r="13" spans="1:64">
      <c r="A13" s="266">
        <v>29434</v>
      </c>
      <c r="B13" s="266"/>
      <c r="C13" s="275"/>
      <c r="D13" s="276">
        <v>1.5933333333333479</v>
      </c>
      <c r="E13" s="275"/>
      <c r="F13" s="275"/>
      <c r="G13" s="277">
        <v>82.1</v>
      </c>
      <c r="H13" s="275"/>
      <c r="I13" s="275"/>
      <c r="J13" s="270">
        <v>48</v>
      </c>
      <c r="K13" s="275"/>
      <c r="L13" s="275"/>
      <c r="M13" s="275"/>
      <c r="N13" s="202">
        <v>896</v>
      </c>
      <c r="O13" s="270">
        <v>11.1</v>
      </c>
      <c r="P13" s="275"/>
      <c r="Q13" s="202">
        <v>578.1</v>
      </c>
      <c r="R13" s="199"/>
      <c r="S13" s="275"/>
      <c r="T13" s="275"/>
      <c r="U13" s="275"/>
      <c r="V13" s="278">
        <v>18.721</v>
      </c>
      <c r="W13" s="278">
        <v>10.130000000000001</v>
      </c>
      <c r="X13" s="278">
        <v>13.186999999999999</v>
      </c>
      <c r="Y13" s="278"/>
      <c r="Z13" s="278">
        <v>10.013999999999999</v>
      </c>
      <c r="AA13" s="278">
        <v>10.33</v>
      </c>
      <c r="AB13" s="278">
        <v>15.182</v>
      </c>
      <c r="AC13" s="278">
        <v>4.5039999999999996</v>
      </c>
      <c r="AD13" s="279">
        <v>82.067999999999998</v>
      </c>
      <c r="AE13" s="278">
        <f t="shared" si="6"/>
        <v>82.067999999999998</v>
      </c>
      <c r="AF13" s="278">
        <f t="shared" si="7"/>
        <v>0</v>
      </c>
      <c r="AG13" s="278">
        <f t="shared" si="4"/>
        <v>-3.1999999999996476E-2</v>
      </c>
      <c r="AH13" s="202">
        <f t="shared" si="0"/>
        <v>1.7000000000001236E-2</v>
      </c>
      <c r="AI13" s="202">
        <f t="shared" si="1"/>
        <v>59.1</v>
      </c>
      <c r="AJ13" s="275"/>
      <c r="AK13" s="275"/>
      <c r="AL13" s="275"/>
      <c r="AM13" s="275"/>
      <c r="AN13" s="275"/>
      <c r="AO13" s="275"/>
      <c r="AP13" s="275"/>
      <c r="AQ13" s="275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E13" s="274">
        <f t="shared" si="5"/>
        <v>2.6483870967741932</v>
      </c>
      <c r="BI13" s="270">
        <f t="shared" si="3"/>
        <v>9.9999999999999645E-2</v>
      </c>
    </row>
    <row r="14" spans="1:64">
      <c r="A14" s="266">
        <v>29465</v>
      </c>
      <c r="B14" s="266"/>
      <c r="C14" s="275"/>
      <c r="D14" s="276">
        <v>0.80333333333332746</v>
      </c>
      <c r="E14" s="275"/>
      <c r="F14" s="275"/>
      <c r="G14" s="277">
        <v>80.8</v>
      </c>
      <c r="H14" s="275"/>
      <c r="I14" s="275"/>
      <c r="J14" s="270">
        <v>48</v>
      </c>
      <c r="K14" s="275"/>
      <c r="L14" s="275"/>
      <c r="M14" s="275"/>
      <c r="N14" s="202">
        <v>886.3</v>
      </c>
      <c r="O14" s="270">
        <v>11</v>
      </c>
      <c r="P14" s="275"/>
      <c r="Q14" s="202">
        <v>544.1</v>
      </c>
      <c r="R14" s="199"/>
      <c r="S14" s="275"/>
      <c r="T14" s="275"/>
      <c r="U14" s="275"/>
      <c r="V14" s="278">
        <v>20.605</v>
      </c>
      <c r="W14" s="278">
        <v>10.231999999999999</v>
      </c>
      <c r="X14" s="278">
        <v>12.404999999999999</v>
      </c>
      <c r="Y14" s="278"/>
      <c r="Z14" s="278">
        <v>7.8860000000000001</v>
      </c>
      <c r="AA14" s="278">
        <v>10.321</v>
      </c>
      <c r="AB14" s="278">
        <v>14.542</v>
      </c>
      <c r="AC14" s="278">
        <v>4.774</v>
      </c>
      <c r="AD14" s="279">
        <v>80.765000000000001</v>
      </c>
      <c r="AE14" s="278">
        <f t="shared" si="6"/>
        <v>80.765000000000001</v>
      </c>
      <c r="AF14" s="278">
        <f t="shared" si="7"/>
        <v>0</v>
      </c>
      <c r="AG14" s="278">
        <f t="shared" si="4"/>
        <v>-3.4999999999996589E-2</v>
      </c>
      <c r="AH14" s="202">
        <f t="shared" si="0"/>
        <v>-0.64000000000000057</v>
      </c>
      <c r="AI14" s="202">
        <f t="shared" si="1"/>
        <v>59</v>
      </c>
      <c r="AJ14" s="275"/>
      <c r="AK14" s="275"/>
      <c r="AL14" s="275"/>
      <c r="AM14" s="275"/>
      <c r="AN14" s="275"/>
      <c r="AO14" s="275"/>
      <c r="AP14" s="275"/>
      <c r="AQ14" s="275"/>
      <c r="AR14" s="275"/>
      <c r="AS14" s="275"/>
      <c r="AT14" s="275"/>
      <c r="AU14" s="275"/>
      <c r="AV14" s="275"/>
      <c r="AW14" s="275"/>
      <c r="AX14" s="275"/>
      <c r="AY14" s="275"/>
      <c r="AZ14" s="275"/>
      <c r="BA14" s="275"/>
      <c r="BB14" s="275"/>
      <c r="BC14" s="275"/>
      <c r="BE14" s="274">
        <f>G14/30</f>
        <v>2.6933333333333334</v>
      </c>
      <c r="BI14" s="270">
        <f t="shared" si="3"/>
        <v>-9.9999999999999645E-2</v>
      </c>
    </row>
    <row r="15" spans="1:64">
      <c r="A15" s="266">
        <v>29495</v>
      </c>
      <c r="B15" s="266"/>
      <c r="C15" s="275"/>
      <c r="D15" s="276">
        <v>-1.1366666666666703</v>
      </c>
      <c r="E15" s="275"/>
      <c r="F15" s="275"/>
      <c r="G15" s="277">
        <v>98.9</v>
      </c>
      <c r="H15" s="275"/>
      <c r="I15" s="275"/>
      <c r="J15" s="270">
        <v>47.4</v>
      </c>
      <c r="K15" s="275"/>
      <c r="L15" s="275"/>
      <c r="M15" s="275"/>
      <c r="N15" s="202">
        <v>1067.5999999999999</v>
      </c>
      <c r="O15" s="270">
        <v>10.8</v>
      </c>
      <c r="P15" s="275"/>
      <c r="Q15" s="202">
        <v>665.4</v>
      </c>
      <c r="R15" s="199"/>
      <c r="S15" s="275"/>
      <c r="T15" s="275"/>
      <c r="U15" s="275"/>
      <c r="V15" s="278">
        <v>25.29</v>
      </c>
      <c r="W15" s="278">
        <v>13.218999999999999</v>
      </c>
      <c r="X15" s="278">
        <v>14.888999999999999</v>
      </c>
      <c r="Y15" s="278"/>
      <c r="Z15" s="278">
        <v>12.192</v>
      </c>
      <c r="AA15" s="278">
        <v>12.007</v>
      </c>
      <c r="AB15" s="278">
        <v>16.492999999999999</v>
      </c>
      <c r="AC15" s="278">
        <v>4.7839999999999998</v>
      </c>
      <c r="AD15" s="279">
        <v>98.873999999999995</v>
      </c>
      <c r="AE15" s="278">
        <f t="shared" si="6"/>
        <v>98.874000000000009</v>
      </c>
      <c r="AF15" s="278">
        <f t="shared" si="7"/>
        <v>0</v>
      </c>
      <c r="AG15" s="278">
        <f t="shared" si="4"/>
        <v>-2.5999999999996248E-2</v>
      </c>
      <c r="AH15" s="202">
        <f t="shared" si="0"/>
        <v>1.9509999999999987</v>
      </c>
      <c r="AI15" s="202">
        <f t="shared" si="1"/>
        <v>58.2</v>
      </c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E15" s="274">
        <f t="shared" si="5"/>
        <v>3.1903225806451614</v>
      </c>
      <c r="BI15" s="270">
        <f t="shared" si="3"/>
        <v>-0.19999999999999929</v>
      </c>
    </row>
    <row r="16" spans="1:64">
      <c r="A16" s="266">
        <v>29526</v>
      </c>
      <c r="B16" s="266"/>
      <c r="C16" s="275"/>
      <c r="D16" s="276">
        <v>1.7833333333333314</v>
      </c>
      <c r="E16" s="275"/>
      <c r="F16" s="275"/>
      <c r="G16" s="277">
        <v>96.7</v>
      </c>
      <c r="H16" s="275"/>
      <c r="I16" s="275"/>
      <c r="J16" s="270">
        <v>47.6</v>
      </c>
      <c r="K16" s="275"/>
      <c r="L16" s="275"/>
      <c r="M16" s="275"/>
      <c r="N16" s="202">
        <v>1054.4000000000001</v>
      </c>
      <c r="O16" s="270">
        <v>10.9</v>
      </c>
      <c r="P16" s="275"/>
      <c r="Q16" s="202">
        <v>796.9</v>
      </c>
      <c r="R16" s="199"/>
      <c r="S16" s="275"/>
      <c r="T16" s="275"/>
      <c r="U16" s="275"/>
      <c r="V16" s="278">
        <v>24.643000000000001</v>
      </c>
      <c r="W16" s="278">
        <v>10.932</v>
      </c>
      <c r="X16" s="278">
        <v>15.496</v>
      </c>
      <c r="Y16" s="278"/>
      <c r="Z16" s="278">
        <v>12.786</v>
      </c>
      <c r="AA16" s="278">
        <v>12.065</v>
      </c>
      <c r="AB16" s="278">
        <v>16.175000000000001</v>
      </c>
      <c r="AC16" s="278">
        <v>4.609</v>
      </c>
      <c r="AD16" s="279">
        <v>96.706000000000003</v>
      </c>
      <c r="AE16" s="278">
        <f t="shared" si="6"/>
        <v>96.706000000000003</v>
      </c>
      <c r="AF16" s="278">
        <f t="shared" si="7"/>
        <v>0</v>
      </c>
      <c r="AG16" s="278">
        <f t="shared" si="4"/>
        <v>6.0000000000002274E-3</v>
      </c>
      <c r="AH16" s="202">
        <f t="shared" si="0"/>
        <v>-0.31799999999999784</v>
      </c>
      <c r="AI16" s="202">
        <f t="shared" si="1"/>
        <v>58.5</v>
      </c>
      <c r="AJ16" s="275"/>
      <c r="AK16" s="275"/>
      <c r="AL16" s="275"/>
      <c r="AM16" s="275"/>
      <c r="AN16" s="275"/>
      <c r="AO16" s="275"/>
      <c r="AP16" s="275"/>
      <c r="AQ16" s="275"/>
      <c r="AR16" s="275"/>
      <c r="AS16" s="275"/>
      <c r="AT16" s="275"/>
      <c r="AU16" s="275"/>
      <c r="AV16" s="275"/>
      <c r="AW16" s="275"/>
      <c r="AX16" s="275"/>
      <c r="AY16" s="275"/>
      <c r="AZ16" s="275"/>
      <c r="BA16" s="275"/>
      <c r="BB16" s="275"/>
      <c r="BC16" s="275"/>
      <c r="BE16" s="274">
        <f>G16/30</f>
        <v>3.2233333333333336</v>
      </c>
      <c r="BI16" s="270">
        <f t="shared" si="3"/>
        <v>9.9999999999999645E-2</v>
      </c>
    </row>
    <row r="17" spans="1:61">
      <c r="A17" s="266">
        <v>29556</v>
      </c>
      <c r="B17" s="266"/>
      <c r="C17" s="275"/>
      <c r="D17" s="276">
        <v>1.0333333333333456</v>
      </c>
      <c r="E17" s="275"/>
      <c r="F17" s="275"/>
      <c r="G17" s="277">
        <v>93.1</v>
      </c>
      <c r="H17" s="275"/>
      <c r="I17" s="275"/>
      <c r="J17" s="270">
        <v>47.6</v>
      </c>
      <c r="K17" s="275"/>
      <c r="L17" s="275"/>
      <c r="M17" s="275"/>
      <c r="N17" s="202">
        <v>1014.7</v>
      </c>
      <c r="O17" s="270">
        <v>10.9</v>
      </c>
      <c r="P17" s="275"/>
      <c r="Q17" s="202">
        <v>807.3</v>
      </c>
      <c r="R17" s="199"/>
      <c r="S17" s="275"/>
      <c r="T17" s="275"/>
      <c r="U17" s="275"/>
      <c r="V17" s="278">
        <v>21.936</v>
      </c>
      <c r="W17" s="278">
        <v>12.593</v>
      </c>
      <c r="X17" s="278">
        <v>14.632</v>
      </c>
      <c r="Y17" s="278"/>
      <c r="Z17" s="278">
        <v>11.606999999999999</v>
      </c>
      <c r="AA17" s="278">
        <v>11.541</v>
      </c>
      <c r="AB17" s="278">
        <v>15.395</v>
      </c>
      <c r="AC17" s="278">
        <v>5.4130000000000003</v>
      </c>
      <c r="AD17" s="279">
        <v>93.117000000000004</v>
      </c>
      <c r="AE17" s="278">
        <f t="shared" si="6"/>
        <v>93.11699999999999</v>
      </c>
      <c r="AF17" s="278">
        <f t="shared" si="7"/>
        <v>0</v>
      </c>
      <c r="AG17" s="278">
        <f t="shared" si="4"/>
        <v>1.6999999999995907E-2</v>
      </c>
      <c r="AH17" s="202">
        <f t="shared" si="0"/>
        <v>-0.78000000000000114</v>
      </c>
      <c r="AI17" s="202">
        <f t="shared" si="1"/>
        <v>58.5</v>
      </c>
      <c r="AJ17" s="275"/>
      <c r="AK17" s="275"/>
      <c r="AL17" s="275"/>
      <c r="AM17" s="275"/>
      <c r="AN17" s="275"/>
      <c r="AO17" s="275"/>
      <c r="AP17" s="275"/>
      <c r="AQ17" s="275"/>
      <c r="AR17" s="275"/>
      <c r="AS17" s="275"/>
      <c r="AT17" s="275"/>
      <c r="AU17" s="275"/>
      <c r="AV17" s="275"/>
      <c r="AW17" s="275"/>
      <c r="AX17" s="275"/>
      <c r="AY17" s="275"/>
      <c r="AZ17" s="275"/>
      <c r="BA17" s="275"/>
      <c r="BB17" s="275"/>
      <c r="BC17" s="275"/>
      <c r="BE17" s="274">
        <f t="shared" si="5"/>
        <v>3.0032258064516126</v>
      </c>
      <c r="BI17" s="270">
        <f t="shared" si="3"/>
        <v>0</v>
      </c>
    </row>
    <row r="18" spans="1:61">
      <c r="A18" s="266">
        <v>29587</v>
      </c>
      <c r="B18" s="266"/>
      <c r="C18" s="275"/>
      <c r="D18" s="276">
        <v>0.45333333333333314</v>
      </c>
      <c r="E18" s="275"/>
      <c r="F18" s="275"/>
      <c r="G18" s="277">
        <v>91.7</v>
      </c>
      <c r="H18" s="275"/>
      <c r="I18" s="275"/>
      <c r="J18" s="270">
        <v>47</v>
      </c>
      <c r="K18" s="275"/>
      <c r="L18" s="275"/>
      <c r="M18" s="275"/>
      <c r="N18" s="202">
        <v>994.6</v>
      </c>
      <c r="O18" s="270">
        <v>10.9</v>
      </c>
      <c r="P18" s="275"/>
      <c r="Q18" s="202">
        <v>945.8</v>
      </c>
      <c r="R18" s="199"/>
      <c r="S18" s="275"/>
      <c r="T18" s="275"/>
      <c r="U18" s="275"/>
      <c r="V18" s="278">
        <v>22.285</v>
      </c>
      <c r="W18" s="278">
        <v>12.949</v>
      </c>
      <c r="X18" s="278">
        <v>15.446999999999999</v>
      </c>
      <c r="Y18" s="278"/>
      <c r="Z18" s="278">
        <v>10.331</v>
      </c>
      <c r="AA18" s="278">
        <v>10.622999999999999</v>
      </c>
      <c r="AB18" s="278">
        <v>14.609</v>
      </c>
      <c r="AC18" s="278">
        <v>5.4059999999999997</v>
      </c>
      <c r="AD18" s="279">
        <v>91.65</v>
      </c>
      <c r="AE18" s="278">
        <f t="shared" si="6"/>
        <v>91.65</v>
      </c>
      <c r="AF18" s="278">
        <f t="shared" si="7"/>
        <v>0</v>
      </c>
      <c r="AG18" s="278">
        <f t="shared" si="4"/>
        <v>-4.9999999999997158E-2</v>
      </c>
      <c r="AH18" s="202">
        <f t="shared" si="0"/>
        <v>-0.78599999999999959</v>
      </c>
      <c r="AI18" s="202">
        <f t="shared" si="1"/>
        <v>57.9</v>
      </c>
      <c r="AJ18" s="275"/>
      <c r="AK18" s="275"/>
      <c r="AL18" s="275"/>
      <c r="AM18" s="275"/>
      <c r="AN18" s="275"/>
      <c r="AO18" s="275"/>
      <c r="AP18" s="275"/>
      <c r="AQ18" s="275"/>
      <c r="AR18" s="275"/>
      <c r="AS18" s="275"/>
      <c r="AT18" s="275"/>
      <c r="AU18" s="275"/>
      <c r="AV18" s="275"/>
      <c r="AW18" s="275"/>
      <c r="AX18" s="275"/>
      <c r="AY18" s="275"/>
      <c r="AZ18" s="275"/>
      <c r="BA18" s="275"/>
      <c r="BB18" s="275"/>
      <c r="BC18" s="275"/>
      <c r="BE18" s="274">
        <f t="shared" si="5"/>
        <v>2.9580645161290322</v>
      </c>
      <c r="BI18" s="270">
        <f t="shared" si="3"/>
        <v>0</v>
      </c>
    </row>
    <row r="19" spans="1:61">
      <c r="A19" s="266">
        <v>29618</v>
      </c>
      <c r="B19" s="266"/>
      <c r="C19" s="275"/>
      <c r="D19" s="276">
        <v>1.1999999999999886</v>
      </c>
      <c r="E19" s="275"/>
      <c r="F19" s="275"/>
      <c r="G19" s="277">
        <v>78.400000000000006</v>
      </c>
      <c r="H19" s="275"/>
      <c r="I19" s="275"/>
      <c r="J19" s="270">
        <v>47.4</v>
      </c>
      <c r="K19" s="275"/>
      <c r="L19" s="275"/>
      <c r="M19" s="275"/>
      <c r="N19" s="202">
        <v>872.7</v>
      </c>
      <c r="O19" s="270">
        <v>11.1</v>
      </c>
      <c r="P19" s="275"/>
      <c r="Q19" s="202">
        <v>998.4</v>
      </c>
      <c r="R19" s="199"/>
      <c r="S19" s="275"/>
      <c r="T19" s="275"/>
      <c r="U19" s="275"/>
      <c r="V19" s="278">
        <v>18.606999999999999</v>
      </c>
      <c r="W19" s="278">
        <v>11.154999999999999</v>
      </c>
      <c r="X19" s="278">
        <v>13.999000000000001</v>
      </c>
      <c r="Y19" s="278"/>
      <c r="Z19" s="278">
        <v>7.8440000000000003</v>
      </c>
      <c r="AA19" s="278">
        <v>9.0950000000000006</v>
      </c>
      <c r="AB19" s="278">
        <v>12.868</v>
      </c>
      <c r="AC19" s="278">
        <v>4.8659999999999997</v>
      </c>
      <c r="AD19" s="279">
        <v>78.433999999999997</v>
      </c>
      <c r="AE19" s="278">
        <f t="shared" si="6"/>
        <v>78.433999999999997</v>
      </c>
      <c r="AF19" s="278">
        <f t="shared" si="7"/>
        <v>0</v>
      </c>
      <c r="AG19" s="278">
        <f t="shared" si="4"/>
        <v>3.3999999999991815E-2</v>
      </c>
      <c r="AH19" s="202">
        <f t="shared" si="0"/>
        <v>-1.7409999999999997</v>
      </c>
      <c r="AI19" s="202">
        <f t="shared" si="1"/>
        <v>58.5</v>
      </c>
      <c r="AJ19" s="275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/>
      <c r="AX19" s="275"/>
      <c r="AY19" s="275"/>
      <c r="AZ19" s="275"/>
      <c r="BA19" s="275"/>
      <c r="BB19" s="275"/>
      <c r="BC19" s="275"/>
      <c r="BE19" s="274">
        <f>G19/28</f>
        <v>2.8000000000000003</v>
      </c>
      <c r="BI19" s="270">
        <f t="shared" si="3"/>
        <v>0.19999999999999929</v>
      </c>
    </row>
    <row r="20" spans="1:61">
      <c r="A20" s="266">
        <v>29646</v>
      </c>
      <c r="B20" s="266"/>
      <c r="C20" s="275"/>
      <c r="D20" s="276">
        <v>-0.39999999999999147</v>
      </c>
      <c r="E20" s="275"/>
      <c r="F20" s="275"/>
      <c r="G20" s="277">
        <v>89.1</v>
      </c>
      <c r="H20" s="275"/>
      <c r="I20" s="275"/>
      <c r="J20" s="270">
        <v>47.5</v>
      </c>
      <c r="K20" s="275"/>
      <c r="L20" s="275"/>
      <c r="M20" s="275"/>
      <c r="N20" s="202">
        <v>992.3</v>
      </c>
      <c r="O20" s="270">
        <v>11.1</v>
      </c>
      <c r="P20" s="275"/>
      <c r="Q20" s="202">
        <v>1010.6</v>
      </c>
      <c r="R20" s="199"/>
      <c r="S20" s="275"/>
      <c r="T20" s="275"/>
      <c r="U20" s="275"/>
      <c r="V20" s="278">
        <v>21.172000000000001</v>
      </c>
      <c r="W20" s="278">
        <v>11.708</v>
      </c>
      <c r="X20" s="278">
        <v>14.314</v>
      </c>
      <c r="Y20" s="278"/>
      <c r="Z20" s="278">
        <v>11.317</v>
      </c>
      <c r="AA20" s="278">
        <v>10.337999999999999</v>
      </c>
      <c r="AB20" s="278">
        <v>15</v>
      </c>
      <c r="AC20" s="278">
        <v>5.2229999999999999</v>
      </c>
      <c r="AD20" s="279">
        <v>89.072000000000003</v>
      </c>
      <c r="AE20" s="278">
        <f t="shared" si="6"/>
        <v>89.072000000000003</v>
      </c>
      <c r="AF20" s="278">
        <f t="shared" si="7"/>
        <v>0</v>
      </c>
      <c r="AG20" s="278">
        <f t="shared" si="4"/>
        <v>-2.7999999999991587E-2</v>
      </c>
      <c r="AH20" s="202">
        <f t="shared" si="0"/>
        <v>2.1319999999999997</v>
      </c>
      <c r="AI20" s="202">
        <f t="shared" si="1"/>
        <v>58.6</v>
      </c>
      <c r="AJ20" s="275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5"/>
      <c r="BB20" s="275"/>
      <c r="BC20" s="275"/>
      <c r="BE20" s="274">
        <f t="shared" si="5"/>
        <v>2.8741935483870966</v>
      </c>
      <c r="BI20" s="270">
        <f t="shared" si="3"/>
        <v>0</v>
      </c>
    </row>
    <row r="21" spans="1:61">
      <c r="A21" s="266">
        <v>29677</v>
      </c>
      <c r="B21" s="266"/>
      <c r="C21" s="275"/>
      <c r="D21" s="276">
        <v>0.87666666666667936</v>
      </c>
      <c r="E21" s="275"/>
      <c r="F21" s="275"/>
      <c r="G21" s="277">
        <v>84.5</v>
      </c>
      <c r="H21" s="275"/>
      <c r="I21" s="275"/>
      <c r="J21" s="270">
        <v>47.5</v>
      </c>
      <c r="K21" s="275"/>
      <c r="L21" s="275"/>
      <c r="M21" s="275"/>
      <c r="N21" s="202">
        <v>943</v>
      </c>
      <c r="O21" s="270">
        <v>11.2</v>
      </c>
      <c r="P21" s="275"/>
      <c r="Q21" s="202">
        <v>1062.5</v>
      </c>
      <c r="R21" s="199"/>
      <c r="S21" s="275"/>
      <c r="T21" s="275"/>
      <c r="U21" s="275"/>
      <c r="V21" s="278">
        <v>20.577999999999999</v>
      </c>
      <c r="W21" s="278">
        <v>10.281000000000001</v>
      </c>
      <c r="X21" s="278">
        <v>14.638</v>
      </c>
      <c r="Y21" s="278"/>
      <c r="Z21" s="278">
        <v>10.789</v>
      </c>
      <c r="AA21" s="278">
        <v>9.1159999999999997</v>
      </c>
      <c r="AB21" s="278">
        <v>13.422000000000001</v>
      </c>
      <c r="AC21" s="278">
        <v>5.6589999999999998</v>
      </c>
      <c r="AD21" s="279">
        <v>84.483000000000004</v>
      </c>
      <c r="AE21" s="278">
        <f t="shared" si="6"/>
        <v>84.483000000000004</v>
      </c>
      <c r="AF21" s="278">
        <f t="shared" si="7"/>
        <v>0</v>
      </c>
      <c r="AG21" s="278">
        <f t="shared" si="4"/>
        <v>-1.6999999999995907E-2</v>
      </c>
      <c r="AH21" s="202">
        <f t="shared" si="0"/>
        <v>-1.5779999999999994</v>
      </c>
      <c r="AI21" s="202">
        <f t="shared" si="1"/>
        <v>58.7</v>
      </c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E21" s="274">
        <f>G21/30</f>
        <v>2.8166666666666669</v>
      </c>
      <c r="BI21" s="270">
        <f t="shared" si="3"/>
        <v>9.9999999999999645E-2</v>
      </c>
    </row>
    <row r="22" spans="1:61">
      <c r="A22" s="266">
        <v>29707</v>
      </c>
      <c r="B22" s="266"/>
      <c r="C22" s="275"/>
      <c r="D22" s="276">
        <v>-1.3333333333335418E-2</v>
      </c>
      <c r="E22" s="275"/>
      <c r="F22" s="275"/>
      <c r="G22" s="277">
        <v>82.3</v>
      </c>
      <c r="H22" s="275"/>
      <c r="I22" s="275"/>
      <c r="J22" s="270">
        <v>47.3</v>
      </c>
      <c r="K22" s="275"/>
      <c r="L22" s="275"/>
      <c r="M22" s="275"/>
      <c r="N22" s="202">
        <v>911.9</v>
      </c>
      <c r="O22" s="270">
        <v>11.1</v>
      </c>
      <c r="P22" s="275"/>
      <c r="Q22" s="202">
        <v>1181.0999999999999</v>
      </c>
      <c r="R22" s="199"/>
      <c r="S22" s="275"/>
      <c r="T22" s="275"/>
      <c r="U22" s="275"/>
      <c r="V22" s="278">
        <v>17.238</v>
      </c>
      <c r="W22" s="278">
        <v>10.750999999999999</v>
      </c>
      <c r="X22" s="278">
        <v>14.257</v>
      </c>
      <c r="Y22" s="278"/>
      <c r="Z22" s="278">
        <v>9.42</v>
      </c>
      <c r="AA22" s="278">
        <v>10.215</v>
      </c>
      <c r="AB22" s="278">
        <v>14.242000000000001</v>
      </c>
      <c r="AC22" s="278">
        <v>6.1360000000000001</v>
      </c>
      <c r="AD22" s="279">
        <v>82.259</v>
      </c>
      <c r="AE22" s="278">
        <f t="shared" si="6"/>
        <v>82.259</v>
      </c>
      <c r="AF22" s="278">
        <f t="shared" si="7"/>
        <v>0</v>
      </c>
      <c r="AG22" s="278">
        <f t="shared" si="4"/>
        <v>-4.0999999999996817E-2</v>
      </c>
      <c r="AH22" s="202">
        <f t="shared" si="0"/>
        <v>0.82000000000000028</v>
      </c>
      <c r="AI22" s="202">
        <f t="shared" si="1"/>
        <v>58.4</v>
      </c>
      <c r="AJ22" s="275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E22" s="274">
        <f t="shared" si="5"/>
        <v>2.6548387096774193</v>
      </c>
      <c r="BI22" s="270">
        <f t="shared" si="3"/>
        <v>-9.9999999999999645E-2</v>
      </c>
    </row>
    <row r="23" spans="1:61">
      <c r="A23" s="266">
        <v>29738</v>
      </c>
      <c r="B23" s="266"/>
      <c r="C23" s="275"/>
      <c r="D23" s="276">
        <v>1.1366666666666703</v>
      </c>
      <c r="E23" s="275"/>
      <c r="F23" s="275"/>
      <c r="G23" s="277">
        <v>72.3</v>
      </c>
      <c r="H23" s="275"/>
      <c r="I23" s="275"/>
      <c r="J23" s="270">
        <v>47.6</v>
      </c>
      <c r="K23" s="275"/>
      <c r="L23" s="275"/>
      <c r="M23" s="275"/>
      <c r="N23" s="202">
        <v>809.5</v>
      </c>
      <c r="O23" s="270">
        <v>11.2</v>
      </c>
      <c r="P23" s="275"/>
      <c r="Q23" s="202">
        <v>1137.4000000000001</v>
      </c>
      <c r="R23" s="199"/>
      <c r="S23" s="275"/>
      <c r="T23" s="275"/>
      <c r="U23" s="275"/>
      <c r="V23" s="278">
        <v>16.667999999999999</v>
      </c>
      <c r="W23" s="278">
        <v>10.093999999999999</v>
      </c>
      <c r="X23" s="278">
        <v>11.07</v>
      </c>
      <c r="Y23" s="278"/>
      <c r="Z23" s="278">
        <v>6.6159999999999997</v>
      </c>
      <c r="AA23" s="278">
        <v>10.064</v>
      </c>
      <c r="AB23" s="278">
        <v>11.981999999999999</v>
      </c>
      <c r="AC23" s="278">
        <v>5.8230000000000004</v>
      </c>
      <c r="AD23" s="279">
        <v>72.316999999999993</v>
      </c>
      <c r="AE23" s="278">
        <f t="shared" si="6"/>
        <v>72.317000000000007</v>
      </c>
      <c r="AF23" s="278">
        <f t="shared" si="7"/>
        <v>0</v>
      </c>
      <c r="AG23" s="278">
        <f t="shared" si="4"/>
        <v>1.7000000000010118E-2</v>
      </c>
      <c r="AH23" s="202">
        <f t="shared" si="0"/>
        <v>-2.2600000000000016</v>
      </c>
      <c r="AI23" s="202">
        <f t="shared" si="1"/>
        <v>58.8</v>
      </c>
      <c r="AJ23" s="275"/>
      <c r="AK23" s="275"/>
      <c r="AL23" s="275"/>
      <c r="AM23" s="275"/>
      <c r="AN23" s="275"/>
      <c r="AO23" s="275"/>
      <c r="AP23" s="275"/>
      <c r="AQ23" s="275"/>
      <c r="AR23" s="275"/>
      <c r="AS23" s="275"/>
      <c r="AT23" s="275"/>
      <c r="AU23" s="275"/>
      <c r="AV23" s="275"/>
      <c r="AW23" s="275"/>
      <c r="AX23" s="275"/>
      <c r="AY23" s="275"/>
      <c r="AZ23" s="275"/>
      <c r="BA23" s="275"/>
      <c r="BB23" s="275"/>
      <c r="BC23" s="275"/>
      <c r="BE23" s="274">
        <f>G23/30</f>
        <v>2.4099999999999997</v>
      </c>
      <c r="BI23" s="270">
        <f t="shared" si="3"/>
        <v>9.9999999999999645E-2</v>
      </c>
    </row>
    <row r="24" spans="1:61">
      <c r="A24" s="266">
        <v>29768</v>
      </c>
      <c r="B24" s="266"/>
      <c r="C24" s="275"/>
      <c r="D24" s="276">
        <v>3.0000000000001137E-2</v>
      </c>
      <c r="E24" s="275"/>
      <c r="F24" s="275"/>
      <c r="G24" s="277">
        <v>72.3</v>
      </c>
      <c r="H24" s="275"/>
      <c r="I24" s="275"/>
      <c r="J24" s="270">
        <v>47.5</v>
      </c>
      <c r="K24" s="275"/>
      <c r="L24" s="275"/>
      <c r="M24" s="275"/>
      <c r="N24" s="202">
        <v>812.6</v>
      </c>
      <c r="O24" s="270">
        <v>11.2</v>
      </c>
      <c r="P24" s="275"/>
      <c r="Q24" s="202">
        <v>1114.4000000000001</v>
      </c>
      <c r="R24" s="199"/>
      <c r="S24" s="275"/>
      <c r="T24" s="275"/>
      <c r="U24" s="275"/>
      <c r="V24" s="278">
        <v>15.782999999999999</v>
      </c>
      <c r="W24" s="278">
        <v>10.515000000000001</v>
      </c>
      <c r="X24" s="278">
        <v>13.250999999999999</v>
      </c>
      <c r="Y24" s="278"/>
      <c r="Z24" s="278">
        <v>5.51</v>
      </c>
      <c r="AA24" s="278">
        <v>7.7</v>
      </c>
      <c r="AB24" s="278">
        <v>13.827999999999999</v>
      </c>
      <c r="AC24" s="278">
        <v>5.7119999999999997</v>
      </c>
      <c r="AD24" s="279">
        <v>72.299000000000007</v>
      </c>
      <c r="AE24" s="278">
        <f t="shared" si="6"/>
        <v>72.299000000000007</v>
      </c>
      <c r="AF24" s="278">
        <f t="shared" si="7"/>
        <v>0</v>
      </c>
      <c r="AG24" s="278">
        <f t="shared" si="4"/>
        <v>-9.9999999999056399E-4</v>
      </c>
      <c r="AH24" s="202">
        <f t="shared" si="0"/>
        <v>1.8460000000000001</v>
      </c>
      <c r="AI24" s="202">
        <f t="shared" si="1"/>
        <v>58.7</v>
      </c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5"/>
      <c r="BE24" s="274">
        <f t="shared" si="5"/>
        <v>2.3322580645161288</v>
      </c>
      <c r="BI24" s="270">
        <f t="shared" si="3"/>
        <v>0</v>
      </c>
    </row>
    <row r="25" spans="1:61">
      <c r="A25" s="266">
        <v>29799</v>
      </c>
      <c r="B25" s="266"/>
      <c r="C25" s="275"/>
      <c r="D25" s="276">
        <v>0.83666666666667311</v>
      </c>
      <c r="E25" s="275"/>
      <c r="F25" s="275"/>
      <c r="G25" s="277">
        <v>73.8</v>
      </c>
      <c r="H25" s="275"/>
      <c r="I25" s="275"/>
      <c r="J25" s="270">
        <v>47.7</v>
      </c>
      <c r="K25" s="275"/>
      <c r="L25" s="275"/>
      <c r="M25" s="275"/>
      <c r="N25" s="202">
        <v>830</v>
      </c>
      <c r="O25" s="270">
        <v>11.3</v>
      </c>
      <c r="P25" s="275"/>
      <c r="Q25" s="202">
        <v>1029.2</v>
      </c>
      <c r="R25" s="199"/>
      <c r="S25" s="275"/>
      <c r="T25" s="275"/>
      <c r="U25" s="275"/>
      <c r="V25" s="278">
        <v>11.393000000000001</v>
      </c>
      <c r="W25" s="278">
        <v>9.9879999999999995</v>
      </c>
      <c r="X25" s="278">
        <v>12.347</v>
      </c>
      <c r="Y25" s="278"/>
      <c r="Z25" s="278">
        <v>9.5329999999999995</v>
      </c>
      <c r="AA25" s="278">
        <v>9.6679999999999993</v>
      </c>
      <c r="AB25" s="278">
        <v>14.977</v>
      </c>
      <c r="AC25" s="278">
        <v>5.8789999999999996</v>
      </c>
      <c r="AD25" s="279">
        <v>73.784999999999997</v>
      </c>
      <c r="AE25" s="278">
        <f t="shared" si="6"/>
        <v>73.785000000000011</v>
      </c>
      <c r="AF25" s="278">
        <f t="shared" si="7"/>
        <v>0</v>
      </c>
      <c r="AG25" s="278">
        <f t="shared" si="4"/>
        <v>-1.4999999999986358E-2</v>
      </c>
      <c r="AH25" s="202">
        <f t="shared" si="0"/>
        <v>1.1490000000000009</v>
      </c>
      <c r="AI25" s="202">
        <f t="shared" si="1"/>
        <v>59</v>
      </c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E25" s="274">
        <f t="shared" si="5"/>
        <v>2.3806451612903223</v>
      </c>
      <c r="BF25" s="280"/>
      <c r="BI25" s="270">
        <f t="shared" si="3"/>
        <v>0.10000000000000142</v>
      </c>
    </row>
    <row r="26" spans="1:61">
      <c r="A26" s="266">
        <v>29830</v>
      </c>
      <c r="B26" s="266"/>
      <c r="C26" s="275"/>
      <c r="D26" s="276">
        <v>-0.66666666666665719</v>
      </c>
      <c r="E26" s="275"/>
      <c r="F26" s="275"/>
      <c r="G26" s="277">
        <v>76.099999999999994</v>
      </c>
      <c r="H26" s="275"/>
      <c r="I26" s="275"/>
      <c r="J26" s="270">
        <v>47.8</v>
      </c>
      <c r="K26" s="275"/>
      <c r="L26" s="275"/>
      <c r="M26" s="275"/>
      <c r="N26" s="202">
        <v>849.6</v>
      </c>
      <c r="O26" s="270">
        <v>11.2</v>
      </c>
      <c r="P26" s="275"/>
      <c r="Q26" s="202">
        <v>1047.2</v>
      </c>
      <c r="R26" s="199"/>
      <c r="S26" s="275"/>
      <c r="T26" s="275"/>
      <c r="U26" s="275"/>
      <c r="V26" s="278">
        <v>18.067</v>
      </c>
      <c r="W26" s="278">
        <v>9.93</v>
      </c>
      <c r="X26" s="278">
        <v>12.759</v>
      </c>
      <c r="Y26" s="278"/>
      <c r="Z26" s="278">
        <v>7.2089999999999996</v>
      </c>
      <c r="AA26" s="278">
        <v>9.3919999999999995</v>
      </c>
      <c r="AB26" s="278">
        <v>13.108000000000001</v>
      </c>
      <c r="AC26" s="278">
        <v>5.8179999999999996</v>
      </c>
      <c r="AD26" s="279">
        <v>76.283000000000001</v>
      </c>
      <c r="AE26" s="278">
        <f t="shared" si="6"/>
        <v>76.283000000000001</v>
      </c>
      <c r="AF26" s="278">
        <f t="shared" si="7"/>
        <v>0</v>
      </c>
      <c r="AG26" s="278">
        <f t="shared" si="4"/>
        <v>0.18300000000000693</v>
      </c>
      <c r="AH26" s="202">
        <f t="shared" si="0"/>
        <v>-1.8689999999999998</v>
      </c>
      <c r="AI26" s="202">
        <f t="shared" si="1"/>
        <v>59</v>
      </c>
      <c r="AJ26" s="275"/>
      <c r="AK26" s="275"/>
      <c r="AL26" s="275"/>
      <c r="AM26" s="275"/>
      <c r="AN26" s="275"/>
      <c r="AO26" s="275"/>
      <c r="AP26" s="275"/>
      <c r="AQ26" s="275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5"/>
      <c r="BE26" s="274">
        <f>G26/30</f>
        <v>2.5366666666666666</v>
      </c>
      <c r="BF26" s="280">
        <f t="shared" ref="BF26:BF36" si="8">MAX(G14,G2)</f>
        <v>80.8</v>
      </c>
      <c r="BG26" s="154" t="str">
        <f t="shared" ref="BG26:BG89" si="9">IF(G26&gt;BF26,"RECORD","")</f>
        <v/>
      </c>
      <c r="BI26" s="270">
        <f t="shared" si="3"/>
        <v>-0.10000000000000142</v>
      </c>
    </row>
    <row r="27" spans="1:61">
      <c r="A27" s="266">
        <v>29860</v>
      </c>
      <c r="B27" s="266"/>
      <c r="C27" s="275"/>
      <c r="D27" s="276">
        <v>0.1600000000000108</v>
      </c>
      <c r="E27" s="277">
        <v>3.9838709677419355</v>
      </c>
      <c r="F27" s="277">
        <f>(A28-A27)*E27</f>
        <v>123.5</v>
      </c>
      <c r="G27" s="277">
        <v>104.3</v>
      </c>
      <c r="H27" s="281">
        <f t="shared" ref="H27:H90" si="10">G27/F27</f>
        <v>0.84453441295546561</v>
      </c>
      <c r="I27" s="275"/>
      <c r="J27" s="270">
        <v>47.3</v>
      </c>
      <c r="K27" s="275"/>
      <c r="L27" s="275"/>
      <c r="M27" s="275"/>
      <c r="N27" s="202">
        <v>1120.5999999999999</v>
      </c>
      <c r="O27" s="270">
        <v>10.7</v>
      </c>
      <c r="P27" s="275"/>
      <c r="Q27" s="202">
        <v>1076.7</v>
      </c>
      <c r="R27" s="199"/>
      <c r="S27" s="275"/>
      <c r="T27" s="275"/>
      <c r="U27" s="275"/>
      <c r="V27" s="278">
        <v>26.042000000000002</v>
      </c>
      <c r="W27" s="278">
        <v>12.391</v>
      </c>
      <c r="X27" s="278">
        <v>16.052</v>
      </c>
      <c r="Y27" s="278"/>
      <c r="Z27" s="278">
        <v>13.802</v>
      </c>
      <c r="AA27" s="278">
        <v>12.698</v>
      </c>
      <c r="AB27" s="278">
        <v>16.571999999999999</v>
      </c>
      <c r="AC27" s="278">
        <v>6.7450000000000001</v>
      </c>
      <c r="AD27" s="279">
        <v>104.30200000000001</v>
      </c>
      <c r="AE27" s="278">
        <f t="shared" si="6"/>
        <v>104.30200000000002</v>
      </c>
      <c r="AF27" s="278">
        <f t="shared" si="7"/>
        <v>0</v>
      </c>
      <c r="AG27" s="278">
        <f t="shared" si="4"/>
        <v>2.0000000000237605E-3</v>
      </c>
      <c r="AH27" s="202">
        <f t="shared" si="0"/>
        <v>3.4639999999999986</v>
      </c>
      <c r="AI27" s="202">
        <f t="shared" si="1"/>
        <v>58</v>
      </c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E27" s="274">
        <f t="shared" si="5"/>
        <v>3.3645161290322578</v>
      </c>
      <c r="BF27" s="280">
        <f t="shared" si="8"/>
        <v>98.9</v>
      </c>
      <c r="BG27" s="154" t="str">
        <f t="shared" si="9"/>
        <v>RECORD</v>
      </c>
      <c r="BI27" s="270">
        <f t="shared" si="3"/>
        <v>-0.5</v>
      </c>
    </row>
    <row r="28" spans="1:61">
      <c r="A28" s="266">
        <v>29891</v>
      </c>
      <c r="B28" s="266"/>
      <c r="C28" s="275"/>
      <c r="D28" s="276">
        <v>1.5566666666666578</v>
      </c>
      <c r="E28" s="277">
        <v>3.9833333333333334</v>
      </c>
      <c r="F28" s="277">
        <f t="shared" ref="F28:F91" si="11">(A29-A28)*E28</f>
        <v>119.5</v>
      </c>
      <c r="G28" s="277">
        <v>96</v>
      </c>
      <c r="H28" s="281">
        <f t="shared" si="10"/>
        <v>0.80334728033472802</v>
      </c>
      <c r="I28" s="275"/>
      <c r="J28" s="270">
        <v>47.4</v>
      </c>
      <c r="K28" s="275"/>
      <c r="L28" s="275"/>
      <c r="M28" s="275"/>
      <c r="N28" s="202">
        <v>998.7</v>
      </c>
      <c r="O28" s="270">
        <v>10.4</v>
      </c>
      <c r="P28" s="275"/>
      <c r="Q28" s="202">
        <v>1212.5999999999999</v>
      </c>
      <c r="R28" s="199"/>
      <c r="S28" s="275"/>
      <c r="T28" s="275"/>
      <c r="U28" s="275"/>
      <c r="V28" s="278">
        <v>22.303000000000001</v>
      </c>
      <c r="W28" s="278">
        <v>11.711</v>
      </c>
      <c r="X28" s="278">
        <v>16.181999999999999</v>
      </c>
      <c r="Y28" s="278"/>
      <c r="Z28" s="278">
        <v>14.481999999999999</v>
      </c>
      <c r="AA28" s="278">
        <v>11.609</v>
      </c>
      <c r="AB28" s="278">
        <v>14.01</v>
      </c>
      <c r="AC28" s="278">
        <v>5.7329999999999997</v>
      </c>
      <c r="AD28" s="279">
        <v>96.03</v>
      </c>
      <c r="AE28" s="278">
        <f t="shared" si="6"/>
        <v>96.03</v>
      </c>
      <c r="AF28" s="278">
        <f t="shared" si="7"/>
        <v>0</v>
      </c>
      <c r="AG28" s="278">
        <f t="shared" si="4"/>
        <v>3.0000000000001137E-2</v>
      </c>
      <c r="AH28" s="202">
        <f t="shared" si="0"/>
        <v>-2.5619999999999994</v>
      </c>
      <c r="AI28" s="202">
        <f t="shared" si="1"/>
        <v>57.8</v>
      </c>
      <c r="AJ28" s="275"/>
      <c r="AK28" s="275"/>
      <c r="AL28" s="275"/>
      <c r="AM28" s="275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E28" s="274">
        <f>G28/30</f>
        <v>3.2</v>
      </c>
      <c r="BF28" s="280">
        <f t="shared" si="8"/>
        <v>101</v>
      </c>
      <c r="BG28" s="154" t="str">
        <f t="shared" si="9"/>
        <v/>
      </c>
      <c r="BI28" s="270">
        <f t="shared" si="3"/>
        <v>-0.29999999999999893</v>
      </c>
    </row>
    <row r="29" spans="1:61">
      <c r="A29" s="266">
        <v>29921</v>
      </c>
      <c r="B29" s="266"/>
      <c r="C29" s="275"/>
      <c r="D29" s="276">
        <v>8.6666666666658898E-2</v>
      </c>
      <c r="E29" s="277">
        <v>3.9838709677419355</v>
      </c>
      <c r="F29" s="277">
        <f t="shared" si="11"/>
        <v>123.5</v>
      </c>
      <c r="G29" s="277">
        <v>102.4</v>
      </c>
      <c r="H29" s="281">
        <f t="shared" si="10"/>
        <v>0.82914979757085028</v>
      </c>
      <c r="I29" s="275"/>
      <c r="J29" s="270">
        <v>47.5</v>
      </c>
      <c r="K29" s="275"/>
      <c r="L29" s="275"/>
      <c r="M29" s="275"/>
      <c r="N29" s="202">
        <v>1065</v>
      </c>
      <c r="O29" s="270">
        <v>10.4</v>
      </c>
      <c r="P29" s="275"/>
      <c r="Q29" s="202">
        <v>1277.5</v>
      </c>
      <c r="R29" s="199"/>
      <c r="S29" s="275"/>
      <c r="T29" s="275"/>
      <c r="U29" s="275"/>
      <c r="V29" s="278">
        <v>24.998000000000001</v>
      </c>
      <c r="W29" s="278">
        <v>12.436</v>
      </c>
      <c r="X29" s="278">
        <v>16.701000000000001</v>
      </c>
      <c r="Y29" s="278"/>
      <c r="Z29" s="278">
        <v>13.943</v>
      </c>
      <c r="AA29" s="278">
        <v>12.848000000000001</v>
      </c>
      <c r="AB29" s="278">
        <v>15.784000000000001</v>
      </c>
      <c r="AC29" s="278">
        <v>5.7270000000000003</v>
      </c>
      <c r="AD29" s="279">
        <v>102.437</v>
      </c>
      <c r="AE29" s="278">
        <f t="shared" si="6"/>
        <v>102.43700000000001</v>
      </c>
      <c r="AF29" s="278">
        <f t="shared" si="7"/>
        <v>0</v>
      </c>
      <c r="AG29" s="278">
        <f t="shared" si="4"/>
        <v>3.7000000000006139E-2</v>
      </c>
      <c r="AH29" s="202">
        <f t="shared" si="0"/>
        <v>1.7740000000000009</v>
      </c>
      <c r="AI29" s="202">
        <f t="shared" si="1"/>
        <v>57.9</v>
      </c>
      <c r="AJ29" s="275"/>
      <c r="AK29" s="275"/>
      <c r="AL29" s="275"/>
      <c r="AM29" s="275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E29" s="274">
        <f t="shared" si="5"/>
        <v>3.3032258064516129</v>
      </c>
      <c r="BF29" s="280">
        <f t="shared" si="8"/>
        <v>104.1</v>
      </c>
      <c r="BG29" s="154" t="str">
        <f t="shared" si="9"/>
        <v/>
      </c>
      <c r="BI29" s="270">
        <f t="shared" si="3"/>
        <v>0</v>
      </c>
    </row>
    <row r="30" spans="1:61">
      <c r="A30" s="266">
        <v>29952</v>
      </c>
      <c r="B30" s="266"/>
      <c r="C30" s="275"/>
      <c r="D30" s="276">
        <v>0.70666666666666345</v>
      </c>
      <c r="E30" s="277">
        <v>4.0612903225806454</v>
      </c>
      <c r="F30" s="277">
        <f t="shared" si="11"/>
        <v>125.9</v>
      </c>
      <c r="G30" s="277">
        <v>94.2</v>
      </c>
      <c r="H30" s="281">
        <f t="shared" si="10"/>
        <v>0.74821286735504366</v>
      </c>
      <c r="I30" s="275"/>
      <c r="J30" s="270">
        <v>47.5</v>
      </c>
      <c r="K30" s="275"/>
      <c r="L30" s="275"/>
      <c r="M30" s="275"/>
      <c r="N30" s="202">
        <v>999.9</v>
      </c>
      <c r="O30" s="270">
        <v>10.6</v>
      </c>
      <c r="P30" s="275"/>
      <c r="Q30" s="202">
        <v>1407.1</v>
      </c>
      <c r="R30" s="199"/>
      <c r="S30" s="275"/>
      <c r="T30" s="275"/>
      <c r="U30" s="275"/>
      <c r="V30" s="278">
        <v>21.83</v>
      </c>
      <c r="W30" s="278">
        <v>12.375</v>
      </c>
      <c r="X30" s="278">
        <v>16.495000000000001</v>
      </c>
      <c r="Y30" s="278"/>
      <c r="Z30" s="278">
        <v>11.565</v>
      </c>
      <c r="AA30" s="278">
        <v>12.429</v>
      </c>
      <c r="AB30" s="278">
        <v>13.971</v>
      </c>
      <c r="AC30" s="278">
        <v>5.5019999999999998</v>
      </c>
      <c r="AD30" s="279">
        <v>94.167000000000002</v>
      </c>
      <c r="AE30" s="278">
        <f t="shared" si="6"/>
        <v>94.167000000000002</v>
      </c>
      <c r="AF30" s="278">
        <f t="shared" si="7"/>
        <v>0</v>
      </c>
      <c r="AG30" s="278">
        <f t="shared" si="4"/>
        <v>-3.3000000000001251E-2</v>
      </c>
      <c r="AH30" s="202">
        <f t="shared" si="0"/>
        <v>-1.8130000000000006</v>
      </c>
      <c r="AI30" s="202">
        <f t="shared" si="1"/>
        <v>58.1</v>
      </c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E30" s="274">
        <f t="shared" si="5"/>
        <v>3.0387096774193547</v>
      </c>
      <c r="BF30" s="280">
        <f t="shared" si="8"/>
        <v>104.6</v>
      </c>
      <c r="BG30" s="154" t="str">
        <f t="shared" si="9"/>
        <v/>
      </c>
      <c r="BI30" s="270">
        <f t="shared" si="3"/>
        <v>0.19999999999999929</v>
      </c>
    </row>
    <row r="31" spans="1:61">
      <c r="A31" s="266">
        <v>29983</v>
      </c>
      <c r="B31" s="266"/>
      <c r="C31" s="275"/>
      <c r="D31" s="276">
        <v>0.92333333333333201</v>
      </c>
      <c r="E31" s="277">
        <v>4.0607142857142859</v>
      </c>
      <c r="F31" s="277">
        <f t="shared" si="11"/>
        <v>113.7</v>
      </c>
      <c r="G31" s="277">
        <v>85.8</v>
      </c>
      <c r="H31" s="281">
        <f t="shared" si="10"/>
        <v>0.75461741424802109</v>
      </c>
      <c r="I31" s="275"/>
      <c r="J31" s="270">
        <v>47.3</v>
      </c>
      <c r="K31" s="275"/>
      <c r="L31" s="275"/>
      <c r="M31" s="275"/>
      <c r="N31" s="202">
        <v>903.7</v>
      </c>
      <c r="O31" s="270">
        <v>10.5</v>
      </c>
      <c r="P31" s="275"/>
      <c r="Q31" s="202">
        <v>1345.5</v>
      </c>
      <c r="R31" s="199"/>
      <c r="S31" s="275"/>
      <c r="T31" s="275"/>
      <c r="U31" s="275"/>
      <c r="V31" s="278">
        <v>19.257000000000001</v>
      </c>
      <c r="W31" s="278">
        <v>9.923</v>
      </c>
      <c r="X31" s="278">
        <v>15.378</v>
      </c>
      <c r="Y31" s="278"/>
      <c r="Z31" s="278">
        <v>11.497999999999999</v>
      </c>
      <c r="AA31" s="278">
        <v>10.593999999999999</v>
      </c>
      <c r="AB31" s="278">
        <v>13.991</v>
      </c>
      <c r="AC31" s="278">
        <v>5.1189999999999998</v>
      </c>
      <c r="AD31" s="279">
        <v>85.76</v>
      </c>
      <c r="AE31" s="278">
        <f t="shared" si="6"/>
        <v>85.759999999999991</v>
      </c>
      <c r="AF31" s="278">
        <f t="shared" si="7"/>
        <v>0</v>
      </c>
      <c r="AG31" s="278">
        <f t="shared" si="4"/>
        <v>-4.0000000000006253E-2</v>
      </c>
      <c r="AH31" s="202">
        <f t="shared" si="0"/>
        <v>1.9999999999999574E-2</v>
      </c>
      <c r="AI31" s="202">
        <f t="shared" si="1"/>
        <v>57.8</v>
      </c>
      <c r="AJ31" s="275"/>
      <c r="AK31" s="275"/>
      <c r="AL31" s="275"/>
      <c r="AM31" s="275"/>
      <c r="AN31" s="275"/>
      <c r="AO31" s="275"/>
      <c r="AP31" s="275"/>
      <c r="AQ31" s="275"/>
      <c r="AR31" s="275"/>
      <c r="AS31" s="275"/>
      <c r="AT31" s="275"/>
      <c r="AU31" s="275"/>
      <c r="AV31" s="275"/>
      <c r="AW31" s="275"/>
      <c r="AX31" s="275"/>
      <c r="AY31" s="275"/>
      <c r="AZ31" s="275"/>
      <c r="BA31" s="275"/>
      <c r="BB31" s="275"/>
      <c r="BC31" s="275"/>
      <c r="BE31" s="274">
        <f>G31/28</f>
        <v>3.0642857142857141</v>
      </c>
      <c r="BF31" s="280">
        <f t="shared" si="8"/>
        <v>98.9</v>
      </c>
      <c r="BG31" s="154" t="str">
        <f t="shared" si="9"/>
        <v/>
      </c>
      <c r="BI31" s="270">
        <f t="shared" si="3"/>
        <v>-9.9999999999999645E-2</v>
      </c>
    </row>
    <row r="32" spans="1:61">
      <c r="A32" s="266">
        <v>30011</v>
      </c>
      <c r="B32" s="266"/>
      <c r="C32" s="275"/>
      <c r="D32" s="276">
        <v>0.51666666666666572</v>
      </c>
      <c r="E32" s="277">
        <v>4.0612903225806454</v>
      </c>
      <c r="F32" s="277">
        <f t="shared" si="11"/>
        <v>125.9</v>
      </c>
      <c r="G32" s="277">
        <v>84.6</v>
      </c>
      <c r="H32" s="281">
        <f t="shared" si="10"/>
        <v>0.67196187450357414</v>
      </c>
      <c r="I32" s="275"/>
      <c r="J32" s="270">
        <v>47.7</v>
      </c>
      <c r="K32" s="275"/>
      <c r="L32" s="275"/>
      <c r="M32" s="275"/>
      <c r="N32" s="202">
        <v>904.6</v>
      </c>
      <c r="O32" s="270">
        <v>10.7</v>
      </c>
      <c r="P32" s="275"/>
      <c r="Q32" s="202">
        <v>1313.2</v>
      </c>
      <c r="R32" s="199"/>
      <c r="S32" s="275"/>
      <c r="T32" s="275"/>
      <c r="U32" s="275"/>
      <c r="V32" s="278">
        <v>19.317</v>
      </c>
      <c r="W32" s="278">
        <v>10.315</v>
      </c>
      <c r="X32" s="278">
        <v>13.897</v>
      </c>
      <c r="Y32" s="278"/>
      <c r="Z32" s="278">
        <v>10.723000000000001</v>
      </c>
      <c r="AA32" s="278">
        <v>11.172000000000001</v>
      </c>
      <c r="AB32" s="278">
        <v>13.606</v>
      </c>
      <c r="AC32" s="278">
        <v>5.5880000000000001</v>
      </c>
      <c r="AD32" s="279">
        <v>84.617999999999995</v>
      </c>
      <c r="AE32" s="278">
        <f t="shared" si="6"/>
        <v>84.617999999999981</v>
      </c>
      <c r="AF32" s="278">
        <f t="shared" si="7"/>
        <v>0</v>
      </c>
      <c r="AG32" s="278">
        <f t="shared" si="4"/>
        <v>1.7999999999986471E-2</v>
      </c>
      <c r="AH32" s="202">
        <f t="shared" si="0"/>
        <v>-0.38499999999999979</v>
      </c>
      <c r="AI32" s="202">
        <f t="shared" si="1"/>
        <v>58.400000000000006</v>
      </c>
      <c r="AJ32" s="275"/>
      <c r="AK32" s="275"/>
      <c r="AL32" s="275"/>
      <c r="AM32" s="275"/>
      <c r="AN32" s="275"/>
      <c r="AO32" s="275"/>
      <c r="AP32" s="275"/>
      <c r="AQ32" s="275"/>
      <c r="AR32" s="275"/>
      <c r="AS32" s="275"/>
      <c r="AT32" s="275"/>
      <c r="AU32" s="275"/>
      <c r="AV32" s="275"/>
      <c r="AW32" s="275"/>
      <c r="AX32" s="275"/>
      <c r="AY32" s="275"/>
      <c r="AZ32" s="275"/>
      <c r="BA32" s="275"/>
      <c r="BB32" s="275"/>
      <c r="BC32" s="275"/>
      <c r="BE32" s="274">
        <f t="shared" si="5"/>
        <v>2.7290322580645161</v>
      </c>
      <c r="BF32" s="280">
        <f t="shared" si="8"/>
        <v>101.4</v>
      </c>
      <c r="BG32" s="154" t="str">
        <f t="shared" si="9"/>
        <v/>
      </c>
      <c r="BI32" s="270">
        <f t="shared" si="3"/>
        <v>0.19999999999999929</v>
      </c>
    </row>
    <row r="33" spans="1:61">
      <c r="A33" s="266">
        <v>30042</v>
      </c>
      <c r="B33" s="266"/>
      <c r="C33" s="275"/>
      <c r="D33" s="276">
        <v>1.1700000000000017</v>
      </c>
      <c r="E33" s="277">
        <v>4.0466666666666669</v>
      </c>
      <c r="F33" s="277">
        <f t="shared" si="11"/>
        <v>121.4</v>
      </c>
      <c r="G33" s="277">
        <v>79.8</v>
      </c>
      <c r="H33" s="281">
        <f t="shared" si="10"/>
        <v>0.65733113673805599</v>
      </c>
      <c r="I33" s="275"/>
      <c r="J33" s="270">
        <v>47.4</v>
      </c>
      <c r="K33" s="275"/>
      <c r="L33" s="275"/>
      <c r="M33" s="275"/>
      <c r="N33" s="202">
        <v>847.8</v>
      </c>
      <c r="O33" s="270">
        <v>10.6</v>
      </c>
      <c r="P33" s="275"/>
      <c r="Q33" s="202">
        <v>1266</v>
      </c>
      <c r="R33" s="199"/>
      <c r="S33" s="275"/>
      <c r="T33" s="275"/>
      <c r="U33" s="275"/>
      <c r="V33" s="278">
        <v>18.399000000000001</v>
      </c>
      <c r="W33" s="278">
        <v>10.170999999999999</v>
      </c>
      <c r="X33" s="278">
        <v>14.916</v>
      </c>
      <c r="Y33" s="278"/>
      <c r="Z33" s="278">
        <v>8.1029999999999998</v>
      </c>
      <c r="AA33" s="278">
        <v>9.8369999999999997</v>
      </c>
      <c r="AB33" s="278">
        <v>12.621</v>
      </c>
      <c r="AC33" s="278">
        <v>5.7919999999999998</v>
      </c>
      <c r="AD33" s="279">
        <v>79.838999999999999</v>
      </c>
      <c r="AE33" s="278">
        <f t="shared" si="6"/>
        <v>79.838999999999999</v>
      </c>
      <c r="AF33" s="278">
        <f t="shared" si="7"/>
        <v>0</v>
      </c>
      <c r="AG33" s="278">
        <f t="shared" si="4"/>
        <v>3.9000000000001478E-2</v>
      </c>
      <c r="AH33" s="202">
        <f t="shared" si="0"/>
        <v>-0.98499999999999943</v>
      </c>
      <c r="AI33" s="202">
        <f t="shared" si="1"/>
        <v>58</v>
      </c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5"/>
      <c r="BE33" s="274">
        <f>G33/30</f>
        <v>2.6599999999999997</v>
      </c>
      <c r="BF33" s="280">
        <f t="shared" si="8"/>
        <v>91.4</v>
      </c>
      <c r="BG33" s="154" t="str">
        <f t="shared" si="9"/>
        <v/>
      </c>
      <c r="BI33" s="270">
        <f t="shared" si="3"/>
        <v>-9.9999999999999645E-2</v>
      </c>
    </row>
    <row r="34" spans="1:61">
      <c r="A34" s="266">
        <v>30072</v>
      </c>
      <c r="B34" s="266"/>
      <c r="C34" s="275"/>
      <c r="D34" s="276">
        <v>0.17666666666666231</v>
      </c>
      <c r="E34" s="277">
        <v>4.0451612903225804</v>
      </c>
      <c r="F34" s="277">
        <f t="shared" si="11"/>
        <v>125.39999999999999</v>
      </c>
      <c r="G34" s="277">
        <v>86.4</v>
      </c>
      <c r="H34" s="281">
        <f t="shared" si="10"/>
        <v>0.68899521531100483</v>
      </c>
      <c r="I34" s="275"/>
      <c r="J34" s="270">
        <v>47.8</v>
      </c>
      <c r="K34" s="275"/>
      <c r="L34" s="275"/>
      <c r="M34" s="275"/>
      <c r="N34" s="202">
        <v>924</v>
      </c>
      <c r="O34" s="270">
        <v>10.7</v>
      </c>
      <c r="P34" s="275"/>
      <c r="Q34" s="202">
        <v>1216</v>
      </c>
      <c r="R34" s="199"/>
      <c r="S34" s="275"/>
      <c r="T34" s="275"/>
      <c r="U34" s="275"/>
      <c r="V34" s="278">
        <v>20.268999999999998</v>
      </c>
      <c r="W34" s="278">
        <v>10.385999999999999</v>
      </c>
      <c r="X34" s="278">
        <v>14.898999999999999</v>
      </c>
      <c r="Y34" s="278"/>
      <c r="Z34" s="278">
        <v>9.8780000000000001</v>
      </c>
      <c r="AA34" s="278">
        <v>11.308</v>
      </c>
      <c r="AB34" s="278">
        <v>13.083</v>
      </c>
      <c r="AC34" s="278">
        <v>6.5860000000000003</v>
      </c>
      <c r="AD34" s="279">
        <v>86.409000000000006</v>
      </c>
      <c r="AE34" s="278">
        <f t="shared" si="6"/>
        <v>86.408999999999992</v>
      </c>
      <c r="AF34" s="278">
        <f t="shared" si="7"/>
        <v>0</v>
      </c>
      <c r="AG34" s="278">
        <f t="shared" si="4"/>
        <v>8.9999999999861302E-3</v>
      </c>
      <c r="AH34" s="202">
        <f t="shared" si="0"/>
        <v>0.46199999999999974</v>
      </c>
      <c r="AI34" s="202">
        <f t="shared" si="1"/>
        <v>58.5</v>
      </c>
      <c r="AJ34" s="275"/>
      <c r="AK34" s="275"/>
      <c r="AL34" s="275"/>
      <c r="AM34" s="275"/>
      <c r="AN34" s="275"/>
      <c r="AO34" s="275"/>
      <c r="AP34" s="275"/>
      <c r="AQ34" s="275"/>
      <c r="AR34" s="275"/>
      <c r="AS34" s="275"/>
      <c r="AT34" s="275"/>
      <c r="AU34" s="275"/>
      <c r="AV34" s="275"/>
      <c r="AW34" s="275"/>
      <c r="AX34" s="275"/>
      <c r="AY34" s="275"/>
      <c r="AZ34" s="275"/>
      <c r="BA34" s="275"/>
      <c r="BB34" s="275"/>
      <c r="BC34" s="275"/>
      <c r="BE34" s="274">
        <f t="shared" si="5"/>
        <v>2.7870967741935484</v>
      </c>
      <c r="BF34" s="280">
        <f t="shared" si="8"/>
        <v>93.2</v>
      </c>
      <c r="BG34" s="154" t="str">
        <f t="shared" si="9"/>
        <v/>
      </c>
      <c r="BI34" s="270">
        <f t="shared" si="3"/>
        <v>9.9999999999999645E-2</v>
      </c>
    </row>
    <row r="35" spans="1:61">
      <c r="A35" s="266">
        <v>30103</v>
      </c>
      <c r="B35" s="266"/>
      <c r="C35" s="275"/>
      <c r="D35" s="276">
        <v>0.79999999999999716</v>
      </c>
      <c r="E35" s="277">
        <v>4.0466666666666669</v>
      </c>
      <c r="F35" s="277">
        <f t="shared" si="11"/>
        <v>121.4</v>
      </c>
      <c r="G35" s="277">
        <v>76.3</v>
      </c>
      <c r="H35" s="281">
        <f t="shared" si="10"/>
        <v>0.62850082372322891</v>
      </c>
      <c r="I35" s="275"/>
      <c r="J35" s="270">
        <v>47.6</v>
      </c>
      <c r="K35" s="275"/>
      <c r="L35" s="275"/>
      <c r="M35" s="275"/>
      <c r="N35" s="202">
        <v>815</v>
      </c>
      <c r="O35" s="270">
        <v>10.7</v>
      </c>
      <c r="P35" s="275"/>
      <c r="Q35" s="202">
        <v>1083.3</v>
      </c>
      <c r="R35" s="199"/>
      <c r="S35" s="275"/>
      <c r="T35" s="275"/>
      <c r="U35" s="275"/>
      <c r="V35" s="278">
        <v>18.02</v>
      </c>
      <c r="W35" s="278">
        <v>8.39</v>
      </c>
      <c r="X35" s="278">
        <v>13</v>
      </c>
      <c r="Y35" s="278"/>
      <c r="Z35" s="278">
        <v>8.0500000000000007</v>
      </c>
      <c r="AA35" s="278">
        <v>9.1999999999999993</v>
      </c>
      <c r="AB35" s="278">
        <v>13.32</v>
      </c>
      <c r="AC35" s="278">
        <v>6.62</v>
      </c>
      <c r="AD35" s="279">
        <v>76.599999999999994</v>
      </c>
      <c r="AE35" s="278">
        <f t="shared" si="6"/>
        <v>76.599999999999994</v>
      </c>
      <c r="AF35" s="278">
        <f t="shared" si="7"/>
        <v>0</v>
      </c>
      <c r="AG35" s="278">
        <f t="shared" si="4"/>
        <v>0.29999999999999716</v>
      </c>
      <c r="AH35" s="202">
        <f t="shared" si="0"/>
        <v>0.2370000000000001</v>
      </c>
      <c r="AI35" s="202">
        <f t="shared" si="1"/>
        <v>58.3</v>
      </c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  <c r="BA35" s="275"/>
      <c r="BB35" s="275"/>
      <c r="BC35" s="275"/>
      <c r="BE35" s="274">
        <f>G35/30</f>
        <v>2.5433333333333334</v>
      </c>
      <c r="BF35" s="280">
        <f t="shared" si="8"/>
        <v>81.900000000000006</v>
      </c>
      <c r="BG35" s="154" t="str">
        <f t="shared" si="9"/>
        <v/>
      </c>
      <c r="BI35" s="270">
        <f t="shared" si="3"/>
        <v>0</v>
      </c>
    </row>
    <row r="36" spans="1:61">
      <c r="A36" s="266">
        <v>30133</v>
      </c>
      <c r="B36" s="266"/>
      <c r="C36" s="275"/>
      <c r="D36" s="276">
        <v>0.65666666666665208</v>
      </c>
      <c r="E36" s="277">
        <v>4.1064516129032258</v>
      </c>
      <c r="F36" s="277">
        <f t="shared" si="11"/>
        <v>127.3</v>
      </c>
      <c r="G36" s="277">
        <v>69.900000000000006</v>
      </c>
      <c r="H36" s="281">
        <f t="shared" si="10"/>
        <v>0.54909662215239596</v>
      </c>
      <c r="I36" s="275"/>
      <c r="J36" s="270">
        <v>47.3</v>
      </c>
      <c r="K36" s="275"/>
      <c r="L36" s="275"/>
      <c r="M36" s="275"/>
      <c r="N36" s="202">
        <v>764.4</v>
      </c>
      <c r="O36" s="270">
        <v>10.9</v>
      </c>
      <c r="P36" s="275"/>
      <c r="Q36" s="202">
        <v>878.9</v>
      </c>
      <c r="R36" s="199"/>
      <c r="S36" s="275"/>
      <c r="T36" s="275"/>
      <c r="U36" s="275"/>
      <c r="V36" s="278">
        <v>11.968</v>
      </c>
      <c r="W36" s="278">
        <v>8.968</v>
      </c>
      <c r="X36" s="278">
        <v>13.926</v>
      </c>
      <c r="Y36" s="278"/>
      <c r="Z36" s="278">
        <v>7.9370000000000003</v>
      </c>
      <c r="AA36" s="278">
        <v>8.7110000000000003</v>
      </c>
      <c r="AB36" s="278">
        <v>12.063000000000001</v>
      </c>
      <c r="AC36" s="278">
        <v>6.2869999999999999</v>
      </c>
      <c r="AD36" s="279">
        <v>69.86</v>
      </c>
      <c r="AE36" s="278">
        <f t="shared" si="6"/>
        <v>69.86</v>
      </c>
      <c r="AF36" s="278">
        <f t="shared" si="7"/>
        <v>0</v>
      </c>
      <c r="AG36" s="278">
        <f t="shared" si="4"/>
        <v>-4.0000000000006253E-2</v>
      </c>
      <c r="AH36" s="202">
        <f t="shared" si="0"/>
        <v>-1.2569999999999997</v>
      </c>
      <c r="AI36" s="202">
        <f t="shared" si="1"/>
        <v>58.199999999999996</v>
      </c>
      <c r="AJ36" s="275"/>
      <c r="AK36" s="275"/>
      <c r="AL36" s="275"/>
      <c r="AM36" s="275"/>
      <c r="AN36" s="275"/>
      <c r="AO36" s="275"/>
      <c r="AP36" s="275"/>
      <c r="AQ36" s="275"/>
      <c r="AR36" s="275"/>
      <c r="AS36" s="275"/>
      <c r="AT36" s="275"/>
      <c r="AU36" s="275"/>
      <c r="AV36" s="275"/>
      <c r="AW36" s="275"/>
      <c r="AX36" s="275"/>
      <c r="AY36" s="275"/>
      <c r="AZ36" s="275"/>
      <c r="BA36" s="275"/>
      <c r="BB36" s="275"/>
      <c r="BC36" s="275"/>
      <c r="BE36" s="274">
        <f t="shared" si="5"/>
        <v>2.2548387096774194</v>
      </c>
      <c r="BF36" s="280">
        <f t="shared" si="8"/>
        <v>84.1</v>
      </c>
      <c r="BG36" s="154" t="str">
        <f t="shared" si="9"/>
        <v/>
      </c>
      <c r="BI36" s="270">
        <f t="shared" si="3"/>
        <v>0.20000000000000107</v>
      </c>
    </row>
    <row r="37" spans="1:61">
      <c r="A37" s="266">
        <v>30164</v>
      </c>
      <c r="B37" s="266"/>
      <c r="C37" s="275"/>
      <c r="D37" s="276">
        <v>0.29000000000000625</v>
      </c>
      <c r="E37" s="277">
        <v>4.0903225806451609</v>
      </c>
      <c r="F37" s="277">
        <f t="shared" si="11"/>
        <v>126.79999999999998</v>
      </c>
      <c r="G37" s="277">
        <v>67.5</v>
      </c>
      <c r="H37" s="281">
        <f t="shared" si="10"/>
        <v>0.53233438485804419</v>
      </c>
      <c r="I37" s="275"/>
      <c r="J37" s="270">
        <v>47.4</v>
      </c>
      <c r="K37" s="275"/>
      <c r="L37" s="275"/>
      <c r="M37" s="275"/>
      <c r="N37" s="202">
        <v>732.3</v>
      </c>
      <c r="O37" s="270">
        <v>10.9</v>
      </c>
      <c r="P37" s="275"/>
      <c r="Q37" s="202">
        <v>701.6</v>
      </c>
      <c r="R37" s="199"/>
      <c r="S37" s="275"/>
      <c r="T37" s="275"/>
      <c r="U37" s="275"/>
      <c r="V37" s="278">
        <v>13.173</v>
      </c>
      <c r="W37" s="278">
        <v>9.0310000000000006</v>
      </c>
      <c r="X37" s="278">
        <v>12.356</v>
      </c>
      <c r="Y37" s="278"/>
      <c r="Z37" s="278">
        <v>7.032</v>
      </c>
      <c r="AA37" s="278">
        <v>7.4139999999999997</v>
      </c>
      <c r="AB37" s="278">
        <v>12.606</v>
      </c>
      <c r="AC37" s="278">
        <v>5.8920000000000003</v>
      </c>
      <c r="AD37" s="279">
        <v>67.504000000000005</v>
      </c>
      <c r="AE37" s="278">
        <f t="shared" si="6"/>
        <v>67.504000000000005</v>
      </c>
      <c r="AF37" s="278">
        <f t="shared" si="7"/>
        <v>0</v>
      </c>
      <c r="AG37" s="278">
        <f t="shared" si="4"/>
        <v>4.0000000000048885E-3</v>
      </c>
      <c r="AH37" s="202">
        <f t="shared" si="0"/>
        <v>0.54299999999999926</v>
      </c>
      <c r="AI37" s="202">
        <f t="shared" si="1"/>
        <v>58.3</v>
      </c>
      <c r="AJ37" s="275"/>
      <c r="AK37" s="275"/>
      <c r="AL37" s="275"/>
      <c r="AM37" s="275"/>
      <c r="AN37" s="275"/>
      <c r="AO37" s="275"/>
      <c r="AP37" s="275"/>
      <c r="AQ37" s="275"/>
      <c r="AR37" s="275"/>
      <c r="AS37" s="275"/>
      <c r="AT37" s="275"/>
      <c r="AU37" s="275"/>
      <c r="AV37" s="275"/>
      <c r="AW37" s="275"/>
      <c r="AX37" s="275"/>
      <c r="AY37" s="275"/>
      <c r="AZ37" s="275"/>
      <c r="BA37" s="275"/>
      <c r="BB37" s="275"/>
      <c r="BC37" s="275"/>
      <c r="BE37" s="274">
        <f t="shared" si="5"/>
        <v>2.1774193548387095</v>
      </c>
      <c r="BF37" s="280">
        <f>MAX(G25,G13)</f>
        <v>82.1</v>
      </c>
      <c r="BG37" s="154" t="str">
        <f t="shared" si="9"/>
        <v/>
      </c>
      <c r="BI37" s="270">
        <f t="shared" si="3"/>
        <v>0</v>
      </c>
    </row>
    <row r="38" spans="1:61">
      <c r="A38" s="266">
        <v>30195</v>
      </c>
      <c r="B38" s="266"/>
      <c r="C38" s="275"/>
      <c r="D38" s="276">
        <v>0.96333333333333826</v>
      </c>
      <c r="E38" s="277">
        <v>4.09</v>
      </c>
      <c r="F38" s="277">
        <f t="shared" si="11"/>
        <v>122.69999999999999</v>
      </c>
      <c r="G38" s="277">
        <v>75</v>
      </c>
      <c r="H38" s="281">
        <f t="shared" si="10"/>
        <v>0.61124694376528121</v>
      </c>
      <c r="I38" s="275"/>
      <c r="J38" s="270">
        <v>47.5</v>
      </c>
      <c r="K38" s="275"/>
      <c r="L38" s="275"/>
      <c r="M38" s="275"/>
      <c r="N38" s="202">
        <v>802.1</v>
      </c>
      <c r="O38" s="270">
        <v>10.7</v>
      </c>
      <c r="P38" s="275"/>
      <c r="Q38" s="202">
        <v>573.79999999999995</v>
      </c>
      <c r="R38" s="199"/>
      <c r="S38" s="275"/>
      <c r="T38" s="275"/>
      <c r="U38" s="275"/>
      <c r="V38" s="278">
        <v>18.744</v>
      </c>
      <c r="W38" s="278">
        <v>9.4649999999999999</v>
      </c>
      <c r="X38" s="278">
        <v>12.609</v>
      </c>
      <c r="Y38" s="278"/>
      <c r="Z38" s="278">
        <v>5.6849999999999996</v>
      </c>
      <c r="AA38" s="278">
        <v>9.0009999999999994</v>
      </c>
      <c r="AB38" s="278">
        <v>13.273999999999999</v>
      </c>
      <c r="AC38" s="278">
        <v>6.194</v>
      </c>
      <c r="AD38" s="279">
        <v>74.971999999999994</v>
      </c>
      <c r="AE38" s="278">
        <f t="shared" si="6"/>
        <v>74.971999999999994</v>
      </c>
      <c r="AF38" s="278">
        <f t="shared" si="7"/>
        <v>0</v>
      </c>
      <c r="AG38" s="278">
        <f t="shared" si="4"/>
        <v>-2.8000000000005798E-2</v>
      </c>
      <c r="AH38" s="202">
        <f t="shared" si="0"/>
        <v>0.66799999999999926</v>
      </c>
      <c r="AI38" s="202">
        <f t="shared" si="1"/>
        <v>58.2</v>
      </c>
      <c r="AJ38" s="275"/>
      <c r="AK38" s="275"/>
      <c r="AL38" s="275"/>
      <c r="AM38" s="275"/>
      <c r="AN38" s="275"/>
      <c r="AO38" s="275"/>
      <c r="AP38" s="275"/>
      <c r="AQ38" s="275"/>
      <c r="AR38" s="275"/>
      <c r="AS38" s="275"/>
      <c r="AT38" s="275"/>
      <c r="AU38" s="275"/>
      <c r="AV38" s="275"/>
      <c r="AW38" s="275"/>
      <c r="AX38" s="275"/>
      <c r="AY38" s="275"/>
      <c r="AZ38" s="275"/>
      <c r="BA38" s="275"/>
      <c r="BB38" s="275"/>
      <c r="BC38" s="275"/>
      <c r="BE38" s="274">
        <f>G38/30</f>
        <v>2.5</v>
      </c>
      <c r="BF38" s="280">
        <f t="shared" ref="BF38:BF48" si="12">MAX(G26,G14,G2)</f>
        <v>80.8</v>
      </c>
      <c r="BG38" s="154" t="str">
        <f t="shared" si="9"/>
        <v/>
      </c>
      <c r="BI38" s="270">
        <f t="shared" si="3"/>
        <v>-0.20000000000000107</v>
      </c>
    </row>
    <row r="39" spans="1:61">
      <c r="A39" s="266">
        <v>30225</v>
      </c>
      <c r="B39" s="266"/>
      <c r="C39" s="275"/>
      <c r="D39" s="276">
        <v>1.7999999999999972</v>
      </c>
      <c r="E39" s="277">
        <v>4.112903225806452</v>
      </c>
      <c r="F39" s="277">
        <f t="shared" si="11"/>
        <v>127.50000000000001</v>
      </c>
      <c r="G39" s="277">
        <v>98.4</v>
      </c>
      <c r="H39" s="281">
        <f t="shared" si="10"/>
        <v>0.77176470588235291</v>
      </c>
      <c r="I39" s="275"/>
      <c r="J39" s="270">
        <v>48.1</v>
      </c>
      <c r="K39" s="275"/>
      <c r="L39" s="275"/>
      <c r="M39" s="275"/>
      <c r="N39" s="202">
        <v>1075.2</v>
      </c>
      <c r="O39" s="270">
        <v>10.9</v>
      </c>
      <c r="P39" s="275"/>
      <c r="Q39" s="202">
        <v>646.1</v>
      </c>
      <c r="R39" s="199"/>
      <c r="S39" s="275"/>
      <c r="T39" s="275"/>
      <c r="U39" s="275"/>
      <c r="V39" s="278">
        <v>26.381</v>
      </c>
      <c r="W39" s="278">
        <v>11.000999999999999</v>
      </c>
      <c r="X39" s="278">
        <v>15.855</v>
      </c>
      <c r="Y39" s="278"/>
      <c r="Z39" s="278">
        <v>12.201000000000001</v>
      </c>
      <c r="AA39" s="278">
        <v>11.805</v>
      </c>
      <c r="AB39" s="278">
        <v>17.158000000000001</v>
      </c>
      <c r="AC39" s="278">
        <v>5.0039999999999996</v>
      </c>
      <c r="AD39" s="279">
        <v>99.405000000000001</v>
      </c>
      <c r="AE39" s="278">
        <f t="shared" si="6"/>
        <v>99.405000000000001</v>
      </c>
      <c r="AF39" s="278">
        <f t="shared" si="7"/>
        <v>0</v>
      </c>
      <c r="AG39" s="278">
        <f t="shared" si="4"/>
        <v>1.0049999999999955</v>
      </c>
      <c r="AH39" s="202">
        <f t="shared" si="0"/>
        <v>3.8840000000000021</v>
      </c>
      <c r="AI39" s="202">
        <f t="shared" si="1"/>
        <v>59</v>
      </c>
      <c r="AJ39" s="275"/>
      <c r="AK39" s="275"/>
      <c r="AL39" s="275"/>
      <c r="AM39" s="275"/>
      <c r="AN39" s="275"/>
      <c r="AO39" s="275"/>
      <c r="AP39" s="275"/>
      <c r="AQ39" s="275"/>
      <c r="AR39" s="275"/>
      <c r="AS39" s="275"/>
      <c r="AT39" s="275"/>
      <c r="AU39" s="275"/>
      <c r="AV39" s="275"/>
      <c r="AW39" s="275"/>
      <c r="AX39" s="275"/>
      <c r="AY39" s="275"/>
      <c r="AZ39" s="275"/>
      <c r="BA39" s="275"/>
      <c r="BB39" s="275"/>
      <c r="BC39" s="275"/>
      <c r="BE39" s="274">
        <f t="shared" si="5"/>
        <v>3.1741935483870969</v>
      </c>
      <c r="BF39" s="280">
        <f t="shared" si="12"/>
        <v>104.3</v>
      </c>
      <c r="BG39" s="154" t="str">
        <f t="shared" si="9"/>
        <v/>
      </c>
      <c r="BI39" s="270">
        <f t="shared" si="3"/>
        <v>0.20000000000000107</v>
      </c>
    </row>
    <row r="40" spans="1:61">
      <c r="A40" s="266">
        <v>30256</v>
      </c>
      <c r="B40" s="266"/>
      <c r="C40" s="275"/>
      <c r="D40" s="276">
        <v>0.4933333333333394</v>
      </c>
      <c r="E40" s="277">
        <v>4.0599999999999996</v>
      </c>
      <c r="F40" s="277">
        <f t="shared" si="11"/>
        <v>121.79999999999998</v>
      </c>
      <c r="G40" s="277">
        <v>107.6</v>
      </c>
      <c r="H40" s="281">
        <f t="shared" si="10"/>
        <v>0.8834154351395731</v>
      </c>
      <c r="I40" s="275"/>
      <c r="J40" s="270">
        <v>47.4</v>
      </c>
      <c r="K40" s="275"/>
      <c r="L40" s="275"/>
      <c r="M40" s="275"/>
      <c r="N40" s="202">
        <v>1135.9000000000001</v>
      </c>
      <c r="O40" s="270">
        <v>10.6</v>
      </c>
      <c r="P40" s="275"/>
      <c r="Q40" s="202">
        <v>702.4</v>
      </c>
      <c r="R40" s="199"/>
      <c r="S40" s="275"/>
      <c r="T40" s="275"/>
      <c r="U40" s="275"/>
      <c r="V40" s="278">
        <v>24.698</v>
      </c>
      <c r="W40" s="278">
        <v>11.433</v>
      </c>
      <c r="X40" s="278">
        <v>19.593</v>
      </c>
      <c r="Y40" s="278"/>
      <c r="Z40" s="278">
        <v>15.442</v>
      </c>
      <c r="AA40" s="278">
        <v>13.661</v>
      </c>
      <c r="AB40" s="278">
        <v>17.266999999999999</v>
      </c>
      <c r="AC40" s="278">
        <v>5.4580000000000002</v>
      </c>
      <c r="AD40" s="279">
        <v>107.55200000000001</v>
      </c>
      <c r="AE40" s="278">
        <f t="shared" si="6"/>
        <v>107.55199999999999</v>
      </c>
      <c r="AF40" s="278">
        <f t="shared" si="7"/>
        <v>0</v>
      </c>
      <c r="AG40" s="278">
        <f t="shared" si="4"/>
        <v>-4.8000000000001819E-2</v>
      </c>
      <c r="AH40" s="202">
        <f t="shared" si="0"/>
        <v>0.10899999999999821</v>
      </c>
      <c r="AI40" s="202">
        <f t="shared" si="1"/>
        <v>58</v>
      </c>
      <c r="AJ40" s="275"/>
      <c r="AK40" s="275"/>
      <c r="AL40" s="275"/>
      <c r="AM40" s="275"/>
      <c r="AN40" s="275"/>
      <c r="AO40" s="275"/>
      <c r="AP40" s="275"/>
      <c r="AQ40" s="275"/>
      <c r="AR40" s="275"/>
      <c r="AS40" s="275"/>
      <c r="AT40" s="275"/>
      <c r="AU40" s="275"/>
      <c r="AV40" s="275"/>
      <c r="AW40" s="275"/>
      <c r="AX40" s="275"/>
      <c r="AY40" s="275"/>
      <c r="AZ40" s="275"/>
      <c r="BA40" s="275"/>
      <c r="BB40" s="275"/>
      <c r="BC40" s="275"/>
      <c r="BE40" s="274">
        <f>G40/30</f>
        <v>3.5866666666666664</v>
      </c>
      <c r="BF40" s="280">
        <f t="shared" si="12"/>
        <v>101</v>
      </c>
      <c r="BG40" s="154" t="str">
        <f t="shared" si="9"/>
        <v>RECORD</v>
      </c>
      <c r="BI40" s="270">
        <f t="shared" si="3"/>
        <v>-0.30000000000000071</v>
      </c>
    </row>
    <row r="41" spans="1:61">
      <c r="A41" s="266">
        <v>30286</v>
      </c>
      <c r="B41" s="266"/>
      <c r="C41" s="275"/>
      <c r="D41" s="276">
        <v>0.26333333333333542</v>
      </c>
      <c r="E41" s="277">
        <v>4.0870967741935482</v>
      </c>
      <c r="F41" s="277">
        <f t="shared" si="11"/>
        <v>126.69999999999999</v>
      </c>
      <c r="G41" s="277">
        <v>111.6</v>
      </c>
      <c r="H41" s="281">
        <f t="shared" si="10"/>
        <v>0.88082083662194166</v>
      </c>
      <c r="I41" s="275"/>
      <c r="J41" s="270">
        <v>47.5</v>
      </c>
      <c r="K41" s="275"/>
      <c r="L41" s="275"/>
      <c r="M41" s="275"/>
      <c r="N41" s="202">
        <v>1183.2</v>
      </c>
      <c r="O41" s="270">
        <v>10.6</v>
      </c>
      <c r="P41" s="275"/>
      <c r="Q41" s="202">
        <v>862.3</v>
      </c>
      <c r="R41" s="199"/>
      <c r="S41" s="275"/>
      <c r="T41" s="275"/>
      <c r="U41" s="275"/>
      <c r="V41" s="278">
        <v>25.858000000000001</v>
      </c>
      <c r="W41" s="278">
        <v>11.989000000000001</v>
      </c>
      <c r="X41" s="278">
        <v>20.443000000000001</v>
      </c>
      <c r="Y41" s="278"/>
      <c r="Z41" s="278">
        <v>15.788</v>
      </c>
      <c r="AA41" s="278">
        <v>14.129</v>
      </c>
      <c r="AB41" s="278">
        <v>16.917000000000002</v>
      </c>
      <c r="AC41" s="278">
        <v>6.4329999999999998</v>
      </c>
      <c r="AD41" s="279">
        <v>111.557</v>
      </c>
      <c r="AE41" s="278">
        <f t="shared" si="6"/>
        <v>111.55700000000002</v>
      </c>
      <c r="AF41" s="278">
        <f t="shared" si="7"/>
        <v>0</v>
      </c>
      <c r="AG41" s="278">
        <f t="shared" si="4"/>
        <v>-4.2999999999977945E-2</v>
      </c>
      <c r="AH41" s="202">
        <f t="shared" si="0"/>
        <v>-0.34999999999999787</v>
      </c>
      <c r="AI41" s="202">
        <f t="shared" si="1"/>
        <v>58.1</v>
      </c>
      <c r="AJ41" s="275"/>
      <c r="AK41" s="275"/>
      <c r="AL41" s="275"/>
      <c r="AM41" s="275"/>
      <c r="AN41" s="275"/>
      <c r="AO41" s="275"/>
      <c r="AP41" s="275"/>
      <c r="AQ41" s="275"/>
      <c r="AR41" s="275"/>
      <c r="AS41" s="275"/>
      <c r="AT41" s="275"/>
      <c r="AU41" s="275"/>
      <c r="AV41" s="275"/>
      <c r="AW41" s="275"/>
      <c r="AX41" s="275"/>
      <c r="AY41" s="275"/>
      <c r="AZ41" s="275"/>
      <c r="BA41" s="275"/>
      <c r="BB41" s="275"/>
      <c r="BC41" s="275"/>
      <c r="BE41" s="274">
        <f t="shared" si="5"/>
        <v>3.5999999999999996</v>
      </c>
      <c r="BF41" s="280">
        <f t="shared" si="12"/>
        <v>104.1</v>
      </c>
      <c r="BG41" s="154" t="str">
        <f t="shared" si="9"/>
        <v>RECORD</v>
      </c>
      <c r="BI41" s="270">
        <f t="shared" si="3"/>
        <v>0</v>
      </c>
    </row>
    <row r="42" spans="1:61">
      <c r="A42" s="266">
        <v>30317</v>
      </c>
      <c r="B42" s="266"/>
      <c r="C42" s="275"/>
      <c r="D42" s="276">
        <v>1.3333333333335418E-2</v>
      </c>
      <c r="E42" s="277">
        <v>4.1677419354838703</v>
      </c>
      <c r="F42" s="277">
        <f t="shared" si="11"/>
        <v>129.19999999999999</v>
      </c>
      <c r="G42" s="277">
        <v>110</v>
      </c>
      <c r="H42" s="281">
        <f t="shared" si="10"/>
        <v>0.85139318885448922</v>
      </c>
      <c r="I42" s="275"/>
      <c r="J42" s="270">
        <v>47.5</v>
      </c>
      <c r="K42" s="275"/>
      <c r="L42" s="275"/>
      <c r="M42" s="275"/>
      <c r="N42" s="202">
        <v>1163.5</v>
      </c>
      <c r="O42" s="270">
        <v>10.6</v>
      </c>
      <c r="P42" s="275"/>
      <c r="Q42" s="202">
        <v>936.7</v>
      </c>
      <c r="R42" s="199"/>
      <c r="S42" s="275"/>
      <c r="T42" s="275"/>
      <c r="U42" s="275"/>
      <c r="V42" s="278">
        <v>24.710999999999999</v>
      </c>
      <c r="W42" s="278">
        <v>11.491</v>
      </c>
      <c r="X42" s="278">
        <v>19.713000000000001</v>
      </c>
      <c r="Y42" s="278"/>
      <c r="Z42" s="278">
        <v>15.137</v>
      </c>
      <c r="AA42" s="278">
        <v>13.786</v>
      </c>
      <c r="AB42" s="278">
        <v>18.585999999999999</v>
      </c>
      <c r="AC42" s="278">
        <v>6.569</v>
      </c>
      <c r="AD42" s="279">
        <v>109.99299999999999</v>
      </c>
      <c r="AE42" s="278">
        <f t="shared" si="6"/>
        <v>109.99299999999999</v>
      </c>
      <c r="AF42" s="278">
        <f t="shared" si="7"/>
        <v>0</v>
      </c>
      <c r="AG42" s="278">
        <f t="shared" si="4"/>
        <v>-7.0000000000050022E-3</v>
      </c>
      <c r="AH42" s="202">
        <f t="shared" si="0"/>
        <v>1.6689999999999969</v>
      </c>
      <c r="AI42" s="202">
        <f t="shared" si="1"/>
        <v>58.1</v>
      </c>
      <c r="AJ42" s="275"/>
      <c r="AK42" s="275"/>
      <c r="AL42" s="275"/>
      <c r="AM42" s="275"/>
      <c r="AN42" s="275"/>
      <c r="AO42" s="275"/>
      <c r="AP42" s="275"/>
      <c r="AQ42" s="275"/>
      <c r="AR42" s="275"/>
      <c r="AS42" s="275"/>
      <c r="AT42" s="275"/>
      <c r="AU42" s="275"/>
      <c r="AV42" s="275"/>
      <c r="AW42" s="275"/>
      <c r="AX42" s="275"/>
      <c r="AY42" s="275"/>
      <c r="AZ42" s="275"/>
      <c r="BA42" s="275"/>
      <c r="BB42" s="275"/>
      <c r="BC42" s="275"/>
      <c r="BE42" s="274">
        <f t="shared" si="5"/>
        <v>3.5483870967741935</v>
      </c>
      <c r="BF42" s="280">
        <f t="shared" si="12"/>
        <v>104.6</v>
      </c>
      <c r="BG42" s="154" t="str">
        <f t="shared" si="9"/>
        <v>RECORD</v>
      </c>
      <c r="BI42" s="270">
        <f t="shared" si="3"/>
        <v>0</v>
      </c>
    </row>
    <row r="43" spans="1:61">
      <c r="A43" s="266">
        <v>30348</v>
      </c>
      <c r="B43" s="266"/>
      <c r="C43" s="275"/>
      <c r="D43" s="276">
        <v>0.17666666666667652</v>
      </c>
      <c r="E43" s="277">
        <v>4.1678571428571427</v>
      </c>
      <c r="F43" s="277">
        <f t="shared" si="11"/>
        <v>116.69999999999999</v>
      </c>
      <c r="G43" s="277">
        <v>92.8</v>
      </c>
      <c r="H43" s="281">
        <f t="shared" si="10"/>
        <v>0.79520137103684663</v>
      </c>
      <c r="I43" s="275"/>
      <c r="J43" s="270">
        <v>47.5</v>
      </c>
      <c r="K43" s="275"/>
      <c r="L43" s="275"/>
      <c r="M43" s="275"/>
      <c r="N43" s="202">
        <v>990.9</v>
      </c>
      <c r="O43" s="270">
        <v>10.7</v>
      </c>
      <c r="P43" s="275"/>
      <c r="Q43" s="202">
        <v>1008.7</v>
      </c>
      <c r="R43" s="199"/>
      <c r="S43" s="275"/>
      <c r="T43" s="275"/>
      <c r="U43" s="275"/>
      <c r="V43" s="278">
        <v>20.244</v>
      </c>
      <c r="W43" s="278">
        <v>10.734</v>
      </c>
      <c r="X43" s="278">
        <v>17.542999999999999</v>
      </c>
      <c r="Y43" s="278"/>
      <c r="Z43" s="278">
        <v>11.295999999999999</v>
      </c>
      <c r="AA43" s="278">
        <v>11.884</v>
      </c>
      <c r="AB43" s="278">
        <v>15.930999999999999</v>
      </c>
      <c r="AC43" s="278">
        <v>5.2069999999999999</v>
      </c>
      <c r="AD43" s="279">
        <v>92.838999999999999</v>
      </c>
      <c r="AE43" s="278">
        <f t="shared" si="6"/>
        <v>92.838999999999984</v>
      </c>
      <c r="AF43" s="278">
        <f t="shared" si="7"/>
        <v>0</v>
      </c>
      <c r="AG43" s="278">
        <f t="shared" si="4"/>
        <v>3.8999999999987267E-2</v>
      </c>
      <c r="AH43" s="202">
        <f t="shared" si="0"/>
        <v>-2.6549999999999994</v>
      </c>
      <c r="AI43" s="202">
        <f t="shared" si="1"/>
        <v>58.2</v>
      </c>
      <c r="AJ43" s="275"/>
      <c r="AK43" s="275"/>
      <c r="AL43" s="275"/>
      <c r="AM43" s="275"/>
      <c r="AN43" s="275"/>
      <c r="AO43" s="275"/>
      <c r="AP43" s="275"/>
      <c r="AQ43" s="275"/>
      <c r="AR43" s="275"/>
      <c r="AS43" s="275"/>
      <c r="AT43" s="275"/>
      <c r="AU43" s="275"/>
      <c r="AV43" s="275"/>
      <c r="AW43" s="275"/>
      <c r="AX43" s="275"/>
      <c r="AY43" s="275"/>
      <c r="AZ43" s="275"/>
      <c r="BA43" s="275"/>
      <c r="BB43" s="275"/>
      <c r="BC43" s="275"/>
      <c r="BE43" s="274">
        <f>G43/28</f>
        <v>3.3142857142857141</v>
      </c>
      <c r="BF43" s="280">
        <f t="shared" si="12"/>
        <v>98.9</v>
      </c>
      <c r="BG43" s="154" t="str">
        <f t="shared" si="9"/>
        <v/>
      </c>
      <c r="BI43" s="270">
        <f t="shared" si="3"/>
        <v>9.9999999999999645E-2</v>
      </c>
    </row>
    <row r="44" spans="1:61">
      <c r="A44" s="266">
        <v>30376</v>
      </c>
      <c r="B44" s="266"/>
      <c r="C44" s="275"/>
      <c r="D44" s="276">
        <v>0.17666666666666231</v>
      </c>
      <c r="E44" s="277">
        <v>4.1677419354838703</v>
      </c>
      <c r="F44" s="277">
        <f t="shared" si="11"/>
        <v>129.19999999999999</v>
      </c>
      <c r="G44" s="277">
        <v>94.4</v>
      </c>
      <c r="H44" s="281">
        <f t="shared" si="10"/>
        <v>0.73065015479876172</v>
      </c>
      <c r="I44" s="275"/>
      <c r="J44" s="270">
        <v>47.6</v>
      </c>
      <c r="K44" s="275"/>
      <c r="L44" s="275"/>
      <c r="M44" s="275"/>
      <c r="N44" s="202">
        <v>1011.3</v>
      </c>
      <c r="O44" s="270">
        <v>10.7</v>
      </c>
      <c r="P44" s="275"/>
      <c r="Q44" s="202">
        <v>1026.7</v>
      </c>
      <c r="R44" s="199"/>
      <c r="S44" s="275"/>
      <c r="T44" s="275"/>
      <c r="U44" s="275"/>
      <c r="V44" s="278">
        <v>20.853999999999999</v>
      </c>
      <c r="W44" s="278">
        <v>11.002000000000001</v>
      </c>
      <c r="X44" s="278">
        <v>18.416</v>
      </c>
      <c r="Y44" s="278"/>
      <c r="Z44" s="278">
        <v>11.616</v>
      </c>
      <c r="AA44" s="278">
        <v>11.451000000000001</v>
      </c>
      <c r="AB44" s="278">
        <v>15.234999999999999</v>
      </c>
      <c r="AC44" s="278">
        <v>5.8079999999999998</v>
      </c>
      <c r="AD44" s="279">
        <v>94.382000000000005</v>
      </c>
      <c r="AE44" s="278">
        <f t="shared" si="6"/>
        <v>94.382000000000005</v>
      </c>
      <c r="AF44" s="278">
        <f t="shared" si="7"/>
        <v>0</v>
      </c>
      <c r="AG44" s="278">
        <f t="shared" si="4"/>
        <v>-1.8000000000000682E-2</v>
      </c>
      <c r="AH44" s="202">
        <f t="shared" si="0"/>
        <v>-0.69599999999999973</v>
      </c>
      <c r="AI44" s="202">
        <f t="shared" si="1"/>
        <v>58.3</v>
      </c>
      <c r="AJ44" s="275"/>
      <c r="AK44" s="275"/>
      <c r="AL44" s="275"/>
      <c r="AM44" s="275"/>
      <c r="AN44" s="275"/>
      <c r="AO44" s="275"/>
      <c r="AP44" s="275"/>
      <c r="AQ44" s="275"/>
      <c r="AR44" s="275"/>
      <c r="AS44" s="275"/>
      <c r="AT44" s="275"/>
      <c r="AU44" s="275"/>
      <c r="AV44" s="275"/>
      <c r="AW44" s="275"/>
      <c r="AX44" s="275"/>
      <c r="AY44" s="275"/>
      <c r="AZ44" s="275"/>
      <c r="BA44" s="275"/>
      <c r="BB44" s="275"/>
      <c r="BC44" s="275"/>
      <c r="BE44" s="274">
        <f t="shared" si="5"/>
        <v>3.0451612903225809</v>
      </c>
      <c r="BF44" s="280">
        <f t="shared" si="12"/>
        <v>101.4</v>
      </c>
      <c r="BG44" s="154" t="str">
        <f t="shared" si="9"/>
        <v/>
      </c>
      <c r="BI44" s="270">
        <f t="shared" si="3"/>
        <v>0</v>
      </c>
    </row>
    <row r="45" spans="1:61">
      <c r="A45" s="266">
        <v>30407</v>
      </c>
      <c r="B45" s="266"/>
      <c r="C45" s="275"/>
      <c r="D45" s="276">
        <v>9.9999999999994316E-2</v>
      </c>
      <c r="E45" s="277">
        <v>4.09</v>
      </c>
      <c r="F45" s="277">
        <f t="shared" si="11"/>
        <v>122.69999999999999</v>
      </c>
      <c r="G45" s="277">
        <v>81.7</v>
      </c>
      <c r="H45" s="281">
        <f t="shared" si="10"/>
        <v>0.66585167074164642</v>
      </c>
      <c r="I45" s="275"/>
      <c r="J45" s="270">
        <v>47.7</v>
      </c>
      <c r="K45" s="275"/>
      <c r="L45" s="275"/>
      <c r="M45" s="275"/>
      <c r="N45" s="202">
        <v>882.1</v>
      </c>
      <c r="O45" s="270">
        <v>10.8</v>
      </c>
      <c r="P45" s="275"/>
      <c r="Q45" s="202">
        <v>928</v>
      </c>
      <c r="R45" s="199"/>
      <c r="S45" s="275"/>
      <c r="T45" s="275"/>
      <c r="U45" s="275"/>
      <c r="V45" s="278">
        <v>17.193000000000001</v>
      </c>
      <c r="W45" s="278">
        <v>9.5950000000000006</v>
      </c>
      <c r="X45" s="278">
        <v>15.99</v>
      </c>
      <c r="Y45" s="278"/>
      <c r="Z45" s="278">
        <v>10.429</v>
      </c>
      <c r="AA45" s="278">
        <v>8.9600000000000009</v>
      </c>
      <c r="AB45" s="278">
        <v>13.484999999999999</v>
      </c>
      <c r="AC45" s="278">
        <v>6.0830000000000002</v>
      </c>
      <c r="AD45" s="279">
        <v>81.734999999999999</v>
      </c>
      <c r="AE45" s="278">
        <f t="shared" si="6"/>
        <v>81.735000000000014</v>
      </c>
      <c r="AF45" s="278">
        <f t="shared" si="7"/>
        <v>0</v>
      </c>
      <c r="AG45" s="278">
        <f t="shared" si="4"/>
        <v>3.50000000000108E-2</v>
      </c>
      <c r="AH45" s="202">
        <f t="shared" si="0"/>
        <v>-1.75</v>
      </c>
      <c r="AI45" s="202">
        <f t="shared" si="1"/>
        <v>58.5</v>
      </c>
      <c r="AJ45" s="275"/>
      <c r="AK45" s="275"/>
      <c r="AL45" s="275"/>
      <c r="AM45" s="275"/>
      <c r="AN45" s="275"/>
      <c r="AO45" s="275"/>
      <c r="AP45" s="275"/>
      <c r="AQ45" s="275"/>
      <c r="AR45" s="275"/>
      <c r="AS45" s="275"/>
      <c r="AT45" s="275"/>
      <c r="AU45" s="275"/>
      <c r="AV45" s="275"/>
      <c r="AW45" s="275"/>
      <c r="AX45" s="275"/>
      <c r="AY45" s="275"/>
      <c r="AZ45" s="275"/>
      <c r="BA45" s="275"/>
      <c r="BB45" s="275"/>
      <c r="BC45" s="275"/>
      <c r="BE45" s="274">
        <f>G45/30</f>
        <v>2.7233333333333336</v>
      </c>
      <c r="BF45" s="280">
        <f t="shared" si="12"/>
        <v>91.4</v>
      </c>
      <c r="BG45" s="154" t="str">
        <f t="shared" si="9"/>
        <v/>
      </c>
      <c r="BI45" s="270">
        <f t="shared" si="3"/>
        <v>0.10000000000000142</v>
      </c>
    </row>
    <row r="46" spans="1:61">
      <c r="A46" s="266">
        <v>30437</v>
      </c>
      <c r="B46" s="266"/>
      <c r="C46" s="275"/>
      <c r="D46" s="276">
        <v>0.47666666666667368</v>
      </c>
      <c r="E46" s="277">
        <v>4.1354838709677413</v>
      </c>
      <c r="F46" s="277">
        <f t="shared" si="11"/>
        <v>128.19999999999999</v>
      </c>
      <c r="G46" s="277">
        <v>83.2</v>
      </c>
      <c r="H46" s="281">
        <f t="shared" si="10"/>
        <v>0.64898595943837767</v>
      </c>
      <c r="I46" s="275"/>
      <c r="J46" s="270">
        <v>47.5</v>
      </c>
      <c r="K46" s="275"/>
      <c r="L46" s="275"/>
      <c r="M46" s="275"/>
      <c r="N46" s="202">
        <v>898.3</v>
      </c>
      <c r="O46" s="270">
        <v>10.8</v>
      </c>
      <c r="P46" s="275"/>
      <c r="Q46" s="202">
        <v>844</v>
      </c>
      <c r="R46" s="199"/>
      <c r="S46" s="275"/>
      <c r="T46" s="275"/>
      <c r="U46" s="275"/>
      <c r="V46" s="278">
        <v>18.013999999999999</v>
      </c>
      <c r="W46" s="278">
        <v>11.339</v>
      </c>
      <c r="X46" s="278">
        <v>16.16</v>
      </c>
      <c r="Y46" s="278"/>
      <c r="Z46" s="278">
        <v>9.2959999999999994</v>
      </c>
      <c r="AA46" s="278">
        <v>8.5050000000000008</v>
      </c>
      <c r="AB46" s="278">
        <v>14.151</v>
      </c>
      <c r="AC46" s="278">
        <v>5.7380000000000004</v>
      </c>
      <c r="AD46" s="279">
        <v>83.203000000000003</v>
      </c>
      <c r="AE46" s="278">
        <f t="shared" si="6"/>
        <v>83.203000000000003</v>
      </c>
      <c r="AF46" s="278">
        <f t="shared" si="7"/>
        <v>0</v>
      </c>
      <c r="AG46" s="278">
        <f t="shared" si="4"/>
        <v>3.0000000000001137E-3</v>
      </c>
      <c r="AH46" s="202">
        <f t="shared" si="0"/>
        <v>0.66600000000000037</v>
      </c>
      <c r="AI46" s="202">
        <f t="shared" si="1"/>
        <v>58.3</v>
      </c>
      <c r="AJ46" s="275"/>
      <c r="AK46" s="275"/>
      <c r="AL46" s="275"/>
      <c r="AM46" s="275"/>
      <c r="AN46" s="275"/>
      <c r="AO46" s="275"/>
      <c r="AP46" s="275"/>
      <c r="AQ46" s="275"/>
      <c r="AR46" s="275"/>
      <c r="AS46" s="275"/>
      <c r="AT46" s="275"/>
      <c r="AU46" s="275"/>
      <c r="AV46" s="275"/>
      <c r="AW46" s="275"/>
      <c r="AX46" s="275"/>
      <c r="AY46" s="275"/>
      <c r="AZ46" s="275"/>
      <c r="BA46" s="275"/>
      <c r="BB46" s="275"/>
      <c r="BC46" s="275"/>
      <c r="BE46" s="274">
        <f t="shared" si="5"/>
        <v>2.6838709677419357</v>
      </c>
      <c r="BF46" s="280">
        <f t="shared" si="12"/>
        <v>93.2</v>
      </c>
      <c r="BG46" s="154" t="str">
        <f t="shared" si="9"/>
        <v/>
      </c>
      <c r="BI46" s="270">
        <f t="shared" si="3"/>
        <v>0</v>
      </c>
    </row>
    <row r="47" spans="1:61">
      <c r="A47" s="266">
        <v>30468</v>
      </c>
      <c r="B47" s="266"/>
      <c r="C47" s="275"/>
      <c r="D47" s="276">
        <v>3.666666666666174E-2</v>
      </c>
      <c r="E47" s="277">
        <v>4.1366666666666667</v>
      </c>
      <c r="F47" s="277">
        <f t="shared" si="11"/>
        <v>124.1</v>
      </c>
      <c r="G47" s="277">
        <v>81.5</v>
      </c>
      <c r="H47" s="281">
        <f t="shared" si="10"/>
        <v>0.65672844480257864</v>
      </c>
      <c r="I47" s="275"/>
      <c r="J47" s="270">
        <v>47.7</v>
      </c>
      <c r="K47" s="275"/>
      <c r="L47" s="275"/>
      <c r="M47" s="275"/>
      <c r="N47" s="202">
        <v>883.3</v>
      </c>
      <c r="O47" s="270">
        <v>10.8</v>
      </c>
      <c r="P47" s="275"/>
      <c r="Q47" s="202">
        <v>811.8</v>
      </c>
      <c r="R47" s="199"/>
      <c r="S47" s="275"/>
      <c r="T47" s="275"/>
      <c r="U47" s="275"/>
      <c r="V47" s="278">
        <v>17.940000000000001</v>
      </c>
      <c r="W47" s="278">
        <v>10.739000000000001</v>
      </c>
      <c r="X47" s="278">
        <v>15.686</v>
      </c>
      <c r="Y47" s="278"/>
      <c r="Z47" s="278">
        <v>9.0820000000000007</v>
      </c>
      <c r="AA47" s="278">
        <v>9.2780000000000005</v>
      </c>
      <c r="AB47" s="278">
        <v>12.654</v>
      </c>
      <c r="AC47" s="278">
        <v>6.1059999999999999</v>
      </c>
      <c r="AD47" s="279">
        <v>81.484999999999999</v>
      </c>
      <c r="AE47" s="278">
        <f t="shared" si="6"/>
        <v>81.484999999999999</v>
      </c>
      <c r="AF47" s="278">
        <f t="shared" si="7"/>
        <v>0</v>
      </c>
      <c r="AG47" s="278">
        <f t="shared" si="4"/>
        <v>-1.5000000000000568E-2</v>
      </c>
      <c r="AH47" s="202">
        <f t="shared" si="0"/>
        <v>-1.4969999999999999</v>
      </c>
      <c r="AI47" s="202">
        <f t="shared" si="1"/>
        <v>58.5</v>
      </c>
      <c r="AJ47" s="275"/>
      <c r="AK47" s="275"/>
      <c r="AL47" s="275"/>
      <c r="AM47" s="275"/>
      <c r="AN47" s="275"/>
      <c r="AO47" s="275"/>
      <c r="AP47" s="275"/>
      <c r="AQ47" s="275"/>
      <c r="AR47" s="275"/>
      <c r="AS47" s="275"/>
      <c r="AT47" s="275"/>
      <c r="AU47" s="275"/>
      <c r="AV47" s="275"/>
      <c r="AW47" s="275"/>
      <c r="AX47" s="275"/>
      <c r="AY47" s="275"/>
      <c r="AZ47" s="275"/>
      <c r="BA47" s="275"/>
      <c r="BB47" s="275"/>
      <c r="BC47" s="275"/>
      <c r="BE47" s="274">
        <f>G47/30</f>
        <v>2.7166666666666668</v>
      </c>
      <c r="BF47" s="280">
        <f t="shared" si="12"/>
        <v>81.900000000000006</v>
      </c>
      <c r="BG47" s="154" t="str">
        <f t="shared" si="9"/>
        <v/>
      </c>
      <c r="BI47" s="270">
        <f t="shared" si="3"/>
        <v>0</v>
      </c>
    </row>
    <row r="48" spans="1:61">
      <c r="A48" s="266">
        <v>30498</v>
      </c>
      <c r="B48" s="266"/>
      <c r="C48" s="275"/>
      <c r="D48" s="276">
        <v>3.3333333333303017E-3</v>
      </c>
      <c r="E48" s="277">
        <v>4.1032258064516132</v>
      </c>
      <c r="F48" s="277">
        <f t="shared" si="11"/>
        <v>127.2</v>
      </c>
      <c r="G48" s="277">
        <v>81.599999999999994</v>
      </c>
      <c r="H48" s="281">
        <f t="shared" si="10"/>
        <v>0.64150943396226412</v>
      </c>
      <c r="I48" s="275"/>
      <c r="J48" s="270">
        <v>47.5</v>
      </c>
      <c r="K48" s="275"/>
      <c r="L48" s="275"/>
      <c r="M48" s="275"/>
      <c r="N48" s="202">
        <v>886.1</v>
      </c>
      <c r="O48" s="270">
        <v>10.9</v>
      </c>
      <c r="P48" s="275"/>
      <c r="Q48" s="202">
        <v>779.6</v>
      </c>
      <c r="R48" s="199"/>
      <c r="S48" s="275"/>
      <c r="T48" s="275"/>
      <c r="U48" s="275"/>
      <c r="V48" s="278">
        <v>18.497</v>
      </c>
      <c r="W48" s="278">
        <v>9.7279999999999998</v>
      </c>
      <c r="X48" s="278">
        <v>15.404999999999999</v>
      </c>
      <c r="Y48" s="278"/>
      <c r="Z48" s="278">
        <v>8.9710000000000001</v>
      </c>
      <c r="AA48" s="278">
        <v>9.9870000000000001</v>
      </c>
      <c r="AB48" s="278">
        <v>12.967000000000001</v>
      </c>
      <c r="AC48" s="278">
        <v>6.0010000000000003</v>
      </c>
      <c r="AD48" s="279">
        <v>81.555999999999997</v>
      </c>
      <c r="AE48" s="278">
        <f t="shared" si="6"/>
        <v>81.556000000000012</v>
      </c>
      <c r="AF48" s="278">
        <f t="shared" si="7"/>
        <v>0</v>
      </c>
      <c r="AG48" s="278">
        <f t="shared" si="4"/>
        <v>-4.399999999998272E-2</v>
      </c>
      <c r="AH48" s="202">
        <f t="shared" si="0"/>
        <v>0.31300000000000061</v>
      </c>
      <c r="AI48" s="202">
        <f t="shared" si="1"/>
        <v>58.4</v>
      </c>
      <c r="AJ48" s="275"/>
      <c r="AK48" s="275"/>
      <c r="AL48" s="275"/>
      <c r="AM48" s="275"/>
      <c r="AN48" s="275"/>
      <c r="AO48" s="275"/>
      <c r="AP48" s="275"/>
      <c r="AQ48" s="275"/>
      <c r="AR48" s="275"/>
      <c r="AS48" s="275"/>
      <c r="AT48" s="275"/>
      <c r="AU48" s="275"/>
      <c r="AV48" s="275"/>
      <c r="AW48" s="275"/>
      <c r="AX48" s="275"/>
      <c r="AY48" s="275"/>
      <c r="AZ48" s="275"/>
      <c r="BA48" s="275"/>
      <c r="BB48" s="275"/>
      <c r="BC48" s="275"/>
      <c r="BE48" s="274">
        <f t="shared" si="5"/>
        <v>2.6322580645161286</v>
      </c>
      <c r="BF48" s="280">
        <f t="shared" si="12"/>
        <v>84.1</v>
      </c>
      <c r="BG48" s="154" t="str">
        <f t="shared" si="9"/>
        <v/>
      </c>
      <c r="BI48" s="270">
        <f t="shared" si="3"/>
        <v>9.9999999999999645E-2</v>
      </c>
    </row>
    <row r="49" spans="1:61">
      <c r="A49" s="266">
        <v>30529</v>
      </c>
      <c r="B49" s="266"/>
      <c r="C49" s="275"/>
      <c r="D49" s="276">
        <v>0.68999999999999773</v>
      </c>
      <c r="E49" s="277">
        <v>4.1032258064516132</v>
      </c>
      <c r="F49" s="277">
        <f t="shared" si="11"/>
        <v>127.2</v>
      </c>
      <c r="G49" s="277">
        <v>85</v>
      </c>
      <c r="H49" s="281">
        <f t="shared" si="10"/>
        <v>0.66823899371069184</v>
      </c>
      <c r="I49" s="275"/>
      <c r="J49" s="270">
        <v>47.7</v>
      </c>
      <c r="K49" s="275"/>
      <c r="L49" s="275"/>
      <c r="M49" s="275"/>
      <c r="N49" s="202">
        <v>921.4</v>
      </c>
      <c r="O49" s="270">
        <v>10.9</v>
      </c>
      <c r="P49" s="275"/>
      <c r="Q49" s="202">
        <v>698.8</v>
      </c>
      <c r="R49" s="199"/>
      <c r="S49" s="275"/>
      <c r="T49" s="275"/>
      <c r="U49" s="275"/>
      <c r="V49" s="278">
        <v>19.577000000000002</v>
      </c>
      <c r="W49" s="278">
        <v>10.585000000000001</v>
      </c>
      <c r="X49" s="278">
        <v>14.423</v>
      </c>
      <c r="Y49" s="278"/>
      <c r="Z49" s="278">
        <v>9.9640000000000004</v>
      </c>
      <c r="AA49" s="278">
        <v>9.9939999999999998</v>
      </c>
      <c r="AB49" s="278">
        <v>14.148</v>
      </c>
      <c r="AC49" s="278">
        <v>6.2629999999999999</v>
      </c>
      <c r="AD49" s="279">
        <v>84.953999999999994</v>
      </c>
      <c r="AE49" s="278">
        <f t="shared" si="6"/>
        <v>84.954000000000008</v>
      </c>
      <c r="AF49" s="278">
        <f t="shared" si="7"/>
        <v>0</v>
      </c>
      <c r="AG49" s="278">
        <f t="shared" si="4"/>
        <v>-4.5999999999992269E-2</v>
      </c>
      <c r="AH49" s="202">
        <f t="shared" si="0"/>
        <v>1.1809999999999992</v>
      </c>
      <c r="AI49" s="202">
        <f t="shared" si="1"/>
        <v>58.6</v>
      </c>
      <c r="AJ49" s="275"/>
      <c r="AK49" s="275"/>
      <c r="AL49" s="275"/>
      <c r="AM49" s="275"/>
      <c r="AN49" s="275"/>
      <c r="AO49" s="275"/>
      <c r="AP49" s="275"/>
      <c r="AQ49" s="275"/>
      <c r="AR49" s="275"/>
      <c r="AS49" s="275"/>
      <c r="AT49" s="275"/>
      <c r="AU49" s="275"/>
      <c r="AV49" s="275"/>
      <c r="AW49" s="275"/>
      <c r="AX49" s="275"/>
      <c r="AY49" s="275"/>
      <c r="AZ49" s="275"/>
      <c r="BA49" s="275"/>
      <c r="BB49" s="275"/>
      <c r="BC49" s="275"/>
      <c r="BE49" s="274">
        <f t="shared" si="5"/>
        <v>2.7419354838709675</v>
      </c>
      <c r="BF49" s="280">
        <f>MAX(G37,G25,G13)</f>
        <v>82.1</v>
      </c>
      <c r="BG49" s="154" t="str">
        <f t="shared" si="9"/>
        <v>RECORD</v>
      </c>
      <c r="BI49" s="270">
        <f t="shared" si="3"/>
        <v>0</v>
      </c>
    </row>
    <row r="50" spans="1:61">
      <c r="A50" s="266">
        <v>30560</v>
      </c>
      <c r="B50" s="266"/>
      <c r="C50" s="275"/>
      <c r="D50" s="276">
        <v>0.48666666666666458</v>
      </c>
      <c r="E50" s="277">
        <v>4.1033333333333335</v>
      </c>
      <c r="F50" s="277">
        <f t="shared" si="11"/>
        <v>123.10000000000001</v>
      </c>
      <c r="G50" s="277">
        <v>86.1</v>
      </c>
      <c r="H50" s="281">
        <f t="shared" si="10"/>
        <v>0.69943135662063349</v>
      </c>
      <c r="I50" s="275"/>
      <c r="J50" s="270">
        <v>48</v>
      </c>
      <c r="K50" s="275"/>
      <c r="L50" s="275"/>
      <c r="M50" s="275"/>
      <c r="N50" s="202">
        <v>941.6</v>
      </c>
      <c r="O50" s="270">
        <v>10.9</v>
      </c>
      <c r="P50" s="275"/>
      <c r="Q50" s="202">
        <v>648.20000000000005</v>
      </c>
      <c r="R50" s="199"/>
      <c r="S50" s="275"/>
      <c r="T50" s="275"/>
      <c r="U50" s="275"/>
      <c r="V50" s="278">
        <v>21.907</v>
      </c>
      <c r="W50" s="278">
        <v>10.071</v>
      </c>
      <c r="X50" s="278">
        <v>12.971</v>
      </c>
      <c r="Y50" s="278"/>
      <c r="Z50" s="278">
        <v>9.2010000000000005</v>
      </c>
      <c r="AA50" s="278">
        <v>11.24</v>
      </c>
      <c r="AB50" s="278">
        <v>15.156000000000001</v>
      </c>
      <c r="AC50" s="278">
        <v>5.5739999999999998</v>
      </c>
      <c r="AD50" s="279">
        <v>86.12</v>
      </c>
      <c r="AE50" s="278">
        <f t="shared" si="6"/>
        <v>86.12</v>
      </c>
      <c r="AF50" s="278">
        <f t="shared" si="7"/>
        <v>0</v>
      </c>
      <c r="AG50" s="278">
        <f t="shared" si="4"/>
        <v>2.0000000000010232E-2</v>
      </c>
      <c r="AH50" s="202">
        <f t="shared" si="0"/>
        <v>1.0080000000000009</v>
      </c>
      <c r="AI50" s="202">
        <f t="shared" si="1"/>
        <v>58.9</v>
      </c>
      <c r="AJ50" s="275"/>
      <c r="AK50" s="275"/>
      <c r="AL50" s="275"/>
      <c r="AM50" s="275"/>
      <c r="AN50" s="275"/>
      <c r="AO50" s="275"/>
      <c r="AP50" s="275"/>
      <c r="AQ50" s="275"/>
      <c r="AR50" s="275"/>
      <c r="AS50" s="275"/>
      <c r="AT50" s="275"/>
      <c r="AU50" s="275"/>
      <c r="AV50" s="275"/>
      <c r="AW50" s="275"/>
      <c r="AX50" s="275"/>
      <c r="AY50" s="275"/>
      <c r="AZ50" s="275"/>
      <c r="BA50" s="275"/>
      <c r="BB50" s="275"/>
      <c r="BC50" s="275"/>
      <c r="BE50" s="274">
        <f>G50/30</f>
        <v>2.8699999999999997</v>
      </c>
      <c r="BF50" s="280">
        <f t="shared" ref="BF50:BF60" si="13">MAX(G38,G26,G14,G2)</f>
        <v>80.8</v>
      </c>
      <c r="BG50" s="154" t="str">
        <f t="shared" si="9"/>
        <v>RECORD</v>
      </c>
      <c r="BI50" s="270">
        <f t="shared" si="3"/>
        <v>0</v>
      </c>
    </row>
    <row r="51" spans="1:61">
      <c r="A51" s="266">
        <v>30590</v>
      </c>
      <c r="B51" s="266"/>
      <c r="C51" s="275"/>
      <c r="D51" s="276">
        <v>0.7566666666666606</v>
      </c>
      <c r="E51" s="277">
        <v>4.1322580645161286</v>
      </c>
      <c r="F51" s="277">
        <f t="shared" si="11"/>
        <v>128.1</v>
      </c>
      <c r="G51" s="277">
        <v>95.7</v>
      </c>
      <c r="H51" s="281">
        <f t="shared" si="10"/>
        <v>0.74707259953161598</v>
      </c>
      <c r="I51" s="275"/>
      <c r="J51" s="270">
        <v>47.4</v>
      </c>
      <c r="K51" s="275"/>
      <c r="L51" s="275"/>
      <c r="M51" s="275"/>
      <c r="N51" s="202">
        <v>1072</v>
      </c>
      <c r="O51" s="270">
        <v>11.2</v>
      </c>
      <c r="P51" s="275"/>
      <c r="Q51" s="202">
        <v>775.5</v>
      </c>
      <c r="R51" s="199"/>
      <c r="S51" s="275"/>
      <c r="T51" s="275"/>
      <c r="U51" s="275"/>
      <c r="V51" s="278">
        <v>22.268999999999998</v>
      </c>
      <c r="W51" s="278">
        <v>11.538</v>
      </c>
      <c r="X51" s="278">
        <v>15.936</v>
      </c>
      <c r="Y51" s="278"/>
      <c r="Z51" s="278">
        <v>11.901999999999999</v>
      </c>
      <c r="AA51" s="278">
        <v>10.836</v>
      </c>
      <c r="AB51" s="278">
        <v>17.472999999999999</v>
      </c>
      <c r="AC51" s="278">
        <v>5.7889999999999997</v>
      </c>
      <c r="AD51" s="279">
        <v>95.742999999999995</v>
      </c>
      <c r="AE51" s="278">
        <f t="shared" si="6"/>
        <v>95.743000000000009</v>
      </c>
      <c r="AF51" s="278">
        <f t="shared" si="7"/>
        <v>0</v>
      </c>
      <c r="AG51" s="278">
        <f t="shared" si="4"/>
        <v>4.3000000000006366E-2</v>
      </c>
      <c r="AH51" s="202">
        <f t="shared" si="0"/>
        <v>2.3169999999999984</v>
      </c>
      <c r="AI51" s="202">
        <f t="shared" si="1"/>
        <v>58.599999999999994</v>
      </c>
      <c r="AJ51" s="275"/>
      <c r="AK51" s="275"/>
      <c r="AL51" s="275"/>
      <c r="AM51" s="275"/>
      <c r="AN51" s="275"/>
      <c r="AO51" s="275"/>
      <c r="AP51" s="275"/>
      <c r="AQ51" s="275"/>
      <c r="AR51" s="275"/>
      <c r="AS51" s="275"/>
      <c r="AT51" s="275"/>
      <c r="AU51" s="275"/>
      <c r="AV51" s="275"/>
      <c r="AW51" s="275"/>
      <c r="AX51" s="275"/>
      <c r="AY51" s="275"/>
      <c r="AZ51" s="275"/>
      <c r="BA51" s="275"/>
      <c r="BB51" s="275"/>
      <c r="BC51" s="275"/>
      <c r="BE51" s="274">
        <f t="shared" si="5"/>
        <v>3.0870967741935487</v>
      </c>
      <c r="BF51" s="280">
        <f t="shared" si="13"/>
        <v>104.3</v>
      </c>
      <c r="BG51" s="154" t="str">
        <f t="shared" si="9"/>
        <v/>
      </c>
      <c r="BI51" s="270">
        <f t="shared" si="3"/>
        <v>0.29999999999999893</v>
      </c>
    </row>
    <row r="52" spans="1:61">
      <c r="A52" s="266">
        <v>30621</v>
      </c>
      <c r="B52" s="266"/>
      <c r="C52" s="275"/>
      <c r="D52" s="276">
        <v>0.36666666666666003</v>
      </c>
      <c r="E52" s="277">
        <v>4.1333333333333337</v>
      </c>
      <c r="F52" s="277">
        <f t="shared" si="11"/>
        <v>124.00000000000001</v>
      </c>
      <c r="G52" s="277">
        <v>86.2</v>
      </c>
      <c r="H52" s="281">
        <f t="shared" si="10"/>
        <v>0.69516129032258056</v>
      </c>
      <c r="I52" s="275"/>
      <c r="J52" s="270">
        <v>46.9</v>
      </c>
      <c r="K52" s="275"/>
      <c r="L52" s="275"/>
      <c r="M52" s="275"/>
      <c r="N52" s="202">
        <v>959.3</v>
      </c>
      <c r="O52" s="270">
        <v>11.1</v>
      </c>
      <c r="P52" s="275"/>
      <c r="Q52" s="202">
        <v>880.8</v>
      </c>
      <c r="R52" s="199"/>
      <c r="S52" s="275"/>
      <c r="T52" s="275"/>
      <c r="U52" s="275"/>
      <c r="V52" s="278">
        <v>19.7</v>
      </c>
      <c r="W52" s="278">
        <v>11.092000000000001</v>
      </c>
      <c r="X52" s="278">
        <v>15.574</v>
      </c>
      <c r="Y52" s="278"/>
      <c r="Z52" s="278">
        <v>10.878</v>
      </c>
      <c r="AA52" s="278">
        <v>9.4760000000000009</v>
      </c>
      <c r="AB52" s="278">
        <v>13.942</v>
      </c>
      <c r="AC52" s="278">
        <v>5.5229999999999997</v>
      </c>
      <c r="AD52" s="279">
        <v>86.185000000000002</v>
      </c>
      <c r="AE52" s="278">
        <f t="shared" si="6"/>
        <v>86.185000000000002</v>
      </c>
      <c r="AF52" s="278">
        <f t="shared" si="7"/>
        <v>0</v>
      </c>
      <c r="AG52" s="278">
        <f t="shared" si="4"/>
        <v>-1.5000000000000568E-2</v>
      </c>
      <c r="AH52" s="202">
        <f t="shared" si="0"/>
        <v>-3.5309999999999988</v>
      </c>
      <c r="AI52" s="202">
        <f t="shared" si="1"/>
        <v>58</v>
      </c>
      <c r="AJ52" s="275"/>
      <c r="AK52" s="275"/>
      <c r="AL52" s="275"/>
      <c r="AM52" s="275"/>
      <c r="AN52" s="275"/>
      <c r="AO52" s="275"/>
      <c r="AP52" s="275"/>
      <c r="AQ52" s="275"/>
      <c r="AR52" s="275"/>
      <c r="AS52" s="275"/>
      <c r="AT52" s="275"/>
      <c r="AU52" s="275"/>
      <c r="AV52" s="275"/>
      <c r="AW52" s="275"/>
      <c r="AX52" s="275"/>
      <c r="AY52" s="275"/>
      <c r="AZ52" s="275"/>
      <c r="BA52" s="275"/>
      <c r="BB52" s="275"/>
      <c r="BC52" s="275"/>
      <c r="BE52" s="274">
        <f>G52/30</f>
        <v>2.8733333333333335</v>
      </c>
      <c r="BF52" s="280">
        <f t="shared" si="13"/>
        <v>107.6</v>
      </c>
      <c r="BG52" s="154" t="str">
        <f t="shared" si="9"/>
        <v/>
      </c>
      <c r="BI52" s="270">
        <f t="shared" si="3"/>
        <v>-9.9999999999999645E-2</v>
      </c>
    </row>
    <row r="53" spans="1:61">
      <c r="A53" s="266">
        <v>30651</v>
      </c>
      <c r="B53" s="266"/>
      <c r="C53" s="275"/>
      <c r="D53" s="276">
        <v>-7.9999999999998295E-2</v>
      </c>
      <c r="E53" s="277">
        <v>4.1322580645161286</v>
      </c>
      <c r="F53" s="277">
        <f t="shared" si="11"/>
        <v>128.1</v>
      </c>
      <c r="G53" s="277">
        <v>89.5</v>
      </c>
      <c r="H53" s="281">
        <f t="shared" si="10"/>
        <v>0.69867291178766588</v>
      </c>
      <c r="I53" s="275"/>
      <c r="J53" s="270">
        <v>47.2</v>
      </c>
      <c r="K53" s="275"/>
      <c r="L53" s="275"/>
      <c r="M53" s="275"/>
      <c r="N53" s="202">
        <v>990.8</v>
      </c>
      <c r="O53" s="270">
        <v>11.1</v>
      </c>
      <c r="P53" s="275"/>
      <c r="Q53" s="202">
        <v>1026.8</v>
      </c>
      <c r="R53" s="199"/>
      <c r="S53" s="275"/>
      <c r="T53" s="275"/>
      <c r="U53" s="275"/>
      <c r="V53" s="278">
        <v>20.539000000000001</v>
      </c>
      <c r="W53" s="278">
        <v>12.372</v>
      </c>
      <c r="X53" s="278">
        <v>16.048999999999999</v>
      </c>
      <c r="Y53" s="278"/>
      <c r="Z53" s="278">
        <v>10.694000000000001</v>
      </c>
      <c r="AA53" s="278">
        <v>10.169</v>
      </c>
      <c r="AB53" s="278">
        <v>14.095000000000001</v>
      </c>
      <c r="AC53" s="278">
        <v>5.5709999999999997</v>
      </c>
      <c r="AD53" s="279">
        <v>89.489000000000004</v>
      </c>
      <c r="AE53" s="278">
        <f t="shared" si="6"/>
        <v>89.489000000000004</v>
      </c>
      <c r="AF53" s="278">
        <f t="shared" si="7"/>
        <v>0</v>
      </c>
      <c r="AG53" s="278">
        <f t="shared" si="4"/>
        <v>-1.099999999999568E-2</v>
      </c>
      <c r="AH53" s="202">
        <f t="shared" si="0"/>
        <v>0.15300000000000047</v>
      </c>
      <c r="AI53" s="202">
        <f t="shared" si="1"/>
        <v>58.300000000000004</v>
      </c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275"/>
      <c r="AU53" s="275"/>
      <c r="AV53" s="275"/>
      <c r="AW53" s="275"/>
      <c r="AX53" s="275"/>
      <c r="AY53" s="275"/>
      <c r="AZ53" s="275"/>
      <c r="BA53" s="275"/>
      <c r="BB53" s="275"/>
      <c r="BC53" s="275"/>
      <c r="BE53" s="274">
        <f t="shared" si="5"/>
        <v>2.8870967741935485</v>
      </c>
      <c r="BF53" s="280">
        <f t="shared" si="13"/>
        <v>111.6</v>
      </c>
      <c r="BG53" s="154" t="str">
        <f t="shared" si="9"/>
        <v/>
      </c>
      <c r="BI53" s="270">
        <f t="shared" si="3"/>
        <v>0</v>
      </c>
    </row>
    <row r="54" spans="1:61">
      <c r="A54" s="266">
        <v>30682</v>
      </c>
      <c r="B54" s="266"/>
      <c r="C54" s="275"/>
      <c r="D54" s="276">
        <v>-6.0000000000016485E-2</v>
      </c>
      <c r="E54" s="277">
        <v>4.1387096774193548</v>
      </c>
      <c r="F54" s="277">
        <f t="shared" si="11"/>
        <v>128.30000000000001</v>
      </c>
      <c r="G54" s="277">
        <v>93.9</v>
      </c>
      <c r="H54" s="281">
        <f t="shared" si="10"/>
        <v>0.73187840997661724</v>
      </c>
      <c r="I54" s="275"/>
      <c r="J54" s="270">
        <v>47.1</v>
      </c>
      <c r="K54" s="275"/>
      <c r="L54" s="275"/>
      <c r="M54" s="275"/>
      <c r="N54" s="202">
        <v>1050.9000000000001</v>
      </c>
      <c r="O54" s="270">
        <v>11.2</v>
      </c>
      <c r="P54" s="275"/>
      <c r="Q54" s="202">
        <v>1047.9000000000001</v>
      </c>
      <c r="R54" s="199"/>
      <c r="S54" s="275"/>
      <c r="T54" s="275"/>
      <c r="U54" s="275"/>
      <c r="V54" s="278">
        <v>20.966000000000001</v>
      </c>
      <c r="W54" s="278">
        <v>12.617000000000001</v>
      </c>
      <c r="X54" s="278">
        <v>17.521999999999998</v>
      </c>
      <c r="Y54" s="278"/>
      <c r="Z54" s="278">
        <v>10.167</v>
      </c>
      <c r="AA54" s="278">
        <v>11.377000000000001</v>
      </c>
      <c r="AB54" s="278">
        <v>15.135999999999999</v>
      </c>
      <c r="AC54" s="278">
        <v>6.0810000000000004</v>
      </c>
      <c r="AD54" s="279">
        <v>93.866</v>
      </c>
      <c r="AE54" s="278">
        <f t="shared" si="6"/>
        <v>93.866</v>
      </c>
      <c r="AF54" s="278">
        <f t="shared" si="7"/>
        <v>0</v>
      </c>
      <c r="AG54" s="278">
        <f t="shared" si="4"/>
        <v>-3.4000000000006025E-2</v>
      </c>
      <c r="AH54" s="202">
        <f t="shared" si="0"/>
        <v>1.0409999999999986</v>
      </c>
      <c r="AI54" s="202">
        <f t="shared" si="1"/>
        <v>58.3</v>
      </c>
      <c r="AJ54" s="275"/>
      <c r="AK54" s="275"/>
      <c r="AL54" s="275"/>
      <c r="AM54" s="275"/>
      <c r="AN54" s="275"/>
      <c r="AO54" s="275"/>
      <c r="AP54" s="275"/>
      <c r="AQ54" s="275"/>
      <c r="AR54" s="275"/>
      <c r="AS54" s="275"/>
      <c r="AT54" s="275"/>
      <c r="AU54" s="275"/>
      <c r="AV54" s="275"/>
      <c r="AW54" s="275"/>
      <c r="AX54" s="275"/>
      <c r="AY54" s="275"/>
      <c r="AZ54" s="275"/>
      <c r="BA54" s="275"/>
      <c r="BB54" s="275"/>
      <c r="BC54" s="275"/>
      <c r="BE54" s="274">
        <f t="shared" si="5"/>
        <v>3.0290322580645164</v>
      </c>
      <c r="BF54" s="280">
        <f t="shared" si="13"/>
        <v>110</v>
      </c>
      <c r="BG54" s="154" t="str">
        <f t="shared" si="9"/>
        <v/>
      </c>
      <c r="BI54" s="270">
        <f t="shared" si="3"/>
        <v>9.9999999999999645E-2</v>
      </c>
    </row>
    <row r="55" spans="1:61">
      <c r="A55" s="266">
        <v>30713</v>
      </c>
      <c r="B55" s="266"/>
      <c r="C55" s="275"/>
      <c r="D55" s="276">
        <v>0.11666666666667425</v>
      </c>
      <c r="E55" s="277">
        <v>4.1413793103448278</v>
      </c>
      <c r="F55" s="277">
        <f t="shared" si="11"/>
        <v>120.10000000000001</v>
      </c>
      <c r="G55" s="277">
        <v>79.099999999999994</v>
      </c>
      <c r="H55" s="281">
        <f t="shared" si="10"/>
        <v>0.65861781848459611</v>
      </c>
      <c r="I55" s="275"/>
      <c r="J55" s="270">
        <v>47.4</v>
      </c>
      <c r="K55" s="275"/>
      <c r="L55" s="275"/>
      <c r="M55" s="275"/>
      <c r="N55" s="202">
        <v>890</v>
      </c>
      <c r="O55" s="270">
        <v>11.3</v>
      </c>
      <c r="P55" s="275"/>
      <c r="Q55" s="202">
        <v>884.5</v>
      </c>
      <c r="R55" s="199"/>
      <c r="S55" s="275"/>
      <c r="T55" s="275"/>
      <c r="U55" s="275"/>
      <c r="V55" s="278">
        <v>17.786000000000001</v>
      </c>
      <c r="W55" s="278">
        <v>10.807</v>
      </c>
      <c r="X55" s="278">
        <v>14.885999999999999</v>
      </c>
      <c r="Y55" s="278"/>
      <c r="Z55" s="278">
        <v>9.2270000000000003</v>
      </c>
      <c r="AA55" s="278">
        <v>8.8789999999999996</v>
      </c>
      <c r="AB55" s="278">
        <v>12.442</v>
      </c>
      <c r="AC55" s="278">
        <v>5.085</v>
      </c>
      <c r="AD55" s="279">
        <v>79.111999999999995</v>
      </c>
      <c r="AE55" s="278">
        <f t="shared" si="6"/>
        <v>79.111999999999995</v>
      </c>
      <c r="AF55" s="278">
        <f t="shared" si="7"/>
        <v>0</v>
      </c>
      <c r="AG55" s="278">
        <f t="shared" si="4"/>
        <v>1.2000000000000455E-2</v>
      </c>
      <c r="AH55" s="202">
        <f t="shared" si="0"/>
        <v>-2.6939999999999991</v>
      </c>
      <c r="AI55" s="202">
        <f t="shared" si="1"/>
        <v>58.7</v>
      </c>
      <c r="AJ55" s="275"/>
      <c r="AK55" s="275"/>
      <c r="AL55" s="275"/>
      <c r="AM55" s="275"/>
      <c r="AN55" s="275"/>
      <c r="AO55" s="275"/>
      <c r="AP55" s="275"/>
      <c r="AQ55" s="275"/>
      <c r="AR55" s="275"/>
      <c r="AS55" s="275"/>
      <c r="AT55" s="275"/>
      <c r="AU55" s="275"/>
      <c r="AV55" s="275"/>
      <c r="AW55" s="275"/>
      <c r="AX55" s="275"/>
      <c r="AY55" s="275"/>
      <c r="AZ55" s="275"/>
      <c r="BA55" s="275"/>
      <c r="BB55" s="275"/>
      <c r="BC55" s="275"/>
      <c r="BE55" s="274">
        <f>G55/29</f>
        <v>2.7275862068965515</v>
      </c>
      <c r="BF55" s="280">
        <f t="shared" si="13"/>
        <v>98.9</v>
      </c>
      <c r="BG55" s="154" t="str">
        <f t="shared" si="9"/>
        <v/>
      </c>
      <c r="BI55" s="270">
        <f t="shared" si="3"/>
        <v>0.10000000000000142</v>
      </c>
    </row>
    <row r="56" spans="1:61">
      <c r="A56" s="266">
        <v>30742</v>
      </c>
      <c r="B56" s="266"/>
      <c r="C56" s="275"/>
      <c r="D56" s="276">
        <v>-2.6666666666670835E-2</v>
      </c>
      <c r="E56" s="277">
        <v>4.1387096774193548</v>
      </c>
      <c r="F56" s="277">
        <f t="shared" si="11"/>
        <v>128.30000000000001</v>
      </c>
      <c r="G56" s="277">
        <v>86</v>
      </c>
      <c r="H56" s="281">
        <f t="shared" si="10"/>
        <v>0.67030397505845674</v>
      </c>
      <c r="I56" s="275"/>
      <c r="J56" s="270">
        <v>47</v>
      </c>
      <c r="K56" s="275"/>
      <c r="L56" s="275"/>
      <c r="M56" s="275"/>
      <c r="N56" s="202">
        <v>966</v>
      </c>
      <c r="O56" s="270">
        <v>11.2</v>
      </c>
      <c r="P56" s="275"/>
      <c r="Q56" s="202">
        <v>811.3</v>
      </c>
      <c r="R56" s="199"/>
      <c r="S56" s="275"/>
      <c r="T56" s="275"/>
      <c r="U56" s="275"/>
      <c r="V56" s="278">
        <v>20.068000000000001</v>
      </c>
      <c r="W56" s="278">
        <v>10.728999999999999</v>
      </c>
      <c r="X56" s="278">
        <v>15.092000000000001</v>
      </c>
      <c r="Y56" s="278"/>
      <c r="Z56" s="278">
        <v>10.917999999999999</v>
      </c>
      <c r="AA56" s="278">
        <v>10.099</v>
      </c>
      <c r="AB56" s="278">
        <v>13.122</v>
      </c>
      <c r="AC56" s="278">
        <v>5.9989999999999997</v>
      </c>
      <c r="AD56" s="279">
        <v>86.027000000000001</v>
      </c>
      <c r="AE56" s="278">
        <f t="shared" si="6"/>
        <v>86.027000000000001</v>
      </c>
      <c r="AF56" s="278">
        <f t="shared" si="7"/>
        <v>0</v>
      </c>
      <c r="AG56" s="278">
        <f t="shared" si="4"/>
        <v>2.7000000000001023E-2</v>
      </c>
      <c r="AH56" s="202">
        <f t="shared" si="0"/>
        <v>0.67999999999999972</v>
      </c>
      <c r="AI56" s="202">
        <f t="shared" si="1"/>
        <v>58.2</v>
      </c>
      <c r="AJ56" s="275"/>
      <c r="AK56" s="275"/>
      <c r="AL56" s="275"/>
      <c r="AM56" s="275"/>
      <c r="AN56" s="275"/>
      <c r="AO56" s="275"/>
      <c r="AP56" s="275"/>
      <c r="AQ56" s="275"/>
      <c r="AR56" s="275"/>
      <c r="AS56" s="275"/>
      <c r="AT56" s="275"/>
      <c r="AU56" s="275"/>
      <c r="AV56" s="275"/>
      <c r="AW56" s="275"/>
      <c r="AX56" s="275"/>
      <c r="AY56" s="275"/>
      <c r="AZ56" s="275"/>
      <c r="BA56" s="275"/>
      <c r="BB56" s="275"/>
      <c r="BC56" s="275"/>
      <c r="BE56" s="274">
        <f t="shared" si="5"/>
        <v>2.774193548387097</v>
      </c>
      <c r="BF56" s="280">
        <f t="shared" si="13"/>
        <v>101.4</v>
      </c>
      <c r="BG56" s="154" t="str">
        <f t="shared" si="9"/>
        <v/>
      </c>
      <c r="BI56" s="270">
        <f t="shared" si="3"/>
        <v>-0.10000000000000142</v>
      </c>
    </row>
    <row r="57" spans="1:61">
      <c r="A57" s="266">
        <v>30773</v>
      </c>
      <c r="B57" s="266"/>
      <c r="C57" s="275"/>
      <c r="D57" s="276">
        <v>6.6666666666606034E-3</v>
      </c>
      <c r="E57" s="277">
        <v>4.0566666666666666</v>
      </c>
      <c r="F57" s="277">
        <f t="shared" si="11"/>
        <v>121.7</v>
      </c>
      <c r="G57" s="277">
        <v>74.599999999999994</v>
      </c>
      <c r="H57" s="281">
        <f t="shared" si="10"/>
        <v>0.61298274445357426</v>
      </c>
      <c r="I57" s="275"/>
      <c r="J57" s="270">
        <v>47.2</v>
      </c>
      <c r="K57" s="275"/>
      <c r="L57" s="275"/>
      <c r="M57" s="275"/>
      <c r="N57" s="202">
        <v>838.9</v>
      </c>
      <c r="O57" s="270">
        <v>11.3</v>
      </c>
      <c r="P57" s="275"/>
      <c r="Q57" s="202">
        <v>698.9</v>
      </c>
      <c r="R57" s="199"/>
      <c r="S57" s="275"/>
      <c r="T57" s="275"/>
      <c r="U57" s="275"/>
      <c r="V57" s="278">
        <v>14.068</v>
      </c>
      <c r="W57" s="278">
        <v>10.885</v>
      </c>
      <c r="X57" s="278">
        <v>15.106999999999999</v>
      </c>
      <c r="Y57" s="278"/>
      <c r="Z57" s="278">
        <v>7.5369999999999999</v>
      </c>
      <c r="AA57" s="278">
        <v>9.6229999999999993</v>
      </c>
      <c r="AB57" s="278">
        <v>11.864000000000001</v>
      </c>
      <c r="AC57" s="278">
        <v>5.4779999999999998</v>
      </c>
      <c r="AD57" s="279">
        <v>74.561999999999998</v>
      </c>
      <c r="AE57" s="278">
        <f t="shared" si="6"/>
        <v>74.561999999999998</v>
      </c>
      <c r="AF57" s="278">
        <f t="shared" si="7"/>
        <v>0</v>
      </c>
      <c r="AG57" s="278">
        <f t="shared" si="4"/>
        <v>-3.7999999999996703E-2</v>
      </c>
      <c r="AH57" s="202">
        <f t="shared" si="0"/>
        <v>-1.2579999999999991</v>
      </c>
      <c r="AI57" s="202">
        <f t="shared" si="1"/>
        <v>58.5</v>
      </c>
      <c r="AJ57" s="275"/>
      <c r="AK57" s="275"/>
      <c r="AL57" s="275"/>
      <c r="AM57" s="275"/>
      <c r="AN57" s="275"/>
      <c r="AO57" s="275"/>
      <c r="AP57" s="275"/>
      <c r="AQ57" s="275"/>
      <c r="AR57" s="275"/>
      <c r="AS57" s="275"/>
      <c r="AT57" s="275"/>
      <c r="AU57" s="275"/>
      <c r="AV57" s="275"/>
      <c r="AW57" s="275"/>
      <c r="AX57" s="275"/>
      <c r="AY57" s="275"/>
      <c r="AZ57" s="275"/>
      <c r="BA57" s="275"/>
      <c r="BB57" s="275"/>
      <c r="BC57" s="275"/>
      <c r="BE57" s="274">
        <f>G57/30</f>
        <v>2.4866666666666664</v>
      </c>
      <c r="BF57" s="280">
        <f t="shared" si="13"/>
        <v>91.4</v>
      </c>
      <c r="BG57" s="154" t="str">
        <f t="shared" si="9"/>
        <v/>
      </c>
      <c r="BI57" s="270">
        <f t="shared" si="3"/>
        <v>0.10000000000000142</v>
      </c>
    </row>
    <row r="58" spans="1:61">
      <c r="A58" s="266">
        <v>30803</v>
      </c>
      <c r="B58" s="266"/>
      <c r="C58" s="275"/>
      <c r="D58" s="276">
        <v>0.20666666666666345</v>
      </c>
      <c r="E58" s="277">
        <v>4.0580645161290319</v>
      </c>
      <c r="F58" s="277">
        <f t="shared" si="11"/>
        <v>125.79999999999998</v>
      </c>
      <c r="G58" s="277">
        <v>79.2</v>
      </c>
      <c r="H58" s="281">
        <f t="shared" si="10"/>
        <v>0.62957074721780615</v>
      </c>
      <c r="I58" s="275"/>
      <c r="J58" s="270">
        <v>47.2</v>
      </c>
      <c r="K58" s="275"/>
      <c r="L58" s="275"/>
      <c r="M58" s="275"/>
      <c r="N58" s="202">
        <v>898.1</v>
      </c>
      <c r="O58" s="270">
        <v>11.3</v>
      </c>
      <c r="P58" s="275"/>
      <c r="Q58" s="202">
        <v>593</v>
      </c>
      <c r="R58" s="199"/>
      <c r="S58" s="275"/>
      <c r="T58" s="275"/>
      <c r="U58" s="275"/>
      <c r="V58" s="278">
        <v>15.603999999999999</v>
      </c>
      <c r="W58" s="278">
        <v>11.407</v>
      </c>
      <c r="X58" s="278">
        <v>14.972</v>
      </c>
      <c r="Y58" s="278"/>
      <c r="Z58" s="278">
        <v>7.97</v>
      </c>
      <c r="AA58" s="278">
        <v>10.124000000000001</v>
      </c>
      <c r="AB58" s="278">
        <v>12.56</v>
      </c>
      <c r="AC58" s="278">
        <v>6.6109999999999998</v>
      </c>
      <c r="AD58" s="279">
        <v>79.248000000000005</v>
      </c>
      <c r="AE58" s="278">
        <f t="shared" si="6"/>
        <v>79.248000000000005</v>
      </c>
      <c r="AF58" s="278">
        <f t="shared" si="7"/>
        <v>0</v>
      </c>
      <c r="AG58" s="278">
        <f t="shared" si="4"/>
        <v>4.8000000000001819E-2</v>
      </c>
      <c r="AH58" s="202">
        <f t="shared" si="0"/>
        <v>0.69599999999999973</v>
      </c>
      <c r="AI58" s="202">
        <f t="shared" si="1"/>
        <v>58.5</v>
      </c>
      <c r="AJ58" s="275"/>
      <c r="AK58" s="275"/>
      <c r="AL58" s="275"/>
      <c r="AM58" s="275"/>
      <c r="AN58" s="275"/>
      <c r="AO58" s="275"/>
      <c r="AP58" s="275"/>
      <c r="AQ58" s="275"/>
      <c r="AR58" s="275"/>
      <c r="AS58" s="275"/>
      <c r="AT58" s="275"/>
      <c r="AU58" s="275"/>
      <c r="AV58" s="275"/>
      <c r="AW58" s="275"/>
      <c r="AX58" s="275"/>
      <c r="AY58" s="275"/>
      <c r="AZ58" s="275"/>
      <c r="BA58" s="275"/>
      <c r="BB58" s="275"/>
      <c r="BC58" s="275"/>
      <c r="BE58" s="274">
        <f t="shared" si="5"/>
        <v>2.5548387096774197</v>
      </c>
      <c r="BF58" s="280">
        <f t="shared" si="13"/>
        <v>93.2</v>
      </c>
      <c r="BG58" s="154" t="str">
        <f t="shared" si="9"/>
        <v/>
      </c>
      <c r="BI58" s="270">
        <f t="shared" si="3"/>
        <v>0</v>
      </c>
    </row>
    <row r="59" spans="1:61">
      <c r="A59" s="266">
        <v>30834</v>
      </c>
      <c r="B59" s="266"/>
      <c r="C59" s="275"/>
      <c r="D59" s="276">
        <v>0.28666666666666174</v>
      </c>
      <c r="E59" s="277">
        <v>4.0566666666666666</v>
      </c>
      <c r="F59" s="277">
        <f t="shared" si="11"/>
        <v>121.7</v>
      </c>
      <c r="G59" s="277">
        <v>70.3</v>
      </c>
      <c r="H59" s="281">
        <f t="shared" si="10"/>
        <v>0.57764995891536564</v>
      </c>
      <c r="I59" s="275"/>
      <c r="J59" s="270">
        <v>47.2</v>
      </c>
      <c r="K59" s="275"/>
      <c r="L59" s="275"/>
      <c r="M59" s="275"/>
      <c r="N59" s="202">
        <v>795.7</v>
      </c>
      <c r="O59" s="270">
        <v>11.3</v>
      </c>
      <c r="P59" s="275"/>
      <c r="Q59" s="202">
        <v>411.5</v>
      </c>
      <c r="R59" s="199"/>
      <c r="S59" s="275"/>
      <c r="T59" s="275"/>
      <c r="U59" s="275"/>
      <c r="V59" s="278">
        <v>14.564</v>
      </c>
      <c r="W59" s="278">
        <v>10.195</v>
      </c>
      <c r="X59" s="278">
        <v>12.753</v>
      </c>
      <c r="Y59" s="278"/>
      <c r="Z59" s="278">
        <v>6.5060000000000002</v>
      </c>
      <c r="AA59" s="278">
        <v>7.6219999999999999</v>
      </c>
      <c r="AB59" s="278">
        <v>12.426</v>
      </c>
      <c r="AC59" s="278">
        <v>6.1970000000000001</v>
      </c>
      <c r="AD59" s="279">
        <v>70.263000000000005</v>
      </c>
      <c r="AE59" s="278">
        <f t="shared" si="6"/>
        <v>70.263000000000005</v>
      </c>
      <c r="AF59" s="278">
        <f t="shared" si="7"/>
        <v>0</v>
      </c>
      <c r="AG59" s="278">
        <f t="shared" si="4"/>
        <v>-3.6999999999991928E-2</v>
      </c>
      <c r="AH59" s="202">
        <f t="shared" si="0"/>
        <v>-0.13400000000000034</v>
      </c>
      <c r="AI59" s="202">
        <f t="shared" si="1"/>
        <v>58.5</v>
      </c>
      <c r="AJ59" s="275"/>
      <c r="AK59" s="275"/>
      <c r="AL59" s="275"/>
      <c r="AM59" s="275"/>
      <c r="AN59" s="275"/>
      <c r="AO59" s="275"/>
      <c r="AP59" s="275"/>
      <c r="AQ59" s="275"/>
      <c r="AR59" s="275"/>
      <c r="AS59" s="275"/>
      <c r="AT59" s="275"/>
      <c r="AU59" s="275"/>
      <c r="AV59" s="275"/>
      <c r="AW59" s="275"/>
      <c r="AX59" s="275"/>
      <c r="AY59" s="275"/>
      <c r="AZ59" s="275"/>
      <c r="BA59" s="275"/>
      <c r="BB59" s="275"/>
      <c r="BC59" s="275"/>
      <c r="BE59" s="274">
        <f>G59/30</f>
        <v>2.3433333333333333</v>
      </c>
      <c r="BF59" s="280">
        <f t="shared" si="13"/>
        <v>81.900000000000006</v>
      </c>
      <c r="BG59" s="154" t="str">
        <f t="shared" si="9"/>
        <v/>
      </c>
      <c r="BI59" s="270">
        <f t="shared" si="3"/>
        <v>0</v>
      </c>
    </row>
    <row r="60" spans="1:61">
      <c r="A60" s="266">
        <v>30864</v>
      </c>
      <c r="B60" s="266"/>
      <c r="C60" s="275"/>
      <c r="D60" s="276">
        <v>7.333333333332348E-2</v>
      </c>
      <c r="E60" s="277">
        <v>4.0548387096774192</v>
      </c>
      <c r="F60" s="277">
        <f t="shared" si="11"/>
        <v>125.69999999999999</v>
      </c>
      <c r="G60" s="277">
        <v>68.900000000000006</v>
      </c>
      <c r="H60" s="281">
        <f t="shared" si="10"/>
        <v>0.54813046937151955</v>
      </c>
      <c r="I60" s="275"/>
      <c r="J60" s="270">
        <v>47.2</v>
      </c>
      <c r="K60" s="275"/>
      <c r="L60" s="275"/>
      <c r="M60" s="275"/>
      <c r="N60" s="202">
        <v>788.8</v>
      </c>
      <c r="O60" s="270">
        <v>11.4</v>
      </c>
      <c r="P60" s="275"/>
      <c r="Q60" s="202">
        <v>408.1</v>
      </c>
      <c r="R60" s="199"/>
      <c r="S60" s="275"/>
      <c r="T60" s="275"/>
      <c r="U60" s="275"/>
      <c r="V60" s="278">
        <v>12.417</v>
      </c>
      <c r="W60" s="278">
        <v>9.4700000000000006</v>
      </c>
      <c r="X60" s="278">
        <v>13.193</v>
      </c>
      <c r="Y60" s="278"/>
      <c r="Z60" s="278">
        <v>5.6769999999999996</v>
      </c>
      <c r="AA60" s="278">
        <v>9.5719999999999992</v>
      </c>
      <c r="AB60" s="278">
        <v>12.891</v>
      </c>
      <c r="AC60" s="278">
        <v>5.7270000000000003</v>
      </c>
      <c r="AD60" s="279">
        <v>68.947000000000003</v>
      </c>
      <c r="AE60" s="278">
        <f t="shared" si="6"/>
        <v>68.946999999999989</v>
      </c>
      <c r="AF60" s="278">
        <f t="shared" si="7"/>
        <v>0</v>
      </c>
      <c r="AG60" s="278">
        <f t="shared" si="4"/>
        <v>4.6999999999982833E-2</v>
      </c>
      <c r="AH60" s="202">
        <f t="shared" si="0"/>
        <v>0.46499999999999986</v>
      </c>
      <c r="AI60" s="202">
        <f t="shared" si="1"/>
        <v>58.6</v>
      </c>
      <c r="AJ60" s="275"/>
      <c r="AK60" s="275"/>
      <c r="AL60" s="275"/>
      <c r="AM60" s="275"/>
      <c r="AN60" s="275"/>
      <c r="AO60" s="275"/>
      <c r="AP60" s="275"/>
      <c r="AQ60" s="275"/>
      <c r="AR60" s="275"/>
      <c r="AS60" s="275"/>
      <c r="AT60" s="275"/>
      <c r="AU60" s="275"/>
      <c r="AV60" s="275"/>
      <c r="AW60" s="275"/>
      <c r="AX60" s="275"/>
      <c r="AY60" s="275"/>
      <c r="AZ60" s="275"/>
      <c r="BA60" s="275"/>
      <c r="BB60" s="275"/>
      <c r="BC60" s="275"/>
      <c r="BE60" s="274">
        <f t="shared" si="5"/>
        <v>2.2225806451612904</v>
      </c>
      <c r="BF60" s="280">
        <f t="shared" si="13"/>
        <v>84.1</v>
      </c>
      <c r="BG60" s="154" t="str">
        <f t="shared" si="9"/>
        <v/>
      </c>
      <c r="BI60" s="270">
        <f t="shared" si="3"/>
        <v>9.9999999999999645E-2</v>
      </c>
    </row>
    <row r="61" spans="1:61">
      <c r="A61" s="266">
        <v>30895</v>
      </c>
      <c r="B61" s="266"/>
      <c r="C61" s="275"/>
      <c r="D61" s="276">
        <v>0.10999999999999943</v>
      </c>
      <c r="E61" s="277">
        <v>4.0548387096774192</v>
      </c>
      <c r="F61" s="277">
        <f t="shared" si="11"/>
        <v>125.69999999999999</v>
      </c>
      <c r="G61" s="277">
        <v>71</v>
      </c>
      <c r="H61" s="281">
        <f t="shared" si="10"/>
        <v>0.56483691328560071</v>
      </c>
      <c r="I61" s="275"/>
      <c r="J61" s="270">
        <v>47.6</v>
      </c>
      <c r="K61" s="275"/>
      <c r="L61" s="275"/>
      <c r="M61" s="275"/>
      <c r="N61" s="202">
        <v>812</v>
      </c>
      <c r="O61" s="270">
        <v>11.4</v>
      </c>
      <c r="P61" s="275"/>
      <c r="Q61" s="202">
        <v>337.7</v>
      </c>
      <c r="R61" s="199"/>
      <c r="S61" s="275"/>
      <c r="T61" s="275"/>
      <c r="U61" s="275"/>
      <c r="V61" s="278">
        <v>13.257</v>
      </c>
      <c r="W61" s="278">
        <v>10.244999999999999</v>
      </c>
      <c r="X61" s="278">
        <v>13.750999999999999</v>
      </c>
      <c r="Y61" s="278"/>
      <c r="Z61" s="278">
        <v>5.8070000000000004</v>
      </c>
      <c r="AA61" s="278">
        <v>8.7850000000000001</v>
      </c>
      <c r="AB61" s="278">
        <v>14.435</v>
      </c>
      <c r="AC61" s="278">
        <v>4.6749999999999998</v>
      </c>
      <c r="AD61" s="279">
        <v>70.954999999999998</v>
      </c>
      <c r="AE61" s="278">
        <f t="shared" si="6"/>
        <v>70.954999999999998</v>
      </c>
      <c r="AF61" s="278">
        <f t="shared" si="7"/>
        <v>0</v>
      </c>
      <c r="AG61" s="278">
        <f t="shared" si="4"/>
        <v>-4.5000000000001705E-2</v>
      </c>
      <c r="AH61" s="202">
        <f t="shared" si="0"/>
        <v>1.5440000000000005</v>
      </c>
      <c r="AI61" s="202">
        <f t="shared" si="1"/>
        <v>59</v>
      </c>
      <c r="AJ61" s="275"/>
      <c r="AK61" s="275"/>
      <c r="AL61" s="275"/>
      <c r="AM61" s="275"/>
      <c r="AN61" s="275"/>
      <c r="AO61" s="275"/>
      <c r="AP61" s="275"/>
      <c r="AQ61" s="275"/>
      <c r="AR61" s="275"/>
      <c r="AS61" s="275"/>
      <c r="AT61" s="275"/>
      <c r="AU61" s="275"/>
      <c r="AV61" s="275"/>
      <c r="AW61" s="275"/>
      <c r="AX61" s="275"/>
      <c r="AY61" s="275"/>
      <c r="AZ61" s="275"/>
      <c r="BA61" s="275"/>
      <c r="BB61" s="275"/>
      <c r="BC61" s="275"/>
      <c r="BE61" s="274">
        <f t="shared" si="5"/>
        <v>2.2903225806451615</v>
      </c>
      <c r="BF61" s="280">
        <f>MAX(G49,G37,G25,G13)</f>
        <v>85</v>
      </c>
      <c r="BG61" s="154" t="str">
        <f t="shared" si="9"/>
        <v/>
      </c>
      <c r="BI61" s="270">
        <f t="shared" si="3"/>
        <v>0</v>
      </c>
    </row>
    <row r="62" spans="1:61">
      <c r="A62" s="266">
        <v>30926</v>
      </c>
      <c r="B62" s="266"/>
      <c r="C62" s="275"/>
      <c r="D62" s="276">
        <v>0.14999999999999147</v>
      </c>
      <c r="E62" s="277">
        <v>4.0533333333333328</v>
      </c>
      <c r="F62" s="277">
        <f t="shared" si="11"/>
        <v>121.59999999999998</v>
      </c>
      <c r="G62" s="277">
        <v>65.400000000000006</v>
      </c>
      <c r="H62" s="281">
        <f t="shared" si="10"/>
        <v>0.53782894736842124</v>
      </c>
      <c r="I62" s="275"/>
      <c r="J62" s="270">
        <v>47.4</v>
      </c>
      <c r="K62" s="275"/>
      <c r="L62" s="275"/>
      <c r="M62" s="275"/>
      <c r="N62" s="202">
        <v>753.9</v>
      </c>
      <c r="O62" s="270">
        <v>11.5</v>
      </c>
      <c r="P62" s="275"/>
      <c r="Q62" s="202">
        <v>272.39999999999998</v>
      </c>
      <c r="R62" s="199"/>
      <c r="S62" s="275"/>
      <c r="T62" s="275"/>
      <c r="U62" s="275"/>
      <c r="V62" s="278">
        <v>12.603</v>
      </c>
      <c r="W62" s="278">
        <v>9.6890000000000001</v>
      </c>
      <c r="X62" s="278">
        <v>12.414999999999999</v>
      </c>
      <c r="Y62" s="278"/>
      <c r="Z62" s="278">
        <v>4.6790000000000003</v>
      </c>
      <c r="AA62" s="278">
        <v>8.5120000000000005</v>
      </c>
      <c r="AB62" s="278">
        <v>12.067</v>
      </c>
      <c r="AC62" s="278">
        <v>5.4790000000000001</v>
      </c>
      <c r="AD62" s="279">
        <v>65.444000000000003</v>
      </c>
      <c r="AE62" s="278">
        <f t="shared" si="6"/>
        <v>65.444000000000003</v>
      </c>
      <c r="AF62" s="278">
        <f t="shared" si="7"/>
        <v>0</v>
      </c>
      <c r="AG62" s="278">
        <f t="shared" si="4"/>
        <v>4.399999999999693E-2</v>
      </c>
      <c r="AH62" s="202">
        <f t="shared" si="0"/>
        <v>-2.3680000000000003</v>
      </c>
      <c r="AI62" s="202">
        <f t="shared" si="1"/>
        <v>58.9</v>
      </c>
      <c r="AJ62" s="275"/>
      <c r="AK62" s="275"/>
      <c r="AL62" s="275"/>
      <c r="AM62" s="275"/>
      <c r="AN62" s="275"/>
      <c r="AO62" s="275"/>
      <c r="AP62" s="275"/>
      <c r="AQ62" s="275"/>
      <c r="AR62" s="275"/>
      <c r="AS62" s="275"/>
      <c r="AT62" s="275"/>
      <c r="AU62" s="275"/>
      <c r="AV62" s="275"/>
      <c r="AW62" s="275"/>
      <c r="AX62" s="275"/>
      <c r="AY62" s="275"/>
      <c r="AZ62" s="275"/>
      <c r="BA62" s="275"/>
      <c r="BB62" s="275"/>
      <c r="BC62" s="275"/>
      <c r="BE62" s="274">
        <f>G62/30</f>
        <v>2.1800000000000002</v>
      </c>
      <c r="BF62" s="280">
        <f t="shared" ref="BF62:BF72" si="14">MAX(G50,G38,G26,G14,G2)</f>
        <v>86.1</v>
      </c>
      <c r="BG62" s="154" t="str">
        <f t="shared" si="9"/>
        <v/>
      </c>
      <c r="BI62" s="270">
        <f t="shared" si="3"/>
        <v>9.9999999999999645E-2</v>
      </c>
    </row>
    <row r="63" spans="1:61">
      <c r="A63" s="266">
        <v>30956</v>
      </c>
      <c r="B63" s="266"/>
      <c r="C63" s="275"/>
      <c r="D63" s="276">
        <v>13.210000000000008</v>
      </c>
      <c r="E63" s="277">
        <v>3.564516129032258</v>
      </c>
      <c r="F63" s="277">
        <f t="shared" si="11"/>
        <v>110.5</v>
      </c>
      <c r="G63" s="277">
        <v>76</v>
      </c>
      <c r="H63" s="281">
        <f t="shared" si="10"/>
        <v>0.68778280542986425</v>
      </c>
      <c r="I63" s="275"/>
      <c r="J63" s="270">
        <v>46.9</v>
      </c>
      <c r="K63" s="275"/>
      <c r="L63" s="275"/>
      <c r="M63" s="275"/>
      <c r="N63" s="202">
        <v>836.9</v>
      </c>
      <c r="O63" s="270">
        <v>11</v>
      </c>
      <c r="P63" s="275"/>
      <c r="Q63" s="202">
        <v>163</v>
      </c>
      <c r="R63" s="199"/>
      <c r="S63" s="275"/>
      <c r="T63" s="275"/>
      <c r="U63" s="275"/>
      <c r="V63" s="278">
        <v>16.201000000000001</v>
      </c>
      <c r="W63" s="278">
        <v>12.364000000000001</v>
      </c>
      <c r="X63" s="278">
        <v>13.715999999999999</v>
      </c>
      <c r="Y63" s="278"/>
      <c r="Z63" s="278">
        <v>3.4180000000000001</v>
      </c>
      <c r="AA63" s="278">
        <v>10.218</v>
      </c>
      <c r="AB63" s="278">
        <v>13.49</v>
      </c>
      <c r="AC63" s="278">
        <v>6.6260000000000003</v>
      </c>
      <c r="AD63" s="279">
        <v>76.033000000000001</v>
      </c>
      <c r="AE63" s="278">
        <f t="shared" si="6"/>
        <v>76.033000000000001</v>
      </c>
      <c r="AF63" s="278">
        <f t="shared" si="7"/>
        <v>0</v>
      </c>
      <c r="AG63" s="278">
        <f t="shared" si="4"/>
        <v>3.3000000000001251E-2</v>
      </c>
      <c r="AH63" s="202">
        <f t="shared" si="0"/>
        <v>1.423</v>
      </c>
      <c r="AI63" s="202">
        <f t="shared" si="1"/>
        <v>57.9</v>
      </c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275"/>
      <c r="AU63" s="275"/>
      <c r="AV63" s="275"/>
      <c r="AW63" s="275"/>
      <c r="AX63" s="275"/>
      <c r="AY63" s="275"/>
      <c r="AZ63" s="275"/>
      <c r="BA63" s="275"/>
      <c r="BB63" s="275"/>
      <c r="BC63" s="275"/>
      <c r="BE63" s="274">
        <f t="shared" si="5"/>
        <v>2.4516129032258065</v>
      </c>
      <c r="BF63" s="280">
        <f t="shared" si="14"/>
        <v>104.3</v>
      </c>
      <c r="BG63" s="154" t="str">
        <f t="shared" si="9"/>
        <v/>
      </c>
      <c r="BI63" s="270">
        <f t="shared" si="3"/>
        <v>-0.5</v>
      </c>
    </row>
    <row r="64" spans="1:61">
      <c r="A64" s="266">
        <v>30987</v>
      </c>
      <c r="B64" s="266"/>
      <c r="C64" s="275"/>
      <c r="D64" s="276">
        <v>14.650000000000006</v>
      </c>
      <c r="E64" s="277">
        <v>3.5666666666666669</v>
      </c>
      <c r="F64" s="277">
        <f t="shared" si="11"/>
        <v>107</v>
      </c>
      <c r="G64" s="277">
        <v>84.3</v>
      </c>
      <c r="H64" s="281">
        <f t="shared" si="10"/>
        <v>0.78785046728971964</v>
      </c>
      <c r="I64" s="275"/>
      <c r="J64" s="270">
        <v>47.1</v>
      </c>
      <c r="K64" s="275"/>
      <c r="L64" s="275"/>
      <c r="M64" s="275"/>
      <c r="N64" s="202">
        <v>916.6</v>
      </c>
      <c r="O64" s="270">
        <v>10.9</v>
      </c>
      <c r="P64" s="275"/>
      <c r="Q64" s="202">
        <v>168</v>
      </c>
      <c r="R64" s="199"/>
      <c r="S64" s="275"/>
      <c r="T64" s="275"/>
      <c r="U64" s="275"/>
      <c r="V64" s="278">
        <v>17.521000000000001</v>
      </c>
      <c r="W64" s="278">
        <v>13.051</v>
      </c>
      <c r="X64" s="278">
        <v>16.559999999999999</v>
      </c>
      <c r="Y64" s="278"/>
      <c r="Z64" s="278">
        <v>7.7809999999999997</v>
      </c>
      <c r="AA64" s="278">
        <v>10.092000000000001</v>
      </c>
      <c r="AB64" s="278">
        <v>12.75</v>
      </c>
      <c r="AC64" s="278">
        <v>6.5250000000000004</v>
      </c>
      <c r="AD64" s="279">
        <v>84.28</v>
      </c>
      <c r="AE64" s="278">
        <f t="shared" si="6"/>
        <v>84.280000000000015</v>
      </c>
      <c r="AF64" s="278">
        <f t="shared" si="7"/>
        <v>0</v>
      </c>
      <c r="AG64" s="278">
        <f t="shared" si="4"/>
        <v>-1.999999999998181E-2</v>
      </c>
      <c r="AH64" s="202">
        <f t="shared" si="0"/>
        <v>-0.74000000000000021</v>
      </c>
      <c r="AI64" s="202">
        <f t="shared" si="1"/>
        <v>58</v>
      </c>
      <c r="AJ64" s="275"/>
      <c r="AK64" s="275"/>
      <c r="AL64" s="275"/>
      <c r="AM64" s="275"/>
      <c r="AN64" s="275"/>
      <c r="AO64" s="275"/>
      <c r="AP64" s="275"/>
      <c r="AQ64" s="275"/>
      <c r="AR64" s="275"/>
      <c r="AS64" s="275"/>
      <c r="AT64" s="275"/>
      <c r="AU64" s="275"/>
      <c r="AV64" s="275"/>
      <c r="AW64" s="275"/>
      <c r="AX64" s="275"/>
      <c r="AY64" s="275"/>
      <c r="AZ64" s="275"/>
      <c r="BA64" s="275"/>
      <c r="BB64" s="275"/>
      <c r="BC64" s="275"/>
      <c r="BE64" s="274">
        <f>G64/30</f>
        <v>2.81</v>
      </c>
      <c r="BF64" s="280">
        <f t="shared" si="14"/>
        <v>107.6</v>
      </c>
      <c r="BG64" s="154" t="str">
        <f t="shared" si="9"/>
        <v/>
      </c>
      <c r="BI64" s="270">
        <f t="shared" si="3"/>
        <v>-9.9999999999999645E-2</v>
      </c>
    </row>
    <row r="65" spans="1:61">
      <c r="A65" s="266">
        <v>31017</v>
      </c>
      <c r="B65" s="266"/>
      <c r="C65" s="275"/>
      <c r="D65" s="276">
        <v>14.783333333333331</v>
      </c>
      <c r="E65" s="277">
        <v>3.564516129032258</v>
      </c>
      <c r="F65" s="277">
        <f t="shared" si="11"/>
        <v>110.5</v>
      </c>
      <c r="G65" s="277">
        <v>86.3</v>
      </c>
      <c r="H65" s="281">
        <f t="shared" si="10"/>
        <v>0.78099547511312217</v>
      </c>
      <c r="I65" s="275"/>
      <c r="J65" s="270">
        <v>47.1</v>
      </c>
      <c r="K65" s="275"/>
      <c r="L65" s="275"/>
      <c r="M65" s="275"/>
      <c r="N65" s="202">
        <v>938.3</v>
      </c>
      <c r="O65" s="270">
        <v>10.9</v>
      </c>
      <c r="P65" s="275"/>
      <c r="Q65" s="202">
        <v>234</v>
      </c>
      <c r="R65" s="199"/>
      <c r="S65" s="275"/>
      <c r="T65" s="275"/>
      <c r="U65" s="275"/>
      <c r="V65" s="278">
        <v>17.722000000000001</v>
      </c>
      <c r="W65" s="278">
        <v>13.177</v>
      </c>
      <c r="X65" s="278">
        <v>16.96</v>
      </c>
      <c r="Y65" s="278"/>
      <c r="Z65" s="278">
        <v>8.3770000000000007</v>
      </c>
      <c r="AA65" s="278">
        <v>9.8770000000000007</v>
      </c>
      <c r="AB65" s="278">
        <v>13.653</v>
      </c>
      <c r="AC65" s="278">
        <v>6.5179999999999998</v>
      </c>
      <c r="AD65" s="279">
        <v>86.284000000000006</v>
      </c>
      <c r="AE65" s="278">
        <f t="shared" si="6"/>
        <v>86.284000000000006</v>
      </c>
      <c r="AF65" s="278">
        <f t="shared" si="7"/>
        <v>0</v>
      </c>
      <c r="AG65" s="278">
        <f t="shared" si="4"/>
        <v>-1.5999999999991132E-2</v>
      </c>
      <c r="AH65" s="202">
        <f t="shared" si="0"/>
        <v>0.90300000000000047</v>
      </c>
      <c r="AI65" s="202">
        <f t="shared" si="1"/>
        <v>58</v>
      </c>
      <c r="AJ65" s="275"/>
      <c r="AK65" s="275"/>
      <c r="AL65" s="275"/>
      <c r="AM65" s="275"/>
      <c r="AN65" s="275"/>
      <c r="AO65" s="275"/>
      <c r="AP65" s="275"/>
      <c r="AQ65" s="275"/>
      <c r="AR65" s="275"/>
      <c r="AS65" s="275"/>
      <c r="AT65" s="275"/>
      <c r="AU65" s="275"/>
      <c r="AV65" s="275"/>
      <c r="AW65" s="275"/>
      <c r="AX65" s="275"/>
      <c r="AY65" s="275"/>
      <c r="AZ65" s="275"/>
      <c r="BA65" s="275"/>
      <c r="BB65" s="275"/>
      <c r="BC65" s="275"/>
      <c r="BE65" s="274">
        <f t="shared" si="5"/>
        <v>2.7838709677419353</v>
      </c>
      <c r="BF65" s="280">
        <f t="shared" si="14"/>
        <v>111.6</v>
      </c>
      <c r="BG65" s="154" t="str">
        <f t="shared" si="9"/>
        <v/>
      </c>
      <c r="BI65" s="270">
        <f t="shared" si="3"/>
        <v>0</v>
      </c>
    </row>
    <row r="66" spans="1:61">
      <c r="A66" s="266">
        <v>31048</v>
      </c>
      <c r="B66" s="266"/>
      <c r="C66" s="275"/>
      <c r="D66" s="276">
        <v>11.920000000000002</v>
      </c>
      <c r="E66" s="277">
        <v>3.5999999999999996</v>
      </c>
      <c r="F66" s="277">
        <f t="shared" si="11"/>
        <v>111.6</v>
      </c>
      <c r="G66" s="277">
        <v>82.6</v>
      </c>
      <c r="H66" s="281">
        <f t="shared" si="10"/>
        <v>0.74014336917562717</v>
      </c>
      <c r="I66" s="275"/>
      <c r="J66" s="270">
        <v>47.1</v>
      </c>
      <c r="K66" s="275"/>
      <c r="L66" s="275"/>
      <c r="M66" s="275"/>
      <c r="N66" s="202">
        <v>890.9</v>
      </c>
      <c r="O66" s="270">
        <v>10.8</v>
      </c>
      <c r="P66" s="275"/>
      <c r="Q66" s="202">
        <v>256.89999999999998</v>
      </c>
      <c r="R66" s="199"/>
      <c r="S66" s="275"/>
      <c r="T66" s="275"/>
      <c r="U66" s="275"/>
      <c r="V66" s="278">
        <v>15.792999999999999</v>
      </c>
      <c r="W66" s="278">
        <v>13.334</v>
      </c>
      <c r="X66" s="278">
        <v>16.661000000000001</v>
      </c>
      <c r="Y66" s="278"/>
      <c r="Z66" s="278">
        <v>7.3810000000000002</v>
      </c>
      <c r="AA66" s="278">
        <v>9.8740000000000006</v>
      </c>
      <c r="AB66" s="278">
        <v>13.377000000000001</v>
      </c>
      <c r="AC66" s="278">
        <v>6.173</v>
      </c>
      <c r="AD66" s="279">
        <v>82.593000000000004</v>
      </c>
      <c r="AE66" s="278">
        <f t="shared" si="6"/>
        <v>82.593000000000004</v>
      </c>
      <c r="AF66" s="278">
        <f t="shared" si="7"/>
        <v>0</v>
      </c>
      <c r="AG66" s="278">
        <f t="shared" si="4"/>
        <v>-6.9999999999907914E-3</v>
      </c>
      <c r="AH66" s="202">
        <f t="shared" ref="AH66:AH129" si="15">AB66-AB65</f>
        <v>-0.2759999999999998</v>
      </c>
      <c r="AI66" s="202">
        <f t="shared" si="1"/>
        <v>57.900000000000006</v>
      </c>
      <c r="AJ66" s="275"/>
      <c r="AK66" s="275"/>
      <c r="AL66" s="275"/>
      <c r="AM66" s="275"/>
      <c r="AN66" s="275"/>
      <c r="AO66" s="275"/>
      <c r="AP66" s="275"/>
      <c r="AQ66" s="275"/>
      <c r="AR66" s="275"/>
      <c r="AS66" s="275"/>
      <c r="AT66" s="275"/>
      <c r="AU66" s="275"/>
      <c r="AV66" s="275"/>
      <c r="AW66" s="275"/>
      <c r="AX66" s="275"/>
      <c r="AY66" s="275"/>
      <c r="AZ66" s="275"/>
      <c r="BA66" s="275"/>
      <c r="BB66" s="275"/>
      <c r="BC66" s="275"/>
      <c r="BE66" s="274">
        <f t="shared" si="5"/>
        <v>2.6645161290322581</v>
      </c>
      <c r="BF66" s="280">
        <f t="shared" si="14"/>
        <v>110</v>
      </c>
      <c r="BG66" s="154" t="str">
        <f t="shared" si="9"/>
        <v/>
      </c>
      <c r="BI66" s="270">
        <f t="shared" si="3"/>
        <v>-9.9999999999999645E-2</v>
      </c>
    </row>
    <row r="67" spans="1:61">
      <c r="A67" s="266">
        <v>31079</v>
      </c>
      <c r="B67" s="266"/>
      <c r="C67" s="275"/>
      <c r="D67" s="276">
        <v>12.493333333333339</v>
      </c>
      <c r="E67" s="277">
        <v>3.6</v>
      </c>
      <c r="F67" s="277">
        <f t="shared" si="11"/>
        <v>100.8</v>
      </c>
      <c r="G67" s="277">
        <v>68.3</v>
      </c>
      <c r="H67" s="281">
        <f t="shared" si="10"/>
        <v>0.67757936507936511</v>
      </c>
      <c r="I67" s="275"/>
      <c r="J67" s="270">
        <v>46.9</v>
      </c>
      <c r="K67" s="275"/>
      <c r="L67" s="275"/>
      <c r="M67" s="275"/>
      <c r="N67" s="202">
        <v>745</v>
      </c>
      <c r="O67" s="270">
        <v>10.9</v>
      </c>
      <c r="P67" s="275"/>
      <c r="Q67" s="202">
        <v>169.8</v>
      </c>
      <c r="R67" s="199"/>
      <c r="S67" s="275"/>
      <c r="T67" s="275"/>
      <c r="U67" s="275"/>
      <c r="V67" s="278">
        <v>11.348000000000001</v>
      </c>
      <c r="W67" s="278">
        <v>11.412000000000001</v>
      </c>
      <c r="X67" s="278">
        <v>14.186999999999999</v>
      </c>
      <c r="Y67" s="278"/>
      <c r="Z67" s="278">
        <v>7.2640000000000002</v>
      </c>
      <c r="AA67" s="278">
        <v>6.9989999999999997</v>
      </c>
      <c r="AB67" s="278">
        <v>11.378</v>
      </c>
      <c r="AC67" s="278">
        <v>5.7590000000000003</v>
      </c>
      <c r="AD67" s="279">
        <v>68.346999999999994</v>
      </c>
      <c r="AE67" s="278">
        <f t="shared" si="6"/>
        <v>68.347000000000008</v>
      </c>
      <c r="AF67" s="278">
        <f t="shared" si="7"/>
        <v>0</v>
      </c>
      <c r="AG67" s="278">
        <f t="shared" si="4"/>
        <v>4.7000000000011255E-2</v>
      </c>
      <c r="AH67" s="202">
        <f t="shared" si="15"/>
        <v>-1.9990000000000006</v>
      </c>
      <c r="AI67" s="202">
        <f t="shared" ref="AI67:AI130" si="16">J67+O67</f>
        <v>57.8</v>
      </c>
      <c r="AJ67" s="275"/>
      <c r="AK67" s="275"/>
      <c r="AL67" s="275"/>
      <c r="AM67" s="275"/>
      <c r="AN67" s="275"/>
      <c r="AO67" s="275"/>
      <c r="AP67" s="275"/>
      <c r="AQ67" s="275"/>
      <c r="AR67" s="275"/>
      <c r="AS67" s="275"/>
      <c r="AT67" s="275"/>
      <c r="AU67" s="275"/>
      <c r="AV67" s="275"/>
      <c r="AW67" s="275"/>
      <c r="AX67" s="275"/>
      <c r="AY67" s="275"/>
      <c r="AZ67" s="275"/>
      <c r="BA67" s="275"/>
      <c r="BB67" s="275"/>
      <c r="BC67" s="275"/>
      <c r="BE67" s="274">
        <f>G67/28</f>
        <v>2.4392857142857141</v>
      </c>
      <c r="BF67" s="280">
        <f t="shared" si="14"/>
        <v>98.9</v>
      </c>
      <c r="BG67" s="154" t="str">
        <f t="shared" si="9"/>
        <v/>
      </c>
      <c r="BI67" s="270">
        <f t="shared" si="3"/>
        <v>9.9999999999999645E-2</v>
      </c>
    </row>
    <row r="68" spans="1:61">
      <c r="A68" s="266">
        <v>31107</v>
      </c>
      <c r="B68" s="266"/>
      <c r="C68" s="275"/>
      <c r="D68" s="276">
        <v>11.836666666666673</v>
      </c>
      <c r="E68" s="277">
        <v>3.5999999999999996</v>
      </c>
      <c r="F68" s="277">
        <f t="shared" si="11"/>
        <v>111.6</v>
      </c>
      <c r="G68" s="277">
        <v>73.8</v>
      </c>
      <c r="H68" s="281">
        <f t="shared" si="10"/>
        <v>0.66129032258064513</v>
      </c>
      <c r="I68" s="275"/>
      <c r="J68" s="270">
        <v>47.1</v>
      </c>
      <c r="K68" s="275"/>
      <c r="L68" s="275"/>
      <c r="M68" s="275"/>
      <c r="N68" s="202">
        <v>817.1</v>
      </c>
      <c r="O68" s="270">
        <v>11.1</v>
      </c>
      <c r="P68" s="275"/>
      <c r="Q68" s="202">
        <v>197.3</v>
      </c>
      <c r="R68" s="199"/>
      <c r="S68" s="275"/>
      <c r="T68" s="275"/>
      <c r="U68" s="275"/>
      <c r="V68" s="278">
        <v>13.88</v>
      </c>
      <c r="W68" s="278">
        <v>12.94</v>
      </c>
      <c r="X68" s="278">
        <v>14.667</v>
      </c>
      <c r="Y68" s="278"/>
      <c r="Z68" s="278">
        <v>6.9740000000000002</v>
      </c>
      <c r="AA68" s="278">
        <v>7.218</v>
      </c>
      <c r="AB68" s="278">
        <v>11.989000000000001</v>
      </c>
      <c r="AC68" s="278">
        <v>6.1159999999999997</v>
      </c>
      <c r="AD68" s="279">
        <v>73.784000000000006</v>
      </c>
      <c r="AE68" s="278">
        <f t="shared" si="6"/>
        <v>73.784000000000006</v>
      </c>
      <c r="AF68" s="278">
        <f t="shared" si="7"/>
        <v>0</v>
      </c>
      <c r="AG68" s="278">
        <f t="shared" si="4"/>
        <v>-1.5999999999991132E-2</v>
      </c>
      <c r="AH68" s="202">
        <f t="shared" si="15"/>
        <v>0.61100000000000065</v>
      </c>
      <c r="AI68" s="202">
        <f t="shared" si="16"/>
        <v>58.2</v>
      </c>
      <c r="AJ68" s="275"/>
      <c r="AK68" s="275"/>
      <c r="AL68" s="275"/>
      <c r="AM68" s="275"/>
      <c r="AN68" s="275"/>
      <c r="AO68" s="275"/>
      <c r="AP68" s="275"/>
      <c r="AQ68" s="275"/>
      <c r="AR68" s="275"/>
      <c r="AS68" s="275"/>
      <c r="AT68" s="275"/>
      <c r="AU68" s="275"/>
      <c r="AV68" s="275"/>
      <c r="AW68" s="275"/>
      <c r="AX68" s="275"/>
      <c r="AY68" s="275"/>
      <c r="AZ68" s="275"/>
      <c r="BA68" s="275"/>
      <c r="BB68" s="275"/>
      <c r="BC68" s="275"/>
      <c r="BE68" s="274">
        <f t="shared" si="5"/>
        <v>2.3806451612903223</v>
      </c>
      <c r="BF68" s="280">
        <f t="shared" si="14"/>
        <v>101.4</v>
      </c>
      <c r="BG68" s="154" t="str">
        <f t="shared" si="9"/>
        <v/>
      </c>
      <c r="BI68" s="270">
        <f t="shared" ref="BI68:BI131" si="17">O68-O67</f>
        <v>0.19999999999999929</v>
      </c>
    </row>
    <row r="69" spans="1:61">
      <c r="A69" s="266">
        <v>31138</v>
      </c>
      <c r="B69" s="266"/>
      <c r="C69" s="275"/>
      <c r="D69" s="276">
        <v>9.1466666666666754</v>
      </c>
      <c r="E69" s="277">
        <v>3.5766666666666667</v>
      </c>
      <c r="F69" s="277">
        <f t="shared" si="11"/>
        <v>107.3</v>
      </c>
      <c r="G69" s="277">
        <v>74.099999999999994</v>
      </c>
      <c r="H69" s="281">
        <f t="shared" si="10"/>
        <v>0.69058713886300094</v>
      </c>
      <c r="I69" s="275"/>
      <c r="J69" s="270">
        <v>47.1</v>
      </c>
      <c r="K69" s="275"/>
      <c r="L69" s="275"/>
      <c r="M69" s="275"/>
      <c r="N69" s="202">
        <v>820.6</v>
      </c>
      <c r="O69" s="270">
        <v>11.1</v>
      </c>
      <c r="P69" s="275"/>
      <c r="Q69" s="202">
        <v>167.5</v>
      </c>
      <c r="R69" s="199"/>
      <c r="S69" s="275"/>
      <c r="T69" s="275"/>
      <c r="U69" s="275"/>
      <c r="V69" s="278">
        <v>13.673</v>
      </c>
      <c r="W69" s="278">
        <v>12.211</v>
      </c>
      <c r="X69" s="278">
        <v>14.737</v>
      </c>
      <c r="Y69" s="278"/>
      <c r="Z69" s="278">
        <v>6.8150000000000004</v>
      </c>
      <c r="AA69" s="278">
        <v>8.4390000000000001</v>
      </c>
      <c r="AB69" s="278">
        <v>12.167</v>
      </c>
      <c r="AC69" s="278">
        <v>6.0519999999999996</v>
      </c>
      <c r="AD69" s="279">
        <v>74.093999999999994</v>
      </c>
      <c r="AE69" s="278">
        <f t="shared" si="6"/>
        <v>74.093999999999994</v>
      </c>
      <c r="AF69" s="278">
        <f t="shared" si="7"/>
        <v>0</v>
      </c>
      <c r="AG69" s="278">
        <f t="shared" si="4"/>
        <v>-6.0000000000002274E-3</v>
      </c>
      <c r="AH69" s="202">
        <f t="shared" si="15"/>
        <v>0.17799999999999905</v>
      </c>
      <c r="AI69" s="202">
        <f t="shared" si="16"/>
        <v>58.2</v>
      </c>
      <c r="AJ69" s="275"/>
      <c r="AK69" s="275"/>
      <c r="AL69" s="275"/>
      <c r="AM69" s="275"/>
      <c r="AN69" s="275"/>
      <c r="AO69" s="275"/>
      <c r="AP69" s="275"/>
      <c r="AQ69" s="275"/>
      <c r="AR69" s="275"/>
      <c r="AS69" s="275"/>
      <c r="AT69" s="275"/>
      <c r="AU69" s="275"/>
      <c r="AV69" s="275"/>
      <c r="AW69" s="275"/>
      <c r="AX69" s="275"/>
      <c r="AY69" s="275"/>
      <c r="AZ69" s="275"/>
      <c r="BA69" s="275"/>
      <c r="BB69" s="275"/>
      <c r="BC69" s="275"/>
      <c r="BE69" s="274">
        <f>G69/30</f>
        <v>2.4699999999999998</v>
      </c>
      <c r="BF69" s="280">
        <f t="shared" si="14"/>
        <v>91.4</v>
      </c>
      <c r="BG69" s="154" t="str">
        <f t="shared" si="9"/>
        <v/>
      </c>
      <c r="BI69" s="270">
        <f t="shared" si="17"/>
        <v>0</v>
      </c>
    </row>
    <row r="70" spans="1:61">
      <c r="A70" s="266">
        <v>31168</v>
      </c>
      <c r="B70" s="266"/>
      <c r="C70" s="275"/>
      <c r="D70" s="276">
        <v>10.11999999999999</v>
      </c>
      <c r="E70" s="277">
        <v>3.5774193548387099</v>
      </c>
      <c r="F70" s="277">
        <f t="shared" si="11"/>
        <v>110.9</v>
      </c>
      <c r="G70" s="277">
        <v>79.2</v>
      </c>
      <c r="H70" s="281">
        <f t="shared" si="10"/>
        <v>0.71415689810640215</v>
      </c>
      <c r="I70" s="275"/>
      <c r="J70" s="270">
        <v>47.3</v>
      </c>
      <c r="K70" s="275"/>
      <c r="L70" s="275"/>
      <c r="M70" s="275"/>
      <c r="N70" s="202">
        <v>874.1</v>
      </c>
      <c r="O70" s="270">
        <v>11</v>
      </c>
      <c r="P70" s="275"/>
      <c r="Q70" s="202">
        <v>177.9</v>
      </c>
      <c r="R70" s="199"/>
      <c r="S70" s="275"/>
      <c r="T70" s="275"/>
      <c r="U70" s="275"/>
      <c r="V70" s="278">
        <v>15.771000000000001</v>
      </c>
      <c r="W70" s="278">
        <v>13.253</v>
      </c>
      <c r="X70" s="278">
        <v>14.896000000000001</v>
      </c>
      <c r="Y70" s="278"/>
      <c r="Z70" s="278">
        <v>6.41</v>
      </c>
      <c r="AA70" s="278">
        <v>9.0459999999999994</v>
      </c>
      <c r="AB70" s="278">
        <v>13.250999999999999</v>
      </c>
      <c r="AC70" s="278">
        <v>6.5519999999999996</v>
      </c>
      <c r="AD70" s="279">
        <v>79.179000000000002</v>
      </c>
      <c r="AE70" s="278">
        <f t="shared" si="6"/>
        <v>79.179000000000002</v>
      </c>
      <c r="AF70" s="278">
        <f t="shared" si="7"/>
        <v>0</v>
      </c>
      <c r="AG70" s="278">
        <f t="shared" ref="AG70:AG133" si="18">AE70-G70</f>
        <v>-2.1000000000000796E-2</v>
      </c>
      <c r="AH70" s="202">
        <f t="shared" si="15"/>
        <v>1.0839999999999996</v>
      </c>
      <c r="AI70" s="202">
        <f t="shared" si="16"/>
        <v>58.3</v>
      </c>
      <c r="AJ70" s="275"/>
      <c r="AK70" s="275"/>
      <c r="AL70" s="275"/>
      <c r="AM70" s="275"/>
      <c r="AN70" s="275"/>
      <c r="AO70" s="275"/>
      <c r="AP70" s="275"/>
      <c r="AQ70" s="275"/>
      <c r="AR70" s="275"/>
      <c r="AS70" s="275"/>
      <c r="AT70" s="275"/>
      <c r="AU70" s="275"/>
      <c r="AV70" s="275"/>
      <c r="AW70" s="275"/>
      <c r="AX70" s="275"/>
      <c r="AY70" s="275"/>
      <c r="AZ70" s="275"/>
      <c r="BA70" s="275"/>
      <c r="BB70" s="275"/>
      <c r="BC70" s="275"/>
      <c r="BE70" s="274">
        <f t="shared" ref="BE70:BE133" si="19">G70/31</f>
        <v>2.5548387096774197</v>
      </c>
      <c r="BF70" s="280">
        <f t="shared" si="14"/>
        <v>93.2</v>
      </c>
      <c r="BG70" s="154" t="str">
        <f t="shared" si="9"/>
        <v/>
      </c>
      <c r="BI70" s="270">
        <f t="shared" si="17"/>
        <v>-9.9999999999999645E-2</v>
      </c>
    </row>
    <row r="71" spans="1:61">
      <c r="A71" s="266">
        <v>31199</v>
      </c>
      <c r="B71" s="266"/>
      <c r="C71" s="275"/>
      <c r="D71" s="276">
        <v>11.126666666666679</v>
      </c>
      <c r="E71" s="277">
        <v>3.5766666666666667</v>
      </c>
      <c r="F71" s="277">
        <f t="shared" si="11"/>
        <v>107.3</v>
      </c>
      <c r="G71" s="277">
        <v>71.599999999999994</v>
      </c>
      <c r="H71" s="281">
        <f t="shared" si="10"/>
        <v>0.66728797763280523</v>
      </c>
      <c r="I71" s="275"/>
      <c r="J71" s="270">
        <v>47.2</v>
      </c>
      <c r="K71" s="275"/>
      <c r="L71" s="275"/>
      <c r="M71" s="275"/>
      <c r="N71" s="202">
        <v>784.8</v>
      </c>
      <c r="O71" s="270">
        <v>11</v>
      </c>
      <c r="P71" s="275"/>
      <c r="Q71" s="202">
        <v>184.9</v>
      </c>
      <c r="R71" s="199"/>
      <c r="S71" s="275"/>
      <c r="T71" s="275"/>
      <c r="U71" s="275"/>
      <c r="V71" s="278">
        <v>13.237</v>
      </c>
      <c r="W71" s="278">
        <v>12.398</v>
      </c>
      <c r="X71" s="278">
        <v>13.159000000000001</v>
      </c>
      <c r="Y71" s="278"/>
      <c r="Z71" s="278">
        <v>5.7889999999999997</v>
      </c>
      <c r="AA71" s="278">
        <v>8.1669999999999998</v>
      </c>
      <c r="AB71" s="278">
        <v>12.253</v>
      </c>
      <c r="AC71" s="278">
        <v>6.6379999999999999</v>
      </c>
      <c r="AD71" s="279">
        <v>71.641000000000005</v>
      </c>
      <c r="AE71" s="278">
        <f t="shared" ref="AE71:AE134" si="20">SUM(V71:AC71)</f>
        <v>71.641000000000005</v>
      </c>
      <c r="AF71" s="278">
        <f t="shared" ref="AF71:AF134" si="21">AE71-AD71</f>
        <v>0</v>
      </c>
      <c r="AG71" s="278">
        <f t="shared" si="18"/>
        <v>4.1000000000011028E-2</v>
      </c>
      <c r="AH71" s="202">
        <f t="shared" si="15"/>
        <v>-0.99799999999999933</v>
      </c>
      <c r="AI71" s="202">
        <f t="shared" si="16"/>
        <v>58.2</v>
      </c>
      <c r="AJ71" s="275"/>
      <c r="AK71" s="275"/>
      <c r="AL71" s="275"/>
      <c r="AM71" s="275"/>
      <c r="AN71" s="275"/>
      <c r="AO71" s="275"/>
      <c r="AP71" s="275"/>
      <c r="AQ71" s="275"/>
      <c r="AR71" s="275"/>
      <c r="AS71" s="275"/>
      <c r="AT71" s="275"/>
      <c r="AU71" s="275"/>
      <c r="AV71" s="275"/>
      <c r="AW71" s="275"/>
      <c r="AX71" s="275"/>
      <c r="AY71" s="275"/>
      <c r="AZ71" s="275"/>
      <c r="BA71" s="275"/>
      <c r="BB71" s="275"/>
      <c r="BC71" s="275"/>
      <c r="BE71" s="274">
        <f>G71/30</f>
        <v>2.3866666666666663</v>
      </c>
      <c r="BF71" s="280">
        <f t="shared" si="14"/>
        <v>81.900000000000006</v>
      </c>
      <c r="BG71" s="154" t="str">
        <f t="shared" si="9"/>
        <v/>
      </c>
      <c r="BI71" s="270">
        <f t="shared" si="17"/>
        <v>0</v>
      </c>
    </row>
    <row r="72" spans="1:61">
      <c r="A72" s="266">
        <v>31229</v>
      </c>
      <c r="B72" s="266"/>
      <c r="C72" s="275"/>
      <c r="D72" s="276">
        <v>10.666666666666671</v>
      </c>
      <c r="E72" s="277">
        <v>3.5806451612903225</v>
      </c>
      <c r="F72" s="277">
        <f t="shared" si="11"/>
        <v>111</v>
      </c>
      <c r="G72" s="277">
        <v>71.3</v>
      </c>
      <c r="H72" s="281">
        <f t="shared" si="10"/>
        <v>0.64234234234234233</v>
      </c>
      <c r="I72" s="275"/>
      <c r="J72" s="270">
        <v>47</v>
      </c>
      <c r="K72" s="275"/>
      <c r="L72" s="275"/>
      <c r="M72" s="275"/>
      <c r="N72" s="202">
        <v>795</v>
      </c>
      <c r="O72" s="270">
        <v>11.1</v>
      </c>
      <c r="P72" s="275"/>
      <c r="Q72" s="202">
        <v>211.4</v>
      </c>
      <c r="R72" s="199"/>
      <c r="S72" s="275"/>
      <c r="T72" s="275"/>
      <c r="U72" s="275"/>
      <c r="V72" s="278">
        <v>13.023</v>
      </c>
      <c r="W72" s="278">
        <v>11.159000000000001</v>
      </c>
      <c r="X72" s="278">
        <v>13.952999999999999</v>
      </c>
      <c r="Y72" s="278"/>
      <c r="Z72" s="278">
        <v>5.81</v>
      </c>
      <c r="AA72" s="278">
        <v>7.1589999999999998</v>
      </c>
      <c r="AB72" s="278">
        <v>13.115</v>
      </c>
      <c r="AC72" s="278">
        <v>7.0590000000000002</v>
      </c>
      <c r="AD72" s="279">
        <v>71.278000000000006</v>
      </c>
      <c r="AE72" s="278">
        <f t="shared" si="20"/>
        <v>71.278000000000006</v>
      </c>
      <c r="AF72" s="278">
        <f t="shared" si="21"/>
        <v>0</v>
      </c>
      <c r="AG72" s="278">
        <f t="shared" si="18"/>
        <v>-2.199999999999136E-2</v>
      </c>
      <c r="AH72" s="202">
        <f t="shared" si="15"/>
        <v>0.8620000000000001</v>
      </c>
      <c r="AI72" s="202">
        <f t="shared" si="16"/>
        <v>58.1</v>
      </c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275"/>
      <c r="AU72" s="275"/>
      <c r="AV72" s="275"/>
      <c r="AW72" s="275"/>
      <c r="AX72" s="275"/>
      <c r="AY72" s="275"/>
      <c r="AZ72" s="275"/>
      <c r="BA72" s="275"/>
      <c r="BB72" s="275"/>
      <c r="BC72" s="275"/>
      <c r="BE72" s="274">
        <f t="shared" si="19"/>
        <v>2.2999999999999998</v>
      </c>
      <c r="BF72" s="280">
        <f t="shared" si="14"/>
        <v>84.1</v>
      </c>
      <c r="BG72" s="154" t="str">
        <f t="shared" si="9"/>
        <v/>
      </c>
      <c r="BI72" s="270">
        <f t="shared" si="17"/>
        <v>9.9999999999999645E-2</v>
      </c>
    </row>
    <row r="73" spans="1:61">
      <c r="A73" s="266">
        <v>31260</v>
      </c>
      <c r="B73" s="266"/>
      <c r="C73" s="275"/>
      <c r="D73" s="276">
        <v>9.7866666666666617</v>
      </c>
      <c r="E73" s="277">
        <v>3.5806451612903225</v>
      </c>
      <c r="F73" s="277">
        <f t="shared" si="11"/>
        <v>111</v>
      </c>
      <c r="G73" s="277">
        <v>67.7</v>
      </c>
      <c r="H73" s="281">
        <f t="shared" si="10"/>
        <v>0.6099099099099099</v>
      </c>
      <c r="I73" s="275"/>
      <c r="J73" s="270">
        <v>47.1</v>
      </c>
      <c r="K73" s="275"/>
      <c r="L73" s="275"/>
      <c r="M73" s="275"/>
      <c r="N73" s="202">
        <v>761.3</v>
      </c>
      <c r="O73" s="270">
        <v>11.2</v>
      </c>
      <c r="P73" s="275"/>
      <c r="Q73" s="202">
        <v>191</v>
      </c>
      <c r="R73" s="199"/>
      <c r="S73" s="275"/>
      <c r="T73" s="275"/>
      <c r="U73" s="275"/>
      <c r="V73" s="278">
        <v>12.329000000000001</v>
      </c>
      <c r="W73" s="278">
        <v>10.612</v>
      </c>
      <c r="X73" s="278">
        <v>13.069000000000001</v>
      </c>
      <c r="Y73" s="278"/>
      <c r="Z73" s="278">
        <v>5.9009999999999998</v>
      </c>
      <c r="AA73" s="278">
        <v>7.2229999999999999</v>
      </c>
      <c r="AB73" s="278">
        <v>12.115</v>
      </c>
      <c r="AC73" s="278">
        <v>6.4960000000000004</v>
      </c>
      <c r="AD73" s="279">
        <v>67.745000000000005</v>
      </c>
      <c r="AE73" s="278">
        <f t="shared" si="20"/>
        <v>67.745000000000005</v>
      </c>
      <c r="AF73" s="278">
        <f t="shared" si="21"/>
        <v>0</v>
      </c>
      <c r="AG73" s="278">
        <f t="shared" si="18"/>
        <v>4.5000000000001705E-2</v>
      </c>
      <c r="AH73" s="202">
        <f t="shared" si="15"/>
        <v>-1</v>
      </c>
      <c r="AI73" s="202">
        <f t="shared" si="16"/>
        <v>58.3</v>
      </c>
      <c r="AJ73" s="275"/>
      <c r="AK73" s="275"/>
      <c r="AL73" s="275"/>
      <c r="AM73" s="275"/>
      <c r="AN73" s="275"/>
      <c r="AO73" s="275"/>
      <c r="AP73" s="275"/>
      <c r="AQ73" s="275"/>
      <c r="AR73" s="275"/>
      <c r="AS73" s="275"/>
      <c r="AT73" s="275"/>
      <c r="AU73" s="275"/>
      <c r="AV73" s="275"/>
      <c r="AW73" s="275"/>
      <c r="AX73" s="275"/>
      <c r="AY73" s="275"/>
      <c r="AZ73" s="275"/>
      <c r="BA73" s="275"/>
      <c r="BB73" s="275"/>
      <c r="BC73" s="275"/>
      <c r="BE73" s="274">
        <f t="shared" si="19"/>
        <v>2.1838709677419357</v>
      </c>
      <c r="BF73" s="280">
        <f>MAX(G61,G49,G37,G25,G13)</f>
        <v>85</v>
      </c>
      <c r="BG73" s="154" t="str">
        <f t="shared" si="9"/>
        <v/>
      </c>
      <c r="BI73" s="270">
        <f t="shared" si="17"/>
        <v>9.9999999999999645E-2</v>
      </c>
    </row>
    <row r="74" spans="1:61">
      <c r="A74" s="266">
        <v>31291</v>
      </c>
      <c r="B74" s="266"/>
      <c r="C74" s="275"/>
      <c r="D74" s="276">
        <v>11.413333333333341</v>
      </c>
      <c r="E74" s="277">
        <v>3.58</v>
      </c>
      <c r="F74" s="277">
        <f t="shared" si="11"/>
        <v>107.4</v>
      </c>
      <c r="G74" s="277">
        <v>65.099999999999994</v>
      </c>
      <c r="H74" s="281">
        <f t="shared" si="10"/>
        <v>0.60614525139664799</v>
      </c>
      <c r="I74" s="275"/>
      <c r="J74" s="270">
        <v>47.2</v>
      </c>
      <c r="K74" s="275"/>
      <c r="L74" s="275"/>
      <c r="M74" s="275"/>
      <c r="N74" s="202">
        <v>728.2</v>
      </c>
      <c r="O74" s="270">
        <v>11.2</v>
      </c>
      <c r="P74" s="275"/>
      <c r="Q74" s="202">
        <v>175.6</v>
      </c>
      <c r="R74" s="199"/>
      <c r="S74" s="275"/>
      <c r="T74" s="275"/>
      <c r="U74" s="275"/>
      <c r="V74" s="278">
        <v>12.334</v>
      </c>
      <c r="W74" s="278">
        <v>10.59</v>
      </c>
      <c r="X74" s="278">
        <v>11.734</v>
      </c>
      <c r="Y74" s="278"/>
      <c r="Z74" s="278">
        <v>5.1639999999999997</v>
      </c>
      <c r="AA74" s="278">
        <v>8.1159999999999997</v>
      </c>
      <c r="AB74" s="278">
        <v>11.744999999999999</v>
      </c>
      <c r="AC74" s="278">
        <v>5.4390000000000001</v>
      </c>
      <c r="AD74" s="279">
        <v>65.122</v>
      </c>
      <c r="AE74" s="278">
        <f t="shared" si="20"/>
        <v>65.122</v>
      </c>
      <c r="AF74" s="278">
        <f t="shared" si="21"/>
        <v>0</v>
      </c>
      <c r="AG74" s="278">
        <f t="shared" si="18"/>
        <v>2.2000000000005571E-2</v>
      </c>
      <c r="AH74" s="202">
        <f t="shared" si="15"/>
        <v>-0.37000000000000099</v>
      </c>
      <c r="AI74" s="202">
        <f t="shared" si="16"/>
        <v>58.400000000000006</v>
      </c>
      <c r="AJ74" s="275"/>
      <c r="AK74" s="275"/>
      <c r="AL74" s="275"/>
      <c r="AM74" s="275"/>
      <c r="AN74" s="275"/>
      <c r="AO74" s="275"/>
      <c r="AP74" s="275"/>
      <c r="AQ74" s="275"/>
      <c r="AR74" s="275"/>
      <c r="AS74" s="275"/>
      <c r="AT74" s="275"/>
      <c r="AU74" s="275"/>
      <c r="AV74" s="275"/>
      <c r="AW74" s="275"/>
      <c r="AX74" s="275"/>
      <c r="AY74" s="275"/>
      <c r="AZ74" s="275"/>
      <c r="BA74" s="275"/>
      <c r="BB74" s="275"/>
      <c r="BC74" s="275"/>
      <c r="BE74" s="274">
        <f>G74/30</f>
        <v>2.17</v>
      </c>
      <c r="BF74" s="280">
        <f t="shared" ref="BF74:BF84" si="22">MAX(G62,G50,G38,G26,G14,G2)</f>
        <v>86.1</v>
      </c>
      <c r="BG74" s="154" t="str">
        <f t="shared" si="9"/>
        <v/>
      </c>
      <c r="BI74" s="270">
        <f t="shared" si="17"/>
        <v>0</v>
      </c>
    </row>
    <row r="75" spans="1:61">
      <c r="A75" s="266">
        <v>31321</v>
      </c>
      <c r="B75" s="266"/>
      <c r="C75" s="275"/>
      <c r="D75" s="276">
        <v>13.939999999999984</v>
      </c>
      <c r="E75" s="277">
        <v>3.5999999999999996</v>
      </c>
      <c r="F75" s="277">
        <f t="shared" si="11"/>
        <v>111.6</v>
      </c>
      <c r="G75" s="277">
        <v>80.400000000000006</v>
      </c>
      <c r="H75" s="281">
        <f t="shared" si="10"/>
        <v>0.72043010752688186</v>
      </c>
      <c r="I75" s="275"/>
      <c r="J75" s="270">
        <v>47.1</v>
      </c>
      <c r="K75" s="275"/>
      <c r="L75" s="275"/>
      <c r="M75" s="275"/>
      <c r="N75" s="202">
        <v>886</v>
      </c>
      <c r="O75" s="270">
        <v>11</v>
      </c>
      <c r="P75" s="275"/>
      <c r="Q75" s="202">
        <v>158.4</v>
      </c>
      <c r="R75" s="199"/>
      <c r="S75" s="275"/>
      <c r="T75" s="275"/>
      <c r="U75" s="275"/>
      <c r="V75" s="278">
        <v>16.556999999999999</v>
      </c>
      <c r="W75" s="278">
        <v>13.481</v>
      </c>
      <c r="X75" s="278">
        <v>14.718</v>
      </c>
      <c r="Y75" s="278"/>
      <c r="Z75" s="278">
        <v>6.7889999999999997</v>
      </c>
      <c r="AA75" s="278">
        <v>9.5310000000000006</v>
      </c>
      <c r="AB75" s="278">
        <v>12.991</v>
      </c>
      <c r="AC75" s="278">
        <v>6.3380000000000001</v>
      </c>
      <c r="AD75" s="279">
        <v>80.405000000000001</v>
      </c>
      <c r="AE75" s="278">
        <f t="shared" si="20"/>
        <v>80.405000000000001</v>
      </c>
      <c r="AF75" s="278">
        <f t="shared" si="21"/>
        <v>0</v>
      </c>
      <c r="AG75" s="278">
        <f t="shared" si="18"/>
        <v>4.9999999999954525E-3</v>
      </c>
      <c r="AH75" s="202">
        <f t="shared" si="15"/>
        <v>1.2460000000000004</v>
      </c>
      <c r="AI75" s="202">
        <f t="shared" si="16"/>
        <v>58.1</v>
      </c>
      <c r="AJ75" s="275"/>
      <c r="AK75" s="275"/>
      <c r="AL75" s="275"/>
      <c r="AM75" s="275"/>
      <c r="AN75" s="275"/>
      <c r="AO75" s="275"/>
      <c r="AP75" s="275"/>
      <c r="AQ75" s="275"/>
      <c r="AR75" s="275"/>
      <c r="AS75" s="275"/>
      <c r="AT75" s="275"/>
      <c r="AU75" s="275"/>
      <c r="AV75" s="275"/>
      <c r="AW75" s="275"/>
      <c r="AX75" s="275"/>
      <c r="AY75" s="275"/>
      <c r="AZ75" s="275"/>
      <c r="BA75" s="275"/>
      <c r="BB75" s="275"/>
      <c r="BC75" s="275"/>
      <c r="BE75" s="274">
        <f t="shared" si="19"/>
        <v>2.5935483870967744</v>
      </c>
      <c r="BF75" s="280">
        <f t="shared" si="22"/>
        <v>104.3</v>
      </c>
      <c r="BG75" s="154" t="str">
        <f t="shared" si="9"/>
        <v/>
      </c>
      <c r="BI75" s="270">
        <f t="shared" si="17"/>
        <v>-0.19999999999999929</v>
      </c>
    </row>
    <row r="76" spans="1:61">
      <c r="A76" s="266">
        <v>31352</v>
      </c>
      <c r="B76" s="266"/>
      <c r="C76" s="275"/>
      <c r="D76" s="276">
        <v>13.856666666666669</v>
      </c>
      <c r="E76" s="277">
        <v>3.6</v>
      </c>
      <c r="F76" s="277">
        <f t="shared" si="11"/>
        <v>108</v>
      </c>
      <c r="G76" s="277">
        <v>82.8</v>
      </c>
      <c r="H76" s="281">
        <f t="shared" si="10"/>
        <v>0.76666666666666661</v>
      </c>
      <c r="I76" s="275"/>
      <c r="J76" s="270">
        <v>47.3</v>
      </c>
      <c r="K76" s="275"/>
      <c r="L76" s="275"/>
      <c r="M76" s="275"/>
      <c r="N76" s="202">
        <v>902.4</v>
      </c>
      <c r="O76" s="270">
        <v>10.9</v>
      </c>
      <c r="P76" s="275"/>
      <c r="Q76" s="202">
        <v>246</v>
      </c>
      <c r="R76" s="199"/>
      <c r="S76" s="275"/>
      <c r="T76" s="275"/>
      <c r="U76" s="275"/>
      <c r="V76" s="278">
        <v>16.279</v>
      </c>
      <c r="W76" s="278">
        <v>14.339</v>
      </c>
      <c r="X76" s="278">
        <v>15.62</v>
      </c>
      <c r="Y76" s="278"/>
      <c r="Z76" s="278">
        <v>7.3780000000000001</v>
      </c>
      <c r="AA76" s="278">
        <v>10.111000000000001</v>
      </c>
      <c r="AB76" s="278">
        <v>12.564</v>
      </c>
      <c r="AC76" s="278">
        <v>6.484</v>
      </c>
      <c r="AD76" s="279">
        <v>82.775000000000006</v>
      </c>
      <c r="AE76" s="278">
        <f t="shared" si="20"/>
        <v>82.774999999999991</v>
      </c>
      <c r="AF76" s="278">
        <f t="shared" si="21"/>
        <v>0</v>
      </c>
      <c r="AG76" s="278">
        <f t="shared" si="18"/>
        <v>-2.5000000000005684E-2</v>
      </c>
      <c r="AH76" s="202">
        <f t="shared" si="15"/>
        <v>-0.4269999999999996</v>
      </c>
      <c r="AI76" s="202">
        <f t="shared" si="16"/>
        <v>58.199999999999996</v>
      </c>
      <c r="AJ76" s="275"/>
      <c r="AK76" s="275"/>
      <c r="AL76" s="275"/>
      <c r="AM76" s="275"/>
      <c r="AN76" s="275"/>
      <c r="AO76" s="275"/>
      <c r="AP76" s="275"/>
      <c r="AQ76" s="275"/>
      <c r="AR76" s="275"/>
      <c r="AS76" s="275"/>
      <c r="AT76" s="275"/>
      <c r="AU76" s="275"/>
      <c r="AV76" s="275"/>
      <c r="AW76" s="275"/>
      <c r="AX76" s="275"/>
      <c r="AY76" s="275"/>
      <c r="AZ76" s="275"/>
      <c r="BA76" s="275"/>
      <c r="BB76" s="275"/>
      <c r="BC76" s="275"/>
      <c r="BE76" s="274">
        <f>G76/30</f>
        <v>2.76</v>
      </c>
      <c r="BF76" s="280">
        <f t="shared" si="22"/>
        <v>107.6</v>
      </c>
      <c r="BG76" s="154" t="str">
        <f t="shared" si="9"/>
        <v/>
      </c>
      <c r="BI76" s="270">
        <f t="shared" si="17"/>
        <v>-9.9999999999999645E-2</v>
      </c>
    </row>
    <row r="77" spans="1:61">
      <c r="A77" s="266">
        <v>31382</v>
      </c>
      <c r="B77" s="266"/>
      <c r="C77" s="275"/>
      <c r="D77" s="276">
        <v>15.171666666666667</v>
      </c>
      <c r="E77" s="277">
        <v>3.5992903225806452</v>
      </c>
      <c r="F77" s="277">
        <f t="shared" si="11"/>
        <v>111.578</v>
      </c>
      <c r="G77" s="277">
        <v>85.674999999999997</v>
      </c>
      <c r="H77" s="281">
        <f t="shared" si="10"/>
        <v>0.76784850060047671</v>
      </c>
      <c r="I77" s="202">
        <v>2020.01</v>
      </c>
      <c r="J77" s="270">
        <v>47.16</v>
      </c>
      <c r="K77" s="275"/>
      <c r="L77" s="202">
        <v>473.55399999999997</v>
      </c>
      <c r="M77" s="275"/>
      <c r="N77" s="202">
        <v>932.51800000000003</v>
      </c>
      <c r="O77" s="270">
        <v>10.88</v>
      </c>
      <c r="P77" s="275"/>
      <c r="Q77" s="202">
        <v>326.37099999999998</v>
      </c>
      <c r="R77" s="199"/>
      <c r="S77" s="275"/>
      <c r="T77" s="275"/>
      <c r="U77" s="275"/>
      <c r="V77" s="278">
        <v>16.763000000000002</v>
      </c>
      <c r="W77" s="278">
        <v>14.859</v>
      </c>
      <c r="X77" s="278">
        <v>16.032</v>
      </c>
      <c r="Y77" s="278"/>
      <c r="Z77" s="278">
        <v>7.173</v>
      </c>
      <c r="AA77" s="278">
        <v>10.288</v>
      </c>
      <c r="AB77" s="278">
        <v>13.932</v>
      </c>
      <c r="AC77" s="278">
        <v>6.6280000000000001</v>
      </c>
      <c r="AD77" s="279">
        <v>85.674999999999997</v>
      </c>
      <c r="AE77" s="278">
        <f t="shared" si="20"/>
        <v>85.674999999999997</v>
      </c>
      <c r="AF77" s="278">
        <f t="shared" si="21"/>
        <v>0</v>
      </c>
      <c r="AG77" s="278">
        <f t="shared" si="18"/>
        <v>0</v>
      </c>
      <c r="AH77" s="202">
        <f t="shared" si="15"/>
        <v>1.3680000000000003</v>
      </c>
      <c r="AI77" s="202">
        <f t="shared" si="16"/>
        <v>58.04</v>
      </c>
      <c r="AJ77" s="275"/>
      <c r="AK77" s="275"/>
      <c r="AL77" s="275"/>
      <c r="AM77" s="275"/>
      <c r="AN77" s="275"/>
      <c r="AO77" s="275"/>
      <c r="AP77" s="275"/>
      <c r="AQ77" s="275"/>
      <c r="AR77" s="275"/>
      <c r="AS77" s="275"/>
      <c r="AT77" s="275"/>
      <c r="AU77" s="275"/>
      <c r="AV77" s="275"/>
      <c r="AW77" s="275"/>
      <c r="AX77" s="275"/>
      <c r="AY77" s="275"/>
      <c r="AZ77" s="275"/>
      <c r="BA77" s="275"/>
      <c r="BB77" s="275"/>
      <c r="BC77" s="275"/>
      <c r="BE77" s="274">
        <f t="shared" si="19"/>
        <v>2.7637096774193548</v>
      </c>
      <c r="BF77" s="280">
        <f t="shared" si="22"/>
        <v>111.6</v>
      </c>
      <c r="BG77" s="154" t="str">
        <f t="shared" si="9"/>
        <v/>
      </c>
      <c r="BI77" s="270">
        <f t="shared" si="17"/>
        <v>-1.9999999999999574E-2</v>
      </c>
    </row>
    <row r="78" spans="1:61">
      <c r="A78" s="266">
        <v>31413</v>
      </c>
      <c r="B78" s="266"/>
      <c r="C78" s="275"/>
      <c r="D78" s="276">
        <v>14.766999999999996</v>
      </c>
      <c r="E78" s="277">
        <v>3.6370322580645165</v>
      </c>
      <c r="F78" s="277">
        <f t="shared" si="11"/>
        <v>112.748</v>
      </c>
      <c r="G78" s="277">
        <v>84.852999999999994</v>
      </c>
      <c r="H78" s="281">
        <f t="shared" si="10"/>
        <v>0.75258984638308435</v>
      </c>
      <c r="I78" s="202">
        <v>1996.8710000000001</v>
      </c>
      <c r="J78" s="270">
        <v>47.07</v>
      </c>
      <c r="K78" s="275"/>
      <c r="L78" s="202">
        <v>397.47199999999998</v>
      </c>
      <c r="M78" s="275"/>
      <c r="N78" s="202">
        <v>927.60799999999995</v>
      </c>
      <c r="O78" s="270">
        <v>10.93</v>
      </c>
      <c r="P78" s="275"/>
      <c r="Q78" s="202">
        <v>371.24</v>
      </c>
      <c r="R78" s="199"/>
      <c r="S78" s="275"/>
      <c r="T78" s="275"/>
      <c r="U78" s="275"/>
      <c r="V78" s="278">
        <v>15.423</v>
      </c>
      <c r="W78" s="278">
        <v>15.164</v>
      </c>
      <c r="X78" s="278">
        <v>17.574999999999999</v>
      </c>
      <c r="Y78" s="278"/>
      <c r="Z78" s="278">
        <v>7.0149999999999997</v>
      </c>
      <c r="AA78" s="278">
        <v>10.632</v>
      </c>
      <c r="AB78" s="278">
        <v>12.933</v>
      </c>
      <c r="AC78" s="278">
        <v>6.1109999999999998</v>
      </c>
      <c r="AD78" s="279">
        <v>84.852999999999994</v>
      </c>
      <c r="AE78" s="278">
        <f t="shared" si="20"/>
        <v>84.852999999999994</v>
      </c>
      <c r="AF78" s="278">
        <f t="shared" si="21"/>
        <v>0</v>
      </c>
      <c r="AG78" s="278">
        <f t="shared" si="18"/>
        <v>0</v>
      </c>
      <c r="AH78" s="202">
        <f t="shared" si="15"/>
        <v>-0.99900000000000055</v>
      </c>
      <c r="AI78" s="202">
        <f t="shared" si="16"/>
        <v>58</v>
      </c>
      <c r="AJ78" s="275"/>
      <c r="AK78" s="275"/>
      <c r="AL78" s="275"/>
      <c r="AM78" s="275"/>
      <c r="AN78" s="275"/>
      <c r="AO78" s="275"/>
      <c r="AP78" s="275"/>
      <c r="AQ78" s="275"/>
      <c r="AR78" s="275"/>
      <c r="AS78" s="275"/>
      <c r="AT78" s="275"/>
      <c r="AU78" s="275"/>
      <c r="AV78" s="275"/>
      <c r="AW78" s="275"/>
      <c r="AX78" s="275"/>
      <c r="AY78" s="275"/>
      <c r="AZ78" s="275"/>
      <c r="BA78" s="275"/>
      <c r="BB78" s="275"/>
      <c r="BC78" s="275"/>
      <c r="BE78" s="274">
        <f t="shared" si="19"/>
        <v>2.7371935483870966</v>
      </c>
      <c r="BF78" s="280">
        <f t="shared" si="22"/>
        <v>110</v>
      </c>
      <c r="BG78" s="154" t="str">
        <f t="shared" si="9"/>
        <v/>
      </c>
      <c r="BH78" s="270">
        <f>AVERAGE(O66-O65,O54-O53,O42-O41,O30-O29,O18-O17)</f>
        <v>3.9999999999999855E-2</v>
      </c>
      <c r="BI78" s="270">
        <f t="shared" si="17"/>
        <v>4.9999999999998934E-2</v>
      </c>
    </row>
    <row r="79" spans="1:61">
      <c r="A79" s="266">
        <v>31444</v>
      </c>
      <c r="B79" s="266"/>
      <c r="C79" s="275"/>
      <c r="D79" s="276">
        <v>11.935666666666663</v>
      </c>
      <c r="E79" s="277">
        <v>3.6370357142857146</v>
      </c>
      <c r="F79" s="277">
        <f t="shared" si="11"/>
        <v>101.837</v>
      </c>
      <c r="G79" s="277">
        <v>69.471000000000004</v>
      </c>
      <c r="H79" s="281">
        <f t="shared" si="10"/>
        <v>0.68217838310240875</v>
      </c>
      <c r="I79" s="202">
        <v>1640.404</v>
      </c>
      <c r="J79" s="270">
        <v>47.23</v>
      </c>
      <c r="K79" s="275"/>
      <c r="L79" s="202">
        <v>390.68700000000001</v>
      </c>
      <c r="M79" s="275"/>
      <c r="N79" s="202">
        <v>762.37699999999995</v>
      </c>
      <c r="O79" s="270">
        <v>10.97</v>
      </c>
      <c r="P79" s="275"/>
      <c r="Q79" s="202">
        <v>341.976</v>
      </c>
      <c r="R79" s="199"/>
      <c r="S79" s="275"/>
      <c r="T79" s="275"/>
      <c r="U79" s="275"/>
      <c r="V79" s="278">
        <v>11.875</v>
      </c>
      <c r="W79" s="278">
        <v>12.35</v>
      </c>
      <c r="X79" s="278">
        <v>13.077</v>
      </c>
      <c r="Y79" s="278"/>
      <c r="Z79" s="278">
        <v>6.6879999999999997</v>
      </c>
      <c r="AA79" s="278">
        <v>8.3650000000000002</v>
      </c>
      <c r="AB79" s="278">
        <v>11.298999999999999</v>
      </c>
      <c r="AC79" s="278">
        <v>5.819</v>
      </c>
      <c r="AD79" s="279">
        <v>69.472999999999999</v>
      </c>
      <c r="AE79" s="278">
        <f t="shared" si="20"/>
        <v>69.472999999999999</v>
      </c>
      <c r="AF79" s="278">
        <f t="shared" si="21"/>
        <v>0</v>
      </c>
      <c r="AG79" s="278">
        <f t="shared" si="18"/>
        <v>1.9999999999953388E-3</v>
      </c>
      <c r="AH79" s="202">
        <f t="shared" si="15"/>
        <v>-1.6340000000000003</v>
      </c>
      <c r="AI79" s="202">
        <f t="shared" si="16"/>
        <v>58.199999999999996</v>
      </c>
      <c r="AJ79" s="275"/>
      <c r="AK79" s="275"/>
      <c r="AL79" s="275"/>
      <c r="AM79" s="275"/>
      <c r="AN79" s="275"/>
      <c r="AO79" s="275"/>
      <c r="AP79" s="275"/>
      <c r="AQ79" s="275"/>
      <c r="AR79" s="275"/>
      <c r="AS79" s="275"/>
      <c r="AT79" s="275"/>
      <c r="AU79" s="275"/>
      <c r="AV79" s="275"/>
      <c r="AW79" s="275"/>
      <c r="AX79" s="275"/>
      <c r="AY79" s="275"/>
      <c r="AZ79" s="275"/>
      <c r="BA79" s="275"/>
      <c r="BB79" s="275"/>
      <c r="BC79" s="275"/>
      <c r="BE79" s="274">
        <f>G79/28</f>
        <v>2.4811071428571432</v>
      </c>
      <c r="BF79" s="280">
        <f t="shared" si="22"/>
        <v>98.9</v>
      </c>
      <c r="BG79" s="154" t="str">
        <f t="shared" si="9"/>
        <v/>
      </c>
      <c r="BH79" s="270">
        <f t="shared" ref="BH79:BH142" si="23">AVERAGE(O67-O66,O55-O54,O43-O42,O31-O30,O19-O18)</f>
        <v>8.0000000000000071E-2</v>
      </c>
      <c r="BI79" s="270">
        <f t="shared" si="17"/>
        <v>4.0000000000000924E-2</v>
      </c>
    </row>
    <row r="80" spans="1:61">
      <c r="A80" s="266">
        <v>31472</v>
      </c>
      <c r="B80" s="266"/>
      <c r="C80" s="275"/>
      <c r="D80" s="276">
        <v>13.26366666666668</v>
      </c>
      <c r="E80" s="277">
        <v>3.6370322580645165</v>
      </c>
      <c r="F80" s="277">
        <f t="shared" si="11"/>
        <v>112.748</v>
      </c>
      <c r="G80" s="277">
        <v>78.363</v>
      </c>
      <c r="H80" s="281">
        <f t="shared" si="10"/>
        <v>0.69502784971795506</v>
      </c>
      <c r="I80" s="202">
        <v>1845.92</v>
      </c>
      <c r="J80" s="270">
        <v>47.11</v>
      </c>
      <c r="K80" s="275"/>
      <c r="L80" s="202">
        <v>323.44400000000002</v>
      </c>
      <c r="M80" s="275"/>
      <c r="N80" s="202">
        <v>861.73699999999997</v>
      </c>
      <c r="O80" s="270">
        <v>11</v>
      </c>
      <c r="P80" s="275"/>
      <c r="Q80" s="202">
        <v>392.90499999999997</v>
      </c>
      <c r="R80" s="199"/>
      <c r="S80" s="275"/>
      <c r="T80" s="275"/>
      <c r="U80" s="275"/>
      <c r="V80" s="278">
        <v>14.358000000000001</v>
      </c>
      <c r="W80" s="278">
        <v>14.285</v>
      </c>
      <c r="X80" s="278">
        <v>15.175000000000001</v>
      </c>
      <c r="Y80" s="278"/>
      <c r="Z80" s="278">
        <v>6.7530000000000001</v>
      </c>
      <c r="AA80" s="278">
        <v>8.9309999999999992</v>
      </c>
      <c r="AB80" s="278">
        <v>12.631</v>
      </c>
      <c r="AC80" s="278">
        <v>6.23</v>
      </c>
      <c r="AD80" s="279">
        <v>78.363</v>
      </c>
      <c r="AE80" s="278">
        <f t="shared" si="20"/>
        <v>78.363</v>
      </c>
      <c r="AF80" s="278">
        <f t="shared" si="21"/>
        <v>0</v>
      </c>
      <c r="AG80" s="278">
        <f t="shared" si="18"/>
        <v>0</v>
      </c>
      <c r="AH80" s="202">
        <f t="shared" si="15"/>
        <v>1.3320000000000007</v>
      </c>
      <c r="AI80" s="202">
        <f t="shared" si="16"/>
        <v>58.11</v>
      </c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275"/>
      <c r="AU80" s="275"/>
      <c r="AV80" s="275"/>
      <c r="AW80" s="275"/>
      <c r="AX80" s="275"/>
      <c r="AY80" s="275"/>
      <c r="AZ80" s="275"/>
      <c r="BA80" s="275"/>
      <c r="BB80" s="275"/>
      <c r="BC80" s="275"/>
      <c r="BE80" s="274">
        <f t="shared" si="19"/>
        <v>2.5278387096774195</v>
      </c>
      <c r="BF80" s="280">
        <f t="shared" si="22"/>
        <v>101.4</v>
      </c>
      <c r="BG80" s="154" t="str">
        <f t="shared" si="9"/>
        <v/>
      </c>
      <c r="BH80" s="270">
        <f t="shared" si="23"/>
        <v>5.9999999999999429E-2</v>
      </c>
      <c r="BI80" s="270">
        <f t="shared" si="17"/>
        <v>2.9999999999999361E-2</v>
      </c>
    </row>
    <row r="81" spans="1:61">
      <c r="A81" s="266">
        <v>31503</v>
      </c>
      <c r="B81" s="266"/>
      <c r="C81" s="275"/>
      <c r="D81" s="276">
        <v>11.988000000000014</v>
      </c>
      <c r="E81" s="277">
        <v>3.6212666666666666</v>
      </c>
      <c r="F81" s="277">
        <f t="shared" si="11"/>
        <v>108.63800000000001</v>
      </c>
      <c r="G81" s="277">
        <v>72.441999999999993</v>
      </c>
      <c r="H81" s="281">
        <f t="shared" si="10"/>
        <v>0.66682008137115911</v>
      </c>
      <c r="I81" s="202">
        <v>1722.0719999999999</v>
      </c>
      <c r="J81" s="270">
        <v>47.54</v>
      </c>
      <c r="K81" s="275"/>
      <c r="L81" s="202">
        <v>312.976</v>
      </c>
      <c r="M81" s="275"/>
      <c r="N81" s="202">
        <v>790.928</v>
      </c>
      <c r="O81" s="270">
        <v>10.92</v>
      </c>
      <c r="P81" s="275"/>
      <c r="Q81" s="202">
        <v>366.113</v>
      </c>
      <c r="R81" s="199"/>
      <c r="S81" s="275"/>
      <c r="T81" s="275"/>
      <c r="U81" s="275"/>
      <c r="V81" s="278">
        <v>12.445</v>
      </c>
      <c r="W81" s="278">
        <v>14.021000000000001</v>
      </c>
      <c r="X81" s="278">
        <v>14.962999999999999</v>
      </c>
      <c r="Y81" s="278"/>
      <c r="Z81" s="278">
        <v>6.1509999999999998</v>
      </c>
      <c r="AA81" s="278">
        <v>8.9290000000000003</v>
      </c>
      <c r="AB81" s="278">
        <v>10.499000000000001</v>
      </c>
      <c r="AC81" s="278">
        <v>5.4320000000000004</v>
      </c>
      <c r="AD81" s="279">
        <v>72.44</v>
      </c>
      <c r="AE81" s="278">
        <f t="shared" si="20"/>
        <v>72.44</v>
      </c>
      <c r="AF81" s="278">
        <f t="shared" si="21"/>
        <v>0</v>
      </c>
      <c r="AG81" s="278">
        <f t="shared" si="18"/>
        <v>-1.9999999999953388E-3</v>
      </c>
      <c r="AH81" s="202">
        <f t="shared" si="15"/>
        <v>-2.1319999999999997</v>
      </c>
      <c r="AI81" s="202">
        <f t="shared" si="16"/>
        <v>58.46</v>
      </c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275"/>
      <c r="AU81" s="275"/>
      <c r="AV81" s="275"/>
      <c r="AW81" s="275"/>
      <c r="AX81" s="275"/>
      <c r="AY81" s="275"/>
      <c r="AZ81" s="275"/>
      <c r="BA81" s="275"/>
      <c r="BB81" s="275"/>
      <c r="BC81" s="275"/>
      <c r="BE81" s="274">
        <f>G81/30</f>
        <v>2.414733333333333</v>
      </c>
      <c r="BF81" s="280">
        <f t="shared" si="22"/>
        <v>91.4</v>
      </c>
      <c r="BG81" s="154" t="str">
        <f t="shared" si="9"/>
        <v/>
      </c>
      <c r="BH81" s="270">
        <f t="shared" si="23"/>
        <v>4.000000000000057E-2</v>
      </c>
      <c r="BI81" s="270">
        <f t="shared" si="17"/>
        <v>-8.0000000000000071E-2</v>
      </c>
    </row>
    <row r="82" spans="1:61">
      <c r="A82" s="266">
        <v>31533</v>
      </c>
      <c r="B82" s="266"/>
      <c r="C82" s="275"/>
      <c r="D82" s="276">
        <v>11.242999999999995</v>
      </c>
      <c r="E82" s="277">
        <v>3.621258064516129</v>
      </c>
      <c r="F82" s="277">
        <f t="shared" si="11"/>
        <v>112.259</v>
      </c>
      <c r="G82" s="277">
        <v>75.027000000000001</v>
      </c>
      <c r="H82" s="281">
        <f t="shared" si="10"/>
        <v>0.66833839603060785</v>
      </c>
      <c r="I82" s="202">
        <v>1775.059</v>
      </c>
      <c r="J82" s="270">
        <v>47.32</v>
      </c>
      <c r="K82" s="275"/>
      <c r="L82" s="202">
        <v>297.91000000000003</v>
      </c>
      <c r="M82" s="275"/>
      <c r="N82" s="202">
        <v>830.10400000000004</v>
      </c>
      <c r="O82" s="270">
        <v>11.06</v>
      </c>
      <c r="P82" s="275"/>
      <c r="Q82" s="202">
        <v>498.34399999999999</v>
      </c>
      <c r="R82" s="199"/>
      <c r="S82" s="275"/>
      <c r="T82" s="275"/>
      <c r="U82" s="275"/>
      <c r="V82" s="278">
        <v>11.564</v>
      </c>
      <c r="W82" s="278">
        <v>14.794</v>
      </c>
      <c r="X82" s="278">
        <v>14.629</v>
      </c>
      <c r="Y82" s="278"/>
      <c r="Z82" s="278">
        <v>6.327</v>
      </c>
      <c r="AA82" s="278">
        <v>9.8789999999999996</v>
      </c>
      <c r="AB82" s="278">
        <v>11.768000000000001</v>
      </c>
      <c r="AC82" s="278">
        <v>6.0659999999999998</v>
      </c>
      <c r="AD82" s="279">
        <v>75.027000000000001</v>
      </c>
      <c r="AE82" s="278">
        <f t="shared" si="20"/>
        <v>75.027000000000001</v>
      </c>
      <c r="AF82" s="278">
        <f t="shared" si="21"/>
        <v>0</v>
      </c>
      <c r="AG82" s="278">
        <f t="shared" si="18"/>
        <v>0</v>
      </c>
      <c r="AH82" s="202">
        <f t="shared" si="15"/>
        <v>1.2690000000000001</v>
      </c>
      <c r="AI82" s="202">
        <f t="shared" si="16"/>
        <v>58.38</v>
      </c>
      <c r="AJ82" s="275"/>
      <c r="AK82" s="275"/>
      <c r="AL82" s="275"/>
      <c r="AM82" s="275"/>
      <c r="AN82" s="275"/>
      <c r="AO82" s="275"/>
      <c r="AP82" s="275"/>
      <c r="AQ82" s="275"/>
      <c r="AR82" s="275"/>
      <c r="AS82" s="275"/>
      <c r="AT82" s="275"/>
      <c r="AU82" s="275"/>
      <c r="AV82" s="275"/>
      <c r="AW82" s="275"/>
      <c r="AX82" s="275"/>
      <c r="AY82" s="275"/>
      <c r="AZ82" s="275"/>
      <c r="BA82" s="275"/>
      <c r="BB82" s="275"/>
      <c r="BC82" s="275"/>
      <c r="BE82" s="274">
        <f t="shared" si="19"/>
        <v>2.4202258064516129</v>
      </c>
      <c r="BF82" s="280">
        <f t="shared" si="22"/>
        <v>93.2</v>
      </c>
      <c r="BG82" s="154" t="str">
        <f t="shared" si="9"/>
        <v/>
      </c>
      <c r="BH82" s="270">
        <f t="shared" si="23"/>
        <v>-1.9999999999999928E-2</v>
      </c>
      <c r="BI82" s="270">
        <f t="shared" si="17"/>
        <v>0.14000000000000057</v>
      </c>
    </row>
    <row r="83" spans="1:61">
      <c r="A83" s="266">
        <v>31564</v>
      </c>
      <c r="B83" s="266"/>
      <c r="C83" s="275"/>
      <c r="D83" s="276">
        <v>12.924666666666653</v>
      </c>
      <c r="E83" s="277">
        <v>3.6212666666666666</v>
      </c>
      <c r="F83" s="277">
        <f t="shared" si="11"/>
        <v>108.63800000000001</v>
      </c>
      <c r="G83" s="277">
        <v>66.662000000000006</v>
      </c>
      <c r="H83" s="281">
        <f t="shared" si="10"/>
        <v>0.61361586185312689</v>
      </c>
      <c r="I83" s="202">
        <v>1570.9369999999999</v>
      </c>
      <c r="J83" s="270">
        <v>47.13</v>
      </c>
      <c r="K83" s="275"/>
      <c r="L83" s="202">
        <v>250.44900000000001</v>
      </c>
      <c r="M83" s="275"/>
      <c r="N83" s="202">
        <v>755.11699999999996</v>
      </c>
      <c r="O83" s="270">
        <v>11.33</v>
      </c>
      <c r="P83" s="275"/>
      <c r="Q83" s="202">
        <v>422.68099999999998</v>
      </c>
      <c r="R83" s="199"/>
      <c r="S83" s="275"/>
      <c r="T83" s="275"/>
      <c r="U83" s="275"/>
      <c r="V83" s="278">
        <v>10.83</v>
      </c>
      <c r="W83" s="278">
        <v>11.973000000000001</v>
      </c>
      <c r="X83" s="278">
        <v>12.500999999999999</v>
      </c>
      <c r="Y83" s="278"/>
      <c r="Z83" s="278">
        <v>4.4749999999999996</v>
      </c>
      <c r="AA83" s="278">
        <v>9.4329999999999998</v>
      </c>
      <c r="AB83" s="278">
        <v>11.382999999999999</v>
      </c>
      <c r="AC83" s="278">
        <v>5.968</v>
      </c>
      <c r="AD83" s="279">
        <v>66.563000000000002</v>
      </c>
      <c r="AE83" s="278">
        <f t="shared" si="20"/>
        <v>66.563000000000002</v>
      </c>
      <c r="AF83" s="278">
        <f t="shared" si="21"/>
        <v>0</v>
      </c>
      <c r="AG83" s="278">
        <f t="shared" si="18"/>
        <v>-9.9000000000003752E-2</v>
      </c>
      <c r="AH83" s="202">
        <f t="shared" si="15"/>
        <v>-0.38500000000000156</v>
      </c>
      <c r="AI83" s="202">
        <f t="shared" si="16"/>
        <v>58.46</v>
      </c>
      <c r="AJ83" s="275"/>
      <c r="AK83" s="275"/>
      <c r="AL83" s="275"/>
      <c r="AM83" s="275"/>
      <c r="AN83" s="275"/>
      <c r="AO83" s="275"/>
      <c r="AP83" s="275"/>
      <c r="AQ83" s="275"/>
      <c r="AR83" s="275"/>
      <c r="AS83" s="275"/>
      <c r="AT83" s="275"/>
      <c r="AU83" s="275"/>
      <c r="AV83" s="275"/>
      <c r="AW83" s="275"/>
      <c r="AX83" s="275"/>
      <c r="AY83" s="275"/>
      <c r="AZ83" s="275"/>
      <c r="BA83" s="275"/>
      <c r="BB83" s="275"/>
      <c r="BC83" s="275"/>
      <c r="BE83" s="274">
        <f>G83/30</f>
        <v>2.2220666666666671</v>
      </c>
      <c r="BF83" s="280">
        <f t="shared" si="22"/>
        <v>81.900000000000006</v>
      </c>
      <c r="BG83" s="154" t="str">
        <f t="shared" si="9"/>
        <v/>
      </c>
      <c r="BH83" s="270">
        <f t="shared" si="23"/>
        <v>1.9999999999999928E-2</v>
      </c>
      <c r="BI83" s="270">
        <f t="shared" si="17"/>
        <v>0.26999999999999957</v>
      </c>
    </row>
    <row r="84" spans="1:61">
      <c r="A84" s="266">
        <v>31594</v>
      </c>
      <c r="B84" s="266"/>
      <c r="C84" s="275"/>
      <c r="D84" s="276">
        <v>10.280666666666662</v>
      </c>
      <c r="E84" s="277">
        <v>3.637064516129032</v>
      </c>
      <c r="F84" s="277">
        <f t="shared" si="11"/>
        <v>112.749</v>
      </c>
      <c r="G84" s="277">
        <v>72.816000000000003</v>
      </c>
      <c r="H84" s="281">
        <f t="shared" si="10"/>
        <v>0.645823909746428</v>
      </c>
      <c r="I84" s="202">
        <v>1720.8209999999999</v>
      </c>
      <c r="J84" s="270">
        <v>47.26</v>
      </c>
      <c r="K84" s="275"/>
      <c r="L84" s="202">
        <v>297.64100000000002</v>
      </c>
      <c r="M84" s="275"/>
      <c r="N84" s="202">
        <v>787.79700000000003</v>
      </c>
      <c r="O84" s="270">
        <v>10.81</v>
      </c>
      <c r="P84" s="275"/>
      <c r="Q84" s="202">
        <v>455.93599999999998</v>
      </c>
      <c r="R84" s="199"/>
      <c r="S84" s="275"/>
      <c r="T84" s="275"/>
      <c r="U84" s="275"/>
      <c r="V84" s="278">
        <v>13.362</v>
      </c>
      <c r="W84" s="278">
        <v>12.329000000000001</v>
      </c>
      <c r="X84" s="278">
        <v>14.032</v>
      </c>
      <c r="Y84" s="278"/>
      <c r="Z84" s="278">
        <v>5.2619999999999996</v>
      </c>
      <c r="AA84" s="278">
        <v>8.702</v>
      </c>
      <c r="AB84" s="278">
        <v>13.227</v>
      </c>
      <c r="AC84" s="278">
        <v>5.9029999999999996</v>
      </c>
      <c r="AD84" s="279">
        <v>72.816999999999993</v>
      </c>
      <c r="AE84" s="278">
        <f t="shared" si="20"/>
        <v>72.817000000000007</v>
      </c>
      <c r="AF84" s="278">
        <f t="shared" si="21"/>
        <v>0</v>
      </c>
      <c r="AG84" s="278">
        <f t="shared" si="18"/>
        <v>1.0000000000047748E-3</v>
      </c>
      <c r="AH84" s="202">
        <f t="shared" si="15"/>
        <v>1.8440000000000012</v>
      </c>
      <c r="AI84" s="202">
        <f t="shared" si="16"/>
        <v>58.07</v>
      </c>
      <c r="AJ84" s="275"/>
      <c r="AK84" s="275"/>
      <c r="AL84" s="275"/>
      <c r="AM84" s="275"/>
      <c r="AN84" s="275"/>
      <c r="AO84" s="275"/>
      <c r="AP84" s="275"/>
      <c r="AQ84" s="275"/>
      <c r="AR84" s="275"/>
      <c r="AS84" s="275"/>
      <c r="AT84" s="275"/>
      <c r="AU84" s="275"/>
      <c r="AV84" s="275"/>
      <c r="AW84" s="275"/>
      <c r="AX84" s="275"/>
      <c r="AY84" s="275"/>
      <c r="AZ84" s="275"/>
      <c r="BA84" s="275"/>
      <c r="BB84" s="275"/>
      <c r="BC84" s="275"/>
      <c r="BE84" s="274">
        <f t="shared" si="19"/>
        <v>2.3489032258064517</v>
      </c>
      <c r="BF84" s="280">
        <f t="shared" si="22"/>
        <v>84.1</v>
      </c>
      <c r="BG84" s="154" t="str">
        <f t="shared" si="9"/>
        <v/>
      </c>
      <c r="BH84" s="270">
        <f t="shared" si="23"/>
        <v>0.1</v>
      </c>
      <c r="BI84" s="270">
        <f t="shared" si="17"/>
        <v>-0.51999999999999957</v>
      </c>
    </row>
    <row r="85" spans="1:61">
      <c r="A85" s="266">
        <v>31625</v>
      </c>
      <c r="B85" s="266"/>
      <c r="C85" s="275"/>
      <c r="D85" s="276">
        <v>8.6173333333333346</v>
      </c>
      <c r="E85" s="277">
        <v>3.637064516129032</v>
      </c>
      <c r="F85" s="277">
        <f t="shared" si="11"/>
        <v>112.749</v>
      </c>
      <c r="G85" s="277">
        <v>69.816000000000003</v>
      </c>
      <c r="H85" s="281">
        <f t="shared" si="10"/>
        <v>0.61921613495463379</v>
      </c>
      <c r="I85" s="202">
        <v>1658.5309999999999</v>
      </c>
      <c r="J85" s="270">
        <v>47.51</v>
      </c>
      <c r="K85" s="275"/>
      <c r="L85" s="202">
        <v>207.66800000000001</v>
      </c>
      <c r="M85" s="275"/>
      <c r="N85" s="202">
        <v>767.61099999999999</v>
      </c>
      <c r="O85" s="270">
        <v>10.99</v>
      </c>
      <c r="P85" s="275"/>
      <c r="Q85" s="202">
        <v>383.87299999999999</v>
      </c>
      <c r="R85" s="199"/>
      <c r="S85" s="275"/>
      <c r="T85" s="275"/>
      <c r="U85" s="275"/>
      <c r="V85" s="278">
        <v>10.743</v>
      </c>
      <c r="W85" s="278">
        <v>13.675000000000001</v>
      </c>
      <c r="X85" s="278">
        <v>13.002000000000001</v>
      </c>
      <c r="Y85" s="278"/>
      <c r="Z85" s="278">
        <v>5.3029999999999999</v>
      </c>
      <c r="AA85" s="278">
        <v>8.7200000000000006</v>
      </c>
      <c r="AB85" s="278">
        <v>12.093999999999999</v>
      </c>
      <c r="AC85" s="278">
        <v>6.3390000000000004</v>
      </c>
      <c r="AD85" s="279">
        <v>69.876000000000005</v>
      </c>
      <c r="AE85" s="278">
        <f t="shared" si="20"/>
        <v>69.876000000000005</v>
      </c>
      <c r="AF85" s="278">
        <f t="shared" si="21"/>
        <v>0</v>
      </c>
      <c r="AG85" s="278">
        <f t="shared" si="18"/>
        <v>6.0000000000002274E-2</v>
      </c>
      <c r="AH85" s="202">
        <f t="shared" si="15"/>
        <v>-1.1330000000000009</v>
      </c>
      <c r="AI85" s="202">
        <f t="shared" si="16"/>
        <v>58.5</v>
      </c>
      <c r="AJ85" s="275"/>
      <c r="AK85" s="275"/>
      <c r="AL85" s="275"/>
      <c r="AM85" s="275"/>
      <c r="AN85" s="275"/>
      <c r="AO85" s="275"/>
      <c r="AP85" s="275"/>
      <c r="AQ85" s="275"/>
      <c r="AR85" s="275"/>
      <c r="AS85" s="275"/>
      <c r="AT85" s="275"/>
      <c r="AU85" s="275"/>
      <c r="AV85" s="275"/>
      <c r="AW85" s="275"/>
      <c r="AX85" s="275"/>
      <c r="AY85" s="275"/>
      <c r="AZ85" s="275"/>
      <c r="BA85" s="275"/>
      <c r="BB85" s="275"/>
      <c r="BC85" s="275"/>
      <c r="BE85" s="274">
        <f t="shared" si="19"/>
        <v>2.2521290322580647</v>
      </c>
      <c r="BF85" s="280">
        <f>MAX(G73,G61,G49,G37,G25,G13)</f>
        <v>85</v>
      </c>
      <c r="BG85" s="154" t="str">
        <f t="shared" si="9"/>
        <v/>
      </c>
      <c r="BH85" s="270">
        <f t="shared" si="23"/>
        <v>4.0000000000000216E-2</v>
      </c>
      <c r="BI85" s="270">
        <f t="shared" si="17"/>
        <v>0.17999999999999972</v>
      </c>
    </row>
    <row r="86" spans="1:61">
      <c r="A86" s="266">
        <v>31656</v>
      </c>
      <c r="B86" s="266"/>
      <c r="C86" s="275"/>
      <c r="D86" s="276">
        <v>10.115333333333339</v>
      </c>
      <c r="E86" s="277">
        <v>3.6370666666666667</v>
      </c>
      <c r="F86" s="277">
        <f t="shared" si="11"/>
        <v>109.11199999999999</v>
      </c>
      <c r="G86" s="277">
        <v>69.298000000000002</v>
      </c>
      <c r="H86" s="281">
        <f t="shared" si="10"/>
        <v>0.63510887895006973</v>
      </c>
      <c r="I86" s="202">
        <v>1637.9480000000001</v>
      </c>
      <c r="J86" s="270">
        <v>47.27</v>
      </c>
      <c r="K86" s="275"/>
      <c r="L86" s="202">
        <v>222.68799999999999</v>
      </c>
      <c r="M86" s="275"/>
      <c r="N86" s="202">
        <v>775.98900000000003</v>
      </c>
      <c r="O86" s="270">
        <v>11.19</v>
      </c>
      <c r="P86" s="275"/>
      <c r="Q86" s="202">
        <v>303.11799999999999</v>
      </c>
      <c r="R86" s="199"/>
      <c r="S86" s="275"/>
      <c r="T86" s="275"/>
      <c r="U86" s="275"/>
      <c r="V86" s="278">
        <v>13.121</v>
      </c>
      <c r="W86" s="278">
        <v>11.603999999999999</v>
      </c>
      <c r="X86" s="278">
        <v>12.071999999999999</v>
      </c>
      <c r="Y86" s="278"/>
      <c r="Z86" s="278">
        <v>4.4139999999999997</v>
      </c>
      <c r="AA86" s="278">
        <v>8.7449999999999992</v>
      </c>
      <c r="AB86" s="278">
        <v>13.129</v>
      </c>
      <c r="AC86" s="278">
        <v>6.2140000000000004</v>
      </c>
      <c r="AD86" s="279">
        <v>69.299000000000007</v>
      </c>
      <c r="AE86" s="278">
        <f t="shared" si="20"/>
        <v>69.298999999999992</v>
      </c>
      <c r="AF86" s="278">
        <f t="shared" si="21"/>
        <v>0</v>
      </c>
      <c r="AG86" s="278">
        <f t="shared" si="18"/>
        <v>9.9999999999056399E-4</v>
      </c>
      <c r="AH86" s="202">
        <f t="shared" si="15"/>
        <v>1.0350000000000001</v>
      </c>
      <c r="AI86" s="202">
        <f t="shared" si="16"/>
        <v>58.46</v>
      </c>
      <c r="AJ86" s="275"/>
      <c r="AK86" s="275"/>
      <c r="AL86" s="275"/>
      <c r="AM86" s="275"/>
      <c r="AN86" s="275"/>
      <c r="AO86" s="275"/>
      <c r="AP86" s="275"/>
      <c r="AQ86" s="275"/>
      <c r="AR86" s="275"/>
      <c r="AS86" s="275"/>
      <c r="AT86" s="275"/>
      <c r="AU86" s="275"/>
      <c r="AV86" s="275"/>
      <c r="AW86" s="275"/>
      <c r="AX86" s="275"/>
      <c r="AY86" s="275"/>
      <c r="AZ86" s="275"/>
      <c r="BA86" s="275"/>
      <c r="BB86" s="275"/>
      <c r="BC86" s="275"/>
      <c r="BE86" s="274">
        <f>G86/30</f>
        <v>2.3099333333333334</v>
      </c>
      <c r="BF86" s="280">
        <f t="shared" ref="BF86:BF96" si="24">MAX(G74,G62,G50,G38,G26,G14,G2)</f>
        <v>86.1</v>
      </c>
      <c r="BG86" s="154" t="str">
        <f t="shared" si="9"/>
        <v/>
      </c>
      <c r="BH86" s="270">
        <f t="shared" si="23"/>
        <v>-4.000000000000057E-2</v>
      </c>
      <c r="BI86" s="270">
        <f t="shared" si="17"/>
        <v>0.19999999999999929</v>
      </c>
    </row>
    <row r="87" spans="1:61">
      <c r="A87" s="266">
        <v>31686</v>
      </c>
      <c r="B87" s="266"/>
      <c r="C87" s="275"/>
      <c r="D87" s="276">
        <v>14.333333333333329</v>
      </c>
      <c r="E87" s="277">
        <v>3.600709677419355</v>
      </c>
      <c r="F87" s="277">
        <f t="shared" si="11"/>
        <v>111.622</v>
      </c>
      <c r="G87" s="277">
        <v>92.69</v>
      </c>
      <c r="H87" s="281">
        <f t="shared" si="10"/>
        <v>0.83039185823583161</v>
      </c>
      <c r="I87" s="202">
        <v>2163.98</v>
      </c>
      <c r="J87" s="270">
        <v>46.69</v>
      </c>
      <c r="K87" s="275"/>
      <c r="L87" s="202">
        <v>433.42099999999999</v>
      </c>
      <c r="M87" s="275"/>
      <c r="N87" s="202">
        <v>1009.196</v>
      </c>
      <c r="O87" s="270">
        <v>10.89</v>
      </c>
      <c r="P87" s="275"/>
      <c r="Q87" s="202">
        <v>367.661</v>
      </c>
      <c r="R87" s="199"/>
      <c r="S87" s="275"/>
      <c r="T87" s="275"/>
      <c r="U87" s="275"/>
      <c r="V87" s="278">
        <v>17.018000000000001</v>
      </c>
      <c r="W87" s="278">
        <v>16.024000000000001</v>
      </c>
      <c r="X87" s="278">
        <v>17.527000000000001</v>
      </c>
      <c r="Y87" s="278"/>
      <c r="Z87" s="278">
        <v>8.8759999999999994</v>
      </c>
      <c r="AA87" s="278">
        <v>9.8979999999999997</v>
      </c>
      <c r="AB87" s="278">
        <v>16.504999999999999</v>
      </c>
      <c r="AC87" s="278">
        <v>6.8419999999999996</v>
      </c>
      <c r="AD87" s="279">
        <v>92.69</v>
      </c>
      <c r="AE87" s="278">
        <f t="shared" si="20"/>
        <v>92.69</v>
      </c>
      <c r="AF87" s="278">
        <f t="shared" si="21"/>
        <v>0</v>
      </c>
      <c r="AG87" s="278">
        <f t="shared" si="18"/>
        <v>0</v>
      </c>
      <c r="AH87" s="202">
        <f t="shared" si="15"/>
        <v>3.3759999999999994</v>
      </c>
      <c r="AI87" s="202">
        <f t="shared" si="16"/>
        <v>57.58</v>
      </c>
      <c r="AJ87" s="275"/>
      <c r="AK87" s="275"/>
      <c r="AL87" s="275"/>
      <c r="AM87" s="275"/>
      <c r="AN87" s="275"/>
      <c r="AO87" s="275"/>
      <c r="AP87" s="275"/>
      <c r="AQ87" s="275"/>
      <c r="AR87" s="275"/>
      <c r="AS87" s="275"/>
      <c r="AT87" s="275"/>
      <c r="AU87" s="275"/>
      <c r="AV87" s="275"/>
      <c r="AW87" s="275"/>
      <c r="AX87" s="275"/>
      <c r="AY87" s="275"/>
      <c r="AZ87" s="275"/>
      <c r="BA87" s="275"/>
      <c r="BB87" s="275"/>
      <c r="BC87" s="275"/>
      <c r="BE87" s="274">
        <f t="shared" si="19"/>
        <v>2.9899999999999998</v>
      </c>
      <c r="BF87" s="280">
        <f t="shared" si="24"/>
        <v>104.3</v>
      </c>
      <c r="BG87" s="154" t="str">
        <f t="shared" si="9"/>
        <v/>
      </c>
      <c r="BH87" s="270">
        <f t="shared" si="23"/>
        <v>-0.13999999999999985</v>
      </c>
      <c r="BI87" s="270">
        <f t="shared" si="17"/>
        <v>-0.29999999999999893</v>
      </c>
    </row>
    <row r="88" spans="1:61">
      <c r="A88" s="266">
        <v>31717</v>
      </c>
      <c r="B88" s="266"/>
      <c r="C88" s="275"/>
      <c r="D88" s="276">
        <v>14.324000000000012</v>
      </c>
      <c r="E88" s="277">
        <v>3.6007000000000002</v>
      </c>
      <c r="F88" s="277">
        <f t="shared" si="11"/>
        <v>108.021</v>
      </c>
      <c r="G88" s="277">
        <v>95.055999999999997</v>
      </c>
      <c r="H88" s="281">
        <f t="shared" si="10"/>
        <v>0.87997704150118961</v>
      </c>
      <c r="I88" s="202">
        <v>2226.2240000000002</v>
      </c>
      <c r="J88" s="270">
        <v>46.84</v>
      </c>
      <c r="K88" s="275"/>
      <c r="L88" s="202">
        <v>523.53</v>
      </c>
      <c r="M88" s="275"/>
      <c r="N88" s="202">
        <v>1019.74</v>
      </c>
      <c r="O88" s="270">
        <v>10.72</v>
      </c>
      <c r="P88" s="275"/>
      <c r="Q88" s="202">
        <v>537.16899999999998</v>
      </c>
      <c r="R88" s="199"/>
      <c r="S88" s="275"/>
      <c r="T88" s="275"/>
      <c r="U88" s="275"/>
      <c r="V88" s="278">
        <v>17.079000000000001</v>
      </c>
      <c r="W88" s="278">
        <v>15.683</v>
      </c>
      <c r="X88" s="278">
        <v>17.552</v>
      </c>
      <c r="Y88" s="278"/>
      <c r="Z88" s="278">
        <v>9.9700000000000006</v>
      </c>
      <c r="AA88" s="278">
        <v>11.738</v>
      </c>
      <c r="AB88" s="278">
        <v>16.329999999999998</v>
      </c>
      <c r="AC88" s="278">
        <v>6.7030000000000003</v>
      </c>
      <c r="AD88" s="279">
        <v>95.055000000000007</v>
      </c>
      <c r="AE88" s="278">
        <f t="shared" si="20"/>
        <v>95.054999999999993</v>
      </c>
      <c r="AF88" s="278">
        <f t="shared" si="21"/>
        <v>0</v>
      </c>
      <c r="AG88" s="278">
        <f t="shared" si="18"/>
        <v>-1.0000000000047748E-3</v>
      </c>
      <c r="AH88" s="202">
        <f t="shared" si="15"/>
        <v>-0.17500000000000071</v>
      </c>
      <c r="AI88" s="202">
        <f t="shared" si="16"/>
        <v>57.56</v>
      </c>
      <c r="AJ88" s="275"/>
      <c r="AK88" s="275"/>
      <c r="AL88" s="275"/>
      <c r="AM88" s="275"/>
      <c r="AN88" s="275"/>
      <c r="AO88" s="275"/>
      <c r="AP88" s="275"/>
      <c r="AQ88" s="275"/>
      <c r="AR88" s="275"/>
      <c r="AS88" s="275"/>
      <c r="AT88" s="275"/>
      <c r="AU88" s="275"/>
      <c r="AV88" s="275"/>
      <c r="AW88" s="275"/>
      <c r="AX88" s="275"/>
      <c r="AY88" s="275"/>
      <c r="AZ88" s="275"/>
      <c r="BA88" s="275"/>
      <c r="BB88" s="275"/>
      <c r="BC88" s="275"/>
      <c r="BE88" s="274">
        <f>G88/30</f>
        <v>3.1685333333333334</v>
      </c>
      <c r="BF88" s="280">
        <f t="shared" si="24"/>
        <v>107.6</v>
      </c>
      <c r="BG88" s="154" t="str">
        <f t="shared" si="9"/>
        <v/>
      </c>
      <c r="BH88" s="270">
        <f t="shared" si="23"/>
        <v>-0.17999999999999972</v>
      </c>
      <c r="BI88" s="270">
        <f t="shared" si="17"/>
        <v>-0.16999999999999993</v>
      </c>
    </row>
    <row r="89" spans="1:61">
      <c r="A89" s="266">
        <v>31747</v>
      </c>
      <c r="B89" s="266"/>
      <c r="C89" s="275"/>
      <c r="D89" s="276">
        <v>14.518333333333345</v>
      </c>
      <c r="E89" s="277">
        <v>3.600709677419355</v>
      </c>
      <c r="F89" s="277">
        <f t="shared" si="11"/>
        <v>111.622</v>
      </c>
      <c r="G89" s="277">
        <v>93.114999999999995</v>
      </c>
      <c r="H89" s="281">
        <f t="shared" si="10"/>
        <v>0.83419935138234391</v>
      </c>
      <c r="I89" s="202">
        <v>2173.6390000000001</v>
      </c>
      <c r="J89" s="270">
        <v>46.69</v>
      </c>
      <c r="K89" s="275"/>
      <c r="L89" s="202">
        <v>468.10199999999998</v>
      </c>
      <c r="M89" s="275"/>
      <c r="N89" s="202">
        <v>997.60400000000004</v>
      </c>
      <c r="O89" s="270">
        <v>10.71</v>
      </c>
      <c r="P89" s="275"/>
      <c r="Q89" s="202">
        <v>605.65800000000002</v>
      </c>
      <c r="R89" s="199"/>
      <c r="S89" s="275"/>
      <c r="T89" s="275"/>
      <c r="U89" s="275"/>
      <c r="V89" s="278">
        <v>16.157</v>
      </c>
      <c r="W89" s="278">
        <v>15.395</v>
      </c>
      <c r="X89" s="278">
        <v>16.994</v>
      </c>
      <c r="Y89" s="278"/>
      <c r="Z89" s="278">
        <v>9.8810000000000002</v>
      </c>
      <c r="AA89" s="278">
        <v>12.2</v>
      </c>
      <c r="AB89" s="278">
        <v>15.704000000000001</v>
      </c>
      <c r="AC89" s="278">
        <v>6.7839999999999998</v>
      </c>
      <c r="AD89" s="279">
        <v>93.114999999999995</v>
      </c>
      <c r="AE89" s="278">
        <f t="shared" si="20"/>
        <v>93.114999999999995</v>
      </c>
      <c r="AF89" s="278">
        <f t="shared" si="21"/>
        <v>0</v>
      </c>
      <c r="AG89" s="278">
        <f t="shared" si="18"/>
        <v>0</v>
      </c>
      <c r="AH89" s="202">
        <f t="shared" si="15"/>
        <v>-0.62599999999999767</v>
      </c>
      <c r="AI89" s="202">
        <f t="shared" si="16"/>
        <v>57.4</v>
      </c>
      <c r="AJ89" s="275"/>
      <c r="AK89" s="275"/>
      <c r="AL89" s="275"/>
      <c r="AM89" s="275"/>
      <c r="AN89" s="275"/>
      <c r="AO89" s="275"/>
      <c r="AP89" s="275"/>
      <c r="AQ89" s="275"/>
      <c r="AR89" s="275"/>
      <c r="AS89" s="275"/>
      <c r="AT89" s="275"/>
      <c r="AU89" s="275"/>
      <c r="AV89" s="275"/>
      <c r="AW89" s="275"/>
      <c r="AX89" s="275"/>
      <c r="AY89" s="275"/>
      <c r="AZ89" s="275"/>
      <c r="BA89" s="275"/>
      <c r="BB89" s="275"/>
      <c r="BC89" s="275"/>
      <c r="BE89" s="274">
        <f t="shared" si="19"/>
        <v>3.0037096774193546</v>
      </c>
      <c r="BF89" s="280">
        <f t="shared" si="24"/>
        <v>111.6</v>
      </c>
      <c r="BG89" s="154" t="str">
        <f t="shared" si="9"/>
        <v/>
      </c>
      <c r="BH89" s="270">
        <f t="shared" si="23"/>
        <v>-3.9999999999999151E-3</v>
      </c>
      <c r="BI89" s="270">
        <f t="shared" si="17"/>
        <v>-9.9999999999997868E-3</v>
      </c>
    </row>
    <row r="90" spans="1:61">
      <c r="A90" s="266">
        <v>31778</v>
      </c>
      <c r="B90" s="266"/>
      <c r="C90" s="275"/>
      <c r="D90" s="276">
        <v>14.397333333333336</v>
      </c>
      <c r="E90" s="277">
        <v>3.6962580645161291</v>
      </c>
      <c r="F90" s="277">
        <f t="shared" si="11"/>
        <v>114.584</v>
      </c>
      <c r="G90" s="277">
        <v>95.866</v>
      </c>
      <c r="H90" s="281">
        <f t="shared" si="10"/>
        <v>0.83664385952663545</v>
      </c>
      <c r="I90" s="202">
        <v>2253.549</v>
      </c>
      <c r="J90" s="270">
        <v>47.01</v>
      </c>
      <c r="K90" s="275"/>
      <c r="L90" s="202">
        <v>496.49599999999998</v>
      </c>
      <c r="M90" s="275"/>
      <c r="N90" s="202">
        <v>1033.348</v>
      </c>
      <c r="O90" s="270">
        <v>10.78</v>
      </c>
      <c r="P90" s="275"/>
      <c r="Q90" s="202">
        <v>747.851</v>
      </c>
      <c r="R90" s="199"/>
      <c r="S90" s="275"/>
      <c r="T90" s="275"/>
      <c r="U90" s="275"/>
      <c r="V90" s="278">
        <v>16.027999999999999</v>
      </c>
      <c r="W90" s="278">
        <v>16.533000000000001</v>
      </c>
      <c r="X90" s="278">
        <v>17.501999999999999</v>
      </c>
      <c r="Y90" s="278"/>
      <c r="Z90" s="278">
        <v>10.541</v>
      </c>
      <c r="AA90" s="278">
        <v>11.82</v>
      </c>
      <c r="AB90" s="278">
        <v>15.516999999999999</v>
      </c>
      <c r="AC90" s="278">
        <v>7.9260000000000002</v>
      </c>
      <c r="AD90" s="279">
        <v>95.867000000000004</v>
      </c>
      <c r="AE90" s="278">
        <f t="shared" si="20"/>
        <v>95.867000000000004</v>
      </c>
      <c r="AF90" s="278">
        <f t="shared" si="21"/>
        <v>0</v>
      </c>
      <c r="AG90" s="278">
        <f t="shared" si="18"/>
        <v>1.0000000000047748E-3</v>
      </c>
      <c r="AH90" s="202">
        <f t="shared" si="15"/>
        <v>-0.18700000000000117</v>
      </c>
      <c r="AI90" s="202">
        <f t="shared" si="16"/>
        <v>57.79</v>
      </c>
      <c r="AJ90" s="275"/>
      <c r="AK90" s="275"/>
      <c r="AL90" s="275"/>
      <c r="AM90" s="275"/>
      <c r="AN90" s="275"/>
      <c r="AO90" s="275"/>
      <c r="AP90" s="275"/>
      <c r="AQ90" s="275"/>
      <c r="AR90" s="275"/>
      <c r="AS90" s="275"/>
      <c r="AT90" s="275"/>
      <c r="AU90" s="275"/>
      <c r="AV90" s="275"/>
      <c r="AW90" s="275"/>
      <c r="AX90" s="275"/>
      <c r="AY90" s="275"/>
      <c r="AZ90" s="275"/>
      <c r="BA90" s="275"/>
      <c r="BB90" s="275"/>
      <c r="BC90" s="275"/>
      <c r="BE90" s="274">
        <f t="shared" si="19"/>
        <v>3.092451612903226</v>
      </c>
      <c r="BF90" s="280">
        <f t="shared" si="24"/>
        <v>110</v>
      </c>
      <c r="BG90" s="154" t="str">
        <f t="shared" ref="BG90:BG153" si="25">IF(G90&gt;BF90,"RECORD","")</f>
        <v/>
      </c>
      <c r="BH90" s="270">
        <f t="shared" si="23"/>
        <v>4.9999999999999642E-2</v>
      </c>
      <c r="BI90" s="270">
        <f t="shared" si="17"/>
        <v>6.9999999999998508E-2</v>
      </c>
    </row>
    <row r="91" spans="1:61">
      <c r="A91" s="266">
        <v>31809</v>
      </c>
      <c r="B91" s="266"/>
      <c r="C91" s="275"/>
      <c r="D91" s="276">
        <v>13.936999999999998</v>
      </c>
      <c r="E91" s="277">
        <v>3.6962857142857142</v>
      </c>
      <c r="F91" s="277">
        <f t="shared" si="11"/>
        <v>103.496</v>
      </c>
      <c r="G91" s="277">
        <v>88.332999999999998</v>
      </c>
      <c r="H91" s="281">
        <f t="shared" ref="H91:H154" si="26">G91/F91</f>
        <v>0.85349192239313598</v>
      </c>
      <c r="I91" s="202">
        <v>2081.7600000000002</v>
      </c>
      <c r="J91" s="270">
        <v>47.13</v>
      </c>
      <c r="K91" s="275"/>
      <c r="L91" s="202">
        <v>587.95899999999995</v>
      </c>
      <c r="M91" s="275"/>
      <c r="N91" s="202">
        <v>960.09400000000005</v>
      </c>
      <c r="O91" s="270">
        <v>10.87</v>
      </c>
      <c r="P91" s="275"/>
      <c r="Q91" s="202">
        <v>864.13800000000003</v>
      </c>
      <c r="R91" s="199"/>
      <c r="S91" s="275"/>
      <c r="T91" s="275"/>
      <c r="U91" s="275"/>
      <c r="V91" s="278">
        <v>15.414</v>
      </c>
      <c r="W91" s="278">
        <v>14.738</v>
      </c>
      <c r="X91" s="278">
        <v>16.43</v>
      </c>
      <c r="Y91" s="278"/>
      <c r="Z91" s="278">
        <v>9.1159999999999997</v>
      </c>
      <c r="AA91" s="278">
        <v>10.744</v>
      </c>
      <c r="AB91" s="278">
        <v>14.85</v>
      </c>
      <c r="AC91" s="278">
        <v>7.0410000000000004</v>
      </c>
      <c r="AD91" s="279">
        <v>88.332999999999998</v>
      </c>
      <c r="AE91" s="278">
        <f t="shared" si="20"/>
        <v>88.332999999999998</v>
      </c>
      <c r="AF91" s="278">
        <f t="shared" si="21"/>
        <v>0</v>
      </c>
      <c r="AG91" s="278">
        <f t="shared" si="18"/>
        <v>0</v>
      </c>
      <c r="AH91" s="202">
        <f t="shared" si="15"/>
        <v>-0.66699999999999982</v>
      </c>
      <c r="AI91" s="202">
        <f t="shared" si="16"/>
        <v>58</v>
      </c>
      <c r="AJ91" s="275"/>
      <c r="AK91" s="275"/>
      <c r="AL91" s="275"/>
      <c r="AM91" s="275"/>
      <c r="AN91" s="275"/>
      <c r="AO91" s="275"/>
      <c r="AP91" s="275"/>
      <c r="AQ91" s="275"/>
      <c r="AR91" s="275"/>
      <c r="AS91" s="275"/>
      <c r="AT91" s="275"/>
      <c r="AU91" s="275"/>
      <c r="AV91" s="275"/>
      <c r="AW91" s="275"/>
      <c r="AX91" s="275"/>
      <c r="AY91" s="275"/>
      <c r="AZ91" s="275"/>
      <c r="BA91" s="275"/>
      <c r="BB91" s="275"/>
      <c r="BC91" s="275"/>
      <c r="BE91" s="274">
        <f>G91/28</f>
        <v>3.1547499999999999</v>
      </c>
      <c r="BF91" s="280">
        <f t="shared" si="24"/>
        <v>98.9</v>
      </c>
      <c r="BG91" s="154" t="str">
        <f t="shared" si="25"/>
        <v/>
      </c>
      <c r="BH91" s="270">
        <f t="shared" si="23"/>
        <v>4.8000000000000397E-2</v>
      </c>
      <c r="BI91" s="270">
        <f t="shared" si="17"/>
        <v>8.9999999999999858E-2</v>
      </c>
    </row>
    <row r="92" spans="1:61">
      <c r="A92" s="266">
        <v>31837</v>
      </c>
      <c r="B92" s="266"/>
      <c r="C92" s="275"/>
      <c r="D92" s="276">
        <v>13.62299999999999</v>
      </c>
      <c r="E92" s="277">
        <v>3.6962580645161291</v>
      </c>
      <c r="F92" s="277">
        <f t="shared" ref="F92:F155" si="27">(A93-A92)*E92</f>
        <v>114.584</v>
      </c>
      <c r="G92" s="277">
        <v>92.367000000000004</v>
      </c>
      <c r="H92" s="281">
        <f t="shared" si="26"/>
        <v>0.80610730992110591</v>
      </c>
      <c r="I92" s="202">
        <v>2167.3159999999998</v>
      </c>
      <c r="J92" s="270">
        <v>46.93</v>
      </c>
      <c r="K92" s="275"/>
      <c r="L92" s="202">
        <v>496.99700000000001</v>
      </c>
      <c r="M92" s="275"/>
      <c r="N92" s="202">
        <v>1002.444</v>
      </c>
      <c r="O92" s="270">
        <v>10.85</v>
      </c>
      <c r="P92" s="275"/>
      <c r="Q92" s="202">
        <v>864.41099999999994</v>
      </c>
      <c r="R92" s="199"/>
      <c r="S92" s="275"/>
      <c r="T92" s="275"/>
      <c r="U92" s="275"/>
      <c r="V92" s="278">
        <v>15.737</v>
      </c>
      <c r="W92" s="278">
        <v>15.784000000000001</v>
      </c>
      <c r="X92" s="278">
        <v>17.803000000000001</v>
      </c>
      <c r="Y92" s="278"/>
      <c r="Z92" s="278">
        <v>9.1270000000000007</v>
      </c>
      <c r="AA92" s="278">
        <v>11.037000000000001</v>
      </c>
      <c r="AB92" s="278">
        <v>15.372</v>
      </c>
      <c r="AC92" s="278">
        <v>7.5069999999999997</v>
      </c>
      <c r="AD92" s="279">
        <v>92.367000000000004</v>
      </c>
      <c r="AE92" s="278">
        <f t="shared" si="20"/>
        <v>92.367000000000004</v>
      </c>
      <c r="AF92" s="278">
        <f t="shared" si="21"/>
        <v>0</v>
      </c>
      <c r="AG92" s="278">
        <f t="shared" si="18"/>
        <v>0</v>
      </c>
      <c r="AH92" s="202">
        <f t="shared" si="15"/>
        <v>0.52200000000000024</v>
      </c>
      <c r="AI92" s="202">
        <f t="shared" si="16"/>
        <v>57.78</v>
      </c>
      <c r="AJ92" s="275"/>
      <c r="AK92" s="275"/>
      <c r="AL92" s="275"/>
      <c r="AM92" s="275"/>
      <c r="AN92" s="275"/>
      <c r="AO92" s="275"/>
      <c r="AP92" s="275"/>
      <c r="AQ92" s="275"/>
      <c r="AR92" s="275"/>
      <c r="AS92" s="275"/>
      <c r="AT92" s="275"/>
      <c r="AU92" s="275"/>
      <c r="AV92" s="275"/>
      <c r="AW92" s="275"/>
      <c r="AX92" s="275"/>
      <c r="AY92" s="275"/>
      <c r="AZ92" s="275"/>
      <c r="BA92" s="275"/>
      <c r="BB92" s="275"/>
      <c r="BC92" s="275"/>
      <c r="BE92" s="274">
        <f t="shared" si="19"/>
        <v>2.9795806451612905</v>
      </c>
      <c r="BF92" s="280">
        <f t="shared" si="24"/>
        <v>101.4</v>
      </c>
      <c r="BG92" s="154" t="str">
        <f t="shared" si="25"/>
        <v/>
      </c>
      <c r="BH92" s="270">
        <f t="shared" si="23"/>
        <v>6.5999999999999309E-2</v>
      </c>
      <c r="BI92" s="270">
        <f t="shared" si="17"/>
        <v>-1.9999999999999574E-2</v>
      </c>
    </row>
    <row r="93" spans="1:61">
      <c r="A93" s="266">
        <v>31868</v>
      </c>
      <c r="B93" s="266"/>
      <c r="C93" s="275"/>
      <c r="D93" s="276">
        <v>12.678000000000011</v>
      </c>
      <c r="E93" s="277">
        <v>3.7220333333333335</v>
      </c>
      <c r="F93" s="277">
        <f t="shared" si="27"/>
        <v>111.661</v>
      </c>
      <c r="G93" s="277">
        <v>83.231999999999999</v>
      </c>
      <c r="H93" s="281">
        <f t="shared" si="26"/>
        <v>0.74539902024878868</v>
      </c>
      <c r="I93" s="202">
        <v>1964.5619999999999</v>
      </c>
      <c r="J93" s="270">
        <v>47.2</v>
      </c>
      <c r="K93" s="275"/>
      <c r="L93" s="202">
        <v>334.67099999999999</v>
      </c>
      <c r="M93" s="275"/>
      <c r="N93" s="202">
        <v>913.245</v>
      </c>
      <c r="O93" s="270">
        <v>10.97</v>
      </c>
      <c r="P93" s="275"/>
      <c r="Q93" s="202">
        <v>923.36500000000001</v>
      </c>
      <c r="R93" s="199"/>
      <c r="S93" s="275"/>
      <c r="T93" s="275"/>
      <c r="U93" s="275"/>
      <c r="V93" s="278">
        <v>12.420999999999999</v>
      </c>
      <c r="W93" s="278">
        <v>14.55</v>
      </c>
      <c r="X93" s="278">
        <v>17.254000000000001</v>
      </c>
      <c r="Y93" s="278"/>
      <c r="Z93" s="278">
        <v>6.6369999999999996</v>
      </c>
      <c r="AA93" s="278">
        <v>10.43</v>
      </c>
      <c r="AB93" s="278">
        <v>14.958</v>
      </c>
      <c r="AC93" s="278">
        <v>6.9809999999999999</v>
      </c>
      <c r="AD93" s="279">
        <v>83.230999999999995</v>
      </c>
      <c r="AE93" s="278">
        <f t="shared" si="20"/>
        <v>83.230999999999995</v>
      </c>
      <c r="AF93" s="278">
        <f t="shared" si="21"/>
        <v>0</v>
      </c>
      <c r="AG93" s="278">
        <f t="shared" si="18"/>
        <v>-1.0000000000047748E-3</v>
      </c>
      <c r="AH93" s="202">
        <f t="shared" si="15"/>
        <v>-0.4139999999999997</v>
      </c>
      <c r="AI93" s="202">
        <f t="shared" si="16"/>
        <v>58.17</v>
      </c>
      <c r="AJ93" s="275"/>
      <c r="AK93" s="275"/>
      <c r="AL93" s="275"/>
      <c r="AM93" s="275"/>
      <c r="AN93" s="275"/>
      <c r="AO93" s="275"/>
      <c r="AP93" s="275"/>
      <c r="AQ93" s="275"/>
      <c r="AR93" s="275"/>
      <c r="AS93" s="275"/>
      <c r="AT93" s="275"/>
      <c r="AU93" s="275"/>
      <c r="AV93" s="275"/>
      <c r="AW93" s="275"/>
      <c r="AX93" s="275"/>
      <c r="AY93" s="275"/>
      <c r="AZ93" s="275"/>
      <c r="BA93" s="275"/>
      <c r="BB93" s="275"/>
      <c r="BC93" s="275"/>
      <c r="BE93" s="274">
        <f>G93/30</f>
        <v>2.7744</v>
      </c>
      <c r="BF93" s="280">
        <f t="shared" si="24"/>
        <v>91.4</v>
      </c>
      <c r="BG93" s="154" t="str">
        <f t="shared" si="25"/>
        <v/>
      </c>
      <c r="BH93" s="270">
        <f t="shared" si="23"/>
        <v>4.0000000000006255E-3</v>
      </c>
      <c r="BI93" s="270">
        <f t="shared" si="17"/>
        <v>0.12000000000000099</v>
      </c>
    </row>
    <row r="94" spans="1:61">
      <c r="A94" s="266">
        <v>31898</v>
      </c>
      <c r="B94" s="266"/>
      <c r="C94" s="275"/>
      <c r="D94" s="276">
        <v>14.245999999999995</v>
      </c>
      <c r="E94" s="277">
        <v>3.7220645161290324</v>
      </c>
      <c r="F94" s="277">
        <f t="shared" si="27"/>
        <v>115.384</v>
      </c>
      <c r="G94" s="277">
        <v>81.073999999999998</v>
      </c>
      <c r="H94" s="281">
        <f t="shared" si="26"/>
        <v>0.70264508077376409</v>
      </c>
      <c r="I94" s="202">
        <v>1908.635</v>
      </c>
      <c r="J94" s="270">
        <v>47.08</v>
      </c>
      <c r="K94" s="275"/>
      <c r="L94" s="202">
        <v>320.22800000000001</v>
      </c>
      <c r="M94" s="275"/>
      <c r="N94" s="202">
        <v>883.61800000000005</v>
      </c>
      <c r="O94" s="270">
        <v>10.9</v>
      </c>
      <c r="P94" s="275"/>
      <c r="Q94" s="202">
        <v>946.65899999999999</v>
      </c>
      <c r="R94" s="199"/>
      <c r="S94" s="275"/>
      <c r="T94" s="275"/>
      <c r="U94" s="275"/>
      <c r="V94" s="278">
        <v>14.426</v>
      </c>
      <c r="W94" s="278">
        <v>13.092000000000001</v>
      </c>
      <c r="X94" s="278">
        <v>15.590999999999999</v>
      </c>
      <c r="Y94" s="278"/>
      <c r="Z94" s="278">
        <v>4.1719999999999997</v>
      </c>
      <c r="AA94" s="278">
        <v>11.414999999999999</v>
      </c>
      <c r="AB94" s="278">
        <v>14.121</v>
      </c>
      <c r="AC94" s="278">
        <v>8.2579999999999991</v>
      </c>
      <c r="AD94" s="279">
        <v>81.075000000000003</v>
      </c>
      <c r="AE94" s="278">
        <f t="shared" si="20"/>
        <v>81.074999999999989</v>
      </c>
      <c r="AF94" s="278">
        <f t="shared" si="21"/>
        <v>0</v>
      </c>
      <c r="AG94" s="278">
        <f t="shared" si="18"/>
        <v>9.9999999999056399E-4</v>
      </c>
      <c r="AH94" s="202">
        <f t="shared" si="15"/>
        <v>-0.83699999999999974</v>
      </c>
      <c r="AI94" s="202">
        <f t="shared" si="16"/>
        <v>57.98</v>
      </c>
      <c r="AJ94" s="275"/>
      <c r="AK94" s="275"/>
      <c r="AL94" s="275"/>
      <c r="AM94" s="275"/>
      <c r="AN94" s="275"/>
      <c r="AO94" s="275"/>
      <c r="AP94" s="275"/>
      <c r="AQ94" s="275"/>
      <c r="AR94" s="275"/>
      <c r="AS94" s="275"/>
      <c r="AT94" s="275"/>
      <c r="AU94" s="275"/>
      <c r="AV94" s="275"/>
      <c r="AW94" s="275"/>
      <c r="AX94" s="275"/>
      <c r="AY94" s="275"/>
      <c r="AZ94" s="275"/>
      <c r="BA94" s="275"/>
      <c r="BB94" s="275"/>
      <c r="BC94" s="275"/>
      <c r="BE94" s="274">
        <f t="shared" si="19"/>
        <v>2.6152903225806452</v>
      </c>
      <c r="BF94" s="280">
        <f t="shared" si="24"/>
        <v>93.2</v>
      </c>
      <c r="BG94" s="154" t="str">
        <f t="shared" si="25"/>
        <v/>
      </c>
      <c r="BH94" s="270">
        <f t="shared" si="23"/>
        <v>2.8000000000000115E-2</v>
      </c>
      <c r="BI94" s="270">
        <f t="shared" si="17"/>
        <v>-7.0000000000000284E-2</v>
      </c>
    </row>
    <row r="95" spans="1:61">
      <c r="A95" s="266">
        <v>31929</v>
      </c>
      <c r="B95" s="266"/>
      <c r="C95" s="275"/>
      <c r="D95" s="276">
        <v>14.683333333333323</v>
      </c>
      <c r="E95" s="277">
        <v>3.7220333333333335</v>
      </c>
      <c r="F95" s="277">
        <f t="shared" si="27"/>
        <v>111.661</v>
      </c>
      <c r="G95" s="277">
        <v>75.92</v>
      </c>
      <c r="H95" s="281">
        <f t="shared" si="26"/>
        <v>0.67991510016926238</v>
      </c>
      <c r="I95" s="202">
        <v>1763.07</v>
      </c>
      <c r="J95" s="270">
        <v>46.45</v>
      </c>
      <c r="K95" s="275"/>
      <c r="L95" s="202">
        <v>265.55599999999998</v>
      </c>
      <c r="M95" s="275"/>
      <c r="N95" s="202">
        <v>826.99199999999996</v>
      </c>
      <c r="O95" s="270">
        <v>10.89</v>
      </c>
      <c r="P95" s="275"/>
      <c r="Q95" s="202">
        <v>965.61599999999999</v>
      </c>
      <c r="R95" s="199"/>
      <c r="S95" s="275"/>
      <c r="T95" s="275"/>
      <c r="U95" s="275"/>
      <c r="V95" s="278">
        <v>11.428000000000001</v>
      </c>
      <c r="W95" s="278">
        <v>14.077</v>
      </c>
      <c r="X95" s="278">
        <v>13.102</v>
      </c>
      <c r="Y95" s="278"/>
      <c r="Z95" s="278">
        <v>5.2779999999999996</v>
      </c>
      <c r="AA95" s="278">
        <v>9.1549999999999994</v>
      </c>
      <c r="AB95" s="278">
        <v>15.071999999999999</v>
      </c>
      <c r="AC95" s="278">
        <v>7.806</v>
      </c>
      <c r="AD95" s="279">
        <v>75.918000000000006</v>
      </c>
      <c r="AE95" s="278">
        <f t="shared" si="20"/>
        <v>75.917999999999992</v>
      </c>
      <c r="AF95" s="278">
        <f t="shared" si="21"/>
        <v>0</v>
      </c>
      <c r="AG95" s="278">
        <f t="shared" si="18"/>
        <v>-2.0000000000095497E-3</v>
      </c>
      <c r="AH95" s="202">
        <f t="shared" si="15"/>
        <v>0.95099999999999874</v>
      </c>
      <c r="AI95" s="202">
        <f t="shared" si="16"/>
        <v>57.34</v>
      </c>
      <c r="AJ95" s="275"/>
      <c r="AK95" s="275"/>
      <c r="AL95" s="275"/>
      <c r="AM95" s="275"/>
      <c r="AN95" s="275"/>
      <c r="AO95" s="275"/>
      <c r="AP95" s="275"/>
      <c r="AQ95" s="275"/>
      <c r="AR95" s="275"/>
      <c r="AS95" s="275"/>
      <c r="AT95" s="275"/>
      <c r="AU95" s="275"/>
      <c r="AV95" s="275"/>
      <c r="AW95" s="275"/>
      <c r="AX95" s="275"/>
      <c r="AY95" s="275"/>
      <c r="AZ95" s="275"/>
      <c r="BA95" s="275"/>
      <c r="BB95" s="275"/>
      <c r="BC95" s="275"/>
      <c r="BE95" s="274">
        <f>G95/30</f>
        <v>2.5306666666666668</v>
      </c>
      <c r="BF95" s="280">
        <f t="shared" si="24"/>
        <v>81.900000000000006</v>
      </c>
      <c r="BG95" s="154" t="str">
        <f t="shared" si="25"/>
        <v/>
      </c>
      <c r="BH95" s="270">
        <f t="shared" si="23"/>
        <v>5.3999999999999916E-2</v>
      </c>
      <c r="BI95" s="270">
        <f t="shared" si="17"/>
        <v>-9.9999999999997868E-3</v>
      </c>
    </row>
    <row r="96" spans="1:61">
      <c r="A96" s="266">
        <v>31959</v>
      </c>
      <c r="B96" s="266"/>
      <c r="C96" s="275"/>
      <c r="D96" s="276">
        <v>11.73566666666666</v>
      </c>
      <c r="E96" s="277">
        <v>3.7504838709677419</v>
      </c>
      <c r="F96" s="277">
        <f t="shared" si="27"/>
        <v>116.265</v>
      </c>
      <c r="G96" s="277">
        <v>80.850999999999999</v>
      </c>
      <c r="H96" s="281">
        <f t="shared" si="26"/>
        <v>0.69540274373199151</v>
      </c>
      <c r="I96" s="202">
        <v>1901.2049999999999</v>
      </c>
      <c r="J96" s="270">
        <v>47.03</v>
      </c>
      <c r="K96" s="275"/>
      <c r="L96" s="202">
        <v>256.21899999999999</v>
      </c>
      <c r="M96" s="275"/>
      <c r="N96" s="202">
        <v>885.94600000000003</v>
      </c>
      <c r="O96" s="270">
        <v>10.96</v>
      </c>
      <c r="P96" s="275"/>
      <c r="Q96" s="202">
        <v>910.04300000000001</v>
      </c>
      <c r="R96" s="199"/>
      <c r="S96" s="275"/>
      <c r="T96" s="275"/>
      <c r="U96" s="275"/>
      <c r="V96" s="278">
        <v>13.667999999999999</v>
      </c>
      <c r="W96" s="278">
        <v>14.260999999999999</v>
      </c>
      <c r="X96" s="278">
        <v>13.776</v>
      </c>
      <c r="Y96" s="278"/>
      <c r="Z96" s="278">
        <v>6.2670000000000003</v>
      </c>
      <c r="AA96" s="278">
        <v>10.624000000000001</v>
      </c>
      <c r="AB96" s="278">
        <v>15.052</v>
      </c>
      <c r="AC96" s="278">
        <v>7.2030000000000003</v>
      </c>
      <c r="AD96" s="279">
        <v>80.850999999999999</v>
      </c>
      <c r="AE96" s="278">
        <f t="shared" si="20"/>
        <v>80.850999999999999</v>
      </c>
      <c r="AF96" s="278">
        <f t="shared" si="21"/>
        <v>0</v>
      </c>
      <c r="AG96" s="278">
        <f t="shared" si="18"/>
        <v>0</v>
      </c>
      <c r="AH96" s="202">
        <f t="shared" si="15"/>
        <v>-1.9999999999999574E-2</v>
      </c>
      <c r="AI96" s="202">
        <f t="shared" si="16"/>
        <v>57.99</v>
      </c>
      <c r="AJ96" s="275"/>
      <c r="AK96" s="275"/>
      <c r="AL96" s="275"/>
      <c r="AM96" s="275"/>
      <c r="AN96" s="275"/>
      <c r="AO96" s="275"/>
      <c r="AP96" s="275"/>
      <c r="AQ96" s="275"/>
      <c r="AR96" s="275"/>
      <c r="AS96" s="275"/>
      <c r="AT96" s="275"/>
      <c r="AU96" s="275"/>
      <c r="AV96" s="275"/>
      <c r="AW96" s="275"/>
      <c r="AX96" s="275"/>
      <c r="AY96" s="275"/>
      <c r="AZ96" s="275"/>
      <c r="BA96" s="275"/>
      <c r="BB96" s="275"/>
      <c r="BC96" s="275"/>
      <c r="BE96" s="274">
        <f t="shared" si="19"/>
        <v>2.6080967741935486</v>
      </c>
      <c r="BF96" s="280">
        <f t="shared" si="24"/>
        <v>84.1</v>
      </c>
      <c r="BG96" s="154" t="str">
        <f t="shared" si="25"/>
        <v/>
      </c>
      <c r="BH96" s="270">
        <f t="shared" si="23"/>
        <v>-3.9999999999999151E-3</v>
      </c>
      <c r="BI96" s="270">
        <f t="shared" si="17"/>
        <v>7.0000000000000284E-2</v>
      </c>
    </row>
    <row r="97" spans="1:61">
      <c r="A97" s="266">
        <v>31990</v>
      </c>
      <c r="B97" s="266"/>
      <c r="C97" s="275"/>
      <c r="D97" s="276">
        <v>6.7996666666666812</v>
      </c>
      <c r="E97" s="277">
        <v>3.7504838709677419</v>
      </c>
      <c r="F97" s="277">
        <f t="shared" si="27"/>
        <v>116.265</v>
      </c>
      <c r="G97" s="277">
        <v>75.576999999999998</v>
      </c>
      <c r="H97" s="281">
        <f t="shared" si="26"/>
        <v>0.6500408549434481</v>
      </c>
      <c r="I97" s="202">
        <v>1787.38</v>
      </c>
      <c r="J97" s="270">
        <v>47.29</v>
      </c>
      <c r="K97" s="275"/>
      <c r="L97" s="202">
        <v>174.30699999999999</v>
      </c>
      <c r="M97" s="275"/>
      <c r="N97" s="202">
        <v>832.44899999999996</v>
      </c>
      <c r="O97" s="270">
        <v>11.01</v>
      </c>
      <c r="P97" s="275"/>
      <c r="Q97" s="202">
        <v>766.60400000000004</v>
      </c>
      <c r="R97" s="199"/>
      <c r="S97" s="275"/>
      <c r="T97" s="275"/>
      <c r="U97" s="275"/>
      <c r="V97" s="278">
        <v>11.337999999999999</v>
      </c>
      <c r="W97" s="278">
        <v>13.476000000000001</v>
      </c>
      <c r="X97" s="278">
        <v>12.651</v>
      </c>
      <c r="Y97" s="278"/>
      <c r="Z97" s="278">
        <v>5.7110000000000003</v>
      </c>
      <c r="AA97" s="278">
        <v>10.583</v>
      </c>
      <c r="AB97" s="278">
        <v>14.9</v>
      </c>
      <c r="AC97" s="278">
        <v>6.9180000000000001</v>
      </c>
      <c r="AD97" s="279">
        <v>75.576999999999998</v>
      </c>
      <c r="AE97" s="278">
        <f t="shared" si="20"/>
        <v>75.577000000000012</v>
      </c>
      <c r="AF97" s="278">
        <f t="shared" si="21"/>
        <v>0</v>
      </c>
      <c r="AG97" s="278">
        <f t="shared" si="18"/>
        <v>0</v>
      </c>
      <c r="AH97" s="202">
        <f t="shared" si="15"/>
        <v>-0.15199999999999925</v>
      </c>
      <c r="AI97" s="202">
        <f t="shared" si="16"/>
        <v>58.3</v>
      </c>
      <c r="AJ97" s="275"/>
      <c r="AK97" s="275"/>
      <c r="AL97" s="275"/>
      <c r="AM97" s="275"/>
      <c r="AN97" s="275"/>
      <c r="AO97" s="275"/>
      <c r="AP97" s="275"/>
      <c r="AQ97" s="275"/>
      <c r="AR97" s="275"/>
      <c r="AS97" s="275"/>
      <c r="AT97" s="275"/>
      <c r="AU97" s="275"/>
      <c r="AV97" s="275"/>
      <c r="AW97" s="275"/>
      <c r="AX97" s="275"/>
      <c r="AY97" s="275"/>
      <c r="AZ97" s="275"/>
      <c r="BA97" s="275"/>
      <c r="BB97" s="275"/>
      <c r="BC97" s="275"/>
      <c r="BE97" s="274">
        <f t="shared" si="19"/>
        <v>2.4379677419354837</v>
      </c>
      <c r="BF97" s="280">
        <f>MAX(G85,G73,G61,G49,G37,G25,G13)</f>
        <v>85</v>
      </c>
      <c r="BG97" s="154" t="str">
        <f t="shared" si="25"/>
        <v/>
      </c>
      <c r="BH97" s="270">
        <f t="shared" si="23"/>
        <v>5.5999999999999869E-2</v>
      </c>
      <c r="BI97" s="270">
        <f t="shared" si="17"/>
        <v>4.9999999999998934E-2</v>
      </c>
    </row>
    <row r="98" spans="1:61">
      <c r="A98" s="266">
        <v>32021</v>
      </c>
      <c r="B98" s="266"/>
      <c r="C98" s="275"/>
      <c r="D98" s="276">
        <v>8.9933333333333252</v>
      </c>
      <c r="E98" s="277">
        <v>3.7502</v>
      </c>
      <c r="F98" s="277">
        <f t="shared" si="27"/>
        <v>112.506</v>
      </c>
      <c r="G98" s="277">
        <v>70.680000000000007</v>
      </c>
      <c r="H98" s="281">
        <f t="shared" si="26"/>
        <v>0.62823316089808545</v>
      </c>
      <c r="I98" s="202">
        <v>1674.867</v>
      </c>
      <c r="J98" s="270">
        <v>47.39</v>
      </c>
      <c r="K98" s="275"/>
      <c r="L98" s="202">
        <v>130.857</v>
      </c>
      <c r="M98" s="275"/>
      <c r="N98" s="202">
        <v>782.52</v>
      </c>
      <c r="O98" s="270">
        <v>11.07</v>
      </c>
      <c r="P98" s="275"/>
      <c r="Q98" s="202">
        <v>630.923</v>
      </c>
      <c r="R98" s="199"/>
      <c r="S98" s="275"/>
      <c r="T98" s="275"/>
      <c r="U98" s="275"/>
      <c r="V98" s="278">
        <v>12.292</v>
      </c>
      <c r="W98" s="278">
        <v>10.298999999999999</v>
      </c>
      <c r="X98" s="278">
        <v>11.856</v>
      </c>
      <c r="Y98" s="278"/>
      <c r="Z98" s="278">
        <v>4.6920000000000002</v>
      </c>
      <c r="AA98" s="278">
        <v>9.6020000000000003</v>
      </c>
      <c r="AB98" s="278">
        <v>15.18</v>
      </c>
      <c r="AC98" s="278">
        <v>6.758</v>
      </c>
      <c r="AD98" s="279">
        <v>70.679000000000002</v>
      </c>
      <c r="AE98" s="278">
        <f t="shared" si="20"/>
        <v>70.679000000000002</v>
      </c>
      <c r="AF98" s="278">
        <f t="shared" si="21"/>
        <v>0</v>
      </c>
      <c r="AG98" s="278">
        <f t="shared" si="18"/>
        <v>-1.0000000000047748E-3</v>
      </c>
      <c r="AH98" s="202">
        <f t="shared" si="15"/>
        <v>0.27999999999999936</v>
      </c>
      <c r="AI98" s="202">
        <f t="shared" si="16"/>
        <v>58.46</v>
      </c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275"/>
      <c r="AU98" s="275"/>
      <c r="AV98" s="275"/>
      <c r="AW98" s="275"/>
      <c r="AX98" s="275"/>
      <c r="AY98" s="275"/>
      <c r="AZ98" s="275"/>
      <c r="BA98" s="275"/>
      <c r="BB98" s="275"/>
      <c r="BC98" s="275"/>
      <c r="BE98" s="274">
        <f>G98/30</f>
        <v>2.3560000000000003</v>
      </c>
      <c r="BF98" s="280">
        <f t="shared" ref="BF98:BF108" si="28">MAX(G86,G74,G62,G50,G38,G26,G14,G2)</f>
        <v>86.1</v>
      </c>
      <c r="BG98" s="154" t="str">
        <f t="shared" si="25"/>
        <v/>
      </c>
      <c r="BH98" s="270">
        <f t="shared" si="23"/>
        <v>1.9999999999999574E-2</v>
      </c>
      <c r="BI98" s="270">
        <f t="shared" si="17"/>
        <v>6.0000000000000497E-2</v>
      </c>
    </row>
    <row r="99" spans="1:61">
      <c r="A99" s="266">
        <v>32051</v>
      </c>
      <c r="B99" s="266"/>
      <c r="C99" s="275"/>
      <c r="D99" s="276">
        <v>15.13666666666667</v>
      </c>
      <c r="E99" s="277">
        <v>3.8111935483870969</v>
      </c>
      <c r="F99" s="277">
        <f t="shared" si="27"/>
        <v>118.14700000000001</v>
      </c>
      <c r="G99" s="277">
        <v>87.36</v>
      </c>
      <c r="H99" s="281">
        <f t="shared" si="26"/>
        <v>0.7394178438724639</v>
      </c>
      <c r="I99" s="202">
        <v>2076.4690000000001</v>
      </c>
      <c r="J99" s="270">
        <v>47.54</v>
      </c>
      <c r="K99" s="275"/>
      <c r="L99" s="202">
        <v>365.13799999999998</v>
      </c>
      <c r="M99" s="275"/>
      <c r="N99" s="202">
        <v>939.69600000000003</v>
      </c>
      <c r="O99" s="270">
        <v>10.76</v>
      </c>
      <c r="P99" s="275"/>
      <c r="Q99" s="202">
        <v>650.02800000000002</v>
      </c>
      <c r="R99" s="199"/>
      <c r="S99" s="275"/>
      <c r="T99" s="275"/>
      <c r="U99" s="275"/>
      <c r="V99" s="278">
        <v>13.958</v>
      </c>
      <c r="W99" s="278">
        <v>15.702</v>
      </c>
      <c r="X99" s="278">
        <v>16.276</v>
      </c>
      <c r="Y99" s="278"/>
      <c r="Z99" s="278">
        <v>6.5890000000000004</v>
      </c>
      <c r="AA99" s="278">
        <v>10.692</v>
      </c>
      <c r="AB99" s="278">
        <v>17.036999999999999</v>
      </c>
      <c r="AC99" s="278">
        <v>7.1059999999999999</v>
      </c>
      <c r="AD99" s="279">
        <v>87.36</v>
      </c>
      <c r="AE99" s="278">
        <f t="shared" si="20"/>
        <v>87.359999999999985</v>
      </c>
      <c r="AF99" s="278">
        <f t="shared" si="21"/>
        <v>0</v>
      </c>
      <c r="AG99" s="278">
        <f t="shared" si="18"/>
        <v>0</v>
      </c>
      <c r="AH99" s="202">
        <f t="shared" si="15"/>
        <v>1.8569999999999993</v>
      </c>
      <c r="AI99" s="202">
        <f t="shared" si="16"/>
        <v>58.3</v>
      </c>
      <c r="AJ99" s="275"/>
      <c r="AK99" s="275"/>
      <c r="AL99" s="275"/>
      <c r="AM99" s="275"/>
      <c r="AN99" s="275"/>
      <c r="AO99" s="275"/>
      <c r="AP99" s="275"/>
      <c r="AQ99" s="275"/>
      <c r="AR99" s="275"/>
      <c r="AS99" s="275"/>
      <c r="AT99" s="275"/>
      <c r="AU99" s="275"/>
      <c r="AV99" s="275"/>
      <c r="AW99" s="275"/>
      <c r="AX99" s="275"/>
      <c r="AY99" s="275"/>
      <c r="AZ99" s="275"/>
      <c r="BA99" s="275"/>
      <c r="BB99" s="275"/>
      <c r="BC99" s="275"/>
      <c r="BE99" s="274">
        <f t="shared" si="19"/>
        <v>2.8180645161290321</v>
      </c>
      <c r="BF99" s="280">
        <f t="shared" si="28"/>
        <v>104.3</v>
      </c>
      <c r="BG99" s="154" t="str">
        <f t="shared" si="25"/>
        <v/>
      </c>
      <c r="BH99" s="270">
        <f t="shared" si="23"/>
        <v>-9.9999999999999645E-2</v>
      </c>
      <c r="BI99" s="270">
        <f t="shared" si="17"/>
        <v>-0.3100000000000005</v>
      </c>
    </row>
    <row r="100" spans="1:61">
      <c r="A100" s="266">
        <v>32082</v>
      </c>
      <c r="B100" s="266"/>
      <c r="C100" s="275"/>
      <c r="D100" s="276">
        <v>15.790333333333336</v>
      </c>
      <c r="E100" s="277">
        <v>3.8111999999999999</v>
      </c>
      <c r="F100" s="277">
        <f t="shared" si="27"/>
        <v>114.336</v>
      </c>
      <c r="G100" s="277">
        <v>95.403000000000006</v>
      </c>
      <c r="H100" s="281">
        <f t="shared" si="26"/>
        <v>0.83440910999160378</v>
      </c>
      <c r="I100" s="202">
        <v>2275.1329999999998</v>
      </c>
      <c r="J100" s="270">
        <v>47.7</v>
      </c>
      <c r="K100" s="275"/>
      <c r="L100" s="202">
        <v>578.75</v>
      </c>
      <c r="M100" s="275"/>
      <c r="N100" s="202">
        <v>1041.6130000000001</v>
      </c>
      <c r="O100" s="270">
        <v>10.92</v>
      </c>
      <c r="P100" s="275"/>
      <c r="Q100" s="202">
        <v>741.89400000000001</v>
      </c>
      <c r="R100" s="199"/>
      <c r="S100" s="275"/>
      <c r="T100" s="275"/>
      <c r="U100" s="275"/>
      <c r="V100" s="278">
        <v>16.530999999999999</v>
      </c>
      <c r="W100" s="278">
        <v>16.91</v>
      </c>
      <c r="X100" s="278">
        <v>15.231999999999999</v>
      </c>
      <c r="Y100" s="278"/>
      <c r="Z100" s="278">
        <v>8.56</v>
      </c>
      <c r="AA100" s="278">
        <v>13.285</v>
      </c>
      <c r="AB100" s="278">
        <v>18.109000000000002</v>
      </c>
      <c r="AC100" s="278">
        <v>6.7750000000000004</v>
      </c>
      <c r="AD100" s="279">
        <v>95.402000000000001</v>
      </c>
      <c r="AE100" s="278">
        <f t="shared" si="20"/>
        <v>95.402000000000015</v>
      </c>
      <c r="AF100" s="278">
        <f t="shared" si="21"/>
        <v>0</v>
      </c>
      <c r="AG100" s="278">
        <f t="shared" si="18"/>
        <v>-9.9999999999056399E-4</v>
      </c>
      <c r="AH100" s="202">
        <f t="shared" si="15"/>
        <v>1.0720000000000027</v>
      </c>
      <c r="AI100" s="202">
        <f t="shared" si="16"/>
        <v>58.620000000000005</v>
      </c>
      <c r="AJ100" s="275"/>
      <c r="AK100" s="275"/>
      <c r="AL100" s="275"/>
      <c r="AM100" s="275"/>
      <c r="AN100" s="275"/>
      <c r="AO100" s="275"/>
      <c r="AP100" s="275"/>
      <c r="AQ100" s="275"/>
      <c r="AR100" s="275"/>
      <c r="AS100" s="275"/>
      <c r="AT100" s="275"/>
      <c r="AU100" s="275"/>
      <c r="AV100" s="275"/>
      <c r="AW100" s="275"/>
      <c r="AX100" s="275"/>
      <c r="AY100" s="275"/>
      <c r="AZ100" s="275"/>
      <c r="BA100" s="275"/>
      <c r="BB100" s="275"/>
      <c r="BC100" s="275"/>
      <c r="BE100" s="274">
        <f>G100/30</f>
        <v>3.1801000000000004</v>
      </c>
      <c r="BF100" s="280">
        <f t="shared" si="28"/>
        <v>107.6</v>
      </c>
      <c r="BG100" s="154" t="str">
        <f t="shared" si="25"/>
        <v/>
      </c>
      <c r="BH100" s="270">
        <f t="shared" si="23"/>
        <v>-0.15399999999999991</v>
      </c>
      <c r="BI100" s="270">
        <f t="shared" si="17"/>
        <v>0.16000000000000014</v>
      </c>
    </row>
    <row r="101" spans="1:61">
      <c r="A101" s="266">
        <v>32112</v>
      </c>
      <c r="B101" s="266"/>
      <c r="C101" s="275"/>
      <c r="D101" s="276">
        <v>16.460999999999999</v>
      </c>
      <c r="E101" s="277">
        <v>3.8111935483870969</v>
      </c>
      <c r="F101" s="277">
        <f t="shared" si="27"/>
        <v>118.14700000000001</v>
      </c>
      <c r="G101" s="277">
        <v>94.328999999999994</v>
      </c>
      <c r="H101" s="281">
        <f t="shared" si="26"/>
        <v>0.79840368354676794</v>
      </c>
      <c r="I101" s="202">
        <v>2252.8980000000001</v>
      </c>
      <c r="J101" s="270">
        <v>47.77</v>
      </c>
      <c r="K101" s="275"/>
      <c r="L101" s="202">
        <v>652.28599999999994</v>
      </c>
      <c r="M101" s="275"/>
      <c r="N101" s="202">
        <v>1033.3800000000001</v>
      </c>
      <c r="O101" s="270">
        <v>10.96</v>
      </c>
      <c r="P101" s="275"/>
      <c r="Q101" s="202">
        <v>773.06100000000004</v>
      </c>
      <c r="R101" s="199"/>
      <c r="S101" s="275"/>
      <c r="T101" s="275"/>
      <c r="U101" s="275"/>
      <c r="V101" s="278">
        <v>16.483000000000001</v>
      </c>
      <c r="W101" s="278">
        <v>16.878</v>
      </c>
      <c r="X101" s="278">
        <v>17.213999999999999</v>
      </c>
      <c r="Y101" s="278"/>
      <c r="Z101" s="278">
        <v>6.9569999999999999</v>
      </c>
      <c r="AA101" s="278">
        <v>11.324</v>
      </c>
      <c r="AB101" s="278">
        <v>18.27</v>
      </c>
      <c r="AC101" s="278">
        <v>7.2030000000000003</v>
      </c>
      <c r="AD101" s="279">
        <v>94.328999999999994</v>
      </c>
      <c r="AE101" s="278">
        <f t="shared" si="20"/>
        <v>94.329000000000008</v>
      </c>
      <c r="AF101" s="278">
        <f t="shared" si="21"/>
        <v>0</v>
      </c>
      <c r="AG101" s="278">
        <f t="shared" si="18"/>
        <v>0</v>
      </c>
      <c r="AH101" s="202">
        <f t="shared" si="15"/>
        <v>0.16099999999999781</v>
      </c>
      <c r="AI101" s="202">
        <f t="shared" si="16"/>
        <v>58.730000000000004</v>
      </c>
      <c r="AJ101" s="275"/>
      <c r="AK101" s="275"/>
      <c r="AL101" s="275"/>
      <c r="AM101" s="275"/>
      <c r="AN101" s="275"/>
      <c r="AO101" s="275"/>
      <c r="AP101" s="275"/>
      <c r="AQ101" s="275"/>
      <c r="AR101" s="275"/>
      <c r="AS101" s="275"/>
      <c r="AT101" s="275"/>
      <c r="AU101" s="275"/>
      <c r="AV101" s="275"/>
      <c r="AW101" s="275"/>
      <c r="AX101" s="275"/>
      <c r="AY101" s="275"/>
      <c r="AZ101" s="275"/>
      <c r="BA101" s="275"/>
      <c r="BB101" s="275"/>
      <c r="BC101" s="275"/>
      <c r="BE101" s="274">
        <f t="shared" si="19"/>
        <v>3.0428709677419352</v>
      </c>
      <c r="BF101" s="280">
        <f t="shared" si="28"/>
        <v>111.6</v>
      </c>
      <c r="BG101" s="154" t="str">
        <f t="shared" si="25"/>
        <v/>
      </c>
      <c r="BH101" s="270">
        <f t="shared" si="23"/>
        <v>-5.9999999999998718E-3</v>
      </c>
      <c r="BI101" s="270">
        <f t="shared" si="17"/>
        <v>4.0000000000000924E-2</v>
      </c>
    </row>
    <row r="102" spans="1:61">
      <c r="A102" s="266">
        <v>32143</v>
      </c>
      <c r="B102" s="266"/>
      <c r="C102" s="275"/>
      <c r="D102" s="276">
        <v>15.492333333333335</v>
      </c>
      <c r="E102" s="277">
        <v>3.8494838709677421</v>
      </c>
      <c r="F102" s="277">
        <f t="shared" si="27"/>
        <v>119.334</v>
      </c>
      <c r="G102" s="277">
        <v>91.251000000000005</v>
      </c>
      <c r="H102" s="281">
        <f t="shared" si="26"/>
        <v>0.76466891246417623</v>
      </c>
      <c r="I102" s="202">
        <v>2173.81</v>
      </c>
      <c r="J102" s="270">
        <v>47.64</v>
      </c>
      <c r="K102" s="275"/>
      <c r="L102" s="202">
        <v>491.14100000000002</v>
      </c>
      <c r="M102" s="275"/>
      <c r="N102" s="202">
        <v>1006.428</v>
      </c>
      <c r="O102" s="270">
        <v>11.03</v>
      </c>
      <c r="P102" s="275"/>
      <c r="Q102" s="202">
        <v>903.56</v>
      </c>
      <c r="R102" s="199"/>
      <c r="S102" s="275"/>
      <c r="T102" s="275"/>
      <c r="U102" s="275"/>
      <c r="V102" s="278">
        <v>15.378</v>
      </c>
      <c r="W102" s="278">
        <v>16.751999999999999</v>
      </c>
      <c r="X102" s="278">
        <v>15.076000000000001</v>
      </c>
      <c r="Y102" s="278"/>
      <c r="Z102" s="278">
        <v>6.609</v>
      </c>
      <c r="AA102" s="278">
        <v>12.773</v>
      </c>
      <c r="AB102" s="278">
        <v>17.28</v>
      </c>
      <c r="AC102" s="278">
        <v>7.383</v>
      </c>
      <c r="AD102" s="279">
        <v>91.251000000000005</v>
      </c>
      <c r="AE102" s="278">
        <f t="shared" si="20"/>
        <v>91.250999999999991</v>
      </c>
      <c r="AF102" s="278">
        <f t="shared" si="21"/>
        <v>0</v>
      </c>
      <c r="AG102" s="278">
        <f t="shared" si="18"/>
        <v>0</v>
      </c>
      <c r="AH102" s="202">
        <f t="shared" si="15"/>
        <v>-0.98999999999999844</v>
      </c>
      <c r="AI102" s="202">
        <f t="shared" si="16"/>
        <v>58.67</v>
      </c>
      <c r="AJ102" s="275"/>
      <c r="AK102" s="275"/>
      <c r="AL102" s="275"/>
      <c r="AM102" s="275"/>
      <c r="AN102" s="275"/>
      <c r="AO102" s="275"/>
      <c r="AP102" s="275"/>
      <c r="AQ102" s="275"/>
      <c r="AR102" s="275"/>
      <c r="AS102" s="275"/>
      <c r="AT102" s="275"/>
      <c r="AU102" s="275"/>
      <c r="AV102" s="275"/>
      <c r="AW102" s="275"/>
      <c r="AX102" s="275"/>
      <c r="AY102" s="275"/>
      <c r="AZ102" s="275"/>
      <c r="BA102" s="275"/>
      <c r="BB102" s="275"/>
      <c r="BC102" s="275"/>
      <c r="BE102" s="274">
        <f t="shared" si="19"/>
        <v>2.9435806451612905</v>
      </c>
      <c r="BF102" s="280">
        <f t="shared" si="28"/>
        <v>110</v>
      </c>
      <c r="BG102" s="154" t="str">
        <f t="shared" si="25"/>
        <v/>
      </c>
      <c r="BH102" s="270">
        <f t="shared" si="23"/>
        <v>2.3999999999999487E-2</v>
      </c>
      <c r="BI102" s="270">
        <f t="shared" si="17"/>
        <v>6.9999999999998508E-2</v>
      </c>
    </row>
    <row r="103" spans="1:61">
      <c r="A103" s="266">
        <v>32174</v>
      </c>
      <c r="B103" s="266"/>
      <c r="C103" s="275"/>
      <c r="D103" s="276">
        <v>15.490333333333339</v>
      </c>
      <c r="E103" s="277">
        <v>3.8494827586206899</v>
      </c>
      <c r="F103" s="277">
        <f t="shared" si="27"/>
        <v>111.63500000000001</v>
      </c>
      <c r="G103" s="277">
        <v>84.322999999999993</v>
      </c>
      <c r="H103" s="281">
        <f t="shared" si="26"/>
        <v>0.75534554575178026</v>
      </c>
      <c r="I103" s="202">
        <v>2012.1420000000001</v>
      </c>
      <c r="J103" s="270">
        <v>47.72</v>
      </c>
      <c r="K103" s="275"/>
      <c r="L103" s="202">
        <v>547.79399999999998</v>
      </c>
      <c r="M103" s="275"/>
      <c r="N103" s="202">
        <v>932.09400000000005</v>
      </c>
      <c r="O103" s="270">
        <v>11.05</v>
      </c>
      <c r="P103" s="275"/>
      <c r="Q103" s="202">
        <v>918.24099999999999</v>
      </c>
      <c r="R103" s="199"/>
      <c r="S103" s="275"/>
      <c r="T103" s="275"/>
      <c r="U103" s="275"/>
      <c r="V103" s="278">
        <v>14.78</v>
      </c>
      <c r="W103" s="278">
        <v>15.397</v>
      </c>
      <c r="X103" s="278">
        <v>13.691000000000001</v>
      </c>
      <c r="Y103" s="278"/>
      <c r="Z103" s="278">
        <v>6.8310000000000004</v>
      </c>
      <c r="AA103" s="278">
        <v>11.847</v>
      </c>
      <c r="AB103" s="278">
        <v>15.372</v>
      </c>
      <c r="AC103" s="278">
        <v>6.4039999999999999</v>
      </c>
      <c r="AD103" s="279">
        <v>84.322000000000003</v>
      </c>
      <c r="AE103" s="278">
        <f t="shared" si="20"/>
        <v>84.322000000000003</v>
      </c>
      <c r="AF103" s="278">
        <f t="shared" si="21"/>
        <v>0</v>
      </c>
      <c r="AG103" s="278">
        <f t="shared" si="18"/>
        <v>-9.9999999999056399E-4</v>
      </c>
      <c r="AH103" s="202">
        <f t="shared" si="15"/>
        <v>-1.9080000000000013</v>
      </c>
      <c r="AI103" s="202">
        <f t="shared" si="16"/>
        <v>58.769999999999996</v>
      </c>
      <c r="AJ103" s="275"/>
      <c r="AK103" s="275"/>
      <c r="AL103" s="275"/>
      <c r="AM103" s="275"/>
      <c r="AN103" s="275"/>
      <c r="AO103" s="275"/>
      <c r="AP103" s="275"/>
      <c r="AQ103" s="275"/>
      <c r="AR103" s="275"/>
      <c r="AS103" s="275"/>
      <c r="AT103" s="275"/>
      <c r="AU103" s="275"/>
      <c r="AV103" s="275"/>
      <c r="AW103" s="275"/>
      <c r="AX103" s="275"/>
      <c r="AY103" s="275"/>
      <c r="AZ103" s="275"/>
      <c r="BA103" s="275"/>
      <c r="BB103" s="275"/>
      <c r="BC103" s="275"/>
      <c r="BE103" s="274">
        <f>G103/29</f>
        <v>2.9076896551724136</v>
      </c>
      <c r="BF103" s="280">
        <f t="shared" si="28"/>
        <v>98.9</v>
      </c>
      <c r="BG103" s="154" t="str">
        <f t="shared" si="25"/>
        <v/>
      </c>
      <c r="BH103" s="270">
        <f t="shared" si="23"/>
        <v>8.6000000000000298E-2</v>
      </c>
      <c r="BI103" s="270">
        <f t="shared" si="17"/>
        <v>2.000000000000135E-2</v>
      </c>
    </row>
    <row r="104" spans="1:61">
      <c r="A104" s="266">
        <v>32203</v>
      </c>
      <c r="B104" s="266"/>
      <c r="C104" s="275"/>
      <c r="D104" s="276">
        <v>16.410333333333341</v>
      </c>
      <c r="E104" s="277">
        <v>3.8494838709677421</v>
      </c>
      <c r="F104" s="277">
        <f t="shared" si="27"/>
        <v>119.334</v>
      </c>
      <c r="G104" s="277">
        <v>91.233000000000004</v>
      </c>
      <c r="H104" s="281">
        <f t="shared" si="26"/>
        <v>0.76451807531801497</v>
      </c>
      <c r="I104" s="202">
        <v>2180.0189999999998</v>
      </c>
      <c r="J104" s="270">
        <v>47.79</v>
      </c>
      <c r="K104" s="275"/>
      <c r="L104" s="202">
        <v>582.71699999999998</v>
      </c>
      <c r="M104" s="275"/>
      <c r="N104" s="202">
        <v>1010.567</v>
      </c>
      <c r="O104" s="270">
        <v>11.08</v>
      </c>
      <c r="P104" s="275"/>
      <c r="Q104" s="202">
        <v>882.78599999999994</v>
      </c>
      <c r="R104" s="199"/>
      <c r="S104" s="275"/>
      <c r="T104" s="275"/>
      <c r="U104" s="275"/>
      <c r="V104" s="278">
        <v>16.446000000000002</v>
      </c>
      <c r="W104" s="278">
        <v>16.905000000000001</v>
      </c>
      <c r="X104" s="278">
        <v>16.256</v>
      </c>
      <c r="Y104" s="278"/>
      <c r="Z104" s="278">
        <v>7.1989999999999998</v>
      </c>
      <c r="AA104" s="278">
        <v>10.948</v>
      </c>
      <c r="AB104" s="278">
        <v>16.353000000000002</v>
      </c>
      <c r="AC104" s="278">
        <v>7.1239999999999997</v>
      </c>
      <c r="AD104" s="279">
        <v>91.230999999999995</v>
      </c>
      <c r="AE104" s="278">
        <f t="shared" si="20"/>
        <v>91.230999999999995</v>
      </c>
      <c r="AF104" s="278">
        <f t="shared" si="21"/>
        <v>0</v>
      </c>
      <c r="AG104" s="278">
        <f t="shared" si="18"/>
        <v>-2.0000000000095497E-3</v>
      </c>
      <c r="AH104" s="202">
        <f t="shared" si="15"/>
        <v>0.98100000000000165</v>
      </c>
      <c r="AI104" s="202">
        <f t="shared" si="16"/>
        <v>58.87</v>
      </c>
      <c r="AJ104" s="275"/>
      <c r="AK104" s="275"/>
      <c r="AL104" s="275"/>
      <c r="AM104" s="275"/>
      <c r="AN104" s="275"/>
      <c r="AO104" s="275"/>
      <c r="AP104" s="275"/>
      <c r="AQ104" s="275"/>
      <c r="AR104" s="275"/>
      <c r="AS104" s="275"/>
      <c r="AT104" s="275"/>
      <c r="AU104" s="275"/>
      <c r="AV104" s="275"/>
      <c r="AW104" s="275"/>
      <c r="AX104" s="275"/>
      <c r="AY104" s="275"/>
      <c r="AZ104" s="275"/>
      <c r="BA104" s="275"/>
      <c r="BB104" s="275"/>
      <c r="BC104" s="275"/>
      <c r="BE104" s="274">
        <f t="shared" si="19"/>
        <v>2.9430000000000001</v>
      </c>
      <c r="BF104" s="280">
        <f t="shared" si="28"/>
        <v>101.4</v>
      </c>
      <c r="BG104" s="154" t="str">
        <f t="shared" si="25"/>
        <v/>
      </c>
      <c r="BH104" s="270">
        <f t="shared" si="23"/>
        <v>2.199999999999953E-2</v>
      </c>
      <c r="BI104" s="270">
        <f t="shared" si="17"/>
        <v>2.9999999999999361E-2</v>
      </c>
    </row>
    <row r="105" spans="1:61">
      <c r="A105" s="266">
        <v>32234</v>
      </c>
      <c r="B105" s="266"/>
      <c r="C105" s="275"/>
      <c r="D105" s="276">
        <v>14.942666666666653</v>
      </c>
      <c r="E105" s="277">
        <v>3.8328333333333333</v>
      </c>
      <c r="F105" s="277">
        <f t="shared" si="27"/>
        <v>114.985</v>
      </c>
      <c r="G105" s="277">
        <v>87.664000000000001</v>
      </c>
      <c r="H105" s="281">
        <f t="shared" si="26"/>
        <v>0.76239509501239289</v>
      </c>
      <c r="I105" s="202">
        <v>2089.4589999999998</v>
      </c>
      <c r="J105" s="270">
        <v>47.67</v>
      </c>
      <c r="K105" s="275"/>
      <c r="L105" s="202">
        <v>414.61099999999999</v>
      </c>
      <c r="M105" s="275"/>
      <c r="N105" s="202">
        <v>972.48500000000001</v>
      </c>
      <c r="O105" s="270">
        <v>11.09</v>
      </c>
      <c r="P105" s="275"/>
      <c r="Q105" s="202">
        <v>940.3</v>
      </c>
      <c r="R105" s="199"/>
      <c r="S105" s="275"/>
      <c r="T105" s="275"/>
      <c r="U105" s="275"/>
      <c r="V105" s="278">
        <v>15.877000000000001</v>
      </c>
      <c r="W105" s="278">
        <v>15.593</v>
      </c>
      <c r="X105" s="278">
        <v>16.617999999999999</v>
      </c>
      <c r="Y105" s="278"/>
      <c r="Z105" s="278">
        <v>7.5119999999999996</v>
      </c>
      <c r="AA105" s="278">
        <v>9.9499999999999993</v>
      </c>
      <c r="AB105" s="278">
        <v>15.833</v>
      </c>
      <c r="AC105" s="278">
        <v>6.2809999999999997</v>
      </c>
      <c r="AD105" s="279">
        <v>87.664000000000001</v>
      </c>
      <c r="AE105" s="278">
        <f t="shared" si="20"/>
        <v>87.664000000000001</v>
      </c>
      <c r="AF105" s="278">
        <f t="shared" si="21"/>
        <v>0</v>
      </c>
      <c r="AG105" s="278">
        <f t="shared" si="18"/>
        <v>0</v>
      </c>
      <c r="AH105" s="202">
        <f t="shared" si="15"/>
        <v>-0.52000000000000135</v>
      </c>
      <c r="AI105" s="202">
        <f t="shared" si="16"/>
        <v>58.760000000000005</v>
      </c>
      <c r="AJ105" s="275"/>
      <c r="AK105" s="275"/>
      <c r="AL105" s="275"/>
      <c r="AM105" s="275"/>
      <c r="AN105" s="275"/>
      <c r="AO105" s="275"/>
      <c r="AP105" s="275"/>
      <c r="AQ105" s="275"/>
      <c r="AR105" s="275"/>
      <c r="AS105" s="275"/>
      <c r="AT105" s="275"/>
      <c r="AU105" s="275"/>
      <c r="AV105" s="275"/>
      <c r="AW105" s="275"/>
      <c r="AX105" s="275"/>
      <c r="AY105" s="275"/>
      <c r="AZ105" s="275"/>
      <c r="BA105" s="275"/>
      <c r="BB105" s="275"/>
      <c r="BC105" s="275"/>
      <c r="BE105" s="274">
        <f>G105/30</f>
        <v>2.9221333333333335</v>
      </c>
      <c r="BF105" s="280">
        <f t="shared" si="28"/>
        <v>91.4</v>
      </c>
      <c r="BG105" s="154" t="str">
        <f t="shared" si="25"/>
        <v/>
      </c>
      <c r="BH105" s="270">
        <f t="shared" si="23"/>
        <v>4.800000000000075E-2</v>
      </c>
      <c r="BI105" s="270">
        <f t="shared" si="17"/>
        <v>9.9999999999997868E-3</v>
      </c>
    </row>
    <row r="106" spans="1:61">
      <c r="A106" s="266">
        <v>32264</v>
      </c>
      <c r="B106" s="266"/>
      <c r="C106" s="275"/>
      <c r="D106" s="276">
        <v>15.529666666666657</v>
      </c>
      <c r="E106" s="277">
        <v>3.8328387096774192</v>
      </c>
      <c r="F106" s="277">
        <f t="shared" si="27"/>
        <v>118.818</v>
      </c>
      <c r="G106" s="277">
        <v>82.477000000000004</v>
      </c>
      <c r="H106" s="281">
        <f t="shared" si="26"/>
        <v>0.6941456681647562</v>
      </c>
      <c r="I106" s="202">
        <v>1966.37</v>
      </c>
      <c r="J106" s="270">
        <v>47.68</v>
      </c>
      <c r="K106" s="275"/>
      <c r="L106" s="202">
        <v>474.20100000000002</v>
      </c>
      <c r="M106" s="275"/>
      <c r="N106" s="202">
        <v>919.09199999999998</v>
      </c>
      <c r="O106" s="270">
        <v>11.14</v>
      </c>
      <c r="P106" s="275"/>
      <c r="Q106" s="202">
        <v>917.14400000000001</v>
      </c>
      <c r="R106" s="199"/>
      <c r="S106" s="275"/>
      <c r="T106" s="275"/>
      <c r="U106" s="275"/>
      <c r="V106" s="278">
        <v>13.385</v>
      </c>
      <c r="W106" s="278">
        <v>13.891</v>
      </c>
      <c r="X106" s="278">
        <v>16.425999999999998</v>
      </c>
      <c r="Y106" s="278"/>
      <c r="Z106" s="278">
        <v>7.593</v>
      </c>
      <c r="AA106" s="278">
        <v>9.4039999999999999</v>
      </c>
      <c r="AB106" s="278">
        <v>14.737</v>
      </c>
      <c r="AC106" s="278">
        <v>7.0410000000000004</v>
      </c>
      <c r="AD106" s="279">
        <v>82.477000000000004</v>
      </c>
      <c r="AE106" s="278">
        <f t="shared" si="20"/>
        <v>82.47699999999999</v>
      </c>
      <c r="AF106" s="278">
        <f t="shared" si="21"/>
        <v>0</v>
      </c>
      <c r="AG106" s="278">
        <f t="shared" si="18"/>
        <v>0</v>
      </c>
      <c r="AH106" s="202">
        <f t="shared" si="15"/>
        <v>-1.0960000000000001</v>
      </c>
      <c r="AI106" s="202">
        <f t="shared" si="16"/>
        <v>58.82</v>
      </c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275"/>
      <c r="AU106" s="275"/>
      <c r="AV106" s="275"/>
      <c r="AW106" s="275"/>
      <c r="AX106" s="275"/>
      <c r="AY106" s="275"/>
      <c r="AZ106" s="275"/>
      <c r="BA106" s="275"/>
      <c r="BB106" s="275"/>
      <c r="BC106" s="275"/>
      <c r="BE106" s="274">
        <f t="shared" si="19"/>
        <v>2.6605483870967741</v>
      </c>
      <c r="BF106" s="280">
        <f t="shared" si="28"/>
        <v>93.2</v>
      </c>
      <c r="BG106" s="154" t="str">
        <f t="shared" si="25"/>
        <v/>
      </c>
      <c r="BH106" s="270">
        <f t="shared" si="23"/>
        <v>-5.9999999999998718E-3</v>
      </c>
      <c r="BI106" s="270">
        <f t="shared" si="17"/>
        <v>5.0000000000000711E-2</v>
      </c>
    </row>
    <row r="107" spans="1:61">
      <c r="A107" s="266">
        <v>32295</v>
      </c>
      <c r="B107" s="266"/>
      <c r="C107" s="275"/>
      <c r="D107" s="276">
        <v>14.094999999999999</v>
      </c>
      <c r="E107" s="277">
        <v>3.8328333333333333</v>
      </c>
      <c r="F107" s="277">
        <f t="shared" si="27"/>
        <v>114.985</v>
      </c>
      <c r="G107" s="277">
        <v>75.135000000000005</v>
      </c>
      <c r="H107" s="281">
        <f t="shared" si="26"/>
        <v>0.65343305648562866</v>
      </c>
      <c r="I107" s="202">
        <v>1792.9269999999999</v>
      </c>
      <c r="J107" s="270">
        <v>47.73</v>
      </c>
      <c r="K107" s="275"/>
      <c r="L107" s="202">
        <v>201.06100000000001</v>
      </c>
      <c r="M107" s="275"/>
      <c r="N107" s="202">
        <v>842.43299999999999</v>
      </c>
      <c r="O107" s="270">
        <v>11.21</v>
      </c>
      <c r="P107" s="275"/>
      <c r="Q107" s="202">
        <v>838.68100000000004</v>
      </c>
      <c r="R107" s="199"/>
      <c r="S107" s="275"/>
      <c r="T107" s="275"/>
      <c r="U107" s="275"/>
      <c r="V107" s="278">
        <v>11.067</v>
      </c>
      <c r="W107" s="278">
        <v>12.813000000000001</v>
      </c>
      <c r="X107" s="278">
        <v>14.914999999999999</v>
      </c>
      <c r="Y107" s="278"/>
      <c r="Z107" s="278">
        <v>6.258</v>
      </c>
      <c r="AA107" s="278">
        <v>8.5389999999999997</v>
      </c>
      <c r="AB107" s="278">
        <v>14.853999999999999</v>
      </c>
      <c r="AC107" s="278">
        <v>6.6890000000000001</v>
      </c>
      <c r="AD107" s="279">
        <v>75.135000000000005</v>
      </c>
      <c r="AE107" s="278">
        <f t="shared" si="20"/>
        <v>75.134999999999991</v>
      </c>
      <c r="AF107" s="278">
        <f t="shared" si="21"/>
        <v>0</v>
      </c>
      <c r="AG107" s="278">
        <f t="shared" si="18"/>
        <v>0</v>
      </c>
      <c r="AH107" s="202">
        <f t="shared" si="15"/>
        <v>0.1169999999999991</v>
      </c>
      <c r="AI107" s="202">
        <f t="shared" si="16"/>
        <v>58.94</v>
      </c>
      <c r="AJ107" s="275"/>
      <c r="AK107" s="275"/>
      <c r="AL107" s="275"/>
      <c r="AM107" s="275"/>
      <c r="AN107" s="275"/>
      <c r="AO107" s="275"/>
      <c r="AP107" s="275"/>
      <c r="AQ107" s="275"/>
      <c r="AR107" s="275"/>
      <c r="AS107" s="275"/>
      <c r="AT107" s="275"/>
      <c r="AU107" s="275"/>
      <c r="AV107" s="275"/>
      <c r="AW107" s="275"/>
      <c r="AX107" s="275"/>
      <c r="AY107" s="275"/>
      <c r="AZ107" s="275"/>
      <c r="BA107" s="275"/>
      <c r="BB107" s="275"/>
      <c r="BC107" s="275"/>
      <c r="BE107" s="274">
        <f>G107/30</f>
        <v>2.5045000000000002</v>
      </c>
      <c r="BF107" s="280">
        <f t="shared" si="28"/>
        <v>81.900000000000006</v>
      </c>
      <c r="BG107" s="154" t="str">
        <f t="shared" si="25"/>
        <v/>
      </c>
      <c r="BH107" s="270">
        <f t="shared" si="23"/>
        <v>5.1999999999999956E-2</v>
      </c>
      <c r="BI107" s="270">
        <f t="shared" si="17"/>
        <v>7.0000000000000284E-2</v>
      </c>
    </row>
    <row r="108" spans="1:61">
      <c r="A108" s="266">
        <v>32325</v>
      </c>
      <c r="B108" s="266"/>
      <c r="C108" s="275"/>
      <c r="D108" s="276">
        <v>11.450999999999993</v>
      </c>
      <c r="E108" s="277">
        <v>3.8330645161290322</v>
      </c>
      <c r="F108" s="277">
        <f t="shared" si="27"/>
        <v>118.825</v>
      </c>
      <c r="G108" s="277">
        <v>76.569000000000003</v>
      </c>
      <c r="H108" s="281">
        <f t="shared" si="26"/>
        <v>0.64438459920050495</v>
      </c>
      <c r="I108" s="202">
        <v>1835.24</v>
      </c>
      <c r="J108" s="270">
        <v>47.94</v>
      </c>
      <c r="K108" s="275"/>
      <c r="L108" s="202">
        <v>269.26</v>
      </c>
      <c r="M108" s="275"/>
      <c r="N108" s="202">
        <v>866.74199999999996</v>
      </c>
      <c r="O108" s="270">
        <v>11.32</v>
      </c>
      <c r="P108" s="275"/>
      <c r="Q108" s="202">
        <v>775.41099999999994</v>
      </c>
      <c r="R108" s="199"/>
      <c r="S108" s="275"/>
      <c r="T108" s="275"/>
      <c r="U108" s="275"/>
      <c r="V108" s="278">
        <v>12.071</v>
      </c>
      <c r="W108" s="278">
        <v>14.276</v>
      </c>
      <c r="X108" s="278">
        <v>14.603</v>
      </c>
      <c r="Y108" s="278"/>
      <c r="Z108" s="278">
        <v>7.2590000000000003</v>
      </c>
      <c r="AA108" s="278">
        <v>8.7769999999999992</v>
      </c>
      <c r="AB108" s="278">
        <v>12.84</v>
      </c>
      <c r="AC108" s="278">
        <v>6.7469999999999999</v>
      </c>
      <c r="AD108" s="279">
        <v>76.572999999999993</v>
      </c>
      <c r="AE108" s="278">
        <f t="shared" si="20"/>
        <v>76.573000000000008</v>
      </c>
      <c r="AF108" s="278">
        <f t="shared" si="21"/>
        <v>0</v>
      </c>
      <c r="AG108" s="278">
        <f t="shared" si="18"/>
        <v>4.0000000000048885E-3</v>
      </c>
      <c r="AH108" s="202">
        <f t="shared" si="15"/>
        <v>-2.0139999999999993</v>
      </c>
      <c r="AI108" s="202">
        <f t="shared" si="16"/>
        <v>59.26</v>
      </c>
      <c r="AJ108" s="275"/>
      <c r="AK108" s="275"/>
      <c r="AL108" s="275"/>
      <c r="AM108" s="275"/>
      <c r="AN108" s="275"/>
      <c r="AO108" s="275"/>
      <c r="AP108" s="275"/>
      <c r="AQ108" s="275"/>
      <c r="AR108" s="275"/>
      <c r="AS108" s="275"/>
      <c r="AT108" s="275"/>
      <c r="AU108" s="275"/>
      <c r="AV108" s="275"/>
      <c r="AW108" s="275"/>
      <c r="AX108" s="275"/>
      <c r="AY108" s="275"/>
      <c r="AZ108" s="275"/>
      <c r="BA108" s="275"/>
      <c r="BB108" s="275"/>
      <c r="BC108" s="275"/>
      <c r="BE108" s="274">
        <f t="shared" si="19"/>
        <v>2.4699677419354837</v>
      </c>
      <c r="BF108" s="280">
        <f t="shared" si="28"/>
        <v>84.1</v>
      </c>
      <c r="BG108" s="154" t="str">
        <f t="shared" si="25"/>
        <v/>
      </c>
      <c r="BH108" s="270">
        <f t="shared" si="23"/>
        <v>-3.0000000000000072E-2</v>
      </c>
      <c r="BI108" s="270">
        <f t="shared" si="17"/>
        <v>0.10999999999999943</v>
      </c>
    </row>
    <row r="109" spans="1:61">
      <c r="A109" s="266">
        <v>32356</v>
      </c>
      <c r="B109" s="266"/>
      <c r="C109" s="275"/>
      <c r="D109" s="276">
        <v>6.9326666666666625</v>
      </c>
      <c r="E109" s="277">
        <v>3.8330645161290322</v>
      </c>
      <c r="F109" s="277">
        <f t="shared" si="27"/>
        <v>118.825</v>
      </c>
      <c r="G109" s="277">
        <v>71.334000000000003</v>
      </c>
      <c r="H109" s="281">
        <f t="shared" si="26"/>
        <v>0.60032821375973067</v>
      </c>
      <c r="I109" s="202">
        <v>1704.1320000000001</v>
      </c>
      <c r="J109" s="270">
        <v>47.78</v>
      </c>
      <c r="K109" s="275"/>
      <c r="L109" s="202">
        <v>265.57499999999999</v>
      </c>
      <c r="M109" s="275"/>
      <c r="N109" s="202">
        <v>798.27599999999995</v>
      </c>
      <c r="O109" s="270">
        <v>11.19</v>
      </c>
      <c r="P109" s="275"/>
      <c r="Q109" s="202">
        <v>638.52700000000004</v>
      </c>
      <c r="R109" s="199"/>
      <c r="S109" s="275"/>
      <c r="T109" s="275"/>
      <c r="U109" s="275"/>
      <c r="V109" s="278">
        <v>9.8379999999999992</v>
      </c>
      <c r="W109" s="278">
        <v>13.252000000000001</v>
      </c>
      <c r="X109" s="278">
        <v>12.483000000000001</v>
      </c>
      <c r="Y109" s="278"/>
      <c r="Z109" s="278">
        <v>6.8289999999999997</v>
      </c>
      <c r="AA109" s="278">
        <v>8.4629999999999992</v>
      </c>
      <c r="AB109" s="278">
        <v>13.821999999999999</v>
      </c>
      <c r="AC109" s="278">
        <v>6.6470000000000002</v>
      </c>
      <c r="AD109" s="279">
        <v>71.334000000000003</v>
      </c>
      <c r="AE109" s="278">
        <f t="shared" si="20"/>
        <v>71.334000000000003</v>
      </c>
      <c r="AF109" s="278">
        <f t="shared" si="21"/>
        <v>0</v>
      </c>
      <c r="AG109" s="278">
        <f t="shared" si="18"/>
        <v>0</v>
      </c>
      <c r="AH109" s="202">
        <f t="shared" si="15"/>
        <v>0.98199999999999932</v>
      </c>
      <c r="AI109" s="202">
        <f t="shared" si="16"/>
        <v>58.97</v>
      </c>
      <c r="AJ109" s="275"/>
      <c r="AK109" s="275"/>
      <c r="AL109" s="275"/>
      <c r="AM109" s="275"/>
      <c r="AN109" s="275"/>
      <c r="AO109" s="275"/>
      <c r="AP109" s="275"/>
      <c r="AQ109" s="275"/>
      <c r="AR109" s="275"/>
      <c r="AS109" s="275"/>
      <c r="AT109" s="275"/>
      <c r="AU109" s="275"/>
      <c r="AV109" s="275"/>
      <c r="AW109" s="275"/>
      <c r="AX109" s="275"/>
      <c r="AY109" s="275"/>
      <c r="AZ109" s="275"/>
      <c r="BA109" s="275"/>
      <c r="BB109" s="275"/>
      <c r="BC109" s="275"/>
      <c r="BE109" s="274">
        <f t="shared" si="19"/>
        <v>2.3010967741935486</v>
      </c>
      <c r="BF109" s="280">
        <f>MAX(G97,G85,G73,G61,G49,G37,G25,G13)</f>
        <v>85</v>
      </c>
      <c r="BG109" s="154" t="str">
        <f t="shared" si="25"/>
        <v/>
      </c>
      <c r="BH109" s="270">
        <f t="shared" si="23"/>
        <v>6.5999999999999656E-2</v>
      </c>
      <c r="BI109" s="270">
        <f t="shared" si="17"/>
        <v>-0.13000000000000078</v>
      </c>
    </row>
    <row r="110" spans="1:61">
      <c r="A110" s="266">
        <v>32387</v>
      </c>
      <c r="B110" s="266"/>
      <c r="C110" s="275"/>
      <c r="D110" s="276">
        <v>9.6009999999999991</v>
      </c>
      <c r="E110" s="277">
        <v>3.8330666666666668</v>
      </c>
      <c r="F110" s="277">
        <f t="shared" si="27"/>
        <v>114.992</v>
      </c>
      <c r="G110" s="277">
        <v>70.289000000000001</v>
      </c>
      <c r="H110" s="281">
        <f t="shared" si="26"/>
        <v>0.61125121747599831</v>
      </c>
      <c r="I110" s="202">
        <v>1670.3810000000001</v>
      </c>
      <c r="J110" s="270">
        <v>47.53</v>
      </c>
      <c r="K110" s="275"/>
      <c r="L110" s="202">
        <v>217.03800000000001</v>
      </c>
      <c r="M110" s="275"/>
      <c r="N110" s="202">
        <v>795.10599999999999</v>
      </c>
      <c r="O110" s="270">
        <v>11.31</v>
      </c>
      <c r="P110" s="275"/>
      <c r="Q110" s="202">
        <v>592.26</v>
      </c>
      <c r="R110" s="199"/>
      <c r="S110" s="275"/>
      <c r="T110" s="275"/>
      <c r="U110" s="275"/>
      <c r="V110" s="278">
        <v>11.948</v>
      </c>
      <c r="W110" s="278">
        <v>13.413</v>
      </c>
      <c r="X110" s="278">
        <v>11.404999999999999</v>
      </c>
      <c r="Y110" s="278"/>
      <c r="Z110" s="278">
        <v>4.9349999999999996</v>
      </c>
      <c r="AA110" s="278">
        <v>8.5549999999999997</v>
      </c>
      <c r="AB110" s="278">
        <v>13.579000000000001</v>
      </c>
      <c r="AC110" s="278">
        <v>6.4550000000000001</v>
      </c>
      <c r="AD110" s="279">
        <v>70.290000000000006</v>
      </c>
      <c r="AE110" s="278">
        <f t="shared" si="20"/>
        <v>70.290000000000006</v>
      </c>
      <c r="AF110" s="278">
        <f t="shared" si="21"/>
        <v>0</v>
      </c>
      <c r="AG110" s="278">
        <f t="shared" si="18"/>
        <v>1.0000000000047748E-3</v>
      </c>
      <c r="AH110" s="202">
        <f t="shared" si="15"/>
        <v>-0.24299999999999855</v>
      </c>
      <c r="AI110" s="202">
        <f t="shared" si="16"/>
        <v>58.84</v>
      </c>
      <c r="AJ110" s="275"/>
      <c r="AK110" s="275"/>
      <c r="AL110" s="275"/>
      <c r="AM110" s="275"/>
      <c r="AN110" s="275"/>
      <c r="AO110" s="275"/>
      <c r="AP110" s="275"/>
      <c r="AQ110" s="275"/>
      <c r="AR110" s="275"/>
      <c r="AS110" s="275"/>
      <c r="AT110" s="275"/>
      <c r="AU110" s="275"/>
      <c r="AV110" s="275"/>
      <c r="AW110" s="275"/>
      <c r="AX110" s="275"/>
      <c r="AY110" s="275"/>
      <c r="AZ110" s="275"/>
      <c r="BA110" s="275"/>
      <c r="BB110" s="275"/>
      <c r="BC110" s="275"/>
      <c r="BE110" s="274">
        <f>G110/30</f>
        <v>2.3429666666666669</v>
      </c>
      <c r="BF110" s="280">
        <f t="shared" ref="BF110:BF120" si="29">MAX(G98,G86,G74,G62,G50,G38,G26,G14,G2)</f>
        <v>86.1</v>
      </c>
      <c r="BG110" s="154" t="str">
        <f t="shared" si="25"/>
        <v/>
      </c>
      <c r="BH110" s="270">
        <f t="shared" si="23"/>
        <v>7.1999999999999884E-2</v>
      </c>
      <c r="BI110" s="270">
        <f t="shared" si="17"/>
        <v>0.12000000000000099</v>
      </c>
    </row>
    <row r="111" spans="1:61">
      <c r="A111" s="266">
        <v>32417</v>
      </c>
      <c r="B111" s="266"/>
      <c r="C111" s="275"/>
      <c r="D111" s="276">
        <v>14.568666666666672</v>
      </c>
      <c r="E111" s="277">
        <v>3.8189677419354839</v>
      </c>
      <c r="F111" s="277">
        <f t="shared" si="27"/>
        <v>118.38800000000001</v>
      </c>
      <c r="G111" s="277">
        <v>79.878</v>
      </c>
      <c r="H111" s="281">
        <f t="shared" si="26"/>
        <v>0.67471365341081868</v>
      </c>
      <c r="I111" s="202">
        <v>1886.779</v>
      </c>
      <c r="J111" s="270">
        <v>47.24</v>
      </c>
      <c r="K111" s="275"/>
      <c r="L111" s="202">
        <v>248.80799999999999</v>
      </c>
      <c r="M111" s="275"/>
      <c r="N111" s="202">
        <v>889.76499999999999</v>
      </c>
      <c r="O111" s="270">
        <v>11.14</v>
      </c>
      <c r="P111" s="275"/>
      <c r="Q111" s="202">
        <v>616.6</v>
      </c>
      <c r="R111" s="199"/>
      <c r="S111" s="275"/>
      <c r="T111" s="275"/>
      <c r="U111" s="275"/>
      <c r="V111" s="278">
        <v>13.082000000000001</v>
      </c>
      <c r="W111" s="278">
        <v>14.664</v>
      </c>
      <c r="X111" s="278">
        <v>14.384</v>
      </c>
      <c r="Y111" s="278"/>
      <c r="Z111" s="278">
        <v>4.343</v>
      </c>
      <c r="AA111" s="278">
        <v>11.407999999999999</v>
      </c>
      <c r="AB111" s="278">
        <v>15.632</v>
      </c>
      <c r="AC111" s="278">
        <v>6.3650000000000002</v>
      </c>
      <c r="AD111" s="279">
        <v>79.878</v>
      </c>
      <c r="AE111" s="278">
        <f t="shared" si="20"/>
        <v>79.878</v>
      </c>
      <c r="AF111" s="278">
        <f t="shared" si="21"/>
        <v>0</v>
      </c>
      <c r="AG111" s="278">
        <f t="shared" si="18"/>
        <v>0</v>
      </c>
      <c r="AH111" s="202">
        <f t="shared" si="15"/>
        <v>2.052999999999999</v>
      </c>
      <c r="AI111" s="202">
        <f t="shared" si="16"/>
        <v>58.38</v>
      </c>
      <c r="AJ111" s="275"/>
      <c r="AK111" s="275"/>
      <c r="AL111" s="275"/>
      <c r="AM111" s="275"/>
      <c r="AN111" s="275"/>
      <c r="AO111" s="275"/>
      <c r="AP111" s="275"/>
      <c r="AQ111" s="275"/>
      <c r="AR111" s="275"/>
      <c r="AS111" s="275"/>
      <c r="AT111" s="275"/>
      <c r="AU111" s="275"/>
      <c r="AV111" s="275"/>
      <c r="AW111" s="275"/>
      <c r="AX111" s="275"/>
      <c r="AY111" s="275"/>
      <c r="AZ111" s="275"/>
      <c r="BA111" s="275"/>
      <c r="BB111" s="275"/>
      <c r="BC111" s="275"/>
      <c r="BE111" s="274">
        <f t="shared" si="19"/>
        <v>2.576709677419355</v>
      </c>
      <c r="BF111" s="280">
        <f t="shared" si="29"/>
        <v>104.3</v>
      </c>
      <c r="BG111" s="154" t="str">
        <f t="shared" si="25"/>
        <v/>
      </c>
      <c r="BH111" s="270">
        <f t="shared" si="23"/>
        <v>-0.20199999999999996</v>
      </c>
      <c r="BI111" s="270">
        <f t="shared" si="17"/>
        <v>-0.16999999999999993</v>
      </c>
    </row>
    <row r="112" spans="1:61">
      <c r="A112" s="266">
        <v>32448</v>
      </c>
      <c r="B112" s="266"/>
      <c r="C112" s="275"/>
      <c r="D112" s="276">
        <v>14.987333333333325</v>
      </c>
      <c r="E112" s="277">
        <v>3.8189666666666668</v>
      </c>
      <c r="F112" s="277">
        <f t="shared" si="27"/>
        <v>114.569</v>
      </c>
      <c r="G112" s="277">
        <v>86.046000000000006</v>
      </c>
      <c r="H112" s="281">
        <f t="shared" si="26"/>
        <v>0.75104085747453508</v>
      </c>
      <c r="I112" s="202">
        <v>2042.146</v>
      </c>
      <c r="J112" s="270">
        <v>47.47</v>
      </c>
      <c r="K112" s="275"/>
      <c r="L112" s="202">
        <v>366.35599999999999</v>
      </c>
      <c r="M112" s="275"/>
      <c r="N112" s="202">
        <v>951.10799999999995</v>
      </c>
      <c r="O112" s="270">
        <v>11.05</v>
      </c>
      <c r="P112" s="275"/>
      <c r="Q112" s="202">
        <v>720.41700000000003</v>
      </c>
      <c r="R112" s="199"/>
      <c r="S112" s="275"/>
      <c r="T112" s="275"/>
      <c r="U112" s="275"/>
      <c r="V112" s="278">
        <v>13.507</v>
      </c>
      <c r="W112" s="278">
        <v>15.872999999999999</v>
      </c>
      <c r="X112" s="278">
        <v>16.334</v>
      </c>
      <c r="Y112" s="278"/>
      <c r="Z112" s="278">
        <v>5.3310000000000004</v>
      </c>
      <c r="AA112" s="278">
        <v>11.429</v>
      </c>
      <c r="AB112" s="278">
        <v>16.5</v>
      </c>
      <c r="AC112" s="278">
        <v>7.0720000000000001</v>
      </c>
      <c r="AD112" s="279">
        <v>86.046000000000006</v>
      </c>
      <c r="AE112" s="278">
        <f t="shared" si="20"/>
        <v>86.046000000000006</v>
      </c>
      <c r="AF112" s="278">
        <f t="shared" si="21"/>
        <v>0</v>
      </c>
      <c r="AG112" s="278">
        <f t="shared" si="18"/>
        <v>0</v>
      </c>
      <c r="AH112" s="202">
        <f t="shared" si="15"/>
        <v>0.86800000000000033</v>
      </c>
      <c r="AI112" s="202">
        <f t="shared" si="16"/>
        <v>58.519999999999996</v>
      </c>
      <c r="AJ112" s="275"/>
      <c r="AK112" s="275"/>
      <c r="AL112" s="275"/>
      <c r="AM112" s="275"/>
      <c r="AN112" s="275"/>
      <c r="AO112" s="275"/>
      <c r="AP112" s="275"/>
      <c r="AQ112" s="275"/>
      <c r="AR112" s="275"/>
      <c r="AS112" s="275"/>
      <c r="AT112" s="275"/>
      <c r="AU112" s="275"/>
      <c r="AV112" s="275"/>
      <c r="AW112" s="275"/>
      <c r="AX112" s="275"/>
      <c r="AY112" s="275"/>
      <c r="AZ112" s="275"/>
      <c r="BA112" s="275"/>
      <c r="BB112" s="275"/>
      <c r="BC112" s="275"/>
      <c r="BE112" s="274">
        <f>G112/30</f>
        <v>2.8682000000000003</v>
      </c>
      <c r="BF112" s="280">
        <f t="shared" si="29"/>
        <v>107.6</v>
      </c>
      <c r="BG112" s="154" t="str">
        <f t="shared" si="25"/>
        <v/>
      </c>
      <c r="BH112" s="270">
        <f t="shared" si="23"/>
        <v>-6.1999999999999743E-2</v>
      </c>
      <c r="BI112" s="270">
        <f t="shared" si="17"/>
        <v>-8.9999999999999858E-2</v>
      </c>
    </row>
    <row r="113" spans="1:61">
      <c r="A113" s="266">
        <v>32478</v>
      </c>
      <c r="B113" s="266"/>
      <c r="C113" s="275"/>
      <c r="D113" s="276">
        <v>14.020666666666671</v>
      </c>
      <c r="E113" s="277">
        <v>3.8189354838709679</v>
      </c>
      <c r="F113" s="277">
        <f t="shared" si="27"/>
        <v>118.387</v>
      </c>
      <c r="G113" s="277">
        <v>86.695999999999998</v>
      </c>
      <c r="H113" s="281">
        <f t="shared" si="26"/>
        <v>0.73231013540338041</v>
      </c>
      <c r="I113" s="202">
        <v>2053.915</v>
      </c>
      <c r="J113" s="270">
        <v>47.38</v>
      </c>
      <c r="K113" s="275"/>
      <c r="L113" s="202">
        <v>405.75</v>
      </c>
      <c r="M113" s="275"/>
      <c r="N113" s="202">
        <v>946.09299999999996</v>
      </c>
      <c r="O113" s="270">
        <v>10.91</v>
      </c>
      <c r="P113" s="275"/>
      <c r="Q113" s="202">
        <v>833.47799999999995</v>
      </c>
      <c r="R113" s="199"/>
      <c r="S113" s="275"/>
      <c r="T113" s="275"/>
      <c r="U113" s="275"/>
      <c r="V113" s="278">
        <v>14.053000000000001</v>
      </c>
      <c r="W113" s="278">
        <v>16.151</v>
      </c>
      <c r="X113" s="278">
        <v>16.614999999999998</v>
      </c>
      <c r="Y113" s="278"/>
      <c r="Z113" s="278">
        <v>5.1989999999999998</v>
      </c>
      <c r="AA113" s="278">
        <v>11.292</v>
      </c>
      <c r="AB113" s="278">
        <v>16.716000000000001</v>
      </c>
      <c r="AC113" s="278">
        <v>6.67</v>
      </c>
      <c r="AD113" s="279">
        <v>86.695999999999998</v>
      </c>
      <c r="AE113" s="278">
        <f t="shared" si="20"/>
        <v>86.696000000000012</v>
      </c>
      <c r="AF113" s="278">
        <f t="shared" si="21"/>
        <v>0</v>
      </c>
      <c r="AG113" s="278">
        <f t="shared" si="18"/>
        <v>0</v>
      </c>
      <c r="AH113" s="202">
        <f t="shared" si="15"/>
        <v>0.21600000000000108</v>
      </c>
      <c r="AI113" s="202">
        <f t="shared" si="16"/>
        <v>58.290000000000006</v>
      </c>
      <c r="AJ113" s="275"/>
      <c r="AK113" s="275"/>
      <c r="AL113" s="275"/>
      <c r="AM113" s="275"/>
      <c r="AN113" s="275"/>
      <c r="AO113" s="275"/>
      <c r="AP113" s="275"/>
      <c r="AQ113" s="275"/>
      <c r="AR113" s="275"/>
      <c r="AS113" s="275"/>
      <c r="AT113" s="275"/>
      <c r="AU113" s="275"/>
      <c r="AV113" s="275"/>
      <c r="AW113" s="275"/>
      <c r="AX113" s="275"/>
      <c r="AY113" s="275"/>
      <c r="AZ113" s="275"/>
      <c r="BA113" s="275"/>
      <c r="BB113" s="275"/>
      <c r="BC113" s="275"/>
      <c r="BE113" s="274">
        <f t="shared" si="19"/>
        <v>2.7966451612903227</v>
      </c>
      <c r="BF113" s="280">
        <f t="shared" si="29"/>
        <v>111.6</v>
      </c>
      <c r="BG113" s="154" t="str">
        <f t="shared" si="25"/>
        <v/>
      </c>
      <c r="BH113" s="270">
        <f t="shared" si="23"/>
        <v>2.0000000000003127E-3</v>
      </c>
      <c r="BI113" s="270">
        <f t="shared" si="17"/>
        <v>-0.14000000000000057</v>
      </c>
    </row>
    <row r="114" spans="1:61">
      <c r="A114" s="266">
        <v>32509</v>
      </c>
      <c r="B114" s="266"/>
      <c r="C114" s="275"/>
      <c r="D114" s="276">
        <v>13.554666666666677</v>
      </c>
      <c r="E114" s="277">
        <v>3.846709677419355</v>
      </c>
      <c r="F114" s="277">
        <f t="shared" si="27"/>
        <v>119.248</v>
      </c>
      <c r="G114" s="277">
        <v>86.221999999999994</v>
      </c>
      <c r="H114" s="281">
        <f t="shared" si="26"/>
        <v>0.72304776600026832</v>
      </c>
      <c r="I114" s="202">
        <v>2046.3140000000001</v>
      </c>
      <c r="J114" s="270">
        <v>47.47</v>
      </c>
      <c r="K114" s="275"/>
      <c r="L114" s="202">
        <v>420.45299999999997</v>
      </c>
      <c r="M114" s="275"/>
      <c r="N114" s="202">
        <v>960.72799999999995</v>
      </c>
      <c r="O114" s="270">
        <v>11.14</v>
      </c>
      <c r="P114" s="275"/>
      <c r="Q114" s="202">
        <v>965.29499999999996</v>
      </c>
      <c r="R114" s="199"/>
      <c r="S114" s="275"/>
      <c r="T114" s="275"/>
      <c r="U114" s="275"/>
      <c r="V114" s="278">
        <v>13.662000000000001</v>
      </c>
      <c r="W114" s="278">
        <v>15.954000000000001</v>
      </c>
      <c r="X114" s="278">
        <v>16.527999999999999</v>
      </c>
      <c r="Y114" s="278"/>
      <c r="Z114" s="278">
        <v>4.8979999999999997</v>
      </c>
      <c r="AA114" s="278">
        <v>11.491</v>
      </c>
      <c r="AB114" s="278">
        <v>16.908999999999999</v>
      </c>
      <c r="AC114" s="278">
        <v>6.7789999999999999</v>
      </c>
      <c r="AD114" s="279">
        <v>86.221000000000004</v>
      </c>
      <c r="AE114" s="278">
        <f t="shared" si="20"/>
        <v>86.221000000000004</v>
      </c>
      <c r="AF114" s="278">
        <f t="shared" si="21"/>
        <v>0</v>
      </c>
      <c r="AG114" s="278">
        <f t="shared" si="18"/>
        <v>-9.9999999999056399E-4</v>
      </c>
      <c r="AH114" s="202">
        <f t="shared" si="15"/>
        <v>0.19299999999999784</v>
      </c>
      <c r="AI114" s="202">
        <f t="shared" si="16"/>
        <v>58.61</v>
      </c>
      <c r="AJ114" s="275"/>
      <c r="AK114" s="275"/>
      <c r="AL114" s="275"/>
      <c r="AM114" s="275"/>
      <c r="AN114" s="275"/>
      <c r="AO114" s="275"/>
      <c r="AP114" s="275"/>
      <c r="AQ114" s="275"/>
      <c r="AR114" s="275"/>
      <c r="AS114" s="275"/>
      <c r="AT114" s="275"/>
      <c r="AU114" s="275"/>
      <c r="AV114" s="275"/>
      <c r="AW114" s="275"/>
      <c r="AX114" s="275"/>
      <c r="AY114" s="275"/>
      <c r="AZ114" s="275"/>
      <c r="BA114" s="275"/>
      <c r="BB114" s="275"/>
      <c r="BC114" s="275"/>
      <c r="BE114" s="274">
        <f t="shared" si="19"/>
        <v>2.7813548387096771</v>
      </c>
      <c r="BF114" s="280">
        <f t="shared" si="29"/>
        <v>110</v>
      </c>
      <c r="BG114" s="154" t="str">
        <f t="shared" si="25"/>
        <v/>
      </c>
      <c r="BH114" s="270">
        <f t="shared" si="23"/>
        <v>3.7999999999999187E-2</v>
      </c>
      <c r="BI114" s="270">
        <f t="shared" si="17"/>
        <v>0.23000000000000043</v>
      </c>
    </row>
    <row r="115" spans="1:61">
      <c r="A115" s="266">
        <v>32540</v>
      </c>
      <c r="B115" s="266"/>
      <c r="C115" s="275"/>
      <c r="D115" s="276">
        <v>13.099333333333334</v>
      </c>
      <c r="E115" s="277">
        <v>3.8467500000000001</v>
      </c>
      <c r="F115" s="277">
        <f t="shared" si="27"/>
        <v>107.709</v>
      </c>
      <c r="G115" s="277">
        <v>72.703999999999994</v>
      </c>
      <c r="H115" s="281">
        <f t="shared" si="26"/>
        <v>0.67500394581696976</v>
      </c>
      <c r="I115" s="202">
        <v>1720.377</v>
      </c>
      <c r="J115" s="270">
        <v>47.33</v>
      </c>
      <c r="K115" s="275"/>
      <c r="L115" s="202">
        <v>409.46</v>
      </c>
      <c r="M115" s="275"/>
      <c r="N115" s="202">
        <v>796.56899999999996</v>
      </c>
      <c r="O115" s="270">
        <v>10.96</v>
      </c>
      <c r="P115" s="275"/>
      <c r="Q115" s="202">
        <v>991.77599999999995</v>
      </c>
      <c r="R115" s="199"/>
      <c r="S115" s="275"/>
      <c r="T115" s="275"/>
      <c r="U115" s="275"/>
      <c r="V115" s="278">
        <v>11.657999999999999</v>
      </c>
      <c r="W115" s="278">
        <v>13.128</v>
      </c>
      <c r="X115" s="278">
        <v>14.473000000000001</v>
      </c>
      <c r="Y115" s="278"/>
      <c r="Z115" s="278">
        <v>4.3490000000000002</v>
      </c>
      <c r="AA115" s="278">
        <v>9.6929999999999996</v>
      </c>
      <c r="AB115" s="278">
        <v>13.324</v>
      </c>
      <c r="AC115" s="278">
        <v>6.0990000000000002</v>
      </c>
      <c r="AD115" s="279">
        <v>72.724000000000004</v>
      </c>
      <c r="AE115" s="278">
        <f t="shared" si="20"/>
        <v>72.724000000000004</v>
      </c>
      <c r="AF115" s="278">
        <f t="shared" si="21"/>
        <v>0</v>
      </c>
      <c r="AG115" s="278">
        <f t="shared" si="18"/>
        <v>2.0000000000010232E-2</v>
      </c>
      <c r="AH115" s="202">
        <f t="shared" si="15"/>
        <v>-3.5849999999999991</v>
      </c>
      <c r="AI115" s="202">
        <f t="shared" si="16"/>
        <v>58.29</v>
      </c>
      <c r="AJ115" s="275"/>
      <c r="AK115" s="275"/>
      <c r="AL115" s="275"/>
      <c r="AM115" s="275"/>
      <c r="AN115" s="275"/>
      <c r="AO115" s="275"/>
      <c r="AP115" s="275"/>
      <c r="AQ115" s="275"/>
      <c r="AR115" s="275"/>
      <c r="AS115" s="275"/>
      <c r="AT115" s="275"/>
      <c r="AU115" s="275"/>
      <c r="AV115" s="275"/>
      <c r="AW115" s="275"/>
      <c r="AX115" s="275"/>
      <c r="AY115" s="275"/>
      <c r="AZ115" s="275"/>
      <c r="BA115" s="275"/>
      <c r="BB115" s="275"/>
      <c r="BC115" s="275"/>
      <c r="BE115" s="274">
        <f>G115/28</f>
        <v>2.5965714285714285</v>
      </c>
      <c r="BF115" s="280">
        <f t="shared" si="29"/>
        <v>98.9</v>
      </c>
      <c r="BG115" s="154" t="str">
        <f t="shared" si="25"/>
        <v/>
      </c>
      <c r="BH115" s="270">
        <f t="shared" si="23"/>
        <v>7.0000000000000645E-2</v>
      </c>
      <c r="BI115" s="270">
        <f t="shared" si="17"/>
        <v>-0.17999999999999972</v>
      </c>
    </row>
    <row r="116" spans="1:61">
      <c r="A116" s="266">
        <v>32568</v>
      </c>
      <c r="B116" s="266"/>
      <c r="C116" s="275"/>
      <c r="D116" s="276">
        <v>15.256666666666661</v>
      </c>
      <c r="E116" s="277">
        <v>3.846709677419355</v>
      </c>
      <c r="F116" s="277">
        <f t="shared" si="27"/>
        <v>119.248</v>
      </c>
      <c r="G116" s="277">
        <v>78.28</v>
      </c>
      <c r="H116" s="281">
        <f t="shared" si="26"/>
        <v>0.65644706829464639</v>
      </c>
      <c r="I116" s="202">
        <v>1855.5039999999999</v>
      </c>
      <c r="J116" s="270">
        <v>47.41</v>
      </c>
      <c r="K116" s="275"/>
      <c r="L116" s="202">
        <v>366.29899999999998</v>
      </c>
      <c r="M116" s="275"/>
      <c r="N116" s="202">
        <v>881.00800000000004</v>
      </c>
      <c r="O116" s="270">
        <v>11.25</v>
      </c>
      <c r="P116" s="275"/>
      <c r="Q116" s="202">
        <v>980.58399999999995</v>
      </c>
      <c r="R116" s="199"/>
      <c r="S116" s="275"/>
      <c r="T116" s="275"/>
      <c r="U116" s="275"/>
      <c r="V116" s="278">
        <v>12.41</v>
      </c>
      <c r="W116" s="278">
        <v>13.394</v>
      </c>
      <c r="X116" s="278">
        <v>14.726000000000001</v>
      </c>
      <c r="Y116" s="278"/>
      <c r="Z116" s="278">
        <v>5.0839999999999996</v>
      </c>
      <c r="AA116" s="278">
        <v>10.895</v>
      </c>
      <c r="AB116" s="278">
        <v>14.909000000000001</v>
      </c>
      <c r="AC116" s="278">
        <v>6.8620000000000001</v>
      </c>
      <c r="AD116" s="279">
        <v>78.28</v>
      </c>
      <c r="AE116" s="278">
        <f t="shared" si="20"/>
        <v>78.28</v>
      </c>
      <c r="AF116" s="278">
        <f t="shared" si="21"/>
        <v>0</v>
      </c>
      <c r="AG116" s="278">
        <f t="shared" si="18"/>
        <v>0</v>
      </c>
      <c r="AH116" s="202">
        <f t="shared" si="15"/>
        <v>1.5850000000000009</v>
      </c>
      <c r="AI116" s="202">
        <f t="shared" si="16"/>
        <v>58.66</v>
      </c>
      <c r="AJ116" s="275"/>
      <c r="AK116" s="275"/>
      <c r="AL116" s="275"/>
      <c r="AM116" s="275"/>
      <c r="AN116" s="275"/>
      <c r="AO116" s="275"/>
      <c r="AP116" s="275"/>
      <c r="AQ116" s="275"/>
      <c r="AR116" s="275"/>
      <c r="AS116" s="275"/>
      <c r="AT116" s="275"/>
      <c r="AU116" s="275"/>
      <c r="AV116" s="275"/>
      <c r="AW116" s="275"/>
      <c r="AX116" s="275"/>
      <c r="AY116" s="275"/>
      <c r="AZ116" s="275"/>
      <c r="BA116" s="275"/>
      <c r="BB116" s="275"/>
      <c r="BC116" s="275"/>
      <c r="BE116" s="274">
        <f t="shared" si="19"/>
        <v>2.5251612903225809</v>
      </c>
      <c r="BF116" s="280">
        <f t="shared" si="29"/>
        <v>101.4</v>
      </c>
      <c r="BG116" s="154" t="str">
        <f t="shared" si="25"/>
        <v/>
      </c>
      <c r="BH116" s="270">
        <f t="shared" si="23"/>
        <v>2.7999999999999404E-2</v>
      </c>
      <c r="BI116" s="270">
        <f t="shared" si="17"/>
        <v>0.28999999999999915</v>
      </c>
    </row>
    <row r="117" spans="1:61">
      <c r="A117" s="266">
        <v>32599</v>
      </c>
      <c r="B117" s="266"/>
      <c r="C117" s="275"/>
      <c r="D117" s="276">
        <v>13.719999999999999</v>
      </c>
      <c r="E117" s="277">
        <v>3.8590333333333335</v>
      </c>
      <c r="F117" s="277">
        <f t="shared" si="27"/>
        <v>115.771</v>
      </c>
      <c r="G117" s="277">
        <v>75.86</v>
      </c>
      <c r="H117" s="281">
        <f t="shared" si="26"/>
        <v>0.65525908906375518</v>
      </c>
      <c r="I117" s="202">
        <v>1799.5550000000001</v>
      </c>
      <c r="J117" s="270">
        <v>47.44</v>
      </c>
      <c r="K117" s="275"/>
      <c r="L117" s="202">
        <v>309.52199999999999</v>
      </c>
      <c r="M117" s="275"/>
      <c r="N117" s="202">
        <v>854.73800000000006</v>
      </c>
      <c r="O117" s="270">
        <v>11.27</v>
      </c>
      <c r="P117" s="275"/>
      <c r="Q117" s="202">
        <v>1000.897</v>
      </c>
      <c r="R117" s="199"/>
      <c r="S117" s="275"/>
      <c r="T117" s="275"/>
      <c r="U117" s="275"/>
      <c r="V117" s="278">
        <v>12.49</v>
      </c>
      <c r="W117" s="278">
        <v>11.747999999999999</v>
      </c>
      <c r="X117" s="278">
        <v>15.555</v>
      </c>
      <c r="Y117" s="278"/>
      <c r="Z117" s="278">
        <v>4.7450000000000001</v>
      </c>
      <c r="AA117" s="278">
        <v>10.388999999999999</v>
      </c>
      <c r="AB117" s="278">
        <v>15.362</v>
      </c>
      <c r="AC117" s="278">
        <v>5.5709999999999997</v>
      </c>
      <c r="AD117" s="279">
        <v>75.86</v>
      </c>
      <c r="AE117" s="278">
        <f t="shared" si="20"/>
        <v>75.859999999999985</v>
      </c>
      <c r="AF117" s="278">
        <f t="shared" si="21"/>
        <v>0</v>
      </c>
      <c r="AG117" s="278">
        <f t="shared" si="18"/>
        <v>0</v>
      </c>
      <c r="AH117" s="202">
        <f t="shared" si="15"/>
        <v>0.4529999999999994</v>
      </c>
      <c r="AI117" s="202">
        <f t="shared" si="16"/>
        <v>58.709999999999994</v>
      </c>
      <c r="AJ117" s="275"/>
      <c r="AK117" s="275"/>
      <c r="AL117" s="275"/>
      <c r="AM117" s="275"/>
      <c r="AN117" s="275"/>
      <c r="AO117" s="275"/>
      <c r="AP117" s="275"/>
      <c r="AQ117" s="275"/>
      <c r="AR117" s="275"/>
      <c r="AS117" s="275"/>
      <c r="AT117" s="275"/>
      <c r="AU117" s="275"/>
      <c r="AV117" s="275"/>
      <c r="AW117" s="275"/>
      <c r="AX117" s="275"/>
      <c r="AY117" s="275"/>
      <c r="AZ117" s="275"/>
      <c r="BA117" s="275"/>
      <c r="BB117" s="275"/>
      <c r="BC117" s="275"/>
      <c r="BE117" s="274">
        <f>G117/30</f>
        <v>2.5286666666666666</v>
      </c>
      <c r="BF117" s="280">
        <f t="shared" si="29"/>
        <v>91.4</v>
      </c>
      <c r="BG117" s="154" t="str">
        <f t="shared" si="25"/>
        <v/>
      </c>
      <c r="BH117" s="270">
        <f t="shared" si="23"/>
        <v>3.0000000000000426E-2</v>
      </c>
      <c r="BI117" s="270">
        <f t="shared" si="17"/>
        <v>1.9999999999999574E-2</v>
      </c>
    </row>
    <row r="118" spans="1:61">
      <c r="A118" s="266">
        <v>32629</v>
      </c>
      <c r="B118" s="266"/>
      <c r="C118" s="275"/>
      <c r="D118" s="276">
        <v>13.286666666666662</v>
      </c>
      <c r="E118" s="277">
        <v>3.8590645161290325</v>
      </c>
      <c r="F118" s="277">
        <f t="shared" si="27"/>
        <v>119.631</v>
      </c>
      <c r="G118" s="277">
        <v>73.67</v>
      </c>
      <c r="H118" s="281">
        <f t="shared" si="26"/>
        <v>0.61581028328777654</v>
      </c>
      <c r="I118" s="202">
        <v>1856.606</v>
      </c>
      <c r="J118" s="270">
        <v>50.4</v>
      </c>
      <c r="K118" s="275"/>
      <c r="L118" s="202">
        <v>214.27099999999999</v>
      </c>
      <c r="M118" s="275"/>
      <c r="N118" s="202">
        <v>835.51199999999994</v>
      </c>
      <c r="O118" s="270">
        <v>11.34</v>
      </c>
      <c r="P118" s="275"/>
      <c r="Q118" s="202">
        <v>988.73099999999999</v>
      </c>
      <c r="R118" s="199"/>
      <c r="S118" s="275"/>
      <c r="T118" s="275"/>
      <c r="U118" s="275"/>
      <c r="V118" s="278">
        <v>10.959</v>
      </c>
      <c r="W118" s="278">
        <v>12.757</v>
      </c>
      <c r="X118" s="278">
        <v>15.29</v>
      </c>
      <c r="Y118" s="278"/>
      <c r="Z118" s="278">
        <v>4.383</v>
      </c>
      <c r="AA118" s="278">
        <v>9.5350000000000001</v>
      </c>
      <c r="AB118" s="278">
        <v>14.052</v>
      </c>
      <c r="AC118" s="278">
        <v>6.694</v>
      </c>
      <c r="AD118" s="279">
        <v>73.67</v>
      </c>
      <c r="AE118" s="278">
        <f t="shared" si="20"/>
        <v>73.67</v>
      </c>
      <c r="AF118" s="278">
        <f t="shared" si="21"/>
        <v>0</v>
      </c>
      <c r="AG118" s="278">
        <f t="shared" si="18"/>
        <v>0</v>
      </c>
      <c r="AH118" s="202">
        <f t="shared" si="15"/>
        <v>-1.3100000000000005</v>
      </c>
      <c r="AI118" s="202">
        <f t="shared" si="16"/>
        <v>61.739999999999995</v>
      </c>
      <c r="AJ118" s="275"/>
      <c r="AK118" s="275"/>
      <c r="AL118" s="275"/>
      <c r="AM118" s="275"/>
      <c r="AN118" s="275"/>
      <c r="AO118" s="275"/>
      <c r="AP118" s="275"/>
      <c r="AQ118" s="275"/>
      <c r="AR118" s="275"/>
      <c r="AS118" s="275"/>
      <c r="AT118" s="275"/>
      <c r="AU118" s="275"/>
      <c r="AV118" s="275"/>
      <c r="AW118" s="275"/>
      <c r="AX118" s="275"/>
      <c r="AY118" s="275"/>
      <c r="AZ118" s="275"/>
      <c r="BA118" s="275"/>
      <c r="BB118" s="275"/>
      <c r="BC118" s="275"/>
      <c r="BE118" s="274">
        <f t="shared" si="19"/>
        <v>2.3764516129032258</v>
      </c>
      <c r="BF118" s="280">
        <f t="shared" si="29"/>
        <v>93.2</v>
      </c>
      <c r="BG118" s="154" t="str">
        <f t="shared" si="25"/>
        <v/>
      </c>
      <c r="BH118" s="270">
        <f t="shared" si="23"/>
        <v>4.0000000000002698E-3</v>
      </c>
      <c r="BI118" s="270">
        <f t="shared" si="17"/>
        <v>7.0000000000000284E-2</v>
      </c>
    </row>
    <row r="119" spans="1:61">
      <c r="A119" s="266">
        <v>32660</v>
      </c>
      <c r="B119" s="266"/>
      <c r="C119" s="275"/>
      <c r="D119" s="276">
        <v>10.288333333333341</v>
      </c>
      <c r="E119" s="277">
        <v>3.8590333333333335</v>
      </c>
      <c r="F119" s="277">
        <f t="shared" si="27"/>
        <v>115.771</v>
      </c>
      <c r="G119" s="277">
        <v>65.724999999999994</v>
      </c>
      <c r="H119" s="281">
        <f t="shared" si="26"/>
        <v>0.5677155764396955</v>
      </c>
      <c r="I119" s="202">
        <v>1556.377</v>
      </c>
      <c r="J119" s="270">
        <v>47.36</v>
      </c>
      <c r="K119" s="275"/>
      <c r="L119" s="202">
        <v>120.458</v>
      </c>
      <c r="M119" s="275"/>
      <c r="N119" s="202">
        <v>743.83699999999999</v>
      </c>
      <c r="O119" s="270">
        <v>11.32</v>
      </c>
      <c r="P119" s="275"/>
      <c r="Q119" s="202">
        <v>923.81100000000004</v>
      </c>
      <c r="R119" s="199"/>
      <c r="S119" s="275"/>
      <c r="T119" s="275"/>
      <c r="U119" s="275"/>
      <c r="V119" s="278">
        <v>9.6890000000000001</v>
      </c>
      <c r="W119" s="278">
        <v>13.297000000000001</v>
      </c>
      <c r="X119" s="278">
        <v>10.628</v>
      </c>
      <c r="Y119" s="278"/>
      <c r="Z119" s="278">
        <v>2.5710000000000002</v>
      </c>
      <c r="AA119" s="278">
        <v>9.4209999999999994</v>
      </c>
      <c r="AB119" s="278">
        <v>13.154</v>
      </c>
      <c r="AC119" s="278">
        <v>6.9649999999999999</v>
      </c>
      <c r="AD119" s="279">
        <v>65.724999999999994</v>
      </c>
      <c r="AE119" s="278">
        <f t="shared" si="20"/>
        <v>65.725000000000009</v>
      </c>
      <c r="AF119" s="278">
        <f t="shared" si="21"/>
        <v>0</v>
      </c>
      <c r="AG119" s="278">
        <f t="shared" si="18"/>
        <v>0</v>
      </c>
      <c r="AH119" s="202">
        <f t="shared" si="15"/>
        <v>-0.89799999999999969</v>
      </c>
      <c r="AI119" s="202">
        <f t="shared" si="16"/>
        <v>58.68</v>
      </c>
      <c r="AJ119" s="275"/>
      <c r="AK119" s="275"/>
      <c r="AL119" s="275"/>
      <c r="AM119" s="275"/>
      <c r="AN119" s="275"/>
      <c r="AO119" s="275"/>
      <c r="AP119" s="275"/>
      <c r="AQ119" s="275"/>
      <c r="AR119" s="275"/>
      <c r="AS119" s="275"/>
      <c r="AT119" s="275"/>
      <c r="AU119" s="275"/>
      <c r="AV119" s="275"/>
      <c r="AW119" s="275"/>
      <c r="AX119" s="275"/>
      <c r="AY119" s="275"/>
      <c r="AZ119" s="275"/>
      <c r="BA119" s="275"/>
      <c r="BB119" s="275"/>
      <c r="BC119" s="275"/>
      <c r="BE119" s="274">
        <f>G119/30</f>
        <v>2.190833333333333</v>
      </c>
      <c r="BF119" s="280">
        <f t="shared" si="29"/>
        <v>81.900000000000006</v>
      </c>
      <c r="BG119" s="154" t="str">
        <f t="shared" si="25"/>
        <v/>
      </c>
      <c r="BH119" s="270">
        <f t="shared" si="23"/>
        <v>6.6000000000000017E-2</v>
      </c>
      <c r="BI119" s="270">
        <f t="shared" si="17"/>
        <v>-1.9999999999999574E-2</v>
      </c>
    </row>
    <row r="120" spans="1:61">
      <c r="A120" s="266">
        <v>32690</v>
      </c>
      <c r="B120" s="266"/>
      <c r="C120" s="275"/>
      <c r="D120" s="276">
        <v>9.7160000000000082</v>
      </c>
      <c r="E120" s="277">
        <v>3.6680322580645162</v>
      </c>
      <c r="F120" s="277">
        <f t="shared" si="27"/>
        <v>113.709</v>
      </c>
      <c r="G120" s="277">
        <v>64.313999999999993</v>
      </c>
      <c r="H120" s="281">
        <f t="shared" si="26"/>
        <v>0.56560166741418882</v>
      </c>
      <c r="I120" s="202">
        <v>1543.5730000000001</v>
      </c>
      <c r="J120" s="270">
        <v>48</v>
      </c>
      <c r="K120" s="275"/>
      <c r="L120" s="202">
        <v>63.694000000000003</v>
      </c>
      <c r="M120" s="275"/>
      <c r="N120" s="202">
        <v>740.59199999999998</v>
      </c>
      <c r="O120" s="270">
        <v>11.52</v>
      </c>
      <c r="P120" s="275"/>
      <c r="Q120" s="202">
        <v>793.34299999999996</v>
      </c>
      <c r="R120" s="199"/>
      <c r="S120" s="275"/>
      <c r="T120" s="275"/>
      <c r="U120" s="275"/>
      <c r="V120" s="278">
        <v>9.048</v>
      </c>
      <c r="W120" s="278">
        <v>11.347</v>
      </c>
      <c r="X120" s="278">
        <v>11.694000000000001</v>
      </c>
      <c r="Y120" s="278"/>
      <c r="Z120" s="278">
        <v>2.9180000000000001</v>
      </c>
      <c r="AA120" s="278">
        <v>10.295999999999999</v>
      </c>
      <c r="AB120" s="278">
        <v>12.071</v>
      </c>
      <c r="AC120" s="278">
        <v>6.94</v>
      </c>
      <c r="AD120" s="279">
        <v>64.313999999999993</v>
      </c>
      <c r="AE120" s="278">
        <f t="shared" si="20"/>
        <v>64.313999999999993</v>
      </c>
      <c r="AF120" s="278">
        <f t="shared" si="21"/>
        <v>0</v>
      </c>
      <c r="AG120" s="278">
        <f t="shared" si="18"/>
        <v>0</v>
      </c>
      <c r="AH120" s="202">
        <f t="shared" si="15"/>
        <v>-1.0830000000000002</v>
      </c>
      <c r="AI120" s="202">
        <f t="shared" si="16"/>
        <v>59.519999999999996</v>
      </c>
      <c r="AJ120" s="275"/>
      <c r="AK120" s="275"/>
      <c r="AL120" s="275"/>
      <c r="AM120" s="275"/>
      <c r="AN120" s="275"/>
      <c r="AO120" s="275"/>
      <c r="AP120" s="275"/>
      <c r="AQ120" s="275"/>
      <c r="AR120" s="275"/>
      <c r="AS120" s="275"/>
      <c r="AT120" s="275"/>
      <c r="AU120" s="275"/>
      <c r="AV120" s="275"/>
      <c r="AW120" s="275"/>
      <c r="AX120" s="275"/>
      <c r="AY120" s="275"/>
      <c r="AZ120" s="275"/>
      <c r="BA120" s="275"/>
      <c r="BB120" s="275"/>
      <c r="BC120" s="275"/>
      <c r="BE120" s="274">
        <f t="shared" si="19"/>
        <v>2.0746451612903223</v>
      </c>
      <c r="BF120" s="280">
        <f t="shared" si="29"/>
        <v>84.1</v>
      </c>
      <c r="BG120" s="154" t="str">
        <f t="shared" si="25"/>
        <v/>
      </c>
      <c r="BH120" s="270">
        <f t="shared" si="23"/>
        <v>-2.8000000000000115E-2</v>
      </c>
      <c r="BI120" s="270">
        <f t="shared" si="17"/>
        <v>0.19999999999999929</v>
      </c>
    </row>
    <row r="121" spans="1:61">
      <c r="A121" s="266">
        <v>32721</v>
      </c>
      <c r="B121" s="266"/>
      <c r="C121" s="275"/>
      <c r="D121" s="276">
        <v>7.2893333333333317</v>
      </c>
      <c r="E121" s="277">
        <v>3.6680322580645162</v>
      </c>
      <c r="F121" s="277">
        <f t="shared" si="27"/>
        <v>113.709</v>
      </c>
      <c r="G121" s="277">
        <v>68.573999999999998</v>
      </c>
      <c r="H121" s="281">
        <f t="shared" si="26"/>
        <v>0.60306572039152573</v>
      </c>
      <c r="I121" s="202">
        <v>1623.2940000000001</v>
      </c>
      <c r="J121" s="270">
        <v>47.34</v>
      </c>
      <c r="K121" s="275"/>
      <c r="L121" s="202">
        <v>60.415999999999997</v>
      </c>
      <c r="M121" s="275"/>
      <c r="N121" s="202">
        <v>776.28499999999997</v>
      </c>
      <c r="O121" s="270">
        <v>11.32</v>
      </c>
      <c r="P121" s="275"/>
      <c r="Q121" s="202">
        <v>587.00099999999998</v>
      </c>
      <c r="R121" s="199"/>
      <c r="S121" s="275"/>
      <c r="T121" s="275"/>
      <c r="U121" s="275"/>
      <c r="V121" s="278">
        <v>10.083</v>
      </c>
      <c r="W121" s="278">
        <v>13.246</v>
      </c>
      <c r="X121" s="278">
        <v>12.209</v>
      </c>
      <c r="Y121" s="278"/>
      <c r="Z121" s="278">
        <v>2.944</v>
      </c>
      <c r="AA121" s="278">
        <v>10.48</v>
      </c>
      <c r="AB121" s="278">
        <v>12.420999999999999</v>
      </c>
      <c r="AC121" s="278">
        <v>7.1909999999999998</v>
      </c>
      <c r="AD121" s="279">
        <v>68.573999999999998</v>
      </c>
      <c r="AE121" s="278">
        <f t="shared" si="20"/>
        <v>68.573999999999998</v>
      </c>
      <c r="AF121" s="278">
        <f t="shared" si="21"/>
        <v>0</v>
      </c>
      <c r="AG121" s="278">
        <f t="shared" si="18"/>
        <v>0</v>
      </c>
      <c r="AH121" s="202">
        <f t="shared" si="15"/>
        <v>0.34999999999999964</v>
      </c>
      <c r="AI121" s="202">
        <f t="shared" si="16"/>
        <v>58.660000000000004</v>
      </c>
      <c r="AJ121" s="275"/>
      <c r="AK121" s="275"/>
      <c r="AL121" s="275"/>
      <c r="AM121" s="275"/>
      <c r="AN121" s="275"/>
      <c r="AO121" s="275"/>
      <c r="AP121" s="275"/>
      <c r="AQ121" s="275"/>
      <c r="AR121" s="275"/>
      <c r="AS121" s="275"/>
      <c r="AT121" s="275"/>
      <c r="AU121" s="275"/>
      <c r="AV121" s="275"/>
      <c r="AW121" s="275"/>
      <c r="AX121" s="275"/>
      <c r="AY121" s="275"/>
      <c r="AZ121" s="275"/>
      <c r="BA121" s="275"/>
      <c r="BB121" s="275"/>
      <c r="BC121" s="275"/>
      <c r="BE121" s="274">
        <f t="shared" si="19"/>
        <v>2.2120645161290322</v>
      </c>
      <c r="BF121" s="280">
        <f>MAX(G109,G97,G85,G73,G61,G49,G37,G25,G13)</f>
        <v>85</v>
      </c>
      <c r="BG121" s="154" t="str">
        <f t="shared" si="25"/>
        <v/>
      </c>
      <c r="BH121" s="270">
        <f t="shared" si="23"/>
        <v>3.9999999999999501E-2</v>
      </c>
      <c r="BI121" s="270">
        <f t="shared" si="17"/>
        <v>-0.19999999999999929</v>
      </c>
    </row>
    <row r="122" spans="1:61">
      <c r="A122" s="266">
        <v>32752</v>
      </c>
      <c r="B122" s="266"/>
      <c r="C122" s="275"/>
      <c r="D122" s="276">
        <v>9.214333333333343</v>
      </c>
      <c r="E122" s="277">
        <v>3.6680333333333333</v>
      </c>
      <c r="F122" s="277">
        <f t="shared" si="27"/>
        <v>110.041</v>
      </c>
      <c r="G122" s="277">
        <v>64.918999999999997</v>
      </c>
      <c r="H122" s="281">
        <f t="shared" si="26"/>
        <v>0.58995283576121627</v>
      </c>
      <c r="I122" s="202">
        <v>1536.527</v>
      </c>
      <c r="J122" s="270">
        <v>47.34</v>
      </c>
      <c r="K122" s="275"/>
      <c r="L122" s="202">
        <v>89.578999999999994</v>
      </c>
      <c r="M122" s="275"/>
      <c r="N122" s="202">
        <v>742.09900000000005</v>
      </c>
      <c r="O122" s="270">
        <v>11.43</v>
      </c>
      <c r="P122" s="275"/>
      <c r="Q122" s="202">
        <v>458.46699999999998</v>
      </c>
      <c r="R122" s="199"/>
      <c r="S122" s="275"/>
      <c r="T122" s="275"/>
      <c r="U122" s="275"/>
      <c r="V122" s="278">
        <v>9.69</v>
      </c>
      <c r="W122" s="278">
        <v>11.45</v>
      </c>
      <c r="X122" s="278">
        <v>10.451000000000001</v>
      </c>
      <c r="Y122" s="278"/>
      <c r="Z122" s="278">
        <v>2.3530000000000002</v>
      </c>
      <c r="AA122" s="278">
        <v>8.7289999999999992</v>
      </c>
      <c r="AB122" s="278">
        <v>15.529</v>
      </c>
      <c r="AC122" s="278">
        <v>6.7190000000000003</v>
      </c>
      <c r="AD122" s="279">
        <v>64.921000000000006</v>
      </c>
      <c r="AE122" s="278">
        <f t="shared" si="20"/>
        <v>64.920999999999992</v>
      </c>
      <c r="AF122" s="278">
        <f t="shared" si="21"/>
        <v>0</v>
      </c>
      <c r="AG122" s="278">
        <f t="shared" si="18"/>
        <v>1.9999999999953388E-3</v>
      </c>
      <c r="AH122" s="202">
        <f t="shared" si="15"/>
        <v>3.1080000000000005</v>
      </c>
      <c r="AI122" s="202">
        <f t="shared" si="16"/>
        <v>58.77</v>
      </c>
      <c r="AJ122" s="275"/>
      <c r="AK122" s="275"/>
      <c r="AL122" s="275"/>
      <c r="AM122" s="275"/>
      <c r="AN122" s="275"/>
      <c r="AO122" s="275"/>
      <c r="AP122" s="275"/>
      <c r="AQ122" s="275"/>
      <c r="AR122" s="275"/>
      <c r="AS122" s="275"/>
      <c r="AT122" s="275"/>
      <c r="AU122" s="275"/>
      <c r="AV122" s="275"/>
      <c r="AW122" s="275"/>
      <c r="AX122" s="275"/>
      <c r="AY122" s="275"/>
      <c r="AZ122" s="275"/>
      <c r="BA122" s="275"/>
      <c r="BB122" s="275"/>
      <c r="BC122" s="275"/>
      <c r="BE122" s="274">
        <f>G122/30</f>
        <v>2.1639666666666666</v>
      </c>
      <c r="BF122" s="280">
        <f t="shared" ref="BF122:BF132" si="30">MAX(G110,G98,G86,G74,G62,G50,G38,G26,G14,G2)</f>
        <v>86.1</v>
      </c>
      <c r="BG122" s="154" t="str">
        <f t="shared" si="25"/>
        <v/>
      </c>
      <c r="BH122" s="270">
        <f t="shared" si="23"/>
        <v>9.6000000000000085E-2</v>
      </c>
      <c r="BI122" s="270">
        <f t="shared" si="17"/>
        <v>0.10999999999999943</v>
      </c>
    </row>
    <row r="123" spans="1:61">
      <c r="A123" s="266">
        <v>32782</v>
      </c>
      <c r="B123" s="266"/>
      <c r="C123" s="275"/>
      <c r="D123" s="276">
        <v>15.027333333333331</v>
      </c>
      <c r="E123" s="277">
        <v>3.7558064516129033</v>
      </c>
      <c r="F123" s="277">
        <f t="shared" si="27"/>
        <v>116.43</v>
      </c>
      <c r="G123" s="277">
        <v>79.745999999999995</v>
      </c>
      <c r="H123" s="281">
        <f t="shared" si="26"/>
        <v>0.68492656531821683</v>
      </c>
      <c r="I123" s="202">
        <v>1900.9549999999999</v>
      </c>
      <c r="J123" s="270">
        <v>47.68</v>
      </c>
      <c r="K123" s="275"/>
      <c r="L123" s="202">
        <v>231.69900000000001</v>
      </c>
      <c r="M123" s="275"/>
      <c r="N123" s="202">
        <v>893.84199999999998</v>
      </c>
      <c r="O123" s="270">
        <v>11.21</v>
      </c>
      <c r="P123" s="275"/>
      <c r="Q123" s="202">
        <v>442.255</v>
      </c>
      <c r="R123" s="199"/>
      <c r="S123" s="275"/>
      <c r="T123" s="275"/>
      <c r="U123" s="275"/>
      <c r="V123" s="278">
        <v>13.407</v>
      </c>
      <c r="W123" s="278">
        <v>15.566000000000001</v>
      </c>
      <c r="X123" s="278">
        <v>13.023</v>
      </c>
      <c r="Y123" s="278"/>
      <c r="Z123" s="278">
        <v>2.9</v>
      </c>
      <c r="AA123" s="278">
        <v>11.238</v>
      </c>
      <c r="AB123" s="278">
        <v>16.446999999999999</v>
      </c>
      <c r="AC123" s="278">
        <v>7.165</v>
      </c>
      <c r="AD123" s="279">
        <v>79.745999999999995</v>
      </c>
      <c r="AE123" s="278">
        <f t="shared" si="20"/>
        <v>79.745999999999995</v>
      </c>
      <c r="AF123" s="278">
        <f t="shared" si="21"/>
        <v>0</v>
      </c>
      <c r="AG123" s="278">
        <f t="shared" si="18"/>
        <v>0</v>
      </c>
      <c r="AH123" s="202">
        <f t="shared" si="15"/>
        <v>0.91799999999999926</v>
      </c>
      <c r="AI123" s="202">
        <f t="shared" si="16"/>
        <v>58.89</v>
      </c>
      <c r="AJ123" s="275"/>
      <c r="AK123" s="275"/>
      <c r="AL123" s="275"/>
      <c r="AM123" s="275"/>
      <c r="AN123" s="275"/>
      <c r="AO123" s="275"/>
      <c r="AP123" s="275"/>
      <c r="AQ123" s="275"/>
      <c r="AR123" s="275"/>
      <c r="AS123" s="275"/>
      <c r="AT123" s="275"/>
      <c r="AU123" s="275"/>
      <c r="AV123" s="275"/>
      <c r="AW123" s="275"/>
      <c r="AX123" s="275"/>
      <c r="AY123" s="275"/>
      <c r="AZ123" s="275"/>
      <c r="BA123" s="275"/>
      <c r="BB123" s="275"/>
      <c r="BC123" s="275"/>
      <c r="BE123" s="274">
        <f t="shared" si="19"/>
        <v>2.5724516129032255</v>
      </c>
      <c r="BF123" s="280">
        <f t="shared" si="30"/>
        <v>104.3</v>
      </c>
      <c r="BG123" s="154" t="str">
        <f t="shared" si="25"/>
        <v/>
      </c>
      <c r="BH123" s="270">
        <f t="shared" si="23"/>
        <v>-0.29599999999999971</v>
      </c>
      <c r="BI123" s="270">
        <f t="shared" si="17"/>
        <v>-0.21999999999999886</v>
      </c>
    </row>
    <row r="124" spans="1:61">
      <c r="A124" s="266">
        <v>32813</v>
      </c>
      <c r="B124" s="266"/>
      <c r="C124" s="275"/>
      <c r="D124" s="276">
        <v>15.603666666666669</v>
      </c>
      <c r="E124" s="277">
        <v>3.7558000000000002</v>
      </c>
      <c r="F124" s="277">
        <f t="shared" si="27"/>
        <v>112.67400000000001</v>
      </c>
      <c r="G124" s="277">
        <v>88.472999999999999</v>
      </c>
      <c r="H124" s="281">
        <f t="shared" si="26"/>
        <v>0.78521220512274348</v>
      </c>
      <c r="I124" s="202">
        <v>2110.1289999999999</v>
      </c>
      <c r="J124" s="270">
        <v>47.7</v>
      </c>
      <c r="K124" s="275"/>
      <c r="L124" s="202">
        <v>387.73099999999999</v>
      </c>
      <c r="M124" s="275"/>
      <c r="N124" s="202">
        <v>977.65499999999997</v>
      </c>
      <c r="O124" s="270">
        <v>11.05</v>
      </c>
      <c r="P124" s="275"/>
      <c r="Q124" s="202">
        <v>357.28199999999998</v>
      </c>
      <c r="R124" s="199"/>
      <c r="S124" s="275"/>
      <c r="T124" s="275"/>
      <c r="U124" s="275"/>
      <c r="V124" s="278">
        <v>13.709</v>
      </c>
      <c r="W124" s="278">
        <v>16.393999999999998</v>
      </c>
      <c r="X124" s="278">
        <v>16.667999999999999</v>
      </c>
      <c r="Y124" s="278"/>
      <c r="Z124" s="278">
        <v>4.9560000000000004</v>
      </c>
      <c r="AA124" s="278">
        <v>11.901</v>
      </c>
      <c r="AB124" s="278">
        <v>17.535</v>
      </c>
      <c r="AC124" s="278">
        <v>7.31</v>
      </c>
      <c r="AD124" s="279">
        <v>88.472999999999999</v>
      </c>
      <c r="AE124" s="278">
        <f t="shared" si="20"/>
        <v>88.472999999999999</v>
      </c>
      <c r="AF124" s="278">
        <f t="shared" si="21"/>
        <v>0</v>
      </c>
      <c r="AG124" s="278">
        <f t="shared" si="18"/>
        <v>0</v>
      </c>
      <c r="AH124" s="202">
        <f t="shared" si="15"/>
        <v>1.088000000000001</v>
      </c>
      <c r="AI124" s="202">
        <f t="shared" si="16"/>
        <v>58.75</v>
      </c>
      <c r="AJ124" s="275"/>
      <c r="AK124" s="275"/>
      <c r="AL124" s="275"/>
      <c r="AM124" s="275"/>
      <c r="AN124" s="275"/>
      <c r="AO124" s="275"/>
      <c r="AP124" s="275"/>
      <c r="AQ124" s="275"/>
      <c r="AR124" s="275"/>
      <c r="AS124" s="275"/>
      <c r="AT124" s="275"/>
      <c r="AU124" s="275"/>
      <c r="AV124" s="275"/>
      <c r="AW124" s="275"/>
      <c r="AX124" s="275"/>
      <c r="AY124" s="275"/>
      <c r="AZ124" s="275"/>
      <c r="BA124" s="275"/>
      <c r="BB124" s="275"/>
      <c r="BC124" s="275"/>
      <c r="BE124" s="274">
        <f>G124/30</f>
        <v>2.9491000000000001</v>
      </c>
      <c r="BF124" s="280">
        <f t="shared" si="30"/>
        <v>107.6</v>
      </c>
      <c r="BG124" s="154" t="str">
        <f t="shared" si="25"/>
        <v/>
      </c>
      <c r="BH124" s="270">
        <f t="shared" si="23"/>
        <v>-5.999999999999979E-2</v>
      </c>
      <c r="BI124" s="270">
        <f t="shared" si="17"/>
        <v>-0.16000000000000014</v>
      </c>
    </row>
    <row r="125" spans="1:61">
      <c r="A125" s="266">
        <v>32843</v>
      </c>
      <c r="B125" s="266"/>
      <c r="C125" s="275"/>
      <c r="D125" s="276">
        <v>16.565666666666658</v>
      </c>
      <c r="E125" s="277">
        <v>3.7558064516129033</v>
      </c>
      <c r="F125" s="277">
        <f t="shared" si="27"/>
        <v>116.43</v>
      </c>
      <c r="G125" s="277">
        <v>88.801000000000002</v>
      </c>
      <c r="H125" s="281">
        <f t="shared" si="26"/>
        <v>0.76269861719488097</v>
      </c>
      <c r="I125" s="202">
        <v>2115.9830000000002</v>
      </c>
      <c r="J125" s="270">
        <v>47.66</v>
      </c>
      <c r="K125" s="275"/>
      <c r="L125" s="202">
        <v>309.04199999999997</v>
      </c>
      <c r="M125" s="275"/>
      <c r="N125" s="202">
        <v>986.33299999999997</v>
      </c>
      <c r="O125" s="270">
        <v>11.11</v>
      </c>
      <c r="P125" s="275"/>
      <c r="Q125" s="202">
        <v>423.83199999999999</v>
      </c>
      <c r="R125" s="199"/>
      <c r="S125" s="275"/>
      <c r="T125" s="275"/>
      <c r="U125" s="275"/>
      <c r="V125" s="278">
        <v>13.565</v>
      </c>
      <c r="W125" s="278">
        <v>16.863</v>
      </c>
      <c r="X125" s="278">
        <v>16.015999999999998</v>
      </c>
      <c r="Y125" s="278"/>
      <c r="Z125" s="278">
        <v>5.2320000000000002</v>
      </c>
      <c r="AA125" s="278">
        <v>11.702999999999999</v>
      </c>
      <c r="AB125" s="278">
        <v>17.914000000000001</v>
      </c>
      <c r="AC125" s="278">
        <v>7.5060000000000002</v>
      </c>
      <c r="AD125" s="279">
        <v>88.799000000000007</v>
      </c>
      <c r="AE125" s="278">
        <f t="shared" si="20"/>
        <v>88.798999999999992</v>
      </c>
      <c r="AF125" s="278">
        <f t="shared" si="21"/>
        <v>0</v>
      </c>
      <c r="AG125" s="278">
        <f t="shared" si="18"/>
        <v>-2.0000000000095497E-3</v>
      </c>
      <c r="AH125" s="202">
        <f t="shared" si="15"/>
        <v>0.37900000000000134</v>
      </c>
      <c r="AI125" s="202">
        <f t="shared" si="16"/>
        <v>58.769999999999996</v>
      </c>
      <c r="AJ125" s="275"/>
      <c r="AK125" s="275"/>
      <c r="AL125" s="275"/>
      <c r="AM125" s="275"/>
      <c r="AN125" s="275"/>
      <c r="AO125" s="275"/>
      <c r="AP125" s="275"/>
      <c r="AQ125" s="275"/>
      <c r="AR125" s="275"/>
      <c r="AS125" s="275"/>
      <c r="AT125" s="275"/>
      <c r="AU125" s="275"/>
      <c r="AV125" s="275"/>
      <c r="AW125" s="275"/>
      <c r="AX125" s="275"/>
      <c r="AY125" s="275"/>
      <c r="AZ125" s="275"/>
      <c r="BA125" s="275"/>
      <c r="BB125" s="275"/>
      <c r="BC125" s="275"/>
      <c r="BE125" s="274">
        <f t="shared" si="19"/>
        <v>2.8645483870967743</v>
      </c>
      <c r="BF125" s="280">
        <f t="shared" si="30"/>
        <v>111.6</v>
      </c>
      <c r="BG125" s="154" t="str">
        <f t="shared" si="25"/>
        <v/>
      </c>
      <c r="BH125" s="270">
        <f t="shared" si="23"/>
        <v>-2.5999999999999801E-2</v>
      </c>
      <c r="BI125" s="270">
        <f t="shared" si="17"/>
        <v>5.9999999999998721E-2</v>
      </c>
    </row>
    <row r="126" spans="1:61">
      <c r="A126" s="266">
        <v>32874</v>
      </c>
      <c r="B126" s="266"/>
      <c r="C126" s="275"/>
      <c r="D126" s="276">
        <v>16.935333333333332</v>
      </c>
      <c r="E126" s="277">
        <v>3.7392903225806453</v>
      </c>
      <c r="F126" s="277">
        <f t="shared" si="27"/>
        <v>115.91800000000001</v>
      </c>
      <c r="G126" s="277">
        <v>90.298000000000002</v>
      </c>
      <c r="H126" s="281">
        <f t="shared" si="26"/>
        <v>0.77898169395607242</v>
      </c>
      <c r="I126" s="202">
        <v>2142.7730000000001</v>
      </c>
      <c r="J126" s="270">
        <v>47.46</v>
      </c>
      <c r="K126" s="275"/>
      <c r="L126" s="202">
        <v>357.82900000000001</v>
      </c>
      <c r="M126" s="275"/>
      <c r="N126" s="202">
        <v>1008.343</v>
      </c>
      <c r="O126" s="270">
        <v>11.17</v>
      </c>
      <c r="P126" s="275"/>
      <c r="Q126" s="202">
        <v>460.19600000000003</v>
      </c>
      <c r="R126" s="199"/>
      <c r="S126" s="275"/>
      <c r="T126" s="275"/>
      <c r="U126" s="275"/>
      <c r="V126" s="278">
        <v>13.362</v>
      </c>
      <c r="W126" s="278">
        <v>16.925999999999998</v>
      </c>
      <c r="X126" s="278">
        <v>17.591999999999999</v>
      </c>
      <c r="Y126" s="278"/>
      <c r="Z126" s="278">
        <v>4.6660000000000004</v>
      </c>
      <c r="AA126" s="278">
        <v>11.856999999999999</v>
      </c>
      <c r="AB126" s="278">
        <v>18.373999999999999</v>
      </c>
      <c r="AC126" s="278">
        <v>7.5209999999999999</v>
      </c>
      <c r="AD126" s="279">
        <v>90.298000000000002</v>
      </c>
      <c r="AE126" s="278">
        <f t="shared" si="20"/>
        <v>90.297999999999988</v>
      </c>
      <c r="AF126" s="278">
        <f t="shared" si="21"/>
        <v>0</v>
      </c>
      <c r="AG126" s="278">
        <f t="shared" si="18"/>
        <v>0</v>
      </c>
      <c r="AH126" s="202">
        <f t="shared" si="15"/>
        <v>0.4599999999999973</v>
      </c>
      <c r="AI126" s="202">
        <f t="shared" si="16"/>
        <v>58.63</v>
      </c>
      <c r="AJ126" s="275"/>
      <c r="AK126" s="275"/>
      <c r="AL126" s="275"/>
      <c r="AM126" s="275"/>
      <c r="AN126" s="275"/>
      <c r="AO126" s="275"/>
      <c r="AP126" s="275"/>
      <c r="AQ126" s="275"/>
      <c r="AR126" s="275"/>
      <c r="AS126" s="275"/>
      <c r="AT126" s="275"/>
      <c r="AU126" s="275"/>
      <c r="AV126" s="275"/>
      <c r="AW126" s="275"/>
      <c r="AX126" s="275"/>
      <c r="AY126" s="275"/>
      <c r="AZ126" s="275"/>
      <c r="BA126" s="275"/>
      <c r="BB126" s="275"/>
      <c r="BC126" s="275"/>
      <c r="BE126" s="274">
        <f t="shared" si="19"/>
        <v>2.9128387096774193</v>
      </c>
      <c r="BF126" s="280">
        <f t="shared" si="30"/>
        <v>110</v>
      </c>
      <c r="BG126" s="154" t="str">
        <f t="shared" si="25"/>
        <v/>
      </c>
      <c r="BH126" s="270">
        <f t="shared" si="23"/>
        <v>6.3999999999999349E-2</v>
      </c>
      <c r="BI126" s="270">
        <f t="shared" si="17"/>
        <v>6.0000000000000497E-2</v>
      </c>
    </row>
    <row r="127" spans="1:61">
      <c r="A127" s="266">
        <v>32905</v>
      </c>
      <c r="B127" s="266"/>
      <c r="C127" s="275"/>
      <c r="D127" s="276">
        <v>13.88900000000001</v>
      </c>
      <c r="E127" s="277">
        <v>3.7381785714285711</v>
      </c>
      <c r="F127" s="277">
        <f t="shared" si="27"/>
        <v>104.669</v>
      </c>
      <c r="G127" s="277">
        <v>77.870999999999995</v>
      </c>
      <c r="H127" s="281">
        <f t="shared" si="26"/>
        <v>0.7439738604553402</v>
      </c>
      <c r="I127" s="202">
        <v>1850.89</v>
      </c>
      <c r="J127" s="270">
        <v>47.54</v>
      </c>
      <c r="K127" s="275"/>
      <c r="L127" s="202">
        <v>289.988</v>
      </c>
      <c r="M127" s="275"/>
      <c r="N127" s="202">
        <v>885.13499999999999</v>
      </c>
      <c r="O127" s="270">
        <v>11.37</v>
      </c>
      <c r="P127" s="275"/>
      <c r="Q127" s="202">
        <v>449.88200000000001</v>
      </c>
      <c r="R127" s="199"/>
      <c r="S127" s="275"/>
      <c r="T127" s="275"/>
      <c r="U127" s="275"/>
      <c r="V127" s="278">
        <v>11.529</v>
      </c>
      <c r="W127" s="278">
        <v>14.129</v>
      </c>
      <c r="X127" s="278">
        <v>15.323</v>
      </c>
      <c r="Y127" s="278"/>
      <c r="Z127" s="278">
        <v>4.0259999999999998</v>
      </c>
      <c r="AA127" s="278">
        <v>10.307</v>
      </c>
      <c r="AB127" s="278">
        <v>15.781000000000001</v>
      </c>
      <c r="AC127" s="278">
        <v>6.7759999999999998</v>
      </c>
      <c r="AD127" s="279">
        <v>77.870999999999995</v>
      </c>
      <c r="AE127" s="278">
        <f t="shared" si="20"/>
        <v>77.871000000000009</v>
      </c>
      <c r="AF127" s="278">
        <f t="shared" si="21"/>
        <v>0</v>
      </c>
      <c r="AG127" s="278">
        <f t="shared" si="18"/>
        <v>0</v>
      </c>
      <c r="AH127" s="202">
        <f t="shared" si="15"/>
        <v>-2.5929999999999982</v>
      </c>
      <c r="AI127" s="202">
        <f t="shared" si="16"/>
        <v>58.91</v>
      </c>
      <c r="AJ127" s="275"/>
      <c r="AK127" s="275"/>
      <c r="AL127" s="275"/>
      <c r="AM127" s="275"/>
      <c r="AN127" s="275"/>
      <c r="AO127" s="275"/>
      <c r="AP127" s="275"/>
      <c r="AQ127" s="275"/>
      <c r="AR127" s="275"/>
      <c r="AS127" s="275"/>
      <c r="AT127" s="275"/>
      <c r="AU127" s="275"/>
      <c r="AV127" s="275"/>
      <c r="AW127" s="275"/>
      <c r="AX127" s="275"/>
      <c r="AY127" s="275"/>
      <c r="AZ127" s="275"/>
      <c r="BA127" s="275"/>
      <c r="BB127" s="275"/>
      <c r="BC127" s="275"/>
      <c r="BE127" s="274">
        <f>G127/28</f>
        <v>2.7811071428571426</v>
      </c>
      <c r="BF127" s="280">
        <f t="shared" si="30"/>
        <v>98.9</v>
      </c>
      <c r="BG127" s="154" t="str">
        <f t="shared" si="25"/>
        <v/>
      </c>
      <c r="BH127" s="270">
        <f t="shared" si="23"/>
        <v>1.4000000000000411E-2</v>
      </c>
      <c r="BI127" s="270">
        <f t="shared" si="17"/>
        <v>0.19999999999999929</v>
      </c>
    </row>
    <row r="128" spans="1:61">
      <c r="A128" s="266">
        <v>32933</v>
      </c>
      <c r="B128" s="266"/>
      <c r="C128" s="275"/>
      <c r="D128" s="276">
        <v>16.122</v>
      </c>
      <c r="E128" s="277">
        <v>3.7392580645161293</v>
      </c>
      <c r="F128" s="277">
        <f t="shared" si="27"/>
        <v>115.917</v>
      </c>
      <c r="G128" s="277">
        <v>86.018000000000001</v>
      </c>
      <c r="H128" s="281">
        <f t="shared" si="26"/>
        <v>0.74206544337758917</v>
      </c>
      <c r="I128" s="202">
        <v>2049.0100000000002</v>
      </c>
      <c r="J128" s="270">
        <v>47.64</v>
      </c>
      <c r="K128" s="275"/>
      <c r="L128" s="202">
        <v>217.66</v>
      </c>
      <c r="M128" s="275"/>
      <c r="N128" s="202">
        <v>968.15800000000002</v>
      </c>
      <c r="O128" s="270">
        <v>11.26</v>
      </c>
      <c r="P128" s="275"/>
      <c r="Q128" s="202">
        <v>418.02</v>
      </c>
      <c r="R128" s="199"/>
      <c r="S128" s="275"/>
      <c r="T128" s="275"/>
      <c r="U128" s="275"/>
      <c r="V128" s="278">
        <v>12.739000000000001</v>
      </c>
      <c r="W128" s="278">
        <v>15.787000000000001</v>
      </c>
      <c r="X128" s="278">
        <v>16.564</v>
      </c>
      <c r="Y128" s="278"/>
      <c r="Z128" s="278">
        <v>4.5940000000000003</v>
      </c>
      <c r="AA128" s="278">
        <v>10.862</v>
      </c>
      <c r="AB128" s="278">
        <v>17.134</v>
      </c>
      <c r="AC128" s="278">
        <v>8.3390000000000004</v>
      </c>
      <c r="AD128" s="279">
        <v>86.019000000000005</v>
      </c>
      <c r="AE128" s="278">
        <f t="shared" si="20"/>
        <v>86.019000000000005</v>
      </c>
      <c r="AF128" s="278">
        <f t="shared" si="21"/>
        <v>0</v>
      </c>
      <c r="AG128" s="278">
        <f t="shared" si="18"/>
        <v>1.0000000000047748E-3</v>
      </c>
      <c r="AH128" s="202">
        <f t="shared" si="15"/>
        <v>1.3529999999999998</v>
      </c>
      <c r="AI128" s="202">
        <f t="shared" si="16"/>
        <v>58.9</v>
      </c>
      <c r="AJ128" s="275"/>
      <c r="AK128" s="275"/>
      <c r="AL128" s="275"/>
      <c r="AM128" s="275"/>
      <c r="AN128" s="275"/>
      <c r="AO128" s="275"/>
      <c r="AP128" s="275"/>
      <c r="AQ128" s="275"/>
      <c r="AR128" s="275"/>
      <c r="AS128" s="275"/>
      <c r="AT128" s="275"/>
      <c r="AU128" s="275"/>
      <c r="AV128" s="275"/>
      <c r="AW128" s="275"/>
      <c r="AX128" s="275"/>
      <c r="AY128" s="275"/>
      <c r="AZ128" s="275"/>
      <c r="BA128" s="275"/>
      <c r="BB128" s="275"/>
      <c r="BC128" s="275"/>
      <c r="BE128" s="274">
        <f t="shared" si="19"/>
        <v>2.7747741935483869</v>
      </c>
      <c r="BF128" s="280">
        <f t="shared" si="30"/>
        <v>101.4</v>
      </c>
      <c r="BG128" s="154" t="str">
        <f t="shared" si="25"/>
        <v/>
      </c>
      <c r="BH128" s="270">
        <f t="shared" si="23"/>
        <v>0.10599999999999951</v>
      </c>
      <c r="BI128" s="270">
        <f t="shared" si="17"/>
        <v>-0.10999999999999943</v>
      </c>
    </row>
    <row r="129" spans="1:61">
      <c r="A129" s="266">
        <v>32964</v>
      </c>
      <c r="B129" s="266"/>
      <c r="C129" s="275"/>
      <c r="D129" s="276">
        <v>15.989333333333349</v>
      </c>
      <c r="E129" s="277">
        <v>3.8</v>
      </c>
      <c r="F129" s="277">
        <f t="shared" si="27"/>
        <v>114</v>
      </c>
      <c r="G129" s="277">
        <v>79.153999999999996</v>
      </c>
      <c r="H129" s="281">
        <f t="shared" si="26"/>
        <v>0.69433333333333325</v>
      </c>
      <c r="I129" s="202">
        <v>1882.3420000000001</v>
      </c>
      <c r="J129" s="270">
        <v>47.56</v>
      </c>
      <c r="K129" s="275"/>
      <c r="L129" s="202">
        <v>224.595</v>
      </c>
      <c r="M129" s="275"/>
      <c r="N129" s="202">
        <v>887.94500000000005</v>
      </c>
      <c r="O129" s="270">
        <v>11.22</v>
      </c>
      <c r="P129" s="275"/>
      <c r="Q129" s="202">
        <v>434.07499999999999</v>
      </c>
      <c r="R129" s="199"/>
      <c r="S129" s="275"/>
      <c r="T129" s="275"/>
      <c r="U129" s="275"/>
      <c r="V129" s="278">
        <v>10.946999999999999</v>
      </c>
      <c r="W129" s="278">
        <v>14.414999999999999</v>
      </c>
      <c r="X129" s="278">
        <v>15.134</v>
      </c>
      <c r="Y129" s="278"/>
      <c r="Z129" s="278">
        <v>4.0039999999999996</v>
      </c>
      <c r="AA129" s="278">
        <v>10.772</v>
      </c>
      <c r="AB129" s="278">
        <v>16.510000000000002</v>
      </c>
      <c r="AC129" s="278">
        <v>7.3730000000000002</v>
      </c>
      <c r="AD129" s="279">
        <v>79.155000000000001</v>
      </c>
      <c r="AE129" s="278">
        <f t="shared" si="20"/>
        <v>79.155000000000001</v>
      </c>
      <c r="AF129" s="278">
        <f t="shared" si="21"/>
        <v>0</v>
      </c>
      <c r="AG129" s="278">
        <f t="shared" si="18"/>
        <v>1.0000000000047748E-3</v>
      </c>
      <c r="AH129" s="202">
        <f t="shared" si="15"/>
        <v>-0.62399999999999878</v>
      </c>
      <c r="AI129" s="202">
        <f t="shared" si="16"/>
        <v>58.78</v>
      </c>
      <c r="AJ129" s="275"/>
      <c r="AK129" s="275"/>
      <c r="AL129" s="275"/>
      <c r="AM129" s="275"/>
      <c r="AN129" s="275"/>
      <c r="AO129" s="275"/>
      <c r="AP129" s="275"/>
      <c r="AQ129" s="275"/>
      <c r="AR129" s="275"/>
      <c r="AS129" s="275"/>
      <c r="AT129" s="275"/>
      <c r="AU129" s="275"/>
      <c r="AV129" s="275"/>
      <c r="AW129" s="275"/>
      <c r="AX129" s="275"/>
      <c r="AY129" s="275"/>
      <c r="AZ129" s="275"/>
      <c r="BA129" s="275"/>
      <c r="BB129" s="275"/>
      <c r="BC129" s="275"/>
      <c r="BE129" s="274">
        <f>G129/30</f>
        <v>2.6384666666666665</v>
      </c>
      <c r="BF129" s="280">
        <f t="shared" si="30"/>
        <v>91.4</v>
      </c>
      <c r="BG129" s="154" t="str">
        <f t="shared" si="25"/>
        <v/>
      </c>
      <c r="BH129" s="270">
        <f t="shared" si="23"/>
        <v>1.4000000000000058E-2</v>
      </c>
      <c r="BI129" s="270">
        <f t="shared" si="17"/>
        <v>-3.9999999999999147E-2</v>
      </c>
    </row>
    <row r="130" spans="1:61">
      <c r="A130" s="266">
        <v>32994</v>
      </c>
      <c r="B130" s="266"/>
      <c r="C130" s="275"/>
      <c r="D130" s="276">
        <v>15.908666666666676</v>
      </c>
      <c r="E130" s="277">
        <v>3.8</v>
      </c>
      <c r="F130" s="277">
        <f t="shared" si="27"/>
        <v>117.8</v>
      </c>
      <c r="G130" s="277">
        <v>77.488</v>
      </c>
      <c r="H130" s="281">
        <f t="shared" si="26"/>
        <v>0.65779286926994907</v>
      </c>
      <c r="I130" s="202">
        <v>1840.59</v>
      </c>
      <c r="J130" s="270">
        <v>47.51</v>
      </c>
      <c r="K130" s="275"/>
      <c r="L130" s="202">
        <v>201.21600000000001</v>
      </c>
      <c r="M130" s="275"/>
      <c r="N130" s="202">
        <v>875.59500000000003</v>
      </c>
      <c r="O130" s="270">
        <v>11.3</v>
      </c>
      <c r="P130" s="275"/>
      <c r="Q130" s="202">
        <v>437.64100000000002</v>
      </c>
      <c r="R130" s="199"/>
      <c r="S130" s="275"/>
      <c r="T130" s="275"/>
      <c r="U130" s="275"/>
      <c r="V130" s="278">
        <v>11.827999999999999</v>
      </c>
      <c r="W130" s="278">
        <v>12.462999999999999</v>
      </c>
      <c r="X130" s="278">
        <v>16.559000000000001</v>
      </c>
      <c r="Y130" s="278"/>
      <c r="Z130" s="278">
        <v>1.1970000000000001</v>
      </c>
      <c r="AA130" s="278">
        <v>11.801</v>
      </c>
      <c r="AB130" s="278">
        <v>16.283000000000001</v>
      </c>
      <c r="AC130" s="278">
        <v>7.3559999999999999</v>
      </c>
      <c r="AD130" s="279">
        <v>77.486999999999995</v>
      </c>
      <c r="AE130" s="278">
        <f t="shared" si="20"/>
        <v>77.486999999999995</v>
      </c>
      <c r="AF130" s="278">
        <f t="shared" si="21"/>
        <v>0</v>
      </c>
      <c r="AG130" s="278">
        <f t="shared" si="18"/>
        <v>-1.0000000000047748E-3</v>
      </c>
      <c r="AH130" s="202">
        <f t="shared" ref="AH130:AH193" si="31">AB130-AB129</f>
        <v>-0.22700000000000031</v>
      </c>
      <c r="AI130" s="202">
        <f t="shared" si="16"/>
        <v>58.81</v>
      </c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275"/>
      <c r="AT130" s="275"/>
      <c r="AU130" s="275"/>
      <c r="AV130" s="275"/>
      <c r="AW130" s="275"/>
      <c r="AX130" s="275"/>
      <c r="AY130" s="275"/>
      <c r="AZ130" s="275"/>
      <c r="BA130" s="275"/>
      <c r="BB130" s="275"/>
      <c r="BC130" s="275"/>
      <c r="BE130" s="274">
        <f t="shared" si="19"/>
        <v>2.4996129032258065</v>
      </c>
      <c r="BF130" s="280">
        <f t="shared" si="30"/>
        <v>93.2</v>
      </c>
      <c r="BG130" s="154" t="str">
        <f t="shared" si="25"/>
        <v/>
      </c>
      <c r="BH130" s="270">
        <f t="shared" si="23"/>
        <v>1.8000000000000328E-2</v>
      </c>
      <c r="BI130" s="270">
        <f t="shared" si="17"/>
        <v>8.0000000000000071E-2</v>
      </c>
    </row>
    <row r="131" spans="1:61">
      <c r="A131" s="266">
        <v>33025</v>
      </c>
      <c r="B131" s="266"/>
      <c r="C131" s="275"/>
      <c r="D131" s="276">
        <v>14.479333333333344</v>
      </c>
      <c r="E131" s="277">
        <v>3.8</v>
      </c>
      <c r="F131" s="277">
        <f t="shared" si="27"/>
        <v>114</v>
      </c>
      <c r="G131" s="277">
        <v>77.513999999999996</v>
      </c>
      <c r="H131" s="281">
        <f t="shared" si="26"/>
        <v>0.67994736842105263</v>
      </c>
      <c r="I131" s="202">
        <v>1837.0160000000001</v>
      </c>
      <c r="J131" s="270">
        <v>47.4</v>
      </c>
      <c r="K131" s="275"/>
      <c r="L131" s="202">
        <v>168.792</v>
      </c>
      <c r="M131" s="275"/>
      <c r="N131" s="202">
        <v>876.36</v>
      </c>
      <c r="O131" s="270">
        <v>11.31</v>
      </c>
      <c r="P131" s="275"/>
      <c r="Q131" s="202">
        <v>415.798</v>
      </c>
      <c r="R131" s="199"/>
      <c r="S131" s="275"/>
      <c r="T131" s="275"/>
      <c r="U131" s="275"/>
      <c r="V131" s="278">
        <v>11.116</v>
      </c>
      <c r="W131" s="278">
        <v>14.47</v>
      </c>
      <c r="X131" s="278">
        <v>13.832000000000001</v>
      </c>
      <c r="Y131" s="278"/>
      <c r="Z131" s="278">
        <v>2.488</v>
      </c>
      <c r="AA131" s="278">
        <v>11.193</v>
      </c>
      <c r="AB131" s="278">
        <v>16.521000000000001</v>
      </c>
      <c r="AC131" s="278">
        <v>7.8940000000000001</v>
      </c>
      <c r="AD131" s="279">
        <v>77.513999999999996</v>
      </c>
      <c r="AE131" s="278">
        <f t="shared" si="20"/>
        <v>77.51400000000001</v>
      </c>
      <c r="AF131" s="278">
        <f t="shared" si="21"/>
        <v>0</v>
      </c>
      <c r="AG131" s="278">
        <f t="shared" si="18"/>
        <v>0</v>
      </c>
      <c r="AH131" s="202">
        <f t="shared" si="31"/>
        <v>0.23799999999999955</v>
      </c>
      <c r="AI131" s="202">
        <f t="shared" ref="AI131:AI194" si="32">J131+O131</f>
        <v>58.71</v>
      </c>
      <c r="AJ131" s="275"/>
      <c r="AK131" s="275"/>
      <c r="AL131" s="275"/>
      <c r="AM131" s="275"/>
      <c r="AN131" s="275"/>
      <c r="AO131" s="275"/>
      <c r="AP131" s="275"/>
      <c r="AQ131" s="275"/>
      <c r="AR131" s="275"/>
      <c r="AS131" s="275"/>
      <c r="AT131" s="275"/>
      <c r="AU131" s="275"/>
      <c r="AV131" s="275"/>
      <c r="AW131" s="275"/>
      <c r="AX131" s="275"/>
      <c r="AY131" s="275"/>
      <c r="AZ131" s="275"/>
      <c r="BA131" s="275"/>
      <c r="BB131" s="275"/>
      <c r="BC131" s="275"/>
      <c r="BE131" s="274">
        <f>G131/30</f>
        <v>2.5837999999999997</v>
      </c>
      <c r="BF131" s="280">
        <f t="shared" si="30"/>
        <v>81.900000000000006</v>
      </c>
      <c r="BG131" s="154" t="str">
        <f t="shared" si="25"/>
        <v/>
      </c>
      <c r="BH131" s="270">
        <f t="shared" si="23"/>
        <v>6.2000000000000097E-2</v>
      </c>
      <c r="BI131" s="270">
        <f t="shared" si="17"/>
        <v>9.9999999999997868E-3</v>
      </c>
    </row>
    <row r="132" spans="1:61">
      <c r="A132" s="266">
        <v>33055</v>
      </c>
      <c r="B132" s="266"/>
      <c r="C132" s="275"/>
      <c r="D132" s="276">
        <v>12.641999999999996</v>
      </c>
      <c r="E132" s="277">
        <v>3.8068387096774194</v>
      </c>
      <c r="F132" s="277">
        <f t="shared" si="27"/>
        <v>118.012</v>
      </c>
      <c r="G132" s="277">
        <v>79.558000000000007</v>
      </c>
      <c r="H132" s="281">
        <f t="shared" si="26"/>
        <v>0.67415178117479579</v>
      </c>
      <c r="I132" s="202">
        <v>1899.08</v>
      </c>
      <c r="J132" s="270">
        <v>47.74</v>
      </c>
      <c r="K132" s="275"/>
      <c r="L132" s="202">
        <v>194.29499999999999</v>
      </c>
      <c r="M132" s="275"/>
      <c r="N132" s="202">
        <v>899.88199999999995</v>
      </c>
      <c r="O132" s="270">
        <v>11.31</v>
      </c>
      <c r="P132" s="275"/>
      <c r="Q132" s="202">
        <v>411.517</v>
      </c>
      <c r="R132" s="199"/>
      <c r="S132" s="275"/>
      <c r="T132" s="275"/>
      <c r="U132" s="275"/>
      <c r="V132" s="278">
        <v>12.465999999999999</v>
      </c>
      <c r="W132" s="278">
        <v>16.036999999999999</v>
      </c>
      <c r="X132" s="278">
        <v>14.624000000000001</v>
      </c>
      <c r="Y132" s="278"/>
      <c r="Z132" s="278">
        <v>2.819</v>
      </c>
      <c r="AA132" s="278">
        <v>10.863</v>
      </c>
      <c r="AB132" s="278">
        <v>16.146000000000001</v>
      </c>
      <c r="AC132" s="278">
        <v>6.6029999999999998</v>
      </c>
      <c r="AD132" s="279">
        <v>79.558000000000007</v>
      </c>
      <c r="AE132" s="278">
        <f t="shared" si="20"/>
        <v>79.558000000000007</v>
      </c>
      <c r="AF132" s="278">
        <f t="shared" si="21"/>
        <v>0</v>
      </c>
      <c r="AG132" s="278">
        <f t="shared" si="18"/>
        <v>0</v>
      </c>
      <c r="AH132" s="202">
        <f t="shared" si="31"/>
        <v>-0.375</v>
      </c>
      <c r="AI132" s="202">
        <f t="shared" si="32"/>
        <v>59.050000000000004</v>
      </c>
      <c r="AJ132" s="275"/>
      <c r="AK132" s="275"/>
      <c r="AL132" s="275"/>
      <c r="AM132" s="275"/>
      <c r="AN132" s="275"/>
      <c r="AO132" s="275"/>
      <c r="AP132" s="275"/>
      <c r="AQ132" s="275"/>
      <c r="AR132" s="275"/>
      <c r="AS132" s="275"/>
      <c r="AT132" s="275"/>
      <c r="AU132" s="275"/>
      <c r="AV132" s="275"/>
      <c r="AW132" s="275"/>
      <c r="AX132" s="275"/>
      <c r="AY132" s="275"/>
      <c r="AZ132" s="275"/>
      <c r="BA132" s="275"/>
      <c r="BB132" s="275"/>
      <c r="BC132" s="275"/>
      <c r="BE132" s="274">
        <f t="shared" si="19"/>
        <v>2.5663870967741937</v>
      </c>
      <c r="BF132" s="280">
        <f t="shared" si="30"/>
        <v>84.1</v>
      </c>
      <c r="BG132" s="154" t="str">
        <f t="shared" si="25"/>
        <v/>
      </c>
      <c r="BH132" s="270">
        <f t="shared" si="23"/>
        <v>-8.000000000000184E-3</v>
      </c>
      <c r="BI132" s="270">
        <f t="shared" ref="BI132:BI195" si="33">O132-O131</f>
        <v>0</v>
      </c>
    </row>
    <row r="133" spans="1:61">
      <c r="A133" s="266">
        <v>33086</v>
      </c>
      <c r="B133" s="266"/>
      <c r="C133" s="275"/>
      <c r="D133" s="276">
        <v>9.2650000000000006</v>
      </c>
      <c r="E133" s="277">
        <v>3.8067741935483874</v>
      </c>
      <c r="F133" s="277">
        <f t="shared" si="27"/>
        <v>118.01</v>
      </c>
      <c r="G133" s="277">
        <v>84.965000000000003</v>
      </c>
      <c r="H133" s="281">
        <f t="shared" si="26"/>
        <v>0.71998135751207526</v>
      </c>
      <c r="I133" s="202">
        <v>2016.9380000000001</v>
      </c>
      <c r="J133" s="270">
        <v>47.48</v>
      </c>
      <c r="K133" s="275"/>
      <c r="L133" s="202">
        <v>197.87700000000001</v>
      </c>
      <c r="M133" s="275"/>
      <c r="N133" s="202">
        <v>970.75199999999995</v>
      </c>
      <c r="O133" s="270">
        <v>11.43</v>
      </c>
      <c r="P133" s="275"/>
      <c r="Q133" s="202">
        <v>444.93</v>
      </c>
      <c r="R133" s="199"/>
      <c r="S133" s="275"/>
      <c r="T133" s="275"/>
      <c r="U133" s="275"/>
      <c r="V133" s="278">
        <v>12.613</v>
      </c>
      <c r="W133" s="278">
        <v>16.149000000000001</v>
      </c>
      <c r="X133" s="278">
        <v>15.56</v>
      </c>
      <c r="Y133" s="278"/>
      <c r="Z133" s="278">
        <v>3.3130000000000002</v>
      </c>
      <c r="AA133" s="278">
        <v>10.382</v>
      </c>
      <c r="AB133" s="278">
        <v>17.887</v>
      </c>
      <c r="AC133" s="278">
        <v>9.0619999999999994</v>
      </c>
      <c r="AD133" s="279">
        <v>84.965999999999994</v>
      </c>
      <c r="AE133" s="278">
        <f t="shared" si="20"/>
        <v>84.965999999999994</v>
      </c>
      <c r="AF133" s="278">
        <f t="shared" si="21"/>
        <v>0</v>
      </c>
      <c r="AG133" s="278">
        <f t="shared" si="18"/>
        <v>9.9999999999056399E-4</v>
      </c>
      <c r="AH133" s="202">
        <f t="shared" si="31"/>
        <v>1.7409999999999997</v>
      </c>
      <c r="AI133" s="202">
        <f t="shared" si="32"/>
        <v>58.91</v>
      </c>
      <c r="AJ133" s="275"/>
      <c r="AK133" s="275"/>
      <c r="AL133" s="275"/>
      <c r="AM133" s="275"/>
      <c r="AN133" s="275"/>
      <c r="AO133" s="275"/>
      <c r="AP133" s="275"/>
      <c r="AQ133" s="275"/>
      <c r="AR133" s="275"/>
      <c r="AS133" s="275"/>
      <c r="AT133" s="275"/>
      <c r="AU133" s="275"/>
      <c r="AV133" s="275"/>
      <c r="AW133" s="275"/>
      <c r="AX133" s="275"/>
      <c r="AY133" s="275"/>
      <c r="AZ133" s="275"/>
      <c r="BA133" s="275"/>
      <c r="BB133" s="275"/>
      <c r="BC133" s="275"/>
      <c r="BE133" s="274">
        <f t="shared" si="19"/>
        <v>2.7408064516129031</v>
      </c>
      <c r="BF133" s="280">
        <f>MAX(G121,G109,G97,G85,G73,G61,G49,G37,G25,G13)</f>
        <v>85</v>
      </c>
      <c r="BG133" s="154" t="str">
        <f t="shared" si="25"/>
        <v/>
      </c>
      <c r="BH133" s="270">
        <f t="shared" si="23"/>
        <v>-3.5527136788005011E-16</v>
      </c>
      <c r="BI133" s="270">
        <f t="shared" si="33"/>
        <v>0.11999999999999922</v>
      </c>
    </row>
    <row r="134" spans="1:61">
      <c r="A134" s="266">
        <v>33117</v>
      </c>
      <c r="B134" s="266"/>
      <c r="C134" s="275"/>
      <c r="D134" s="276">
        <v>12.902666666666661</v>
      </c>
      <c r="E134" s="277">
        <v>3.8067666666666669</v>
      </c>
      <c r="F134" s="277">
        <f t="shared" si="27"/>
        <v>114.203</v>
      </c>
      <c r="G134" s="277">
        <v>79.164000000000001</v>
      </c>
      <c r="H134" s="281">
        <f t="shared" si="26"/>
        <v>0.69318669386968823</v>
      </c>
      <c r="I134" s="202">
        <v>1882.029</v>
      </c>
      <c r="J134" s="270">
        <v>47.55</v>
      </c>
      <c r="K134" s="275"/>
      <c r="L134" s="202">
        <v>197.53299999999999</v>
      </c>
      <c r="M134" s="275"/>
      <c r="N134" s="202">
        <v>898.06200000000001</v>
      </c>
      <c r="O134" s="270">
        <v>11.34</v>
      </c>
      <c r="P134" s="275"/>
      <c r="Q134" s="202">
        <v>455.78500000000003</v>
      </c>
      <c r="R134" s="199"/>
      <c r="S134" s="275"/>
      <c r="T134" s="275"/>
      <c r="U134" s="275"/>
      <c r="V134" s="278">
        <v>12.547000000000001</v>
      </c>
      <c r="W134" s="278">
        <v>14.494999999999999</v>
      </c>
      <c r="X134" s="278">
        <v>13.273</v>
      </c>
      <c r="Y134" s="278"/>
      <c r="Z134" s="278">
        <v>2.863</v>
      </c>
      <c r="AA134" s="278">
        <v>10.779</v>
      </c>
      <c r="AB134" s="278">
        <v>17.97</v>
      </c>
      <c r="AC134" s="278">
        <v>7.2370000000000001</v>
      </c>
      <c r="AD134" s="279">
        <v>79.164000000000001</v>
      </c>
      <c r="AE134" s="278">
        <f t="shared" si="20"/>
        <v>79.163999999999987</v>
      </c>
      <c r="AF134" s="278">
        <f t="shared" si="21"/>
        <v>0</v>
      </c>
      <c r="AG134" s="278">
        <f t="shared" ref="AG134:AG197" si="34">AE134-G134</f>
        <v>0</v>
      </c>
      <c r="AH134" s="202">
        <f t="shared" si="31"/>
        <v>8.2999999999998408E-2</v>
      </c>
      <c r="AI134" s="202">
        <f t="shared" si="32"/>
        <v>58.89</v>
      </c>
      <c r="AJ134" s="275"/>
      <c r="AK134" s="275"/>
      <c r="AL134" s="275"/>
      <c r="AM134" s="275"/>
      <c r="AN134" s="275"/>
      <c r="AO134" s="275"/>
      <c r="AP134" s="275"/>
      <c r="AQ134" s="275"/>
      <c r="AR134" s="275"/>
      <c r="AS134" s="275"/>
      <c r="AT134" s="275"/>
      <c r="AU134" s="275"/>
      <c r="AV134" s="275"/>
      <c r="AW134" s="275"/>
      <c r="AX134" s="275"/>
      <c r="AY134" s="275"/>
      <c r="AZ134" s="275"/>
      <c r="BA134" s="275"/>
      <c r="BB134" s="275"/>
      <c r="BC134" s="275"/>
      <c r="BE134" s="274">
        <f>G134/30</f>
        <v>2.6388000000000003</v>
      </c>
      <c r="BF134" s="280">
        <f t="shared" ref="BF134:BF144" si="35">MAX(G122,G110,G98,G86,G74,G62,G50,G38,G26,G14,G2)</f>
        <v>86.1</v>
      </c>
      <c r="BG134" s="154" t="str">
        <f t="shared" si="25"/>
        <v/>
      </c>
      <c r="BH134" s="270">
        <f t="shared" si="23"/>
        <v>9.8000000000000045E-2</v>
      </c>
      <c r="BI134" s="270">
        <f t="shared" si="33"/>
        <v>-8.9999999999999858E-2</v>
      </c>
    </row>
    <row r="135" spans="1:61">
      <c r="A135" s="266">
        <v>33147</v>
      </c>
      <c r="B135" s="266"/>
      <c r="C135" s="275"/>
      <c r="D135" s="276">
        <v>14.268133333333338</v>
      </c>
      <c r="E135" s="277">
        <v>3.8214193548387096</v>
      </c>
      <c r="F135" s="277">
        <f t="shared" si="27"/>
        <v>118.464</v>
      </c>
      <c r="G135" s="277">
        <v>91.804000000000002</v>
      </c>
      <c r="H135" s="281">
        <f t="shared" si="26"/>
        <v>0.77495272825499728</v>
      </c>
      <c r="I135" s="202">
        <v>2164.63</v>
      </c>
      <c r="J135" s="270">
        <v>47.16</v>
      </c>
      <c r="K135" s="275"/>
      <c r="L135" s="202">
        <v>373.69900000000001</v>
      </c>
      <c r="M135" s="275"/>
      <c r="N135" s="202">
        <v>1016.828</v>
      </c>
      <c r="O135" s="270">
        <v>11.08</v>
      </c>
      <c r="P135" s="275"/>
      <c r="Q135" s="202">
        <v>438.221</v>
      </c>
      <c r="R135" s="199"/>
      <c r="S135" s="275"/>
      <c r="T135" s="275"/>
      <c r="U135" s="275"/>
      <c r="V135" s="278">
        <v>14.881</v>
      </c>
      <c r="W135" s="278">
        <v>17.800999999999998</v>
      </c>
      <c r="X135" s="278">
        <v>16.135000000000002</v>
      </c>
      <c r="Y135" s="278"/>
      <c r="Z135" s="278">
        <v>3.0819999999999999</v>
      </c>
      <c r="AA135" s="278">
        <v>12.355</v>
      </c>
      <c r="AB135" s="278">
        <v>19.207999999999998</v>
      </c>
      <c r="AC135" s="278">
        <v>8.343</v>
      </c>
      <c r="AD135" s="279">
        <v>91.805000000000007</v>
      </c>
      <c r="AE135" s="278">
        <f t="shared" ref="AE135:AE198" si="36">SUM(V135:AC135)</f>
        <v>91.805000000000007</v>
      </c>
      <c r="AF135" s="278">
        <f t="shared" ref="AF135:AF198" si="37">AE135-AD135</f>
        <v>0</v>
      </c>
      <c r="AG135" s="278">
        <f t="shared" si="34"/>
        <v>1.0000000000047748E-3</v>
      </c>
      <c r="AH135" s="202">
        <f t="shared" si="31"/>
        <v>1.2379999999999995</v>
      </c>
      <c r="AI135" s="202">
        <f t="shared" si="32"/>
        <v>58.239999999999995</v>
      </c>
      <c r="AJ135" s="275"/>
      <c r="AK135" s="275"/>
      <c r="AL135" s="275"/>
      <c r="AM135" s="275"/>
      <c r="AN135" s="275"/>
      <c r="AO135" s="275"/>
      <c r="AP135" s="275"/>
      <c r="AQ135" s="275"/>
      <c r="AR135" s="275"/>
      <c r="AS135" s="275"/>
      <c r="AT135" s="275"/>
      <c r="AU135" s="275"/>
      <c r="AV135" s="275"/>
      <c r="AW135" s="275"/>
      <c r="AX135" s="275"/>
      <c r="AY135" s="275"/>
      <c r="AZ135" s="275"/>
      <c r="BA135" s="275"/>
      <c r="BB135" s="275"/>
      <c r="BC135" s="275"/>
      <c r="BE135" s="274">
        <f t="shared" ref="BE135:BE198" si="38">G135/31</f>
        <v>2.9614193548387098</v>
      </c>
      <c r="BF135" s="280">
        <f t="shared" si="35"/>
        <v>104.3</v>
      </c>
      <c r="BG135" s="154" t="str">
        <f t="shared" si="25"/>
        <v/>
      </c>
      <c r="BH135" s="270">
        <f t="shared" si="23"/>
        <v>-0.23999999999999949</v>
      </c>
      <c r="BI135" s="270">
        <f t="shared" si="33"/>
        <v>-0.25999999999999979</v>
      </c>
    </row>
    <row r="136" spans="1:61">
      <c r="A136" s="266">
        <v>33178</v>
      </c>
      <c r="B136" s="266"/>
      <c r="C136" s="275"/>
      <c r="D136" s="276">
        <v>14.523599999999988</v>
      </c>
      <c r="E136" s="277">
        <v>3.8214333333333332</v>
      </c>
      <c r="F136" s="277">
        <f t="shared" si="27"/>
        <v>114.643</v>
      </c>
      <c r="G136" s="277">
        <v>91.465000000000003</v>
      </c>
      <c r="H136" s="281">
        <f t="shared" si="26"/>
        <v>0.79782455099744432</v>
      </c>
      <c r="I136" s="202">
        <v>2164.7890000000002</v>
      </c>
      <c r="J136" s="270">
        <v>47.34</v>
      </c>
      <c r="K136" s="275"/>
      <c r="L136" s="202">
        <v>311.19299999999998</v>
      </c>
      <c r="M136" s="275"/>
      <c r="N136" s="202">
        <v>1018.199</v>
      </c>
      <c r="O136" s="270">
        <v>11.13</v>
      </c>
      <c r="P136" s="275"/>
      <c r="Q136" s="202">
        <v>458.94200000000001</v>
      </c>
      <c r="R136" s="199"/>
      <c r="S136" s="275"/>
      <c r="T136" s="275"/>
      <c r="U136" s="275"/>
      <c r="V136" s="278">
        <v>13.834</v>
      </c>
      <c r="W136" s="278">
        <v>16.946999999999999</v>
      </c>
      <c r="X136" s="278">
        <v>16.375</v>
      </c>
      <c r="Y136" s="278"/>
      <c r="Z136" s="278">
        <v>4.9139999999999997</v>
      </c>
      <c r="AA136" s="278">
        <v>12.429</v>
      </c>
      <c r="AB136" s="278">
        <v>18.917000000000002</v>
      </c>
      <c r="AC136" s="278">
        <v>8.048</v>
      </c>
      <c r="AD136" s="279">
        <v>91.463999999999999</v>
      </c>
      <c r="AE136" s="278">
        <f t="shared" si="36"/>
        <v>91.463999999999999</v>
      </c>
      <c r="AF136" s="278">
        <f t="shared" si="37"/>
        <v>0</v>
      </c>
      <c r="AG136" s="278">
        <f t="shared" si="34"/>
        <v>-1.0000000000047748E-3</v>
      </c>
      <c r="AH136" s="202">
        <f t="shared" si="31"/>
        <v>-0.29099999999999682</v>
      </c>
      <c r="AI136" s="202">
        <f t="shared" si="32"/>
        <v>58.470000000000006</v>
      </c>
      <c r="AJ136" s="275"/>
      <c r="AK136" s="275"/>
      <c r="AL136" s="275"/>
      <c r="AM136" s="275"/>
      <c r="AN136" s="275"/>
      <c r="AO136" s="275"/>
      <c r="AP136" s="275"/>
      <c r="AQ136" s="275"/>
      <c r="AR136" s="275"/>
      <c r="AS136" s="275"/>
      <c r="AT136" s="275"/>
      <c r="AU136" s="275"/>
      <c r="AV136" s="275"/>
      <c r="AW136" s="275"/>
      <c r="AX136" s="275"/>
      <c r="AY136" s="275"/>
      <c r="AZ136" s="275"/>
      <c r="BA136" s="275"/>
      <c r="BB136" s="275"/>
      <c r="BC136" s="275"/>
      <c r="BE136" s="274">
        <f>G136/30</f>
        <v>3.0488333333333335</v>
      </c>
      <c r="BF136" s="280">
        <f t="shared" si="35"/>
        <v>107.6</v>
      </c>
      <c r="BG136" s="154" t="str">
        <f t="shared" si="25"/>
        <v/>
      </c>
      <c r="BH136" s="270">
        <f t="shared" si="23"/>
        <v>-7.1999999999999884E-2</v>
      </c>
      <c r="BI136" s="270">
        <f t="shared" si="33"/>
        <v>5.0000000000000711E-2</v>
      </c>
    </row>
    <row r="137" spans="1:61">
      <c r="A137" s="266">
        <v>33208</v>
      </c>
      <c r="B137" s="266"/>
      <c r="C137" s="275"/>
      <c r="D137" s="276">
        <v>14.013133333333329</v>
      </c>
      <c r="E137" s="277">
        <v>3.8214193548387096</v>
      </c>
      <c r="F137" s="277">
        <f t="shared" si="27"/>
        <v>118.464</v>
      </c>
      <c r="G137" s="277">
        <v>88.682000000000002</v>
      </c>
      <c r="H137" s="281">
        <f t="shared" si="26"/>
        <v>0.74859873041599134</v>
      </c>
      <c r="I137" s="202">
        <v>2094.3240000000001</v>
      </c>
      <c r="J137" s="270">
        <v>47.23</v>
      </c>
      <c r="K137" s="275"/>
      <c r="L137" s="202">
        <v>297.14</v>
      </c>
      <c r="M137" s="275"/>
      <c r="N137" s="202">
        <v>989.08500000000004</v>
      </c>
      <c r="O137" s="270">
        <v>11.15</v>
      </c>
      <c r="P137" s="275"/>
      <c r="Q137" s="202">
        <v>530.07899999999995</v>
      </c>
      <c r="R137" s="199"/>
      <c r="S137" s="275"/>
      <c r="T137" s="275"/>
      <c r="U137" s="275"/>
      <c r="V137" s="278">
        <v>13.747</v>
      </c>
      <c r="W137" s="278">
        <v>15.846</v>
      </c>
      <c r="X137" s="278">
        <v>16.114999999999998</v>
      </c>
      <c r="Y137" s="278"/>
      <c r="Z137" s="278">
        <v>4.8499999999999996</v>
      </c>
      <c r="AA137" s="278">
        <v>11.769</v>
      </c>
      <c r="AB137" s="278">
        <v>18.495000000000001</v>
      </c>
      <c r="AC137" s="278">
        <v>7.859</v>
      </c>
      <c r="AD137" s="279">
        <v>88.680999999999997</v>
      </c>
      <c r="AE137" s="278">
        <f t="shared" si="36"/>
        <v>88.680999999999997</v>
      </c>
      <c r="AF137" s="278">
        <f t="shared" si="37"/>
        <v>0</v>
      </c>
      <c r="AG137" s="278">
        <f t="shared" si="34"/>
        <v>-1.0000000000047748E-3</v>
      </c>
      <c r="AH137" s="202">
        <f t="shared" si="31"/>
        <v>-0.4220000000000006</v>
      </c>
      <c r="AI137" s="202">
        <f t="shared" si="32"/>
        <v>58.379999999999995</v>
      </c>
      <c r="AJ137" s="275"/>
      <c r="AK137" s="275"/>
      <c r="AL137" s="275"/>
      <c r="AM137" s="275"/>
      <c r="AN137" s="275"/>
      <c r="AO137" s="275"/>
      <c r="AP137" s="275"/>
      <c r="AQ137" s="275"/>
      <c r="AR137" s="275"/>
      <c r="AS137" s="275"/>
      <c r="AT137" s="275"/>
      <c r="AU137" s="275"/>
      <c r="AV137" s="275"/>
      <c r="AW137" s="275"/>
      <c r="AX137" s="275"/>
      <c r="AY137" s="275"/>
      <c r="AZ137" s="275"/>
      <c r="BA137" s="275"/>
      <c r="BB137" s="275"/>
      <c r="BC137" s="275"/>
      <c r="BE137" s="274">
        <f t="shared" si="38"/>
        <v>2.8607096774193548</v>
      </c>
      <c r="BF137" s="280">
        <f t="shared" si="35"/>
        <v>111.6</v>
      </c>
      <c r="BG137" s="154" t="str">
        <f t="shared" si="25"/>
        <v/>
      </c>
      <c r="BH137" s="270">
        <f t="shared" si="23"/>
        <v>-1.4000000000000058E-2</v>
      </c>
      <c r="BI137" s="270">
        <f t="shared" si="33"/>
        <v>1.9999999999999574E-2</v>
      </c>
    </row>
    <row r="138" spans="1:61">
      <c r="A138" s="266">
        <v>33239</v>
      </c>
      <c r="B138" s="266"/>
      <c r="C138" s="275"/>
      <c r="D138" s="276">
        <v>16.894999999999996</v>
      </c>
      <c r="E138" s="277">
        <v>3.8569999999999998</v>
      </c>
      <c r="F138" s="277">
        <f t="shared" si="27"/>
        <v>119.56699999999999</v>
      </c>
      <c r="G138" s="277">
        <v>88.099000000000004</v>
      </c>
      <c r="H138" s="281">
        <f t="shared" si="26"/>
        <v>0.73681701472814409</v>
      </c>
      <c r="I138" s="202">
        <v>2088.7800000000002</v>
      </c>
      <c r="J138" s="270">
        <v>47.42</v>
      </c>
      <c r="K138" s="275"/>
      <c r="L138" s="202">
        <v>296.70400000000001</v>
      </c>
      <c r="M138" s="275"/>
      <c r="N138" s="202">
        <v>987.59100000000001</v>
      </c>
      <c r="O138" s="270">
        <v>11.21</v>
      </c>
      <c r="P138" s="275"/>
      <c r="Q138" s="202">
        <v>532.43799999999999</v>
      </c>
      <c r="R138" s="199"/>
      <c r="S138" s="275"/>
      <c r="T138" s="275"/>
      <c r="U138" s="275"/>
      <c r="V138" s="278">
        <v>13.750999999999999</v>
      </c>
      <c r="W138" s="278">
        <v>15.696999999999999</v>
      </c>
      <c r="X138" s="278">
        <v>16.7</v>
      </c>
      <c r="Y138" s="278"/>
      <c r="Z138" s="278">
        <v>4.516</v>
      </c>
      <c r="AA138" s="278">
        <v>11.853</v>
      </c>
      <c r="AB138" s="278">
        <v>18.36</v>
      </c>
      <c r="AC138" s="278">
        <v>7.2220000000000004</v>
      </c>
      <c r="AD138" s="279">
        <v>88.099000000000004</v>
      </c>
      <c r="AE138" s="278">
        <f t="shared" si="36"/>
        <v>88.09899999999999</v>
      </c>
      <c r="AF138" s="278">
        <f t="shared" si="37"/>
        <v>0</v>
      </c>
      <c r="AG138" s="278">
        <f t="shared" si="34"/>
        <v>0</v>
      </c>
      <c r="AH138" s="202">
        <f t="shared" si="31"/>
        <v>-0.13500000000000156</v>
      </c>
      <c r="AI138" s="202">
        <f t="shared" si="32"/>
        <v>58.63</v>
      </c>
      <c r="AJ138" s="275"/>
      <c r="AK138" s="275"/>
      <c r="AL138" s="275"/>
      <c r="AM138" s="275"/>
      <c r="AN138" s="275"/>
      <c r="AO138" s="275"/>
      <c r="AP138" s="275"/>
      <c r="AQ138" s="275"/>
      <c r="AR138" s="275"/>
      <c r="AS138" s="275"/>
      <c r="AT138" s="275"/>
      <c r="AU138" s="275"/>
      <c r="AV138" s="275"/>
      <c r="AW138" s="275"/>
      <c r="AX138" s="275"/>
      <c r="AY138" s="275"/>
      <c r="AZ138" s="275"/>
      <c r="BA138" s="275"/>
      <c r="BB138" s="275"/>
      <c r="BC138" s="275"/>
      <c r="BE138" s="274">
        <f t="shared" si="38"/>
        <v>2.8419032258064516</v>
      </c>
      <c r="BF138" s="280">
        <f t="shared" si="35"/>
        <v>110</v>
      </c>
      <c r="BG138" s="154" t="str">
        <f t="shared" si="25"/>
        <v/>
      </c>
      <c r="BH138" s="270">
        <f t="shared" si="23"/>
        <v>9.5999999999999377E-2</v>
      </c>
      <c r="BI138" s="270">
        <f t="shared" si="33"/>
        <v>6.0000000000000497E-2</v>
      </c>
    </row>
    <row r="139" spans="1:61">
      <c r="A139" s="266">
        <v>33270</v>
      </c>
      <c r="B139" s="266"/>
      <c r="C139" s="275"/>
      <c r="D139" s="276">
        <v>14.739999999999981</v>
      </c>
      <c r="E139" s="277">
        <v>3.8569642857142861</v>
      </c>
      <c r="F139" s="277">
        <f t="shared" si="27"/>
        <v>107.995</v>
      </c>
      <c r="G139" s="277">
        <v>76.861000000000004</v>
      </c>
      <c r="H139" s="281">
        <f t="shared" si="26"/>
        <v>0.71170887541089867</v>
      </c>
      <c r="I139" s="202">
        <v>1819.384</v>
      </c>
      <c r="J139" s="270">
        <v>47.34</v>
      </c>
      <c r="K139" s="275"/>
      <c r="L139" s="202">
        <v>333.29199999999997</v>
      </c>
      <c r="M139" s="275"/>
      <c r="N139" s="202">
        <v>862.68200000000002</v>
      </c>
      <c r="O139" s="270">
        <v>11.22</v>
      </c>
      <c r="P139" s="275"/>
      <c r="Q139" s="202">
        <v>562.48400000000004</v>
      </c>
      <c r="R139" s="199"/>
      <c r="S139" s="275"/>
      <c r="T139" s="275"/>
      <c r="U139" s="275"/>
      <c r="V139" s="278">
        <v>12.167</v>
      </c>
      <c r="W139" s="278">
        <v>13.391</v>
      </c>
      <c r="X139" s="278">
        <v>14.622</v>
      </c>
      <c r="Y139" s="278"/>
      <c r="Z139" s="278">
        <v>3.956</v>
      </c>
      <c r="AA139" s="278">
        <v>10.226000000000001</v>
      </c>
      <c r="AB139" s="278">
        <v>15.901</v>
      </c>
      <c r="AC139" s="278">
        <v>6.5979999999999999</v>
      </c>
      <c r="AD139" s="279">
        <v>76.861000000000004</v>
      </c>
      <c r="AE139" s="278">
        <f t="shared" si="36"/>
        <v>76.861000000000004</v>
      </c>
      <c r="AF139" s="278">
        <f t="shared" si="37"/>
        <v>0</v>
      </c>
      <c r="AG139" s="278">
        <f t="shared" si="34"/>
        <v>0</v>
      </c>
      <c r="AH139" s="202">
        <f t="shared" si="31"/>
        <v>-2.4589999999999996</v>
      </c>
      <c r="AI139" s="202">
        <f t="shared" si="32"/>
        <v>58.56</v>
      </c>
      <c r="AJ139" s="275"/>
      <c r="AK139" s="275"/>
      <c r="AL139" s="275"/>
      <c r="AM139" s="275"/>
      <c r="AN139" s="275"/>
      <c r="AO139" s="275"/>
      <c r="AP139" s="275"/>
      <c r="AQ139" s="275"/>
      <c r="AR139" s="275"/>
      <c r="AS139" s="275"/>
      <c r="AT139" s="275"/>
      <c r="AU139" s="275"/>
      <c r="AV139" s="275"/>
      <c r="AW139" s="275"/>
      <c r="AX139" s="275"/>
      <c r="AY139" s="275"/>
      <c r="AZ139" s="275"/>
      <c r="BA139" s="275"/>
      <c r="BB139" s="275"/>
      <c r="BC139" s="275"/>
      <c r="BE139" s="274">
        <f>G139/28</f>
        <v>2.7450357142857142</v>
      </c>
      <c r="BF139" s="280">
        <f t="shared" si="35"/>
        <v>98.9</v>
      </c>
      <c r="BG139" s="154" t="str">
        <f t="shared" si="25"/>
        <v/>
      </c>
      <c r="BH139" s="270">
        <f t="shared" si="23"/>
        <v>3.4000000000000342E-2</v>
      </c>
      <c r="BI139" s="270">
        <f t="shared" si="33"/>
        <v>9.9999999999997868E-3</v>
      </c>
    </row>
    <row r="140" spans="1:61">
      <c r="A140" s="266">
        <v>33298</v>
      </c>
      <c r="B140" s="266"/>
      <c r="C140" s="275"/>
      <c r="D140" s="276">
        <v>16.310000000000002</v>
      </c>
      <c r="E140" s="277">
        <v>3.8569677419354838</v>
      </c>
      <c r="F140" s="277">
        <f t="shared" si="27"/>
        <v>119.566</v>
      </c>
      <c r="G140" s="277">
        <v>85.025000000000006</v>
      </c>
      <c r="H140" s="281">
        <f t="shared" si="26"/>
        <v>0.71111352725691257</v>
      </c>
      <c r="I140" s="202">
        <v>2009.4739999999999</v>
      </c>
      <c r="J140" s="270">
        <v>47.27</v>
      </c>
      <c r="K140" s="275"/>
      <c r="L140" s="202">
        <v>236.477</v>
      </c>
      <c r="M140" s="275"/>
      <c r="N140" s="202">
        <v>962.13900000000001</v>
      </c>
      <c r="O140" s="270">
        <v>11.32</v>
      </c>
      <c r="P140" s="275"/>
      <c r="Q140" s="202">
        <v>642.90800000000002</v>
      </c>
      <c r="R140" s="199"/>
      <c r="S140" s="275"/>
      <c r="T140" s="275"/>
      <c r="U140" s="275"/>
      <c r="V140" s="278">
        <v>13.284000000000001</v>
      </c>
      <c r="W140" s="278">
        <v>14.486000000000001</v>
      </c>
      <c r="X140" s="278">
        <v>15.942</v>
      </c>
      <c r="Y140" s="278"/>
      <c r="Z140" s="278">
        <v>4.7290000000000001</v>
      </c>
      <c r="AA140" s="278">
        <v>11.321</v>
      </c>
      <c r="AB140" s="278">
        <v>17.692</v>
      </c>
      <c r="AC140" s="278">
        <v>7.5709999999999997</v>
      </c>
      <c r="AD140" s="279">
        <v>85.025000000000006</v>
      </c>
      <c r="AE140" s="278">
        <f t="shared" si="36"/>
        <v>85.025000000000006</v>
      </c>
      <c r="AF140" s="278">
        <f t="shared" si="37"/>
        <v>0</v>
      </c>
      <c r="AG140" s="278">
        <f t="shared" si="34"/>
        <v>0</v>
      </c>
      <c r="AH140" s="202">
        <f t="shared" si="31"/>
        <v>1.7910000000000004</v>
      </c>
      <c r="AI140" s="202">
        <f t="shared" si="32"/>
        <v>58.59</v>
      </c>
      <c r="AJ140" s="275"/>
      <c r="AK140" s="275"/>
      <c r="AL140" s="275"/>
      <c r="AM140" s="275"/>
      <c r="AN140" s="275"/>
      <c r="AO140" s="275"/>
      <c r="AP140" s="275"/>
      <c r="AQ140" s="275"/>
      <c r="AR140" s="275"/>
      <c r="AS140" s="275"/>
      <c r="AT140" s="275"/>
      <c r="AU140" s="275"/>
      <c r="AV140" s="275"/>
      <c r="AW140" s="275"/>
      <c r="AX140" s="275"/>
      <c r="AY140" s="275"/>
      <c r="AZ140" s="275"/>
      <c r="BA140" s="275"/>
      <c r="BB140" s="275"/>
      <c r="BC140" s="275"/>
      <c r="BE140" s="274">
        <f t="shared" si="38"/>
        <v>2.7427419354838714</v>
      </c>
      <c r="BF140" s="280">
        <f t="shared" si="35"/>
        <v>101.4</v>
      </c>
      <c r="BG140" s="154" t="str">
        <f t="shared" si="25"/>
        <v/>
      </c>
      <c r="BH140" s="270">
        <f t="shared" si="23"/>
        <v>4.3999999999999775E-2</v>
      </c>
      <c r="BI140" s="270">
        <f t="shared" si="33"/>
        <v>9.9999999999999645E-2</v>
      </c>
    </row>
    <row r="141" spans="1:61">
      <c r="A141" s="266">
        <v>33329</v>
      </c>
      <c r="B141" s="266"/>
      <c r="C141" s="275"/>
      <c r="D141" s="276">
        <v>15.525999999999996</v>
      </c>
      <c r="E141" s="277">
        <v>3.8227666666666669</v>
      </c>
      <c r="F141" s="277">
        <f t="shared" si="27"/>
        <v>114.68300000000001</v>
      </c>
      <c r="G141" s="277">
        <v>82.117000000000004</v>
      </c>
      <c r="H141" s="281">
        <f t="shared" si="26"/>
        <v>0.71603463460146666</v>
      </c>
      <c r="I141" s="202">
        <v>1940.36</v>
      </c>
      <c r="J141" s="270">
        <v>47.26</v>
      </c>
      <c r="K141" s="275"/>
      <c r="L141" s="202">
        <v>234.309</v>
      </c>
      <c r="M141" s="275"/>
      <c r="N141" s="202">
        <v>929.06500000000005</v>
      </c>
      <c r="O141" s="270">
        <v>11.31</v>
      </c>
      <c r="P141" s="275"/>
      <c r="Q141" s="202">
        <v>666.38199999999995</v>
      </c>
      <c r="R141" s="199"/>
      <c r="S141" s="275"/>
      <c r="T141" s="275"/>
      <c r="U141" s="275"/>
      <c r="V141" s="278">
        <v>11.041</v>
      </c>
      <c r="W141" s="278">
        <v>15.641999999999999</v>
      </c>
      <c r="X141" s="278">
        <v>14.861000000000001</v>
      </c>
      <c r="Y141" s="278"/>
      <c r="Z141" s="278">
        <v>4.327</v>
      </c>
      <c r="AA141" s="278">
        <v>11.977</v>
      </c>
      <c r="AB141" s="278">
        <v>17.584</v>
      </c>
      <c r="AC141" s="278">
        <v>6.6859999999999999</v>
      </c>
      <c r="AD141" s="279">
        <v>82.117999999999995</v>
      </c>
      <c r="AE141" s="278">
        <f t="shared" si="36"/>
        <v>82.117999999999995</v>
      </c>
      <c r="AF141" s="278">
        <f t="shared" si="37"/>
        <v>0</v>
      </c>
      <c r="AG141" s="278">
        <f t="shared" si="34"/>
        <v>9.9999999999056399E-4</v>
      </c>
      <c r="AH141" s="202">
        <f t="shared" si="31"/>
        <v>-0.10800000000000054</v>
      </c>
      <c r="AI141" s="202">
        <f t="shared" si="32"/>
        <v>58.57</v>
      </c>
      <c r="AJ141" s="275"/>
      <c r="AK141" s="275"/>
      <c r="AL141" s="275"/>
      <c r="AM141" s="275"/>
      <c r="AN141" s="275"/>
      <c r="AO141" s="275"/>
      <c r="AP141" s="275"/>
      <c r="AQ141" s="275"/>
      <c r="AR141" s="275"/>
      <c r="AS141" s="275"/>
      <c r="AT141" s="275"/>
      <c r="AU141" s="275"/>
      <c r="AV141" s="275"/>
      <c r="AW141" s="275"/>
      <c r="AX141" s="275"/>
      <c r="AY141" s="275"/>
      <c r="AZ141" s="275"/>
      <c r="BA141" s="275"/>
      <c r="BB141" s="275"/>
      <c r="BC141" s="275"/>
      <c r="BE141" s="274">
        <f>G141/30</f>
        <v>2.7372333333333336</v>
      </c>
      <c r="BF141" s="280">
        <f t="shared" si="35"/>
        <v>91.4</v>
      </c>
      <c r="BG141" s="154" t="str">
        <f t="shared" si="25"/>
        <v/>
      </c>
      <c r="BH141" s="270">
        <f t="shared" si="23"/>
        <v>6.0000000000002274E-3</v>
      </c>
      <c r="BI141" s="270">
        <f t="shared" si="33"/>
        <v>-9.9999999999997868E-3</v>
      </c>
    </row>
    <row r="142" spans="1:61">
      <c r="A142" s="266">
        <v>33359</v>
      </c>
      <c r="B142" s="266"/>
      <c r="C142" s="275"/>
      <c r="D142" s="276">
        <v>14.736000000000004</v>
      </c>
      <c r="E142" s="277">
        <v>3.822741935483871</v>
      </c>
      <c r="F142" s="277">
        <f t="shared" si="27"/>
        <v>118.505</v>
      </c>
      <c r="G142" s="277">
        <v>77.936999999999998</v>
      </c>
      <c r="H142" s="281">
        <f t="shared" si="26"/>
        <v>0.65766845280789843</v>
      </c>
      <c r="I142" s="202">
        <v>1842.184</v>
      </c>
      <c r="J142" s="270">
        <v>47.27</v>
      </c>
      <c r="K142" s="275"/>
      <c r="L142" s="202">
        <v>227.27600000000001</v>
      </c>
      <c r="M142" s="275"/>
      <c r="N142" s="202">
        <v>883.596</v>
      </c>
      <c r="O142" s="270">
        <v>11.34</v>
      </c>
      <c r="P142" s="275"/>
      <c r="Q142" s="202">
        <v>642.78300000000002</v>
      </c>
      <c r="R142" s="199"/>
      <c r="S142" s="275"/>
      <c r="T142" s="275"/>
      <c r="U142" s="275"/>
      <c r="V142" s="278">
        <v>11.596</v>
      </c>
      <c r="W142" s="278">
        <v>13.53</v>
      </c>
      <c r="X142" s="278">
        <v>15.456</v>
      </c>
      <c r="Y142" s="278"/>
      <c r="Z142" s="278">
        <v>2.6389999999999998</v>
      </c>
      <c r="AA142" s="278">
        <v>11.74</v>
      </c>
      <c r="AB142" s="278">
        <v>15.497</v>
      </c>
      <c r="AC142" s="278">
        <v>7.4790000000000001</v>
      </c>
      <c r="AD142" s="279">
        <v>77.936999999999998</v>
      </c>
      <c r="AE142" s="278">
        <f t="shared" si="36"/>
        <v>77.936999999999998</v>
      </c>
      <c r="AF142" s="278">
        <f t="shared" si="37"/>
        <v>0</v>
      </c>
      <c r="AG142" s="278">
        <f t="shared" si="34"/>
        <v>0</v>
      </c>
      <c r="AH142" s="202">
        <f t="shared" si="31"/>
        <v>-2.0869999999999997</v>
      </c>
      <c r="AI142" s="202">
        <f t="shared" si="32"/>
        <v>58.61</v>
      </c>
      <c r="AJ142" s="275"/>
      <c r="AK142" s="275"/>
      <c r="AL142" s="275"/>
      <c r="AM142" s="275"/>
      <c r="AN142" s="275"/>
      <c r="AO142" s="275"/>
      <c r="AP142" s="275"/>
      <c r="AQ142" s="275"/>
      <c r="AR142" s="275"/>
      <c r="AS142" s="275"/>
      <c r="AT142" s="275"/>
      <c r="AU142" s="275"/>
      <c r="AV142" s="275"/>
      <c r="AW142" s="275"/>
      <c r="AX142" s="275"/>
      <c r="AY142" s="275"/>
      <c r="AZ142" s="275"/>
      <c r="BA142" s="275"/>
      <c r="BB142" s="275"/>
      <c r="BC142" s="275"/>
      <c r="BE142" s="274">
        <f t="shared" si="38"/>
        <v>2.5140967741935483</v>
      </c>
      <c r="BF142" s="280">
        <f t="shared" si="35"/>
        <v>93.2</v>
      </c>
      <c r="BG142" s="154" t="str">
        <f t="shared" si="25"/>
        <v/>
      </c>
      <c r="BH142" s="270">
        <f t="shared" si="23"/>
        <v>5.400000000000027E-2</v>
      </c>
      <c r="BI142" s="270">
        <f t="shared" si="33"/>
        <v>2.9999999999999361E-2</v>
      </c>
    </row>
    <row r="143" spans="1:61">
      <c r="A143" s="266">
        <v>33390</v>
      </c>
      <c r="B143" s="266"/>
      <c r="C143" s="275"/>
      <c r="D143" s="276">
        <v>14.272000000000006</v>
      </c>
      <c r="E143" s="277">
        <v>3.8228</v>
      </c>
      <c r="F143" s="277">
        <f t="shared" si="27"/>
        <v>114.684</v>
      </c>
      <c r="G143" s="277">
        <v>75.481999999999999</v>
      </c>
      <c r="H143" s="281">
        <f t="shared" si="26"/>
        <v>0.6581737644309581</v>
      </c>
      <c r="I143" s="202">
        <v>1796.0219999999999</v>
      </c>
      <c r="J143" s="270">
        <v>47.59</v>
      </c>
      <c r="K143" s="275"/>
      <c r="L143" s="202">
        <v>154.69800000000001</v>
      </c>
      <c r="M143" s="275"/>
      <c r="N143" s="202">
        <v>870.73800000000006</v>
      </c>
      <c r="O143" s="270">
        <v>11.54</v>
      </c>
      <c r="P143" s="275"/>
      <c r="Q143" s="202">
        <v>568.67700000000002</v>
      </c>
      <c r="R143" s="199"/>
      <c r="S143" s="275"/>
      <c r="T143" s="275"/>
      <c r="U143" s="275"/>
      <c r="V143" s="278">
        <v>11.105</v>
      </c>
      <c r="W143" s="278">
        <v>13.382999999999999</v>
      </c>
      <c r="X143" s="278">
        <v>12.637</v>
      </c>
      <c r="Y143" s="278"/>
      <c r="Z143" s="278">
        <v>4.0810000000000004</v>
      </c>
      <c r="AA143" s="278">
        <v>10.884</v>
      </c>
      <c r="AB143" s="278">
        <v>15.903</v>
      </c>
      <c r="AC143" s="278">
        <v>7.4889999999999999</v>
      </c>
      <c r="AD143" s="279">
        <v>75.481999999999999</v>
      </c>
      <c r="AE143" s="278">
        <f t="shared" si="36"/>
        <v>75.482000000000014</v>
      </c>
      <c r="AF143" s="278">
        <f t="shared" si="37"/>
        <v>0</v>
      </c>
      <c r="AG143" s="278">
        <f t="shared" si="34"/>
        <v>0</v>
      </c>
      <c r="AH143" s="202">
        <f t="shared" si="31"/>
        <v>0.40600000000000058</v>
      </c>
      <c r="AI143" s="202">
        <f t="shared" si="32"/>
        <v>59.13</v>
      </c>
      <c r="AJ143" s="275"/>
      <c r="AK143" s="275"/>
      <c r="AL143" s="275"/>
      <c r="AM143" s="275"/>
      <c r="AN143" s="275"/>
      <c r="AO143" s="275"/>
      <c r="AP143" s="275"/>
      <c r="AQ143" s="275"/>
      <c r="AR143" s="275"/>
      <c r="AS143" s="275"/>
      <c r="AT143" s="275"/>
      <c r="AU143" s="275"/>
      <c r="AV143" s="275"/>
      <c r="AW143" s="275"/>
      <c r="AX143" s="275"/>
      <c r="AY143" s="275"/>
      <c r="AZ143" s="275"/>
      <c r="BA143" s="275"/>
      <c r="BB143" s="275"/>
      <c r="BC143" s="275"/>
      <c r="BE143" s="274">
        <f>G143/30</f>
        <v>2.5160666666666667</v>
      </c>
      <c r="BF143" s="280">
        <f t="shared" si="35"/>
        <v>81.900000000000006</v>
      </c>
      <c r="BG143" s="154" t="str">
        <f t="shared" si="25"/>
        <v/>
      </c>
      <c r="BH143" s="270">
        <f t="shared" ref="BH143:BH206" si="39">AVERAGE(O131-O130,O119-O118,O107-O106,O95-O94,O83-O82)</f>
        <v>6.4000000000000057E-2</v>
      </c>
      <c r="BI143" s="270">
        <f t="shared" si="33"/>
        <v>0.19999999999999929</v>
      </c>
    </row>
    <row r="144" spans="1:61">
      <c r="A144" s="266">
        <v>33420</v>
      </c>
      <c r="B144" s="266"/>
      <c r="C144" s="275"/>
      <c r="D144" s="276">
        <v>14.706999999999994</v>
      </c>
      <c r="E144" s="277">
        <v>3.8273870967741934</v>
      </c>
      <c r="F144" s="277">
        <f t="shared" si="27"/>
        <v>118.649</v>
      </c>
      <c r="G144" s="277">
        <v>83.786000000000001</v>
      </c>
      <c r="H144" s="281">
        <f t="shared" si="26"/>
        <v>0.70616692934622294</v>
      </c>
      <c r="I144" s="202">
        <v>1976.5050000000001</v>
      </c>
      <c r="J144" s="270">
        <v>47.18</v>
      </c>
      <c r="K144" s="275"/>
      <c r="L144" s="202">
        <v>391.21100000000001</v>
      </c>
      <c r="M144" s="275"/>
      <c r="N144" s="202">
        <v>951.79399999999998</v>
      </c>
      <c r="O144" s="270">
        <v>11.36</v>
      </c>
      <c r="P144" s="275"/>
      <c r="Q144" s="202">
        <v>551.75400000000002</v>
      </c>
      <c r="R144" s="199"/>
      <c r="S144" s="275"/>
      <c r="T144" s="275"/>
      <c r="U144" s="275"/>
      <c r="V144" s="278">
        <v>11.714</v>
      </c>
      <c r="W144" s="278">
        <v>16.254000000000001</v>
      </c>
      <c r="X144" s="278">
        <v>14.78</v>
      </c>
      <c r="Y144" s="278"/>
      <c r="Z144" s="278">
        <v>4.7050000000000001</v>
      </c>
      <c r="AA144" s="278">
        <v>9.9960000000000004</v>
      </c>
      <c r="AB144" s="278">
        <v>18.381</v>
      </c>
      <c r="AC144" s="278">
        <v>7.9560000000000004</v>
      </c>
      <c r="AD144" s="279">
        <v>83.786000000000001</v>
      </c>
      <c r="AE144" s="278">
        <f t="shared" si="36"/>
        <v>83.786000000000016</v>
      </c>
      <c r="AF144" s="278">
        <f t="shared" si="37"/>
        <v>0</v>
      </c>
      <c r="AG144" s="278">
        <f t="shared" si="34"/>
        <v>0</v>
      </c>
      <c r="AH144" s="202">
        <f t="shared" si="31"/>
        <v>2.4779999999999998</v>
      </c>
      <c r="AI144" s="202">
        <f t="shared" si="32"/>
        <v>58.54</v>
      </c>
      <c r="AJ144" s="275"/>
      <c r="AK144" s="275"/>
      <c r="AL144" s="275"/>
      <c r="AM144" s="275"/>
      <c r="AN144" s="275"/>
      <c r="AO144" s="275"/>
      <c r="AP144" s="275"/>
      <c r="AQ144" s="275"/>
      <c r="AR144" s="275"/>
      <c r="AS144" s="275"/>
      <c r="AT144" s="275"/>
      <c r="AU144" s="275"/>
      <c r="AV144" s="275"/>
      <c r="AW144" s="275"/>
      <c r="AX144" s="275"/>
      <c r="AY144" s="275"/>
      <c r="AZ144" s="275"/>
      <c r="BA144" s="275"/>
      <c r="BB144" s="275"/>
      <c r="BC144" s="275"/>
      <c r="BE144" s="274">
        <f t="shared" si="38"/>
        <v>2.7027741935483873</v>
      </c>
      <c r="BF144" s="280">
        <f t="shared" si="35"/>
        <v>84.1</v>
      </c>
      <c r="BG144" s="154" t="str">
        <f t="shared" si="25"/>
        <v/>
      </c>
      <c r="BH144" s="270">
        <f t="shared" si="39"/>
        <v>-2.8000000000000115E-2</v>
      </c>
      <c r="BI144" s="270">
        <f t="shared" si="33"/>
        <v>-0.17999999999999972</v>
      </c>
    </row>
    <row r="145" spans="1:61">
      <c r="A145" s="266">
        <v>33451</v>
      </c>
      <c r="B145" s="266"/>
      <c r="C145" s="275"/>
      <c r="D145" s="276">
        <v>15.525000000000006</v>
      </c>
      <c r="E145" s="277">
        <v>3.8273548387096774</v>
      </c>
      <c r="F145" s="277">
        <f t="shared" si="27"/>
        <v>118.648</v>
      </c>
      <c r="G145" s="277">
        <v>88.444999999999993</v>
      </c>
      <c r="H145" s="281">
        <f t="shared" si="26"/>
        <v>0.74544029397882805</v>
      </c>
      <c r="I145" s="202">
        <v>2092.7800000000002</v>
      </c>
      <c r="J145" s="270">
        <v>47.32</v>
      </c>
      <c r="K145" s="275"/>
      <c r="L145" s="202">
        <v>248.625</v>
      </c>
      <c r="M145" s="275"/>
      <c r="N145" s="202">
        <v>1008.734</v>
      </c>
      <c r="O145" s="270">
        <v>11.41</v>
      </c>
      <c r="P145" s="275"/>
      <c r="Q145" s="202">
        <v>533.01800000000003</v>
      </c>
      <c r="R145" s="199"/>
      <c r="S145" s="275"/>
      <c r="T145" s="275"/>
      <c r="U145" s="275"/>
      <c r="V145" s="278">
        <v>14.391</v>
      </c>
      <c r="W145" s="278">
        <v>15.039</v>
      </c>
      <c r="X145" s="278">
        <v>14.717000000000001</v>
      </c>
      <c r="Y145" s="278"/>
      <c r="Z145" s="278">
        <v>4.7729999999999997</v>
      </c>
      <c r="AA145" s="278">
        <v>12.06</v>
      </c>
      <c r="AB145" s="278">
        <v>19.055</v>
      </c>
      <c r="AC145" s="278">
        <v>8.41</v>
      </c>
      <c r="AD145" s="279">
        <v>88.444999999999993</v>
      </c>
      <c r="AE145" s="278">
        <f t="shared" si="36"/>
        <v>88.444999999999993</v>
      </c>
      <c r="AF145" s="278">
        <f t="shared" si="37"/>
        <v>0</v>
      </c>
      <c r="AG145" s="278">
        <f t="shared" si="34"/>
        <v>0</v>
      </c>
      <c r="AH145" s="202">
        <f t="shared" si="31"/>
        <v>0.67399999999999949</v>
      </c>
      <c r="AI145" s="202">
        <f t="shared" si="32"/>
        <v>58.730000000000004</v>
      </c>
      <c r="AJ145" s="275"/>
      <c r="AK145" s="275"/>
      <c r="AL145" s="275"/>
      <c r="AM145" s="275"/>
      <c r="AN145" s="275"/>
      <c r="AO145" s="275"/>
      <c r="AP145" s="275"/>
      <c r="AQ145" s="275"/>
      <c r="AR145" s="275"/>
      <c r="AS145" s="275"/>
      <c r="AT145" s="275"/>
      <c r="AU145" s="275"/>
      <c r="AV145" s="275"/>
      <c r="AW145" s="275"/>
      <c r="AX145" s="275"/>
      <c r="AY145" s="275"/>
      <c r="AZ145" s="275"/>
      <c r="BA145" s="275"/>
      <c r="BB145" s="275"/>
      <c r="BC145" s="275"/>
      <c r="BE145" s="274">
        <f t="shared" si="38"/>
        <v>2.8530645161290322</v>
      </c>
      <c r="BF145" s="280">
        <f>MAX(G133,G121,G109,G97,G85,G73,G61,G49,G37,G25,G13)</f>
        <v>85</v>
      </c>
      <c r="BG145" s="154" t="str">
        <f t="shared" si="25"/>
        <v>RECORD</v>
      </c>
      <c r="BH145" s="270">
        <f t="shared" si="39"/>
        <v>3.9999999999995595E-3</v>
      </c>
      <c r="BI145" s="270">
        <f t="shared" si="33"/>
        <v>5.0000000000000711E-2</v>
      </c>
    </row>
    <row r="146" spans="1:61">
      <c r="A146" s="266">
        <v>33482</v>
      </c>
      <c r="B146" s="266"/>
      <c r="C146" s="275"/>
      <c r="D146" s="276">
        <v>14.766333333333336</v>
      </c>
      <c r="E146" s="277">
        <v>3.8273666666666668</v>
      </c>
      <c r="F146" s="277">
        <f t="shared" si="27"/>
        <v>114.821</v>
      </c>
      <c r="G146" s="277">
        <v>84.103999999999999</v>
      </c>
      <c r="H146" s="281">
        <f t="shared" si="26"/>
        <v>0.73247925031135419</v>
      </c>
      <c r="I146" s="202">
        <v>1993.768</v>
      </c>
      <c r="J146" s="270">
        <v>47.41</v>
      </c>
      <c r="K146" s="275"/>
      <c r="L146" s="202">
        <v>322.45800000000003</v>
      </c>
      <c r="M146" s="275"/>
      <c r="N146" s="202">
        <v>961.10799999999995</v>
      </c>
      <c r="O146" s="270">
        <v>11.43</v>
      </c>
      <c r="P146" s="275"/>
      <c r="Q146" s="202">
        <v>511.16199999999998</v>
      </c>
      <c r="R146" s="199"/>
      <c r="S146" s="275"/>
      <c r="T146" s="275"/>
      <c r="U146" s="275"/>
      <c r="V146" s="278">
        <v>14.397</v>
      </c>
      <c r="W146" s="278">
        <v>14.531000000000001</v>
      </c>
      <c r="X146" s="278">
        <v>14.988</v>
      </c>
      <c r="Y146" s="278"/>
      <c r="Z146" s="278">
        <v>4.43</v>
      </c>
      <c r="AA146" s="278">
        <v>11.696</v>
      </c>
      <c r="AB146" s="278">
        <v>17.102</v>
      </c>
      <c r="AC146" s="278">
        <v>6.9580000000000002</v>
      </c>
      <c r="AD146" s="279">
        <v>84.102000000000004</v>
      </c>
      <c r="AE146" s="278">
        <f t="shared" si="36"/>
        <v>84.10199999999999</v>
      </c>
      <c r="AF146" s="278">
        <f t="shared" si="37"/>
        <v>0</v>
      </c>
      <c r="AG146" s="278">
        <f t="shared" si="34"/>
        <v>-2.0000000000095497E-3</v>
      </c>
      <c r="AH146" s="202">
        <f t="shared" si="31"/>
        <v>-1.9529999999999994</v>
      </c>
      <c r="AI146" s="202">
        <f t="shared" si="32"/>
        <v>58.839999999999996</v>
      </c>
      <c r="AJ146" s="275"/>
      <c r="AK146" s="275"/>
      <c r="AL146" s="275"/>
      <c r="AM146" s="275"/>
      <c r="AN146" s="275"/>
      <c r="AO146" s="275"/>
      <c r="AP146" s="275"/>
      <c r="AQ146" s="275"/>
      <c r="AR146" s="275"/>
      <c r="AS146" s="275"/>
      <c r="AT146" s="275"/>
      <c r="AU146" s="275"/>
      <c r="AV146" s="275"/>
      <c r="AW146" s="275"/>
      <c r="AX146" s="275"/>
      <c r="AY146" s="275"/>
      <c r="AZ146" s="275"/>
      <c r="BA146" s="275"/>
      <c r="BB146" s="275"/>
      <c r="BC146" s="275"/>
      <c r="BE146" s="274">
        <f>G146/30</f>
        <v>2.8034666666666666</v>
      </c>
      <c r="BF146" s="280">
        <f t="shared" ref="BF146:BF156" si="40">MAX(G134,G122,G110,G98,G86,G74,G62,G50,G38,G26,G14,G2)</f>
        <v>86.1</v>
      </c>
      <c r="BG146" s="154" t="str">
        <f t="shared" si="25"/>
        <v/>
      </c>
      <c r="BH146" s="270">
        <f t="shared" si="39"/>
        <v>8.0000000000000071E-2</v>
      </c>
      <c r="BI146" s="270">
        <f t="shared" si="33"/>
        <v>1.9999999999999574E-2</v>
      </c>
    </row>
    <row r="147" spans="1:61">
      <c r="A147" s="266">
        <v>33512</v>
      </c>
      <c r="B147" s="266"/>
      <c r="C147" s="275"/>
      <c r="D147" s="276">
        <v>18.166000000000011</v>
      </c>
      <c r="E147" s="277">
        <v>3.8711935483870969</v>
      </c>
      <c r="F147" s="277">
        <f t="shared" si="27"/>
        <v>120.00700000000001</v>
      </c>
      <c r="G147" s="277">
        <v>92.938999999999993</v>
      </c>
      <c r="H147" s="281">
        <f t="shared" si="26"/>
        <v>0.77444649062138038</v>
      </c>
      <c r="I147" s="202">
        <v>2203.4810000000002</v>
      </c>
      <c r="J147" s="270">
        <v>47.42</v>
      </c>
      <c r="K147" s="275"/>
      <c r="L147" s="202">
        <v>409.69900000000001</v>
      </c>
      <c r="M147" s="275"/>
      <c r="N147" s="202">
        <v>1061.826</v>
      </c>
      <c r="O147" s="270">
        <v>11.43</v>
      </c>
      <c r="P147" s="275"/>
      <c r="Q147" s="202">
        <v>559.30600000000004</v>
      </c>
      <c r="R147" s="199"/>
      <c r="S147" s="275"/>
      <c r="T147" s="275"/>
      <c r="U147" s="275"/>
      <c r="V147" s="278">
        <v>15.738</v>
      </c>
      <c r="W147" s="278">
        <v>16.922000000000001</v>
      </c>
      <c r="X147" s="278">
        <v>15.693</v>
      </c>
      <c r="Y147" s="278"/>
      <c r="Z147" s="278">
        <v>4.226</v>
      </c>
      <c r="AA147" s="278">
        <v>13.004</v>
      </c>
      <c r="AB147" s="278">
        <v>19.170000000000002</v>
      </c>
      <c r="AC147" s="278">
        <v>8.1869999999999994</v>
      </c>
      <c r="AD147" s="279">
        <v>92.94</v>
      </c>
      <c r="AE147" s="278">
        <f t="shared" si="36"/>
        <v>92.94</v>
      </c>
      <c r="AF147" s="278">
        <f t="shared" si="37"/>
        <v>0</v>
      </c>
      <c r="AG147" s="278">
        <f t="shared" si="34"/>
        <v>1.0000000000047748E-3</v>
      </c>
      <c r="AH147" s="202">
        <f t="shared" si="31"/>
        <v>2.0680000000000014</v>
      </c>
      <c r="AI147" s="202">
        <f t="shared" si="32"/>
        <v>58.85</v>
      </c>
      <c r="AJ147" s="275"/>
      <c r="AK147" s="275"/>
      <c r="AL147" s="275"/>
      <c r="AM147" s="275"/>
      <c r="AN147" s="275"/>
      <c r="AO147" s="275"/>
      <c r="AP147" s="275"/>
      <c r="AQ147" s="275"/>
      <c r="AR147" s="275"/>
      <c r="AS147" s="275"/>
      <c r="AT147" s="275"/>
      <c r="AU147" s="275"/>
      <c r="AV147" s="275"/>
      <c r="AW147" s="275"/>
      <c r="AX147" s="275"/>
      <c r="AY147" s="275"/>
      <c r="AZ147" s="275"/>
      <c r="BA147" s="275"/>
      <c r="BB147" s="275"/>
      <c r="BC147" s="275"/>
      <c r="BE147" s="274">
        <f t="shared" si="38"/>
        <v>2.9980322580645158</v>
      </c>
      <c r="BF147" s="280">
        <f t="shared" si="40"/>
        <v>104.3</v>
      </c>
      <c r="BG147" s="154" t="str">
        <f t="shared" si="25"/>
        <v/>
      </c>
      <c r="BH147" s="270">
        <f t="shared" si="39"/>
        <v>-0.25199999999999961</v>
      </c>
      <c r="BI147" s="270">
        <f t="shared" si="33"/>
        <v>0</v>
      </c>
    </row>
    <row r="148" spans="1:61">
      <c r="A148" s="266">
        <v>33543</v>
      </c>
      <c r="B148" s="266"/>
      <c r="C148" s="275"/>
      <c r="D148" s="276">
        <v>18.054000000000002</v>
      </c>
      <c r="E148" s="277">
        <v>3.8712</v>
      </c>
      <c r="F148" s="277">
        <f t="shared" si="27"/>
        <v>116.136</v>
      </c>
      <c r="G148" s="277">
        <v>92.366</v>
      </c>
      <c r="H148" s="281">
        <f t="shared" si="26"/>
        <v>0.79532616931872979</v>
      </c>
      <c r="I148" s="202">
        <v>2197.241</v>
      </c>
      <c r="J148" s="270">
        <v>47.58</v>
      </c>
      <c r="K148" s="275"/>
      <c r="L148" s="202">
        <v>375.92</v>
      </c>
      <c r="M148" s="275"/>
      <c r="N148" s="202">
        <v>1047.742</v>
      </c>
      <c r="O148" s="270">
        <v>11.34</v>
      </c>
      <c r="P148" s="275"/>
      <c r="Q148" s="202">
        <v>627.54200000000003</v>
      </c>
      <c r="R148" s="199"/>
      <c r="S148" s="275"/>
      <c r="T148" s="275"/>
      <c r="U148" s="275"/>
      <c r="V148" s="278">
        <v>15.29</v>
      </c>
      <c r="W148" s="278">
        <v>17.242000000000001</v>
      </c>
      <c r="X148" s="278">
        <v>16.273</v>
      </c>
      <c r="Y148" s="278"/>
      <c r="Z148" s="278">
        <v>4.6509999999999998</v>
      </c>
      <c r="AA148" s="278">
        <v>12.46</v>
      </c>
      <c r="AB148" s="278">
        <v>19.077000000000002</v>
      </c>
      <c r="AC148" s="278">
        <v>7.3710000000000004</v>
      </c>
      <c r="AD148" s="279">
        <v>92.366</v>
      </c>
      <c r="AE148" s="278">
        <f t="shared" si="36"/>
        <v>92.36399999999999</v>
      </c>
      <c r="AF148" s="278">
        <f t="shared" si="37"/>
        <v>-2.0000000000095497E-3</v>
      </c>
      <c r="AG148" s="278">
        <f t="shared" si="34"/>
        <v>-2.0000000000095497E-3</v>
      </c>
      <c r="AH148" s="202">
        <f t="shared" si="31"/>
        <v>-9.2999999999999972E-2</v>
      </c>
      <c r="AI148" s="202">
        <f t="shared" si="32"/>
        <v>58.92</v>
      </c>
      <c r="AJ148" s="275"/>
      <c r="AK148" s="275"/>
      <c r="AL148" s="275"/>
      <c r="AM148" s="275"/>
      <c r="AN148" s="275"/>
      <c r="AO148" s="275"/>
      <c r="AP148" s="275"/>
      <c r="AQ148" s="275"/>
      <c r="AR148" s="275"/>
      <c r="AS148" s="275"/>
      <c r="AT148" s="275"/>
      <c r="AU148" s="275"/>
      <c r="AV148" s="275"/>
      <c r="AW148" s="275"/>
      <c r="AX148" s="275"/>
      <c r="AY148" s="275"/>
      <c r="AZ148" s="275"/>
      <c r="BA148" s="275"/>
      <c r="BB148" s="275"/>
      <c r="BC148" s="275"/>
      <c r="BE148" s="274">
        <f>G148/30</f>
        <v>3.0788666666666669</v>
      </c>
      <c r="BF148" s="280">
        <f t="shared" si="40"/>
        <v>107.6</v>
      </c>
      <c r="BG148" s="154" t="str">
        <f t="shared" si="25"/>
        <v/>
      </c>
      <c r="BH148" s="270">
        <f t="shared" si="39"/>
        <v>-4.1999999999999815E-2</v>
      </c>
      <c r="BI148" s="270">
        <f t="shared" si="33"/>
        <v>-8.9999999999999858E-2</v>
      </c>
    </row>
    <row r="149" spans="1:61">
      <c r="A149" s="266">
        <v>33573</v>
      </c>
      <c r="B149" s="266"/>
      <c r="C149" s="275"/>
      <c r="D149" s="276">
        <v>18.284333333333322</v>
      </c>
      <c r="E149" s="277">
        <v>3.8711935483870969</v>
      </c>
      <c r="F149" s="277">
        <f t="shared" si="27"/>
        <v>120.00700000000001</v>
      </c>
      <c r="G149" s="277">
        <v>93.534000000000006</v>
      </c>
      <c r="H149" s="281">
        <f t="shared" si="26"/>
        <v>0.77940453473547378</v>
      </c>
      <c r="I149" s="202">
        <v>2224.183</v>
      </c>
      <c r="J149" s="270">
        <v>47.56</v>
      </c>
      <c r="K149" s="275"/>
      <c r="L149" s="202">
        <v>371.67</v>
      </c>
      <c r="M149" s="275"/>
      <c r="N149" s="202">
        <v>1064.9690000000001</v>
      </c>
      <c r="O149" s="270">
        <v>11.39</v>
      </c>
      <c r="P149" s="275"/>
      <c r="Q149" s="202">
        <v>763.72900000000004</v>
      </c>
      <c r="R149" s="199"/>
      <c r="S149" s="275"/>
      <c r="T149" s="275"/>
      <c r="U149" s="275"/>
      <c r="V149" s="278">
        <v>15.44</v>
      </c>
      <c r="W149" s="278">
        <v>17.03</v>
      </c>
      <c r="X149" s="278">
        <v>15.541</v>
      </c>
      <c r="Y149" s="278"/>
      <c r="Z149" s="278">
        <v>4.6639999999999997</v>
      </c>
      <c r="AA149" s="278">
        <v>13.218</v>
      </c>
      <c r="AB149" s="278">
        <v>20.312000000000001</v>
      </c>
      <c r="AC149" s="278">
        <v>7.3280000000000003</v>
      </c>
      <c r="AD149" s="279">
        <v>93.533000000000001</v>
      </c>
      <c r="AE149" s="278">
        <f t="shared" si="36"/>
        <v>93.533000000000001</v>
      </c>
      <c r="AF149" s="278">
        <f t="shared" si="37"/>
        <v>0</v>
      </c>
      <c r="AG149" s="278">
        <f t="shared" si="34"/>
        <v>-1.0000000000047748E-3</v>
      </c>
      <c r="AH149" s="202">
        <f t="shared" si="31"/>
        <v>1.2349999999999994</v>
      </c>
      <c r="AI149" s="202">
        <f t="shared" si="32"/>
        <v>58.95</v>
      </c>
      <c r="AJ149" s="275"/>
      <c r="AK149" s="275"/>
      <c r="AL149" s="275"/>
      <c r="AM149" s="275"/>
      <c r="AN149" s="275"/>
      <c r="AO149" s="275"/>
      <c r="AP149" s="275"/>
      <c r="AQ149" s="275"/>
      <c r="AR149" s="275"/>
      <c r="AS149" s="275"/>
      <c r="AT149" s="275"/>
      <c r="AU149" s="275"/>
      <c r="AV149" s="275"/>
      <c r="AW149" s="275"/>
      <c r="AX149" s="275"/>
      <c r="AY149" s="275"/>
      <c r="AZ149" s="275"/>
      <c r="BA149" s="275"/>
      <c r="BB149" s="275"/>
      <c r="BC149" s="275"/>
      <c r="BE149" s="274">
        <f t="shared" si="38"/>
        <v>3.0172258064516133</v>
      </c>
      <c r="BF149" s="280">
        <f t="shared" si="40"/>
        <v>111.6</v>
      </c>
      <c r="BG149" s="154" t="str">
        <f t="shared" si="25"/>
        <v/>
      </c>
      <c r="BH149" s="270">
        <f t="shared" si="39"/>
        <v>-6.0000000000002274E-3</v>
      </c>
      <c r="BI149" s="270">
        <f t="shared" si="33"/>
        <v>5.0000000000000711E-2</v>
      </c>
    </row>
    <row r="150" spans="1:61">
      <c r="A150" s="266">
        <v>33604</v>
      </c>
      <c r="B150" s="266"/>
      <c r="C150" s="275"/>
      <c r="D150" s="276">
        <v>17.200999999999993</v>
      </c>
      <c r="E150" s="277">
        <v>3.939483870967742</v>
      </c>
      <c r="F150" s="277">
        <f t="shared" si="27"/>
        <v>122.124</v>
      </c>
      <c r="G150" s="277">
        <v>94.838999999999999</v>
      </c>
      <c r="H150" s="281">
        <f t="shared" si="26"/>
        <v>0.776579542104746</v>
      </c>
      <c r="I150" s="202">
        <v>2255.5540000000001</v>
      </c>
      <c r="J150" s="270">
        <v>47.57</v>
      </c>
      <c r="K150" s="275"/>
      <c r="L150" s="202">
        <v>429.78399999999999</v>
      </c>
      <c r="M150" s="275"/>
      <c r="N150" s="202">
        <v>1082.6880000000001</v>
      </c>
      <c r="O150" s="270">
        <v>11.42</v>
      </c>
      <c r="P150" s="275"/>
      <c r="Q150" s="202">
        <v>782.89700000000005</v>
      </c>
      <c r="R150" s="199"/>
      <c r="S150" s="275"/>
      <c r="T150" s="275"/>
      <c r="U150" s="275"/>
      <c r="V150" s="278">
        <v>14.958</v>
      </c>
      <c r="W150" s="278">
        <v>16.827000000000002</v>
      </c>
      <c r="X150" s="278">
        <v>17.713999999999999</v>
      </c>
      <c r="Y150" s="278"/>
      <c r="Z150" s="278">
        <v>4.6849999999999996</v>
      </c>
      <c r="AA150" s="278">
        <v>13.135</v>
      </c>
      <c r="AB150" s="278">
        <v>20.225000000000001</v>
      </c>
      <c r="AC150" s="278">
        <v>7.2939999999999996</v>
      </c>
      <c r="AD150" s="279">
        <v>94.837999999999994</v>
      </c>
      <c r="AE150" s="278">
        <f t="shared" si="36"/>
        <v>94.838000000000008</v>
      </c>
      <c r="AF150" s="278">
        <f t="shared" si="37"/>
        <v>0</v>
      </c>
      <c r="AG150" s="278">
        <f t="shared" si="34"/>
        <v>-9.9999999999056399E-4</v>
      </c>
      <c r="AH150" s="202">
        <f t="shared" si="31"/>
        <v>-8.6999999999999744E-2</v>
      </c>
      <c r="AI150" s="202">
        <f t="shared" si="32"/>
        <v>58.99</v>
      </c>
      <c r="AJ150" s="275"/>
      <c r="AK150" s="275"/>
      <c r="AL150" s="275"/>
      <c r="AM150" s="275"/>
      <c r="AN150" s="275"/>
      <c r="AO150" s="275"/>
      <c r="AP150" s="275"/>
      <c r="AQ150" s="275"/>
      <c r="AR150" s="275"/>
      <c r="AS150" s="275"/>
      <c r="AT150" s="275"/>
      <c r="AU150" s="275"/>
      <c r="AV150" s="275"/>
      <c r="AW150" s="275"/>
      <c r="AX150" s="275"/>
      <c r="AY150" s="275"/>
      <c r="AZ150" s="275"/>
      <c r="BA150" s="275"/>
      <c r="BB150" s="275"/>
      <c r="BC150" s="275"/>
      <c r="BE150" s="274">
        <f t="shared" si="38"/>
        <v>3.0593225806451612</v>
      </c>
      <c r="BF150" s="280">
        <f t="shared" si="40"/>
        <v>110</v>
      </c>
      <c r="BG150" s="154" t="str">
        <f t="shared" si="25"/>
        <v/>
      </c>
      <c r="BH150" s="270">
        <f t="shared" si="39"/>
        <v>9.7999999999999685E-2</v>
      </c>
      <c r="BI150" s="270">
        <f t="shared" si="33"/>
        <v>2.9999999999999361E-2</v>
      </c>
    </row>
    <row r="151" spans="1:61">
      <c r="A151" s="266">
        <v>33635</v>
      </c>
      <c r="B151" s="266"/>
      <c r="C151" s="275"/>
      <c r="D151" s="276">
        <v>15.323333333333323</v>
      </c>
      <c r="E151" s="277">
        <v>3.9394827586206898</v>
      </c>
      <c r="F151" s="277">
        <f t="shared" si="27"/>
        <v>114.245</v>
      </c>
      <c r="G151" s="277">
        <v>85.43</v>
      </c>
      <c r="H151" s="281">
        <f t="shared" si="26"/>
        <v>0.74777889623178262</v>
      </c>
      <c r="I151" s="202">
        <v>2028.3240000000001</v>
      </c>
      <c r="J151" s="270">
        <v>47.48</v>
      </c>
      <c r="K151" s="275"/>
      <c r="L151" s="202">
        <v>358.27800000000002</v>
      </c>
      <c r="M151" s="275"/>
      <c r="N151" s="202">
        <v>979.053</v>
      </c>
      <c r="O151" s="270">
        <v>11.46</v>
      </c>
      <c r="P151" s="275"/>
      <c r="Q151" s="202">
        <v>862.12199999999996</v>
      </c>
      <c r="R151" s="199"/>
      <c r="S151" s="275"/>
      <c r="T151" s="275"/>
      <c r="U151" s="275"/>
      <c r="V151" s="278">
        <v>14.132999999999999</v>
      </c>
      <c r="W151" s="278">
        <v>15.39</v>
      </c>
      <c r="X151" s="278">
        <v>15.223000000000001</v>
      </c>
      <c r="Y151" s="278"/>
      <c r="Z151" s="278">
        <v>4.2480000000000002</v>
      </c>
      <c r="AA151" s="278">
        <v>11.964</v>
      </c>
      <c r="AB151" s="278">
        <v>18.029</v>
      </c>
      <c r="AC151" s="278">
        <v>6.4429999999999996</v>
      </c>
      <c r="AD151" s="279">
        <v>85.43</v>
      </c>
      <c r="AE151" s="278">
        <f t="shared" si="36"/>
        <v>85.429999999999993</v>
      </c>
      <c r="AF151" s="278">
        <f t="shared" si="37"/>
        <v>0</v>
      </c>
      <c r="AG151" s="278">
        <f t="shared" si="34"/>
        <v>0</v>
      </c>
      <c r="AH151" s="202">
        <f t="shared" si="31"/>
        <v>-2.1960000000000015</v>
      </c>
      <c r="AI151" s="202">
        <f t="shared" si="32"/>
        <v>58.94</v>
      </c>
      <c r="AJ151" s="275"/>
      <c r="AK151" s="275"/>
      <c r="AL151" s="275"/>
      <c r="AM151" s="275"/>
      <c r="AN151" s="275"/>
      <c r="AO151" s="275"/>
      <c r="AP151" s="275"/>
      <c r="AQ151" s="275"/>
      <c r="AR151" s="275"/>
      <c r="AS151" s="275"/>
      <c r="AT151" s="275"/>
      <c r="AU151" s="275"/>
      <c r="AV151" s="275"/>
      <c r="AW151" s="275"/>
      <c r="AX151" s="275"/>
      <c r="AY151" s="275"/>
      <c r="AZ151" s="275"/>
      <c r="BA151" s="275"/>
      <c r="BB151" s="275"/>
      <c r="BC151" s="275"/>
      <c r="BE151" s="274">
        <f>G151/29</f>
        <v>2.9458620689655173</v>
      </c>
      <c r="BF151" s="280">
        <f t="shared" si="40"/>
        <v>98.9</v>
      </c>
      <c r="BG151" s="154" t="str">
        <f t="shared" si="25"/>
        <v/>
      </c>
      <c r="BH151" s="270">
        <f t="shared" si="39"/>
        <v>2.8000000000000115E-2</v>
      </c>
      <c r="BI151" s="270">
        <f t="shared" si="33"/>
        <v>4.0000000000000924E-2</v>
      </c>
    </row>
    <row r="152" spans="1:61">
      <c r="A152" s="266">
        <v>33664</v>
      </c>
      <c r="B152" s="266"/>
      <c r="C152" s="275"/>
      <c r="D152" s="276">
        <v>16.726333333333343</v>
      </c>
      <c r="E152" s="277">
        <v>3.939483870967742</v>
      </c>
      <c r="F152" s="277">
        <f t="shared" si="27"/>
        <v>122.124</v>
      </c>
      <c r="G152" s="277">
        <v>90.436999999999998</v>
      </c>
      <c r="H152" s="281">
        <f t="shared" si="26"/>
        <v>0.74053421112967144</v>
      </c>
      <c r="I152" s="202">
        <v>2145.8339999999998</v>
      </c>
      <c r="J152" s="270">
        <v>47.45</v>
      </c>
      <c r="K152" s="275"/>
      <c r="L152" s="202">
        <v>313.71800000000002</v>
      </c>
      <c r="M152" s="275"/>
      <c r="N152" s="202">
        <v>1042.3589999999999</v>
      </c>
      <c r="O152" s="270">
        <v>11.53</v>
      </c>
      <c r="P152" s="275"/>
      <c r="Q152" s="202">
        <v>914.24300000000005</v>
      </c>
      <c r="R152" s="199"/>
      <c r="S152" s="275"/>
      <c r="T152" s="275"/>
      <c r="U152" s="275"/>
      <c r="V152" s="278">
        <v>14.125999999999999</v>
      </c>
      <c r="W152" s="278">
        <v>16.626999999999999</v>
      </c>
      <c r="X152" s="278">
        <v>16.234000000000002</v>
      </c>
      <c r="Y152" s="278"/>
      <c r="Z152" s="278">
        <v>4.7549999999999999</v>
      </c>
      <c r="AA152" s="278">
        <v>12.804</v>
      </c>
      <c r="AB152" s="278">
        <v>18.785</v>
      </c>
      <c r="AC152" s="278">
        <v>7.1059999999999999</v>
      </c>
      <c r="AD152" s="279">
        <v>90.436999999999998</v>
      </c>
      <c r="AE152" s="278">
        <f t="shared" si="36"/>
        <v>90.436999999999998</v>
      </c>
      <c r="AF152" s="278">
        <f t="shared" si="37"/>
        <v>0</v>
      </c>
      <c r="AG152" s="278">
        <f t="shared" si="34"/>
        <v>0</v>
      </c>
      <c r="AH152" s="202">
        <f t="shared" si="31"/>
        <v>0.75600000000000023</v>
      </c>
      <c r="AI152" s="202">
        <f t="shared" si="32"/>
        <v>58.980000000000004</v>
      </c>
      <c r="AJ152" s="275"/>
      <c r="AK152" s="275"/>
      <c r="AL152" s="275"/>
      <c r="AM152" s="275"/>
      <c r="AN152" s="275"/>
      <c r="AO152" s="275"/>
      <c r="AP152" s="275"/>
      <c r="AQ152" s="275"/>
      <c r="AR152" s="275"/>
      <c r="AS152" s="275"/>
      <c r="AT152" s="275"/>
      <c r="AU152" s="275"/>
      <c r="AV152" s="275"/>
      <c r="AW152" s="275"/>
      <c r="AX152" s="275"/>
      <c r="AY152" s="275"/>
      <c r="AZ152" s="275"/>
      <c r="BA152" s="275"/>
      <c r="BB152" s="275"/>
      <c r="BC152" s="275"/>
      <c r="BE152" s="274">
        <f t="shared" si="38"/>
        <v>2.9173225806451613</v>
      </c>
      <c r="BF152" s="280">
        <f t="shared" si="40"/>
        <v>101.4</v>
      </c>
      <c r="BG152" s="154" t="str">
        <f t="shared" si="25"/>
        <v/>
      </c>
      <c r="BH152" s="270">
        <f t="shared" si="39"/>
        <v>5.7999999999999829E-2</v>
      </c>
      <c r="BI152" s="270">
        <f t="shared" si="33"/>
        <v>6.9999999999998508E-2</v>
      </c>
    </row>
    <row r="153" spans="1:61">
      <c r="A153" s="266">
        <v>33695</v>
      </c>
      <c r="B153" s="266"/>
      <c r="C153" s="275"/>
      <c r="D153" s="276">
        <v>15.841999999999999</v>
      </c>
      <c r="E153" s="277">
        <v>3.9866000000000001</v>
      </c>
      <c r="F153" s="277">
        <f t="shared" si="27"/>
        <v>119.598</v>
      </c>
      <c r="G153" s="277">
        <v>85.718000000000004</v>
      </c>
      <c r="H153" s="281">
        <f t="shared" si="26"/>
        <v>0.71671767086406135</v>
      </c>
      <c r="I153" s="202">
        <v>2034.049</v>
      </c>
      <c r="J153" s="270">
        <v>47.46</v>
      </c>
      <c r="K153" s="275"/>
      <c r="L153" s="202">
        <v>277.637</v>
      </c>
      <c r="M153" s="275"/>
      <c r="N153" s="202">
        <v>990.40800000000002</v>
      </c>
      <c r="O153" s="270">
        <v>11.55</v>
      </c>
      <c r="P153" s="275"/>
      <c r="Q153" s="202">
        <v>952.10599999999999</v>
      </c>
      <c r="R153" s="199"/>
      <c r="S153" s="275"/>
      <c r="T153" s="275"/>
      <c r="U153" s="275"/>
      <c r="V153" s="278">
        <v>12.500999999999999</v>
      </c>
      <c r="W153" s="278">
        <v>15.106</v>
      </c>
      <c r="X153" s="278">
        <v>16.244</v>
      </c>
      <c r="Y153" s="278"/>
      <c r="Z153" s="278">
        <v>3.3940000000000001</v>
      </c>
      <c r="AA153" s="278">
        <v>12.795999999999999</v>
      </c>
      <c r="AB153" s="278">
        <v>18.678000000000001</v>
      </c>
      <c r="AC153" s="278">
        <v>6.9989999999999997</v>
      </c>
      <c r="AD153" s="279">
        <v>85.718000000000004</v>
      </c>
      <c r="AE153" s="278">
        <f t="shared" si="36"/>
        <v>85.717999999999989</v>
      </c>
      <c r="AF153" s="278">
        <f t="shared" si="37"/>
        <v>0</v>
      </c>
      <c r="AG153" s="278">
        <f t="shared" si="34"/>
        <v>0</v>
      </c>
      <c r="AH153" s="202">
        <f t="shared" si="31"/>
        <v>-0.10699999999999932</v>
      </c>
      <c r="AI153" s="202">
        <f t="shared" si="32"/>
        <v>59.010000000000005</v>
      </c>
      <c r="AJ153" s="275"/>
      <c r="AK153" s="275"/>
      <c r="AL153" s="275"/>
      <c r="AM153" s="275"/>
      <c r="AN153" s="275"/>
      <c r="AO153" s="275"/>
      <c r="AP153" s="275"/>
      <c r="AQ153" s="275"/>
      <c r="AR153" s="275"/>
      <c r="AS153" s="275"/>
      <c r="AT153" s="275"/>
      <c r="AU153" s="275"/>
      <c r="AV153" s="275"/>
      <c r="AW153" s="275"/>
      <c r="AX153" s="275"/>
      <c r="AY153" s="275"/>
      <c r="AZ153" s="275"/>
      <c r="BA153" s="275"/>
      <c r="BB153" s="275"/>
      <c r="BC153" s="275"/>
      <c r="BE153" s="274">
        <f>G153/30</f>
        <v>2.8572666666666668</v>
      </c>
      <c r="BF153" s="280">
        <f t="shared" si="40"/>
        <v>91.4</v>
      </c>
      <c r="BG153" s="154" t="str">
        <f t="shared" si="25"/>
        <v/>
      </c>
      <c r="BH153" s="270">
        <f t="shared" si="39"/>
        <v>2.0000000000000285E-2</v>
      </c>
      <c r="BI153" s="270">
        <f t="shared" si="33"/>
        <v>2.000000000000135E-2</v>
      </c>
    </row>
    <row r="154" spans="1:61">
      <c r="A154" s="266">
        <v>33725</v>
      </c>
      <c r="B154" s="266"/>
      <c r="C154" s="275"/>
      <c r="D154" s="276">
        <v>15.990666666666669</v>
      </c>
      <c r="E154" s="277">
        <v>3.9865806451612906</v>
      </c>
      <c r="F154" s="277">
        <f t="shared" si="27"/>
        <v>123.584</v>
      </c>
      <c r="G154" s="277">
        <v>79.245999999999995</v>
      </c>
      <c r="H154" s="281">
        <f t="shared" si="26"/>
        <v>0.64123187467633347</v>
      </c>
      <c r="I154" s="202">
        <v>1882.2460000000001</v>
      </c>
      <c r="J154" s="270">
        <v>47.5</v>
      </c>
      <c r="K154" s="275"/>
      <c r="L154" s="202">
        <v>152.50800000000001</v>
      </c>
      <c r="M154" s="275"/>
      <c r="N154" s="202">
        <v>915.06299999999999</v>
      </c>
      <c r="O154" s="270">
        <v>11.55</v>
      </c>
      <c r="P154" s="275"/>
      <c r="Q154" s="202">
        <v>934.78800000000001</v>
      </c>
      <c r="R154" s="199"/>
      <c r="S154" s="275"/>
      <c r="T154" s="275"/>
      <c r="U154" s="275"/>
      <c r="V154" s="278">
        <v>12.987</v>
      </c>
      <c r="W154" s="278">
        <v>13.823</v>
      </c>
      <c r="X154" s="278">
        <v>14.943</v>
      </c>
      <c r="Y154" s="278"/>
      <c r="Z154" s="278">
        <v>3.3849999999999998</v>
      </c>
      <c r="AA154" s="278">
        <v>11.14</v>
      </c>
      <c r="AB154" s="278">
        <v>15.657999999999999</v>
      </c>
      <c r="AC154" s="278">
        <v>7.3090000000000002</v>
      </c>
      <c r="AD154" s="279">
        <v>79.245000000000005</v>
      </c>
      <c r="AE154" s="278">
        <f t="shared" si="36"/>
        <v>79.24499999999999</v>
      </c>
      <c r="AF154" s="278">
        <f t="shared" si="37"/>
        <v>0</v>
      </c>
      <c r="AG154" s="278">
        <f t="shared" si="34"/>
        <v>-1.0000000000047748E-3</v>
      </c>
      <c r="AH154" s="202">
        <f t="shared" si="31"/>
        <v>-3.0200000000000014</v>
      </c>
      <c r="AI154" s="202">
        <f t="shared" si="32"/>
        <v>59.05</v>
      </c>
      <c r="AJ154" s="275"/>
      <c r="AK154" s="275"/>
      <c r="AL154" s="275"/>
      <c r="AM154" s="275"/>
      <c r="AN154" s="275"/>
      <c r="AO154" s="275"/>
      <c r="AP154" s="275"/>
      <c r="AQ154" s="275"/>
      <c r="AR154" s="275"/>
      <c r="AS154" s="275"/>
      <c r="AT154" s="275"/>
      <c r="AU154" s="275"/>
      <c r="AV154" s="275"/>
      <c r="AW154" s="275"/>
      <c r="AX154" s="275"/>
      <c r="AY154" s="275"/>
      <c r="AZ154" s="275"/>
      <c r="BA154" s="275"/>
      <c r="BB154" s="275"/>
      <c r="BC154" s="275"/>
      <c r="BE154" s="274">
        <f t="shared" si="38"/>
        <v>2.556322580645161</v>
      </c>
      <c r="BF154" s="280">
        <f t="shared" si="40"/>
        <v>93.2</v>
      </c>
      <c r="BG154" s="154" t="str">
        <f t="shared" ref="BG154:BG217" si="41">IF(G154&gt;BF154,"RECORD","")</f>
        <v/>
      </c>
      <c r="BH154" s="270">
        <f t="shared" si="39"/>
        <v>3.2000000000000028E-2</v>
      </c>
      <c r="BI154" s="270">
        <f t="shared" si="33"/>
        <v>0</v>
      </c>
    </row>
    <row r="155" spans="1:61">
      <c r="A155" s="266">
        <v>33756</v>
      </c>
      <c r="B155" s="266"/>
      <c r="C155" s="275"/>
      <c r="D155" s="276">
        <v>16.353000000000009</v>
      </c>
      <c r="E155" s="277">
        <v>3.9866000000000001</v>
      </c>
      <c r="F155" s="277">
        <f t="shared" si="27"/>
        <v>119.598</v>
      </c>
      <c r="G155" s="277">
        <v>83.606999999999999</v>
      </c>
      <c r="H155" s="281">
        <f t="shared" ref="H155:H218" si="42">G155/F155</f>
        <v>0.69906687402799383</v>
      </c>
      <c r="I155" s="202">
        <v>1983.355</v>
      </c>
      <c r="J155" s="270">
        <v>47.44</v>
      </c>
      <c r="K155" s="275"/>
      <c r="L155" s="202">
        <v>332.017</v>
      </c>
      <c r="M155" s="275"/>
      <c r="N155" s="202">
        <v>968.73699999999997</v>
      </c>
      <c r="O155" s="270">
        <v>11.59</v>
      </c>
      <c r="P155" s="275"/>
      <c r="Q155" s="202">
        <v>902.85599999999999</v>
      </c>
      <c r="R155" s="199"/>
      <c r="S155" s="275"/>
      <c r="T155" s="275"/>
      <c r="U155" s="275"/>
      <c r="V155" s="278">
        <v>14.025</v>
      </c>
      <c r="W155" s="278">
        <v>15.897</v>
      </c>
      <c r="X155" s="278">
        <v>14.077999999999999</v>
      </c>
      <c r="Y155" s="278"/>
      <c r="Z155" s="278">
        <v>3.8959999999999999</v>
      </c>
      <c r="AA155" s="278">
        <v>11.36</v>
      </c>
      <c r="AB155" s="278">
        <v>16.812999999999999</v>
      </c>
      <c r="AC155" s="278">
        <v>7.5369999999999999</v>
      </c>
      <c r="AD155" s="279">
        <v>83.606999999999999</v>
      </c>
      <c r="AE155" s="278">
        <f t="shared" si="36"/>
        <v>83.606000000000009</v>
      </c>
      <c r="AF155" s="278">
        <f t="shared" si="37"/>
        <v>-9.9999999999056399E-4</v>
      </c>
      <c r="AG155" s="278">
        <f t="shared" si="34"/>
        <v>-9.9999999999056399E-4</v>
      </c>
      <c r="AH155" s="202">
        <f t="shared" si="31"/>
        <v>1.1549999999999994</v>
      </c>
      <c r="AI155" s="202">
        <f t="shared" si="32"/>
        <v>59.03</v>
      </c>
      <c r="AJ155" s="275"/>
      <c r="AK155" s="275"/>
      <c r="AL155" s="275"/>
      <c r="AM155" s="275"/>
      <c r="AN155" s="275"/>
      <c r="AO155" s="275"/>
      <c r="AP155" s="275"/>
      <c r="AQ155" s="275"/>
      <c r="AR155" s="275"/>
      <c r="AS155" s="275"/>
      <c r="AT155" s="275"/>
      <c r="AU155" s="275"/>
      <c r="AV155" s="275"/>
      <c r="AW155" s="275"/>
      <c r="AX155" s="275"/>
      <c r="AY155" s="275"/>
      <c r="AZ155" s="275"/>
      <c r="BA155" s="275"/>
      <c r="BB155" s="275"/>
      <c r="BC155" s="275"/>
      <c r="BE155" s="274">
        <f>G155/30</f>
        <v>2.7869000000000002</v>
      </c>
      <c r="BF155" s="280">
        <f t="shared" si="40"/>
        <v>81.900000000000006</v>
      </c>
      <c r="BG155" s="154" t="str">
        <f t="shared" si="41"/>
        <v>RECORD</v>
      </c>
      <c r="BH155" s="270">
        <f t="shared" si="39"/>
        <v>0.05</v>
      </c>
      <c r="BI155" s="270">
        <f t="shared" si="33"/>
        <v>3.9999999999999147E-2</v>
      </c>
    </row>
    <row r="156" spans="1:61">
      <c r="A156" s="266">
        <v>33786</v>
      </c>
      <c r="B156" s="266"/>
      <c r="C156" s="275"/>
      <c r="D156" s="276">
        <v>13.219999999999999</v>
      </c>
      <c r="E156" s="277">
        <v>3.9583225806451612</v>
      </c>
      <c r="F156" s="277">
        <f t="shared" ref="F156:F219" si="43">(A157-A156)*E156</f>
        <v>122.708</v>
      </c>
      <c r="G156" s="277">
        <v>89.07</v>
      </c>
      <c r="H156" s="281">
        <f t="shared" si="42"/>
        <v>0.72586954395801406</v>
      </c>
      <c r="I156" s="202">
        <v>2114.8980000000001</v>
      </c>
      <c r="J156" s="270">
        <v>47.49</v>
      </c>
      <c r="K156" s="275"/>
      <c r="L156" s="202">
        <v>380.59899999999999</v>
      </c>
      <c r="M156" s="275"/>
      <c r="N156" s="202">
        <v>1032.377</v>
      </c>
      <c r="O156" s="270">
        <v>11.59</v>
      </c>
      <c r="P156" s="275"/>
      <c r="Q156" s="202">
        <v>904.47500000000002</v>
      </c>
      <c r="R156" s="199"/>
      <c r="S156" s="275"/>
      <c r="T156" s="275"/>
      <c r="U156" s="275"/>
      <c r="V156" s="278">
        <v>15.164</v>
      </c>
      <c r="W156" s="278">
        <v>16.003</v>
      </c>
      <c r="X156" s="278">
        <v>16.364000000000001</v>
      </c>
      <c r="Y156" s="278"/>
      <c r="Z156" s="278">
        <v>3.8530000000000002</v>
      </c>
      <c r="AA156" s="278">
        <v>10.914999999999999</v>
      </c>
      <c r="AB156" s="278">
        <v>18.863</v>
      </c>
      <c r="AC156" s="278">
        <v>7.798</v>
      </c>
      <c r="AD156" s="279">
        <v>89.07</v>
      </c>
      <c r="AE156" s="278">
        <f t="shared" si="36"/>
        <v>88.960000000000008</v>
      </c>
      <c r="AF156" s="278">
        <f t="shared" si="37"/>
        <v>-0.10999999999998522</v>
      </c>
      <c r="AG156" s="278">
        <f t="shared" si="34"/>
        <v>-0.10999999999998522</v>
      </c>
      <c r="AH156" s="202">
        <f t="shared" si="31"/>
        <v>2.0500000000000007</v>
      </c>
      <c r="AI156" s="202">
        <f t="shared" si="32"/>
        <v>59.08</v>
      </c>
      <c r="AJ156" s="275"/>
      <c r="AK156" s="275"/>
      <c r="AL156" s="275"/>
      <c r="AM156" s="275"/>
      <c r="AN156" s="275"/>
      <c r="AO156" s="275"/>
      <c r="AP156" s="275"/>
      <c r="AQ156" s="275"/>
      <c r="AR156" s="275"/>
      <c r="AS156" s="275"/>
      <c r="AT156" s="275"/>
      <c r="AU156" s="275"/>
      <c r="AV156" s="275"/>
      <c r="AW156" s="275"/>
      <c r="AX156" s="275"/>
      <c r="AY156" s="275"/>
      <c r="AZ156" s="275"/>
      <c r="BA156" s="275"/>
      <c r="BB156" s="275"/>
      <c r="BC156" s="275"/>
      <c r="BE156" s="274">
        <f t="shared" si="38"/>
        <v>2.8732258064516127</v>
      </c>
      <c r="BF156" s="280">
        <f t="shared" si="40"/>
        <v>84.1</v>
      </c>
      <c r="BG156" s="154" t="str">
        <f t="shared" si="41"/>
        <v>RECORD</v>
      </c>
      <c r="BH156" s="270">
        <f t="shared" si="39"/>
        <v>3.9999999999999855E-2</v>
      </c>
      <c r="BI156" s="270">
        <f t="shared" si="33"/>
        <v>0</v>
      </c>
    </row>
    <row r="157" spans="1:61">
      <c r="A157" s="266">
        <v>33817</v>
      </c>
      <c r="B157" s="266"/>
      <c r="C157" s="275"/>
      <c r="D157" s="276">
        <v>12.993999999999986</v>
      </c>
      <c r="E157" s="277">
        <v>3.9583225806451612</v>
      </c>
      <c r="F157" s="277">
        <f t="shared" si="43"/>
        <v>122.708</v>
      </c>
      <c r="G157" s="277">
        <v>89.346000000000004</v>
      </c>
      <c r="H157" s="281">
        <f t="shared" si="42"/>
        <v>0.72811878606121849</v>
      </c>
      <c r="I157" s="202">
        <v>2118.5100000000002</v>
      </c>
      <c r="J157" s="270">
        <v>47.42</v>
      </c>
      <c r="K157" s="275"/>
      <c r="L157" s="202">
        <v>317.27300000000002</v>
      </c>
      <c r="M157" s="275"/>
      <c r="N157" s="202">
        <v>1034.2460000000001</v>
      </c>
      <c r="O157" s="270">
        <v>11.58</v>
      </c>
      <c r="P157" s="275"/>
      <c r="Q157" s="202">
        <v>896.30200000000002</v>
      </c>
      <c r="R157" s="199"/>
      <c r="S157" s="275"/>
      <c r="T157" s="275"/>
      <c r="U157" s="275"/>
      <c r="V157" s="278">
        <v>14.372999999999999</v>
      </c>
      <c r="W157" s="278">
        <v>16.866</v>
      </c>
      <c r="X157" s="278">
        <v>15.692</v>
      </c>
      <c r="Y157" s="278"/>
      <c r="Z157" s="278">
        <v>3.786</v>
      </c>
      <c r="AA157" s="278">
        <v>10.992000000000001</v>
      </c>
      <c r="AB157" s="278">
        <v>19.826000000000001</v>
      </c>
      <c r="AC157" s="278">
        <v>7.8109999999999999</v>
      </c>
      <c r="AD157" s="279">
        <v>89.346000000000004</v>
      </c>
      <c r="AE157" s="278">
        <f t="shared" si="36"/>
        <v>89.346000000000004</v>
      </c>
      <c r="AF157" s="278">
        <f t="shared" si="37"/>
        <v>0</v>
      </c>
      <c r="AG157" s="278">
        <f t="shared" si="34"/>
        <v>0</v>
      </c>
      <c r="AH157" s="202">
        <f t="shared" si="31"/>
        <v>0.96300000000000097</v>
      </c>
      <c r="AI157" s="202">
        <f t="shared" si="32"/>
        <v>59</v>
      </c>
      <c r="AJ157" s="275"/>
      <c r="AK157" s="275"/>
      <c r="AL157" s="275"/>
      <c r="AM157" s="275"/>
      <c r="AN157" s="275"/>
      <c r="AO157" s="275"/>
      <c r="AP157" s="275"/>
      <c r="AQ157" s="275"/>
      <c r="AR157" s="275"/>
      <c r="AS157" s="275"/>
      <c r="AT157" s="275"/>
      <c r="AU157" s="275"/>
      <c r="AV157" s="275"/>
      <c r="AW157" s="275"/>
      <c r="AX157" s="275"/>
      <c r="AY157" s="275"/>
      <c r="AZ157" s="275"/>
      <c r="BA157" s="275"/>
      <c r="BB157" s="275"/>
      <c r="BC157" s="275"/>
      <c r="BE157" s="274">
        <f t="shared" si="38"/>
        <v>2.8821290322580646</v>
      </c>
      <c r="BF157" s="280">
        <f>MAX(G145,G133,G121,G109,G97,G85,G73,G61,G49,G37,G25,G13)</f>
        <v>88.444999999999993</v>
      </c>
      <c r="BG157" s="154" t="str">
        <f t="shared" si="41"/>
        <v>RECORD</v>
      </c>
      <c r="BH157" s="270">
        <f t="shared" si="39"/>
        <v>-2.2000000000000242E-2</v>
      </c>
      <c r="BI157" s="270">
        <f t="shared" si="33"/>
        <v>-9.9999999999997868E-3</v>
      </c>
    </row>
    <row r="158" spans="1:61">
      <c r="A158" s="266">
        <v>33848</v>
      </c>
      <c r="B158" s="266"/>
      <c r="C158" s="275"/>
      <c r="D158" s="276">
        <v>14.166333333333341</v>
      </c>
      <c r="E158" s="277">
        <v>3.8273666666666668</v>
      </c>
      <c r="F158" s="277">
        <f t="shared" si="43"/>
        <v>114.821</v>
      </c>
      <c r="G158" s="277">
        <v>87.066999999999993</v>
      </c>
      <c r="H158" s="281">
        <f t="shared" si="42"/>
        <v>0.75828463434389171</v>
      </c>
      <c r="I158" s="202">
        <v>2062.779</v>
      </c>
      <c r="J158" s="270">
        <v>47.38</v>
      </c>
      <c r="K158" s="275"/>
      <c r="L158" s="202">
        <v>418.77199999999999</v>
      </c>
      <c r="M158" s="275"/>
      <c r="N158" s="202">
        <v>1002.119</v>
      </c>
      <c r="O158" s="270">
        <v>11.51</v>
      </c>
      <c r="P158" s="275"/>
      <c r="Q158" s="202">
        <v>843.20699999999999</v>
      </c>
      <c r="R158" s="199"/>
      <c r="S158" s="275"/>
      <c r="T158" s="275"/>
      <c r="U158" s="275"/>
      <c r="V158" s="278">
        <v>15.53</v>
      </c>
      <c r="W158" s="278">
        <v>16.484999999999999</v>
      </c>
      <c r="X158" s="278">
        <v>13.874000000000001</v>
      </c>
      <c r="Y158" s="278"/>
      <c r="Z158" s="278">
        <v>4.0430000000000001</v>
      </c>
      <c r="AA158" s="278">
        <v>11.382</v>
      </c>
      <c r="AB158" s="278">
        <v>18.420999999999999</v>
      </c>
      <c r="AC158" s="278">
        <v>7.3310000000000004</v>
      </c>
      <c r="AD158" s="279">
        <v>87.066999999999993</v>
      </c>
      <c r="AE158" s="278">
        <f t="shared" si="36"/>
        <v>87.066000000000003</v>
      </c>
      <c r="AF158" s="278">
        <f t="shared" si="37"/>
        <v>-9.9999999999056399E-4</v>
      </c>
      <c r="AG158" s="278">
        <f t="shared" si="34"/>
        <v>-9.9999999999056399E-4</v>
      </c>
      <c r="AH158" s="202">
        <f t="shared" si="31"/>
        <v>-1.4050000000000011</v>
      </c>
      <c r="AI158" s="202">
        <f t="shared" si="32"/>
        <v>58.89</v>
      </c>
      <c r="AJ158" s="275"/>
      <c r="AK158" s="275"/>
      <c r="AL158" s="275"/>
      <c r="AM158" s="275"/>
      <c r="AN158" s="275"/>
      <c r="AO158" s="275"/>
      <c r="AP158" s="275"/>
      <c r="AQ158" s="275"/>
      <c r="AR158" s="275"/>
      <c r="AS158" s="275"/>
      <c r="AT158" s="275"/>
      <c r="AU158" s="275"/>
      <c r="AV158" s="275"/>
      <c r="AW158" s="275"/>
      <c r="AX158" s="275"/>
      <c r="AY158" s="275"/>
      <c r="AZ158" s="275"/>
      <c r="BA158" s="275"/>
      <c r="BB158" s="275"/>
      <c r="BC158" s="275"/>
      <c r="BE158" s="274">
        <f>G158/30</f>
        <v>2.9022333333333332</v>
      </c>
      <c r="BF158" s="280">
        <f t="shared" ref="BF158:BF168" si="44">MAX(G146,G134,G122,G110,G98,G86,G74,G62,G50,G38,G26,G14,G2)</f>
        <v>86.1</v>
      </c>
      <c r="BG158" s="154" t="str">
        <f t="shared" si="41"/>
        <v>RECORD</v>
      </c>
      <c r="BH158" s="270">
        <f t="shared" si="39"/>
        <v>4.4000000000000129E-2</v>
      </c>
      <c r="BI158" s="270">
        <f t="shared" si="33"/>
        <v>-7.0000000000000284E-2</v>
      </c>
    </row>
    <row r="159" spans="1:61">
      <c r="A159" s="266">
        <v>33878</v>
      </c>
      <c r="B159" s="266"/>
      <c r="C159" s="275"/>
      <c r="D159" s="276">
        <v>17.84899999999999</v>
      </c>
      <c r="E159" s="277">
        <v>3.975806451612903</v>
      </c>
      <c r="F159" s="277">
        <f t="shared" si="43"/>
        <v>123.25</v>
      </c>
      <c r="G159" s="277">
        <v>96.021000000000001</v>
      </c>
      <c r="H159" s="281">
        <f t="shared" si="42"/>
        <v>0.77907505070993921</v>
      </c>
      <c r="I159" s="202">
        <v>2257.6860000000001</v>
      </c>
      <c r="J159" s="270">
        <v>47.02</v>
      </c>
      <c r="K159" s="275"/>
      <c r="L159" s="202">
        <v>376.43299999999999</v>
      </c>
      <c r="M159" s="275"/>
      <c r="N159" s="202">
        <v>1047.0229999999999</v>
      </c>
      <c r="O159" s="270">
        <v>10.9</v>
      </c>
      <c r="P159" s="275"/>
      <c r="Q159" s="202">
        <v>795.96799999999996</v>
      </c>
      <c r="R159" s="199"/>
      <c r="S159" s="275"/>
      <c r="T159" s="275"/>
      <c r="U159" s="275"/>
      <c r="V159" s="278">
        <v>15.877000000000001</v>
      </c>
      <c r="W159" s="278">
        <v>18.428000000000001</v>
      </c>
      <c r="X159" s="278">
        <v>16.081</v>
      </c>
      <c r="Y159" s="278"/>
      <c r="Z159" s="278">
        <v>4.0650000000000004</v>
      </c>
      <c r="AA159" s="278">
        <v>13.712999999999999</v>
      </c>
      <c r="AB159" s="278">
        <v>20.408999999999999</v>
      </c>
      <c r="AC159" s="278">
        <v>7.4480000000000004</v>
      </c>
      <c r="AD159" s="279">
        <v>96.021000000000001</v>
      </c>
      <c r="AE159" s="278">
        <f t="shared" si="36"/>
        <v>96.020999999999987</v>
      </c>
      <c r="AF159" s="278">
        <f t="shared" si="37"/>
        <v>0</v>
      </c>
      <c r="AG159" s="278">
        <f t="shared" si="34"/>
        <v>0</v>
      </c>
      <c r="AH159" s="202">
        <f t="shared" si="31"/>
        <v>1.9879999999999995</v>
      </c>
      <c r="AI159" s="202">
        <f t="shared" si="32"/>
        <v>57.92</v>
      </c>
      <c r="AJ159" s="275"/>
      <c r="AK159" s="275"/>
      <c r="AL159" s="275"/>
      <c r="AM159" s="275"/>
      <c r="AN159" s="275"/>
      <c r="AO159" s="275"/>
      <c r="AP159" s="275"/>
      <c r="AQ159" s="275"/>
      <c r="AR159" s="275"/>
      <c r="AS159" s="275"/>
      <c r="AT159" s="275"/>
      <c r="AU159" s="275"/>
      <c r="AV159" s="275"/>
      <c r="AW159" s="275"/>
      <c r="AX159" s="275"/>
      <c r="AY159" s="275"/>
      <c r="AZ159" s="275"/>
      <c r="BA159" s="275"/>
      <c r="BB159" s="275"/>
      <c r="BC159" s="275"/>
      <c r="BE159" s="274">
        <f t="shared" si="38"/>
        <v>3.0974516129032259</v>
      </c>
      <c r="BF159" s="280">
        <f t="shared" si="44"/>
        <v>104.3</v>
      </c>
      <c r="BG159" s="154" t="str">
        <f t="shared" si="41"/>
        <v/>
      </c>
      <c r="BH159" s="270">
        <f t="shared" si="39"/>
        <v>-0.19199999999999981</v>
      </c>
      <c r="BI159" s="270">
        <f t="shared" si="33"/>
        <v>-0.60999999999999943</v>
      </c>
    </row>
    <row r="160" spans="1:61">
      <c r="A160" s="266">
        <v>33909</v>
      </c>
      <c r="B160" s="266"/>
      <c r="C160" s="275"/>
      <c r="D160" s="276">
        <v>17.747333333333316</v>
      </c>
      <c r="E160" s="277">
        <v>3.9758333333333336</v>
      </c>
      <c r="F160" s="277">
        <f t="shared" si="43"/>
        <v>119.27500000000001</v>
      </c>
      <c r="G160" s="277">
        <v>95.376000000000005</v>
      </c>
      <c r="H160" s="281">
        <f t="shared" si="42"/>
        <v>0.79963110459023268</v>
      </c>
      <c r="I160" s="202">
        <v>2270.6219999999998</v>
      </c>
      <c r="J160" s="270">
        <v>47.61</v>
      </c>
      <c r="K160" s="275"/>
      <c r="L160" s="202">
        <v>321.93900000000002</v>
      </c>
      <c r="M160" s="275"/>
      <c r="N160" s="202">
        <v>1022.67</v>
      </c>
      <c r="O160" s="270">
        <v>10.72</v>
      </c>
      <c r="P160" s="275"/>
      <c r="Q160" s="202">
        <v>788.91200000000003</v>
      </c>
      <c r="R160" s="199"/>
      <c r="S160" s="275"/>
      <c r="T160" s="275"/>
      <c r="U160" s="275"/>
      <c r="V160" s="278">
        <v>15.010999999999999</v>
      </c>
      <c r="W160" s="278">
        <v>17.236999999999998</v>
      </c>
      <c r="X160" s="278">
        <v>19.242999999999999</v>
      </c>
      <c r="Y160" s="278"/>
      <c r="Z160" s="278">
        <v>4.9109999999999996</v>
      </c>
      <c r="AA160" s="278">
        <v>11.451000000000001</v>
      </c>
      <c r="AB160" s="278">
        <v>20.23</v>
      </c>
      <c r="AC160" s="278">
        <v>7.2919999999999998</v>
      </c>
      <c r="AD160" s="279">
        <v>95.375</v>
      </c>
      <c r="AE160" s="278">
        <f t="shared" si="36"/>
        <v>95.375000000000014</v>
      </c>
      <c r="AF160" s="278">
        <f t="shared" si="37"/>
        <v>0</v>
      </c>
      <c r="AG160" s="278">
        <f t="shared" si="34"/>
        <v>-9.9999999999056399E-4</v>
      </c>
      <c r="AH160" s="202">
        <f t="shared" si="31"/>
        <v>-0.17899999999999849</v>
      </c>
      <c r="AI160" s="202">
        <f t="shared" si="32"/>
        <v>58.33</v>
      </c>
      <c r="AJ160" s="275"/>
      <c r="AK160" s="275"/>
      <c r="AL160" s="275"/>
      <c r="AM160" s="275"/>
      <c r="AN160" s="275"/>
      <c r="AO160" s="275"/>
      <c r="AP160" s="275"/>
      <c r="AQ160" s="275"/>
      <c r="AR160" s="275"/>
      <c r="AS160" s="275"/>
      <c r="AT160" s="275"/>
      <c r="AU160" s="275"/>
      <c r="AV160" s="275"/>
      <c r="AW160" s="275"/>
      <c r="AX160" s="275"/>
      <c r="AY160" s="275"/>
      <c r="AZ160" s="275"/>
      <c r="BA160" s="275"/>
      <c r="BB160" s="275"/>
      <c r="BC160" s="275"/>
      <c r="BE160" s="274">
        <f>G160/30</f>
        <v>3.1792000000000002</v>
      </c>
      <c r="BF160" s="280">
        <f t="shared" si="44"/>
        <v>107.6</v>
      </c>
      <c r="BG160" s="154" t="str">
        <f t="shared" si="41"/>
        <v/>
      </c>
      <c r="BH160" s="270">
        <f t="shared" si="39"/>
        <v>-2.5999999999999801E-2</v>
      </c>
      <c r="BI160" s="270">
        <f t="shared" si="33"/>
        <v>-0.17999999999999972</v>
      </c>
    </row>
    <row r="161" spans="1:61">
      <c r="A161" s="266">
        <v>33939</v>
      </c>
      <c r="B161" s="266"/>
      <c r="C161" s="275"/>
      <c r="D161" s="276">
        <v>19.195999999999998</v>
      </c>
      <c r="E161" s="277">
        <v>3.8711612903225805</v>
      </c>
      <c r="F161" s="277">
        <f t="shared" si="43"/>
        <v>120.006</v>
      </c>
      <c r="G161" s="277">
        <v>97.004000000000005</v>
      </c>
      <c r="H161" s="281">
        <f t="shared" si="42"/>
        <v>0.80832625035414896</v>
      </c>
      <c r="I161" s="202">
        <v>2322.5320000000002</v>
      </c>
      <c r="J161" s="270">
        <v>47.89</v>
      </c>
      <c r="K161" s="275"/>
      <c r="L161" s="202">
        <v>362.59800000000001</v>
      </c>
      <c r="M161" s="275"/>
      <c r="N161" s="202">
        <v>1044.615</v>
      </c>
      <c r="O161" s="270">
        <v>10.77</v>
      </c>
      <c r="P161" s="275"/>
      <c r="Q161" s="202">
        <v>830.91099999999994</v>
      </c>
      <c r="R161" s="199"/>
      <c r="S161" s="275"/>
      <c r="T161" s="275"/>
      <c r="U161" s="275"/>
      <c r="V161" s="278">
        <v>14.323</v>
      </c>
      <c r="W161" s="278">
        <v>17.933</v>
      </c>
      <c r="X161" s="278">
        <v>17.097999999999999</v>
      </c>
      <c r="Y161" s="278"/>
      <c r="Z161" s="278">
        <v>5.0090000000000003</v>
      </c>
      <c r="AA161" s="278">
        <v>14.068</v>
      </c>
      <c r="AB161" s="278">
        <v>21.207000000000001</v>
      </c>
      <c r="AC161" s="278">
        <v>7.3659999999999997</v>
      </c>
      <c r="AD161" s="279">
        <v>97.004000000000005</v>
      </c>
      <c r="AE161" s="278">
        <f t="shared" si="36"/>
        <v>97.004000000000005</v>
      </c>
      <c r="AF161" s="278">
        <f t="shared" si="37"/>
        <v>0</v>
      </c>
      <c r="AG161" s="278">
        <f t="shared" si="34"/>
        <v>0</v>
      </c>
      <c r="AH161" s="202">
        <f t="shared" si="31"/>
        <v>0.97700000000000031</v>
      </c>
      <c r="AI161" s="202">
        <f t="shared" si="32"/>
        <v>58.66</v>
      </c>
      <c r="AJ161" s="275"/>
      <c r="AK161" s="275"/>
      <c r="AL161" s="275"/>
      <c r="AM161" s="275"/>
      <c r="AN161" s="275"/>
      <c r="AO161" s="275"/>
      <c r="AP161" s="275"/>
      <c r="AQ161" s="275"/>
      <c r="AR161" s="275"/>
      <c r="AS161" s="275"/>
      <c r="AT161" s="275"/>
      <c r="AU161" s="275"/>
      <c r="AV161" s="275"/>
      <c r="AW161" s="275"/>
      <c r="AX161" s="275"/>
      <c r="AY161" s="275"/>
      <c r="AZ161" s="275"/>
      <c r="BA161" s="275"/>
      <c r="BB161" s="275"/>
      <c r="BC161" s="275"/>
      <c r="BE161" s="274">
        <f t="shared" si="38"/>
        <v>3.1291612903225809</v>
      </c>
      <c r="BF161" s="280">
        <f t="shared" si="44"/>
        <v>111.6</v>
      </c>
      <c r="BG161" s="154" t="str">
        <f t="shared" si="41"/>
        <v/>
      </c>
      <c r="BH161" s="270">
        <f t="shared" si="39"/>
        <v>5.9999999999998718E-3</v>
      </c>
      <c r="BI161" s="270">
        <f t="shared" si="33"/>
        <v>4.9999999999998934E-2</v>
      </c>
    </row>
    <row r="162" spans="1:61">
      <c r="A162" s="266">
        <v>33970</v>
      </c>
      <c r="B162" s="266"/>
      <c r="C162" s="275"/>
      <c r="D162" s="276">
        <v>18.14800000000001</v>
      </c>
      <c r="E162" s="277">
        <v>3.9944516129032257</v>
      </c>
      <c r="F162" s="277">
        <f t="shared" si="43"/>
        <v>123.828</v>
      </c>
      <c r="G162" s="277">
        <v>98.694999999999993</v>
      </c>
      <c r="H162" s="281">
        <f t="shared" si="42"/>
        <v>0.79703298123203148</v>
      </c>
      <c r="I162" s="202">
        <v>2351.123</v>
      </c>
      <c r="J162" s="270">
        <v>47.64</v>
      </c>
      <c r="K162" s="275"/>
      <c r="L162" s="202">
        <v>365.642</v>
      </c>
      <c r="M162" s="275"/>
      <c r="N162" s="202">
        <v>1056.2249999999999</v>
      </c>
      <c r="O162" s="270">
        <v>10.7</v>
      </c>
      <c r="P162" s="275"/>
      <c r="Q162" s="202">
        <v>894.77300000000002</v>
      </c>
      <c r="R162" s="199"/>
      <c r="S162" s="275"/>
      <c r="T162" s="275"/>
      <c r="U162" s="275"/>
      <c r="V162" s="278">
        <v>15.118</v>
      </c>
      <c r="W162" s="278">
        <v>17.872</v>
      </c>
      <c r="X162" s="278">
        <v>18.393999999999998</v>
      </c>
      <c r="Y162" s="278"/>
      <c r="Z162" s="278">
        <v>5.218</v>
      </c>
      <c r="AA162" s="278">
        <v>13.526</v>
      </c>
      <c r="AB162" s="278">
        <v>21.053000000000001</v>
      </c>
      <c r="AC162" s="278">
        <v>7.5140000000000002</v>
      </c>
      <c r="AD162" s="279">
        <v>98.694999999999993</v>
      </c>
      <c r="AE162" s="278">
        <f t="shared" si="36"/>
        <v>98.694999999999993</v>
      </c>
      <c r="AF162" s="278">
        <f t="shared" si="37"/>
        <v>0</v>
      </c>
      <c r="AG162" s="278">
        <f t="shared" si="34"/>
        <v>0</v>
      </c>
      <c r="AH162" s="202">
        <f t="shared" si="31"/>
        <v>-0.15399999999999991</v>
      </c>
      <c r="AI162" s="202">
        <f t="shared" si="32"/>
        <v>58.34</v>
      </c>
      <c r="AJ162" s="275"/>
      <c r="AK162" s="275"/>
      <c r="AL162" s="275"/>
      <c r="AM162" s="275"/>
      <c r="AN162" s="275"/>
      <c r="AO162" s="275"/>
      <c r="AP162" s="275"/>
      <c r="AQ162" s="275"/>
      <c r="AR162" s="275"/>
      <c r="AS162" s="275"/>
      <c r="AT162" s="275"/>
      <c r="AU162" s="275"/>
      <c r="AV162" s="275"/>
      <c r="AW162" s="275"/>
      <c r="AX162" s="275"/>
      <c r="AY162" s="275"/>
      <c r="AZ162" s="275"/>
      <c r="BA162" s="275"/>
      <c r="BB162" s="275"/>
      <c r="BC162" s="275"/>
      <c r="BE162" s="274">
        <f t="shared" si="38"/>
        <v>3.1837096774193547</v>
      </c>
      <c r="BF162" s="280">
        <f t="shared" si="44"/>
        <v>110</v>
      </c>
      <c r="BG162" s="154" t="str">
        <f t="shared" si="41"/>
        <v/>
      </c>
      <c r="BH162" s="270">
        <f t="shared" si="39"/>
        <v>8.9999999999999858E-2</v>
      </c>
      <c r="BI162" s="270">
        <f t="shared" si="33"/>
        <v>-7.0000000000000284E-2</v>
      </c>
    </row>
    <row r="163" spans="1:61">
      <c r="A163" s="266">
        <v>34001</v>
      </c>
      <c r="B163" s="266"/>
      <c r="C163" s="275"/>
      <c r="D163" s="276">
        <v>16.331000000000003</v>
      </c>
      <c r="E163" s="277">
        <v>3.9944285714285712</v>
      </c>
      <c r="F163" s="277">
        <f t="shared" si="43"/>
        <v>111.84399999999999</v>
      </c>
      <c r="G163" s="277">
        <v>85.825999999999993</v>
      </c>
      <c r="H163" s="281">
        <f t="shared" si="42"/>
        <v>0.76737241157326275</v>
      </c>
      <c r="I163" s="202">
        <v>2040.521</v>
      </c>
      <c r="J163" s="270">
        <v>47.55</v>
      </c>
      <c r="K163" s="275"/>
      <c r="L163" s="202">
        <v>314.37799999999999</v>
      </c>
      <c r="M163" s="275"/>
      <c r="N163" s="202">
        <v>925.92200000000003</v>
      </c>
      <c r="O163" s="270">
        <v>10.79</v>
      </c>
      <c r="P163" s="275"/>
      <c r="Q163" s="202">
        <v>872.98800000000006</v>
      </c>
      <c r="R163" s="199"/>
      <c r="S163" s="275"/>
      <c r="T163" s="275"/>
      <c r="U163" s="275"/>
      <c r="V163" s="278">
        <v>13.132999999999999</v>
      </c>
      <c r="W163" s="278">
        <v>15.651</v>
      </c>
      <c r="X163" s="278">
        <v>15.96</v>
      </c>
      <c r="Y163" s="278"/>
      <c r="Z163" s="278">
        <v>4.5860000000000003</v>
      </c>
      <c r="AA163" s="278">
        <v>12.388</v>
      </c>
      <c r="AB163" s="278">
        <v>17.535</v>
      </c>
      <c r="AC163" s="278">
        <v>6.5730000000000004</v>
      </c>
      <c r="AD163" s="279">
        <v>85.825999999999993</v>
      </c>
      <c r="AE163" s="278">
        <f t="shared" si="36"/>
        <v>85.825999999999993</v>
      </c>
      <c r="AF163" s="278">
        <f t="shared" si="37"/>
        <v>0</v>
      </c>
      <c r="AG163" s="278">
        <f t="shared" si="34"/>
        <v>0</v>
      </c>
      <c r="AH163" s="202">
        <f t="shared" si="31"/>
        <v>-3.5180000000000007</v>
      </c>
      <c r="AI163" s="202">
        <f t="shared" si="32"/>
        <v>58.339999999999996</v>
      </c>
      <c r="AJ163" s="275"/>
      <c r="AK163" s="275"/>
      <c r="AL163" s="275"/>
      <c r="AM163" s="275"/>
      <c r="AN163" s="275"/>
      <c r="AO163" s="275"/>
      <c r="AP163" s="275"/>
      <c r="AQ163" s="275"/>
      <c r="AR163" s="275"/>
      <c r="AS163" s="275"/>
      <c r="AT163" s="275"/>
      <c r="AU163" s="275"/>
      <c r="AV163" s="275"/>
      <c r="AW163" s="275"/>
      <c r="AX163" s="275"/>
      <c r="AY163" s="275"/>
      <c r="AZ163" s="275"/>
      <c r="BA163" s="275"/>
      <c r="BB163" s="275"/>
      <c r="BC163" s="275"/>
      <c r="BE163" s="274">
        <f>G163/28</f>
        <v>3.0652142857142857</v>
      </c>
      <c r="BF163" s="280">
        <f t="shared" si="44"/>
        <v>98.9</v>
      </c>
      <c r="BG163" s="154" t="str">
        <f t="shared" si="41"/>
        <v/>
      </c>
      <c r="BH163" s="270">
        <f t="shared" si="39"/>
        <v>1.8000000000000328E-2</v>
      </c>
      <c r="BI163" s="270">
        <f t="shared" si="33"/>
        <v>8.9999999999999858E-2</v>
      </c>
    </row>
    <row r="164" spans="1:61">
      <c r="A164" s="266">
        <v>34029</v>
      </c>
      <c r="B164" s="266"/>
      <c r="C164" s="275"/>
      <c r="D164" s="276">
        <v>19.162666666666667</v>
      </c>
      <c r="E164" s="277">
        <v>3.9944516129032257</v>
      </c>
      <c r="F164" s="277">
        <f t="shared" si="43"/>
        <v>123.828</v>
      </c>
      <c r="G164" s="277">
        <v>93.823999999999998</v>
      </c>
      <c r="H164" s="281">
        <f t="shared" si="42"/>
        <v>0.75769615918855182</v>
      </c>
      <c r="I164" s="202">
        <v>2234.0639999999999</v>
      </c>
      <c r="J164" s="270">
        <v>47.62</v>
      </c>
      <c r="K164" s="275"/>
      <c r="L164" s="202">
        <v>255.96799999999999</v>
      </c>
      <c r="M164" s="275"/>
      <c r="N164" s="202">
        <v>1015.4880000000001</v>
      </c>
      <c r="O164" s="270">
        <v>10.82</v>
      </c>
      <c r="P164" s="275"/>
      <c r="Q164" s="202">
        <v>847.524</v>
      </c>
      <c r="R164" s="199"/>
      <c r="S164" s="275"/>
      <c r="T164" s="275"/>
      <c r="U164" s="275"/>
      <c r="V164" s="278">
        <v>14.753</v>
      </c>
      <c r="W164" s="278">
        <v>17.465</v>
      </c>
      <c r="X164" s="278">
        <v>17.43</v>
      </c>
      <c r="Y164" s="278"/>
      <c r="Z164" s="278">
        <v>4.6139999999999999</v>
      </c>
      <c r="AA164" s="278">
        <v>13.161</v>
      </c>
      <c r="AB164" s="278">
        <v>18.893000000000001</v>
      </c>
      <c r="AC164" s="278">
        <v>7.508</v>
      </c>
      <c r="AD164" s="279">
        <v>93.823999999999998</v>
      </c>
      <c r="AE164" s="278">
        <f t="shared" si="36"/>
        <v>93.823999999999998</v>
      </c>
      <c r="AF164" s="278">
        <f t="shared" si="37"/>
        <v>0</v>
      </c>
      <c r="AG164" s="278">
        <f t="shared" si="34"/>
        <v>0</v>
      </c>
      <c r="AH164" s="202">
        <f t="shared" si="31"/>
        <v>1.3580000000000005</v>
      </c>
      <c r="AI164" s="202">
        <f t="shared" si="32"/>
        <v>58.44</v>
      </c>
      <c r="AJ164" s="275"/>
      <c r="AK164" s="275"/>
      <c r="AL164" s="275"/>
      <c r="AM164" s="275"/>
      <c r="AN164" s="275"/>
      <c r="AO164" s="275"/>
      <c r="AP164" s="275"/>
      <c r="AQ164" s="275"/>
      <c r="AR164" s="275"/>
      <c r="AS164" s="275"/>
      <c r="AT164" s="275"/>
      <c r="AU164" s="275"/>
      <c r="AV164" s="275"/>
      <c r="AW164" s="275"/>
      <c r="AX164" s="275"/>
      <c r="AY164" s="275"/>
      <c r="AZ164" s="275"/>
      <c r="BA164" s="275"/>
      <c r="BB164" s="275"/>
      <c r="BC164" s="275"/>
      <c r="BE164" s="274">
        <f t="shared" si="38"/>
        <v>3.0265806451612902</v>
      </c>
      <c r="BF164" s="280">
        <f t="shared" si="44"/>
        <v>101.4</v>
      </c>
      <c r="BG164" s="154" t="str">
        <f t="shared" si="41"/>
        <v/>
      </c>
      <c r="BH164" s="270">
        <f t="shared" si="39"/>
        <v>7.5999999999999443E-2</v>
      </c>
      <c r="BI164" s="270">
        <f t="shared" si="33"/>
        <v>3.0000000000001137E-2</v>
      </c>
    </row>
    <row r="165" spans="1:61">
      <c r="A165" s="266">
        <v>34060</v>
      </c>
      <c r="B165" s="266"/>
      <c r="C165" s="275"/>
      <c r="D165" s="276">
        <v>18.223333333333343</v>
      </c>
      <c r="E165" s="277">
        <v>4.0049666666666663</v>
      </c>
      <c r="F165" s="277">
        <f t="shared" si="43"/>
        <v>120.14899999999999</v>
      </c>
      <c r="G165" s="277">
        <v>87.72</v>
      </c>
      <c r="H165" s="281">
        <f t="shared" si="42"/>
        <v>0.73009346727812974</v>
      </c>
      <c r="I165" s="202">
        <v>2089.056</v>
      </c>
      <c r="J165" s="270">
        <v>47.63</v>
      </c>
      <c r="K165" s="275"/>
      <c r="L165" s="202">
        <v>287.71699999999998</v>
      </c>
      <c r="M165" s="275"/>
      <c r="N165" s="202">
        <v>954.95</v>
      </c>
      <c r="O165" s="270">
        <v>10.89</v>
      </c>
      <c r="P165" s="275"/>
      <c r="Q165" s="202">
        <v>841.49</v>
      </c>
      <c r="R165" s="199"/>
      <c r="S165" s="275"/>
      <c r="T165" s="275"/>
      <c r="U165" s="275"/>
      <c r="V165" s="278">
        <v>11.724</v>
      </c>
      <c r="W165" s="278">
        <v>16.741</v>
      </c>
      <c r="X165" s="278">
        <v>16.861000000000001</v>
      </c>
      <c r="Y165" s="278"/>
      <c r="Z165" s="278">
        <v>4.1989999999999998</v>
      </c>
      <c r="AA165" s="278">
        <v>12.521000000000001</v>
      </c>
      <c r="AB165" s="278">
        <v>18.449000000000002</v>
      </c>
      <c r="AC165" s="278">
        <v>7.2249999999999996</v>
      </c>
      <c r="AD165" s="279">
        <v>87.72</v>
      </c>
      <c r="AE165" s="278">
        <f t="shared" si="36"/>
        <v>87.72</v>
      </c>
      <c r="AF165" s="278">
        <f t="shared" si="37"/>
        <v>0</v>
      </c>
      <c r="AG165" s="278">
        <f t="shared" si="34"/>
        <v>0</v>
      </c>
      <c r="AH165" s="202">
        <f t="shared" si="31"/>
        <v>-0.44399999999999906</v>
      </c>
      <c r="AI165" s="202">
        <f t="shared" si="32"/>
        <v>58.52</v>
      </c>
      <c r="AJ165" s="275"/>
      <c r="AK165" s="275"/>
      <c r="AL165" s="275"/>
      <c r="AM165" s="275"/>
      <c r="AN165" s="275"/>
      <c r="AO165" s="275"/>
      <c r="AP165" s="275"/>
      <c r="AQ165" s="275"/>
      <c r="AR165" s="275"/>
      <c r="AS165" s="275"/>
      <c r="AT165" s="275"/>
      <c r="AU165" s="275"/>
      <c r="AV165" s="275"/>
      <c r="AW165" s="275"/>
      <c r="AX165" s="275"/>
      <c r="AY165" s="275"/>
      <c r="AZ165" s="275"/>
      <c r="BA165" s="275"/>
      <c r="BB165" s="275"/>
      <c r="BC165" s="275"/>
      <c r="BE165" s="274">
        <f>G165/30</f>
        <v>2.9239999999999999</v>
      </c>
      <c r="BF165" s="280">
        <f t="shared" si="44"/>
        <v>91.4</v>
      </c>
      <c r="BG165" s="154" t="str">
        <f t="shared" si="41"/>
        <v/>
      </c>
      <c r="BH165" s="270">
        <f t="shared" si="39"/>
        <v>3.5527136788005011E-16</v>
      </c>
      <c r="BI165" s="270">
        <f t="shared" si="33"/>
        <v>7.0000000000000284E-2</v>
      </c>
    </row>
    <row r="166" spans="1:61">
      <c r="A166" s="266">
        <v>34090</v>
      </c>
      <c r="B166" s="266"/>
      <c r="C166" s="275"/>
      <c r="D166" s="276">
        <v>19.154333333333327</v>
      </c>
      <c r="E166" s="277">
        <v>4.0050322580645163</v>
      </c>
      <c r="F166" s="277">
        <f t="shared" si="43"/>
        <v>124.15600000000001</v>
      </c>
      <c r="G166" s="277">
        <v>87.349000000000004</v>
      </c>
      <c r="H166" s="281">
        <f t="shared" si="42"/>
        <v>0.70354231772930831</v>
      </c>
      <c r="I166" s="202">
        <v>2078.107</v>
      </c>
      <c r="J166" s="270">
        <v>47.58</v>
      </c>
      <c r="K166" s="275"/>
      <c r="L166" s="202">
        <v>200.91499999999999</v>
      </c>
      <c r="M166" s="275"/>
      <c r="N166" s="202">
        <v>946.70799999999997</v>
      </c>
      <c r="O166" s="270">
        <v>10.84</v>
      </c>
      <c r="P166" s="275"/>
      <c r="Q166" s="202">
        <v>803.21699999999998</v>
      </c>
      <c r="R166" s="282"/>
      <c r="S166" s="283"/>
      <c r="T166" s="275"/>
      <c r="U166" s="275"/>
      <c r="V166" s="278">
        <v>13.72</v>
      </c>
      <c r="W166" s="278">
        <v>17.760000000000002</v>
      </c>
      <c r="X166" s="278">
        <v>17.478999999999999</v>
      </c>
      <c r="Y166" s="278"/>
      <c r="Z166" s="278">
        <v>2.0409999999999999</v>
      </c>
      <c r="AA166" s="278">
        <v>12.961</v>
      </c>
      <c r="AB166" s="278">
        <v>16.555</v>
      </c>
      <c r="AC166" s="278">
        <v>6.8330000000000002</v>
      </c>
      <c r="AD166" s="279">
        <v>87.349000000000004</v>
      </c>
      <c r="AE166" s="278">
        <f t="shared" si="36"/>
        <v>87.34899999999999</v>
      </c>
      <c r="AF166" s="278">
        <f t="shared" si="37"/>
        <v>0</v>
      </c>
      <c r="AG166" s="278">
        <f t="shared" si="34"/>
        <v>0</v>
      </c>
      <c r="AH166" s="202">
        <f t="shared" si="31"/>
        <v>-1.8940000000000019</v>
      </c>
      <c r="AI166" s="202">
        <f t="shared" si="32"/>
        <v>58.42</v>
      </c>
      <c r="AJ166" s="275"/>
      <c r="AK166" s="275"/>
      <c r="AL166" s="275"/>
      <c r="AM166" s="275"/>
      <c r="AN166" s="275"/>
      <c r="AO166" s="275"/>
      <c r="AP166" s="275"/>
      <c r="AQ166" s="275"/>
      <c r="AR166" s="275"/>
      <c r="AS166" s="275"/>
      <c r="AT166" s="275"/>
      <c r="AU166" s="275"/>
      <c r="AV166" s="275"/>
      <c r="AW166" s="275"/>
      <c r="AX166" s="275"/>
      <c r="AY166" s="275"/>
      <c r="AZ166" s="275"/>
      <c r="BA166" s="275"/>
      <c r="BB166" s="275"/>
      <c r="BC166" s="275"/>
      <c r="BE166" s="274">
        <f t="shared" si="38"/>
        <v>2.8177096774193551</v>
      </c>
      <c r="BF166" s="280">
        <f t="shared" si="44"/>
        <v>93.2</v>
      </c>
      <c r="BG166" s="154" t="str">
        <f t="shared" si="41"/>
        <v/>
      </c>
      <c r="BH166" s="270">
        <f t="shared" si="39"/>
        <v>4.6000000000000082E-2</v>
      </c>
      <c r="BI166" s="270">
        <f t="shared" si="33"/>
        <v>-5.0000000000000711E-2</v>
      </c>
    </row>
    <row r="167" spans="1:61">
      <c r="A167" s="266">
        <v>34121</v>
      </c>
      <c r="B167" s="266"/>
      <c r="C167" s="275"/>
      <c r="D167" s="276">
        <v>17.52233333333335</v>
      </c>
      <c r="E167" s="277">
        <v>4.0049999999999999</v>
      </c>
      <c r="F167" s="277">
        <f t="shared" si="43"/>
        <v>120.14999999999999</v>
      </c>
      <c r="G167" s="277">
        <v>82.370999999999995</v>
      </c>
      <c r="H167" s="281">
        <f t="shared" si="42"/>
        <v>0.68556803995006244</v>
      </c>
      <c r="I167" s="202">
        <v>1958.8510000000001</v>
      </c>
      <c r="J167" s="270">
        <v>47.56</v>
      </c>
      <c r="K167" s="275"/>
      <c r="L167" s="202">
        <v>206.465</v>
      </c>
      <c r="M167" s="275"/>
      <c r="N167" s="202">
        <v>895.89499999999998</v>
      </c>
      <c r="O167" s="270">
        <v>10.88</v>
      </c>
      <c r="P167" s="275"/>
      <c r="Q167" s="202">
        <v>776.226</v>
      </c>
      <c r="R167" s="282"/>
      <c r="S167" s="283"/>
      <c r="T167" s="275"/>
      <c r="U167" s="275"/>
      <c r="V167" s="278">
        <v>11.731999999999999</v>
      </c>
      <c r="W167" s="278">
        <v>15.13</v>
      </c>
      <c r="X167" s="278">
        <v>15.944000000000001</v>
      </c>
      <c r="Y167" s="278"/>
      <c r="Z167" s="278">
        <v>3.5070000000000001</v>
      </c>
      <c r="AA167" s="278">
        <v>11.157999999999999</v>
      </c>
      <c r="AB167" s="278">
        <v>17.663</v>
      </c>
      <c r="AC167" s="278">
        <v>7.2279999999999998</v>
      </c>
      <c r="AD167" s="279">
        <v>82.361999999999995</v>
      </c>
      <c r="AE167" s="278">
        <f t="shared" si="36"/>
        <v>82.361999999999995</v>
      </c>
      <c r="AF167" s="278">
        <f t="shared" si="37"/>
        <v>0</v>
      </c>
      <c r="AG167" s="278">
        <f t="shared" si="34"/>
        <v>-9.0000000000003411E-3</v>
      </c>
      <c r="AH167" s="202">
        <f t="shared" si="31"/>
        <v>1.1080000000000005</v>
      </c>
      <c r="AI167" s="202">
        <f t="shared" si="32"/>
        <v>58.440000000000005</v>
      </c>
      <c r="AJ167" s="275"/>
      <c r="AK167" s="275"/>
      <c r="AL167" s="275"/>
      <c r="AM167" s="275"/>
      <c r="AN167" s="275"/>
      <c r="AO167" s="275"/>
      <c r="AP167" s="275"/>
      <c r="AQ167" s="275"/>
      <c r="AR167" s="275"/>
      <c r="AS167" s="275"/>
      <c r="AT167" s="275"/>
      <c r="AU167" s="275"/>
      <c r="AV167" s="275"/>
      <c r="AW167" s="275"/>
      <c r="AX167" s="275"/>
      <c r="AY167" s="275"/>
      <c r="AZ167" s="275"/>
      <c r="BA167" s="275"/>
      <c r="BB167" s="275"/>
      <c r="BC167" s="275"/>
      <c r="BE167" s="274">
        <f>G167/30</f>
        <v>2.7456999999999998</v>
      </c>
      <c r="BF167" s="280">
        <f t="shared" si="44"/>
        <v>83.606999999999999</v>
      </c>
      <c r="BG167" s="154" t="str">
        <f t="shared" si="41"/>
        <v/>
      </c>
      <c r="BH167" s="270">
        <f t="shared" si="39"/>
        <v>5.999999999999979E-2</v>
      </c>
      <c r="BI167" s="270">
        <f t="shared" si="33"/>
        <v>4.0000000000000924E-2</v>
      </c>
    </row>
    <row r="168" spans="1:61">
      <c r="A168" s="266">
        <v>34151</v>
      </c>
      <c r="B168" s="266"/>
      <c r="C168" s="275"/>
      <c r="D168" s="276">
        <v>15.349333333333334</v>
      </c>
      <c r="E168" s="277">
        <v>4.0231935483870966</v>
      </c>
      <c r="F168" s="277">
        <f t="shared" si="43"/>
        <v>124.71899999999999</v>
      </c>
      <c r="G168" s="277">
        <v>82.634</v>
      </c>
      <c r="H168" s="281">
        <f t="shared" si="42"/>
        <v>0.66256143811287782</v>
      </c>
      <c r="I168" s="202">
        <v>1965.788</v>
      </c>
      <c r="J168" s="270">
        <v>47.58</v>
      </c>
      <c r="K168" s="275"/>
      <c r="L168" s="202">
        <v>173.66</v>
      </c>
      <c r="M168" s="275"/>
      <c r="N168" s="202">
        <v>902.54200000000003</v>
      </c>
      <c r="O168" s="270">
        <v>10.92</v>
      </c>
      <c r="P168" s="275"/>
      <c r="Q168" s="202">
        <v>717.92100000000005</v>
      </c>
      <c r="R168" s="282"/>
      <c r="S168" s="283"/>
      <c r="T168" s="275"/>
      <c r="U168" s="275"/>
      <c r="V168" s="278">
        <v>11.016999999999999</v>
      </c>
      <c r="W168" s="278">
        <v>15.952999999999999</v>
      </c>
      <c r="X168" s="278">
        <v>15.564</v>
      </c>
      <c r="Y168" s="278"/>
      <c r="Z168" s="278">
        <v>4.1719999999999997</v>
      </c>
      <c r="AA168" s="278">
        <v>12.62</v>
      </c>
      <c r="AB168" s="278">
        <v>16.523</v>
      </c>
      <c r="AC168" s="278">
        <v>6.7850000000000001</v>
      </c>
      <c r="AD168" s="279">
        <v>82.634</v>
      </c>
      <c r="AE168" s="278">
        <f t="shared" si="36"/>
        <v>82.633999999999986</v>
      </c>
      <c r="AF168" s="278">
        <f t="shared" si="37"/>
        <v>0</v>
      </c>
      <c r="AG168" s="278">
        <f t="shared" si="34"/>
        <v>0</v>
      </c>
      <c r="AH168" s="202">
        <f t="shared" si="31"/>
        <v>-1.1400000000000006</v>
      </c>
      <c r="AI168" s="202">
        <f t="shared" si="32"/>
        <v>58.5</v>
      </c>
      <c r="AJ168" s="275"/>
      <c r="AK168" s="275"/>
      <c r="AL168" s="275"/>
      <c r="AM168" s="275"/>
      <c r="AN168" s="275"/>
      <c r="AO168" s="275"/>
      <c r="AP168" s="275"/>
      <c r="AQ168" s="275"/>
      <c r="AR168" s="275"/>
      <c r="AS168" s="275"/>
      <c r="AT168" s="275"/>
      <c r="AU168" s="275"/>
      <c r="AV168" s="275"/>
      <c r="AW168" s="275"/>
      <c r="AX168" s="275"/>
      <c r="AY168" s="275"/>
      <c r="AZ168" s="275"/>
      <c r="BA168" s="275"/>
      <c r="BB168" s="275"/>
      <c r="BC168" s="275"/>
      <c r="BE168" s="274">
        <f t="shared" si="38"/>
        <v>2.6656129032258065</v>
      </c>
      <c r="BF168" s="280">
        <f t="shared" si="44"/>
        <v>89.07</v>
      </c>
      <c r="BG168" s="154" t="str">
        <f t="shared" si="41"/>
        <v/>
      </c>
      <c r="BH168" s="270">
        <f t="shared" si="39"/>
        <v>2.5999999999999801E-2</v>
      </c>
      <c r="BI168" s="270">
        <f t="shared" si="33"/>
        <v>3.9999999999999147E-2</v>
      </c>
    </row>
    <row r="169" spans="1:61">
      <c r="A169" s="266">
        <v>34182</v>
      </c>
      <c r="B169" s="266"/>
      <c r="C169" s="275"/>
      <c r="D169" s="276">
        <v>11.177333333333337</v>
      </c>
      <c r="E169" s="277">
        <v>4.0231935483870966</v>
      </c>
      <c r="F169" s="277">
        <f t="shared" si="43"/>
        <v>124.71899999999999</v>
      </c>
      <c r="G169" s="277">
        <v>81.036000000000001</v>
      </c>
      <c r="H169" s="281">
        <f t="shared" si="42"/>
        <v>0.64974863493132562</v>
      </c>
      <c r="I169" s="202">
        <v>1926.4480000000001</v>
      </c>
      <c r="J169" s="270">
        <v>47.55</v>
      </c>
      <c r="K169" s="275"/>
      <c r="L169" s="202">
        <v>226.52199999999999</v>
      </c>
      <c r="M169" s="275"/>
      <c r="N169" s="202">
        <v>887.17700000000002</v>
      </c>
      <c r="O169" s="270">
        <v>10.95</v>
      </c>
      <c r="P169" s="275"/>
      <c r="Q169" s="202">
        <v>577.54999999999995</v>
      </c>
      <c r="R169" s="282"/>
      <c r="S169" s="283"/>
      <c r="T169" s="275"/>
      <c r="U169" s="275"/>
      <c r="V169" s="278">
        <v>12.888</v>
      </c>
      <c r="W169" s="278">
        <v>15.646000000000001</v>
      </c>
      <c r="X169" s="278">
        <v>13.499000000000001</v>
      </c>
      <c r="Y169" s="278"/>
      <c r="Z169" s="278">
        <v>3.552</v>
      </c>
      <c r="AA169" s="278">
        <v>11.597</v>
      </c>
      <c r="AB169" s="278">
        <v>18.373999999999999</v>
      </c>
      <c r="AC169" s="278">
        <v>5.28</v>
      </c>
      <c r="AD169" s="279">
        <v>80.835999999999999</v>
      </c>
      <c r="AE169" s="278">
        <f t="shared" si="36"/>
        <v>80.835999999999999</v>
      </c>
      <c r="AF169" s="278">
        <f t="shared" si="37"/>
        <v>0</v>
      </c>
      <c r="AG169" s="278">
        <f t="shared" si="34"/>
        <v>-0.20000000000000284</v>
      </c>
      <c r="AH169" s="202">
        <f t="shared" si="31"/>
        <v>1.8509999999999991</v>
      </c>
      <c r="AI169" s="202">
        <f t="shared" si="32"/>
        <v>58.5</v>
      </c>
      <c r="AJ169" s="275"/>
      <c r="AK169" s="275"/>
      <c r="AL169" s="275"/>
      <c r="AM169" s="275"/>
      <c r="AN169" s="275"/>
      <c r="AO169" s="275"/>
      <c r="AP169" s="275"/>
      <c r="AQ169" s="275"/>
      <c r="AR169" s="275"/>
      <c r="AS169" s="275"/>
      <c r="AT169" s="275"/>
      <c r="AU169" s="275"/>
      <c r="AV169" s="275"/>
      <c r="AW169" s="275"/>
      <c r="AX169" s="275"/>
      <c r="AY169" s="275"/>
      <c r="AZ169" s="275"/>
      <c r="BA169" s="275"/>
      <c r="BB169" s="275"/>
      <c r="BC169" s="275"/>
      <c r="BE169" s="274">
        <f t="shared" si="38"/>
        <v>2.6140645161290323</v>
      </c>
      <c r="BF169" s="280">
        <f>MAX(G157,G145,G133,G121,G109,G97,G85,G73,G61,G49,G37,G25,G13)</f>
        <v>89.346000000000004</v>
      </c>
      <c r="BG169" s="154" t="str">
        <f t="shared" si="41"/>
        <v/>
      </c>
      <c r="BH169" s="270">
        <f t="shared" si="39"/>
        <v>-3.3999999999999989E-2</v>
      </c>
      <c r="BI169" s="270">
        <f t="shared" si="33"/>
        <v>2.9999999999999361E-2</v>
      </c>
    </row>
    <row r="170" spans="1:61">
      <c r="A170" s="266">
        <v>34213</v>
      </c>
      <c r="B170" s="266"/>
      <c r="C170" s="275"/>
      <c r="D170" s="276">
        <v>16.132999999999996</v>
      </c>
      <c r="E170" s="277">
        <v>4.0232000000000001</v>
      </c>
      <c r="F170" s="277">
        <f t="shared" si="43"/>
        <v>120.696</v>
      </c>
      <c r="G170" s="277">
        <v>82.307000000000002</v>
      </c>
      <c r="H170" s="281">
        <f t="shared" si="42"/>
        <v>0.68193643534168491</v>
      </c>
      <c r="I170" s="202">
        <v>1978.864</v>
      </c>
      <c r="J170" s="270">
        <v>48.08</v>
      </c>
      <c r="K170" s="275"/>
      <c r="L170" s="202">
        <v>277.43299999999999</v>
      </c>
      <c r="M170" s="275"/>
      <c r="N170" s="202">
        <v>906.04700000000003</v>
      </c>
      <c r="O170" s="270">
        <v>11.01</v>
      </c>
      <c r="P170" s="275"/>
      <c r="Q170" s="202">
        <v>465.00299999999999</v>
      </c>
      <c r="R170" s="199"/>
      <c r="S170" s="275"/>
      <c r="T170" s="275"/>
      <c r="U170" s="275"/>
      <c r="V170" s="278">
        <v>14.055</v>
      </c>
      <c r="W170" s="278">
        <v>15.625999999999999</v>
      </c>
      <c r="X170" s="278">
        <v>14.259</v>
      </c>
      <c r="Y170" s="278"/>
      <c r="Z170" s="278">
        <v>3.7509999999999999</v>
      </c>
      <c r="AA170" s="278">
        <v>10.887</v>
      </c>
      <c r="AB170" s="278">
        <v>17.428999999999998</v>
      </c>
      <c r="AC170" s="278">
        <v>6.3</v>
      </c>
      <c r="AD170" s="279">
        <v>82.307000000000002</v>
      </c>
      <c r="AE170" s="278">
        <f t="shared" si="36"/>
        <v>82.306999999999988</v>
      </c>
      <c r="AF170" s="278">
        <f t="shared" si="37"/>
        <v>0</v>
      </c>
      <c r="AG170" s="278">
        <f t="shared" si="34"/>
        <v>0</v>
      </c>
      <c r="AH170" s="202">
        <f t="shared" si="31"/>
        <v>-0.94500000000000028</v>
      </c>
      <c r="AI170" s="202">
        <f t="shared" si="32"/>
        <v>59.089999999999996</v>
      </c>
      <c r="AJ170" s="275"/>
      <c r="AK170" s="275"/>
      <c r="AL170" s="275"/>
      <c r="AM170" s="275"/>
      <c r="AN170" s="275"/>
      <c r="AO170" s="275"/>
      <c r="AP170" s="275"/>
      <c r="AQ170" s="275"/>
      <c r="AR170" s="275"/>
      <c r="AS170" s="275"/>
      <c r="AT170" s="275"/>
      <c r="AU170" s="275"/>
      <c r="AV170" s="275"/>
      <c r="AW170" s="275"/>
      <c r="AX170" s="275"/>
      <c r="AY170" s="275"/>
      <c r="AZ170" s="275"/>
      <c r="BA170" s="275"/>
      <c r="BB170" s="275"/>
      <c r="BC170" s="275"/>
      <c r="BE170" s="274">
        <f>G170/30</f>
        <v>2.7435666666666667</v>
      </c>
      <c r="BF170" s="280">
        <f t="shared" ref="BF170:BF180" si="45">MAX(G158,G146,G134,G122,G110,G98,G86,G74,G62,G50,G38,G26,G14,G2)</f>
        <v>87.066999999999993</v>
      </c>
      <c r="BG170" s="154" t="str">
        <f t="shared" si="41"/>
        <v/>
      </c>
      <c r="BH170" s="270">
        <f t="shared" si="39"/>
        <v>1.7999999999999971E-2</v>
      </c>
      <c r="BI170" s="270">
        <f t="shared" si="33"/>
        <v>6.0000000000000497E-2</v>
      </c>
    </row>
    <row r="171" spans="1:61">
      <c r="A171" s="266">
        <v>34243</v>
      </c>
      <c r="B171" s="266"/>
      <c r="C171" s="275"/>
      <c r="D171" s="276">
        <v>18.98299999999999</v>
      </c>
      <c r="E171" s="277">
        <v>4.0418064516129038</v>
      </c>
      <c r="F171" s="277">
        <f t="shared" si="43"/>
        <v>125.29600000000002</v>
      </c>
      <c r="G171" s="277">
        <v>94.757000000000005</v>
      </c>
      <c r="H171" s="281">
        <f t="shared" si="42"/>
        <v>0.75626516409143141</v>
      </c>
      <c r="I171" s="202">
        <v>2242.163</v>
      </c>
      <c r="J171" s="270">
        <v>47.32</v>
      </c>
      <c r="K171" s="275"/>
      <c r="L171" s="202">
        <v>347.387</v>
      </c>
      <c r="M171" s="275"/>
      <c r="N171" s="202">
        <v>1038.268</v>
      </c>
      <c r="O171" s="270">
        <v>10.96</v>
      </c>
      <c r="P171" s="275"/>
      <c r="Q171" s="202">
        <v>519.77700000000004</v>
      </c>
      <c r="R171" s="199"/>
      <c r="S171" s="275"/>
      <c r="T171" s="275"/>
      <c r="U171" s="275"/>
      <c r="V171" s="278">
        <v>15.909000000000001</v>
      </c>
      <c r="W171" s="278">
        <v>18.713000000000001</v>
      </c>
      <c r="X171" s="278">
        <v>16.335999999999999</v>
      </c>
      <c r="Y171" s="278"/>
      <c r="Z171" s="278">
        <v>4.72</v>
      </c>
      <c r="AA171" s="278">
        <v>12.734999999999999</v>
      </c>
      <c r="AB171" s="278">
        <v>19.318999999999999</v>
      </c>
      <c r="AC171" s="278">
        <v>7.0250000000000004</v>
      </c>
      <c r="AD171" s="279">
        <v>94.757000000000005</v>
      </c>
      <c r="AE171" s="278">
        <f t="shared" si="36"/>
        <v>94.757000000000005</v>
      </c>
      <c r="AF171" s="278">
        <f t="shared" si="37"/>
        <v>0</v>
      </c>
      <c r="AG171" s="278">
        <f t="shared" si="34"/>
        <v>0</v>
      </c>
      <c r="AH171" s="202">
        <f t="shared" si="31"/>
        <v>1.8900000000000006</v>
      </c>
      <c r="AI171" s="202">
        <f t="shared" si="32"/>
        <v>58.28</v>
      </c>
      <c r="AJ171" s="275"/>
      <c r="AK171" s="275"/>
      <c r="AL171" s="275"/>
      <c r="AM171" s="275"/>
      <c r="AN171" s="275"/>
      <c r="AO171" s="275"/>
      <c r="AP171" s="275"/>
      <c r="AQ171" s="275"/>
      <c r="AR171" s="275"/>
      <c r="AS171" s="275"/>
      <c r="AT171" s="275"/>
      <c r="AU171" s="275"/>
      <c r="AV171" s="275"/>
      <c r="AW171" s="275"/>
      <c r="AX171" s="275"/>
      <c r="AY171" s="275"/>
      <c r="AZ171" s="275"/>
      <c r="BA171" s="275"/>
      <c r="BB171" s="275"/>
      <c r="BC171" s="275"/>
      <c r="BE171" s="274">
        <f t="shared" si="38"/>
        <v>3.0566774193548389</v>
      </c>
      <c r="BF171" s="280">
        <f t="shared" si="45"/>
        <v>104.3</v>
      </c>
      <c r="BG171" s="154" t="str">
        <f t="shared" si="41"/>
        <v/>
      </c>
      <c r="BH171" s="270">
        <f t="shared" si="39"/>
        <v>-0.25199999999999961</v>
      </c>
      <c r="BI171" s="270">
        <f t="shared" si="33"/>
        <v>-4.9999999999998934E-2</v>
      </c>
    </row>
    <row r="172" spans="1:61">
      <c r="A172" s="266">
        <v>34274</v>
      </c>
      <c r="B172" s="266"/>
      <c r="C172" s="275"/>
      <c r="D172" s="276">
        <v>19.022333333333322</v>
      </c>
      <c r="E172" s="277">
        <v>4.0417666666666667</v>
      </c>
      <c r="F172" s="277">
        <f t="shared" si="43"/>
        <v>121.253</v>
      </c>
      <c r="G172" s="277">
        <v>95.350999999999999</v>
      </c>
      <c r="H172" s="281">
        <f t="shared" si="42"/>
        <v>0.78638054316181871</v>
      </c>
      <c r="I172" s="202">
        <v>2263.4160000000002</v>
      </c>
      <c r="J172" s="270">
        <v>47.48</v>
      </c>
      <c r="K172" s="275"/>
      <c r="L172" s="202">
        <v>355.48200000000003</v>
      </c>
      <c r="M172" s="275"/>
      <c r="N172" s="202">
        <v>1030.963</v>
      </c>
      <c r="O172" s="270">
        <v>10.81</v>
      </c>
      <c r="P172" s="275"/>
      <c r="Q172" s="202">
        <v>504.04300000000001</v>
      </c>
      <c r="R172" s="199"/>
      <c r="S172" s="275"/>
      <c r="T172" s="275"/>
      <c r="U172" s="275"/>
      <c r="V172" s="278">
        <v>15.551</v>
      </c>
      <c r="W172" s="278">
        <v>18.687999999999999</v>
      </c>
      <c r="X172" s="278">
        <v>17.015000000000001</v>
      </c>
      <c r="Y172" s="278"/>
      <c r="Z172" s="278">
        <v>5.2359999999999998</v>
      </c>
      <c r="AA172" s="278">
        <v>13.1</v>
      </c>
      <c r="AB172" s="278">
        <v>18.885999999999999</v>
      </c>
      <c r="AC172" s="278">
        <v>6.8739999999999997</v>
      </c>
      <c r="AD172" s="279">
        <v>95.35</v>
      </c>
      <c r="AE172" s="278">
        <f t="shared" si="36"/>
        <v>95.34999999999998</v>
      </c>
      <c r="AF172" s="278">
        <f t="shared" si="37"/>
        <v>0</v>
      </c>
      <c r="AG172" s="278">
        <f t="shared" si="34"/>
        <v>-1.0000000000189857E-3</v>
      </c>
      <c r="AH172" s="202">
        <f t="shared" si="31"/>
        <v>-0.43299999999999983</v>
      </c>
      <c r="AI172" s="202">
        <f t="shared" si="32"/>
        <v>58.29</v>
      </c>
      <c r="AJ172" s="275"/>
      <c r="AK172" s="275"/>
      <c r="AL172" s="275"/>
      <c r="AM172" s="275"/>
      <c r="AN172" s="275"/>
      <c r="AO172" s="275"/>
      <c r="AP172" s="275"/>
      <c r="AQ172" s="275"/>
      <c r="AR172" s="275"/>
      <c r="AS172" s="275"/>
      <c r="AT172" s="275"/>
      <c r="AU172" s="275"/>
      <c r="AV172" s="275"/>
      <c r="AW172" s="275"/>
      <c r="AX172" s="275"/>
      <c r="AY172" s="275"/>
      <c r="AZ172" s="275"/>
      <c r="BA172" s="275"/>
      <c r="BB172" s="275"/>
      <c r="BC172" s="275"/>
      <c r="BE172" s="274">
        <f>G172/30</f>
        <v>3.1783666666666668</v>
      </c>
      <c r="BF172" s="280">
        <f t="shared" si="45"/>
        <v>107.6</v>
      </c>
      <c r="BG172" s="154" t="str">
        <f t="shared" si="41"/>
        <v/>
      </c>
      <c r="BH172" s="270">
        <f t="shared" si="39"/>
        <v>-9.3999999999999778E-2</v>
      </c>
      <c r="BI172" s="270">
        <f t="shared" si="33"/>
        <v>-0.15000000000000036</v>
      </c>
    </row>
    <row r="173" spans="1:61">
      <c r="A173" s="266">
        <v>34304</v>
      </c>
      <c r="B173" s="266"/>
      <c r="C173" s="275"/>
      <c r="D173" s="276">
        <v>17.27266666666668</v>
      </c>
      <c r="E173" s="277">
        <v>4.0418064516129038</v>
      </c>
      <c r="F173" s="277">
        <f t="shared" si="43"/>
        <v>125.29600000000002</v>
      </c>
      <c r="G173" s="277">
        <v>96.873999999999995</v>
      </c>
      <c r="H173" s="281">
        <f t="shared" si="42"/>
        <v>0.77316115438641286</v>
      </c>
      <c r="I173" s="202">
        <v>2287.703</v>
      </c>
      <c r="J173" s="270">
        <v>47.23</v>
      </c>
      <c r="K173" s="275"/>
      <c r="L173" s="202">
        <v>424.18</v>
      </c>
      <c r="M173" s="275"/>
      <c r="N173" s="202">
        <v>1038.6179999999999</v>
      </c>
      <c r="O173" s="270">
        <v>10.72</v>
      </c>
      <c r="P173" s="275"/>
      <c r="Q173" s="202">
        <v>443.358</v>
      </c>
      <c r="R173" s="199"/>
      <c r="S173" s="275"/>
      <c r="T173" s="275"/>
      <c r="U173" s="275"/>
      <c r="V173" s="278">
        <v>16.140999999999998</v>
      </c>
      <c r="W173" s="278">
        <v>19.213999999999999</v>
      </c>
      <c r="X173" s="278">
        <v>16.399000000000001</v>
      </c>
      <c r="Y173" s="278"/>
      <c r="Z173" s="278">
        <v>4.8540000000000001</v>
      </c>
      <c r="AA173" s="278">
        <v>13.662000000000001</v>
      </c>
      <c r="AB173" s="278">
        <v>19.262</v>
      </c>
      <c r="AC173" s="278">
        <v>7.3419999999999996</v>
      </c>
      <c r="AD173" s="279">
        <v>96.873999999999995</v>
      </c>
      <c r="AE173" s="278">
        <f t="shared" si="36"/>
        <v>96.873999999999995</v>
      </c>
      <c r="AF173" s="278">
        <f t="shared" si="37"/>
        <v>0</v>
      </c>
      <c r="AG173" s="278">
        <f t="shared" si="34"/>
        <v>0</v>
      </c>
      <c r="AH173" s="202">
        <f t="shared" si="31"/>
        <v>0.37600000000000122</v>
      </c>
      <c r="AI173" s="202">
        <f t="shared" si="32"/>
        <v>57.949999999999996</v>
      </c>
      <c r="AJ173" s="275"/>
      <c r="AK173" s="275"/>
      <c r="AL173" s="275"/>
      <c r="AM173" s="275"/>
      <c r="AN173" s="275"/>
      <c r="AO173" s="275"/>
      <c r="AP173" s="275"/>
      <c r="AQ173" s="275"/>
      <c r="AR173" s="275"/>
      <c r="AS173" s="275"/>
      <c r="AT173" s="275"/>
      <c r="AU173" s="275"/>
      <c r="AV173" s="275"/>
      <c r="AW173" s="275"/>
      <c r="AX173" s="275"/>
      <c r="AY173" s="275"/>
      <c r="AZ173" s="275"/>
      <c r="BA173" s="275"/>
      <c r="BB173" s="275"/>
      <c r="BC173" s="275"/>
      <c r="BE173" s="274">
        <f t="shared" si="38"/>
        <v>3.1249677419354835</v>
      </c>
      <c r="BF173" s="280">
        <f t="shared" si="45"/>
        <v>111.6</v>
      </c>
      <c r="BG173" s="154" t="str">
        <f t="shared" si="41"/>
        <v/>
      </c>
      <c r="BH173" s="270">
        <f t="shared" si="39"/>
        <v>7.9999999999994745E-3</v>
      </c>
      <c r="BI173" s="270">
        <f t="shared" si="33"/>
        <v>-8.9999999999999858E-2</v>
      </c>
    </row>
    <row r="174" spans="1:61">
      <c r="A174" s="266">
        <v>34335</v>
      </c>
      <c r="B174" s="266"/>
      <c r="C174" s="275"/>
      <c r="D174" s="276">
        <v>17.495333333333335</v>
      </c>
      <c r="E174" s="277">
        <v>4.048451612903226</v>
      </c>
      <c r="F174" s="277">
        <f t="shared" si="43"/>
        <v>125.50200000000001</v>
      </c>
      <c r="G174" s="277">
        <v>93.227999999999994</v>
      </c>
      <c r="H174" s="281">
        <f t="shared" si="42"/>
        <v>0.74284075154180795</v>
      </c>
      <c r="I174" s="202">
        <v>2218.4859999999999</v>
      </c>
      <c r="J174" s="270">
        <v>47.59</v>
      </c>
      <c r="K174" s="275"/>
      <c r="L174" s="202">
        <v>285.40899999999999</v>
      </c>
      <c r="M174" s="275"/>
      <c r="N174" s="202">
        <v>1009.014</v>
      </c>
      <c r="O174" s="270">
        <v>10.82</v>
      </c>
      <c r="P174" s="275"/>
      <c r="Q174" s="202">
        <v>481.238</v>
      </c>
      <c r="R174" s="199"/>
      <c r="S174" s="275"/>
      <c r="T174" s="275"/>
      <c r="U174" s="275"/>
      <c r="V174" s="278">
        <v>14.513</v>
      </c>
      <c r="W174" s="278">
        <v>18.012</v>
      </c>
      <c r="X174" s="278">
        <v>17.738</v>
      </c>
      <c r="Y174" s="278"/>
      <c r="Z174" s="278">
        <v>4.8330000000000002</v>
      </c>
      <c r="AA174" s="278">
        <v>12.996</v>
      </c>
      <c r="AB174" s="278">
        <v>18.475000000000001</v>
      </c>
      <c r="AC174" s="278">
        <v>6.6609999999999996</v>
      </c>
      <c r="AD174" s="279">
        <v>93.227999999999994</v>
      </c>
      <c r="AE174" s="278">
        <f t="shared" si="36"/>
        <v>93.228000000000009</v>
      </c>
      <c r="AF174" s="278">
        <f t="shared" si="37"/>
        <v>0</v>
      </c>
      <c r="AG174" s="278">
        <f t="shared" si="34"/>
        <v>0</v>
      </c>
      <c r="AH174" s="202">
        <f t="shared" si="31"/>
        <v>-0.78699999999999903</v>
      </c>
      <c r="AI174" s="202">
        <f t="shared" si="32"/>
        <v>58.410000000000004</v>
      </c>
      <c r="AJ174" s="275"/>
      <c r="AK174" s="275"/>
      <c r="AL174" s="275"/>
      <c r="AM174" s="275"/>
      <c r="AN174" s="275"/>
      <c r="AO174" s="275"/>
      <c r="AP174" s="275"/>
      <c r="AQ174" s="275"/>
      <c r="AR174" s="275"/>
      <c r="AS174" s="275"/>
      <c r="AT174" s="275"/>
      <c r="AU174" s="275"/>
      <c r="AV174" s="275"/>
      <c r="AW174" s="275"/>
      <c r="AX174" s="275"/>
      <c r="AY174" s="275"/>
      <c r="AZ174" s="275"/>
      <c r="BA174" s="275"/>
      <c r="BB174" s="275"/>
      <c r="BC174" s="275"/>
      <c r="BE174" s="274">
        <f t="shared" si="38"/>
        <v>3.0073548387096771</v>
      </c>
      <c r="BF174" s="280">
        <f t="shared" si="45"/>
        <v>110</v>
      </c>
      <c r="BG174" s="154" t="str">
        <f t="shared" si="41"/>
        <v/>
      </c>
      <c r="BH174" s="270">
        <f t="shared" si="39"/>
        <v>6.2000000000000097E-2</v>
      </c>
      <c r="BI174" s="270">
        <f t="shared" si="33"/>
        <v>9.9999999999999645E-2</v>
      </c>
    </row>
    <row r="175" spans="1:61">
      <c r="A175" s="266">
        <v>34366</v>
      </c>
      <c r="B175" s="266"/>
      <c r="C175" s="275"/>
      <c r="D175" s="276">
        <v>17.548666666666676</v>
      </c>
      <c r="E175" s="277">
        <v>4.0483928571428569</v>
      </c>
      <c r="F175" s="277">
        <f t="shared" si="43"/>
        <v>113.35499999999999</v>
      </c>
      <c r="G175" s="277">
        <v>85.727999999999994</v>
      </c>
      <c r="H175" s="281">
        <f t="shared" si="42"/>
        <v>0.75627894667195983</v>
      </c>
      <c r="I175" s="202">
        <v>2040.6769999999999</v>
      </c>
      <c r="J175" s="270">
        <v>47.61</v>
      </c>
      <c r="K175" s="275"/>
      <c r="L175" s="202">
        <v>296.57799999999997</v>
      </c>
      <c r="M175" s="275"/>
      <c r="N175" s="202">
        <v>929.43399999999997</v>
      </c>
      <c r="O175" s="270">
        <v>10.84</v>
      </c>
      <c r="P175" s="275"/>
      <c r="Q175" s="202">
        <v>486.23700000000002</v>
      </c>
      <c r="R175" s="199"/>
      <c r="S175" s="275"/>
      <c r="T175" s="275"/>
      <c r="U175" s="275"/>
      <c r="V175" s="278">
        <v>13.555</v>
      </c>
      <c r="W175" s="278">
        <v>16.907</v>
      </c>
      <c r="X175" s="278">
        <v>16.225000000000001</v>
      </c>
      <c r="Y175" s="278"/>
      <c r="Z175" s="278">
        <v>4.2050000000000001</v>
      </c>
      <c r="AA175" s="278">
        <v>11.79</v>
      </c>
      <c r="AB175" s="278">
        <v>16.962</v>
      </c>
      <c r="AC175" s="278">
        <v>6.0839999999999996</v>
      </c>
      <c r="AD175" s="279">
        <v>85.727999999999994</v>
      </c>
      <c r="AE175" s="278">
        <f t="shared" si="36"/>
        <v>85.727999999999994</v>
      </c>
      <c r="AF175" s="278">
        <f t="shared" si="37"/>
        <v>0</v>
      </c>
      <c r="AG175" s="278">
        <f t="shared" si="34"/>
        <v>0</v>
      </c>
      <c r="AH175" s="202">
        <f t="shared" si="31"/>
        <v>-1.5130000000000017</v>
      </c>
      <c r="AI175" s="202">
        <f t="shared" si="32"/>
        <v>58.45</v>
      </c>
      <c r="AJ175" s="275"/>
      <c r="AK175" s="275"/>
      <c r="AL175" s="275"/>
      <c r="AM175" s="275"/>
      <c r="AN175" s="275"/>
      <c r="AO175" s="275"/>
      <c r="AP175" s="275"/>
      <c r="AQ175" s="275"/>
      <c r="AR175" s="275"/>
      <c r="AS175" s="275"/>
      <c r="AT175" s="275"/>
      <c r="AU175" s="275"/>
      <c r="AV175" s="275"/>
      <c r="AW175" s="275"/>
      <c r="AX175" s="275"/>
      <c r="AY175" s="275"/>
      <c r="AZ175" s="275"/>
      <c r="BA175" s="275"/>
      <c r="BB175" s="275"/>
      <c r="BC175" s="275"/>
      <c r="BE175" s="274">
        <f>G175/28</f>
        <v>3.0617142857142854</v>
      </c>
      <c r="BF175" s="280">
        <f t="shared" si="45"/>
        <v>98.9</v>
      </c>
      <c r="BG175" s="154" t="str">
        <f t="shared" si="41"/>
        <v/>
      </c>
      <c r="BH175" s="270">
        <f t="shared" si="39"/>
        <v>3.2000000000000028E-2</v>
      </c>
      <c r="BI175" s="270">
        <f t="shared" si="33"/>
        <v>1.9999999999999574E-2</v>
      </c>
    </row>
    <row r="176" spans="1:61">
      <c r="A176" s="266">
        <v>34394</v>
      </c>
      <c r="B176" s="266"/>
      <c r="C176" s="275"/>
      <c r="D176" s="276">
        <v>21.377666666666656</v>
      </c>
      <c r="E176" s="277">
        <v>4.048451612903226</v>
      </c>
      <c r="F176" s="277">
        <f t="shared" si="43"/>
        <v>125.50200000000001</v>
      </c>
      <c r="G176" s="277">
        <v>91.929000000000002</v>
      </c>
      <c r="H176" s="281">
        <f t="shared" si="42"/>
        <v>0.73249031887938032</v>
      </c>
      <c r="I176" s="202">
        <v>2190.2489999999998</v>
      </c>
      <c r="J176" s="270">
        <v>47.65</v>
      </c>
      <c r="K176" s="275"/>
      <c r="L176" s="202">
        <v>296.76100000000002</v>
      </c>
      <c r="M176" s="275"/>
      <c r="N176" s="202">
        <v>999.54</v>
      </c>
      <c r="O176" s="270">
        <v>10.87</v>
      </c>
      <c r="P176" s="275"/>
      <c r="Q176" s="202">
        <v>481.721</v>
      </c>
      <c r="R176" s="199"/>
      <c r="S176" s="275"/>
      <c r="T176" s="275"/>
      <c r="U176" s="275"/>
      <c r="V176" s="278">
        <v>14.34</v>
      </c>
      <c r="W176" s="278">
        <v>18.300999999999998</v>
      </c>
      <c r="X176" s="278">
        <v>17.042000000000002</v>
      </c>
      <c r="Y176" s="278"/>
      <c r="Z176" s="278">
        <v>4.82</v>
      </c>
      <c r="AA176" s="278">
        <v>12.856999999999999</v>
      </c>
      <c r="AB176" s="278">
        <v>17.844999999999999</v>
      </c>
      <c r="AC176" s="278">
        <v>6.7240000000000002</v>
      </c>
      <c r="AD176" s="279">
        <v>91.929000000000002</v>
      </c>
      <c r="AE176" s="278">
        <f t="shared" si="36"/>
        <v>91.929000000000002</v>
      </c>
      <c r="AF176" s="278">
        <f t="shared" si="37"/>
        <v>0</v>
      </c>
      <c r="AG176" s="278">
        <f t="shared" si="34"/>
        <v>0</v>
      </c>
      <c r="AH176" s="202">
        <f t="shared" si="31"/>
        <v>0.88299999999999912</v>
      </c>
      <c r="AI176" s="202">
        <f t="shared" si="32"/>
        <v>58.519999999999996</v>
      </c>
      <c r="AJ176" s="275"/>
      <c r="AK176" s="275"/>
      <c r="AL176" s="275"/>
      <c r="AM176" s="275"/>
      <c r="AN176" s="275"/>
      <c r="AO176" s="275"/>
      <c r="AP176" s="275"/>
      <c r="AQ176" s="275"/>
      <c r="AR176" s="275"/>
      <c r="AS176" s="275"/>
      <c r="AT176" s="275"/>
      <c r="AU176" s="275"/>
      <c r="AV176" s="275"/>
      <c r="AW176" s="275"/>
      <c r="AX176" s="275"/>
      <c r="AY176" s="275"/>
      <c r="AZ176" s="275"/>
      <c r="BA176" s="275"/>
      <c r="BB176" s="275"/>
      <c r="BC176" s="275"/>
      <c r="BE176" s="274">
        <f t="shared" si="38"/>
        <v>2.9654516129032258</v>
      </c>
      <c r="BF176" s="280">
        <f t="shared" si="45"/>
        <v>101.4</v>
      </c>
      <c r="BG176" s="154" t="str">
        <f t="shared" si="41"/>
        <v/>
      </c>
      <c r="BH176" s="270">
        <f t="shared" si="39"/>
        <v>7.5999999999999804E-2</v>
      </c>
      <c r="BI176" s="270">
        <f t="shared" si="33"/>
        <v>2.9999999999999361E-2</v>
      </c>
    </row>
    <row r="177" spans="1:61">
      <c r="A177" s="266">
        <v>34425</v>
      </c>
      <c r="B177" s="266"/>
      <c r="C177" s="275"/>
      <c r="D177" s="276">
        <v>18.204666666666654</v>
      </c>
      <c r="E177" s="277">
        <v>4.0607666666666669</v>
      </c>
      <c r="F177" s="277">
        <f t="shared" si="43"/>
        <v>121.82300000000001</v>
      </c>
      <c r="G177" s="277">
        <v>87.352000000000004</v>
      </c>
      <c r="H177" s="281">
        <f t="shared" si="42"/>
        <v>0.7170402961673904</v>
      </c>
      <c r="I177" s="202">
        <v>2083.8159999999998</v>
      </c>
      <c r="J177" s="270">
        <v>47.71</v>
      </c>
      <c r="K177" s="275"/>
      <c r="L177" s="202">
        <v>250.59299999999999</v>
      </c>
      <c r="M177" s="275"/>
      <c r="N177" s="202">
        <v>955.14400000000001</v>
      </c>
      <c r="O177" s="270">
        <v>10.93</v>
      </c>
      <c r="P177" s="275"/>
      <c r="Q177" s="202">
        <v>517.68100000000004</v>
      </c>
      <c r="R177" s="199"/>
      <c r="S177" s="275"/>
      <c r="T177" s="275"/>
      <c r="U177" s="275"/>
      <c r="V177" s="278">
        <v>13.741</v>
      </c>
      <c r="W177" s="278">
        <v>18.178999999999998</v>
      </c>
      <c r="X177" s="278">
        <v>16.991</v>
      </c>
      <c r="Y177" s="278"/>
      <c r="Z177" s="278">
        <v>3.4009999999999998</v>
      </c>
      <c r="AA177" s="278">
        <v>11.6</v>
      </c>
      <c r="AB177" s="278">
        <v>16.95</v>
      </c>
      <c r="AC177" s="278">
        <v>6.49</v>
      </c>
      <c r="AD177" s="279">
        <v>87.352000000000004</v>
      </c>
      <c r="AE177" s="278">
        <f t="shared" si="36"/>
        <v>87.35199999999999</v>
      </c>
      <c r="AF177" s="278">
        <f t="shared" si="37"/>
        <v>0</v>
      </c>
      <c r="AG177" s="278">
        <f t="shared" si="34"/>
        <v>0</v>
      </c>
      <c r="AH177" s="202">
        <f t="shared" si="31"/>
        <v>-0.89499999999999957</v>
      </c>
      <c r="AI177" s="202">
        <f t="shared" si="32"/>
        <v>58.64</v>
      </c>
      <c r="AJ177" s="275"/>
      <c r="AK177" s="275"/>
      <c r="AL177" s="275"/>
      <c r="AM177" s="275"/>
      <c r="AN177" s="275"/>
      <c r="AO177" s="275"/>
      <c r="AP177" s="275"/>
      <c r="AQ177" s="275"/>
      <c r="AR177" s="275"/>
      <c r="AS177" s="275"/>
      <c r="AT177" s="275"/>
      <c r="AU177" s="275"/>
      <c r="AV177" s="275"/>
      <c r="AW177" s="275"/>
      <c r="AX177" s="275"/>
      <c r="AY177" s="275"/>
      <c r="AZ177" s="275"/>
      <c r="BA177" s="275"/>
      <c r="BB177" s="275"/>
      <c r="BC177" s="275"/>
      <c r="BE177" s="274">
        <f>G177/30</f>
        <v>2.9117333333333333</v>
      </c>
      <c r="BF177" s="280">
        <f t="shared" si="45"/>
        <v>91.4</v>
      </c>
      <c r="BG177" s="154" t="str">
        <f t="shared" si="41"/>
        <v/>
      </c>
      <c r="BH177" s="270">
        <f t="shared" si="39"/>
        <v>1.2000000000000455E-2</v>
      </c>
      <c r="BI177" s="270">
        <f t="shared" si="33"/>
        <v>6.0000000000000497E-2</v>
      </c>
    </row>
    <row r="178" spans="1:61">
      <c r="A178" s="266">
        <v>34455</v>
      </c>
      <c r="B178" s="266"/>
      <c r="C178" s="275"/>
      <c r="D178" s="276">
        <v>19.523666666666671</v>
      </c>
      <c r="E178" s="277">
        <v>4.0607096774193554</v>
      </c>
      <c r="F178" s="277">
        <f t="shared" si="43"/>
        <v>125.88200000000002</v>
      </c>
      <c r="G178" s="277">
        <v>83.453000000000003</v>
      </c>
      <c r="H178" s="281">
        <f t="shared" si="42"/>
        <v>0.66294625125117168</v>
      </c>
      <c r="I178" s="202">
        <v>1986.133</v>
      </c>
      <c r="J178" s="270">
        <v>47.6</v>
      </c>
      <c r="K178" s="275"/>
      <c r="L178" s="202">
        <v>235.965</v>
      </c>
      <c r="M178" s="275"/>
      <c r="N178" s="202">
        <v>915.798</v>
      </c>
      <c r="O178" s="270">
        <v>10.97</v>
      </c>
      <c r="P178" s="275"/>
      <c r="Q178" s="202">
        <v>492.05500000000001</v>
      </c>
      <c r="R178" s="199"/>
      <c r="S178" s="275"/>
      <c r="T178" s="275"/>
      <c r="U178" s="275"/>
      <c r="V178" s="278">
        <v>12.084</v>
      </c>
      <c r="W178" s="278">
        <v>18.54</v>
      </c>
      <c r="X178" s="278">
        <v>15.303000000000001</v>
      </c>
      <c r="Y178" s="278"/>
      <c r="Z178" s="278">
        <v>1.9890000000000001</v>
      </c>
      <c r="AA178" s="278">
        <v>11.93</v>
      </c>
      <c r="AB178" s="278">
        <v>16.739000000000001</v>
      </c>
      <c r="AC178" s="278">
        <v>6.8680000000000003</v>
      </c>
      <c r="AD178" s="279">
        <v>83.453000000000003</v>
      </c>
      <c r="AE178" s="278">
        <f t="shared" si="36"/>
        <v>83.452999999999989</v>
      </c>
      <c r="AF178" s="278">
        <f t="shared" si="37"/>
        <v>0</v>
      </c>
      <c r="AG178" s="278">
        <f t="shared" si="34"/>
        <v>0</v>
      </c>
      <c r="AH178" s="202">
        <f t="shared" si="31"/>
        <v>-0.21099999999999852</v>
      </c>
      <c r="AI178" s="202">
        <f t="shared" si="32"/>
        <v>58.57</v>
      </c>
      <c r="AJ178" s="275"/>
      <c r="AK178" s="275"/>
      <c r="AL178" s="275"/>
      <c r="AM178" s="275"/>
      <c r="AN178" s="275"/>
      <c r="AO178" s="275"/>
      <c r="AP178" s="275"/>
      <c r="AQ178" s="275"/>
      <c r="AR178" s="275"/>
      <c r="AS178" s="275"/>
      <c r="AT178" s="275"/>
      <c r="AU178" s="275"/>
      <c r="AV178" s="275"/>
      <c r="AW178" s="275"/>
      <c r="AX178" s="275"/>
      <c r="AY178" s="275"/>
      <c r="AZ178" s="275"/>
      <c r="BA178" s="275"/>
      <c r="BB178" s="275"/>
      <c r="BC178" s="275"/>
      <c r="BE178" s="274">
        <f t="shared" si="38"/>
        <v>2.6920322580645162</v>
      </c>
      <c r="BF178" s="280">
        <f t="shared" si="45"/>
        <v>93.2</v>
      </c>
      <c r="BG178" s="154" t="str">
        <f t="shared" si="41"/>
        <v/>
      </c>
      <c r="BH178" s="270">
        <f t="shared" si="39"/>
        <v>2.5999999999999801E-2</v>
      </c>
      <c r="BI178" s="270">
        <f t="shared" si="33"/>
        <v>4.0000000000000924E-2</v>
      </c>
    </row>
    <row r="179" spans="1:61">
      <c r="A179" s="266">
        <v>34486</v>
      </c>
      <c r="B179" s="266"/>
      <c r="C179" s="275"/>
      <c r="D179" s="276">
        <v>18.159999999999997</v>
      </c>
      <c r="E179" s="277">
        <v>4.0607666666666669</v>
      </c>
      <c r="F179" s="277">
        <f t="shared" si="43"/>
        <v>121.82300000000001</v>
      </c>
      <c r="G179" s="277">
        <v>79.040000000000006</v>
      </c>
      <c r="H179" s="281">
        <f t="shared" si="42"/>
        <v>0.64881015900117389</v>
      </c>
      <c r="I179" s="202">
        <v>1898.5060000000001</v>
      </c>
      <c r="J179" s="270">
        <v>48.04</v>
      </c>
      <c r="K179" s="275"/>
      <c r="L179" s="202">
        <v>198.01</v>
      </c>
      <c r="M179" s="275"/>
      <c r="N179" s="202">
        <v>876.33100000000002</v>
      </c>
      <c r="O179" s="270">
        <v>11.09</v>
      </c>
      <c r="P179" s="275"/>
      <c r="Q179" s="202">
        <v>475.839</v>
      </c>
      <c r="R179" s="199"/>
      <c r="S179" s="275"/>
      <c r="T179" s="275"/>
      <c r="U179" s="275"/>
      <c r="V179" s="278">
        <v>13.438000000000001</v>
      </c>
      <c r="W179" s="278">
        <v>15.295</v>
      </c>
      <c r="X179" s="278">
        <v>14.132999999999999</v>
      </c>
      <c r="Y179" s="278"/>
      <c r="Z179" s="278">
        <v>1.9790000000000001</v>
      </c>
      <c r="AA179" s="278">
        <v>11.340999999999999</v>
      </c>
      <c r="AB179" s="278">
        <v>16.16</v>
      </c>
      <c r="AC179" s="278">
        <v>6.694</v>
      </c>
      <c r="AD179" s="279">
        <v>79.040000000000006</v>
      </c>
      <c r="AE179" s="278">
        <f t="shared" si="36"/>
        <v>79.040000000000006</v>
      </c>
      <c r="AF179" s="278">
        <f t="shared" si="37"/>
        <v>0</v>
      </c>
      <c r="AG179" s="278">
        <f t="shared" si="34"/>
        <v>0</v>
      </c>
      <c r="AH179" s="202">
        <f t="shared" si="31"/>
        <v>-0.57900000000000063</v>
      </c>
      <c r="AI179" s="202">
        <f t="shared" si="32"/>
        <v>59.129999999999995</v>
      </c>
      <c r="AJ179" s="275"/>
      <c r="AK179" s="275"/>
      <c r="AL179" s="275"/>
      <c r="AM179" s="275"/>
      <c r="AN179" s="275"/>
      <c r="AO179" s="275"/>
      <c r="AP179" s="275"/>
      <c r="AQ179" s="275"/>
      <c r="AR179" s="275"/>
      <c r="AS179" s="275"/>
      <c r="AT179" s="275"/>
      <c r="AU179" s="275"/>
      <c r="AV179" s="275"/>
      <c r="AW179" s="275"/>
      <c r="AX179" s="275"/>
      <c r="AY179" s="275"/>
      <c r="AZ179" s="275"/>
      <c r="BA179" s="275"/>
      <c r="BB179" s="275"/>
      <c r="BC179" s="275"/>
      <c r="BE179" s="274">
        <f>G179/30</f>
        <v>2.6346666666666669</v>
      </c>
      <c r="BF179" s="280">
        <f t="shared" si="45"/>
        <v>83.606999999999999</v>
      </c>
      <c r="BG179" s="154" t="str">
        <f t="shared" si="41"/>
        <v/>
      </c>
      <c r="BH179" s="270">
        <f t="shared" si="39"/>
        <v>5.3999999999999916E-2</v>
      </c>
      <c r="BI179" s="270">
        <f t="shared" si="33"/>
        <v>0.11999999999999922</v>
      </c>
    </row>
    <row r="180" spans="1:61">
      <c r="A180" s="266">
        <v>34516</v>
      </c>
      <c r="B180" s="266"/>
      <c r="C180" s="275"/>
      <c r="D180" s="276">
        <v>18.540666666666667</v>
      </c>
      <c r="E180" s="277">
        <v>4.0586129032258063</v>
      </c>
      <c r="F180" s="277">
        <f t="shared" si="43"/>
        <v>125.81699999999999</v>
      </c>
      <c r="G180" s="277">
        <v>82.415999999999997</v>
      </c>
      <c r="H180" s="281">
        <f t="shared" si="42"/>
        <v>0.65504661532225372</v>
      </c>
      <c r="I180" s="202">
        <v>1961.8579999999999</v>
      </c>
      <c r="J180" s="270">
        <v>47.61</v>
      </c>
      <c r="K180" s="275"/>
      <c r="L180" s="202">
        <v>157.535</v>
      </c>
      <c r="M180" s="275"/>
      <c r="N180" s="202">
        <v>901.82500000000005</v>
      </c>
      <c r="O180" s="270">
        <v>10.94</v>
      </c>
      <c r="P180" s="275"/>
      <c r="Q180" s="202">
        <v>548.01700000000005</v>
      </c>
      <c r="R180" s="199"/>
      <c r="S180" s="275"/>
      <c r="T180" s="275"/>
      <c r="U180" s="275"/>
      <c r="V180" s="278">
        <v>11.839</v>
      </c>
      <c r="W180" s="278">
        <v>17.356000000000002</v>
      </c>
      <c r="X180" s="278">
        <v>15.454000000000001</v>
      </c>
      <c r="Y180" s="278"/>
      <c r="Z180" s="278">
        <v>3.4729999999999999</v>
      </c>
      <c r="AA180" s="278">
        <v>10.510999999999999</v>
      </c>
      <c r="AB180" s="278">
        <v>16.942</v>
      </c>
      <c r="AC180" s="278">
        <v>6.8410000000000002</v>
      </c>
      <c r="AD180" s="279">
        <v>82.415999999999997</v>
      </c>
      <c r="AE180" s="278">
        <f t="shared" si="36"/>
        <v>82.415999999999983</v>
      </c>
      <c r="AF180" s="278">
        <f t="shared" si="37"/>
        <v>0</v>
      </c>
      <c r="AG180" s="278">
        <f t="shared" si="34"/>
        <v>0</v>
      </c>
      <c r="AH180" s="202">
        <f t="shared" si="31"/>
        <v>0.78200000000000003</v>
      </c>
      <c r="AI180" s="202">
        <f t="shared" si="32"/>
        <v>58.55</v>
      </c>
      <c r="AJ180" s="275"/>
      <c r="AK180" s="275"/>
      <c r="AL180" s="275"/>
      <c r="AM180" s="275"/>
      <c r="AN180" s="275"/>
      <c r="AO180" s="275"/>
      <c r="AP180" s="275"/>
      <c r="AQ180" s="275"/>
      <c r="AR180" s="275"/>
      <c r="AS180" s="275"/>
      <c r="AT180" s="275"/>
      <c r="AU180" s="275"/>
      <c r="AV180" s="275"/>
      <c r="AW180" s="275"/>
      <c r="AX180" s="275"/>
      <c r="AY180" s="275"/>
      <c r="AZ180" s="275"/>
      <c r="BA180" s="275"/>
      <c r="BB180" s="275"/>
      <c r="BC180" s="275"/>
      <c r="BE180" s="274">
        <f t="shared" si="38"/>
        <v>2.6585806451612903</v>
      </c>
      <c r="BF180" s="280">
        <f t="shared" si="45"/>
        <v>89.07</v>
      </c>
      <c r="BG180" s="154" t="str">
        <f t="shared" si="41"/>
        <v/>
      </c>
      <c r="BH180" s="270">
        <f t="shared" si="39"/>
        <v>1.1999999999999744E-2</v>
      </c>
      <c r="BI180" s="270">
        <f t="shared" si="33"/>
        <v>-0.15000000000000036</v>
      </c>
    </row>
    <row r="181" spans="1:61">
      <c r="A181" s="266">
        <v>34547</v>
      </c>
      <c r="B181" s="266"/>
      <c r="C181" s="275"/>
      <c r="D181" s="276">
        <v>13.338333333333338</v>
      </c>
      <c r="E181" s="277">
        <v>4.0585806451612907</v>
      </c>
      <c r="F181" s="277">
        <f t="shared" si="43"/>
        <v>125.81600000000002</v>
      </c>
      <c r="G181" s="277">
        <v>87.614999999999995</v>
      </c>
      <c r="H181" s="281">
        <f t="shared" si="42"/>
        <v>0.69637407007057917</v>
      </c>
      <c r="I181" s="202">
        <v>2086.1219999999998</v>
      </c>
      <c r="J181" s="270">
        <v>47.62</v>
      </c>
      <c r="K181" s="275"/>
      <c r="L181" s="202">
        <v>295.51900000000001</v>
      </c>
      <c r="M181" s="275"/>
      <c r="N181" s="202">
        <v>965.60400000000004</v>
      </c>
      <c r="O181" s="270">
        <v>11.02</v>
      </c>
      <c r="P181" s="275"/>
      <c r="Q181" s="202">
        <v>477.726</v>
      </c>
      <c r="R181" s="199"/>
      <c r="S181" s="275"/>
      <c r="T181" s="275"/>
      <c r="U181" s="275"/>
      <c r="V181" s="278">
        <v>11.798999999999999</v>
      </c>
      <c r="W181" s="278">
        <v>17.87</v>
      </c>
      <c r="X181" s="278">
        <v>16.468</v>
      </c>
      <c r="Y181" s="278"/>
      <c r="Z181" s="278">
        <v>3.7189999999999999</v>
      </c>
      <c r="AA181" s="278">
        <v>12.066000000000001</v>
      </c>
      <c r="AB181" s="278">
        <v>18.57</v>
      </c>
      <c r="AC181" s="278">
        <v>7.1230000000000002</v>
      </c>
      <c r="AD181" s="279">
        <v>87.614999999999995</v>
      </c>
      <c r="AE181" s="278">
        <f t="shared" si="36"/>
        <v>87.615000000000009</v>
      </c>
      <c r="AF181" s="278">
        <f t="shared" si="37"/>
        <v>0</v>
      </c>
      <c r="AG181" s="278">
        <f t="shared" si="34"/>
        <v>0</v>
      </c>
      <c r="AH181" s="202">
        <f t="shared" si="31"/>
        <v>1.6280000000000001</v>
      </c>
      <c r="AI181" s="202">
        <f t="shared" si="32"/>
        <v>58.64</v>
      </c>
      <c r="AJ181" s="275"/>
      <c r="AK181" s="275"/>
      <c r="AL181" s="275"/>
      <c r="AM181" s="275"/>
      <c r="AN181" s="275"/>
      <c r="AO181" s="275"/>
      <c r="AP181" s="275"/>
      <c r="AQ181" s="275"/>
      <c r="AR181" s="275"/>
      <c r="AS181" s="275"/>
      <c r="AT181" s="275"/>
      <c r="AU181" s="275"/>
      <c r="AV181" s="275"/>
      <c r="AW181" s="275"/>
      <c r="AX181" s="275"/>
      <c r="AY181" s="275"/>
      <c r="AZ181" s="275"/>
      <c r="BA181" s="275"/>
      <c r="BB181" s="275"/>
      <c r="BC181" s="275"/>
      <c r="BE181" s="274">
        <f t="shared" si="38"/>
        <v>2.8262903225806451</v>
      </c>
      <c r="BF181" s="280">
        <f>MAX(G169,G157,G145,G133,G121,G109,G97,G85,G73,G61,G49,G37,G25,G13)</f>
        <v>89.346000000000004</v>
      </c>
      <c r="BG181" s="154" t="str">
        <f t="shared" si="41"/>
        <v/>
      </c>
      <c r="BH181" s="270">
        <f t="shared" si="39"/>
        <v>-1.9999999999999575E-3</v>
      </c>
      <c r="BI181" s="270">
        <f t="shared" si="33"/>
        <v>8.0000000000000071E-2</v>
      </c>
    </row>
    <row r="182" spans="1:61">
      <c r="A182" s="266">
        <v>34578</v>
      </c>
      <c r="B182" s="266"/>
      <c r="C182" s="275"/>
      <c r="D182" s="276">
        <v>18.574666666666673</v>
      </c>
      <c r="E182" s="277">
        <v>4.0586333333333338</v>
      </c>
      <c r="F182" s="277">
        <f t="shared" si="43"/>
        <v>121.75900000000001</v>
      </c>
      <c r="G182" s="277">
        <v>87.352000000000004</v>
      </c>
      <c r="H182" s="281">
        <f t="shared" si="42"/>
        <v>0.7174171929795744</v>
      </c>
      <c r="I182" s="202">
        <v>2077.4630000000002</v>
      </c>
      <c r="J182" s="270">
        <v>47.57</v>
      </c>
      <c r="K182" s="275"/>
      <c r="L182" s="202">
        <v>226.91800000000001</v>
      </c>
      <c r="M182" s="275"/>
      <c r="N182" s="202">
        <v>970.24</v>
      </c>
      <c r="O182" s="270">
        <v>11.11</v>
      </c>
      <c r="P182" s="275"/>
      <c r="Q182" s="202">
        <v>388.274</v>
      </c>
      <c r="R182" s="199"/>
      <c r="S182" s="275"/>
      <c r="T182" s="275"/>
      <c r="U182" s="275"/>
      <c r="V182" s="278">
        <v>15.606999999999999</v>
      </c>
      <c r="W182" s="278">
        <v>15.659000000000001</v>
      </c>
      <c r="X182" s="278">
        <v>15.366</v>
      </c>
      <c r="Y182" s="278"/>
      <c r="Z182" s="278">
        <v>4.2210000000000001</v>
      </c>
      <c r="AA182" s="278">
        <v>12.901999999999999</v>
      </c>
      <c r="AB182" s="278">
        <v>16.581</v>
      </c>
      <c r="AC182" s="278">
        <v>7.016</v>
      </c>
      <c r="AD182" s="279">
        <v>87.352000000000004</v>
      </c>
      <c r="AE182" s="278">
        <f t="shared" si="36"/>
        <v>87.352000000000004</v>
      </c>
      <c r="AF182" s="278">
        <f t="shared" si="37"/>
        <v>0</v>
      </c>
      <c r="AG182" s="278">
        <f t="shared" si="34"/>
        <v>0</v>
      </c>
      <c r="AH182" s="202">
        <f t="shared" si="31"/>
        <v>-1.9890000000000008</v>
      </c>
      <c r="AI182" s="202">
        <f t="shared" si="32"/>
        <v>58.68</v>
      </c>
      <c r="AJ182" s="275"/>
      <c r="AK182" s="275"/>
      <c r="AL182" s="275"/>
      <c r="AM182" s="275"/>
      <c r="AN182" s="275"/>
      <c r="AO182" s="275"/>
      <c r="AP182" s="275"/>
      <c r="AQ182" s="275"/>
      <c r="AR182" s="275"/>
      <c r="AS182" s="275"/>
      <c r="AT182" s="275"/>
      <c r="AU182" s="275"/>
      <c r="AV182" s="275"/>
      <c r="AW182" s="275"/>
      <c r="AX182" s="275"/>
      <c r="AY182" s="275"/>
      <c r="AZ182" s="275"/>
      <c r="BA182" s="275"/>
      <c r="BB182" s="275"/>
      <c r="BC182" s="275"/>
      <c r="BE182" s="274">
        <f>G182/30</f>
        <v>2.9117333333333333</v>
      </c>
      <c r="BF182" s="280">
        <f t="shared" ref="BF182:BF192" si="46">MAX(G170,G158,G146,G134,G122,G110,G98,G86,G74,G62,G50,G38,G26,G14,G2)</f>
        <v>87.066999999999993</v>
      </c>
      <c r="BG182" s="154" t="str">
        <f t="shared" si="41"/>
        <v>RECORD</v>
      </c>
      <c r="BH182" s="270">
        <f t="shared" si="39"/>
        <v>5.9999999999998718E-3</v>
      </c>
      <c r="BI182" s="270">
        <f t="shared" si="33"/>
        <v>8.9999999999999858E-2</v>
      </c>
    </row>
    <row r="183" spans="1:61">
      <c r="A183" s="266">
        <v>34608</v>
      </c>
      <c r="B183" s="266"/>
      <c r="C183" s="275"/>
      <c r="D183" s="276">
        <v>20.029333333333327</v>
      </c>
      <c r="E183" s="277">
        <v>4.0728709677419355</v>
      </c>
      <c r="F183" s="277">
        <f t="shared" si="43"/>
        <v>126.259</v>
      </c>
      <c r="G183" s="277">
        <v>99.274000000000001</v>
      </c>
      <c r="H183" s="281">
        <f t="shared" si="42"/>
        <v>0.78627266175084554</v>
      </c>
      <c r="I183" s="202">
        <v>2341.2750000000001</v>
      </c>
      <c r="J183" s="270">
        <v>47.17</v>
      </c>
      <c r="K183" s="275"/>
      <c r="L183" s="202">
        <v>252.82400000000001</v>
      </c>
      <c r="M183" s="275"/>
      <c r="N183" s="202">
        <v>1108.8789999999999</v>
      </c>
      <c r="O183" s="270">
        <v>11.17</v>
      </c>
      <c r="P183" s="275"/>
      <c r="Q183" s="202">
        <v>369.245</v>
      </c>
      <c r="R183" s="199"/>
      <c r="S183" s="275"/>
      <c r="T183" s="275"/>
      <c r="U183" s="275"/>
      <c r="V183" s="278">
        <v>16.283000000000001</v>
      </c>
      <c r="W183" s="278">
        <v>19.5</v>
      </c>
      <c r="X183" s="278">
        <v>16.623000000000001</v>
      </c>
      <c r="Y183" s="278"/>
      <c r="Z183" s="278">
        <v>4.5640000000000001</v>
      </c>
      <c r="AA183" s="278">
        <v>13.467000000000001</v>
      </c>
      <c r="AB183" s="278">
        <v>21.228000000000002</v>
      </c>
      <c r="AC183" s="278">
        <v>7.609</v>
      </c>
      <c r="AD183" s="279">
        <v>99.274000000000001</v>
      </c>
      <c r="AE183" s="278">
        <f t="shared" si="36"/>
        <v>99.274000000000015</v>
      </c>
      <c r="AF183" s="278">
        <f t="shared" si="37"/>
        <v>0</v>
      </c>
      <c r="AG183" s="278">
        <f t="shared" si="34"/>
        <v>0</v>
      </c>
      <c r="AH183" s="202">
        <f t="shared" si="31"/>
        <v>4.647000000000002</v>
      </c>
      <c r="AI183" s="202">
        <f t="shared" si="32"/>
        <v>58.34</v>
      </c>
      <c r="AJ183" s="275"/>
      <c r="AK183" s="275"/>
      <c r="AL183" s="275"/>
      <c r="AM183" s="275"/>
      <c r="AN183" s="275"/>
      <c r="AO183" s="275"/>
      <c r="AP183" s="275"/>
      <c r="AQ183" s="275"/>
      <c r="AR183" s="275"/>
      <c r="AS183" s="275"/>
      <c r="AT183" s="275"/>
      <c r="AU183" s="275"/>
      <c r="AV183" s="275"/>
      <c r="AW183" s="275"/>
      <c r="AX183" s="275"/>
      <c r="AY183" s="275"/>
      <c r="AZ183" s="275"/>
      <c r="BA183" s="275"/>
      <c r="BB183" s="275"/>
      <c r="BC183" s="275"/>
      <c r="BE183" s="274">
        <f t="shared" si="38"/>
        <v>3.2023870967741934</v>
      </c>
      <c r="BF183" s="280">
        <f t="shared" si="46"/>
        <v>104.3</v>
      </c>
      <c r="BG183" s="154" t="str">
        <f t="shared" si="41"/>
        <v/>
      </c>
      <c r="BH183" s="270">
        <f t="shared" si="39"/>
        <v>-0.2279999999999994</v>
      </c>
      <c r="BI183" s="270">
        <f t="shared" si="33"/>
        <v>6.0000000000000497E-2</v>
      </c>
    </row>
    <row r="184" spans="1:61">
      <c r="A184" s="266">
        <v>34639</v>
      </c>
      <c r="B184" s="266"/>
      <c r="C184" s="275"/>
      <c r="D184" s="276">
        <v>19.330333333333328</v>
      </c>
      <c r="E184" s="277">
        <v>4.0728666666666671</v>
      </c>
      <c r="F184" s="277">
        <f t="shared" si="43"/>
        <v>122.18600000000001</v>
      </c>
      <c r="G184" s="277">
        <v>103.15300000000001</v>
      </c>
      <c r="H184" s="281">
        <f t="shared" si="42"/>
        <v>0.84422928977133227</v>
      </c>
      <c r="I184" s="202">
        <v>2442.7089999999998</v>
      </c>
      <c r="J184" s="270">
        <v>47.36</v>
      </c>
      <c r="K184" s="275"/>
      <c r="L184" s="202">
        <v>373.35599999999999</v>
      </c>
      <c r="M184" s="275"/>
      <c r="N184" s="202">
        <v>1135.345</v>
      </c>
      <c r="O184" s="270">
        <v>11.01</v>
      </c>
      <c r="P184" s="275"/>
      <c r="Q184" s="202">
        <v>399.77800000000002</v>
      </c>
      <c r="R184" s="199"/>
      <c r="S184" s="275"/>
      <c r="T184" s="275"/>
      <c r="U184" s="275"/>
      <c r="V184" s="278">
        <v>15.499000000000001</v>
      </c>
      <c r="W184" s="278">
        <v>19.395</v>
      </c>
      <c r="X184" s="278">
        <v>18.968</v>
      </c>
      <c r="Y184" s="278"/>
      <c r="Z184" s="278">
        <v>5.359</v>
      </c>
      <c r="AA184" s="278">
        <v>14.467000000000001</v>
      </c>
      <c r="AB184" s="278">
        <v>21.388000000000002</v>
      </c>
      <c r="AC184" s="278">
        <v>8.077</v>
      </c>
      <c r="AD184" s="279">
        <v>103.15300000000001</v>
      </c>
      <c r="AE184" s="278">
        <f t="shared" si="36"/>
        <v>103.15300000000001</v>
      </c>
      <c r="AF184" s="278">
        <f t="shared" si="37"/>
        <v>0</v>
      </c>
      <c r="AG184" s="278">
        <f t="shared" si="34"/>
        <v>0</v>
      </c>
      <c r="AH184" s="202">
        <f t="shared" si="31"/>
        <v>0.16000000000000014</v>
      </c>
      <c r="AI184" s="202">
        <f t="shared" si="32"/>
        <v>58.37</v>
      </c>
      <c r="AJ184" s="275"/>
      <c r="AK184" s="275"/>
      <c r="AL184" s="275"/>
      <c r="AM184" s="275"/>
      <c r="AN184" s="275"/>
      <c r="AO184" s="275"/>
      <c r="AP184" s="275"/>
      <c r="AQ184" s="275"/>
      <c r="AR184" s="275"/>
      <c r="AS184" s="275"/>
      <c r="AT184" s="275"/>
      <c r="AU184" s="275"/>
      <c r="AV184" s="275"/>
      <c r="AW184" s="275"/>
      <c r="AX184" s="275"/>
      <c r="AY184" s="275"/>
      <c r="AZ184" s="275"/>
      <c r="BA184" s="275"/>
      <c r="BB184" s="275"/>
      <c r="BC184" s="275"/>
      <c r="BE184" s="274">
        <f>G184/30</f>
        <v>3.4384333333333337</v>
      </c>
      <c r="BF184" s="280">
        <f t="shared" si="46"/>
        <v>107.6</v>
      </c>
      <c r="BG184" s="154" t="str">
        <f t="shared" si="41"/>
        <v/>
      </c>
      <c r="BH184" s="270">
        <f t="shared" si="39"/>
        <v>-0.10599999999999987</v>
      </c>
      <c r="BI184" s="270">
        <f t="shared" si="33"/>
        <v>-0.16000000000000014</v>
      </c>
    </row>
    <row r="185" spans="1:61">
      <c r="A185" s="266">
        <v>34669</v>
      </c>
      <c r="B185" s="266"/>
      <c r="C185" s="275"/>
      <c r="D185" s="276">
        <v>21.065666666666644</v>
      </c>
      <c r="E185" s="277">
        <v>4.0728709677419355</v>
      </c>
      <c r="F185" s="277">
        <f t="shared" si="43"/>
        <v>126.259</v>
      </c>
      <c r="G185" s="277">
        <v>107.42100000000001</v>
      </c>
      <c r="H185" s="281">
        <f t="shared" si="42"/>
        <v>0.85079875494024193</v>
      </c>
      <c r="I185" s="202">
        <v>2531.3530000000001</v>
      </c>
      <c r="J185" s="270">
        <v>47.13</v>
      </c>
      <c r="K185" s="275"/>
      <c r="L185" s="202">
        <v>373.50900000000001</v>
      </c>
      <c r="M185" s="275"/>
      <c r="N185" s="202">
        <v>1182.096</v>
      </c>
      <c r="O185" s="270">
        <v>11</v>
      </c>
      <c r="P185" s="275"/>
      <c r="Q185" s="202">
        <v>382.62900000000002</v>
      </c>
      <c r="R185" s="199"/>
      <c r="S185" s="275"/>
      <c r="T185" s="275"/>
      <c r="U185" s="275"/>
      <c r="V185" s="278">
        <v>16.516999999999999</v>
      </c>
      <c r="W185" s="278">
        <v>19.946999999999999</v>
      </c>
      <c r="X185" s="278">
        <v>18.995000000000001</v>
      </c>
      <c r="Y185" s="278"/>
      <c r="Z185" s="278">
        <v>5.782</v>
      </c>
      <c r="AA185" s="278">
        <v>14.7</v>
      </c>
      <c r="AB185" s="278">
        <v>23.01</v>
      </c>
      <c r="AC185" s="278">
        <v>8.4700000000000006</v>
      </c>
      <c r="AD185" s="279">
        <v>107.42100000000001</v>
      </c>
      <c r="AE185" s="278">
        <f t="shared" si="36"/>
        <v>107.42100000000001</v>
      </c>
      <c r="AF185" s="278">
        <f t="shared" si="37"/>
        <v>0</v>
      </c>
      <c r="AG185" s="278">
        <f t="shared" si="34"/>
        <v>0</v>
      </c>
      <c r="AH185" s="202">
        <f t="shared" si="31"/>
        <v>1.6219999999999999</v>
      </c>
      <c r="AI185" s="202">
        <f t="shared" si="32"/>
        <v>58.13</v>
      </c>
      <c r="AJ185" s="275"/>
      <c r="AK185" s="275"/>
      <c r="AL185" s="275"/>
      <c r="AM185" s="275"/>
      <c r="AN185" s="275"/>
      <c r="AO185" s="275"/>
      <c r="AP185" s="275"/>
      <c r="AQ185" s="275"/>
      <c r="AR185" s="275"/>
      <c r="AS185" s="275"/>
      <c r="AT185" s="275"/>
      <c r="AU185" s="275"/>
      <c r="AV185" s="275"/>
      <c r="AW185" s="275"/>
      <c r="AX185" s="275"/>
      <c r="AY185" s="275"/>
      <c r="AZ185" s="275"/>
      <c r="BA185" s="275"/>
      <c r="BB185" s="275"/>
      <c r="BC185" s="275"/>
      <c r="BE185" s="274">
        <f t="shared" si="38"/>
        <v>3.4651935483870968</v>
      </c>
      <c r="BF185" s="280">
        <f t="shared" si="46"/>
        <v>111.6</v>
      </c>
      <c r="BG185" s="154" t="str">
        <f t="shared" si="41"/>
        <v/>
      </c>
      <c r="BH185" s="270">
        <f t="shared" si="39"/>
        <v>1.7999999999999617E-2</v>
      </c>
      <c r="BI185" s="270">
        <f t="shared" si="33"/>
        <v>-9.9999999999997868E-3</v>
      </c>
    </row>
    <row r="186" spans="1:61">
      <c r="A186" s="266">
        <v>34700</v>
      </c>
      <c r="B186" s="266"/>
      <c r="C186" s="275"/>
      <c r="D186" s="276">
        <v>0.74066666666666947</v>
      </c>
      <c r="E186" s="277">
        <v>4.7911935483870964</v>
      </c>
      <c r="F186" s="277">
        <f t="shared" si="43"/>
        <v>148.52699999999999</v>
      </c>
      <c r="G186" s="277">
        <v>126.586</v>
      </c>
      <c r="H186" s="281">
        <f t="shared" si="42"/>
        <v>0.85227601715513013</v>
      </c>
      <c r="I186" s="202">
        <v>2992.7840000000001</v>
      </c>
      <c r="J186" s="270">
        <v>47.28</v>
      </c>
      <c r="K186" s="275"/>
      <c r="L186" s="202">
        <v>655.00699999999995</v>
      </c>
      <c r="M186" s="275"/>
      <c r="N186" s="202">
        <v>1397.3720000000001</v>
      </c>
      <c r="O186" s="270">
        <v>11.04</v>
      </c>
      <c r="P186" s="275"/>
      <c r="Q186" s="202">
        <v>485.62400000000002</v>
      </c>
      <c r="R186" s="199"/>
      <c r="S186" s="275"/>
      <c r="T186" s="275"/>
      <c r="U186" s="275"/>
      <c r="V186" s="278">
        <v>23.358000000000001</v>
      </c>
      <c r="W186" s="278">
        <v>19.954000000000001</v>
      </c>
      <c r="X186" s="278">
        <v>24.13</v>
      </c>
      <c r="Y186" s="278"/>
      <c r="Z186" s="278">
        <v>11.872</v>
      </c>
      <c r="AA186" s="278">
        <v>16.405999999999999</v>
      </c>
      <c r="AB186" s="278">
        <v>22.925000000000001</v>
      </c>
      <c r="AC186" s="278">
        <v>7.9390000000000001</v>
      </c>
      <c r="AD186" s="279">
        <v>126.584</v>
      </c>
      <c r="AE186" s="278">
        <f t="shared" si="36"/>
        <v>126.584</v>
      </c>
      <c r="AF186" s="278">
        <f t="shared" si="37"/>
        <v>0</v>
      </c>
      <c r="AG186" s="278">
        <f t="shared" si="34"/>
        <v>-1.9999999999953388E-3</v>
      </c>
      <c r="AH186" s="202">
        <f t="shared" si="31"/>
        <v>-8.5000000000000853E-2</v>
      </c>
      <c r="AI186" s="202">
        <f t="shared" si="32"/>
        <v>58.32</v>
      </c>
      <c r="AJ186" s="275"/>
      <c r="AK186" s="275"/>
      <c r="AL186" s="275"/>
      <c r="AM186" s="275"/>
      <c r="AN186" s="275"/>
      <c r="AO186" s="275"/>
      <c r="AP186" s="275"/>
      <c r="AQ186" s="275"/>
      <c r="AR186" s="275"/>
      <c r="AS186" s="275"/>
      <c r="AT186" s="275"/>
      <c r="AU186" s="275"/>
      <c r="AV186" s="275"/>
      <c r="AW186" s="275"/>
      <c r="AX186" s="275"/>
      <c r="AY186" s="275"/>
      <c r="AZ186" s="275"/>
      <c r="BA186" s="275"/>
      <c r="BB186" s="275"/>
      <c r="BC186" s="275"/>
      <c r="BE186" s="274">
        <f t="shared" si="38"/>
        <v>4.0834193548387097</v>
      </c>
      <c r="BF186" s="280">
        <f t="shared" si="46"/>
        <v>110</v>
      </c>
      <c r="BG186" s="154" t="str">
        <f t="shared" si="41"/>
        <v>RECORD</v>
      </c>
      <c r="BH186" s="270">
        <f t="shared" si="39"/>
        <v>3.5999999999999942E-2</v>
      </c>
      <c r="BI186" s="270">
        <f t="shared" si="33"/>
        <v>3.9999999999999147E-2</v>
      </c>
    </row>
    <row r="187" spans="1:61">
      <c r="A187" s="266">
        <v>34731</v>
      </c>
      <c r="B187" s="266"/>
      <c r="C187" s="275"/>
      <c r="D187" s="276">
        <v>0.9410000000000025</v>
      </c>
      <c r="E187" s="277">
        <v>4.7912499999999998</v>
      </c>
      <c r="F187" s="277">
        <f t="shared" si="43"/>
        <v>134.155</v>
      </c>
      <c r="G187" s="277">
        <v>115.569</v>
      </c>
      <c r="H187" s="281">
        <f t="shared" si="42"/>
        <v>0.86145876038910218</v>
      </c>
      <c r="I187" s="202">
        <v>2736.442</v>
      </c>
      <c r="J187" s="270">
        <v>47.36</v>
      </c>
      <c r="K187" s="275"/>
      <c r="L187" s="202">
        <v>558.62300000000005</v>
      </c>
      <c r="M187" s="275"/>
      <c r="N187" s="202">
        <v>1283.6130000000001</v>
      </c>
      <c r="O187" s="270">
        <v>11.11</v>
      </c>
      <c r="P187" s="275"/>
      <c r="Q187" s="202">
        <v>475.62400000000002</v>
      </c>
      <c r="R187" s="199"/>
      <c r="S187" s="275"/>
      <c r="T187" s="275"/>
      <c r="U187" s="275"/>
      <c r="V187" s="278">
        <v>22.074000000000002</v>
      </c>
      <c r="W187" s="278">
        <v>17.835999999999999</v>
      </c>
      <c r="X187" s="278">
        <v>21.084</v>
      </c>
      <c r="Y187" s="278"/>
      <c r="Z187" s="278">
        <v>10.766</v>
      </c>
      <c r="AA187" s="278">
        <v>15.477</v>
      </c>
      <c r="AB187" s="278">
        <v>20.672000000000001</v>
      </c>
      <c r="AC187" s="278">
        <v>7.66</v>
      </c>
      <c r="AD187" s="279">
        <v>115.569</v>
      </c>
      <c r="AE187" s="278">
        <f t="shared" si="36"/>
        <v>115.569</v>
      </c>
      <c r="AF187" s="278">
        <f t="shared" si="37"/>
        <v>0</v>
      </c>
      <c r="AG187" s="278">
        <f t="shared" si="34"/>
        <v>0</v>
      </c>
      <c r="AH187" s="202">
        <f t="shared" si="31"/>
        <v>-2.2530000000000001</v>
      </c>
      <c r="AI187" s="202">
        <f t="shared" si="32"/>
        <v>58.47</v>
      </c>
      <c r="AJ187" s="275"/>
      <c r="AK187" s="275"/>
      <c r="AL187" s="275"/>
      <c r="AM187" s="275"/>
      <c r="AN187" s="275"/>
      <c r="AO187" s="275"/>
      <c r="AP187" s="275"/>
      <c r="AQ187" s="275"/>
      <c r="AR187" s="275"/>
      <c r="AS187" s="275"/>
      <c r="AT187" s="275"/>
      <c r="AU187" s="275"/>
      <c r="AV187" s="275"/>
      <c r="AW187" s="275"/>
      <c r="AX187" s="275"/>
      <c r="AY187" s="275"/>
      <c r="AZ187" s="275"/>
      <c r="BA187" s="275"/>
      <c r="BB187" s="275"/>
      <c r="BC187" s="275"/>
      <c r="BE187" s="274">
        <f>G187/28</f>
        <v>4.1274642857142858</v>
      </c>
      <c r="BF187" s="280">
        <f t="shared" si="46"/>
        <v>98.9</v>
      </c>
      <c r="BG187" s="154" t="str">
        <f t="shared" si="41"/>
        <v>RECORD</v>
      </c>
      <c r="BH187" s="270">
        <f t="shared" si="39"/>
        <v>7.1999999999999884E-2</v>
      </c>
      <c r="BI187" s="270">
        <f t="shared" si="33"/>
        <v>7.0000000000000284E-2</v>
      </c>
    </row>
    <row r="188" spans="1:61">
      <c r="A188" s="266">
        <v>34759</v>
      </c>
      <c r="B188" s="266"/>
      <c r="C188" s="275"/>
      <c r="D188" s="276">
        <v>1.4666666666666686</v>
      </c>
      <c r="E188" s="277">
        <v>4.7911935483870964</v>
      </c>
      <c r="F188" s="277">
        <f t="shared" si="43"/>
        <v>148.52699999999999</v>
      </c>
      <c r="G188" s="277">
        <v>126.59</v>
      </c>
      <c r="H188" s="281">
        <f t="shared" si="42"/>
        <v>0.85230294828549702</v>
      </c>
      <c r="I188" s="202">
        <v>3000.442</v>
      </c>
      <c r="J188" s="270">
        <v>47.4</v>
      </c>
      <c r="K188" s="275"/>
      <c r="L188" s="202">
        <v>606.16099999999994</v>
      </c>
      <c r="M188" s="275"/>
      <c r="N188" s="202">
        <v>1410.173</v>
      </c>
      <c r="O188" s="270">
        <v>11.14</v>
      </c>
      <c r="P188" s="275"/>
      <c r="Q188" s="202">
        <v>425.79899999999998</v>
      </c>
      <c r="R188" s="199"/>
      <c r="S188" s="275"/>
      <c r="T188" s="275"/>
      <c r="U188" s="275"/>
      <c r="V188" s="278">
        <v>23.51</v>
      </c>
      <c r="W188" s="278">
        <v>19.858000000000001</v>
      </c>
      <c r="X188" s="278">
        <v>23.417000000000002</v>
      </c>
      <c r="Y188" s="278"/>
      <c r="Z188" s="278">
        <v>12.01</v>
      </c>
      <c r="AA188" s="278">
        <v>16.715</v>
      </c>
      <c r="AB188" s="278">
        <v>22.391999999999999</v>
      </c>
      <c r="AC188" s="278">
        <v>8.6880000000000006</v>
      </c>
      <c r="AD188" s="279">
        <v>126.59</v>
      </c>
      <c r="AE188" s="278">
        <f t="shared" si="36"/>
        <v>126.59</v>
      </c>
      <c r="AF188" s="278">
        <f t="shared" si="37"/>
        <v>0</v>
      </c>
      <c r="AG188" s="278">
        <f t="shared" si="34"/>
        <v>0</v>
      </c>
      <c r="AH188" s="202">
        <f t="shared" si="31"/>
        <v>1.7199999999999989</v>
      </c>
      <c r="AI188" s="202">
        <f t="shared" si="32"/>
        <v>58.54</v>
      </c>
      <c r="AJ188" s="275"/>
      <c r="AK188" s="275"/>
      <c r="AL188" s="275"/>
      <c r="AM188" s="275"/>
      <c r="AN188" s="275"/>
      <c r="AO188" s="275"/>
      <c r="AP188" s="275"/>
      <c r="AQ188" s="275"/>
      <c r="AR188" s="275"/>
      <c r="AS188" s="275"/>
      <c r="AT188" s="275"/>
      <c r="AU188" s="275"/>
      <c r="AV188" s="275"/>
      <c r="AW188" s="275"/>
      <c r="AX188" s="275"/>
      <c r="AY188" s="275"/>
      <c r="AZ188" s="275"/>
      <c r="BA188" s="275"/>
      <c r="BB188" s="275"/>
      <c r="BC188" s="275"/>
      <c r="BE188" s="274">
        <f t="shared" si="38"/>
        <v>4.0835483870967746</v>
      </c>
      <c r="BF188" s="280">
        <f t="shared" si="46"/>
        <v>101.4</v>
      </c>
      <c r="BG188" s="154" t="str">
        <f t="shared" si="41"/>
        <v>RECORD</v>
      </c>
      <c r="BH188" s="270">
        <f t="shared" si="39"/>
        <v>2.3999999999999844E-2</v>
      </c>
      <c r="BI188" s="270">
        <f t="shared" si="33"/>
        <v>3.0000000000001137E-2</v>
      </c>
    </row>
    <row r="189" spans="1:61">
      <c r="A189" s="266">
        <v>34790</v>
      </c>
      <c r="B189" s="266"/>
      <c r="C189" s="275"/>
      <c r="D189" s="276">
        <v>0.49133333333334406</v>
      </c>
      <c r="E189" s="277">
        <v>4.8530999999999995</v>
      </c>
      <c r="F189" s="277">
        <f t="shared" si="43"/>
        <v>145.59299999999999</v>
      </c>
      <c r="G189" s="277">
        <v>118.94199999999999</v>
      </c>
      <c r="H189" s="281">
        <f t="shared" si="42"/>
        <v>0.81694861703515964</v>
      </c>
      <c r="I189" s="202">
        <v>2783.279</v>
      </c>
      <c r="J189" s="270">
        <v>46.8</v>
      </c>
      <c r="K189" s="275"/>
      <c r="L189" s="202">
        <v>438.13099999999997</v>
      </c>
      <c r="M189" s="275"/>
      <c r="N189" s="202">
        <v>1333.37</v>
      </c>
      <c r="O189" s="270">
        <v>11.21</v>
      </c>
      <c r="P189" s="275"/>
      <c r="Q189" s="202">
        <v>459.55799999999999</v>
      </c>
      <c r="R189" s="199"/>
      <c r="S189" s="275"/>
      <c r="T189" s="275"/>
      <c r="U189" s="275"/>
      <c r="V189" s="278">
        <v>21.561</v>
      </c>
      <c r="W189" s="278">
        <v>18.824999999999999</v>
      </c>
      <c r="X189" s="278">
        <v>22.574999999999999</v>
      </c>
      <c r="Y189" s="278"/>
      <c r="Z189" s="278">
        <v>11.259</v>
      </c>
      <c r="AA189" s="278">
        <v>16.091000000000001</v>
      </c>
      <c r="AB189" s="278">
        <v>20.562000000000001</v>
      </c>
      <c r="AC189" s="278">
        <v>8.0690000000000008</v>
      </c>
      <c r="AD189" s="279">
        <v>118.94199999999999</v>
      </c>
      <c r="AE189" s="278">
        <f t="shared" si="36"/>
        <v>118.94200000000001</v>
      </c>
      <c r="AF189" s="278">
        <f t="shared" si="37"/>
        <v>0</v>
      </c>
      <c r="AG189" s="278">
        <f t="shared" si="34"/>
        <v>0</v>
      </c>
      <c r="AH189" s="202">
        <f t="shared" si="31"/>
        <v>-1.8299999999999983</v>
      </c>
      <c r="AI189" s="202">
        <f t="shared" si="32"/>
        <v>58.01</v>
      </c>
      <c r="AJ189" s="275"/>
      <c r="AK189" s="275"/>
      <c r="AL189" s="275"/>
      <c r="AM189" s="275"/>
      <c r="AN189" s="275"/>
      <c r="AO189" s="275"/>
      <c r="AP189" s="275"/>
      <c r="AQ189" s="275"/>
      <c r="AR189" s="275"/>
      <c r="AS189" s="275"/>
      <c r="AT189" s="275"/>
      <c r="AU189" s="275"/>
      <c r="AV189" s="275"/>
      <c r="AW189" s="275"/>
      <c r="AX189" s="275"/>
      <c r="AY189" s="275"/>
      <c r="AZ189" s="275"/>
      <c r="BA189" s="275"/>
      <c r="BB189" s="275"/>
      <c r="BC189" s="275"/>
      <c r="BE189" s="274">
        <f>G189/30</f>
        <v>3.9647333333333332</v>
      </c>
      <c r="BF189" s="280">
        <f t="shared" si="46"/>
        <v>91.4</v>
      </c>
      <c r="BG189" s="154" t="str">
        <f t="shared" si="41"/>
        <v>RECORD</v>
      </c>
      <c r="BH189" s="270">
        <f t="shared" si="39"/>
        <v>2.0000000000000639E-2</v>
      </c>
      <c r="BI189" s="270">
        <f t="shared" si="33"/>
        <v>7.0000000000000284E-2</v>
      </c>
    </row>
    <row r="190" spans="1:61">
      <c r="A190" s="266">
        <v>34820</v>
      </c>
      <c r="B190" s="266"/>
      <c r="C190" s="275"/>
      <c r="D190" s="276">
        <v>1.332333333333338</v>
      </c>
      <c r="E190" s="277">
        <v>4.8530967741935482</v>
      </c>
      <c r="F190" s="277">
        <f t="shared" si="43"/>
        <v>150.446</v>
      </c>
      <c r="G190" s="277">
        <v>112.84099999999999</v>
      </c>
      <c r="H190" s="281">
        <f t="shared" si="42"/>
        <v>0.75004320487085063</v>
      </c>
      <c r="I190" s="202">
        <v>2671.3220000000001</v>
      </c>
      <c r="J190" s="270">
        <v>47.35</v>
      </c>
      <c r="K190" s="275"/>
      <c r="L190" s="202">
        <v>356.84300000000002</v>
      </c>
      <c r="M190" s="275"/>
      <c r="N190" s="202">
        <v>1256.269</v>
      </c>
      <c r="O190" s="270">
        <v>11.13</v>
      </c>
      <c r="P190" s="275"/>
      <c r="Q190" s="202">
        <v>443.90899999999999</v>
      </c>
      <c r="R190" s="199"/>
      <c r="S190" s="275"/>
      <c r="T190" s="275"/>
      <c r="U190" s="275"/>
      <c r="V190" s="278">
        <v>19.131</v>
      </c>
      <c r="W190" s="278">
        <v>17.469000000000001</v>
      </c>
      <c r="X190" s="278">
        <v>21.716000000000001</v>
      </c>
      <c r="Y190" s="278"/>
      <c r="Z190" s="278">
        <v>10.301</v>
      </c>
      <c r="AA190" s="278">
        <v>15.532</v>
      </c>
      <c r="AB190" s="278">
        <v>20.74</v>
      </c>
      <c r="AC190" s="278">
        <v>7.952</v>
      </c>
      <c r="AD190" s="279">
        <v>112.84099999999999</v>
      </c>
      <c r="AE190" s="278">
        <f t="shared" si="36"/>
        <v>112.84099999999999</v>
      </c>
      <c r="AF190" s="278">
        <f t="shared" si="37"/>
        <v>0</v>
      </c>
      <c r="AG190" s="278">
        <f t="shared" si="34"/>
        <v>0</v>
      </c>
      <c r="AH190" s="202">
        <f t="shared" si="31"/>
        <v>0.17799999999999727</v>
      </c>
      <c r="AI190" s="202">
        <f t="shared" si="32"/>
        <v>58.480000000000004</v>
      </c>
      <c r="AJ190" s="275"/>
      <c r="AK190" s="275"/>
      <c r="AL190" s="275"/>
      <c r="AM190" s="275"/>
      <c r="AN190" s="275"/>
      <c r="AO190" s="275"/>
      <c r="AP190" s="275"/>
      <c r="AQ190" s="275"/>
      <c r="AR190" s="275"/>
      <c r="AS190" s="275"/>
      <c r="AT190" s="275"/>
      <c r="AU190" s="275"/>
      <c r="AV190" s="275"/>
      <c r="AW190" s="275"/>
      <c r="AX190" s="275"/>
      <c r="AY190" s="275"/>
      <c r="AZ190" s="275"/>
      <c r="BA190" s="275"/>
      <c r="BB190" s="275"/>
      <c r="BC190" s="275"/>
      <c r="BE190" s="274">
        <f t="shared" si="38"/>
        <v>3.6400322580645161</v>
      </c>
      <c r="BF190" s="280">
        <f t="shared" si="46"/>
        <v>93.2</v>
      </c>
      <c r="BG190" s="154" t="str">
        <f t="shared" si="41"/>
        <v>RECORD</v>
      </c>
      <c r="BH190" s="270">
        <f t="shared" si="39"/>
        <v>1.9999999999999928E-2</v>
      </c>
      <c r="BI190" s="270">
        <f t="shared" si="33"/>
        <v>-8.0000000000000071E-2</v>
      </c>
    </row>
    <row r="191" spans="1:61">
      <c r="A191" s="266">
        <v>34851</v>
      </c>
      <c r="B191" s="266"/>
      <c r="C191" s="275"/>
      <c r="D191" s="276">
        <v>1.1903333333333279</v>
      </c>
      <c r="E191" s="277">
        <v>4.8530999999999995</v>
      </c>
      <c r="F191" s="277">
        <f t="shared" si="43"/>
        <v>145.59299999999999</v>
      </c>
      <c r="G191" s="277">
        <v>104.393</v>
      </c>
      <c r="H191" s="281">
        <f t="shared" si="42"/>
        <v>0.71701936219461104</v>
      </c>
      <c r="I191" s="202">
        <v>2462.1759999999999</v>
      </c>
      <c r="J191" s="270">
        <v>47.17</v>
      </c>
      <c r="K191" s="275"/>
      <c r="L191" s="202">
        <v>294.62599999999998</v>
      </c>
      <c r="M191" s="275"/>
      <c r="N191" s="202">
        <v>1167.912</v>
      </c>
      <c r="O191" s="270">
        <v>11.19</v>
      </c>
      <c r="P191" s="275"/>
      <c r="Q191" s="202">
        <v>419.00099999999998</v>
      </c>
      <c r="R191" s="199"/>
      <c r="S191" s="275"/>
      <c r="T191" s="275"/>
      <c r="U191" s="275"/>
      <c r="V191" s="278">
        <v>19.449000000000002</v>
      </c>
      <c r="W191" s="278">
        <v>17.302</v>
      </c>
      <c r="X191" s="278">
        <v>18.024000000000001</v>
      </c>
      <c r="Y191" s="278"/>
      <c r="Z191" s="278">
        <v>6.968</v>
      </c>
      <c r="AA191" s="278">
        <v>14.661</v>
      </c>
      <c r="AB191" s="278">
        <v>20.146999999999998</v>
      </c>
      <c r="AC191" s="278">
        <v>7.8419999999999996</v>
      </c>
      <c r="AD191" s="279">
        <v>104.393</v>
      </c>
      <c r="AE191" s="278">
        <f t="shared" si="36"/>
        <v>104.39300000000001</v>
      </c>
      <c r="AF191" s="278">
        <f t="shared" si="37"/>
        <v>0</v>
      </c>
      <c r="AG191" s="278">
        <f t="shared" si="34"/>
        <v>0</v>
      </c>
      <c r="AH191" s="202">
        <f t="shared" si="31"/>
        <v>-0.59299999999999997</v>
      </c>
      <c r="AI191" s="202">
        <f t="shared" si="32"/>
        <v>58.36</v>
      </c>
      <c r="AJ191" s="275"/>
      <c r="AK191" s="275"/>
      <c r="AL191" s="275"/>
      <c r="AM191" s="275"/>
      <c r="AN191" s="275"/>
      <c r="AO191" s="275"/>
      <c r="AP191" s="275"/>
      <c r="AQ191" s="275"/>
      <c r="AR191" s="275"/>
      <c r="AS191" s="275"/>
      <c r="AT191" s="275"/>
      <c r="AU191" s="275"/>
      <c r="AV191" s="275"/>
      <c r="AW191" s="275"/>
      <c r="AX191" s="275"/>
      <c r="AY191" s="275"/>
      <c r="AZ191" s="275"/>
      <c r="BA191" s="275"/>
      <c r="BB191" s="275"/>
      <c r="BC191" s="275"/>
      <c r="BE191" s="274">
        <f>G191/30</f>
        <v>3.4797666666666669</v>
      </c>
      <c r="BF191" s="280">
        <f t="shared" si="46"/>
        <v>83.606999999999999</v>
      </c>
      <c r="BG191" s="154" t="str">
        <f t="shared" si="41"/>
        <v>RECORD</v>
      </c>
      <c r="BH191" s="270">
        <f t="shared" si="39"/>
        <v>8.199999999999967E-2</v>
      </c>
      <c r="BI191" s="270">
        <f t="shared" si="33"/>
        <v>5.9999999999998721E-2</v>
      </c>
    </row>
    <row r="192" spans="1:61">
      <c r="A192" s="266">
        <v>34881</v>
      </c>
      <c r="B192" s="266"/>
      <c r="C192" s="275"/>
      <c r="D192" s="276">
        <v>0.59500000000001307</v>
      </c>
      <c r="E192" s="277">
        <v>4.8624516129032251</v>
      </c>
      <c r="F192" s="277">
        <f t="shared" si="43"/>
        <v>150.73599999999999</v>
      </c>
      <c r="G192" s="277">
        <v>107.785</v>
      </c>
      <c r="H192" s="281">
        <f t="shared" si="42"/>
        <v>0.71505811484980364</v>
      </c>
      <c r="I192" s="202">
        <v>2553.1439999999998</v>
      </c>
      <c r="J192" s="270">
        <v>47.37</v>
      </c>
      <c r="K192" s="275"/>
      <c r="L192" s="202">
        <v>352.95299999999997</v>
      </c>
      <c r="M192" s="275"/>
      <c r="N192" s="202">
        <v>1208.3030000000001</v>
      </c>
      <c r="O192" s="270">
        <v>11.21</v>
      </c>
      <c r="P192" s="275"/>
      <c r="Q192" s="202">
        <v>452.59100000000001</v>
      </c>
      <c r="R192" s="199"/>
      <c r="S192" s="275"/>
      <c r="T192" s="275"/>
      <c r="U192" s="275"/>
      <c r="V192" s="278">
        <v>21.052</v>
      </c>
      <c r="W192" s="278">
        <v>18.960999999999999</v>
      </c>
      <c r="X192" s="278">
        <v>19.521999999999998</v>
      </c>
      <c r="Y192" s="278"/>
      <c r="Z192" s="278">
        <v>7.4770000000000003</v>
      </c>
      <c r="AA192" s="278">
        <v>13.615</v>
      </c>
      <c r="AB192" s="278">
        <v>20.616</v>
      </c>
      <c r="AC192" s="278">
        <v>6.5419999999999998</v>
      </c>
      <c r="AD192" s="279">
        <v>107.785</v>
      </c>
      <c r="AE192" s="278">
        <f t="shared" si="36"/>
        <v>107.785</v>
      </c>
      <c r="AF192" s="278">
        <f t="shared" si="37"/>
        <v>0</v>
      </c>
      <c r="AG192" s="278">
        <f t="shared" si="34"/>
        <v>0</v>
      </c>
      <c r="AH192" s="202">
        <f t="shared" si="31"/>
        <v>0.46900000000000119</v>
      </c>
      <c r="AI192" s="202">
        <f t="shared" si="32"/>
        <v>58.58</v>
      </c>
      <c r="AJ192" s="275"/>
      <c r="AK192" s="275"/>
      <c r="AL192" s="275"/>
      <c r="AM192" s="275"/>
      <c r="AN192" s="275"/>
      <c r="AO192" s="275"/>
      <c r="AP192" s="275"/>
      <c r="AQ192" s="275"/>
      <c r="AR192" s="275"/>
      <c r="AS192" s="275"/>
      <c r="AT192" s="275"/>
      <c r="AU192" s="275"/>
      <c r="AV192" s="275"/>
      <c r="AW192" s="275"/>
      <c r="AX192" s="275"/>
      <c r="AY192" s="275"/>
      <c r="AZ192" s="275"/>
      <c r="BA192" s="275"/>
      <c r="BB192" s="275"/>
      <c r="BC192" s="275"/>
      <c r="BE192" s="274">
        <f t="shared" si="38"/>
        <v>3.4769354838709678</v>
      </c>
      <c r="BF192" s="280">
        <f t="shared" si="46"/>
        <v>89.07</v>
      </c>
      <c r="BG192" s="154" t="str">
        <f t="shared" si="41"/>
        <v>RECORD</v>
      </c>
      <c r="BH192" s="270">
        <f t="shared" si="39"/>
        <v>-5.8000000000000183E-2</v>
      </c>
      <c r="BI192" s="270">
        <f t="shared" si="33"/>
        <v>2.000000000000135E-2</v>
      </c>
    </row>
    <row r="193" spans="1:61">
      <c r="A193" s="266">
        <v>34912</v>
      </c>
      <c r="B193" s="266"/>
      <c r="C193" s="275"/>
      <c r="D193" s="276">
        <v>1.3696666666666744</v>
      </c>
      <c r="E193" s="277">
        <v>4.8624516129032251</v>
      </c>
      <c r="F193" s="277">
        <f t="shared" si="43"/>
        <v>150.73599999999999</v>
      </c>
      <c r="G193" s="277">
        <v>108.127</v>
      </c>
      <c r="H193" s="281">
        <f t="shared" si="42"/>
        <v>0.717326982273644</v>
      </c>
      <c r="I193" s="202">
        <v>2553.7350000000001</v>
      </c>
      <c r="J193" s="270">
        <v>47.24</v>
      </c>
      <c r="K193" s="275"/>
      <c r="L193" s="202">
        <v>401.81</v>
      </c>
      <c r="M193" s="275"/>
      <c r="N193" s="202">
        <v>1221.231</v>
      </c>
      <c r="O193" s="270">
        <v>11.29</v>
      </c>
      <c r="P193" s="275"/>
      <c r="Q193" s="202">
        <v>425.01400000000001</v>
      </c>
      <c r="R193" s="199"/>
      <c r="S193" s="275"/>
      <c r="T193" s="275"/>
      <c r="U193" s="275"/>
      <c r="V193" s="278">
        <v>19.048999999999999</v>
      </c>
      <c r="W193" s="278">
        <v>18</v>
      </c>
      <c r="X193" s="278">
        <v>19.789000000000001</v>
      </c>
      <c r="Y193" s="278"/>
      <c r="Z193" s="278">
        <v>7.87</v>
      </c>
      <c r="AA193" s="278">
        <v>15.055999999999999</v>
      </c>
      <c r="AB193" s="278">
        <v>19.87</v>
      </c>
      <c r="AC193" s="278">
        <v>8.4930000000000003</v>
      </c>
      <c r="AD193" s="279">
        <v>108.127</v>
      </c>
      <c r="AE193" s="278">
        <f t="shared" si="36"/>
        <v>108.127</v>
      </c>
      <c r="AF193" s="278">
        <f t="shared" si="37"/>
        <v>0</v>
      </c>
      <c r="AG193" s="278">
        <f t="shared" si="34"/>
        <v>0</v>
      </c>
      <c r="AH193" s="202">
        <f t="shared" si="31"/>
        <v>-0.74599999999999866</v>
      </c>
      <c r="AI193" s="202">
        <f t="shared" si="32"/>
        <v>58.53</v>
      </c>
      <c r="AJ193" s="275"/>
      <c r="AK193" s="275"/>
      <c r="AL193" s="275"/>
      <c r="AM193" s="275"/>
      <c r="AN193" s="275"/>
      <c r="AO193" s="275"/>
      <c r="AP193" s="275"/>
      <c r="AQ193" s="275"/>
      <c r="AR193" s="275"/>
      <c r="AS193" s="275"/>
      <c r="AT193" s="275"/>
      <c r="AU193" s="275"/>
      <c r="AV193" s="275"/>
      <c r="AW193" s="275"/>
      <c r="AX193" s="275"/>
      <c r="AY193" s="275"/>
      <c r="AZ193" s="275"/>
      <c r="BA193" s="275"/>
      <c r="BB193" s="275"/>
      <c r="BC193" s="275"/>
      <c r="BE193" s="274">
        <f t="shared" si="38"/>
        <v>3.4879677419354835</v>
      </c>
      <c r="BF193" s="280">
        <f>MAX(G181,G169,G157,G145,G133,G121,G109,G97,G85,G73,G61,G49,G37,G25,G13)</f>
        <v>89.346000000000004</v>
      </c>
      <c r="BG193" s="154" t="str">
        <f t="shared" si="41"/>
        <v>RECORD</v>
      </c>
      <c r="BH193" s="270">
        <f t="shared" si="39"/>
        <v>5.3999999999999916E-2</v>
      </c>
      <c r="BI193" s="270">
        <f t="shared" si="33"/>
        <v>7.9999999999998295E-2</v>
      </c>
    </row>
    <row r="194" spans="1:61">
      <c r="A194" s="266">
        <v>34943</v>
      </c>
      <c r="B194" s="266"/>
      <c r="C194" s="275"/>
      <c r="D194" s="276">
        <v>0.91733333333333178</v>
      </c>
      <c r="E194" s="277">
        <v>4.8624333333333327</v>
      </c>
      <c r="F194" s="277">
        <f t="shared" si="43"/>
        <v>145.87299999999999</v>
      </c>
      <c r="G194" s="277">
        <v>106.506</v>
      </c>
      <c r="H194" s="281">
        <f t="shared" si="42"/>
        <v>0.73012826225552374</v>
      </c>
      <c r="I194" s="202">
        <v>2520.14</v>
      </c>
      <c r="J194" s="270">
        <v>47.32</v>
      </c>
      <c r="K194" s="275"/>
      <c r="L194" s="202">
        <v>313.22199999999998</v>
      </c>
      <c r="M194" s="275"/>
      <c r="N194" s="202">
        <v>1200.904</v>
      </c>
      <c r="O194" s="270">
        <v>11.28</v>
      </c>
      <c r="P194" s="275"/>
      <c r="Q194" s="202">
        <v>431.01</v>
      </c>
      <c r="R194" s="199"/>
      <c r="S194" s="275"/>
      <c r="T194" s="275"/>
      <c r="U194" s="275"/>
      <c r="V194" s="278">
        <v>19.97</v>
      </c>
      <c r="W194" s="278">
        <v>17.670000000000002</v>
      </c>
      <c r="X194" s="278">
        <v>19.751999999999999</v>
      </c>
      <c r="Y194" s="278"/>
      <c r="Z194" s="278">
        <v>7.8579999999999997</v>
      </c>
      <c r="AA194" s="278">
        <v>12.971</v>
      </c>
      <c r="AB194" s="278">
        <v>19.925999999999998</v>
      </c>
      <c r="AC194" s="278">
        <v>8.359</v>
      </c>
      <c r="AD194" s="279">
        <v>106.506</v>
      </c>
      <c r="AE194" s="278">
        <f t="shared" si="36"/>
        <v>106.506</v>
      </c>
      <c r="AF194" s="278">
        <f t="shared" si="37"/>
        <v>0</v>
      </c>
      <c r="AG194" s="278">
        <f t="shared" si="34"/>
        <v>0</v>
      </c>
      <c r="AH194" s="202">
        <f t="shared" ref="AH194:AH257" si="47">AB194-AB193</f>
        <v>5.5999999999997385E-2</v>
      </c>
      <c r="AI194" s="202">
        <f t="shared" si="32"/>
        <v>58.6</v>
      </c>
      <c r="AJ194" s="275"/>
      <c r="AK194" s="275"/>
      <c r="AL194" s="275"/>
      <c r="AM194" s="275"/>
      <c r="AN194" s="275"/>
      <c r="AO194" s="275"/>
      <c r="AP194" s="275"/>
      <c r="AQ194" s="275"/>
      <c r="AR194" s="275"/>
      <c r="AS194" s="275"/>
      <c r="AT194" s="275"/>
      <c r="AU194" s="275"/>
      <c r="AV194" s="275"/>
      <c r="AW194" s="275"/>
      <c r="AX194" s="275"/>
      <c r="AY194" s="275"/>
      <c r="AZ194" s="275"/>
      <c r="BA194" s="275"/>
      <c r="BB194" s="275"/>
      <c r="BC194" s="275"/>
      <c r="BE194" s="274">
        <f>G194/30</f>
        <v>3.5501999999999998</v>
      </c>
      <c r="BF194" s="280">
        <f t="shared" ref="BF194:BF204" si="48">MAX(G182,G170,G158,G146,G134,G122,G110,G98,G86,G74,G62,G50,G38,G26,G14,G2)</f>
        <v>87.352000000000004</v>
      </c>
      <c r="BG194" s="154" t="str">
        <f t="shared" si="41"/>
        <v>RECORD</v>
      </c>
      <c r="BH194" s="270">
        <f t="shared" si="39"/>
        <v>1.9999999999999575E-3</v>
      </c>
      <c r="BI194" s="270">
        <f t="shared" si="33"/>
        <v>-9.9999999999997868E-3</v>
      </c>
    </row>
    <row r="195" spans="1:61">
      <c r="A195" s="266">
        <v>34973</v>
      </c>
      <c r="B195" s="266"/>
      <c r="C195" s="275"/>
      <c r="D195" s="276">
        <v>0.60833333333333428</v>
      </c>
      <c r="E195" s="277">
        <v>4.8232258064516129</v>
      </c>
      <c r="F195" s="277">
        <f t="shared" si="43"/>
        <v>149.52000000000001</v>
      </c>
      <c r="G195" s="277">
        <v>120.005</v>
      </c>
      <c r="H195" s="281">
        <f t="shared" si="42"/>
        <v>0.80260165864098443</v>
      </c>
      <c r="I195" s="202">
        <v>2875.973</v>
      </c>
      <c r="J195" s="270">
        <v>47.93</v>
      </c>
      <c r="K195" s="275"/>
      <c r="L195" s="202">
        <v>500.78800000000001</v>
      </c>
      <c r="M195" s="275"/>
      <c r="N195" s="202">
        <v>1353.7159999999999</v>
      </c>
      <c r="O195" s="270">
        <v>11.28</v>
      </c>
      <c r="P195" s="275"/>
      <c r="Q195" s="202">
        <v>482.17099999999999</v>
      </c>
      <c r="R195" s="199"/>
      <c r="S195" s="275"/>
      <c r="T195" s="275"/>
      <c r="U195" s="275"/>
      <c r="V195" s="278">
        <v>22.61</v>
      </c>
      <c r="W195" s="278">
        <v>17.827999999999999</v>
      </c>
      <c r="X195" s="278">
        <v>22.346</v>
      </c>
      <c r="Y195" s="278"/>
      <c r="Z195" s="278">
        <v>11.339</v>
      </c>
      <c r="AA195" s="278">
        <v>16.016999999999999</v>
      </c>
      <c r="AB195" s="278">
        <v>21.632999999999999</v>
      </c>
      <c r="AC195" s="278">
        <v>8.2319999999999993</v>
      </c>
      <c r="AD195" s="279">
        <v>120.005</v>
      </c>
      <c r="AE195" s="278">
        <f t="shared" si="36"/>
        <v>120.005</v>
      </c>
      <c r="AF195" s="278">
        <f t="shared" si="37"/>
        <v>0</v>
      </c>
      <c r="AG195" s="278">
        <f t="shared" si="34"/>
        <v>0</v>
      </c>
      <c r="AH195" s="202">
        <f t="shared" si="47"/>
        <v>1.7070000000000007</v>
      </c>
      <c r="AI195" s="202">
        <f t="shared" ref="AI195:AI258" si="49">J195+O195</f>
        <v>59.21</v>
      </c>
      <c r="AJ195" s="275"/>
      <c r="AK195" s="275"/>
      <c r="AL195" s="275"/>
      <c r="AM195" s="275"/>
      <c r="AN195" s="275"/>
      <c r="AO195" s="275"/>
      <c r="AP195" s="275"/>
      <c r="AQ195" s="275"/>
      <c r="AR195" s="275"/>
      <c r="AS195" s="275"/>
      <c r="AT195" s="275"/>
      <c r="AU195" s="275"/>
      <c r="AV195" s="275"/>
      <c r="AW195" s="275"/>
      <c r="AX195" s="275"/>
      <c r="AY195" s="275"/>
      <c r="AZ195" s="275"/>
      <c r="BA195" s="275"/>
      <c r="BB195" s="275"/>
      <c r="BC195" s="275"/>
      <c r="BE195" s="274">
        <f t="shared" si="38"/>
        <v>3.8711290322580645</v>
      </c>
      <c r="BF195" s="280">
        <f t="shared" si="48"/>
        <v>104.3</v>
      </c>
      <c r="BG195" s="154" t="str">
        <f t="shared" si="41"/>
        <v>RECORD</v>
      </c>
      <c r="BH195" s="270">
        <f t="shared" si="39"/>
        <v>-0.17199999999999954</v>
      </c>
      <c r="BI195" s="270">
        <f t="shared" si="33"/>
        <v>0</v>
      </c>
    </row>
    <row r="196" spans="1:61">
      <c r="A196" s="266">
        <v>35004</v>
      </c>
      <c r="B196" s="266"/>
      <c r="C196" s="275"/>
      <c r="D196" s="276">
        <v>1.5080000000000098</v>
      </c>
      <c r="E196" s="277">
        <v>4.8231999999999999</v>
      </c>
      <c r="F196" s="277">
        <f t="shared" si="43"/>
        <v>144.696</v>
      </c>
      <c r="G196" s="277">
        <v>121.902</v>
      </c>
      <c r="H196" s="281">
        <f t="shared" si="42"/>
        <v>0.84246972964007305</v>
      </c>
      <c r="I196" s="202">
        <v>2912.498</v>
      </c>
      <c r="J196" s="270">
        <v>47.78</v>
      </c>
      <c r="K196" s="275"/>
      <c r="L196" s="202">
        <v>526.74099999999999</v>
      </c>
      <c r="M196" s="275"/>
      <c r="N196" s="202">
        <v>1350.1369999999999</v>
      </c>
      <c r="O196" s="270">
        <v>11.08</v>
      </c>
      <c r="P196" s="275"/>
      <c r="Q196" s="202">
        <v>431.005</v>
      </c>
      <c r="R196" s="199"/>
      <c r="S196" s="275"/>
      <c r="T196" s="275"/>
      <c r="U196" s="275"/>
      <c r="V196" s="278">
        <v>22.24</v>
      </c>
      <c r="W196" s="278">
        <v>19.427</v>
      </c>
      <c r="X196" s="278">
        <v>22.149000000000001</v>
      </c>
      <c r="Y196" s="278"/>
      <c r="Z196" s="278">
        <v>12.26</v>
      </c>
      <c r="AA196" s="278">
        <v>15.766</v>
      </c>
      <c r="AB196" s="278">
        <v>21.613</v>
      </c>
      <c r="AC196" s="278">
        <v>8.4469999999999992</v>
      </c>
      <c r="AD196" s="279">
        <v>121.902</v>
      </c>
      <c r="AE196" s="278">
        <f t="shared" si="36"/>
        <v>121.90200000000002</v>
      </c>
      <c r="AF196" s="278">
        <f t="shared" si="37"/>
        <v>0</v>
      </c>
      <c r="AG196" s="278">
        <f t="shared" si="34"/>
        <v>0</v>
      </c>
      <c r="AH196" s="202">
        <f t="shared" si="47"/>
        <v>-1.9999999999999574E-2</v>
      </c>
      <c r="AI196" s="202">
        <f t="shared" si="49"/>
        <v>58.86</v>
      </c>
      <c r="AJ196" s="275"/>
      <c r="AK196" s="275"/>
      <c r="AL196" s="275"/>
      <c r="AM196" s="275"/>
      <c r="AN196" s="275"/>
      <c r="AO196" s="275"/>
      <c r="AP196" s="275"/>
      <c r="AQ196" s="275"/>
      <c r="AR196" s="275"/>
      <c r="AS196" s="275"/>
      <c r="AT196" s="275"/>
      <c r="AU196" s="275"/>
      <c r="AV196" s="275"/>
      <c r="AW196" s="275"/>
      <c r="AX196" s="275"/>
      <c r="AY196" s="275"/>
      <c r="AZ196" s="275"/>
      <c r="BA196" s="275"/>
      <c r="BB196" s="275"/>
      <c r="BC196" s="275"/>
      <c r="BE196" s="274">
        <f>G196/30</f>
        <v>4.0633999999999997</v>
      </c>
      <c r="BF196" s="280">
        <f t="shared" si="48"/>
        <v>107.6</v>
      </c>
      <c r="BG196" s="154" t="str">
        <f t="shared" si="41"/>
        <v>RECORD</v>
      </c>
      <c r="BH196" s="270">
        <f t="shared" si="39"/>
        <v>-0.10599999999999987</v>
      </c>
      <c r="BI196" s="270">
        <f t="shared" ref="BI196:BI259" si="50">O196-O195</f>
        <v>-0.19999999999999929</v>
      </c>
    </row>
    <row r="197" spans="1:61">
      <c r="A197" s="266">
        <v>35034</v>
      </c>
      <c r="B197" s="266"/>
      <c r="C197" s="275"/>
      <c r="D197" s="276">
        <v>1.1879999999999882</v>
      </c>
      <c r="E197" s="277">
        <v>4.8232258064516129</v>
      </c>
      <c r="F197" s="277">
        <f t="shared" si="43"/>
        <v>149.52000000000001</v>
      </c>
      <c r="G197" s="277">
        <v>123.91200000000001</v>
      </c>
      <c r="H197" s="281">
        <f t="shared" si="42"/>
        <v>0.82873194221508828</v>
      </c>
      <c r="I197" s="202">
        <v>2950.6370000000002</v>
      </c>
      <c r="J197" s="270">
        <v>47.62</v>
      </c>
      <c r="K197" s="275"/>
      <c r="L197" s="202">
        <v>473.44799999999998</v>
      </c>
      <c r="M197" s="275"/>
      <c r="N197" s="202">
        <v>1378.057</v>
      </c>
      <c r="O197" s="270">
        <v>11.12</v>
      </c>
      <c r="P197" s="275"/>
      <c r="Q197" s="202">
        <v>588.60799999999995</v>
      </c>
      <c r="R197" s="199"/>
      <c r="S197" s="275"/>
      <c r="T197" s="275"/>
      <c r="U197" s="275"/>
      <c r="V197" s="278">
        <v>22.535</v>
      </c>
      <c r="W197" s="278">
        <v>19.452000000000002</v>
      </c>
      <c r="X197" s="278">
        <v>22.158999999999999</v>
      </c>
      <c r="Y197" s="278"/>
      <c r="Z197" s="278">
        <v>11.351000000000001</v>
      </c>
      <c r="AA197" s="278">
        <v>16.687999999999999</v>
      </c>
      <c r="AB197" s="278">
        <v>22.916</v>
      </c>
      <c r="AC197" s="278">
        <v>8.8109999999999999</v>
      </c>
      <c r="AD197" s="279">
        <v>123.91200000000001</v>
      </c>
      <c r="AE197" s="278">
        <f t="shared" si="36"/>
        <v>123.91200000000001</v>
      </c>
      <c r="AF197" s="278">
        <f t="shared" si="37"/>
        <v>0</v>
      </c>
      <c r="AG197" s="278">
        <f t="shared" si="34"/>
        <v>0</v>
      </c>
      <c r="AH197" s="202">
        <f t="shared" si="47"/>
        <v>1.3030000000000008</v>
      </c>
      <c r="AI197" s="202">
        <f t="shared" si="49"/>
        <v>58.739999999999995</v>
      </c>
      <c r="AJ197" s="275"/>
      <c r="AK197" s="275"/>
      <c r="AL197" s="275"/>
      <c r="AM197" s="275"/>
      <c r="AN197" s="275"/>
      <c r="AO197" s="275"/>
      <c r="AP197" s="275"/>
      <c r="AQ197" s="275"/>
      <c r="AR197" s="275"/>
      <c r="AS197" s="275"/>
      <c r="AT197" s="275"/>
      <c r="AU197" s="275"/>
      <c r="AV197" s="275"/>
      <c r="AW197" s="275"/>
      <c r="AX197" s="275"/>
      <c r="AY197" s="275"/>
      <c r="AZ197" s="275"/>
      <c r="BA197" s="275"/>
      <c r="BB197" s="275"/>
      <c r="BC197" s="275"/>
      <c r="BE197" s="274">
        <f t="shared" si="38"/>
        <v>3.9971612903225808</v>
      </c>
      <c r="BF197" s="280">
        <f t="shared" si="48"/>
        <v>111.6</v>
      </c>
      <c r="BG197" s="154" t="str">
        <f t="shared" si="41"/>
        <v>RECORD</v>
      </c>
      <c r="BH197" s="270">
        <f t="shared" si="39"/>
        <v>3.9999999999999151E-3</v>
      </c>
      <c r="BI197" s="270">
        <f t="shared" si="50"/>
        <v>3.9999999999999147E-2</v>
      </c>
    </row>
    <row r="198" spans="1:61">
      <c r="A198" s="266">
        <v>35065</v>
      </c>
      <c r="B198" s="266"/>
      <c r="C198" s="275"/>
      <c r="D198" s="276">
        <v>0.67433333333333678</v>
      </c>
      <c r="E198" s="277">
        <v>4.8821290322580646</v>
      </c>
      <c r="F198" s="277">
        <f t="shared" si="43"/>
        <v>151.346</v>
      </c>
      <c r="G198" s="277">
        <v>122.119</v>
      </c>
      <c r="H198" s="281">
        <f t="shared" si="42"/>
        <v>0.80688620776234588</v>
      </c>
      <c r="I198" s="202">
        <v>2910.0549999999998</v>
      </c>
      <c r="J198" s="270">
        <v>47.66</v>
      </c>
      <c r="K198" s="275"/>
      <c r="L198" s="202">
        <v>603.62300000000005</v>
      </c>
      <c r="M198" s="275"/>
      <c r="N198" s="202">
        <v>1348.769</v>
      </c>
      <c r="O198" s="270">
        <v>11.04</v>
      </c>
      <c r="P198" s="275"/>
      <c r="Q198" s="202">
        <v>681.13400000000001</v>
      </c>
      <c r="R198" s="199"/>
      <c r="S198" s="275"/>
      <c r="T198" s="275"/>
      <c r="U198" s="275"/>
      <c r="V198" s="278">
        <v>21.33</v>
      </c>
      <c r="W198" s="278">
        <v>19.591999999999999</v>
      </c>
      <c r="X198" s="278">
        <v>23</v>
      </c>
      <c r="Y198" s="278"/>
      <c r="Z198" s="278">
        <v>11.677</v>
      </c>
      <c r="AA198" s="278">
        <v>15.782</v>
      </c>
      <c r="AB198" s="278">
        <v>22.350999999999999</v>
      </c>
      <c r="AC198" s="278">
        <v>8.3870000000000005</v>
      </c>
      <c r="AD198" s="279">
        <v>122.119</v>
      </c>
      <c r="AE198" s="278">
        <f t="shared" si="36"/>
        <v>122.11899999999999</v>
      </c>
      <c r="AF198" s="278">
        <f t="shared" si="37"/>
        <v>0</v>
      </c>
      <c r="AG198" s="278">
        <f t="shared" ref="AG198:AG261" si="51">AE198-G198</f>
        <v>0</v>
      </c>
      <c r="AH198" s="202">
        <f t="shared" si="47"/>
        <v>-0.56500000000000128</v>
      </c>
      <c r="AI198" s="202">
        <f t="shared" si="49"/>
        <v>58.699999999999996</v>
      </c>
      <c r="AJ198" s="275"/>
      <c r="AK198" s="275"/>
      <c r="AL198" s="275"/>
      <c r="AM198" s="275"/>
      <c r="AN198" s="275"/>
      <c r="AO198" s="275"/>
      <c r="AP198" s="275"/>
      <c r="AQ198" s="275"/>
      <c r="AR198" s="275"/>
      <c r="AS198" s="275"/>
      <c r="AT198" s="275"/>
      <c r="AU198" s="275"/>
      <c r="AV198" s="275"/>
      <c r="AW198" s="275"/>
      <c r="AX198" s="275"/>
      <c r="AY198" s="275"/>
      <c r="AZ198" s="275"/>
      <c r="BA198" s="275"/>
      <c r="BB198" s="275"/>
      <c r="BC198" s="275"/>
      <c r="BE198" s="274">
        <f t="shared" si="38"/>
        <v>3.9393225806451615</v>
      </c>
      <c r="BF198" s="280">
        <f t="shared" si="48"/>
        <v>126.586</v>
      </c>
      <c r="BG198" s="154" t="str">
        <f t="shared" si="41"/>
        <v/>
      </c>
      <c r="BH198" s="270">
        <f t="shared" si="39"/>
        <v>3.1999999999999675E-2</v>
      </c>
      <c r="BI198" s="270">
        <f t="shared" si="50"/>
        <v>-8.0000000000000071E-2</v>
      </c>
    </row>
    <row r="199" spans="1:61">
      <c r="A199" s="266">
        <v>35096</v>
      </c>
      <c r="B199" s="266"/>
      <c r="C199" s="275"/>
      <c r="D199" s="276">
        <v>1.306666666666672</v>
      </c>
      <c r="E199" s="277">
        <v>4.8821379310344826</v>
      </c>
      <c r="F199" s="277">
        <f t="shared" si="43"/>
        <v>141.58199999999999</v>
      </c>
      <c r="G199" s="277">
        <v>109.89</v>
      </c>
      <c r="H199" s="281">
        <f t="shared" si="42"/>
        <v>0.77615798618468457</v>
      </c>
      <c r="I199" s="202">
        <v>2619.7469999999998</v>
      </c>
      <c r="J199" s="270">
        <v>47.68</v>
      </c>
      <c r="K199" s="275"/>
      <c r="L199" s="202">
        <v>547.95699999999999</v>
      </c>
      <c r="M199" s="275"/>
      <c r="N199" s="202">
        <v>1218.8579999999999</v>
      </c>
      <c r="O199" s="270">
        <v>11.09</v>
      </c>
      <c r="P199" s="275"/>
      <c r="Q199" s="202">
        <v>666.23699999999997</v>
      </c>
      <c r="R199" s="199"/>
      <c r="S199" s="275"/>
      <c r="T199" s="275"/>
      <c r="U199" s="275"/>
      <c r="V199" s="278">
        <v>18.462</v>
      </c>
      <c r="W199" s="278">
        <v>18.452000000000002</v>
      </c>
      <c r="X199" s="278">
        <v>19.689</v>
      </c>
      <c r="Y199" s="278"/>
      <c r="Z199" s="278">
        <v>10.599</v>
      </c>
      <c r="AA199" s="278">
        <v>14.337</v>
      </c>
      <c r="AB199" s="278">
        <v>20.338999999999999</v>
      </c>
      <c r="AC199" s="278">
        <v>8.0120000000000005</v>
      </c>
      <c r="AD199" s="279">
        <v>109.89</v>
      </c>
      <c r="AE199" s="278">
        <f t="shared" ref="AE199:AE262" si="52">SUM(V199:AC199)</f>
        <v>109.89</v>
      </c>
      <c r="AF199" s="278">
        <f t="shared" ref="AF199:AF262" si="53">AE199-AD199</f>
        <v>0</v>
      </c>
      <c r="AG199" s="278">
        <f t="shared" si="51"/>
        <v>0</v>
      </c>
      <c r="AH199" s="202">
        <f t="shared" si="47"/>
        <v>-2.0120000000000005</v>
      </c>
      <c r="AI199" s="202">
        <f t="shared" si="49"/>
        <v>58.769999999999996</v>
      </c>
      <c r="AJ199" s="275"/>
      <c r="AK199" s="275"/>
      <c r="AL199" s="275"/>
      <c r="AM199" s="275"/>
      <c r="AN199" s="275"/>
      <c r="AO199" s="275"/>
      <c r="AP199" s="275"/>
      <c r="AQ199" s="275"/>
      <c r="AR199" s="275"/>
      <c r="AS199" s="275"/>
      <c r="AT199" s="275"/>
      <c r="AU199" s="275"/>
      <c r="AV199" s="275"/>
      <c r="AW199" s="275"/>
      <c r="AX199" s="275"/>
      <c r="AY199" s="275"/>
      <c r="AZ199" s="275"/>
      <c r="BA199" s="275"/>
      <c r="BB199" s="275"/>
      <c r="BC199" s="275"/>
      <c r="BE199" s="274">
        <f>G199/29</f>
        <v>3.7893103448275864</v>
      </c>
      <c r="BF199" s="280">
        <f t="shared" si="48"/>
        <v>115.569</v>
      </c>
      <c r="BG199" s="154" t="str">
        <f t="shared" si="41"/>
        <v/>
      </c>
      <c r="BH199" s="270">
        <f t="shared" si="39"/>
        <v>4.6000000000000082E-2</v>
      </c>
      <c r="BI199" s="270">
        <f t="shared" si="50"/>
        <v>5.0000000000000711E-2</v>
      </c>
    </row>
    <row r="200" spans="1:61">
      <c r="A200" s="266">
        <v>35125</v>
      </c>
      <c r="B200" s="266"/>
      <c r="C200" s="275"/>
      <c r="D200" s="276">
        <v>1.1439999999999912</v>
      </c>
      <c r="E200" s="277">
        <v>4.8821290322580646</v>
      </c>
      <c r="F200" s="277">
        <f t="shared" si="43"/>
        <v>151.346</v>
      </c>
      <c r="G200" s="277">
        <v>114.346</v>
      </c>
      <c r="H200" s="281">
        <f t="shared" si="42"/>
        <v>0.75552707042141842</v>
      </c>
      <c r="I200" s="202">
        <v>2722.694</v>
      </c>
      <c r="J200" s="270">
        <v>47.62</v>
      </c>
      <c r="K200" s="275"/>
      <c r="L200" s="202">
        <v>381.37</v>
      </c>
      <c r="M200" s="275"/>
      <c r="N200" s="202">
        <v>1284.4269999999999</v>
      </c>
      <c r="O200" s="270">
        <v>11.23</v>
      </c>
      <c r="P200" s="275"/>
      <c r="Q200" s="202">
        <v>689.78099999999995</v>
      </c>
      <c r="R200" s="199"/>
      <c r="S200" s="275"/>
      <c r="T200" s="275"/>
      <c r="U200" s="275"/>
      <c r="V200" s="278">
        <v>19.097000000000001</v>
      </c>
      <c r="W200" s="278">
        <v>19.562999999999999</v>
      </c>
      <c r="X200" s="278">
        <v>20.138999999999999</v>
      </c>
      <c r="Y200" s="278"/>
      <c r="Z200" s="278">
        <v>11.298999999999999</v>
      </c>
      <c r="AA200" s="278">
        <v>14.153</v>
      </c>
      <c r="AB200" s="278">
        <v>21.655999999999999</v>
      </c>
      <c r="AC200" s="278">
        <v>8.4390000000000001</v>
      </c>
      <c r="AD200" s="279">
        <v>114.346</v>
      </c>
      <c r="AE200" s="278">
        <f t="shared" si="52"/>
        <v>114.34599999999998</v>
      </c>
      <c r="AF200" s="278">
        <f t="shared" si="53"/>
        <v>0</v>
      </c>
      <c r="AG200" s="278">
        <f t="shared" si="51"/>
        <v>0</v>
      </c>
      <c r="AH200" s="202">
        <f t="shared" si="47"/>
        <v>1.3170000000000002</v>
      </c>
      <c r="AI200" s="202">
        <f t="shared" si="49"/>
        <v>58.849999999999994</v>
      </c>
      <c r="AJ200" s="275"/>
      <c r="AK200" s="275"/>
      <c r="AL200" s="275"/>
      <c r="AM200" s="275"/>
      <c r="AN200" s="275"/>
      <c r="AO200" s="275"/>
      <c r="AP200" s="275"/>
      <c r="AQ200" s="275"/>
      <c r="AR200" s="275"/>
      <c r="AS200" s="275"/>
      <c r="AT200" s="275"/>
      <c r="AU200" s="275"/>
      <c r="AV200" s="275"/>
      <c r="AW200" s="275"/>
      <c r="AX200" s="275"/>
      <c r="AY200" s="275"/>
      <c r="AZ200" s="275"/>
      <c r="BA200" s="275"/>
      <c r="BB200" s="275"/>
      <c r="BC200" s="275"/>
      <c r="BE200" s="274">
        <f t="shared" ref="BE200:BE262" si="54">G200/31</f>
        <v>3.6885806451612906</v>
      </c>
      <c r="BF200" s="280">
        <f t="shared" si="48"/>
        <v>126.59</v>
      </c>
      <c r="BG200" s="154" t="str">
        <f t="shared" si="41"/>
        <v/>
      </c>
      <c r="BH200" s="270">
        <f t="shared" si="39"/>
        <v>5.1999999999999956E-2</v>
      </c>
      <c r="BI200" s="270">
        <f t="shared" si="50"/>
        <v>0.14000000000000057</v>
      </c>
    </row>
    <row r="201" spans="1:61">
      <c r="A201" s="266">
        <v>35156</v>
      </c>
      <c r="B201" s="266"/>
      <c r="C201" s="275"/>
      <c r="D201" s="276">
        <v>0.68600000000000705</v>
      </c>
      <c r="E201" s="277">
        <v>4.8990333333333336</v>
      </c>
      <c r="F201" s="277">
        <f t="shared" si="43"/>
        <v>146.971</v>
      </c>
      <c r="G201" s="277">
        <v>111.45399999999999</v>
      </c>
      <c r="H201" s="281">
        <f t="shared" si="42"/>
        <v>0.75834008069619174</v>
      </c>
      <c r="I201" s="202">
        <v>2661.0749999999998</v>
      </c>
      <c r="J201" s="270">
        <v>47.75</v>
      </c>
      <c r="K201" s="275"/>
      <c r="L201" s="202">
        <v>341.94</v>
      </c>
      <c r="M201" s="275"/>
      <c r="N201" s="202">
        <v>1259.0830000000001</v>
      </c>
      <c r="O201" s="270">
        <v>11.3</v>
      </c>
      <c r="P201" s="275"/>
      <c r="Q201" s="202">
        <v>745.06399999999996</v>
      </c>
      <c r="R201" s="199"/>
      <c r="S201" s="275"/>
      <c r="T201" s="275"/>
      <c r="U201" s="275"/>
      <c r="V201" s="278">
        <v>18.613</v>
      </c>
      <c r="W201" s="278">
        <v>18.68</v>
      </c>
      <c r="X201" s="278">
        <v>19.966999999999999</v>
      </c>
      <c r="Y201" s="278"/>
      <c r="Z201" s="278">
        <v>11.566000000000001</v>
      </c>
      <c r="AA201" s="278">
        <v>13.872</v>
      </c>
      <c r="AB201" s="278">
        <v>21.091999999999999</v>
      </c>
      <c r="AC201" s="278">
        <v>7.6639999999999997</v>
      </c>
      <c r="AD201" s="279">
        <v>111.45399999999999</v>
      </c>
      <c r="AE201" s="278">
        <f t="shared" si="52"/>
        <v>111.45399999999999</v>
      </c>
      <c r="AF201" s="278">
        <f t="shared" si="53"/>
        <v>0</v>
      </c>
      <c r="AG201" s="278">
        <f t="shared" si="51"/>
        <v>0</v>
      </c>
      <c r="AH201" s="202">
        <f t="shared" si="47"/>
        <v>-0.56400000000000006</v>
      </c>
      <c r="AI201" s="202">
        <f t="shared" si="49"/>
        <v>59.05</v>
      </c>
      <c r="AJ201" s="275"/>
      <c r="AK201" s="275"/>
      <c r="AL201" s="275"/>
      <c r="AM201" s="275"/>
      <c r="AN201" s="275"/>
      <c r="AO201" s="275"/>
      <c r="AP201" s="275"/>
      <c r="AQ201" s="275"/>
      <c r="AR201" s="275"/>
      <c r="AS201" s="275"/>
      <c r="AT201" s="275"/>
      <c r="AU201" s="275"/>
      <c r="AV201" s="275"/>
      <c r="AW201" s="275"/>
      <c r="AX201" s="275"/>
      <c r="AY201" s="275"/>
      <c r="AZ201" s="275"/>
      <c r="BA201" s="275"/>
      <c r="BB201" s="275"/>
      <c r="BC201" s="275"/>
      <c r="BE201" s="274">
        <f>G201/30</f>
        <v>3.7151333333333332</v>
      </c>
      <c r="BF201" s="280">
        <f t="shared" si="48"/>
        <v>118.94199999999999</v>
      </c>
      <c r="BG201" s="154" t="str">
        <f t="shared" si="41"/>
        <v/>
      </c>
      <c r="BH201" s="270">
        <f t="shared" si="39"/>
        <v>4.2000000000000523E-2</v>
      </c>
      <c r="BI201" s="270">
        <f t="shared" si="50"/>
        <v>7.0000000000000284E-2</v>
      </c>
    </row>
    <row r="202" spans="1:61">
      <c r="A202" s="266">
        <v>35186</v>
      </c>
      <c r="B202" s="266"/>
      <c r="C202" s="275"/>
      <c r="D202" s="276">
        <v>1.3379999999999939</v>
      </c>
      <c r="E202" s="277">
        <v>4.8990645161290329</v>
      </c>
      <c r="F202" s="277">
        <f t="shared" si="43"/>
        <v>151.87100000000001</v>
      </c>
      <c r="G202" s="277">
        <v>104.992</v>
      </c>
      <c r="H202" s="281">
        <f t="shared" si="42"/>
        <v>0.69132355749287222</v>
      </c>
      <c r="I202" s="202">
        <v>2503.1579999999999</v>
      </c>
      <c r="J202" s="270">
        <v>47.68</v>
      </c>
      <c r="K202" s="275"/>
      <c r="L202" s="202">
        <v>329.78699999999998</v>
      </c>
      <c r="M202" s="275"/>
      <c r="N202" s="202">
        <v>1186.8920000000001</v>
      </c>
      <c r="O202" s="270">
        <v>11.3</v>
      </c>
      <c r="P202" s="275"/>
      <c r="Q202" s="202">
        <v>693.18899999999996</v>
      </c>
      <c r="R202" s="199"/>
      <c r="S202" s="275"/>
      <c r="T202" s="275"/>
      <c r="U202" s="275"/>
      <c r="V202" s="278">
        <v>19.271000000000001</v>
      </c>
      <c r="W202" s="278">
        <v>16.324999999999999</v>
      </c>
      <c r="X202" s="278">
        <v>20.327000000000002</v>
      </c>
      <c r="Y202" s="278"/>
      <c r="Z202" s="278">
        <v>8.3360000000000003</v>
      </c>
      <c r="AA202" s="278">
        <v>13.135999999999999</v>
      </c>
      <c r="AB202" s="278">
        <v>19.361999999999998</v>
      </c>
      <c r="AC202" s="278">
        <v>8.2349999999999994</v>
      </c>
      <c r="AD202" s="279">
        <v>104.992</v>
      </c>
      <c r="AE202" s="278">
        <f t="shared" si="52"/>
        <v>104.99199999999999</v>
      </c>
      <c r="AF202" s="278">
        <f t="shared" si="53"/>
        <v>0</v>
      </c>
      <c r="AG202" s="278">
        <f t="shared" si="51"/>
        <v>0</v>
      </c>
      <c r="AH202" s="202">
        <f t="shared" si="47"/>
        <v>-1.7300000000000004</v>
      </c>
      <c r="AI202" s="202">
        <f t="shared" si="49"/>
        <v>58.980000000000004</v>
      </c>
      <c r="AJ202" s="275"/>
      <c r="AK202" s="275"/>
      <c r="AL202" s="275"/>
      <c r="AM202" s="275"/>
      <c r="AN202" s="275"/>
      <c r="AO202" s="275"/>
      <c r="AP202" s="275"/>
      <c r="AQ202" s="275"/>
      <c r="AR202" s="275"/>
      <c r="AS202" s="275"/>
      <c r="AT202" s="275"/>
      <c r="AU202" s="275"/>
      <c r="AV202" s="275"/>
      <c r="AW202" s="275"/>
      <c r="AX202" s="275"/>
      <c r="AY202" s="275"/>
      <c r="AZ202" s="275"/>
      <c r="BA202" s="275"/>
      <c r="BB202" s="275"/>
      <c r="BC202" s="275"/>
      <c r="BE202" s="274">
        <f t="shared" si="54"/>
        <v>3.3868387096774195</v>
      </c>
      <c r="BF202" s="280">
        <f t="shared" si="48"/>
        <v>112.84099999999999</v>
      </c>
      <c r="BG202" s="154" t="str">
        <f t="shared" si="41"/>
        <v/>
      </c>
      <c r="BH202" s="270">
        <f t="shared" si="39"/>
        <v>-1.2000000000000099E-2</v>
      </c>
      <c r="BI202" s="270">
        <f t="shared" si="50"/>
        <v>0</v>
      </c>
    </row>
    <row r="203" spans="1:61">
      <c r="A203" s="266">
        <v>35217</v>
      </c>
      <c r="B203" s="266"/>
      <c r="C203" s="275"/>
      <c r="D203" s="276">
        <v>0.90800000000000125</v>
      </c>
      <c r="E203" s="277">
        <v>4.8990333333333336</v>
      </c>
      <c r="F203" s="277">
        <f t="shared" si="43"/>
        <v>146.971</v>
      </c>
      <c r="G203" s="277">
        <v>106.55200000000001</v>
      </c>
      <c r="H203" s="281">
        <f t="shared" si="42"/>
        <v>0.72498656197481137</v>
      </c>
      <c r="I203" s="202">
        <v>2530.8690000000001</v>
      </c>
      <c r="J203" s="270">
        <v>47.5</v>
      </c>
      <c r="K203" s="275"/>
      <c r="L203" s="202">
        <v>364.51</v>
      </c>
      <c r="M203" s="275"/>
      <c r="N203" s="202">
        <v>1209.413</v>
      </c>
      <c r="O203" s="270">
        <v>11.35</v>
      </c>
      <c r="P203" s="275"/>
      <c r="Q203" s="202">
        <v>1732.413</v>
      </c>
      <c r="R203" s="199"/>
      <c r="S203" s="275"/>
      <c r="T203" s="275"/>
      <c r="U203" s="275"/>
      <c r="V203" s="278">
        <v>18.056000000000001</v>
      </c>
      <c r="W203" s="278">
        <v>15.936</v>
      </c>
      <c r="X203" s="278">
        <v>19.541</v>
      </c>
      <c r="Y203" s="278"/>
      <c r="Z203" s="278">
        <v>10.786</v>
      </c>
      <c r="AA203" s="278">
        <v>14.513</v>
      </c>
      <c r="AB203" s="278">
        <v>20.61</v>
      </c>
      <c r="AC203" s="278">
        <v>7.11</v>
      </c>
      <c r="AD203" s="279">
        <v>106.553</v>
      </c>
      <c r="AE203" s="278">
        <f t="shared" si="52"/>
        <v>106.55200000000001</v>
      </c>
      <c r="AF203" s="278">
        <f t="shared" si="53"/>
        <v>-9.9999999999056399E-4</v>
      </c>
      <c r="AG203" s="278">
        <f t="shared" si="51"/>
        <v>0</v>
      </c>
      <c r="AH203" s="202">
        <f t="shared" si="47"/>
        <v>1.2480000000000011</v>
      </c>
      <c r="AI203" s="202">
        <f t="shared" si="49"/>
        <v>58.85</v>
      </c>
      <c r="AJ203" s="275"/>
      <c r="AK203" s="275"/>
      <c r="AL203" s="275"/>
      <c r="AM203" s="275"/>
      <c r="AN203" s="275"/>
      <c r="AO203" s="275"/>
      <c r="AP203" s="275"/>
      <c r="AQ203" s="275"/>
      <c r="AR203" s="275"/>
      <c r="AS203" s="275"/>
      <c r="AT203" s="275"/>
      <c r="AU203" s="275"/>
      <c r="AV203" s="275"/>
      <c r="AW203" s="275"/>
      <c r="AX203" s="275"/>
      <c r="AY203" s="275"/>
      <c r="AZ203" s="275"/>
      <c r="BA203" s="275"/>
      <c r="BB203" s="275"/>
      <c r="BC203" s="275"/>
      <c r="BE203" s="274">
        <f>G203/30</f>
        <v>3.5517333333333334</v>
      </c>
      <c r="BF203" s="280">
        <f t="shared" si="48"/>
        <v>104.393</v>
      </c>
      <c r="BG203" s="154" t="str">
        <f t="shared" si="41"/>
        <v>RECORD</v>
      </c>
      <c r="BH203" s="270">
        <f t="shared" si="39"/>
        <v>9.1999999999999457E-2</v>
      </c>
      <c r="BI203" s="270">
        <f t="shared" si="50"/>
        <v>4.9999999999998934E-2</v>
      </c>
    </row>
    <row r="204" spans="1:61">
      <c r="A204" s="266">
        <v>35247</v>
      </c>
      <c r="B204" s="266"/>
      <c r="C204" s="275"/>
      <c r="D204" s="276">
        <v>0.75600000000000023</v>
      </c>
      <c r="E204" s="277">
        <v>4.8830967741935485</v>
      </c>
      <c r="F204" s="277">
        <f t="shared" si="43"/>
        <v>151.376</v>
      </c>
      <c r="G204" s="277">
        <v>111.104</v>
      </c>
      <c r="H204" s="281">
        <f t="shared" si="42"/>
        <v>0.73396046929500047</v>
      </c>
      <c r="I204" s="202">
        <v>2661.7370000000001</v>
      </c>
      <c r="J204" s="270">
        <v>47.91</v>
      </c>
      <c r="K204" s="275"/>
      <c r="L204" s="202">
        <v>485.18900000000002</v>
      </c>
      <c r="M204" s="275"/>
      <c r="N204" s="202">
        <v>1268.106</v>
      </c>
      <c r="O204" s="270">
        <v>11.41</v>
      </c>
      <c r="P204" s="275"/>
      <c r="Q204" s="202">
        <v>1864.1410000000001</v>
      </c>
      <c r="R204" s="199"/>
      <c r="S204" s="275"/>
      <c r="T204" s="275"/>
      <c r="U204" s="275"/>
      <c r="V204" s="278">
        <v>19.681000000000001</v>
      </c>
      <c r="W204" s="278">
        <v>19.72</v>
      </c>
      <c r="X204" s="278">
        <v>17.690999999999999</v>
      </c>
      <c r="Y204" s="278"/>
      <c r="Z204" s="278">
        <v>10.827999999999999</v>
      </c>
      <c r="AA204" s="278">
        <v>14.478</v>
      </c>
      <c r="AB204" s="278">
        <v>21.350999999999999</v>
      </c>
      <c r="AC204" s="278">
        <v>8.1419999999999995</v>
      </c>
      <c r="AD204" s="279">
        <v>111.89100000000001</v>
      </c>
      <c r="AE204" s="278">
        <f t="shared" si="52"/>
        <v>111.89099999999999</v>
      </c>
      <c r="AF204" s="278">
        <f t="shared" si="53"/>
        <v>0</v>
      </c>
      <c r="AG204" s="278">
        <f t="shared" si="51"/>
        <v>0.78699999999999193</v>
      </c>
      <c r="AH204" s="202">
        <f t="shared" si="47"/>
        <v>0.74099999999999966</v>
      </c>
      <c r="AI204" s="202">
        <f t="shared" si="49"/>
        <v>59.319999999999993</v>
      </c>
      <c r="AJ204" s="275"/>
      <c r="AK204" s="275"/>
      <c r="AL204" s="275"/>
      <c r="AM204" s="275"/>
      <c r="AN204" s="275"/>
      <c r="AO204" s="275"/>
      <c r="AP204" s="275"/>
      <c r="AQ204" s="275"/>
      <c r="AR204" s="275"/>
      <c r="AS204" s="275"/>
      <c r="AT204" s="275"/>
      <c r="AU204" s="275"/>
      <c r="AV204" s="275"/>
      <c r="AW204" s="275"/>
      <c r="AX204" s="275"/>
      <c r="AY204" s="275"/>
      <c r="AZ204" s="275"/>
      <c r="BA204" s="275"/>
      <c r="BB204" s="275"/>
      <c r="BC204" s="275"/>
      <c r="BE204" s="274">
        <f t="shared" si="54"/>
        <v>3.5840000000000001</v>
      </c>
      <c r="BF204" s="280">
        <f t="shared" si="48"/>
        <v>107.785</v>
      </c>
      <c r="BG204" s="154" t="str">
        <f t="shared" si="41"/>
        <v>RECORD</v>
      </c>
      <c r="BH204" s="270">
        <f t="shared" si="39"/>
        <v>-5.3999999999999916E-2</v>
      </c>
      <c r="BI204" s="270">
        <f t="shared" si="50"/>
        <v>6.0000000000000497E-2</v>
      </c>
    </row>
    <row r="205" spans="1:61">
      <c r="A205" s="266">
        <v>35278</v>
      </c>
      <c r="B205" s="266"/>
      <c r="C205" s="275"/>
      <c r="D205" s="276">
        <v>1.5313333333333361</v>
      </c>
      <c r="E205" s="277">
        <v>4.8830967741935485</v>
      </c>
      <c r="F205" s="277">
        <f t="shared" si="43"/>
        <v>151.376</v>
      </c>
      <c r="G205" s="277">
        <v>104.19199999999999</v>
      </c>
      <c r="H205" s="281">
        <f t="shared" si="42"/>
        <v>0.68829933410844513</v>
      </c>
      <c r="I205" s="202">
        <v>2479.1689999999999</v>
      </c>
      <c r="J205" s="270">
        <v>47.59</v>
      </c>
      <c r="K205" s="275"/>
      <c r="L205" s="202">
        <v>375.33600000000001</v>
      </c>
      <c r="M205" s="275"/>
      <c r="N205" s="202">
        <v>1181.729</v>
      </c>
      <c r="O205" s="270">
        <v>11.34</v>
      </c>
      <c r="P205" s="275"/>
      <c r="Q205" s="202">
        <v>1874.9359999999999</v>
      </c>
      <c r="R205" s="199"/>
      <c r="S205" s="275"/>
      <c r="T205" s="275"/>
      <c r="U205" s="275"/>
      <c r="V205" s="278">
        <v>18.158000000000001</v>
      </c>
      <c r="W205" s="278">
        <v>17.286000000000001</v>
      </c>
      <c r="X205" s="278">
        <v>16.574000000000002</v>
      </c>
      <c r="Y205" s="278"/>
      <c r="Z205" s="278">
        <v>10.986000000000001</v>
      </c>
      <c r="AA205" s="278">
        <v>15.301</v>
      </c>
      <c r="AB205" s="278">
        <v>17.28</v>
      </c>
      <c r="AC205" s="278">
        <v>8.6069999999999993</v>
      </c>
      <c r="AD205" s="279">
        <v>104.19199999999999</v>
      </c>
      <c r="AE205" s="278">
        <f t="shared" si="52"/>
        <v>104.19200000000001</v>
      </c>
      <c r="AF205" s="278">
        <f t="shared" si="53"/>
        <v>0</v>
      </c>
      <c r="AG205" s="278">
        <f t="shared" si="51"/>
        <v>0</v>
      </c>
      <c r="AH205" s="202">
        <f t="shared" si="47"/>
        <v>-4.070999999999998</v>
      </c>
      <c r="AI205" s="202">
        <f t="shared" si="49"/>
        <v>58.930000000000007</v>
      </c>
      <c r="AJ205" s="275"/>
      <c r="AK205" s="275"/>
      <c r="AL205" s="275"/>
      <c r="AM205" s="275"/>
      <c r="AN205" s="275"/>
      <c r="AO205" s="275"/>
      <c r="AP205" s="275"/>
      <c r="AQ205" s="275"/>
      <c r="AR205" s="275"/>
      <c r="AS205" s="275"/>
      <c r="AT205" s="275"/>
      <c r="AU205" s="275"/>
      <c r="AV205" s="275"/>
      <c r="AW205" s="275"/>
      <c r="AX205" s="275"/>
      <c r="AY205" s="275"/>
      <c r="AZ205" s="275"/>
      <c r="BA205" s="275"/>
      <c r="BB205" s="275"/>
      <c r="BC205" s="275"/>
      <c r="BE205" s="274">
        <f t="shared" si="54"/>
        <v>3.3610322580645158</v>
      </c>
      <c r="BF205" s="280">
        <f>MAX(G193,G181,G169,G157,G145,G133,G121,G109,G97,G85,G73,G61,G49,G37,G25,G13)</f>
        <v>108.127</v>
      </c>
      <c r="BG205" s="154" t="str">
        <f t="shared" si="41"/>
        <v/>
      </c>
      <c r="BH205" s="270">
        <f t="shared" si="39"/>
        <v>4.5999999999999729E-2</v>
      </c>
      <c r="BI205" s="270">
        <f t="shared" si="50"/>
        <v>-7.0000000000000284E-2</v>
      </c>
    </row>
    <row r="206" spans="1:61">
      <c r="A206" s="266">
        <v>35309</v>
      </c>
      <c r="B206" s="266"/>
      <c r="C206" s="275"/>
      <c r="D206" s="276">
        <v>1.6076666666666597</v>
      </c>
      <c r="E206" s="277">
        <v>4.8831333333333333</v>
      </c>
      <c r="F206" s="277">
        <f t="shared" si="43"/>
        <v>146.494</v>
      </c>
      <c r="G206" s="277">
        <v>99.299000000000007</v>
      </c>
      <c r="H206" s="281">
        <f t="shared" si="42"/>
        <v>0.67783663494750646</v>
      </c>
      <c r="I206" s="202">
        <v>2381.6019999999999</v>
      </c>
      <c r="J206" s="270">
        <v>47.97</v>
      </c>
      <c r="K206" s="275"/>
      <c r="L206" s="202">
        <v>288.089</v>
      </c>
      <c r="M206" s="275"/>
      <c r="N206" s="202">
        <v>1136.0250000000001</v>
      </c>
      <c r="O206" s="270">
        <v>11.44</v>
      </c>
      <c r="P206" s="275"/>
      <c r="Q206" s="202">
        <v>1760.7170000000001</v>
      </c>
      <c r="R206" s="199"/>
      <c r="S206" s="275"/>
      <c r="T206" s="275"/>
      <c r="U206" s="275"/>
      <c r="V206" s="278">
        <v>16.076000000000001</v>
      </c>
      <c r="W206" s="278">
        <v>17.478999999999999</v>
      </c>
      <c r="X206" s="278">
        <v>15.842000000000001</v>
      </c>
      <c r="Y206" s="278"/>
      <c r="Z206" s="278">
        <v>8.4030000000000005</v>
      </c>
      <c r="AA206" s="278">
        <v>13.974</v>
      </c>
      <c r="AB206" s="278">
        <v>20.422999999999998</v>
      </c>
      <c r="AC206" s="278">
        <v>8.359</v>
      </c>
      <c r="AD206" s="279">
        <v>99.299000000000007</v>
      </c>
      <c r="AE206" s="278">
        <f t="shared" si="52"/>
        <v>100.556</v>
      </c>
      <c r="AF206" s="278">
        <f t="shared" si="53"/>
        <v>1.2569999999999908</v>
      </c>
      <c r="AG206" s="278">
        <f t="shared" si="51"/>
        <v>1.2569999999999908</v>
      </c>
      <c r="AH206" s="202">
        <f t="shared" si="47"/>
        <v>3.1429999999999971</v>
      </c>
      <c r="AI206" s="202">
        <f t="shared" si="49"/>
        <v>59.41</v>
      </c>
      <c r="AJ206" s="275"/>
      <c r="AK206" s="275"/>
      <c r="AL206" s="275"/>
      <c r="AM206" s="275"/>
      <c r="AN206" s="275"/>
      <c r="AO206" s="275"/>
      <c r="AP206" s="275"/>
      <c r="AQ206" s="275"/>
      <c r="AR206" s="275"/>
      <c r="AS206" s="275"/>
      <c r="AT206" s="275"/>
      <c r="AU206" s="275"/>
      <c r="AV206" s="275"/>
      <c r="AW206" s="275"/>
      <c r="AX206" s="275"/>
      <c r="AY206" s="275"/>
      <c r="AZ206" s="275"/>
      <c r="BA206" s="275"/>
      <c r="BB206" s="275"/>
      <c r="BC206" s="275"/>
      <c r="BE206" s="274">
        <f>G206/30</f>
        <v>3.3099666666666669</v>
      </c>
      <c r="BF206" s="280">
        <f t="shared" ref="BF206:BF216" si="55">MAX(G194,G182,G170,G158,G146,G134,G122,G110,G98,G86,G74,G62,G50,G38,G26,G14,G2)</f>
        <v>106.506</v>
      </c>
      <c r="BG206" s="154" t="str">
        <f t="shared" si="41"/>
        <v/>
      </c>
      <c r="BH206" s="270">
        <f t="shared" si="39"/>
        <v>1.7999999999999971E-2</v>
      </c>
      <c r="BI206" s="270">
        <f t="shared" si="50"/>
        <v>9.9999999999999645E-2</v>
      </c>
    </row>
    <row r="207" spans="1:61">
      <c r="A207" s="266">
        <v>35339</v>
      </c>
      <c r="B207" s="266"/>
      <c r="C207" s="275"/>
      <c r="D207" s="276">
        <v>1.4066666666666663</v>
      </c>
      <c r="E207" s="277">
        <v>4.9527096774193549</v>
      </c>
      <c r="F207" s="277">
        <f t="shared" si="43"/>
        <v>153.53399999999999</v>
      </c>
      <c r="G207" s="277">
        <v>125.6</v>
      </c>
      <c r="H207" s="281">
        <f t="shared" si="42"/>
        <v>0.81805984342230387</v>
      </c>
      <c r="I207" s="202">
        <v>2959.9430000000002</v>
      </c>
      <c r="J207" s="270">
        <v>47.13</v>
      </c>
      <c r="K207" s="275"/>
      <c r="L207" s="202">
        <v>706.93200000000002</v>
      </c>
      <c r="M207" s="275"/>
      <c r="N207" s="202">
        <v>1392.482</v>
      </c>
      <c r="O207" s="270">
        <v>11.09</v>
      </c>
      <c r="P207" s="275"/>
      <c r="Q207" s="202">
        <v>1742.0989999999999</v>
      </c>
      <c r="R207" s="199"/>
      <c r="S207" s="275"/>
      <c r="T207" s="275"/>
      <c r="U207" s="275"/>
      <c r="V207" s="278">
        <v>22.268999999999998</v>
      </c>
      <c r="W207" s="278">
        <v>20.478999999999999</v>
      </c>
      <c r="X207" s="278">
        <v>19.914999999999999</v>
      </c>
      <c r="Y207" s="278"/>
      <c r="Z207" s="278">
        <v>13.567</v>
      </c>
      <c r="AA207" s="278">
        <v>17.308</v>
      </c>
      <c r="AB207" s="278">
        <v>23.024000000000001</v>
      </c>
      <c r="AC207" s="278">
        <v>9.0380000000000003</v>
      </c>
      <c r="AD207" s="279">
        <v>125.6</v>
      </c>
      <c r="AE207" s="278">
        <f t="shared" si="52"/>
        <v>125.59999999999998</v>
      </c>
      <c r="AF207" s="278">
        <f t="shared" si="53"/>
        <v>0</v>
      </c>
      <c r="AG207" s="278">
        <f t="shared" si="51"/>
        <v>0</v>
      </c>
      <c r="AH207" s="202">
        <f t="shared" si="47"/>
        <v>2.6010000000000026</v>
      </c>
      <c r="AI207" s="202">
        <f t="shared" si="49"/>
        <v>58.22</v>
      </c>
      <c r="AJ207" s="275"/>
      <c r="AK207" s="275"/>
      <c r="AL207" s="275"/>
      <c r="AM207" s="275"/>
      <c r="AN207" s="275"/>
      <c r="AO207" s="275"/>
      <c r="AP207" s="275"/>
      <c r="AQ207" s="275"/>
      <c r="AR207" s="275"/>
      <c r="AS207" s="275"/>
      <c r="AT207" s="275"/>
      <c r="AU207" s="275"/>
      <c r="AV207" s="275"/>
      <c r="AW207" s="275"/>
      <c r="AX207" s="275"/>
      <c r="AY207" s="275"/>
      <c r="AZ207" s="275"/>
      <c r="BA207" s="275"/>
      <c r="BB207" s="275"/>
      <c r="BC207" s="275"/>
      <c r="BE207" s="274">
        <f t="shared" si="54"/>
        <v>4.0516129032258066</v>
      </c>
      <c r="BF207" s="280">
        <f t="shared" si="55"/>
        <v>120.005</v>
      </c>
      <c r="BG207" s="154" t="str">
        <f t="shared" si="41"/>
        <v>RECORD</v>
      </c>
      <c r="BH207" s="270">
        <f t="shared" ref="BH207:BH270" si="56">AVERAGE(O195-O194,O183-O182,O171-O170,O159-O158,O147-O146)</f>
        <v>-0.11999999999999958</v>
      </c>
      <c r="BI207" s="270">
        <f t="shared" si="50"/>
        <v>-0.34999999999999964</v>
      </c>
    </row>
    <row r="208" spans="1:61">
      <c r="A208" s="266">
        <v>35370</v>
      </c>
      <c r="B208" s="266"/>
      <c r="C208" s="275"/>
      <c r="D208" s="276">
        <v>2.264666666666642</v>
      </c>
      <c r="E208" s="277">
        <v>5.0201000000000002</v>
      </c>
      <c r="F208" s="277">
        <f t="shared" si="43"/>
        <v>150.60300000000001</v>
      </c>
      <c r="G208" s="277">
        <v>130.84200000000001</v>
      </c>
      <c r="H208" s="281">
        <f t="shared" si="42"/>
        <v>0.86878747435310055</v>
      </c>
      <c r="I208" s="202">
        <v>3097.96</v>
      </c>
      <c r="J208" s="270">
        <v>47.35</v>
      </c>
      <c r="K208" s="275"/>
      <c r="L208" s="202">
        <v>609.47799999999995</v>
      </c>
      <c r="M208" s="275"/>
      <c r="N208" s="202">
        <v>1411.2809999999999</v>
      </c>
      <c r="O208" s="270">
        <v>10.79</v>
      </c>
      <c r="P208" s="275"/>
      <c r="Q208" s="202">
        <v>1630.4590000000001</v>
      </c>
      <c r="R208" s="199"/>
      <c r="S208" s="275"/>
      <c r="T208" s="275"/>
      <c r="U208" s="275"/>
      <c r="V208" s="278">
        <v>22.765000000000001</v>
      </c>
      <c r="W208" s="278">
        <v>21.591000000000001</v>
      </c>
      <c r="X208" s="278">
        <v>22.529</v>
      </c>
      <c r="Y208" s="278"/>
      <c r="Z208" s="278">
        <v>13.436999999999999</v>
      </c>
      <c r="AA208" s="278">
        <v>17.983000000000001</v>
      </c>
      <c r="AB208" s="278">
        <v>22.85</v>
      </c>
      <c r="AC208" s="278">
        <v>9.6869999999999994</v>
      </c>
      <c r="AD208" s="279">
        <v>130.84200000000001</v>
      </c>
      <c r="AE208" s="278">
        <f t="shared" si="52"/>
        <v>130.84200000000001</v>
      </c>
      <c r="AF208" s="278">
        <f t="shared" si="53"/>
        <v>0</v>
      </c>
      <c r="AG208" s="278">
        <f t="shared" si="51"/>
        <v>0</v>
      </c>
      <c r="AH208" s="202">
        <f t="shared" si="47"/>
        <v>-0.17399999999999949</v>
      </c>
      <c r="AI208" s="202">
        <f t="shared" si="49"/>
        <v>58.14</v>
      </c>
      <c r="AJ208" s="275"/>
      <c r="AK208" s="275"/>
      <c r="AL208" s="275"/>
      <c r="AM208" s="275"/>
      <c r="AN208" s="275"/>
      <c r="AO208" s="275"/>
      <c r="AP208" s="275"/>
      <c r="AQ208" s="275"/>
      <c r="AR208" s="275"/>
      <c r="AS208" s="275"/>
      <c r="AT208" s="275"/>
      <c r="AU208" s="275"/>
      <c r="AV208" s="275"/>
      <c r="AW208" s="275"/>
      <c r="AX208" s="275"/>
      <c r="AY208" s="275"/>
      <c r="AZ208" s="275"/>
      <c r="BA208" s="275"/>
      <c r="BB208" s="275"/>
      <c r="BC208" s="275"/>
      <c r="BE208" s="274">
        <f>G208/30</f>
        <v>4.3614000000000006</v>
      </c>
      <c r="BF208" s="280">
        <f t="shared" si="55"/>
        <v>121.902</v>
      </c>
      <c r="BG208" s="154" t="str">
        <f t="shared" si="41"/>
        <v>RECORD</v>
      </c>
      <c r="BH208" s="270">
        <f t="shared" si="56"/>
        <v>-0.15599999999999986</v>
      </c>
      <c r="BI208" s="270">
        <f t="shared" si="50"/>
        <v>-0.30000000000000071</v>
      </c>
    </row>
    <row r="209" spans="1:61">
      <c r="A209" s="266">
        <v>35400</v>
      </c>
      <c r="B209" s="266"/>
      <c r="C209" s="275"/>
      <c r="D209" s="276">
        <v>2.5623333333333278</v>
      </c>
      <c r="E209" s="277">
        <v>5.0200967741935481</v>
      </c>
      <c r="F209" s="277">
        <f t="shared" si="43"/>
        <v>155.62299999999999</v>
      </c>
      <c r="G209" s="277">
        <v>135.55099999999999</v>
      </c>
      <c r="H209" s="281">
        <f t="shared" si="42"/>
        <v>0.87102163561941359</v>
      </c>
      <c r="I209" s="202">
        <v>3203.1030000000001</v>
      </c>
      <c r="J209" s="270">
        <v>47.26</v>
      </c>
      <c r="K209" s="275"/>
      <c r="L209" s="202">
        <v>692.68499999999995</v>
      </c>
      <c r="M209" s="275"/>
      <c r="N209" s="202">
        <v>1478.325</v>
      </c>
      <c r="O209" s="270">
        <v>10.91</v>
      </c>
      <c r="P209" s="275"/>
      <c r="Q209" s="202">
        <v>1715.8009999999999</v>
      </c>
      <c r="R209" s="199"/>
      <c r="S209" s="275"/>
      <c r="T209" s="275"/>
      <c r="U209" s="275"/>
      <c r="V209" s="278">
        <v>23.914999999999999</v>
      </c>
      <c r="W209" s="278">
        <v>22.827000000000002</v>
      </c>
      <c r="X209" s="278">
        <v>22.524999999999999</v>
      </c>
      <c r="Y209" s="278"/>
      <c r="Z209" s="278">
        <v>14.182</v>
      </c>
      <c r="AA209" s="278">
        <v>18.876000000000001</v>
      </c>
      <c r="AB209" s="278">
        <v>24.303000000000001</v>
      </c>
      <c r="AC209" s="278">
        <v>8.923</v>
      </c>
      <c r="AD209" s="279">
        <v>135.55099999999999</v>
      </c>
      <c r="AE209" s="278">
        <f t="shared" si="52"/>
        <v>135.55099999999999</v>
      </c>
      <c r="AF209" s="278">
        <f t="shared" si="53"/>
        <v>0</v>
      </c>
      <c r="AG209" s="278">
        <f t="shared" si="51"/>
        <v>0</v>
      </c>
      <c r="AH209" s="202">
        <f t="shared" si="47"/>
        <v>1.4529999999999994</v>
      </c>
      <c r="AI209" s="202">
        <f t="shared" si="49"/>
        <v>58.17</v>
      </c>
      <c r="AJ209" s="275"/>
      <c r="AK209" s="275"/>
      <c r="AL209" s="275"/>
      <c r="AM209" s="275"/>
      <c r="AN209" s="275"/>
      <c r="AO209" s="275"/>
      <c r="AP209" s="275"/>
      <c r="AQ209" s="275"/>
      <c r="AR209" s="275"/>
      <c r="AS209" s="275"/>
      <c r="AT209" s="275"/>
      <c r="AU209" s="275"/>
      <c r="AV209" s="275"/>
      <c r="AW209" s="275"/>
      <c r="AX209" s="275"/>
      <c r="AY209" s="275"/>
      <c r="AZ209" s="275"/>
      <c r="BA209" s="275"/>
      <c r="BB209" s="275"/>
      <c r="BC209" s="275"/>
      <c r="BE209" s="274">
        <f t="shared" si="54"/>
        <v>4.3726129032258063</v>
      </c>
      <c r="BF209" s="280">
        <f t="shared" si="55"/>
        <v>123.91200000000001</v>
      </c>
      <c r="BG209" s="154" t="str">
        <f t="shared" si="41"/>
        <v>RECORD</v>
      </c>
      <c r="BH209" s="270">
        <f t="shared" si="56"/>
        <v>7.9999999999998302E-3</v>
      </c>
      <c r="BI209" s="270">
        <f t="shared" si="50"/>
        <v>0.12000000000000099</v>
      </c>
    </row>
    <row r="210" spans="1:61">
      <c r="A210" s="266">
        <v>35431</v>
      </c>
      <c r="B210" s="266"/>
      <c r="C210" s="275"/>
      <c r="D210" s="276">
        <v>2.117666666666679</v>
      </c>
      <c r="E210" s="277">
        <v>5.0738387096774193</v>
      </c>
      <c r="F210" s="277">
        <f t="shared" si="43"/>
        <v>157.28899999999999</v>
      </c>
      <c r="G210" s="277">
        <v>135.16900000000001</v>
      </c>
      <c r="H210" s="281">
        <f t="shared" si="42"/>
        <v>0.85936715218483184</v>
      </c>
      <c r="I210" s="202">
        <v>3203.6010000000001</v>
      </c>
      <c r="J210" s="270">
        <v>47.4</v>
      </c>
      <c r="K210" s="275"/>
      <c r="L210" s="202">
        <v>662.6</v>
      </c>
      <c r="M210" s="275"/>
      <c r="N210" s="202">
        <v>1459.2470000000001</v>
      </c>
      <c r="O210" s="270">
        <v>10.8</v>
      </c>
      <c r="P210" s="275"/>
      <c r="Q210" s="202">
        <v>1865.1479999999999</v>
      </c>
      <c r="R210" s="199"/>
      <c r="S210" s="275"/>
      <c r="T210" s="275"/>
      <c r="U210" s="275"/>
      <c r="V210" s="278">
        <v>23.63</v>
      </c>
      <c r="W210" s="278">
        <v>22.193999999999999</v>
      </c>
      <c r="X210" s="278">
        <v>23.777999999999999</v>
      </c>
      <c r="Y210" s="278"/>
      <c r="Z210" s="278">
        <v>14.374000000000001</v>
      </c>
      <c r="AA210" s="278">
        <v>18.521999999999998</v>
      </c>
      <c r="AB210" s="278">
        <v>23.477</v>
      </c>
      <c r="AC210" s="278">
        <v>9.1940000000000008</v>
      </c>
      <c r="AD210" s="279">
        <v>135.16900000000001</v>
      </c>
      <c r="AE210" s="278">
        <f t="shared" si="52"/>
        <v>135.16899999999998</v>
      </c>
      <c r="AF210" s="278">
        <f t="shared" si="53"/>
        <v>0</v>
      </c>
      <c r="AG210" s="278">
        <f t="shared" si="51"/>
        <v>0</v>
      </c>
      <c r="AH210" s="202">
        <f t="shared" si="47"/>
        <v>-0.82600000000000051</v>
      </c>
      <c r="AI210" s="202">
        <f t="shared" si="49"/>
        <v>58.2</v>
      </c>
      <c r="AJ210" s="275"/>
      <c r="AK210" s="275"/>
      <c r="AL210" s="275"/>
      <c r="AM210" s="275"/>
      <c r="AN210" s="275"/>
      <c r="AO210" s="275"/>
      <c r="AP210" s="275"/>
      <c r="AQ210" s="275"/>
      <c r="AR210" s="275"/>
      <c r="AS210" s="275"/>
      <c r="AT210" s="275"/>
      <c r="AU210" s="275"/>
      <c r="AV210" s="275"/>
      <c r="AW210" s="275"/>
      <c r="AX210" s="275"/>
      <c r="AY210" s="275"/>
      <c r="AZ210" s="275"/>
      <c r="BA210" s="275"/>
      <c r="BB210" s="275"/>
      <c r="BC210" s="275"/>
      <c r="BE210" s="274">
        <f t="shared" si="54"/>
        <v>4.3602903225806457</v>
      </c>
      <c r="BF210" s="280">
        <f t="shared" si="55"/>
        <v>126.586</v>
      </c>
      <c r="BG210" s="154" t="str">
        <f t="shared" si="41"/>
        <v>RECORD</v>
      </c>
      <c r="BH210" s="270">
        <f t="shared" si="56"/>
        <v>3.9999999999995595E-3</v>
      </c>
      <c r="BI210" s="270">
        <f t="shared" si="50"/>
        <v>-0.10999999999999943</v>
      </c>
    </row>
    <row r="211" spans="1:61">
      <c r="A211" s="266">
        <v>35462</v>
      </c>
      <c r="B211" s="266"/>
      <c r="C211" s="275"/>
      <c r="D211" s="276">
        <v>1.9163333333333412</v>
      </c>
      <c r="E211" s="277">
        <v>5.2550357142857136</v>
      </c>
      <c r="F211" s="277">
        <f t="shared" si="43"/>
        <v>147.14099999999999</v>
      </c>
      <c r="G211" s="277">
        <v>123.217</v>
      </c>
      <c r="H211" s="281">
        <f t="shared" si="42"/>
        <v>0.83740765660149108</v>
      </c>
      <c r="I211" s="202">
        <v>2921.8330000000001</v>
      </c>
      <c r="J211" s="270">
        <v>47.43</v>
      </c>
      <c r="K211" s="275"/>
      <c r="L211" s="202">
        <v>727.91300000000001</v>
      </c>
      <c r="M211" s="275"/>
      <c r="N211" s="202">
        <v>1335.136</v>
      </c>
      <c r="O211" s="270">
        <v>10.84</v>
      </c>
      <c r="P211" s="275"/>
      <c r="Q211" s="202">
        <v>1894.258</v>
      </c>
      <c r="R211" s="199"/>
      <c r="S211" s="275"/>
      <c r="T211" s="275"/>
      <c r="U211" s="275"/>
      <c r="V211" s="278">
        <v>21.581</v>
      </c>
      <c r="W211" s="278">
        <v>20.832000000000001</v>
      </c>
      <c r="X211" s="278">
        <v>21.422000000000001</v>
      </c>
      <c r="Y211" s="278"/>
      <c r="Z211" s="278">
        <v>12.760999999999999</v>
      </c>
      <c r="AA211" s="278">
        <v>17.062000000000001</v>
      </c>
      <c r="AB211" s="278">
        <v>21.215</v>
      </c>
      <c r="AC211" s="278">
        <v>8.3450000000000006</v>
      </c>
      <c r="AD211" s="279">
        <v>123.217</v>
      </c>
      <c r="AE211" s="278">
        <f t="shared" si="52"/>
        <v>123.21799999999999</v>
      </c>
      <c r="AF211" s="278">
        <f t="shared" si="53"/>
        <v>9.9999999999056399E-4</v>
      </c>
      <c r="AG211" s="278">
        <f t="shared" si="51"/>
        <v>9.9999999999056399E-4</v>
      </c>
      <c r="AH211" s="202">
        <f t="shared" si="47"/>
        <v>-2.2620000000000005</v>
      </c>
      <c r="AI211" s="202">
        <f t="shared" si="49"/>
        <v>58.269999999999996</v>
      </c>
      <c r="AJ211" s="275"/>
      <c r="AK211" s="275"/>
      <c r="AL211" s="275"/>
      <c r="AM211" s="275"/>
      <c r="AN211" s="275"/>
      <c r="AO211" s="275"/>
      <c r="AP211" s="275"/>
      <c r="AQ211" s="275"/>
      <c r="AR211" s="275"/>
      <c r="AS211" s="275"/>
      <c r="AT211" s="275"/>
      <c r="AU211" s="275"/>
      <c r="AV211" s="275"/>
      <c r="AW211" s="275"/>
      <c r="AX211" s="275"/>
      <c r="AY211" s="275"/>
      <c r="AZ211" s="275"/>
      <c r="BA211" s="275"/>
      <c r="BB211" s="275"/>
      <c r="BC211" s="275"/>
      <c r="BE211" s="274">
        <f>G211/28</f>
        <v>4.4006071428571429</v>
      </c>
      <c r="BF211" s="280">
        <f t="shared" si="55"/>
        <v>115.569</v>
      </c>
      <c r="BG211" s="154" t="str">
        <f t="shared" si="41"/>
        <v>RECORD</v>
      </c>
      <c r="BH211" s="270">
        <f t="shared" si="56"/>
        <v>5.400000000000027E-2</v>
      </c>
      <c r="BI211" s="270">
        <f t="shared" si="50"/>
        <v>3.9999999999999147E-2</v>
      </c>
    </row>
    <row r="212" spans="1:61">
      <c r="A212" s="266">
        <v>35490</v>
      </c>
      <c r="B212" s="266"/>
      <c r="C212" s="275"/>
      <c r="D212" s="276">
        <v>1.8990000000000009</v>
      </c>
      <c r="E212" s="277">
        <v>5.0738387096774193</v>
      </c>
      <c r="F212" s="277">
        <f t="shared" si="43"/>
        <v>157.28899999999999</v>
      </c>
      <c r="G212" s="277">
        <v>128.191</v>
      </c>
      <c r="H212" s="281">
        <f t="shared" si="42"/>
        <v>0.81500295634151154</v>
      </c>
      <c r="I212" s="202">
        <v>3034.0210000000002</v>
      </c>
      <c r="J212" s="270">
        <v>47.34</v>
      </c>
      <c r="K212" s="275"/>
      <c r="L212" s="202">
        <v>588.71199999999999</v>
      </c>
      <c r="M212" s="275"/>
      <c r="N212" s="202">
        <v>1394.453</v>
      </c>
      <c r="O212" s="270">
        <v>10.88</v>
      </c>
      <c r="P212" s="275"/>
      <c r="Q212" s="202">
        <v>1810.2070000000001</v>
      </c>
      <c r="R212" s="199"/>
      <c r="S212" s="275"/>
      <c r="T212" s="275"/>
      <c r="U212" s="275"/>
      <c r="V212" s="278">
        <v>22.210999999999999</v>
      </c>
      <c r="W212" s="278">
        <v>22.164999999999999</v>
      </c>
      <c r="X212" s="278">
        <v>20.952000000000002</v>
      </c>
      <c r="Y212" s="278"/>
      <c r="Z212" s="278">
        <v>13.1</v>
      </c>
      <c r="AA212" s="278">
        <v>17.785</v>
      </c>
      <c r="AB212" s="278">
        <v>23.027000000000001</v>
      </c>
      <c r="AC212" s="278">
        <v>8.9510000000000005</v>
      </c>
      <c r="AD212" s="279">
        <v>128.191</v>
      </c>
      <c r="AE212" s="278">
        <f t="shared" si="52"/>
        <v>128.191</v>
      </c>
      <c r="AF212" s="278">
        <f t="shared" si="53"/>
        <v>0</v>
      </c>
      <c r="AG212" s="278">
        <f t="shared" si="51"/>
        <v>0</v>
      </c>
      <c r="AH212" s="202">
        <f t="shared" si="47"/>
        <v>1.8120000000000012</v>
      </c>
      <c r="AI212" s="202">
        <f t="shared" si="49"/>
        <v>58.220000000000006</v>
      </c>
      <c r="AJ212" s="275"/>
      <c r="AK212" s="275"/>
      <c r="AL212" s="275"/>
      <c r="AM212" s="275"/>
      <c r="AN212" s="275"/>
      <c r="AO212" s="275"/>
      <c r="AP212" s="275"/>
      <c r="AQ212" s="275"/>
      <c r="AR212" s="275"/>
      <c r="AS212" s="275"/>
      <c r="AT212" s="275"/>
      <c r="AU212" s="275"/>
      <c r="AV212" s="275"/>
      <c r="AW212" s="275"/>
      <c r="AX212" s="275"/>
      <c r="AY212" s="275"/>
      <c r="AZ212" s="275"/>
      <c r="BA212" s="275"/>
      <c r="BB212" s="275"/>
      <c r="BC212" s="275"/>
      <c r="BE212" s="274">
        <f t="shared" si="54"/>
        <v>4.1351935483870967</v>
      </c>
      <c r="BF212" s="280">
        <f t="shared" si="55"/>
        <v>126.59</v>
      </c>
      <c r="BG212" s="154" t="str">
        <f t="shared" si="41"/>
        <v>RECORD</v>
      </c>
      <c r="BH212" s="270">
        <f t="shared" si="56"/>
        <v>6.0000000000000143E-2</v>
      </c>
      <c r="BI212" s="270">
        <f t="shared" si="50"/>
        <v>4.0000000000000924E-2</v>
      </c>
    </row>
    <row r="213" spans="1:61">
      <c r="A213" s="266">
        <v>35521</v>
      </c>
      <c r="B213" s="266"/>
      <c r="C213" s="275"/>
      <c r="D213" s="276">
        <v>2.3876666666666608</v>
      </c>
      <c r="E213" s="277">
        <v>5.0919666666666661</v>
      </c>
      <c r="F213" s="277">
        <f t="shared" si="43"/>
        <v>152.75899999999999</v>
      </c>
      <c r="G213" s="277">
        <v>112.459</v>
      </c>
      <c r="H213" s="281">
        <f t="shared" si="42"/>
        <v>0.73618575664936281</v>
      </c>
      <c r="I213" s="202">
        <v>2661.886</v>
      </c>
      <c r="J213" s="270">
        <v>47.34</v>
      </c>
      <c r="K213" s="275"/>
      <c r="L213" s="202">
        <v>416.10899999999998</v>
      </c>
      <c r="M213" s="275"/>
      <c r="N213" s="202">
        <v>1236.19</v>
      </c>
      <c r="O213" s="270">
        <v>10.99</v>
      </c>
      <c r="P213" s="275"/>
      <c r="Q213" s="202">
        <v>1792.9369999999999</v>
      </c>
      <c r="R213" s="199"/>
      <c r="S213" s="275"/>
      <c r="T213" s="275"/>
      <c r="U213" s="275"/>
      <c r="V213" s="278">
        <v>17.882999999999999</v>
      </c>
      <c r="W213" s="278">
        <v>20.602</v>
      </c>
      <c r="X213" s="278">
        <v>19.021999999999998</v>
      </c>
      <c r="Y213" s="278"/>
      <c r="Z213" s="278">
        <v>9.9830000000000005</v>
      </c>
      <c r="AA213" s="278">
        <v>16.13</v>
      </c>
      <c r="AB213" s="278">
        <v>20.722000000000001</v>
      </c>
      <c r="AC213" s="278">
        <v>8.1170000000000009</v>
      </c>
      <c r="AD213" s="279">
        <v>112.459</v>
      </c>
      <c r="AE213" s="278">
        <f t="shared" si="52"/>
        <v>112.45899999999999</v>
      </c>
      <c r="AF213" s="278">
        <f t="shared" si="53"/>
        <v>0</v>
      </c>
      <c r="AG213" s="278">
        <f t="shared" si="51"/>
        <v>0</v>
      </c>
      <c r="AH213" s="202">
        <f t="shared" si="47"/>
        <v>-2.3049999999999997</v>
      </c>
      <c r="AI213" s="202">
        <f t="shared" si="49"/>
        <v>58.330000000000005</v>
      </c>
      <c r="AJ213" s="275"/>
      <c r="AK213" s="275"/>
      <c r="AL213" s="275"/>
      <c r="AM213" s="275"/>
      <c r="AN213" s="275"/>
      <c r="AO213" s="275"/>
      <c r="AP213" s="275"/>
      <c r="AQ213" s="275"/>
      <c r="AR213" s="275"/>
      <c r="AS213" s="275"/>
      <c r="AT213" s="275"/>
      <c r="AU213" s="275"/>
      <c r="AV213" s="275"/>
      <c r="AW213" s="275"/>
      <c r="AX213" s="275"/>
      <c r="AY213" s="275"/>
      <c r="AZ213" s="275"/>
      <c r="BA213" s="275"/>
      <c r="BB213" s="275"/>
      <c r="BC213" s="275"/>
      <c r="BE213" s="274">
        <f>G213/30</f>
        <v>3.7486333333333333</v>
      </c>
      <c r="BF213" s="280">
        <f t="shared" si="55"/>
        <v>118.94199999999999</v>
      </c>
      <c r="BG213" s="154" t="str">
        <f t="shared" si="41"/>
        <v/>
      </c>
      <c r="BH213" s="270">
        <f t="shared" si="56"/>
        <v>5.8000000000000537E-2</v>
      </c>
      <c r="BI213" s="270">
        <f t="shared" si="50"/>
        <v>0.10999999999999943</v>
      </c>
    </row>
    <row r="214" spans="1:61">
      <c r="A214" s="266">
        <v>35551</v>
      </c>
      <c r="B214" s="266"/>
      <c r="C214" s="275"/>
      <c r="D214" s="276">
        <v>2.5453333333333319</v>
      </c>
      <c r="E214" s="277">
        <v>5.0920322580645161</v>
      </c>
      <c r="F214" s="277">
        <f t="shared" si="43"/>
        <v>157.85300000000001</v>
      </c>
      <c r="G214" s="277">
        <v>108.16800000000001</v>
      </c>
      <c r="H214" s="281">
        <f t="shared" si="42"/>
        <v>0.68524513313019075</v>
      </c>
      <c r="I214" s="202">
        <v>2562.0250000000001</v>
      </c>
      <c r="J214" s="270">
        <v>47.37</v>
      </c>
      <c r="K214" s="275"/>
      <c r="L214" s="202">
        <v>288.45600000000002</v>
      </c>
      <c r="M214" s="275"/>
      <c r="N214" s="202">
        <v>1194.3399999999999</v>
      </c>
      <c r="O214" s="270">
        <v>11.04</v>
      </c>
      <c r="P214" s="275"/>
      <c r="Q214" s="202">
        <v>1750.8689999999999</v>
      </c>
      <c r="R214" s="199"/>
      <c r="S214" s="275"/>
      <c r="T214" s="275"/>
      <c r="U214" s="275"/>
      <c r="V214" s="278">
        <v>17.289000000000001</v>
      </c>
      <c r="W214" s="278">
        <v>18.582999999999998</v>
      </c>
      <c r="X214" s="278">
        <v>18.998000000000001</v>
      </c>
      <c r="Y214" s="278"/>
      <c r="Z214" s="278">
        <v>9.3320000000000007</v>
      </c>
      <c r="AA214" s="278">
        <v>14.377000000000001</v>
      </c>
      <c r="AB214" s="278">
        <v>20.420999999999999</v>
      </c>
      <c r="AC214" s="278">
        <v>9.1679999999999993</v>
      </c>
      <c r="AD214" s="279">
        <v>108.16800000000001</v>
      </c>
      <c r="AE214" s="278">
        <f t="shared" si="52"/>
        <v>108.16800000000001</v>
      </c>
      <c r="AF214" s="278">
        <f t="shared" si="53"/>
        <v>0</v>
      </c>
      <c r="AG214" s="278">
        <f t="shared" si="51"/>
        <v>0</v>
      </c>
      <c r="AH214" s="202">
        <f t="shared" si="47"/>
        <v>-0.30100000000000193</v>
      </c>
      <c r="AI214" s="202">
        <f t="shared" si="49"/>
        <v>58.41</v>
      </c>
      <c r="AJ214" s="275"/>
      <c r="AK214" s="275"/>
      <c r="AL214" s="275"/>
      <c r="AM214" s="275"/>
      <c r="AN214" s="275"/>
      <c r="AO214" s="275"/>
      <c r="AP214" s="275"/>
      <c r="AQ214" s="275"/>
      <c r="AR214" s="275"/>
      <c r="AS214" s="275"/>
      <c r="AT214" s="275"/>
      <c r="AU214" s="275"/>
      <c r="AV214" s="275"/>
      <c r="AW214" s="275"/>
      <c r="AX214" s="275"/>
      <c r="AY214" s="275"/>
      <c r="AZ214" s="275"/>
      <c r="BA214" s="275"/>
      <c r="BB214" s="275"/>
      <c r="BC214" s="275"/>
      <c r="BE214" s="274">
        <f t="shared" si="54"/>
        <v>3.4892903225806453</v>
      </c>
      <c r="BF214" s="280">
        <f t="shared" si="55"/>
        <v>112.84099999999999</v>
      </c>
      <c r="BG214" s="154" t="str">
        <f t="shared" si="41"/>
        <v/>
      </c>
      <c r="BH214" s="270">
        <f t="shared" si="56"/>
        <v>-1.7999999999999971E-2</v>
      </c>
      <c r="BI214" s="270">
        <f t="shared" si="50"/>
        <v>4.9999999999998934E-2</v>
      </c>
    </row>
    <row r="215" spans="1:61">
      <c r="A215" s="266">
        <v>35582</v>
      </c>
      <c r="B215" s="266"/>
      <c r="C215" s="275"/>
      <c r="D215" s="276">
        <v>2.4450000000000074</v>
      </c>
      <c r="E215" s="277">
        <v>5.0919666666666661</v>
      </c>
      <c r="F215" s="277">
        <f t="shared" si="43"/>
        <v>152.75899999999999</v>
      </c>
      <c r="G215" s="277">
        <v>106.44499999999999</v>
      </c>
      <c r="H215" s="281">
        <f t="shared" si="42"/>
        <v>0.69681655418011379</v>
      </c>
      <c r="I215" s="202">
        <v>2519.7809999999999</v>
      </c>
      <c r="J215" s="270">
        <v>47.34</v>
      </c>
      <c r="K215" s="275"/>
      <c r="L215" s="202">
        <v>253.17699999999999</v>
      </c>
      <c r="M215" s="275"/>
      <c r="N215" s="202">
        <v>1167.7380000000001</v>
      </c>
      <c r="O215" s="270">
        <v>10.97</v>
      </c>
      <c r="P215" s="275"/>
      <c r="Q215" s="202">
        <v>1746.5340000000001</v>
      </c>
      <c r="R215" s="199"/>
      <c r="S215" s="275"/>
      <c r="T215" s="275"/>
      <c r="U215" s="275"/>
      <c r="V215" s="278">
        <v>17.823</v>
      </c>
      <c r="W215" s="278">
        <v>19.617999999999999</v>
      </c>
      <c r="X215" s="278">
        <v>17.696000000000002</v>
      </c>
      <c r="Y215" s="278"/>
      <c r="Z215" s="278">
        <v>9.73</v>
      </c>
      <c r="AA215" s="278">
        <v>14.503</v>
      </c>
      <c r="AB215" s="278">
        <v>18.396999999999998</v>
      </c>
      <c r="AC215" s="278">
        <v>8.6780000000000008</v>
      </c>
      <c r="AD215" s="279">
        <v>106.44499999999999</v>
      </c>
      <c r="AE215" s="278">
        <f t="shared" si="52"/>
        <v>106.44499999999999</v>
      </c>
      <c r="AF215" s="278">
        <f t="shared" si="53"/>
        <v>0</v>
      </c>
      <c r="AG215" s="278">
        <f t="shared" si="51"/>
        <v>0</v>
      </c>
      <c r="AH215" s="202">
        <f t="shared" si="47"/>
        <v>-2.0240000000000009</v>
      </c>
      <c r="AI215" s="202">
        <f t="shared" si="49"/>
        <v>58.31</v>
      </c>
      <c r="AJ215" s="275"/>
      <c r="AK215" s="275"/>
      <c r="AL215" s="275"/>
      <c r="AM215" s="275"/>
      <c r="AN215" s="275"/>
      <c r="AO215" s="275"/>
      <c r="AP215" s="275"/>
      <c r="AQ215" s="275"/>
      <c r="AR215" s="275"/>
      <c r="AS215" s="275"/>
      <c r="AT215" s="275"/>
      <c r="AU215" s="275"/>
      <c r="AV215" s="275"/>
      <c r="AW215" s="275"/>
      <c r="AX215" s="275"/>
      <c r="AY215" s="275"/>
      <c r="AZ215" s="275"/>
      <c r="BA215" s="275"/>
      <c r="BB215" s="275"/>
      <c r="BC215" s="275"/>
      <c r="BE215" s="274">
        <f>G215/30</f>
        <v>3.5481666666666665</v>
      </c>
      <c r="BF215" s="280">
        <f t="shared" si="55"/>
        <v>106.55200000000001</v>
      </c>
      <c r="BG215" s="154" t="str">
        <f t="shared" si="41"/>
        <v/>
      </c>
      <c r="BH215" s="270">
        <f t="shared" si="56"/>
        <v>6.1999999999999389E-2</v>
      </c>
      <c r="BI215" s="270">
        <f t="shared" si="50"/>
        <v>-6.9999999999998508E-2</v>
      </c>
    </row>
    <row r="216" spans="1:61">
      <c r="A216" s="266">
        <v>35612</v>
      </c>
      <c r="B216" s="266"/>
      <c r="C216" s="275"/>
      <c r="D216" s="276">
        <v>1.1996666666666584</v>
      </c>
      <c r="E216" s="277">
        <v>5.1423870967741934</v>
      </c>
      <c r="F216" s="277">
        <f t="shared" si="43"/>
        <v>159.41399999999999</v>
      </c>
      <c r="G216" s="277">
        <v>104.89700000000001</v>
      </c>
      <c r="H216" s="281">
        <f t="shared" si="42"/>
        <v>0.65801623445870505</v>
      </c>
      <c r="I216" s="202">
        <v>2494.7530000000002</v>
      </c>
      <c r="J216" s="270">
        <v>47.57</v>
      </c>
      <c r="K216" s="275"/>
      <c r="L216" s="202">
        <v>311.334</v>
      </c>
      <c r="M216" s="275"/>
      <c r="N216" s="202">
        <v>1170.106</v>
      </c>
      <c r="O216" s="270">
        <v>11.15</v>
      </c>
      <c r="P216" s="275"/>
      <c r="Q216" s="202">
        <v>1703.8989999999999</v>
      </c>
      <c r="R216" s="199"/>
      <c r="S216" s="275"/>
      <c r="T216" s="275"/>
      <c r="U216" s="275"/>
      <c r="V216" s="278">
        <v>18.385999999999999</v>
      </c>
      <c r="W216" s="278">
        <v>18.331</v>
      </c>
      <c r="X216" s="278">
        <v>17.021999999999998</v>
      </c>
      <c r="Y216" s="278"/>
      <c r="Z216" s="278">
        <v>9.2739999999999991</v>
      </c>
      <c r="AA216" s="278">
        <v>13.423</v>
      </c>
      <c r="AB216" s="278">
        <v>20.335000000000001</v>
      </c>
      <c r="AC216" s="278">
        <v>8.1259999999999994</v>
      </c>
      <c r="AD216" s="279">
        <v>104.89700000000001</v>
      </c>
      <c r="AE216" s="278">
        <f t="shared" si="52"/>
        <v>104.89699999999999</v>
      </c>
      <c r="AF216" s="278">
        <f t="shared" si="53"/>
        <v>0</v>
      </c>
      <c r="AG216" s="278">
        <f t="shared" si="51"/>
        <v>0</v>
      </c>
      <c r="AH216" s="202">
        <f t="shared" si="47"/>
        <v>1.9380000000000024</v>
      </c>
      <c r="AI216" s="202">
        <f t="shared" si="49"/>
        <v>58.72</v>
      </c>
      <c r="AJ216" s="275"/>
      <c r="AK216" s="275"/>
      <c r="AL216" s="275"/>
      <c r="AM216" s="275"/>
      <c r="AN216" s="275"/>
      <c r="AO216" s="275"/>
      <c r="AP216" s="275"/>
      <c r="AQ216" s="275"/>
      <c r="AR216" s="275"/>
      <c r="AS216" s="275"/>
      <c r="AT216" s="275"/>
      <c r="AU216" s="275"/>
      <c r="AV216" s="275"/>
      <c r="AW216" s="275"/>
      <c r="AX216" s="275"/>
      <c r="AY216" s="275"/>
      <c r="AZ216" s="275"/>
      <c r="BA216" s="275"/>
      <c r="BB216" s="275"/>
      <c r="BC216" s="275"/>
      <c r="BE216" s="274">
        <f t="shared" si="54"/>
        <v>3.3837741935483874</v>
      </c>
      <c r="BF216" s="280">
        <f t="shared" si="55"/>
        <v>111.104</v>
      </c>
      <c r="BG216" s="154" t="str">
        <f t="shared" si="41"/>
        <v/>
      </c>
      <c r="BH216" s="270">
        <f t="shared" si="56"/>
        <v>-5.9999999999998718E-3</v>
      </c>
      <c r="BI216" s="270">
        <f t="shared" si="50"/>
        <v>0.17999999999999972</v>
      </c>
    </row>
    <row r="217" spans="1:61">
      <c r="A217" s="266">
        <v>35643</v>
      </c>
      <c r="B217" s="266"/>
      <c r="C217" s="275"/>
      <c r="D217" s="276">
        <v>0.62733333333332553</v>
      </c>
      <c r="E217" s="277">
        <v>5.1423870967741934</v>
      </c>
      <c r="F217" s="277">
        <f t="shared" si="43"/>
        <v>159.41399999999999</v>
      </c>
      <c r="G217" s="277">
        <v>103.146</v>
      </c>
      <c r="H217" s="281">
        <f t="shared" si="42"/>
        <v>0.64703225563626787</v>
      </c>
      <c r="I217" s="202">
        <v>2442.3820000000001</v>
      </c>
      <c r="J217" s="270">
        <v>47.36</v>
      </c>
      <c r="K217" s="275"/>
      <c r="L217" s="202">
        <v>172.227</v>
      </c>
      <c r="M217" s="275"/>
      <c r="N217" s="202">
        <v>1141.0429999999999</v>
      </c>
      <c r="O217" s="270">
        <v>11.06</v>
      </c>
      <c r="P217" s="275"/>
      <c r="Q217" s="202">
        <v>1386.242</v>
      </c>
      <c r="R217" s="199"/>
      <c r="S217" s="275"/>
      <c r="T217" s="275"/>
      <c r="U217" s="275"/>
      <c r="V217" s="278">
        <v>15.071</v>
      </c>
      <c r="W217" s="278">
        <v>18.03</v>
      </c>
      <c r="X217" s="278">
        <v>16.085000000000001</v>
      </c>
      <c r="Y217" s="278"/>
      <c r="Z217" s="278">
        <v>8.1829999999999998</v>
      </c>
      <c r="AA217" s="278">
        <v>15.195</v>
      </c>
      <c r="AB217" s="278">
        <v>21.449000000000002</v>
      </c>
      <c r="AC217" s="278">
        <v>9.1329999999999991</v>
      </c>
      <c r="AD217" s="279">
        <v>103.146</v>
      </c>
      <c r="AE217" s="278">
        <f t="shared" si="52"/>
        <v>103.14599999999999</v>
      </c>
      <c r="AF217" s="278">
        <f t="shared" si="53"/>
        <v>0</v>
      </c>
      <c r="AG217" s="278">
        <f t="shared" si="51"/>
        <v>0</v>
      </c>
      <c r="AH217" s="202">
        <f t="shared" si="47"/>
        <v>1.1140000000000008</v>
      </c>
      <c r="AI217" s="202">
        <f t="shared" si="49"/>
        <v>58.42</v>
      </c>
      <c r="AJ217" s="275"/>
      <c r="AK217" s="275"/>
      <c r="AL217" s="275"/>
      <c r="AM217" s="275"/>
      <c r="AN217" s="275"/>
      <c r="AO217" s="275"/>
      <c r="AP217" s="275"/>
      <c r="AQ217" s="275"/>
      <c r="AR217" s="275"/>
      <c r="AS217" s="275"/>
      <c r="AT217" s="275"/>
      <c r="AU217" s="275"/>
      <c r="AV217" s="275"/>
      <c r="AW217" s="275"/>
      <c r="AX217" s="275"/>
      <c r="AY217" s="275"/>
      <c r="AZ217" s="275"/>
      <c r="BA217" s="275"/>
      <c r="BB217" s="275"/>
      <c r="BC217" s="275"/>
      <c r="BE217" s="274">
        <f t="shared" si="54"/>
        <v>3.3272903225806454</v>
      </c>
      <c r="BF217" s="280">
        <f>MAX(G205,G193,G181,G169,G157,G145,G133,G121,G109,G97,G85,G73,G61,G49,G37,G25,G13)</f>
        <v>108.127</v>
      </c>
      <c r="BG217" s="154" t="str">
        <f t="shared" si="41"/>
        <v/>
      </c>
      <c r="BH217" s="270">
        <f t="shared" si="56"/>
        <v>2.199999999999953E-2</v>
      </c>
      <c r="BI217" s="270">
        <f t="shared" si="50"/>
        <v>-8.9999999999999858E-2</v>
      </c>
    </row>
    <row r="218" spans="1:61">
      <c r="A218" s="266">
        <v>35674</v>
      </c>
      <c r="B218" s="266"/>
      <c r="C218" s="275"/>
      <c r="D218" s="276">
        <v>1.4540000000000077</v>
      </c>
      <c r="E218" s="277">
        <v>5.142433333333333</v>
      </c>
      <c r="F218" s="277">
        <f t="shared" si="43"/>
        <v>154.273</v>
      </c>
      <c r="G218" s="277">
        <v>109.35599999999999</v>
      </c>
      <c r="H218" s="281">
        <f t="shared" si="42"/>
        <v>0.70884730315738975</v>
      </c>
      <c r="I218" s="202">
        <v>2578.4580000000001</v>
      </c>
      <c r="J218" s="270">
        <v>47.16</v>
      </c>
      <c r="K218" s="275"/>
      <c r="L218" s="202">
        <v>256.50900000000001</v>
      </c>
      <c r="M218" s="275"/>
      <c r="N218" s="202">
        <v>1222.721</v>
      </c>
      <c r="O218" s="270">
        <v>11.18</v>
      </c>
      <c r="P218" s="275"/>
      <c r="Q218" s="202">
        <v>1190.7149999999999</v>
      </c>
      <c r="R218" s="199"/>
      <c r="S218" s="275"/>
      <c r="T218" s="275"/>
      <c r="U218" s="275"/>
      <c r="V218" s="278">
        <v>19.456</v>
      </c>
      <c r="W218" s="278">
        <v>21.215</v>
      </c>
      <c r="X218" s="278">
        <v>13.286</v>
      </c>
      <c r="Y218" s="278"/>
      <c r="Z218" s="278">
        <v>10.5</v>
      </c>
      <c r="AA218" s="278">
        <v>13.978</v>
      </c>
      <c r="AB218" s="278">
        <v>20.914999999999999</v>
      </c>
      <c r="AC218" s="278">
        <v>10.006</v>
      </c>
      <c r="AD218" s="279">
        <v>109.35599999999999</v>
      </c>
      <c r="AE218" s="278">
        <f t="shared" si="52"/>
        <v>109.35599999999999</v>
      </c>
      <c r="AF218" s="278">
        <f t="shared" si="53"/>
        <v>0</v>
      </c>
      <c r="AG218" s="278">
        <f t="shared" si="51"/>
        <v>0</v>
      </c>
      <c r="AH218" s="202">
        <f t="shared" si="47"/>
        <v>-0.53400000000000247</v>
      </c>
      <c r="AI218" s="202">
        <f t="shared" si="49"/>
        <v>58.339999999999996</v>
      </c>
      <c r="AJ218" s="275"/>
      <c r="AK218" s="275"/>
      <c r="AL218" s="275"/>
      <c r="AM218" s="275"/>
      <c r="AN218" s="275"/>
      <c r="AO218" s="275"/>
      <c r="AP218" s="275"/>
      <c r="AQ218" s="275"/>
      <c r="AR218" s="275"/>
      <c r="AS218" s="275"/>
      <c r="AT218" s="275"/>
      <c r="AU218" s="275"/>
      <c r="AV218" s="275"/>
      <c r="AW218" s="275"/>
      <c r="AX218" s="275"/>
      <c r="AY218" s="275"/>
      <c r="AZ218" s="275"/>
      <c r="BA218" s="275"/>
      <c r="BB218" s="275"/>
      <c r="BC218" s="275"/>
      <c r="BE218" s="274">
        <f>G218/30</f>
        <v>3.6452</v>
      </c>
      <c r="BF218" s="280">
        <f t="shared" ref="BF218:BF228" si="57">MAX(G206,G194,G182,G170,G158,G146,G134,G122,G110,G98,G86,G74,G62,G50,G38,G26,G14,G2)</f>
        <v>106.506</v>
      </c>
      <c r="BG218" s="154" t="str">
        <f t="shared" ref="BG218:BG281" si="58">IF(G218&gt;BF218,"RECORD","")</f>
        <v>RECORD</v>
      </c>
      <c r="BH218" s="270">
        <f t="shared" si="56"/>
        <v>3.3999999999999989E-2</v>
      </c>
      <c r="BI218" s="270">
        <f t="shared" si="50"/>
        <v>0.11999999999999922</v>
      </c>
    </row>
    <row r="219" spans="1:61">
      <c r="A219" s="266">
        <v>35704</v>
      </c>
      <c r="B219" s="266"/>
      <c r="C219" s="275"/>
      <c r="D219" s="276">
        <v>1.9043333333333123</v>
      </c>
      <c r="E219" s="277">
        <v>5.2614193548387105</v>
      </c>
      <c r="F219" s="277">
        <f t="shared" si="43"/>
        <v>163.10400000000001</v>
      </c>
      <c r="G219" s="277">
        <v>140.309</v>
      </c>
      <c r="H219" s="281">
        <f t="shared" ref="H219:H282" si="59">G219/F219</f>
        <v>0.86024254463409844</v>
      </c>
      <c r="I219" s="202">
        <v>3308.7829999999999</v>
      </c>
      <c r="J219" s="270">
        <v>47.16</v>
      </c>
      <c r="K219" s="275"/>
      <c r="L219" s="202">
        <v>861.18</v>
      </c>
      <c r="M219" s="275"/>
      <c r="N219" s="202">
        <v>1576.1079999999999</v>
      </c>
      <c r="O219" s="270">
        <v>11.23</v>
      </c>
      <c r="P219" s="275"/>
      <c r="Q219" s="202">
        <v>1260.8219999999999</v>
      </c>
      <c r="R219" s="199">
        <v>0.82644336654431039</v>
      </c>
      <c r="S219" s="202">
        <v>264.77800000000002</v>
      </c>
      <c r="T219" s="275"/>
      <c r="U219" s="275"/>
      <c r="V219" s="278">
        <v>24.21</v>
      </c>
      <c r="W219" s="278">
        <v>24.879000000000001</v>
      </c>
      <c r="X219" s="278">
        <v>21.292000000000002</v>
      </c>
      <c r="Y219" s="278"/>
      <c r="Z219" s="278">
        <v>14.061</v>
      </c>
      <c r="AA219" s="278">
        <v>18.617000000000001</v>
      </c>
      <c r="AB219" s="278">
        <v>25.007000000000001</v>
      </c>
      <c r="AC219" s="278">
        <v>11.417999999999999</v>
      </c>
      <c r="AD219" s="279">
        <v>139.48400000000001</v>
      </c>
      <c r="AE219" s="278">
        <f t="shared" si="52"/>
        <v>139.48400000000001</v>
      </c>
      <c r="AF219" s="278">
        <f t="shared" si="53"/>
        <v>0</v>
      </c>
      <c r="AG219" s="278">
        <f t="shared" si="51"/>
        <v>-0.82499999999998863</v>
      </c>
      <c r="AH219" s="202">
        <f t="shared" si="47"/>
        <v>4.0920000000000023</v>
      </c>
      <c r="AI219" s="202">
        <f t="shared" si="49"/>
        <v>58.39</v>
      </c>
      <c r="AJ219" s="275"/>
      <c r="AK219" s="275"/>
      <c r="AL219" s="275"/>
      <c r="AM219" s="275"/>
      <c r="AN219" s="275"/>
      <c r="AO219" s="275"/>
      <c r="AP219" s="275"/>
      <c r="AQ219" s="275"/>
      <c r="AR219" s="275"/>
      <c r="AS219" s="275"/>
      <c r="AT219" s="275"/>
      <c r="AU219" s="275"/>
      <c r="AV219" s="275"/>
      <c r="AW219" s="275"/>
      <c r="AX219" s="275"/>
      <c r="AY219" s="275"/>
      <c r="AZ219" s="275"/>
      <c r="BA219" s="275"/>
      <c r="BB219" s="275"/>
      <c r="BC219" s="275"/>
      <c r="BE219" s="274">
        <f t="shared" si="54"/>
        <v>4.5260967741935483</v>
      </c>
      <c r="BF219" s="280">
        <f t="shared" si="57"/>
        <v>125.6</v>
      </c>
      <c r="BG219" s="154" t="str">
        <f t="shared" si="58"/>
        <v>RECORD</v>
      </c>
      <c r="BH219" s="270">
        <f t="shared" si="56"/>
        <v>-0.1899999999999995</v>
      </c>
      <c r="BI219" s="270">
        <f t="shared" si="50"/>
        <v>5.0000000000000711E-2</v>
      </c>
    </row>
    <row r="220" spans="1:61">
      <c r="A220" s="266">
        <v>35735</v>
      </c>
      <c r="B220" s="266"/>
      <c r="C220" s="275"/>
      <c r="D220" s="276">
        <v>2.563333333333361</v>
      </c>
      <c r="E220" s="277">
        <v>5.2614666666666663</v>
      </c>
      <c r="F220" s="277">
        <f t="shared" ref="F220:F283" si="60">(A221-A220)*E220</f>
        <v>157.84399999999999</v>
      </c>
      <c r="G220" s="277">
        <v>140.22999999999999</v>
      </c>
      <c r="H220" s="281">
        <f t="shared" si="59"/>
        <v>0.88840880869719463</v>
      </c>
      <c r="I220" s="202">
        <v>3319.5839999999998</v>
      </c>
      <c r="J220" s="270">
        <v>47.34</v>
      </c>
      <c r="K220" s="275"/>
      <c r="L220" s="202">
        <v>812.24099999999999</v>
      </c>
      <c r="M220" s="275"/>
      <c r="N220" s="202">
        <v>1558.567</v>
      </c>
      <c r="O220" s="270">
        <v>11.11</v>
      </c>
      <c r="P220" s="275"/>
      <c r="Q220" s="202">
        <v>1216.242</v>
      </c>
      <c r="R220" s="199">
        <v>0.79727433628318578</v>
      </c>
      <c r="S220" s="202">
        <v>309.25800000000004</v>
      </c>
      <c r="T220" s="275"/>
      <c r="U220" s="275"/>
      <c r="V220" s="278">
        <v>23.673999999999999</v>
      </c>
      <c r="W220" s="278">
        <v>24.663</v>
      </c>
      <c r="X220" s="278">
        <v>22.844000000000001</v>
      </c>
      <c r="Y220" s="278"/>
      <c r="Z220" s="278">
        <v>13.887</v>
      </c>
      <c r="AA220" s="278">
        <v>19.34</v>
      </c>
      <c r="AB220" s="278">
        <v>25.611999999999998</v>
      </c>
      <c r="AC220" s="278">
        <v>10.210000000000001</v>
      </c>
      <c r="AD220" s="279">
        <v>140.22999999999999</v>
      </c>
      <c r="AE220" s="278">
        <f t="shared" si="52"/>
        <v>140.23000000000002</v>
      </c>
      <c r="AF220" s="278">
        <f t="shared" si="53"/>
        <v>0</v>
      </c>
      <c r="AG220" s="278">
        <f t="shared" si="51"/>
        <v>0</v>
      </c>
      <c r="AH220" s="202">
        <f t="shared" si="47"/>
        <v>0.60499999999999687</v>
      </c>
      <c r="AI220" s="202">
        <f t="shared" si="49"/>
        <v>58.45</v>
      </c>
      <c r="AJ220" s="275"/>
      <c r="AK220" s="275"/>
      <c r="AL220" s="275"/>
      <c r="AM220" s="275"/>
      <c r="AN220" s="275"/>
      <c r="AO220" s="275"/>
      <c r="AP220" s="275"/>
      <c r="AQ220" s="275"/>
      <c r="AR220" s="275"/>
      <c r="AS220" s="275"/>
      <c r="AT220" s="275"/>
      <c r="AU220" s="275"/>
      <c r="AV220" s="275"/>
      <c r="AW220" s="275"/>
      <c r="AX220" s="275"/>
      <c r="AY220" s="275"/>
      <c r="AZ220" s="275"/>
      <c r="BA220" s="275"/>
      <c r="BB220" s="275"/>
      <c r="BC220" s="275"/>
      <c r="BE220" s="274">
        <f>G220/30</f>
        <v>4.6743333333333332</v>
      </c>
      <c r="BF220" s="280">
        <f t="shared" si="57"/>
        <v>130.84200000000001</v>
      </c>
      <c r="BG220" s="154" t="str">
        <f t="shared" si="58"/>
        <v>RECORD</v>
      </c>
      <c r="BH220" s="270">
        <f t="shared" si="56"/>
        <v>-0.19800000000000004</v>
      </c>
      <c r="BI220" s="270">
        <f t="shared" si="50"/>
        <v>-0.12000000000000099</v>
      </c>
    </row>
    <row r="221" spans="1:61">
      <c r="A221" s="266">
        <v>35765</v>
      </c>
      <c r="B221" s="266"/>
      <c r="C221" s="275"/>
      <c r="D221" s="276">
        <v>4.9039999999999964</v>
      </c>
      <c r="E221" s="277">
        <v>5.2614193548387105</v>
      </c>
      <c r="F221" s="277">
        <f t="shared" si="60"/>
        <v>163.10400000000001</v>
      </c>
      <c r="G221" s="277">
        <v>148.15600000000001</v>
      </c>
      <c r="H221" s="281">
        <f t="shared" si="59"/>
        <v>0.90835295271728467</v>
      </c>
      <c r="I221" s="202">
        <v>3499.6390000000001</v>
      </c>
      <c r="J221" s="270">
        <v>47.24</v>
      </c>
      <c r="K221" s="275"/>
      <c r="L221" s="202">
        <v>1052.76</v>
      </c>
      <c r="M221" s="275"/>
      <c r="N221" s="202">
        <v>1646.1579999999999</v>
      </c>
      <c r="O221" s="270">
        <v>11.11</v>
      </c>
      <c r="P221" s="275"/>
      <c r="Q221" s="202">
        <v>1323.1079999999999</v>
      </c>
      <c r="R221" s="199">
        <v>0.78775184567754231</v>
      </c>
      <c r="S221" s="202">
        <v>356.49199999999996</v>
      </c>
      <c r="T221" s="275"/>
      <c r="U221" s="275"/>
      <c r="V221" s="278">
        <v>24.914999999999999</v>
      </c>
      <c r="W221" s="278">
        <v>25.844999999999999</v>
      </c>
      <c r="X221" s="278">
        <v>23.38</v>
      </c>
      <c r="Y221" s="278"/>
      <c r="Z221" s="278">
        <v>15.038</v>
      </c>
      <c r="AA221" s="278">
        <v>20.547000000000001</v>
      </c>
      <c r="AB221" s="278">
        <v>27.105</v>
      </c>
      <c r="AC221" s="278">
        <v>11.326000000000001</v>
      </c>
      <c r="AD221" s="279">
        <v>148.15600000000001</v>
      </c>
      <c r="AE221" s="278">
        <f t="shared" si="52"/>
        <v>148.15599999999998</v>
      </c>
      <c r="AF221" s="278">
        <f t="shared" si="53"/>
        <v>0</v>
      </c>
      <c r="AG221" s="278">
        <f t="shared" si="51"/>
        <v>0</v>
      </c>
      <c r="AH221" s="202">
        <f t="shared" si="47"/>
        <v>1.4930000000000021</v>
      </c>
      <c r="AI221" s="202">
        <f t="shared" si="49"/>
        <v>58.35</v>
      </c>
      <c r="AJ221" s="275"/>
      <c r="AK221" s="275"/>
      <c r="AL221" s="275"/>
      <c r="AM221" s="275"/>
      <c r="AN221" s="275"/>
      <c r="AO221" s="275"/>
      <c r="AP221" s="275"/>
      <c r="AQ221" s="275"/>
      <c r="AR221" s="275"/>
      <c r="AS221" s="275"/>
      <c r="AT221" s="275"/>
      <c r="AU221" s="275"/>
      <c r="AV221" s="275"/>
      <c r="AW221" s="275"/>
      <c r="AX221" s="275"/>
      <c r="AY221" s="275"/>
      <c r="AZ221" s="275"/>
      <c r="BA221" s="275"/>
      <c r="BB221" s="275"/>
      <c r="BC221" s="275"/>
      <c r="BE221" s="274">
        <f t="shared" si="54"/>
        <v>4.7792258064516133</v>
      </c>
      <c r="BF221" s="280">
        <f t="shared" si="57"/>
        <v>135.55099999999999</v>
      </c>
      <c r="BG221" s="154" t="str">
        <f t="shared" si="58"/>
        <v>RECORD</v>
      </c>
      <c r="BH221" s="270">
        <f t="shared" si="56"/>
        <v>2.1999999999999888E-2</v>
      </c>
      <c r="BI221" s="270">
        <f t="shared" si="50"/>
        <v>0</v>
      </c>
    </row>
    <row r="222" spans="1:61">
      <c r="A222" s="266">
        <v>35796</v>
      </c>
      <c r="B222" s="266"/>
      <c r="C222" s="275"/>
      <c r="D222" s="276">
        <v>3.193333333333328</v>
      </c>
      <c r="E222" s="277">
        <v>5.436387096774193</v>
      </c>
      <c r="F222" s="277">
        <f t="shared" si="60"/>
        <v>168.52799999999999</v>
      </c>
      <c r="G222" s="277">
        <v>148.57</v>
      </c>
      <c r="H222" s="281">
        <f t="shared" si="59"/>
        <v>0.8815745751447831</v>
      </c>
      <c r="I222" s="202">
        <v>3516.7750000000001</v>
      </c>
      <c r="J222" s="270">
        <v>47.34</v>
      </c>
      <c r="K222" s="275"/>
      <c r="L222" s="202">
        <v>1082.8869999999999</v>
      </c>
      <c r="M222" s="275"/>
      <c r="N222" s="202">
        <v>1662.374</v>
      </c>
      <c r="O222" s="270">
        <v>11.19</v>
      </c>
      <c r="P222" s="275"/>
      <c r="Q222" s="202">
        <v>1470.951</v>
      </c>
      <c r="R222" s="199">
        <v>0.82272554393422448</v>
      </c>
      <c r="S222" s="202">
        <v>316.94900000000007</v>
      </c>
      <c r="T222" s="275"/>
      <c r="U222" s="275"/>
      <c r="V222" s="278">
        <v>24.882000000000001</v>
      </c>
      <c r="W222" s="278">
        <v>26.753</v>
      </c>
      <c r="X222" s="278">
        <v>24.367000000000001</v>
      </c>
      <c r="Y222" s="278"/>
      <c r="Z222" s="278">
        <v>13.938000000000001</v>
      </c>
      <c r="AA222" s="278">
        <v>20.29</v>
      </c>
      <c r="AB222" s="278">
        <v>26.867999999999999</v>
      </c>
      <c r="AC222" s="278">
        <v>11.472</v>
      </c>
      <c r="AD222" s="279">
        <v>148.57</v>
      </c>
      <c r="AE222" s="278">
        <f t="shared" si="52"/>
        <v>148.57000000000002</v>
      </c>
      <c r="AF222" s="278">
        <f t="shared" si="53"/>
        <v>0</v>
      </c>
      <c r="AG222" s="278">
        <f t="shared" si="51"/>
        <v>0</v>
      </c>
      <c r="AH222" s="202">
        <f t="shared" si="47"/>
        <v>-0.23700000000000188</v>
      </c>
      <c r="AI222" s="202">
        <f t="shared" si="49"/>
        <v>58.53</v>
      </c>
      <c r="AJ222" s="275"/>
      <c r="AK222" s="275"/>
      <c r="AL222" s="275"/>
      <c r="AM222" s="275"/>
      <c r="AN222" s="275"/>
      <c r="AO222" s="275"/>
      <c r="AP222" s="275"/>
      <c r="AQ222" s="275"/>
      <c r="AR222" s="275"/>
      <c r="AS222" s="275"/>
      <c r="AT222" s="275"/>
      <c r="AU222" s="275"/>
      <c r="AV222" s="275"/>
      <c r="AW222" s="275"/>
      <c r="AX222" s="275"/>
      <c r="AY222" s="275"/>
      <c r="AZ222" s="275"/>
      <c r="BA222" s="275"/>
      <c r="BB222" s="275"/>
      <c r="BC222" s="275"/>
      <c r="BE222" s="274">
        <f t="shared" si="54"/>
        <v>4.7925806451612898</v>
      </c>
      <c r="BF222" s="280">
        <f t="shared" si="57"/>
        <v>135.16900000000001</v>
      </c>
      <c r="BG222" s="154" t="str">
        <f t="shared" si="58"/>
        <v>RECORD</v>
      </c>
      <c r="BH222" s="270">
        <f t="shared" si="56"/>
        <v>-2.4000000000000198E-2</v>
      </c>
      <c r="BI222" s="270">
        <f t="shared" si="50"/>
        <v>8.0000000000000071E-2</v>
      </c>
    </row>
    <row r="223" spans="1:61">
      <c r="A223" s="266">
        <v>35827</v>
      </c>
      <c r="B223" s="266"/>
      <c r="C223" s="275"/>
      <c r="D223" s="276">
        <v>2.7203333333333717</v>
      </c>
      <c r="E223" s="277">
        <v>5.6305357142857142</v>
      </c>
      <c r="F223" s="277">
        <f t="shared" si="60"/>
        <v>157.655</v>
      </c>
      <c r="G223" s="277">
        <v>135.53299999999999</v>
      </c>
      <c r="H223" s="281">
        <f t="shared" si="59"/>
        <v>0.8596809489074243</v>
      </c>
      <c r="I223" s="202">
        <v>3219.8389999999999</v>
      </c>
      <c r="J223" s="270">
        <v>47.51</v>
      </c>
      <c r="K223" s="275"/>
      <c r="L223" s="202">
        <v>1050.4390000000001</v>
      </c>
      <c r="M223" s="275"/>
      <c r="N223" s="202">
        <v>1501.8520000000001</v>
      </c>
      <c r="O223" s="270">
        <v>11.08</v>
      </c>
      <c r="P223" s="275"/>
      <c r="Q223" s="202">
        <v>1426.472</v>
      </c>
      <c r="R223" s="199">
        <v>0.83360916316035538</v>
      </c>
      <c r="S223" s="202">
        <v>284.72799999999984</v>
      </c>
      <c r="T223" s="275"/>
      <c r="U223" s="275"/>
      <c r="V223" s="278">
        <v>22.899000000000001</v>
      </c>
      <c r="W223" s="278">
        <v>24.298999999999999</v>
      </c>
      <c r="X223" s="278">
        <v>22.108000000000001</v>
      </c>
      <c r="Y223" s="278"/>
      <c r="Z223" s="278">
        <v>13.083</v>
      </c>
      <c r="AA223" s="278">
        <v>18.021999999999998</v>
      </c>
      <c r="AB223" s="278">
        <v>24.268999999999998</v>
      </c>
      <c r="AC223" s="278">
        <v>10.853</v>
      </c>
      <c r="AD223" s="279">
        <v>135.53299999999999</v>
      </c>
      <c r="AE223" s="278">
        <f t="shared" si="52"/>
        <v>135.53300000000002</v>
      </c>
      <c r="AF223" s="278">
        <f t="shared" si="53"/>
        <v>0</v>
      </c>
      <c r="AG223" s="278">
        <f t="shared" si="51"/>
        <v>0</v>
      </c>
      <c r="AH223" s="202">
        <f t="shared" si="47"/>
        <v>-2.5990000000000002</v>
      </c>
      <c r="AI223" s="202">
        <f t="shared" si="49"/>
        <v>58.589999999999996</v>
      </c>
      <c r="AJ223" s="275"/>
      <c r="AK223" s="275"/>
      <c r="AL223" s="275"/>
      <c r="AM223" s="275"/>
      <c r="AN223" s="275"/>
      <c r="AO223" s="275"/>
      <c r="AP223" s="275"/>
      <c r="AQ223" s="275"/>
      <c r="AR223" s="275"/>
      <c r="AS223" s="275"/>
      <c r="AT223" s="275"/>
      <c r="AU223" s="275"/>
      <c r="AV223" s="275"/>
      <c r="AW223" s="275"/>
      <c r="AX223" s="275"/>
      <c r="AY223" s="275"/>
      <c r="AZ223" s="275"/>
      <c r="BA223" s="275"/>
      <c r="BB223" s="275"/>
      <c r="BC223" s="275"/>
      <c r="BE223" s="274">
        <f>G223/28</f>
        <v>4.840464285714285</v>
      </c>
      <c r="BF223" s="280">
        <f t="shared" si="57"/>
        <v>123.217</v>
      </c>
      <c r="BG223" s="154" t="str">
        <f t="shared" si="58"/>
        <v>RECORD</v>
      </c>
      <c r="BH223" s="270">
        <f t="shared" si="56"/>
        <v>5.3999999999999916E-2</v>
      </c>
      <c r="BI223" s="270">
        <f t="shared" si="50"/>
        <v>-0.10999999999999943</v>
      </c>
    </row>
    <row r="224" spans="1:61">
      <c r="A224" s="266">
        <v>35855</v>
      </c>
      <c r="B224" s="266"/>
      <c r="C224" s="275"/>
      <c r="D224" s="276">
        <v>3.0649999999999977</v>
      </c>
      <c r="E224" s="277">
        <v>5.436387096774193</v>
      </c>
      <c r="F224" s="277">
        <f t="shared" si="60"/>
        <v>168.52799999999999</v>
      </c>
      <c r="G224" s="277">
        <v>143.91499999999999</v>
      </c>
      <c r="H224" s="281">
        <f t="shared" si="59"/>
        <v>0.85395305231178198</v>
      </c>
      <c r="I224" s="202">
        <v>3411.0169999999998</v>
      </c>
      <c r="J224" s="270">
        <v>47.4</v>
      </c>
      <c r="K224" s="275"/>
      <c r="L224" s="202">
        <v>936.71100000000001</v>
      </c>
      <c r="M224" s="275"/>
      <c r="N224" s="202">
        <v>1628.4390000000001</v>
      </c>
      <c r="O224" s="270">
        <v>11.32</v>
      </c>
      <c r="P224" s="275"/>
      <c r="Q224" s="202">
        <v>1364.0419999999999</v>
      </c>
      <c r="R224" s="199">
        <v>0.77388063088619086</v>
      </c>
      <c r="S224" s="202">
        <v>398.55799999999999</v>
      </c>
      <c r="T224" s="275"/>
      <c r="U224" s="275"/>
      <c r="V224" s="278">
        <v>24.163</v>
      </c>
      <c r="W224" s="278">
        <v>25.512</v>
      </c>
      <c r="X224" s="278">
        <v>23.550999999999998</v>
      </c>
      <c r="Y224" s="278"/>
      <c r="Z224" s="278">
        <v>13.351000000000001</v>
      </c>
      <c r="AA224" s="278">
        <v>20.504000000000001</v>
      </c>
      <c r="AB224" s="278">
        <v>25.518999999999998</v>
      </c>
      <c r="AC224" s="278">
        <v>11.315</v>
      </c>
      <c r="AD224" s="279">
        <v>143.91499999999999</v>
      </c>
      <c r="AE224" s="278">
        <f t="shared" si="52"/>
        <v>143.91499999999999</v>
      </c>
      <c r="AF224" s="278">
        <f t="shared" si="53"/>
        <v>0</v>
      </c>
      <c r="AG224" s="278">
        <f t="shared" si="51"/>
        <v>0</v>
      </c>
      <c r="AH224" s="202">
        <f t="shared" si="47"/>
        <v>1.25</v>
      </c>
      <c r="AI224" s="202">
        <f t="shared" si="49"/>
        <v>58.72</v>
      </c>
      <c r="AJ224" s="275"/>
      <c r="AK224" s="275"/>
      <c r="AL224" s="275"/>
      <c r="AM224" s="275"/>
      <c r="AN224" s="275"/>
      <c r="AO224" s="275"/>
      <c r="AP224" s="275"/>
      <c r="AQ224" s="275"/>
      <c r="AR224" s="275"/>
      <c r="AS224" s="275"/>
      <c r="AT224" s="275"/>
      <c r="AU224" s="275"/>
      <c r="AV224" s="275"/>
      <c r="AW224" s="275"/>
      <c r="AX224" s="275"/>
      <c r="AY224" s="275"/>
      <c r="AZ224" s="275"/>
      <c r="BA224" s="275"/>
      <c r="BB224" s="275"/>
      <c r="BC224" s="275"/>
      <c r="BE224" s="274">
        <f t="shared" si="54"/>
        <v>4.6424193548387098</v>
      </c>
      <c r="BF224" s="280">
        <f t="shared" si="57"/>
        <v>128.191</v>
      </c>
      <c r="BG224" s="154" t="str">
        <f t="shared" si="58"/>
        <v>RECORD</v>
      </c>
      <c r="BH224" s="270">
        <f t="shared" si="56"/>
        <v>5.4000000000000624E-2</v>
      </c>
      <c r="BI224" s="270">
        <f t="shared" si="50"/>
        <v>0.24000000000000021</v>
      </c>
    </row>
    <row r="225" spans="1:61">
      <c r="A225" s="266">
        <v>35886</v>
      </c>
      <c r="B225" s="266"/>
      <c r="C225" s="275"/>
      <c r="D225" s="276">
        <v>2.9556666666666445</v>
      </c>
      <c r="E225" s="277">
        <v>5.4889333333333337</v>
      </c>
      <c r="F225" s="277">
        <f t="shared" si="60"/>
        <v>164.66800000000001</v>
      </c>
      <c r="G225" s="277">
        <v>131.001</v>
      </c>
      <c r="H225" s="281">
        <f t="shared" si="59"/>
        <v>0.79554618990939341</v>
      </c>
      <c r="I225" s="202">
        <v>3101.7170000000001</v>
      </c>
      <c r="J225" s="270">
        <v>47.35</v>
      </c>
      <c r="K225" s="275"/>
      <c r="L225" s="202">
        <v>654.48</v>
      </c>
      <c r="M225" s="275"/>
      <c r="N225" s="202">
        <v>1500.7539999999999</v>
      </c>
      <c r="O225" s="270">
        <v>11.46</v>
      </c>
      <c r="P225" s="275"/>
      <c r="Q225" s="202">
        <v>1405.002</v>
      </c>
      <c r="R225" s="199">
        <v>0.75635335917312663</v>
      </c>
      <c r="S225" s="202">
        <v>452.59799999999996</v>
      </c>
      <c r="T225" s="275"/>
      <c r="U225" s="275"/>
      <c r="V225" s="278">
        <v>22.907</v>
      </c>
      <c r="W225" s="278">
        <v>24.414000000000001</v>
      </c>
      <c r="X225" s="278">
        <v>22.126999999999999</v>
      </c>
      <c r="Y225" s="278"/>
      <c r="Z225" s="278">
        <v>10.606999999999999</v>
      </c>
      <c r="AA225" s="278">
        <v>16.925999999999998</v>
      </c>
      <c r="AB225" s="278">
        <v>24.016999999999999</v>
      </c>
      <c r="AC225" s="278">
        <v>10.003</v>
      </c>
      <c r="AD225" s="279">
        <v>131.001</v>
      </c>
      <c r="AE225" s="278">
        <f t="shared" si="52"/>
        <v>131.00099999999998</v>
      </c>
      <c r="AF225" s="278">
        <f t="shared" si="53"/>
        <v>0</v>
      </c>
      <c r="AG225" s="278">
        <f t="shared" si="51"/>
        <v>0</v>
      </c>
      <c r="AH225" s="202">
        <f t="shared" si="47"/>
        <v>-1.5019999999999989</v>
      </c>
      <c r="AI225" s="202">
        <f t="shared" si="49"/>
        <v>58.81</v>
      </c>
      <c r="AJ225" s="275"/>
      <c r="AK225" s="275"/>
      <c r="AL225" s="275"/>
      <c r="AM225" s="275"/>
      <c r="AN225" s="275"/>
      <c r="AO225" s="275"/>
      <c r="AP225" s="275"/>
      <c r="AQ225" s="275"/>
      <c r="AR225" s="275"/>
      <c r="AS225" s="275"/>
      <c r="AT225" s="275"/>
      <c r="AU225" s="275"/>
      <c r="AV225" s="275"/>
      <c r="AW225" s="275"/>
      <c r="AX225" s="275"/>
      <c r="AY225" s="275"/>
      <c r="AZ225" s="275"/>
      <c r="BA225" s="275"/>
      <c r="BB225" s="275"/>
      <c r="BC225" s="275"/>
      <c r="BE225" s="274">
        <f>G225/30</f>
        <v>4.3666999999999998</v>
      </c>
      <c r="BF225" s="280">
        <f t="shared" si="57"/>
        <v>118.94199999999999</v>
      </c>
      <c r="BG225" s="154" t="str">
        <f t="shared" si="58"/>
        <v>RECORD</v>
      </c>
      <c r="BH225" s="270">
        <f t="shared" si="56"/>
        <v>7.6000000000000151E-2</v>
      </c>
      <c r="BI225" s="270">
        <f t="shared" si="50"/>
        <v>0.14000000000000057</v>
      </c>
    </row>
    <row r="226" spans="1:61">
      <c r="A226" s="266">
        <v>35916</v>
      </c>
      <c r="B226" s="266"/>
      <c r="C226" s="275"/>
      <c r="D226" s="276">
        <v>2.9353333333333325</v>
      </c>
      <c r="E226" s="277">
        <v>5.4889677419354834</v>
      </c>
      <c r="F226" s="277">
        <f t="shared" si="60"/>
        <v>170.15799999999999</v>
      </c>
      <c r="G226" s="277">
        <v>120.998</v>
      </c>
      <c r="H226" s="281">
        <f t="shared" si="59"/>
        <v>0.71109204386511371</v>
      </c>
      <c r="I226" s="202">
        <v>2886.3130000000001</v>
      </c>
      <c r="J226" s="270">
        <v>47.71</v>
      </c>
      <c r="K226" s="275"/>
      <c r="L226" s="202">
        <v>468.86799999999999</v>
      </c>
      <c r="M226" s="275"/>
      <c r="N226" s="202">
        <v>1392.02</v>
      </c>
      <c r="O226" s="270">
        <v>11.5</v>
      </c>
      <c r="P226" s="275"/>
      <c r="Q226" s="202">
        <v>1417.7070000000001</v>
      </c>
      <c r="R226" s="199">
        <v>0.76339830919175067</v>
      </c>
      <c r="S226" s="202">
        <v>439.3929999999998</v>
      </c>
      <c r="T226" s="275"/>
      <c r="U226" s="275"/>
      <c r="V226" s="278">
        <v>20.93</v>
      </c>
      <c r="W226" s="278">
        <v>20.582000000000001</v>
      </c>
      <c r="X226" s="278">
        <v>19.562999999999999</v>
      </c>
      <c r="Y226" s="278"/>
      <c r="Z226" s="278">
        <v>8.3789999999999996</v>
      </c>
      <c r="AA226" s="278">
        <v>19.103999999999999</v>
      </c>
      <c r="AB226" s="278">
        <v>22.367000000000001</v>
      </c>
      <c r="AC226" s="278">
        <v>10.073</v>
      </c>
      <c r="AD226" s="279">
        <v>120.999</v>
      </c>
      <c r="AE226" s="278">
        <f t="shared" si="52"/>
        <v>120.99800000000002</v>
      </c>
      <c r="AF226" s="278">
        <f t="shared" si="53"/>
        <v>-9.9999999997635314E-4</v>
      </c>
      <c r="AG226" s="278">
        <f t="shared" si="51"/>
        <v>0</v>
      </c>
      <c r="AH226" s="202">
        <f t="shared" si="47"/>
        <v>-1.6499999999999986</v>
      </c>
      <c r="AI226" s="202">
        <f t="shared" si="49"/>
        <v>59.21</v>
      </c>
      <c r="AJ226" s="275"/>
      <c r="AK226" s="275"/>
      <c r="AL226" s="275"/>
      <c r="AM226" s="275"/>
      <c r="AN226" s="275"/>
      <c r="AO226" s="275"/>
      <c r="AP226" s="275"/>
      <c r="AQ226" s="275"/>
      <c r="AR226" s="275"/>
      <c r="AS226" s="275"/>
      <c r="AT226" s="275"/>
      <c r="AU226" s="275"/>
      <c r="AV226" s="275"/>
      <c r="AW226" s="275"/>
      <c r="AX226" s="275"/>
      <c r="AY226" s="275"/>
      <c r="AZ226" s="275"/>
      <c r="BA226" s="275"/>
      <c r="BB226" s="275"/>
      <c r="BC226" s="275"/>
      <c r="BE226" s="274">
        <f t="shared" si="54"/>
        <v>3.903161290322581</v>
      </c>
      <c r="BF226" s="280">
        <f t="shared" si="57"/>
        <v>112.84099999999999</v>
      </c>
      <c r="BG226" s="154" t="str">
        <f t="shared" si="58"/>
        <v>RECORD</v>
      </c>
      <c r="BH226" s="270">
        <f t="shared" si="56"/>
        <v>-8.000000000000184E-3</v>
      </c>
      <c r="BI226" s="270">
        <f t="shared" si="50"/>
        <v>3.9999999999999147E-2</v>
      </c>
    </row>
    <row r="227" spans="1:61">
      <c r="A227" s="266">
        <v>35947</v>
      </c>
      <c r="B227" s="266"/>
      <c r="C227" s="275"/>
      <c r="D227" s="276">
        <v>3.1890000000000072</v>
      </c>
      <c r="E227" s="277">
        <v>5.4889333333333337</v>
      </c>
      <c r="F227" s="277">
        <f t="shared" si="60"/>
        <v>164.66800000000001</v>
      </c>
      <c r="G227" s="277">
        <v>114.291</v>
      </c>
      <c r="H227" s="281">
        <f t="shared" si="59"/>
        <v>0.69406927879126479</v>
      </c>
      <c r="I227" s="202">
        <v>2719.7220000000002</v>
      </c>
      <c r="J227" s="270">
        <v>47.59</v>
      </c>
      <c r="K227" s="275"/>
      <c r="L227" s="202">
        <v>356.44900000000001</v>
      </c>
      <c r="M227" s="275"/>
      <c r="N227" s="202">
        <v>1308.347</v>
      </c>
      <c r="O227" s="270">
        <v>11.45</v>
      </c>
      <c r="P227" s="275"/>
      <c r="Q227" s="202">
        <v>1390.2329999999999</v>
      </c>
      <c r="R227" s="199">
        <v>0.81176748802989607</v>
      </c>
      <c r="S227" s="202">
        <v>322.36699999999996</v>
      </c>
      <c r="T227" s="275"/>
      <c r="U227" s="275"/>
      <c r="V227" s="278">
        <v>20.536000000000001</v>
      </c>
      <c r="W227" s="278">
        <v>18.033000000000001</v>
      </c>
      <c r="X227" s="278">
        <v>17.178999999999998</v>
      </c>
      <c r="Y227" s="278"/>
      <c r="Z227" s="278">
        <v>9.452</v>
      </c>
      <c r="AA227" s="278">
        <v>16.847999999999999</v>
      </c>
      <c r="AB227" s="278">
        <v>21.661000000000001</v>
      </c>
      <c r="AC227" s="278">
        <v>10.582000000000001</v>
      </c>
      <c r="AD227" s="279">
        <v>114.291</v>
      </c>
      <c r="AE227" s="278">
        <f t="shared" si="52"/>
        <v>114.291</v>
      </c>
      <c r="AF227" s="278">
        <f t="shared" si="53"/>
        <v>0</v>
      </c>
      <c r="AG227" s="278">
        <f t="shared" si="51"/>
        <v>0</v>
      </c>
      <c r="AH227" s="202">
        <f t="shared" si="47"/>
        <v>-0.70599999999999952</v>
      </c>
      <c r="AI227" s="202">
        <f t="shared" si="49"/>
        <v>59.040000000000006</v>
      </c>
      <c r="AJ227" s="275"/>
      <c r="AK227" s="275"/>
      <c r="AL227" s="275"/>
      <c r="AM227" s="275"/>
      <c r="AN227" s="275"/>
      <c r="AO227" s="275"/>
      <c r="AP227" s="275"/>
      <c r="AQ227" s="275"/>
      <c r="AR227" s="275"/>
      <c r="AS227" s="275"/>
      <c r="AT227" s="275"/>
      <c r="AU227" s="275"/>
      <c r="AV227" s="275"/>
      <c r="AW227" s="275"/>
      <c r="AX227" s="275"/>
      <c r="AY227" s="275"/>
      <c r="AZ227" s="275"/>
      <c r="BA227" s="275"/>
      <c r="BB227" s="275"/>
      <c r="BC227" s="275"/>
      <c r="BE227" s="274">
        <f>G227/30</f>
        <v>3.8096999999999999</v>
      </c>
      <c r="BF227" s="280">
        <f t="shared" si="57"/>
        <v>106.55200000000001</v>
      </c>
      <c r="BG227" s="154" t="str">
        <f t="shared" si="58"/>
        <v>RECORD</v>
      </c>
      <c r="BH227" s="270">
        <f t="shared" si="56"/>
        <v>3.9999999999999855E-2</v>
      </c>
      <c r="BI227" s="270">
        <f t="shared" si="50"/>
        <v>-5.0000000000000711E-2</v>
      </c>
    </row>
    <row r="228" spans="1:61">
      <c r="A228" s="266">
        <v>35977</v>
      </c>
      <c r="B228" s="266"/>
      <c r="C228" s="275"/>
      <c r="D228" s="276">
        <v>2.7283333333333388</v>
      </c>
      <c r="E228" s="277">
        <v>5.4841935483870961</v>
      </c>
      <c r="F228" s="277">
        <f t="shared" si="60"/>
        <v>170.01</v>
      </c>
      <c r="G228" s="277">
        <v>121.065</v>
      </c>
      <c r="H228" s="281">
        <f t="shared" si="59"/>
        <v>0.71210517028410092</v>
      </c>
      <c r="I228" s="202">
        <v>2876.7330000000002</v>
      </c>
      <c r="J228" s="270">
        <v>47.52</v>
      </c>
      <c r="K228" s="275"/>
      <c r="L228" s="202">
        <v>364.14499999999998</v>
      </c>
      <c r="M228" s="275"/>
      <c r="N228" s="202">
        <v>1382.7429999999999</v>
      </c>
      <c r="O228" s="270">
        <v>11.42</v>
      </c>
      <c r="P228" s="275"/>
      <c r="Q228" s="202">
        <v>1364.7909999999999</v>
      </c>
      <c r="R228" s="199">
        <v>0.76712438873587763</v>
      </c>
      <c r="S228" s="202">
        <v>414.3090000000002</v>
      </c>
      <c r="T228" s="275"/>
      <c r="U228" s="275"/>
      <c r="V228" s="278">
        <v>22.344999999999999</v>
      </c>
      <c r="W228" s="278">
        <v>21.58</v>
      </c>
      <c r="X228" s="278">
        <v>18.010999999999999</v>
      </c>
      <c r="Y228" s="278"/>
      <c r="Z228" s="278">
        <v>8.7460000000000004</v>
      </c>
      <c r="AA228" s="278">
        <v>16.161999999999999</v>
      </c>
      <c r="AB228" s="278">
        <v>23.062000000000001</v>
      </c>
      <c r="AC228" s="278">
        <v>11.159000000000001</v>
      </c>
      <c r="AD228" s="279">
        <v>121.065</v>
      </c>
      <c r="AE228" s="278">
        <f t="shared" si="52"/>
        <v>121.065</v>
      </c>
      <c r="AF228" s="278">
        <f t="shared" si="53"/>
        <v>0</v>
      </c>
      <c r="AG228" s="278">
        <f t="shared" si="51"/>
        <v>0</v>
      </c>
      <c r="AH228" s="202">
        <f t="shared" si="47"/>
        <v>1.4009999999999998</v>
      </c>
      <c r="AI228" s="202">
        <f t="shared" si="49"/>
        <v>58.940000000000005</v>
      </c>
      <c r="AJ228" s="275"/>
      <c r="AK228" s="275"/>
      <c r="AL228" s="275"/>
      <c r="AM228" s="275"/>
      <c r="AN228" s="275"/>
      <c r="AO228" s="275"/>
      <c r="AP228" s="275"/>
      <c r="AQ228" s="275"/>
      <c r="AR228" s="275"/>
      <c r="AS228" s="275"/>
      <c r="AT228" s="275"/>
      <c r="AU228" s="275"/>
      <c r="AV228" s="275"/>
      <c r="AW228" s="275"/>
      <c r="AX228" s="275"/>
      <c r="AY228" s="275"/>
      <c r="AZ228" s="275"/>
      <c r="BA228" s="275"/>
      <c r="BB228" s="275"/>
      <c r="BC228" s="275"/>
      <c r="BE228" s="274">
        <f t="shared" si="54"/>
        <v>3.9053225806451612</v>
      </c>
      <c r="BF228" s="280">
        <f t="shared" si="57"/>
        <v>111.104</v>
      </c>
      <c r="BG228" s="154" t="str">
        <f t="shared" si="58"/>
        <v>RECORD</v>
      </c>
      <c r="BH228" s="270">
        <f t="shared" si="56"/>
        <v>3.0000000000000072E-2</v>
      </c>
      <c r="BI228" s="270">
        <f t="shared" si="50"/>
        <v>-2.9999999999999361E-2</v>
      </c>
    </row>
    <row r="229" spans="1:61">
      <c r="A229" s="266">
        <v>36008</v>
      </c>
      <c r="B229" s="266"/>
      <c r="C229" s="275"/>
      <c r="D229" s="276">
        <v>2.6793333333333464</v>
      </c>
      <c r="E229" s="277">
        <v>5.4841612903225805</v>
      </c>
      <c r="F229" s="277">
        <f t="shared" si="60"/>
        <v>170.00899999999999</v>
      </c>
      <c r="G229" s="277">
        <v>109.264</v>
      </c>
      <c r="H229" s="281">
        <f t="shared" si="59"/>
        <v>0.64269538671482096</v>
      </c>
      <c r="I229" s="202">
        <v>2614.6970000000001</v>
      </c>
      <c r="J229" s="270">
        <v>47.86</v>
      </c>
      <c r="K229" s="275"/>
      <c r="L229" s="202">
        <v>277.71699999999998</v>
      </c>
      <c r="M229" s="275"/>
      <c r="N229" s="202">
        <v>1261.6569999999999</v>
      </c>
      <c r="O229" s="270">
        <v>11.55</v>
      </c>
      <c r="P229" s="275"/>
      <c r="Q229" s="202">
        <v>1156.08</v>
      </c>
      <c r="R229" s="199">
        <v>0.7955956231505058</v>
      </c>
      <c r="S229" s="202">
        <v>297.02</v>
      </c>
      <c r="T229" s="275"/>
      <c r="U229" s="275"/>
      <c r="V229" s="278">
        <v>16.117999999999999</v>
      </c>
      <c r="W229" s="278">
        <v>20.023</v>
      </c>
      <c r="X229" s="278">
        <v>16.032</v>
      </c>
      <c r="Y229" s="278"/>
      <c r="Z229" s="278">
        <v>8.6059999999999999</v>
      </c>
      <c r="AA229" s="278">
        <v>16.271999999999998</v>
      </c>
      <c r="AB229" s="278">
        <v>21.698</v>
      </c>
      <c r="AC229" s="278">
        <v>10.515000000000001</v>
      </c>
      <c r="AD229" s="279">
        <v>109.26300000000001</v>
      </c>
      <c r="AE229" s="278">
        <f t="shared" si="52"/>
        <v>109.264</v>
      </c>
      <c r="AF229" s="278">
        <f t="shared" si="53"/>
        <v>9.9999999999056399E-4</v>
      </c>
      <c r="AG229" s="278">
        <f t="shared" si="51"/>
        <v>0</v>
      </c>
      <c r="AH229" s="202">
        <f t="shared" si="47"/>
        <v>-1.3640000000000008</v>
      </c>
      <c r="AI229" s="202">
        <f t="shared" si="49"/>
        <v>59.41</v>
      </c>
      <c r="AJ229" s="275"/>
      <c r="AK229" s="275"/>
      <c r="AL229" s="275"/>
      <c r="AM229" s="275"/>
      <c r="AN229" s="275"/>
      <c r="AO229" s="275"/>
      <c r="AP229" s="275"/>
      <c r="AQ229" s="275"/>
      <c r="AR229" s="275"/>
      <c r="AS229" s="275"/>
      <c r="AT229" s="275"/>
      <c r="AU229" s="275"/>
      <c r="AV229" s="275"/>
      <c r="AW229" s="275"/>
      <c r="AX229" s="275"/>
      <c r="AY229" s="275"/>
      <c r="AZ229" s="275"/>
      <c r="BA229" s="275"/>
      <c r="BB229" s="275"/>
      <c r="BC229" s="275"/>
      <c r="BE229" s="274">
        <f t="shared" si="54"/>
        <v>3.5246451612903225</v>
      </c>
      <c r="BF229" s="280">
        <f>MAX(G217,G205,G193,G181,G169,G157,G145,G133,G121,G109,G97,G85,G73,G61,G49,G37,G25,G13)</f>
        <v>108.127</v>
      </c>
      <c r="BG229" s="154" t="str">
        <f t="shared" si="58"/>
        <v>RECORD</v>
      </c>
      <c r="BH229" s="270">
        <f t="shared" si="56"/>
        <v>5.999999999999517E-3</v>
      </c>
      <c r="BI229" s="270">
        <f t="shared" si="50"/>
        <v>0.13000000000000078</v>
      </c>
    </row>
    <row r="230" spans="1:61">
      <c r="A230" s="266">
        <v>36039</v>
      </c>
      <c r="B230" s="266"/>
      <c r="C230" s="275"/>
      <c r="D230" s="276">
        <v>2.3516666666666595</v>
      </c>
      <c r="E230" s="277">
        <v>5.4841666666666669</v>
      </c>
      <c r="F230" s="277">
        <f t="shared" si="60"/>
        <v>164.52500000000001</v>
      </c>
      <c r="G230" s="277">
        <v>121.55500000000001</v>
      </c>
      <c r="H230" s="281">
        <f t="shared" si="59"/>
        <v>0.73882388694727241</v>
      </c>
      <c r="I230" s="202">
        <v>2872.33</v>
      </c>
      <c r="J230" s="270">
        <v>47.26</v>
      </c>
      <c r="K230" s="275"/>
      <c r="L230" s="202">
        <v>377.67</v>
      </c>
      <c r="M230" s="275"/>
      <c r="N230" s="202">
        <v>1389.5450000000001</v>
      </c>
      <c r="O230" s="270">
        <v>11.43</v>
      </c>
      <c r="P230" s="275"/>
      <c r="Q230" s="202">
        <v>956.23299999999995</v>
      </c>
      <c r="R230" s="199">
        <v>0.69171947337962958</v>
      </c>
      <c r="S230" s="202">
        <v>426.16700000000014</v>
      </c>
      <c r="T230" s="275"/>
      <c r="U230" s="275"/>
      <c r="V230" s="278">
        <v>21.512</v>
      </c>
      <c r="W230" s="278">
        <v>20.411000000000001</v>
      </c>
      <c r="X230" s="278">
        <v>18.704000000000001</v>
      </c>
      <c r="Y230" s="278"/>
      <c r="Z230" s="278">
        <v>9.8249999999999993</v>
      </c>
      <c r="AA230" s="278">
        <v>17.492999999999999</v>
      </c>
      <c r="AB230" s="278">
        <v>24.405999999999999</v>
      </c>
      <c r="AC230" s="278">
        <v>9.2040000000000006</v>
      </c>
      <c r="AD230" s="279">
        <v>121.55500000000001</v>
      </c>
      <c r="AE230" s="278">
        <f t="shared" si="52"/>
        <v>121.55500000000001</v>
      </c>
      <c r="AF230" s="278">
        <f t="shared" si="53"/>
        <v>0</v>
      </c>
      <c r="AG230" s="278">
        <f t="shared" si="51"/>
        <v>0</v>
      </c>
      <c r="AH230" s="202">
        <f t="shared" si="47"/>
        <v>2.7079999999999984</v>
      </c>
      <c r="AI230" s="202">
        <f t="shared" si="49"/>
        <v>58.69</v>
      </c>
      <c r="AJ230" s="275"/>
      <c r="AK230" s="275"/>
      <c r="AL230" s="275"/>
      <c r="AM230" s="275"/>
      <c r="AN230" s="275"/>
      <c r="AO230" s="275"/>
      <c r="AP230" s="275"/>
      <c r="AQ230" s="275"/>
      <c r="AR230" s="275"/>
      <c r="AS230" s="275"/>
      <c r="AT230" s="275"/>
      <c r="AU230" s="275"/>
      <c r="AV230" s="275"/>
      <c r="AW230" s="275"/>
      <c r="AX230" s="275"/>
      <c r="AY230" s="275"/>
      <c r="AZ230" s="275"/>
      <c r="BA230" s="275"/>
      <c r="BB230" s="275"/>
      <c r="BC230" s="275"/>
      <c r="BE230" s="274">
        <f>G230/30</f>
        <v>4.0518333333333336</v>
      </c>
      <c r="BF230" s="280">
        <f t="shared" ref="BF230:BF240" si="61">MAX(G218,G206,G194,G182,G170,G158,G146,G134,G122,G110,G98,G86,G74,G62,G50,G38,G26,G14,G2)</f>
        <v>109.35599999999999</v>
      </c>
      <c r="BG230" s="154" t="str">
        <f t="shared" si="58"/>
        <v>RECORD</v>
      </c>
      <c r="BH230" s="270">
        <f t="shared" si="56"/>
        <v>7.1999999999999884E-2</v>
      </c>
      <c r="BI230" s="270">
        <f t="shared" si="50"/>
        <v>-0.12000000000000099</v>
      </c>
    </row>
    <row r="231" spans="1:61">
      <c r="A231" s="266">
        <v>36069</v>
      </c>
      <c r="B231" s="266"/>
      <c r="C231" s="275"/>
      <c r="D231" s="276">
        <v>-0.16433333333333167</v>
      </c>
      <c r="E231" s="277">
        <v>5.4060645161290317</v>
      </c>
      <c r="F231" s="277">
        <f t="shared" si="60"/>
        <v>167.58799999999999</v>
      </c>
      <c r="G231" s="277">
        <v>142.53100000000001</v>
      </c>
      <c r="H231" s="281">
        <f t="shared" si="59"/>
        <v>0.85048452156478993</v>
      </c>
      <c r="I231" s="202">
        <v>3369.73</v>
      </c>
      <c r="J231" s="270">
        <v>47.28</v>
      </c>
      <c r="K231" s="275"/>
      <c r="L231" s="202">
        <v>653.649</v>
      </c>
      <c r="M231" s="275"/>
      <c r="N231" s="202">
        <v>1605.2909999999999</v>
      </c>
      <c r="O231" s="270">
        <v>11.26</v>
      </c>
      <c r="P231" s="275"/>
      <c r="Q231" s="202">
        <v>1061.5219999999999</v>
      </c>
      <c r="R231" s="199">
        <v>0.74929201665843148</v>
      </c>
      <c r="S231" s="202">
        <v>355.17800000000011</v>
      </c>
      <c r="T231" s="275"/>
      <c r="U231" s="275"/>
      <c r="V231" s="278">
        <v>24.352</v>
      </c>
      <c r="W231" s="278">
        <v>26.91</v>
      </c>
      <c r="X231" s="278">
        <v>21.154</v>
      </c>
      <c r="Y231" s="278"/>
      <c r="Z231" s="278">
        <v>12.523999999999999</v>
      </c>
      <c r="AA231" s="278">
        <v>19.898</v>
      </c>
      <c r="AB231" s="278">
        <v>26.684999999999999</v>
      </c>
      <c r="AC231" s="278">
        <v>11.007999999999999</v>
      </c>
      <c r="AD231" s="279">
        <v>142.53200000000001</v>
      </c>
      <c r="AE231" s="278">
        <f t="shared" si="52"/>
        <v>142.53100000000001</v>
      </c>
      <c r="AF231" s="278">
        <f t="shared" si="53"/>
        <v>-1.0000000000047748E-3</v>
      </c>
      <c r="AG231" s="278">
        <f t="shared" si="51"/>
        <v>0</v>
      </c>
      <c r="AH231" s="202">
        <f t="shared" si="47"/>
        <v>2.2789999999999999</v>
      </c>
      <c r="AI231" s="202">
        <f t="shared" si="49"/>
        <v>58.54</v>
      </c>
      <c r="AJ231" s="275"/>
      <c r="AK231" s="275"/>
      <c r="AL231" s="275"/>
      <c r="AM231" s="275"/>
      <c r="AN231" s="275"/>
      <c r="AO231" s="275"/>
      <c r="AP231" s="275"/>
      <c r="AQ231" s="275"/>
      <c r="AR231" s="275"/>
      <c r="AS231" s="275"/>
      <c r="AT231" s="275"/>
      <c r="AU231" s="275"/>
      <c r="AV231" s="275"/>
      <c r="AW231" s="275"/>
      <c r="AX231" s="275"/>
      <c r="AY231" s="275"/>
      <c r="AZ231" s="275"/>
      <c r="BA231" s="275"/>
      <c r="BB231" s="275"/>
      <c r="BC231" s="275"/>
      <c r="BE231" s="274">
        <f t="shared" si="54"/>
        <v>4.5977741935483873</v>
      </c>
      <c r="BF231" s="280">
        <f t="shared" si="61"/>
        <v>140.309</v>
      </c>
      <c r="BG231" s="154" t="str">
        <f t="shared" si="58"/>
        <v>RECORD</v>
      </c>
      <c r="BH231" s="270">
        <f t="shared" si="56"/>
        <v>-5.7999999999999476E-2</v>
      </c>
      <c r="BI231" s="270">
        <f t="shared" si="50"/>
        <v>-0.16999999999999993</v>
      </c>
    </row>
    <row r="232" spans="1:61">
      <c r="A232" s="266">
        <v>36100</v>
      </c>
      <c r="B232" s="266"/>
      <c r="C232" s="275"/>
      <c r="D232" s="276">
        <v>2.4343333333333419</v>
      </c>
      <c r="E232" s="277">
        <v>5.4060999999999995</v>
      </c>
      <c r="F232" s="277">
        <f t="shared" si="60"/>
        <v>162.18299999999999</v>
      </c>
      <c r="G232" s="277">
        <v>140.589</v>
      </c>
      <c r="H232" s="281">
        <f t="shared" si="59"/>
        <v>0.86685410924696182</v>
      </c>
      <c r="I232" s="202">
        <v>3315.1329999999998</v>
      </c>
      <c r="J232" s="270">
        <v>47.16</v>
      </c>
      <c r="K232" s="275"/>
      <c r="L232" s="202">
        <v>699.30600000000004</v>
      </c>
      <c r="M232" s="275"/>
      <c r="N232" s="202">
        <v>1575.4469999999999</v>
      </c>
      <c r="O232" s="270">
        <v>11.21</v>
      </c>
      <c r="P232" s="275"/>
      <c r="Q232" s="202">
        <v>963.49300000000005</v>
      </c>
      <c r="R232" s="199">
        <v>0.68507750284414104</v>
      </c>
      <c r="S232" s="202">
        <v>442.90700000000004</v>
      </c>
      <c r="T232" s="275"/>
      <c r="U232" s="275"/>
      <c r="V232" s="278">
        <v>23.876999999999999</v>
      </c>
      <c r="W232" s="278">
        <v>26.242000000000001</v>
      </c>
      <c r="X232" s="278">
        <v>23.061</v>
      </c>
      <c r="Y232" s="278"/>
      <c r="Z232" s="278">
        <v>11.535</v>
      </c>
      <c r="AA232" s="278">
        <v>19.206</v>
      </c>
      <c r="AB232" s="278">
        <v>26.178000000000001</v>
      </c>
      <c r="AC232" s="278">
        <v>10.49</v>
      </c>
      <c r="AD232" s="279">
        <v>140.589</v>
      </c>
      <c r="AE232" s="278">
        <f t="shared" si="52"/>
        <v>140.58900000000003</v>
      </c>
      <c r="AF232" s="278">
        <f t="shared" si="53"/>
        <v>0</v>
      </c>
      <c r="AG232" s="278">
        <f t="shared" si="51"/>
        <v>0</v>
      </c>
      <c r="AH232" s="202">
        <f t="shared" si="47"/>
        <v>-0.5069999999999979</v>
      </c>
      <c r="AI232" s="202">
        <f t="shared" si="49"/>
        <v>58.37</v>
      </c>
      <c r="AJ232" s="275"/>
      <c r="AK232" s="275"/>
      <c r="AL232" s="275"/>
      <c r="AM232" s="275"/>
      <c r="AN232" s="275"/>
      <c r="AO232" s="275"/>
      <c r="AP232" s="275"/>
      <c r="AQ232" s="275"/>
      <c r="AR232" s="275"/>
      <c r="AS232" s="275"/>
      <c r="AT232" s="275"/>
      <c r="AU232" s="275"/>
      <c r="AV232" s="275"/>
      <c r="AW232" s="275"/>
      <c r="AX232" s="275"/>
      <c r="AY232" s="275"/>
      <c r="AZ232" s="275"/>
      <c r="BA232" s="275"/>
      <c r="BB232" s="275"/>
      <c r="BC232" s="275"/>
      <c r="BE232" s="274">
        <f>G232/30</f>
        <v>4.6863000000000001</v>
      </c>
      <c r="BF232" s="280">
        <f t="shared" si="61"/>
        <v>140.22999999999999</v>
      </c>
      <c r="BG232" s="154" t="str">
        <f t="shared" si="58"/>
        <v>RECORD</v>
      </c>
      <c r="BH232" s="270">
        <f t="shared" si="56"/>
        <v>-0.1860000000000003</v>
      </c>
      <c r="BI232" s="270">
        <f t="shared" si="50"/>
        <v>-4.9999999999998934E-2</v>
      </c>
    </row>
    <row r="233" spans="1:61">
      <c r="A233" s="266">
        <v>36130</v>
      </c>
      <c r="B233" s="266"/>
      <c r="C233" s="275"/>
      <c r="D233" s="276">
        <v>3.5226666666666802</v>
      </c>
      <c r="E233" s="277">
        <v>5.4060645161290317</v>
      </c>
      <c r="F233" s="277">
        <f t="shared" si="60"/>
        <v>167.58799999999999</v>
      </c>
      <c r="G233" s="277">
        <v>141.09399999999999</v>
      </c>
      <c r="H233" s="281">
        <f t="shared" si="59"/>
        <v>0.84190992195145231</v>
      </c>
      <c r="I233" s="202">
        <v>3331.6129999999998</v>
      </c>
      <c r="J233" s="270">
        <v>47.23</v>
      </c>
      <c r="K233" s="275"/>
      <c r="L233" s="202">
        <v>626.15200000000004</v>
      </c>
      <c r="M233" s="275"/>
      <c r="N233" s="202">
        <v>1578.7929999999999</v>
      </c>
      <c r="O233" s="270">
        <v>11.19</v>
      </c>
      <c r="P233" s="275"/>
      <c r="Q233" s="202">
        <v>905.03499999999997</v>
      </c>
      <c r="R233" s="199">
        <v>0.68934039149973336</v>
      </c>
      <c r="S233" s="202">
        <v>407.86500000000012</v>
      </c>
      <c r="T233" s="275"/>
      <c r="U233" s="275"/>
      <c r="V233" s="278">
        <v>24.472000000000001</v>
      </c>
      <c r="W233" s="278">
        <v>26.056999999999999</v>
      </c>
      <c r="X233" s="278">
        <v>22.082999999999998</v>
      </c>
      <c r="Y233" s="278"/>
      <c r="Z233" s="278">
        <v>12.587</v>
      </c>
      <c r="AA233" s="278">
        <v>19.178999999999998</v>
      </c>
      <c r="AB233" s="278">
        <v>25.071999999999999</v>
      </c>
      <c r="AC233" s="278">
        <v>11.644</v>
      </c>
      <c r="AD233" s="279">
        <v>141.09299999999999</v>
      </c>
      <c r="AE233" s="278">
        <f t="shared" si="52"/>
        <v>141.09399999999999</v>
      </c>
      <c r="AF233" s="278">
        <f t="shared" si="53"/>
        <v>1.0000000000047748E-3</v>
      </c>
      <c r="AG233" s="278">
        <f t="shared" si="51"/>
        <v>0</v>
      </c>
      <c r="AH233" s="202">
        <f t="shared" si="47"/>
        <v>-1.1060000000000016</v>
      </c>
      <c r="AI233" s="202">
        <f t="shared" si="49"/>
        <v>58.419999999999995</v>
      </c>
      <c r="AJ233" s="275"/>
      <c r="AK233" s="275"/>
      <c r="AL233" s="275"/>
      <c r="AM233" s="275"/>
      <c r="AN233" s="275"/>
      <c r="AO233" s="275"/>
      <c r="AP233" s="275"/>
      <c r="AQ233" s="275"/>
      <c r="AR233" s="275"/>
      <c r="AS233" s="275"/>
      <c r="AT233" s="275"/>
      <c r="AU233" s="275"/>
      <c r="AV233" s="275"/>
      <c r="AW233" s="275"/>
      <c r="AX233" s="275"/>
      <c r="AY233" s="275"/>
      <c r="AZ233" s="275"/>
      <c r="BA233" s="275"/>
      <c r="BB233" s="275"/>
      <c r="BC233" s="275"/>
      <c r="BE233" s="274">
        <f t="shared" si="54"/>
        <v>4.5514193548387096</v>
      </c>
      <c r="BF233" s="280">
        <f t="shared" si="61"/>
        <v>148.15600000000001</v>
      </c>
      <c r="BG233" s="154" t="str">
        <f t="shared" si="58"/>
        <v/>
      </c>
      <c r="BH233" s="270">
        <f t="shared" si="56"/>
        <v>1.2000000000000099E-2</v>
      </c>
      <c r="BI233" s="270">
        <f t="shared" si="50"/>
        <v>-2.000000000000135E-2</v>
      </c>
    </row>
    <row r="234" spans="1:61">
      <c r="A234" s="266">
        <v>36161</v>
      </c>
      <c r="B234" s="266"/>
      <c r="C234" s="275"/>
      <c r="D234" s="276">
        <v>2.4936666666666554</v>
      </c>
      <c r="E234" s="277">
        <v>5.4297096774193552</v>
      </c>
      <c r="F234" s="277">
        <f t="shared" si="60"/>
        <v>168.321</v>
      </c>
      <c r="G234" s="277">
        <v>133.88300000000001</v>
      </c>
      <c r="H234" s="281">
        <f t="shared" si="59"/>
        <v>0.79540283149458479</v>
      </c>
      <c r="I234" s="202">
        <v>3158.4110000000001</v>
      </c>
      <c r="J234" s="270">
        <v>47.18</v>
      </c>
      <c r="K234" s="275"/>
      <c r="L234" s="202">
        <v>535.822</v>
      </c>
      <c r="M234" s="275"/>
      <c r="N234" s="202">
        <v>1508.854</v>
      </c>
      <c r="O234" s="270">
        <v>11.27</v>
      </c>
      <c r="P234" s="275"/>
      <c r="Q234" s="202">
        <v>1055.316</v>
      </c>
      <c r="R234" s="199">
        <v>0.70092720510095652</v>
      </c>
      <c r="S234" s="202">
        <v>450.28399999999988</v>
      </c>
      <c r="T234" s="275"/>
      <c r="U234" s="275"/>
      <c r="V234" s="278">
        <v>19.927</v>
      </c>
      <c r="W234" s="278">
        <v>24.853000000000002</v>
      </c>
      <c r="X234" s="278">
        <v>23.454999999999998</v>
      </c>
      <c r="Y234" s="278"/>
      <c r="Z234" s="278">
        <v>10.598000000000001</v>
      </c>
      <c r="AA234" s="278">
        <v>18.960999999999999</v>
      </c>
      <c r="AB234" s="278">
        <v>24.777999999999999</v>
      </c>
      <c r="AC234" s="278">
        <v>11.311</v>
      </c>
      <c r="AD234" s="279">
        <v>133.88399999999999</v>
      </c>
      <c r="AE234" s="278">
        <f t="shared" si="52"/>
        <v>133.88300000000001</v>
      </c>
      <c r="AF234" s="278">
        <f t="shared" si="53"/>
        <v>-9.9999999997635314E-4</v>
      </c>
      <c r="AG234" s="278">
        <f t="shared" si="51"/>
        <v>0</v>
      </c>
      <c r="AH234" s="202">
        <f t="shared" si="47"/>
        <v>-0.29400000000000048</v>
      </c>
      <c r="AI234" s="202">
        <f t="shared" si="49"/>
        <v>58.45</v>
      </c>
      <c r="AJ234" s="275"/>
      <c r="AK234" s="275"/>
      <c r="AL234" s="275"/>
      <c r="AM234" s="275"/>
      <c r="AN234" s="275"/>
      <c r="AO234" s="275"/>
      <c r="AP234" s="275"/>
      <c r="AQ234" s="275"/>
      <c r="AR234" s="275"/>
      <c r="AS234" s="275"/>
      <c r="AT234" s="275"/>
      <c r="AU234" s="275"/>
      <c r="AV234" s="275"/>
      <c r="AW234" s="275"/>
      <c r="AX234" s="275"/>
      <c r="AY234" s="275"/>
      <c r="AZ234" s="275"/>
      <c r="BA234" s="275"/>
      <c r="BB234" s="275"/>
      <c r="BC234" s="275"/>
      <c r="BE234" s="274">
        <f t="shared" si="54"/>
        <v>4.3188064516129039</v>
      </c>
      <c r="BF234" s="280">
        <f t="shared" si="61"/>
        <v>148.57</v>
      </c>
      <c r="BG234" s="154" t="str">
        <f t="shared" si="58"/>
        <v/>
      </c>
      <c r="BH234" s="270">
        <f t="shared" si="56"/>
        <v>5.9999999999998718E-3</v>
      </c>
      <c r="BI234" s="270">
        <f t="shared" si="50"/>
        <v>8.0000000000000071E-2</v>
      </c>
    </row>
    <row r="235" spans="1:61">
      <c r="A235" s="266">
        <v>36192</v>
      </c>
      <c r="B235" s="266"/>
      <c r="C235" s="275"/>
      <c r="D235" s="276">
        <v>2.4996666666666698</v>
      </c>
      <c r="E235" s="277">
        <v>5.6236785714285711</v>
      </c>
      <c r="F235" s="277">
        <f t="shared" si="60"/>
        <v>157.46299999999999</v>
      </c>
      <c r="G235" s="277">
        <v>125.137</v>
      </c>
      <c r="H235" s="281">
        <f t="shared" si="59"/>
        <v>0.79470732807072142</v>
      </c>
      <c r="I235" s="202">
        <v>2955.2930000000001</v>
      </c>
      <c r="J235" s="270">
        <v>47.23</v>
      </c>
      <c r="K235" s="275"/>
      <c r="L235" s="202">
        <v>626.91099999999994</v>
      </c>
      <c r="M235" s="275"/>
      <c r="N235" s="202">
        <v>1415.5450000000001</v>
      </c>
      <c r="O235" s="270">
        <v>11.31</v>
      </c>
      <c r="P235" s="275"/>
      <c r="Q235" s="202">
        <v>1190.8530000000001</v>
      </c>
      <c r="R235" s="199">
        <v>0.74076449365513819</v>
      </c>
      <c r="S235" s="202">
        <v>416.74699999999984</v>
      </c>
      <c r="T235" s="275"/>
      <c r="U235" s="275"/>
      <c r="V235" s="278">
        <v>19.026</v>
      </c>
      <c r="W235" s="278">
        <v>23.254000000000001</v>
      </c>
      <c r="X235" s="278">
        <v>20.428000000000001</v>
      </c>
      <c r="Y235" s="278"/>
      <c r="Z235" s="278">
        <v>10.813000000000001</v>
      </c>
      <c r="AA235" s="278">
        <v>17.152000000000001</v>
      </c>
      <c r="AB235" s="278">
        <v>24.344000000000001</v>
      </c>
      <c r="AC235" s="278">
        <v>10.119999999999999</v>
      </c>
      <c r="AD235" s="279">
        <v>125.137</v>
      </c>
      <c r="AE235" s="278">
        <f t="shared" si="52"/>
        <v>125.137</v>
      </c>
      <c r="AF235" s="278">
        <f t="shared" si="53"/>
        <v>0</v>
      </c>
      <c r="AG235" s="278">
        <f t="shared" si="51"/>
        <v>0</v>
      </c>
      <c r="AH235" s="202">
        <f t="shared" si="47"/>
        <v>-0.4339999999999975</v>
      </c>
      <c r="AI235" s="202">
        <f t="shared" si="49"/>
        <v>58.54</v>
      </c>
      <c r="AJ235" s="275"/>
      <c r="AK235" s="275"/>
      <c r="AL235" s="275"/>
      <c r="AM235" s="275"/>
      <c r="AN235" s="275"/>
      <c r="AO235" s="275"/>
      <c r="AP235" s="275"/>
      <c r="AQ235" s="275"/>
      <c r="AR235" s="275"/>
      <c r="AS235" s="275"/>
      <c r="AT235" s="275"/>
      <c r="AU235" s="275"/>
      <c r="AV235" s="275"/>
      <c r="AW235" s="275"/>
      <c r="AX235" s="275"/>
      <c r="AY235" s="275"/>
      <c r="AZ235" s="275"/>
      <c r="BA235" s="275"/>
      <c r="BB235" s="275"/>
      <c r="BC235" s="275"/>
      <c r="BE235" s="274">
        <f>G235/28</f>
        <v>4.4691785714285714</v>
      </c>
      <c r="BF235" s="280">
        <f t="shared" si="61"/>
        <v>135.53299999999999</v>
      </c>
      <c r="BG235" s="154" t="str">
        <f t="shared" si="58"/>
        <v/>
      </c>
      <c r="BH235" s="270">
        <f t="shared" si="56"/>
        <v>1.4000000000000058E-2</v>
      </c>
      <c r="BI235" s="270">
        <f t="shared" si="50"/>
        <v>4.0000000000000924E-2</v>
      </c>
    </row>
    <row r="236" spans="1:61">
      <c r="A236" s="266">
        <v>36220</v>
      </c>
      <c r="B236" s="266"/>
      <c r="C236" s="275"/>
      <c r="D236" s="276">
        <v>3.4373333333333278</v>
      </c>
      <c r="E236" s="277">
        <v>5.4297096774193552</v>
      </c>
      <c r="F236" s="277">
        <f t="shared" si="60"/>
        <v>168.321</v>
      </c>
      <c r="G236" s="277">
        <v>136.536</v>
      </c>
      <c r="H236" s="281">
        <f t="shared" si="59"/>
        <v>0.81116438234088439</v>
      </c>
      <c r="I236" s="202">
        <v>3218.9259999999999</v>
      </c>
      <c r="J236" s="270">
        <v>47.15</v>
      </c>
      <c r="K236" s="275"/>
      <c r="L236" s="202">
        <v>628.35799999999995</v>
      </c>
      <c r="M236" s="275"/>
      <c r="N236" s="202">
        <v>1556.721</v>
      </c>
      <c r="O236" s="270">
        <v>11.4</v>
      </c>
      <c r="P236" s="275"/>
      <c r="Q236" s="202">
        <v>1257.7329999999999</v>
      </c>
      <c r="R236" s="199">
        <v>0.73285922386668212</v>
      </c>
      <c r="S236" s="202">
        <v>458.4670000000001</v>
      </c>
      <c r="T236" s="275"/>
      <c r="U236" s="275"/>
      <c r="V236" s="278">
        <v>20.986999999999998</v>
      </c>
      <c r="W236" s="278">
        <v>24.783000000000001</v>
      </c>
      <c r="X236" s="278">
        <v>21.481000000000002</v>
      </c>
      <c r="Y236" s="278"/>
      <c r="Z236" s="278">
        <v>12.253</v>
      </c>
      <c r="AA236" s="278">
        <v>18.045000000000002</v>
      </c>
      <c r="AB236" s="278">
        <v>27.672000000000001</v>
      </c>
      <c r="AC236" s="278">
        <v>11.315</v>
      </c>
      <c r="AD236" s="279">
        <v>136.535</v>
      </c>
      <c r="AE236" s="278">
        <f t="shared" si="52"/>
        <v>136.536</v>
      </c>
      <c r="AF236" s="278">
        <f t="shared" si="53"/>
        <v>1.0000000000047748E-3</v>
      </c>
      <c r="AG236" s="278">
        <f t="shared" si="51"/>
        <v>0</v>
      </c>
      <c r="AH236" s="202">
        <f t="shared" si="47"/>
        <v>3.3279999999999994</v>
      </c>
      <c r="AI236" s="202">
        <f t="shared" si="49"/>
        <v>58.55</v>
      </c>
      <c r="AJ236" s="275"/>
      <c r="AK236" s="275"/>
      <c r="AL236" s="275"/>
      <c r="AM236" s="275"/>
      <c r="AN236" s="275"/>
      <c r="AO236" s="275"/>
      <c r="AP236" s="275"/>
      <c r="AQ236" s="275"/>
      <c r="AR236" s="275"/>
      <c r="AS236" s="275"/>
      <c r="AT236" s="275"/>
      <c r="AU236" s="275"/>
      <c r="AV236" s="275"/>
      <c r="AW236" s="275"/>
      <c r="AX236" s="275"/>
      <c r="AY236" s="275"/>
      <c r="AZ236" s="275"/>
      <c r="BA236" s="275"/>
      <c r="BB236" s="275"/>
      <c r="BC236" s="275"/>
      <c r="BE236" s="274">
        <f t="shared" si="54"/>
        <v>4.4043870967741938</v>
      </c>
      <c r="BF236" s="280">
        <f t="shared" si="61"/>
        <v>143.91499999999999</v>
      </c>
      <c r="BG236" s="154" t="str">
        <f t="shared" si="58"/>
        <v/>
      </c>
      <c r="BH236" s="270">
        <f t="shared" si="56"/>
        <v>9.6000000000000446E-2</v>
      </c>
      <c r="BI236" s="270">
        <f t="shared" si="50"/>
        <v>8.9999999999999858E-2</v>
      </c>
    </row>
    <row r="237" spans="1:61">
      <c r="A237" s="266">
        <v>36251</v>
      </c>
      <c r="B237" s="266"/>
      <c r="C237" s="275"/>
      <c r="D237" s="276">
        <v>2.7403333333333251</v>
      </c>
      <c r="E237" s="277">
        <v>5.5312666666666663</v>
      </c>
      <c r="F237" s="277">
        <f t="shared" si="60"/>
        <v>165.93799999999999</v>
      </c>
      <c r="G237" s="277">
        <v>125.703</v>
      </c>
      <c r="H237" s="281">
        <f t="shared" si="59"/>
        <v>0.757529920813798</v>
      </c>
      <c r="I237" s="202">
        <v>2974.511</v>
      </c>
      <c r="J237" s="270">
        <v>47.33</v>
      </c>
      <c r="K237" s="275"/>
      <c r="L237" s="202">
        <v>455.64100000000002</v>
      </c>
      <c r="M237" s="275"/>
      <c r="N237" s="202">
        <v>1430.65</v>
      </c>
      <c r="O237" s="270">
        <v>11.38</v>
      </c>
      <c r="P237" s="275"/>
      <c r="Q237" s="202">
        <v>1181.6969999999999</v>
      </c>
      <c r="R237" s="199">
        <v>0.72028343289040586</v>
      </c>
      <c r="S237" s="202">
        <v>458.90300000000025</v>
      </c>
      <c r="T237" s="275"/>
      <c r="U237" s="275"/>
      <c r="V237" s="278">
        <v>19.63</v>
      </c>
      <c r="W237" s="278">
        <v>23.02</v>
      </c>
      <c r="X237" s="278">
        <v>20.866</v>
      </c>
      <c r="Y237" s="278"/>
      <c r="Z237" s="278">
        <v>8.4510000000000005</v>
      </c>
      <c r="AA237" s="278">
        <v>17.995000000000001</v>
      </c>
      <c r="AB237" s="278">
        <v>25.638999999999999</v>
      </c>
      <c r="AC237" s="278">
        <v>10.102</v>
      </c>
      <c r="AD237" s="279">
        <v>125.702</v>
      </c>
      <c r="AE237" s="278">
        <f t="shared" si="52"/>
        <v>125.703</v>
      </c>
      <c r="AF237" s="278">
        <f t="shared" si="53"/>
        <v>1.0000000000047748E-3</v>
      </c>
      <c r="AG237" s="278">
        <f t="shared" si="51"/>
        <v>0</v>
      </c>
      <c r="AH237" s="202">
        <f t="shared" si="47"/>
        <v>-2.0330000000000013</v>
      </c>
      <c r="AI237" s="202">
        <f t="shared" si="49"/>
        <v>58.71</v>
      </c>
      <c r="AJ237" s="275"/>
      <c r="AK237" s="275"/>
      <c r="AL237" s="275"/>
      <c r="AM237" s="275"/>
      <c r="AN237" s="275"/>
      <c r="AO237" s="275"/>
      <c r="AP237" s="275"/>
      <c r="AQ237" s="275"/>
      <c r="AR237" s="275"/>
      <c r="AS237" s="275"/>
      <c r="AT237" s="275"/>
      <c r="AU237" s="275"/>
      <c r="AV237" s="275"/>
      <c r="AW237" s="275"/>
      <c r="AX237" s="275"/>
      <c r="AY237" s="275"/>
      <c r="AZ237" s="275"/>
      <c r="BA237" s="275"/>
      <c r="BB237" s="275"/>
      <c r="BC237" s="275"/>
      <c r="BE237" s="274">
        <f>G237/30</f>
        <v>4.1901000000000002</v>
      </c>
      <c r="BF237" s="280">
        <f t="shared" si="61"/>
        <v>131.001</v>
      </c>
      <c r="BG237" s="154" t="str">
        <f t="shared" si="58"/>
        <v/>
      </c>
      <c r="BH237" s="270">
        <f t="shared" si="56"/>
        <v>9.0000000000000219E-2</v>
      </c>
      <c r="BI237" s="270">
        <f t="shared" si="50"/>
        <v>-1.9999999999999574E-2</v>
      </c>
    </row>
    <row r="238" spans="1:61">
      <c r="A238" s="266">
        <v>36281</v>
      </c>
      <c r="B238" s="266"/>
      <c r="C238" s="275"/>
      <c r="D238" s="276">
        <v>2.7143333333333572</v>
      </c>
      <c r="E238" s="277">
        <v>5.5312903225806451</v>
      </c>
      <c r="F238" s="277">
        <f t="shared" si="60"/>
        <v>171.47</v>
      </c>
      <c r="G238" s="277">
        <v>125.32899999999999</v>
      </c>
      <c r="H238" s="281">
        <f t="shared" si="59"/>
        <v>0.73090919694407186</v>
      </c>
      <c r="I238" s="202">
        <v>2965.2379999999998</v>
      </c>
      <c r="J238" s="270">
        <v>47.32</v>
      </c>
      <c r="K238" s="284"/>
      <c r="L238" s="202">
        <v>390.45499999999998</v>
      </c>
      <c r="M238" s="275"/>
      <c r="N238" s="202">
        <v>1413.9110000000001</v>
      </c>
      <c r="O238" s="270">
        <v>11.28</v>
      </c>
      <c r="P238" s="275"/>
      <c r="Q238" s="202">
        <v>1260.704</v>
      </c>
      <c r="R238" s="199">
        <v>0.71335030838001467</v>
      </c>
      <c r="S238" s="202">
        <v>506.596</v>
      </c>
      <c r="T238" s="275"/>
      <c r="U238" s="275"/>
      <c r="V238" s="278">
        <v>20.062000000000001</v>
      </c>
      <c r="W238" s="278">
        <v>23.277999999999999</v>
      </c>
      <c r="X238" s="278">
        <v>19.175999999999998</v>
      </c>
      <c r="Y238" s="278"/>
      <c r="Z238" s="278">
        <v>8.6980000000000004</v>
      </c>
      <c r="AA238" s="278">
        <v>16.809999999999999</v>
      </c>
      <c r="AB238" s="278">
        <v>25.78</v>
      </c>
      <c r="AC238" s="278">
        <v>11.525</v>
      </c>
      <c r="AD238" s="279">
        <v>125.32899999999999</v>
      </c>
      <c r="AE238" s="278">
        <f t="shared" si="52"/>
        <v>125.32900000000001</v>
      </c>
      <c r="AF238" s="278">
        <f t="shared" si="53"/>
        <v>0</v>
      </c>
      <c r="AG238" s="278">
        <f t="shared" si="51"/>
        <v>0</v>
      </c>
      <c r="AH238" s="202">
        <f t="shared" si="47"/>
        <v>0.14100000000000179</v>
      </c>
      <c r="AI238" s="202">
        <f t="shared" si="49"/>
        <v>58.6</v>
      </c>
      <c r="AJ238" s="275"/>
      <c r="AK238" s="275"/>
      <c r="AL238" s="275"/>
      <c r="AM238" s="275"/>
      <c r="AN238" s="275"/>
      <c r="AO238" s="275"/>
      <c r="AP238" s="275"/>
      <c r="AQ238" s="275"/>
      <c r="AR238" s="275"/>
      <c r="AS238" s="275"/>
      <c r="AT238" s="275"/>
      <c r="AU238" s="275"/>
      <c r="AV238" s="275"/>
      <c r="AW238" s="275"/>
      <c r="AX238" s="275"/>
      <c r="AY238" s="275"/>
      <c r="AZ238" s="275"/>
      <c r="BA238" s="275"/>
      <c r="BB238" s="275"/>
      <c r="BC238" s="275"/>
      <c r="BE238" s="274">
        <f t="shared" si="54"/>
        <v>4.0428709677419352</v>
      </c>
      <c r="BF238" s="280">
        <f t="shared" si="61"/>
        <v>120.998</v>
      </c>
      <c r="BG238" s="154" t="str">
        <f t="shared" si="58"/>
        <v>RECORD</v>
      </c>
      <c r="BH238" s="270">
        <f t="shared" si="56"/>
        <v>9.9999999999997868E-3</v>
      </c>
      <c r="BI238" s="270">
        <f t="shared" si="50"/>
        <v>-0.10000000000000142</v>
      </c>
    </row>
    <row r="239" spans="1:61">
      <c r="A239" s="266">
        <v>36312</v>
      </c>
      <c r="B239" s="266"/>
      <c r="C239" s="275"/>
      <c r="D239" s="276">
        <v>3.2363333333333344</v>
      </c>
      <c r="E239" s="277">
        <v>5.5312666666666663</v>
      </c>
      <c r="F239" s="277">
        <f t="shared" si="60"/>
        <v>165.93799999999999</v>
      </c>
      <c r="G239" s="277">
        <v>117.917</v>
      </c>
      <c r="H239" s="281">
        <f t="shared" si="59"/>
        <v>0.71060878159312524</v>
      </c>
      <c r="I239" s="202">
        <v>2779.482</v>
      </c>
      <c r="J239" s="270">
        <v>47.14</v>
      </c>
      <c r="K239" s="275"/>
      <c r="L239" s="202">
        <v>407.60899999999998</v>
      </c>
      <c r="M239" s="275"/>
      <c r="N239" s="202">
        <v>1355.675</v>
      </c>
      <c r="O239" s="270">
        <v>11.5</v>
      </c>
      <c r="P239" s="275"/>
      <c r="Q239" s="202">
        <v>1208.2339999999999</v>
      </c>
      <c r="R239" s="199">
        <v>0.73341872040791556</v>
      </c>
      <c r="S239" s="202">
        <v>439.16599999999994</v>
      </c>
      <c r="T239" s="275"/>
      <c r="U239" s="275"/>
      <c r="V239" s="278">
        <v>19.559999999999999</v>
      </c>
      <c r="W239" s="278">
        <v>22.335999999999999</v>
      </c>
      <c r="X239" s="278">
        <v>18.187999999999999</v>
      </c>
      <c r="Y239" s="278"/>
      <c r="Z239" s="278">
        <v>8.9870000000000001</v>
      </c>
      <c r="AA239" s="278">
        <v>15.55</v>
      </c>
      <c r="AB239" s="278">
        <v>23.050999999999998</v>
      </c>
      <c r="AC239" s="278">
        <v>10.244999999999999</v>
      </c>
      <c r="AD239" s="279">
        <v>117.917</v>
      </c>
      <c r="AE239" s="278">
        <f t="shared" si="52"/>
        <v>117.917</v>
      </c>
      <c r="AF239" s="278">
        <f t="shared" si="53"/>
        <v>0</v>
      </c>
      <c r="AG239" s="278">
        <f t="shared" si="51"/>
        <v>0</v>
      </c>
      <c r="AH239" s="202">
        <f t="shared" si="47"/>
        <v>-2.7290000000000028</v>
      </c>
      <c r="AI239" s="202">
        <f t="shared" si="49"/>
        <v>58.64</v>
      </c>
      <c r="AJ239" s="275"/>
      <c r="AK239" s="275"/>
      <c r="AL239" s="275"/>
      <c r="AM239" s="275"/>
      <c r="AN239" s="275"/>
      <c r="AO239" s="275"/>
      <c r="AP239" s="275"/>
      <c r="AQ239" s="275"/>
      <c r="AR239" s="275"/>
      <c r="AS239" s="275"/>
      <c r="AT239" s="275"/>
      <c r="AU239" s="275"/>
      <c r="AV239" s="275"/>
      <c r="AW239" s="275"/>
      <c r="AX239" s="275"/>
      <c r="AY239" s="275"/>
      <c r="AZ239" s="275"/>
      <c r="BA239" s="275"/>
      <c r="BB239" s="275"/>
      <c r="BC239" s="275"/>
      <c r="BE239" s="274">
        <f>G239/30</f>
        <v>3.9305666666666665</v>
      </c>
      <c r="BF239" s="280">
        <f t="shared" si="61"/>
        <v>114.291</v>
      </c>
      <c r="BG239" s="154" t="str">
        <f t="shared" si="58"/>
        <v>RECORD</v>
      </c>
      <c r="BH239" s="270">
        <f t="shared" si="56"/>
        <v>2.199999999999953E-2</v>
      </c>
      <c r="BI239" s="270">
        <f t="shared" si="50"/>
        <v>0.22000000000000064</v>
      </c>
    </row>
    <row r="240" spans="1:61">
      <c r="A240" s="266">
        <v>36342</v>
      </c>
      <c r="B240" s="266"/>
      <c r="C240" s="275"/>
      <c r="D240" s="276">
        <v>1.2309999999999945</v>
      </c>
      <c r="E240" s="277">
        <v>5.5675806451612901</v>
      </c>
      <c r="F240" s="277">
        <f t="shared" si="60"/>
        <v>172.595</v>
      </c>
      <c r="G240" s="277">
        <v>126.10899999999999</v>
      </c>
      <c r="H240" s="281">
        <f t="shared" si="59"/>
        <v>0.73066427185028537</v>
      </c>
      <c r="I240" s="202">
        <v>2980.797</v>
      </c>
      <c r="J240" s="270">
        <v>47.27</v>
      </c>
      <c r="K240" s="275"/>
      <c r="L240" s="202">
        <v>383.40499999999997</v>
      </c>
      <c r="M240" s="275"/>
      <c r="N240" s="202">
        <v>1442.3510000000001</v>
      </c>
      <c r="O240" s="270">
        <v>11.44</v>
      </c>
      <c r="P240" s="275"/>
      <c r="Q240" s="202">
        <v>1234.23</v>
      </c>
      <c r="R240" s="199">
        <v>0.73852920057443749</v>
      </c>
      <c r="S240" s="202">
        <v>436.97</v>
      </c>
      <c r="T240" s="275"/>
      <c r="U240" s="275"/>
      <c r="V240" s="278">
        <v>21.289000000000001</v>
      </c>
      <c r="W240" s="278">
        <v>21.802</v>
      </c>
      <c r="X240" s="278">
        <v>21.138999999999999</v>
      </c>
      <c r="Y240" s="278"/>
      <c r="Z240" s="278">
        <v>9.218</v>
      </c>
      <c r="AA240" s="278">
        <v>18.385000000000002</v>
      </c>
      <c r="AB240" s="278">
        <v>23.422999999999998</v>
      </c>
      <c r="AC240" s="278">
        <v>10.853</v>
      </c>
      <c r="AD240" s="279">
        <v>126.10899999999999</v>
      </c>
      <c r="AE240" s="278">
        <f t="shared" si="52"/>
        <v>126.10900000000001</v>
      </c>
      <c r="AF240" s="278">
        <f t="shared" si="53"/>
        <v>0</v>
      </c>
      <c r="AG240" s="278">
        <f t="shared" si="51"/>
        <v>0</v>
      </c>
      <c r="AH240" s="202">
        <f t="shared" si="47"/>
        <v>0.37199999999999989</v>
      </c>
      <c r="AI240" s="202">
        <f t="shared" si="49"/>
        <v>58.71</v>
      </c>
      <c r="AJ240" s="275"/>
      <c r="AK240" s="275"/>
      <c r="AL240" s="275"/>
      <c r="AM240" s="275"/>
      <c r="AN240" s="275"/>
      <c r="AO240" s="275"/>
      <c r="AP240" s="275"/>
      <c r="AQ240" s="275"/>
      <c r="AR240" s="275"/>
      <c r="AS240" s="275"/>
      <c r="AT240" s="275"/>
      <c r="AU240" s="275"/>
      <c r="AV240" s="275"/>
      <c r="AW240" s="275"/>
      <c r="AX240" s="275"/>
      <c r="AY240" s="275"/>
      <c r="AZ240" s="275"/>
      <c r="BA240" s="275"/>
      <c r="BB240" s="275"/>
      <c r="BC240" s="275"/>
      <c r="BE240" s="274">
        <f t="shared" si="54"/>
        <v>4.0680322580645161</v>
      </c>
      <c r="BF240" s="280">
        <f t="shared" si="61"/>
        <v>121.065</v>
      </c>
      <c r="BG240" s="154" t="str">
        <f t="shared" si="58"/>
        <v>RECORD</v>
      </c>
      <c r="BH240" s="270">
        <f t="shared" si="56"/>
        <v>1.6000000000000368E-2</v>
      </c>
      <c r="BI240" s="270">
        <f t="shared" si="50"/>
        <v>-6.0000000000000497E-2</v>
      </c>
    </row>
    <row r="241" spans="1:61">
      <c r="A241" s="266">
        <v>36373</v>
      </c>
      <c r="B241" s="266"/>
      <c r="C241" s="275"/>
      <c r="D241" s="276">
        <v>1.194666666666663</v>
      </c>
      <c r="E241" s="277">
        <v>5.5675806451612901</v>
      </c>
      <c r="F241" s="277">
        <f t="shared" si="60"/>
        <v>172.595</v>
      </c>
      <c r="G241" s="277">
        <v>125.712</v>
      </c>
      <c r="H241" s="281">
        <f t="shared" si="59"/>
        <v>0.72836408934210151</v>
      </c>
      <c r="I241" s="202">
        <v>2972.357</v>
      </c>
      <c r="J241" s="270">
        <v>47.29</v>
      </c>
      <c r="K241" s="275"/>
      <c r="L241" s="202">
        <v>514.95600000000002</v>
      </c>
      <c r="M241" s="275"/>
      <c r="N241" s="202">
        <v>1443.846</v>
      </c>
      <c r="O241" s="270">
        <v>11.49</v>
      </c>
      <c r="P241" s="275"/>
      <c r="Q241" s="202">
        <v>1205.9390000000001</v>
      </c>
      <c r="R241" s="199">
        <v>0.73947694383124851</v>
      </c>
      <c r="S241" s="202">
        <v>424.86099999999988</v>
      </c>
      <c r="T241" s="275"/>
      <c r="U241" s="275"/>
      <c r="V241" s="278">
        <v>16.899000000000001</v>
      </c>
      <c r="W241" s="278">
        <v>21.257999999999999</v>
      </c>
      <c r="X241" s="278">
        <v>19.042000000000002</v>
      </c>
      <c r="Y241" s="278"/>
      <c r="Z241" s="278">
        <v>9.0020000000000007</v>
      </c>
      <c r="AA241" s="278">
        <v>19.553000000000001</v>
      </c>
      <c r="AB241" s="278">
        <v>29.079000000000001</v>
      </c>
      <c r="AC241" s="278">
        <v>10.879</v>
      </c>
      <c r="AD241" s="279">
        <v>125.71299999999999</v>
      </c>
      <c r="AE241" s="278">
        <f t="shared" si="52"/>
        <v>125.712</v>
      </c>
      <c r="AF241" s="278">
        <f t="shared" si="53"/>
        <v>-9.9999999999056399E-4</v>
      </c>
      <c r="AG241" s="278">
        <f t="shared" si="51"/>
        <v>0</v>
      </c>
      <c r="AH241" s="202">
        <f t="shared" si="47"/>
        <v>5.6560000000000024</v>
      </c>
      <c r="AI241" s="202">
        <f t="shared" si="49"/>
        <v>58.78</v>
      </c>
      <c r="AJ241" s="275"/>
      <c r="AK241" s="275"/>
      <c r="AL241" s="275"/>
      <c r="AM241" s="275"/>
      <c r="AN241" s="275"/>
      <c r="AO241" s="275"/>
      <c r="AP241" s="275"/>
      <c r="AQ241" s="275"/>
      <c r="AR241" s="275"/>
      <c r="AS241" s="275"/>
      <c r="AT241" s="275"/>
      <c r="AU241" s="275"/>
      <c r="AV241" s="275"/>
      <c r="AW241" s="275"/>
      <c r="AX241" s="275"/>
      <c r="AY241" s="275"/>
      <c r="AZ241" s="275"/>
      <c r="BA241" s="275"/>
      <c r="BB241" s="275"/>
      <c r="BC241" s="275"/>
      <c r="BE241" s="274">
        <f t="shared" si="54"/>
        <v>4.0552258064516131</v>
      </c>
      <c r="BF241" s="280">
        <f>MAX(G229,G217,G205,G193,G181,G169,G157,G145,G133,G121,G109,G97,G85,G73,G61,G49,G37,G25,G13)</f>
        <v>109.264</v>
      </c>
      <c r="BG241" s="154" t="str">
        <f t="shared" si="58"/>
        <v>RECORD</v>
      </c>
      <c r="BH241" s="270">
        <f t="shared" si="56"/>
        <v>2.5999999999999801E-2</v>
      </c>
      <c r="BI241" s="270">
        <f t="shared" si="50"/>
        <v>5.0000000000000711E-2</v>
      </c>
    </row>
    <row r="242" spans="1:61">
      <c r="A242" s="266">
        <v>36404</v>
      </c>
      <c r="B242" s="266"/>
      <c r="C242" s="275"/>
      <c r="D242" s="276">
        <v>1.6160000000000139</v>
      </c>
      <c r="E242" s="277">
        <v>5.5675666666666661</v>
      </c>
      <c r="F242" s="277">
        <f t="shared" si="60"/>
        <v>167.02699999999999</v>
      </c>
      <c r="G242" s="277">
        <v>132.16399999999999</v>
      </c>
      <c r="H242" s="281">
        <f t="shared" si="59"/>
        <v>0.79127326719632152</v>
      </c>
      <c r="I242" s="202">
        <v>3128.7310000000002</v>
      </c>
      <c r="J242" s="270">
        <v>47.35</v>
      </c>
      <c r="K242" s="275"/>
      <c r="L242" s="202">
        <v>503.07499999999999</v>
      </c>
      <c r="M242" s="275"/>
      <c r="N242" s="202">
        <v>1518.72</v>
      </c>
      <c r="O242" s="270">
        <v>11.49</v>
      </c>
      <c r="P242" s="275"/>
      <c r="Q242" s="202">
        <v>1208.2170000000001</v>
      </c>
      <c r="R242" s="199">
        <v>0.79514116485686093</v>
      </c>
      <c r="S242" s="202">
        <v>311.2829999999999</v>
      </c>
      <c r="T242" s="275"/>
      <c r="U242" s="275"/>
      <c r="V242" s="278">
        <v>21.562000000000001</v>
      </c>
      <c r="W242" s="278">
        <v>23.643999999999998</v>
      </c>
      <c r="X242" s="278">
        <v>20.401</v>
      </c>
      <c r="Y242" s="278"/>
      <c r="Z242" s="278">
        <v>10.106999999999999</v>
      </c>
      <c r="AA242" s="278">
        <v>19.710999999999999</v>
      </c>
      <c r="AB242" s="278">
        <v>26.053000000000001</v>
      </c>
      <c r="AC242" s="278">
        <v>10.686</v>
      </c>
      <c r="AD242" s="279">
        <v>132.16499999999999</v>
      </c>
      <c r="AE242" s="278">
        <f t="shared" si="52"/>
        <v>132.16399999999999</v>
      </c>
      <c r="AF242" s="278">
        <f t="shared" si="53"/>
        <v>-1.0000000000047748E-3</v>
      </c>
      <c r="AG242" s="278">
        <f t="shared" si="51"/>
        <v>0</v>
      </c>
      <c r="AH242" s="202">
        <f t="shared" si="47"/>
        <v>-3.0259999999999998</v>
      </c>
      <c r="AI242" s="202">
        <f t="shared" si="49"/>
        <v>58.84</v>
      </c>
      <c r="AJ242" s="275"/>
      <c r="AK242" s="275"/>
      <c r="AL242" s="275"/>
      <c r="AM242" s="275"/>
      <c r="AN242" s="275"/>
      <c r="AO242" s="275"/>
      <c r="AP242" s="275"/>
      <c r="AQ242" s="275"/>
      <c r="AR242" s="275"/>
      <c r="AS242" s="275"/>
      <c r="AT242" s="275"/>
      <c r="AU242" s="275"/>
      <c r="AV242" s="275"/>
      <c r="AW242" s="275"/>
      <c r="AX242" s="275"/>
      <c r="AY242" s="275"/>
      <c r="AZ242" s="275"/>
      <c r="BA242" s="275"/>
      <c r="BB242" s="275"/>
      <c r="BC242" s="275"/>
      <c r="BE242" s="274">
        <f>G242/30</f>
        <v>4.4054666666666664</v>
      </c>
      <c r="BF242" s="280">
        <f t="shared" ref="BF242:BF252" si="62">MAX(G230,G218,G206,G194,G182,G170,G158,G146,G134,G122,G110,G98,G86,G74,G62,G50,G38,G26,G14,G2)</f>
        <v>121.55500000000001</v>
      </c>
      <c r="BG242" s="154" t="str">
        <f t="shared" si="58"/>
        <v>RECORD</v>
      </c>
      <c r="BH242" s="270">
        <f t="shared" si="56"/>
        <v>3.5999999999999588E-2</v>
      </c>
      <c r="BI242" s="270">
        <f t="shared" si="50"/>
        <v>0</v>
      </c>
    </row>
    <row r="243" spans="1:61">
      <c r="A243" s="266">
        <v>36434</v>
      </c>
      <c r="B243" s="266"/>
      <c r="C243" s="275"/>
      <c r="D243" s="276">
        <v>1.325333333333333</v>
      </c>
      <c r="E243" s="277">
        <v>5.6959677419354833</v>
      </c>
      <c r="F243" s="277">
        <f t="shared" si="60"/>
        <v>176.57499999999999</v>
      </c>
      <c r="G243" s="277">
        <v>148.86799999999999</v>
      </c>
      <c r="H243" s="281">
        <f t="shared" si="59"/>
        <v>0.84308650714993627</v>
      </c>
      <c r="I243" s="202">
        <v>3533.91</v>
      </c>
      <c r="J243" s="270">
        <v>47.48</v>
      </c>
      <c r="K243" s="270">
        <v>0.10400284078299649</v>
      </c>
      <c r="L243" s="202">
        <v>605.84299999999996</v>
      </c>
      <c r="M243" s="277">
        <v>160.39685532430019</v>
      </c>
      <c r="N243" s="202">
        <v>1682.905</v>
      </c>
      <c r="O243" s="270">
        <v>11.3</v>
      </c>
      <c r="P243" s="270">
        <v>-6.7144569221893491E-2</v>
      </c>
      <c r="Q243" s="202">
        <v>1249.2339999999999</v>
      </c>
      <c r="R243" s="199">
        <v>0.77284954219252666</v>
      </c>
      <c r="S243" s="202">
        <v>367.16599999999994</v>
      </c>
      <c r="T243" s="275"/>
      <c r="U243" s="275"/>
      <c r="V243" s="278">
        <v>23.82</v>
      </c>
      <c r="W243" s="278">
        <v>26.58</v>
      </c>
      <c r="X243" s="278">
        <v>22.497</v>
      </c>
      <c r="Y243" s="278"/>
      <c r="Z243" s="278">
        <v>12.521000000000001</v>
      </c>
      <c r="AA243" s="278">
        <v>21.356999999999999</v>
      </c>
      <c r="AB243" s="278">
        <v>30.673999999999999</v>
      </c>
      <c r="AC243" s="278">
        <v>11.419</v>
      </c>
      <c r="AD243" s="279">
        <v>148.86799999999999</v>
      </c>
      <c r="AE243" s="278">
        <f t="shared" si="52"/>
        <v>148.86799999999999</v>
      </c>
      <c r="AF243" s="278">
        <f t="shared" si="53"/>
        <v>0</v>
      </c>
      <c r="AG243" s="278">
        <f t="shared" si="51"/>
        <v>0</v>
      </c>
      <c r="AH243" s="202">
        <f t="shared" si="47"/>
        <v>4.6209999999999987</v>
      </c>
      <c r="AI243" s="202">
        <f t="shared" si="49"/>
        <v>58.78</v>
      </c>
      <c r="AJ243" s="275"/>
      <c r="AK243" s="275"/>
      <c r="AL243" s="275"/>
      <c r="AM243" s="275"/>
      <c r="AN243" s="275"/>
      <c r="AO243" s="275"/>
      <c r="AP243" s="275"/>
      <c r="AQ243" s="275"/>
      <c r="AR243" s="275"/>
      <c r="AS243" s="275"/>
      <c r="AT243" s="275"/>
      <c r="AU243" s="275"/>
      <c r="AV243" s="275"/>
      <c r="AW243" s="275"/>
      <c r="AX243" s="275"/>
      <c r="AY243" s="275"/>
      <c r="AZ243" s="275"/>
      <c r="BA243" s="275"/>
      <c r="BB243" s="275"/>
      <c r="BC243" s="275"/>
      <c r="BE243" s="274">
        <f t="shared" si="54"/>
        <v>4.8021935483870966</v>
      </c>
      <c r="BF243" s="280">
        <f t="shared" si="62"/>
        <v>142.53100000000001</v>
      </c>
      <c r="BG243" s="154" t="str">
        <f t="shared" si="58"/>
        <v>RECORD</v>
      </c>
      <c r="BH243" s="270">
        <f t="shared" si="56"/>
        <v>-8.199999999999967E-2</v>
      </c>
      <c r="BI243" s="270">
        <f t="shared" si="50"/>
        <v>-0.1899999999999995</v>
      </c>
    </row>
    <row r="244" spans="1:61">
      <c r="A244" s="266">
        <v>36465</v>
      </c>
      <c r="B244" s="266"/>
      <c r="C244" s="275"/>
      <c r="D244" s="276">
        <v>1.8563333333333389</v>
      </c>
      <c r="E244" s="277">
        <v>5.6959333333333326</v>
      </c>
      <c r="F244" s="277">
        <f t="shared" si="60"/>
        <v>170.87799999999999</v>
      </c>
      <c r="G244" s="277">
        <v>140.917</v>
      </c>
      <c r="H244" s="281">
        <f t="shared" si="59"/>
        <v>0.82466438043516432</v>
      </c>
      <c r="I244" s="202">
        <v>3354.6550000000002</v>
      </c>
      <c r="J244" s="270">
        <v>47.61</v>
      </c>
      <c r="K244" s="270">
        <v>2.3545013074333099E-2</v>
      </c>
      <c r="L244" s="202">
        <v>749.65499999999997</v>
      </c>
      <c r="M244" s="277">
        <v>-63.550508829300043</v>
      </c>
      <c r="N244" s="202">
        <v>1587.962</v>
      </c>
      <c r="O244" s="270">
        <v>11.27</v>
      </c>
      <c r="P244" s="270">
        <v>-8.7239447142323456E-2</v>
      </c>
      <c r="Q244" s="202">
        <v>1259.896</v>
      </c>
      <c r="R244" s="199">
        <v>0.7573310892041355</v>
      </c>
      <c r="S244" s="202">
        <v>403.70400000000018</v>
      </c>
      <c r="T244" s="275"/>
      <c r="U244" s="275"/>
      <c r="V244" s="278">
        <v>23.248999999999999</v>
      </c>
      <c r="W244" s="278">
        <v>25.462</v>
      </c>
      <c r="X244" s="278">
        <v>20.756</v>
      </c>
      <c r="Y244" s="278"/>
      <c r="Z244" s="278">
        <v>11.906000000000001</v>
      </c>
      <c r="AA244" s="278">
        <v>20.504000000000001</v>
      </c>
      <c r="AB244" s="278">
        <v>28.184999999999999</v>
      </c>
      <c r="AC244" s="278">
        <v>10.855</v>
      </c>
      <c r="AD244" s="279">
        <v>140.916</v>
      </c>
      <c r="AE244" s="278">
        <f t="shared" si="52"/>
        <v>140.917</v>
      </c>
      <c r="AF244" s="278">
        <f t="shared" si="53"/>
        <v>1.0000000000047748E-3</v>
      </c>
      <c r="AG244" s="278">
        <f t="shared" si="51"/>
        <v>0</v>
      </c>
      <c r="AH244" s="202">
        <f t="shared" si="47"/>
        <v>-2.4890000000000008</v>
      </c>
      <c r="AI244" s="202">
        <f t="shared" si="49"/>
        <v>58.879999999999995</v>
      </c>
      <c r="AJ244" s="275"/>
      <c r="AK244" s="275"/>
      <c r="AL244" s="275"/>
      <c r="AM244" s="275"/>
      <c r="AN244" s="275"/>
      <c r="AO244" s="275"/>
      <c r="AP244" s="275"/>
      <c r="AQ244" s="275"/>
      <c r="AR244" s="275"/>
      <c r="AS244" s="275"/>
      <c r="AT244" s="275"/>
      <c r="AU244" s="275"/>
      <c r="AV244" s="275"/>
      <c r="AW244" s="275"/>
      <c r="AX244" s="275"/>
      <c r="AY244" s="275"/>
      <c r="AZ244" s="275"/>
      <c r="BA244" s="275"/>
      <c r="BB244" s="275"/>
      <c r="BC244" s="275"/>
      <c r="BE244" s="274">
        <f>G244/30</f>
        <v>4.6972333333333331</v>
      </c>
      <c r="BF244" s="280">
        <f t="shared" si="62"/>
        <v>140.589</v>
      </c>
      <c r="BG244" s="154" t="str">
        <f t="shared" si="58"/>
        <v>RECORD</v>
      </c>
      <c r="BH244" s="270">
        <f t="shared" si="56"/>
        <v>-0.16600000000000001</v>
      </c>
      <c r="BI244" s="270">
        <f t="shared" si="50"/>
        <v>-3.0000000000001137E-2</v>
      </c>
    </row>
    <row r="245" spans="1:61">
      <c r="A245" s="266">
        <v>36495</v>
      </c>
      <c r="B245" s="266"/>
      <c r="C245" s="275"/>
      <c r="D245" s="276">
        <v>2.2346666666666692</v>
      </c>
      <c r="E245" s="277">
        <v>5.6959677419354833</v>
      </c>
      <c r="F245" s="277">
        <f t="shared" si="60"/>
        <v>176.57499999999999</v>
      </c>
      <c r="G245" s="277">
        <v>140.74199999999999</v>
      </c>
      <c r="H245" s="281">
        <f t="shared" si="59"/>
        <v>0.79706640237859261</v>
      </c>
      <c r="I245" s="202">
        <v>3358.0970000000002</v>
      </c>
      <c r="J245" s="270">
        <v>47.72</v>
      </c>
      <c r="K245" s="270">
        <v>2.9049961532187751E-2</v>
      </c>
      <c r="L245" s="202">
        <v>652.49900000000002</v>
      </c>
      <c r="M245" s="277">
        <v>194.39309310580006</v>
      </c>
      <c r="N245" s="202">
        <v>1583.2650000000001</v>
      </c>
      <c r="O245" s="270">
        <v>11.25</v>
      </c>
      <c r="P245" s="270">
        <v>-6.4958151679762821E-2</v>
      </c>
      <c r="Q245" s="202">
        <v>1374.768</v>
      </c>
      <c r="R245" s="199">
        <v>0.76755513371671047</v>
      </c>
      <c r="S245" s="202">
        <v>416.33199999999988</v>
      </c>
      <c r="T245" s="275"/>
      <c r="U245" s="275"/>
      <c r="V245" s="278">
        <v>21.984999999999999</v>
      </c>
      <c r="W245" s="278">
        <v>25.556999999999999</v>
      </c>
      <c r="X245" s="278">
        <v>21.372</v>
      </c>
      <c r="Y245" s="278"/>
      <c r="Z245" s="278">
        <v>11.8</v>
      </c>
      <c r="AA245" s="278">
        <v>20.353000000000002</v>
      </c>
      <c r="AB245" s="278">
        <v>28.390999999999998</v>
      </c>
      <c r="AC245" s="278">
        <v>11.284000000000001</v>
      </c>
      <c r="AD245" s="279">
        <v>140.74299999999999</v>
      </c>
      <c r="AE245" s="278">
        <f t="shared" si="52"/>
        <v>140.74199999999999</v>
      </c>
      <c r="AF245" s="278">
        <f t="shared" si="53"/>
        <v>-1.0000000000047748E-3</v>
      </c>
      <c r="AG245" s="278">
        <f t="shared" si="51"/>
        <v>0</v>
      </c>
      <c r="AH245" s="202">
        <f t="shared" si="47"/>
        <v>0.20599999999999952</v>
      </c>
      <c r="AI245" s="202">
        <f t="shared" si="49"/>
        <v>58.97</v>
      </c>
      <c r="AJ245" s="275"/>
      <c r="AK245" s="275"/>
      <c r="AL245" s="275"/>
      <c r="AM245" s="275"/>
      <c r="AN245" s="275"/>
      <c r="AO245" s="275"/>
      <c r="AP245" s="275"/>
      <c r="AQ245" s="275"/>
      <c r="AR245" s="275"/>
      <c r="AS245" s="275"/>
      <c r="AT245" s="275"/>
      <c r="AU245" s="275"/>
      <c r="AV245" s="275"/>
      <c r="AW245" s="275"/>
      <c r="AX245" s="275"/>
      <c r="AY245" s="275"/>
      <c r="AZ245" s="275"/>
      <c r="BA245" s="275"/>
      <c r="BB245" s="275"/>
      <c r="BC245" s="275"/>
      <c r="BE245" s="274">
        <f t="shared" si="54"/>
        <v>4.5400645161290321</v>
      </c>
      <c r="BF245" s="280">
        <f t="shared" si="62"/>
        <v>148.15600000000001</v>
      </c>
      <c r="BG245" s="154" t="str">
        <f t="shared" si="58"/>
        <v/>
      </c>
      <c r="BH245" s="270">
        <f t="shared" si="56"/>
        <v>2.5999999999999801E-2</v>
      </c>
      <c r="BI245" s="270">
        <f t="shared" si="50"/>
        <v>-1.9999999999999574E-2</v>
      </c>
    </row>
    <row r="246" spans="1:61">
      <c r="A246" s="266">
        <v>36526</v>
      </c>
      <c r="B246" s="266"/>
      <c r="C246" s="275"/>
      <c r="D246" s="276">
        <v>1.063999999999993</v>
      </c>
      <c r="E246" s="277">
        <v>5.7155806451612898</v>
      </c>
      <c r="F246" s="277">
        <f t="shared" si="60"/>
        <v>177.18299999999999</v>
      </c>
      <c r="G246" s="277">
        <v>138.166</v>
      </c>
      <c r="H246" s="281">
        <f t="shared" si="59"/>
        <v>0.7797926437637922</v>
      </c>
      <c r="I246" s="202">
        <v>3298.9940000000001</v>
      </c>
      <c r="J246" s="270">
        <v>47.75</v>
      </c>
      <c r="K246" s="270">
        <v>0.12473963944552935</v>
      </c>
      <c r="L246" s="202">
        <v>560.51</v>
      </c>
      <c r="M246" s="277">
        <v>193.47579463060003</v>
      </c>
      <c r="N246" s="202">
        <v>1568.499</v>
      </c>
      <c r="O246" s="270">
        <v>11.35</v>
      </c>
      <c r="P246" s="270">
        <v>-3.3074768368877017E-3</v>
      </c>
      <c r="Q246" s="202">
        <v>1582.6020000000001</v>
      </c>
      <c r="R246" s="199">
        <v>0.79400060204695966</v>
      </c>
      <c r="S246" s="202">
        <v>410.59799999999996</v>
      </c>
      <c r="T246" s="275"/>
      <c r="U246" s="275"/>
      <c r="V246" s="278">
        <v>21.741</v>
      </c>
      <c r="W246" s="278">
        <v>25.216999999999999</v>
      </c>
      <c r="X246" s="278">
        <v>20.658000000000001</v>
      </c>
      <c r="Y246" s="278"/>
      <c r="Z246" s="278">
        <v>11.228</v>
      </c>
      <c r="AA246" s="278">
        <v>19.878</v>
      </c>
      <c r="AB246" s="278">
        <v>28.006</v>
      </c>
      <c r="AC246" s="278">
        <v>11.438000000000001</v>
      </c>
      <c r="AD246" s="279">
        <v>138.166</v>
      </c>
      <c r="AE246" s="278">
        <f t="shared" si="52"/>
        <v>138.166</v>
      </c>
      <c r="AF246" s="278">
        <f t="shared" si="53"/>
        <v>0</v>
      </c>
      <c r="AG246" s="278">
        <f t="shared" si="51"/>
        <v>0</v>
      </c>
      <c r="AH246" s="202">
        <f t="shared" si="47"/>
        <v>-0.38499999999999801</v>
      </c>
      <c r="AI246" s="202">
        <f t="shared" si="49"/>
        <v>59.1</v>
      </c>
      <c r="AJ246" s="285">
        <v>31.899000000000001</v>
      </c>
      <c r="AK246" s="285">
        <v>28.68</v>
      </c>
      <c r="AL246" s="285">
        <v>27.751999999999999</v>
      </c>
      <c r="AM246" s="285">
        <v>15.46</v>
      </c>
      <c r="AN246" s="285">
        <v>24.699000000000002</v>
      </c>
      <c r="AO246" s="285">
        <v>33.878999999999998</v>
      </c>
      <c r="AP246" s="285">
        <v>14.814</v>
      </c>
      <c r="AQ246" s="285">
        <v>177.18299999999999</v>
      </c>
      <c r="AR246" s="285">
        <v>0</v>
      </c>
      <c r="AS246" s="275"/>
      <c r="AT246" s="244">
        <v>0.68155741559296523</v>
      </c>
      <c r="AU246" s="244">
        <v>0.87925383542538349</v>
      </c>
      <c r="AV246" s="244">
        <v>0.74437878351109832</v>
      </c>
      <c r="AW246" s="244">
        <v>0.72626131953428197</v>
      </c>
      <c r="AX246" s="244">
        <v>0.80480991133244251</v>
      </c>
      <c r="AY246" s="244">
        <v>0.8266477759083799</v>
      </c>
      <c r="AZ246" s="244">
        <v>0.77210746591062507</v>
      </c>
      <c r="BA246" s="275"/>
      <c r="BB246" s="275"/>
      <c r="BC246" s="275"/>
      <c r="BE246" s="274">
        <f t="shared" si="54"/>
        <v>4.4569677419354834</v>
      </c>
      <c r="BF246" s="280">
        <f t="shared" si="62"/>
        <v>148.57</v>
      </c>
      <c r="BG246" s="154" t="str">
        <f t="shared" si="58"/>
        <v/>
      </c>
      <c r="BH246" s="270">
        <f t="shared" si="56"/>
        <v>1.9999999999999575E-3</v>
      </c>
      <c r="BI246" s="270">
        <f t="shared" si="50"/>
        <v>9.9999999999999645E-2</v>
      </c>
    </row>
    <row r="247" spans="1:61">
      <c r="A247" s="266">
        <v>36557</v>
      </c>
      <c r="B247" s="266"/>
      <c r="C247" s="275"/>
      <c r="D247" s="276">
        <v>2.0810000000000031</v>
      </c>
      <c r="E247" s="277">
        <v>5.7155862068965524</v>
      </c>
      <c r="F247" s="277">
        <f t="shared" si="60"/>
        <v>165.75200000000001</v>
      </c>
      <c r="G247" s="277">
        <v>123.35899999999999</v>
      </c>
      <c r="H247" s="281">
        <f t="shared" si="59"/>
        <v>0.74423838023070599</v>
      </c>
      <c r="I247" s="202">
        <v>2947.556</v>
      </c>
      <c r="J247" s="270">
        <v>47.79</v>
      </c>
      <c r="K247" s="270">
        <v>1.2933673469390783E-2</v>
      </c>
      <c r="L247" s="202">
        <v>436.39499999999998</v>
      </c>
      <c r="M247" s="277">
        <v>134.79985259340003</v>
      </c>
      <c r="N247" s="202">
        <v>1407.921</v>
      </c>
      <c r="O247" s="270">
        <v>11.41</v>
      </c>
      <c r="P247" s="270">
        <v>-0.11216836734693736</v>
      </c>
      <c r="Q247" s="202">
        <v>1662.539</v>
      </c>
      <c r="R247" s="199">
        <v>0.80756739690095702</v>
      </c>
      <c r="S247" s="202">
        <v>396.16099999999983</v>
      </c>
      <c r="T247" s="275"/>
      <c r="U247" s="275"/>
      <c r="V247" s="278">
        <v>19.497</v>
      </c>
      <c r="W247" s="278">
        <v>23.731000000000002</v>
      </c>
      <c r="X247" s="278">
        <v>17.844999999999999</v>
      </c>
      <c r="Y247" s="278"/>
      <c r="Z247" s="278">
        <v>9.452</v>
      </c>
      <c r="AA247" s="278">
        <v>17.957000000000001</v>
      </c>
      <c r="AB247" s="278">
        <v>24.344000000000001</v>
      </c>
      <c r="AC247" s="278">
        <v>10.532999999999999</v>
      </c>
      <c r="AD247" s="279">
        <v>123.35899999999999</v>
      </c>
      <c r="AE247" s="278">
        <f t="shared" si="52"/>
        <v>123.35899999999999</v>
      </c>
      <c r="AF247" s="278">
        <f t="shared" si="53"/>
        <v>0</v>
      </c>
      <c r="AG247" s="278">
        <f t="shared" si="51"/>
        <v>0</v>
      </c>
      <c r="AH247" s="202">
        <f t="shared" si="47"/>
        <v>-3.661999999999999</v>
      </c>
      <c r="AI247" s="202">
        <f t="shared" si="49"/>
        <v>59.2</v>
      </c>
      <c r="AJ247" s="285">
        <v>29.841000000000001</v>
      </c>
      <c r="AK247" s="285">
        <v>26.83</v>
      </c>
      <c r="AL247" s="285">
        <v>25.960999999999999</v>
      </c>
      <c r="AM247" s="285">
        <v>14.462</v>
      </c>
      <c r="AN247" s="285">
        <v>23.106000000000002</v>
      </c>
      <c r="AO247" s="285">
        <v>31.693999999999999</v>
      </c>
      <c r="AP247" s="285">
        <v>13.858000000000001</v>
      </c>
      <c r="AQ247" s="285">
        <v>165.75200000000001</v>
      </c>
      <c r="AR247" s="285">
        <v>0</v>
      </c>
      <c r="AS247" s="275"/>
      <c r="AT247" s="244">
        <v>0.65336282296169701</v>
      </c>
      <c r="AU247" s="244">
        <v>0.88449496831904595</v>
      </c>
      <c r="AV247" s="244">
        <v>0.68737721967566734</v>
      </c>
      <c r="AW247" s="244">
        <v>0.65357488590789659</v>
      </c>
      <c r="AX247" s="244">
        <v>0.77715744828183153</v>
      </c>
      <c r="AY247" s="244">
        <v>0.7680949075534802</v>
      </c>
      <c r="AZ247" s="244">
        <v>0.76006638764612489</v>
      </c>
      <c r="BA247" s="275"/>
      <c r="BB247" s="275"/>
      <c r="BC247" s="275"/>
      <c r="BE247" s="274">
        <f>G247/29</f>
        <v>4.2537586206896547</v>
      </c>
      <c r="BF247" s="280">
        <f t="shared" si="62"/>
        <v>135.53299999999999</v>
      </c>
      <c r="BG247" s="154" t="str">
        <f t="shared" si="58"/>
        <v/>
      </c>
      <c r="BH247" s="270">
        <f t="shared" si="56"/>
        <v>1.8000000000000328E-2</v>
      </c>
      <c r="BI247" s="270">
        <f t="shared" si="50"/>
        <v>6.0000000000000497E-2</v>
      </c>
    </row>
    <row r="248" spans="1:61">
      <c r="A248" s="266">
        <v>36586</v>
      </c>
      <c r="B248" s="266"/>
      <c r="C248" s="275"/>
      <c r="D248" s="276">
        <v>2.1666666666666572</v>
      </c>
      <c r="E248" s="277">
        <v>5.7155806451612898</v>
      </c>
      <c r="F248" s="277">
        <f t="shared" si="60"/>
        <v>177.18299999999999</v>
      </c>
      <c r="G248" s="277">
        <v>128.28</v>
      </c>
      <c r="H248" s="281">
        <f t="shared" si="59"/>
        <v>0.72399722320990167</v>
      </c>
      <c r="I248" s="202">
        <v>3064.9679999999998</v>
      </c>
      <c r="J248" s="270">
        <v>47.79</v>
      </c>
      <c r="K248" s="270">
        <v>0.10083661266418176</v>
      </c>
      <c r="L248" s="202">
        <v>494.84699999999998</v>
      </c>
      <c r="M248" s="277">
        <v>397.93540234680006</v>
      </c>
      <c r="N248" s="202">
        <v>1467.08</v>
      </c>
      <c r="O248" s="270">
        <v>11.44</v>
      </c>
      <c r="P248" s="270">
        <v>-8.0568303776768602E-2</v>
      </c>
      <c r="Q248" s="202">
        <v>1629.5</v>
      </c>
      <c r="R248" s="199">
        <v>0.78469613791775017</v>
      </c>
      <c r="S248" s="202">
        <v>447.09999999999991</v>
      </c>
      <c r="T248" s="275"/>
      <c r="U248" s="275"/>
      <c r="V248" s="278">
        <v>19.882000000000001</v>
      </c>
      <c r="W248" s="278">
        <v>24.994</v>
      </c>
      <c r="X248" s="278">
        <v>18.73</v>
      </c>
      <c r="Y248" s="278"/>
      <c r="Z248" s="278">
        <v>8.5359999999999996</v>
      </c>
      <c r="AA248" s="278">
        <v>18.928000000000001</v>
      </c>
      <c r="AB248" s="278">
        <v>26.015999999999998</v>
      </c>
      <c r="AC248" s="278">
        <v>11.194000000000001</v>
      </c>
      <c r="AD248" s="279">
        <v>128.28</v>
      </c>
      <c r="AE248" s="278">
        <f t="shared" si="52"/>
        <v>128.28</v>
      </c>
      <c r="AF248" s="278">
        <f t="shared" si="53"/>
        <v>0</v>
      </c>
      <c r="AG248" s="278">
        <f t="shared" si="51"/>
        <v>0</v>
      </c>
      <c r="AH248" s="202">
        <f t="shared" si="47"/>
        <v>1.671999999999997</v>
      </c>
      <c r="AI248" s="202">
        <f t="shared" si="49"/>
        <v>59.23</v>
      </c>
      <c r="AJ248" s="285">
        <v>31.899000000000001</v>
      </c>
      <c r="AK248" s="285">
        <v>28.68</v>
      </c>
      <c r="AL248" s="285">
        <v>27.751999999999999</v>
      </c>
      <c r="AM248" s="285">
        <v>15.46</v>
      </c>
      <c r="AN248" s="285">
        <v>24.699000000000002</v>
      </c>
      <c r="AO248" s="285">
        <v>33.878999999999998</v>
      </c>
      <c r="AP248" s="285">
        <v>14.814</v>
      </c>
      <c r="AQ248" s="285">
        <v>177.18299999999999</v>
      </c>
      <c r="AR248" s="285">
        <v>0</v>
      </c>
      <c r="AS248" s="275"/>
      <c r="AT248" s="244">
        <v>0.62327972663719866</v>
      </c>
      <c r="AU248" s="244">
        <v>0.87147838214783824</v>
      </c>
      <c r="AV248" s="244">
        <v>0.67490631305851834</v>
      </c>
      <c r="AW248" s="244">
        <v>0.55213454075032331</v>
      </c>
      <c r="AX248" s="244">
        <v>0.76634681566055307</v>
      </c>
      <c r="AY248" s="244">
        <v>0.76790932436022319</v>
      </c>
      <c r="AZ248" s="244">
        <v>0.7556365600108006</v>
      </c>
      <c r="BA248" s="275"/>
      <c r="BB248" s="275"/>
      <c r="BC248" s="275"/>
      <c r="BE248" s="274">
        <f t="shared" si="54"/>
        <v>4.1380645161290319</v>
      </c>
      <c r="BF248" s="280">
        <f t="shared" si="62"/>
        <v>143.91499999999999</v>
      </c>
      <c r="BG248" s="154" t="str">
        <f t="shared" si="58"/>
        <v/>
      </c>
      <c r="BH248" s="270">
        <f t="shared" si="56"/>
        <v>0.10800000000000054</v>
      </c>
      <c r="BI248" s="270">
        <f t="shared" si="50"/>
        <v>2.9999999999999361E-2</v>
      </c>
    </row>
    <row r="249" spans="1:61">
      <c r="A249" s="266">
        <v>36617</v>
      </c>
      <c r="B249" s="266"/>
      <c r="C249" s="275"/>
      <c r="D249" s="276">
        <v>2.8539999999999992</v>
      </c>
      <c r="E249" s="277">
        <v>5.5957666666666661</v>
      </c>
      <c r="F249" s="277">
        <f t="shared" si="60"/>
        <v>167.87299999999999</v>
      </c>
      <c r="G249" s="277">
        <v>118.646</v>
      </c>
      <c r="H249" s="281">
        <f t="shared" si="59"/>
        <v>0.70676046773453749</v>
      </c>
      <c r="I249" s="202">
        <v>2833.9450000000002</v>
      </c>
      <c r="J249" s="270">
        <v>47.77</v>
      </c>
      <c r="K249" s="270">
        <v>6.7037037037032121E-2</v>
      </c>
      <c r="L249" s="202">
        <v>295.72899999999998</v>
      </c>
      <c r="M249" s="277">
        <v>198.91818005149997</v>
      </c>
      <c r="N249" s="202">
        <v>1358.1469999999999</v>
      </c>
      <c r="O249" s="270">
        <v>11.45</v>
      </c>
      <c r="P249" s="270">
        <v>-0.19156378600822954</v>
      </c>
      <c r="Q249" s="202">
        <v>1613.7929999999999</v>
      </c>
      <c r="R249" s="199">
        <v>0.7710798413684361</v>
      </c>
      <c r="S249" s="202">
        <v>479.1070000000002</v>
      </c>
      <c r="T249" s="275"/>
      <c r="U249" s="275"/>
      <c r="V249" s="278">
        <v>18.530999999999999</v>
      </c>
      <c r="W249" s="278">
        <v>22.8</v>
      </c>
      <c r="X249" s="278">
        <v>17.305</v>
      </c>
      <c r="Y249" s="278"/>
      <c r="Z249" s="278">
        <v>7.11</v>
      </c>
      <c r="AA249" s="278">
        <v>17.599</v>
      </c>
      <c r="AB249" s="278">
        <v>25.175999999999998</v>
      </c>
      <c r="AC249" s="278">
        <v>10.125999999999999</v>
      </c>
      <c r="AD249" s="279">
        <v>118.646</v>
      </c>
      <c r="AE249" s="278">
        <f t="shared" si="52"/>
        <v>118.64700000000002</v>
      </c>
      <c r="AF249" s="278">
        <f t="shared" si="53"/>
        <v>1.0000000000189857E-3</v>
      </c>
      <c r="AG249" s="278">
        <f t="shared" si="51"/>
        <v>1.0000000000189857E-3</v>
      </c>
      <c r="AH249" s="202">
        <f t="shared" si="47"/>
        <v>-0.83999999999999986</v>
      </c>
      <c r="AI249" s="202">
        <f t="shared" si="49"/>
        <v>59.22</v>
      </c>
      <c r="AJ249" s="285">
        <v>30.318000000000001</v>
      </c>
      <c r="AK249" s="285">
        <v>27.57</v>
      </c>
      <c r="AL249" s="285">
        <v>26.143000000000001</v>
      </c>
      <c r="AM249" s="285">
        <v>14.38</v>
      </c>
      <c r="AN249" s="285">
        <v>23.393999999999998</v>
      </c>
      <c r="AO249" s="285">
        <v>32.78</v>
      </c>
      <c r="AP249" s="285">
        <v>13.387</v>
      </c>
      <c r="AQ249" s="285">
        <v>167.97200000000001</v>
      </c>
      <c r="AR249" s="285">
        <v>-9.9000000000017963E-2</v>
      </c>
      <c r="AS249" s="275"/>
      <c r="AT249" s="244">
        <v>0.6112210567979417</v>
      </c>
      <c r="AU249" s="244">
        <v>0.82698585418933623</v>
      </c>
      <c r="AV249" s="244">
        <v>0.66193627357227558</v>
      </c>
      <c r="AW249" s="244">
        <v>0.4944367176634214</v>
      </c>
      <c r="AX249" s="244">
        <v>0.75228691117380531</v>
      </c>
      <c r="AY249" s="244">
        <v>0.76802928615009147</v>
      </c>
      <c r="AZ249" s="244">
        <v>0.75640546799133479</v>
      </c>
      <c r="BA249" s="275"/>
      <c r="BB249" s="275"/>
      <c r="BC249" s="275"/>
      <c r="BE249" s="274">
        <f>G249/30</f>
        <v>3.9548666666666668</v>
      </c>
      <c r="BF249" s="280">
        <f t="shared" si="62"/>
        <v>131.001</v>
      </c>
      <c r="BG249" s="154" t="str">
        <f t="shared" si="58"/>
        <v/>
      </c>
      <c r="BH249" s="270">
        <f t="shared" si="56"/>
        <v>7.4000000000000205E-2</v>
      </c>
      <c r="BI249" s="270">
        <f t="shared" si="50"/>
        <v>9.9999999999997868E-3</v>
      </c>
    </row>
    <row r="250" spans="1:61">
      <c r="A250" s="266">
        <v>36647</v>
      </c>
      <c r="B250" s="266"/>
      <c r="C250" s="275"/>
      <c r="D250" s="276">
        <v>0.39300000000000068</v>
      </c>
      <c r="E250" s="277">
        <v>5.560741935483871</v>
      </c>
      <c r="F250" s="277">
        <f t="shared" si="60"/>
        <v>172.38300000000001</v>
      </c>
      <c r="G250" s="277">
        <v>120.587</v>
      </c>
      <c r="H250" s="281">
        <f t="shared" si="59"/>
        <v>0.69952953597512513</v>
      </c>
      <c r="I250" s="202">
        <v>2875.5410000000002</v>
      </c>
      <c r="J250" s="270">
        <v>47.69</v>
      </c>
      <c r="K250" s="270">
        <v>-3.7495453794015532E-2</v>
      </c>
      <c r="L250" s="202">
        <v>352.76299999999998</v>
      </c>
      <c r="M250" s="277">
        <v>66.83102076340009</v>
      </c>
      <c r="N250" s="202">
        <v>1381.569</v>
      </c>
      <c r="O250" s="270">
        <v>11.46</v>
      </c>
      <c r="P250" s="270">
        <v>7.9097371466357203E-2</v>
      </c>
      <c r="Q250" s="202">
        <v>1553.8240000000001</v>
      </c>
      <c r="R250" s="199">
        <v>0.78543395844917363</v>
      </c>
      <c r="S250" s="202">
        <v>424.47599999999989</v>
      </c>
      <c r="T250" s="275"/>
      <c r="U250" s="275"/>
      <c r="V250" s="278">
        <v>17.239000000000001</v>
      </c>
      <c r="W250" s="278">
        <v>24.535</v>
      </c>
      <c r="X250" s="278">
        <v>18.132000000000001</v>
      </c>
      <c r="Y250" s="278"/>
      <c r="Z250" s="278">
        <v>6.681</v>
      </c>
      <c r="AA250" s="278">
        <v>18.12</v>
      </c>
      <c r="AB250" s="278">
        <v>25.902999999999999</v>
      </c>
      <c r="AC250" s="278">
        <v>9.9760000000000009</v>
      </c>
      <c r="AD250" s="279">
        <v>120.587</v>
      </c>
      <c r="AE250" s="278">
        <f t="shared" si="52"/>
        <v>120.58600000000001</v>
      </c>
      <c r="AF250" s="278">
        <f t="shared" si="53"/>
        <v>-9.9999999999056399E-4</v>
      </c>
      <c r="AG250" s="278">
        <f t="shared" si="51"/>
        <v>-9.9999999999056399E-4</v>
      </c>
      <c r="AH250" s="202">
        <f t="shared" si="47"/>
        <v>0.72700000000000031</v>
      </c>
      <c r="AI250" s="202">
        <f t="shared" si="49"/>
        <v>59.15</v>
      </c>
      <c r="AJ250" s="285">
        <v>31.327999999999999</v>
      </c>
      <c r="AK250" s="285">
        <v>28.489000000000001</v>
      </c>
      <c r="AL250" s="285">
        <v>25.93</v>
      </c>
      <c r="AM250" s="285">
        <v>14.859</v>
      </c>
      <c r="AN250" s="285">
        <v>24.071000000000002</v>
      </c>
      <c r="AO250" s="285">
        <v>33.872999999999998</v>
      </c>
      <c r="AP250" s="285">
        <v>13.833</v>
      </c>
      <c r="AQ250" s="285">
        <v>172.38299999999998</v>
      </c>
      <c r="AR250" s="285">
        <v>0</v>
      </c>
      <c r="AS250" s="275"/>
      <c r="AT250" s="244">
        <v>0.55027451481103173</v>
      </c>
      <c r="AU250" s="244">
        <v>0.86120958966618688</v>
      </c>
      <c r="AV250" s="244">
        <v>0.69926725800231404</v>
      </c>
      <c r="AW250" s="244">
        <v>0.44962648899656776</v>
      </c>
      <c r="AX250" s="244">
        <v>0.75277304640438703</v>
      </c>
      <c r="AY250" s="244">
        <v>0.76470935553390607</v>
      </c>
      <c r="AZ250" s="244">
        <v>0.72117400419287214</v>
      </c>
      <c r="BA250" s="275"/>
      <c r="BB250" s="275"/>
      <c r="BC250" s="275"/>
      <c r="BE250" s="274">
        <f t="shared" si="54"/>
        <v>3.8899032258064516</v>
      </c>
      <c r="BF250" s="280">
        <f t="shared" si="62"/>
        <v>125.32899999999999</v>
      </c>
      <c r="BG250" s="154" t="str">
        <f t="shared" si="58"/>
        <v/>
      </c>
      <c r="BH250" s="270">
        <f t="shared" si="56"/>
        <v>-1.8000000000000682E-2</v>
      </c>
      <c r="BI250" s="270">
        <f t="shared" si="50"/>
        <v>1.0000000000001563E-2</v>
      </c>
    </row>
    <row r="251" spans="1:61">
      <c r="A251" s="266">
        <v>36678</v>
      </c>
      <c r="B251" s="266"/>
      <c r="C251" s="275"/>
      <c r="D251" s="276">
        <v>2.0043333333333493</v>
      </c>
      <c r="E251" s="277">
        <v>5.5263333333333327</v>
      </c>
      <c r="F251" s="277">
        <f t="shared" si="60"/>
        <v>165.79</v>
      </c>
      <c r="G251" s="277">
        <v>115.93899999999999</v>
      </c>
      <c r="H251" s="281">
        <f t="shared" si="59"/>
        <v>0.69931238313529165</v>
      </c>
      <c r="I251" s="202">
        <v>2798.819</v>
      </c>
      <c r="J251" s="270">
        <v>48.28</v>
      </c>
      <c r="K251" s="270">
        <v>-2.9710312862121668E-2</v>
      </c>
      <c r="L251" s="202">
        <v>342.43799999999999</v>
      </c>
      <c r="M251" s="277">
        <v>184.8607341825001</v>
      </c>
      <c r="N251" s="202">
        <v>1344.5709999999999</v>
      </c>
      <c r="O251" s="270">
        <v>11.6</v>
      </c>
      <c r="P251" s="270">
        <v>-7.2430263120709881E-2</v>
      </c>
      <c r="Q251" s="202">
        <v>1566.6590000000001</v>
      </c>
      <c r="R251" s="199">
        <v>0.77240003944189717</v>
      </c>
      <c r="S251" s="202">
        <v>461.64100000000008</v>
      </c>
      <c r="T251" s="275"/>
      <c r="U251" s="275"/>
      <c r="V251" s="278">
        <v>18.885999999999999</v>
      </c>
      <c r="W251" s="278">
        <v>22.027999999999999</v>
      </c>
      <c r="X251" s="278">
        <v>13.634</v>
      </c>
      <c r="Y251" s="278"/>
      <c r="Z251" s="278">
        <v>7.1870000000000003</v>
      </c>
      <c r="AA251" s="278">
        <v>16.849</v>
      </c>
      <c r="AB251" s="278">
        <v>26.643000000000001</v>
      </c>
      <c r="AC251" s="278">
        <v>10.712999999999999</v>
      </c>
      <c r="AD251" s="279">
        <v>115.93899999999999</v>
      </c>
      <c r="AE251" s="278">
        <f t="shared" si="52"/>
        <v>115.94</v>
      </c>
      <c r="AF251" s="278">
        <f t="shared" si="53"/>
        <v>1.0000000000047748E-3</v>
      </c>
      <c r="AG251" s="278">
        <f t="shared" si="51"/>
        <v>1.0000000000047748E-3</v>
      </c>
      <c r="AH251" s="202">
        <f t="shared" si="47"/>
        <v>0.74000000000000199</v>
      </c>
      <c r="AI251" s="202">
        <f t="shared" si="49"/>
        <v>59.88</v>
      </c>
      <c r="AJ251" s="285">
        <v>30.318000000000001</v>
      </c>
      <c r="AK251" s="285">
        <v>27.57</v>
      </c>
      <c r="AL251" s="285">
        <v>24.061</v>
      </c>
      <c r="AM251" s="285">
        <v>14.38</v>
      </c>
      <c r="AN251" s="285">
        <v>23.294</v>
      </c>
      <c r="AO251" s="285">
        <v>32.78</v>
      </c>
      <c r="AP251" s="285">
        <v>13.387</v>
      </c>
      <c r="AQ251" s="285">
        <v>165.79000000000002</v>
      </c>
      <c r="AR251" s="285">
        <v>0</v>
      </c>
      <c r="AS251" s="275"/>
      <c r="AT251" s="244">
        <v>0.62293027244541188</v>
      </c>
      <c r="AU251" s="244">
        <v>0.79898440333696041</v>
      </c>
      <c r="AV251" s="244">
        <v>0.56664311541498691</v>
      </c>
      <c r="AW251" s="244">
        <v>0.49979137691237829</v>
      </c>
      <c r="AX251" s="244">
        <v>0.72331930969348335</v>
      </c>
      <c r="AY251" s="244">
        <v>0.81278218425869431</v>
      </c>
      <c r="AZ251" s="244">
        <v>0.80025397773959805</v>
      </c>
      <c r="BA251" s="275"/>
      <c r="BB251" s="275"/>
      <c r="BC251" s="275"/>
      <c r="BE251" s="274">
        <f>G251/30</f>
        <v>3.8646333333333329</v>
      </c>
      <c r="BF251" s="280">
        <f t="shared" si="62"/>
        <v>117.917</v>
      </c>
      <c r="BG251" s="154" t="str">
        <f t="shared" si="58"/>
        <v/>
      </c>
      <c r="BH251" s="270">
        <f t="shared" si="56"/>
        <v>4.1999999999999815E-2</v>
      </c>
      <c r="BI251" s="270">
        <f t="shared" si="50"/>
        <v>0.13999999999999879</v>
      </c>
    </row>
    <row r="252" spans="1:61">
      <c r="A252" s="266">
        <v>36708</v>
      </c>
      <c r="B252" s="266"/>
      <c r="C252" s="275"/>
      <c r="D252" s="276">
        <v>1.8730000000000189</v>
      </c>
      <c r="E252" s="277">
        <v>5.2545806451612904</v>
      </c>
      <c r="F252" s="277">
        <f t="shared" si="60"/>
        <v>162.892</v>
      </c>
      <c r="G252" s="277">
        <v>128.33699999999999</v>
      </c>
      <c r="H252" s="281">
        <f t="shared" si="59"/>
        <v>0.78786557964786474</v>
      </c>
      <c r="I252" s="202">
        <v>3063.7820000000002</v>
      </c>
      <c r="J252" s="270">
        <v>47.75</v>
      </c>
      <c r="K252" s="270">
        <v>0.15415482681820691</v>
      </c>
      <c r="L252" s="202">
        <v>422.07900000000001</v>
      </c>
      <c r="M252" s="277">
        <v>84.536962658400057</v>
      </c>
      <c r="N252" s="202">
        <v>1470.296</v>
      </c>
      <c r="O252" s="270">
        <v>11.46</v>
      </c>
      <c r="P252" s="270">
        <v>-5.1506028722833719E-2</v>
      </c>
      <c r="Q252" s="202">
        <v>1625.883</v>
      </c>
      <c r="R252" s="199">
        <v>0.76678126768534238</v>
      </c>
      <c r="S252" s="202">
        <v>494.51700000000005</v>
      </c>
      <c r="T252" s="275"/>
      <c r="U252" s="275"/>
      <c r="V252" s="278">
        <v>19.516999999999999</v>
      </c>
      <c r="W252" s="278">
        <v>24.582000000000001</v>
      </c>
      <c r="X252" s="278">
        <v>17.988</v>
      </c>
      <c r="Y252" s="278"/>
      <c r="Z252" s="278">
        <v>8.3140000000000001</v>
      </c>
      <c r="AA252" s="278">
        <v>17.920000000000002</v>
      </c>
      <c r="AB252" s="278">
        <v>28.864000000000001</v>
      </c>
      <c r="AC252" s="278">
        <v>11.151999999999999</v>
      </c>
      <c r="AD252" s="279">
        <v>128.33699999999999</v>
      </c>
      <c r="AE252" s="278">
        <f t="shared" si="52"/>
        <v>128.33700000000002</v>
      </c>
      <c r="AF252" s="278">
        <f t="shared" si="53"/>
        <v>0</v>
      </c>
      <c r="AG252" s="278">
        <f t="shared" si="51"/>
        <v>0</v>
      </c>
      <c r="AH252" s="202">
        <f t="shared" si="47"/>
        <v>2.2210000000000001</v>
      </c>
      <c r="AI252" s="202">
        <f t="shared" si="49"/>
        <v>59.21</v>
      </c>
      <c r="AJ252" s="285">
        <v>25.417999999999999</v>
      </c>
      <c r="AK252" s="285">
        <v>28.561</v>
      </c>
      <c r="AL252" s="285">
        <v>23.619</v>
      </c>
      <c r="AM252" s="285">
        <v>13.535</v>
      </c>
      <c r="AN252" s="285">
        <v>24.064</v>
      </c>
      <c r="AO252" s="285">
        <v>33.853999999999999</v>
      </c>
      <c r="AP252" s="285">
        <v>13.840999999999999</v>
      </c>
      <c r="AQ252" s="285">
        <v>162.892</v>
      </c>
      <c r="AR252" s="285">
        <v>0</v>
      </c>
      <c r="AS252" s="275"/>
      <c r="AT252" s="244">
        <v>0.76784168699346922</v>
      </c>
      <c r="AU252" s="244">
        <v>0.86068414971464591</v>
      </c>
      <c r="AV252" s="244">
        <v>0.76159024514162321</v>
      </c>
      <c r="AW252" s="244">
        <v>0.61425932766900626</v>
      </c>
      <c r="AX252" s="244">
        <v>0.74468085106382986</v>
      </c>
      <c r="AY252" s="244">
        <v>0.85260235127311401</v>
      </c>
      <c r="AZ252" s="244">
        <v>0.80572212990390868</v>
      </c>
      <c r="BA252" s="275"/>
      <c r="BB252" s="275"/>
      <c r="BC252" s="275"/>
      <c r="BE252" s="274">
        <f t="shared" si="54"/>
        <v>4.1399032258064512</v>
      </c>
      <c r="BF252" s="280">
        <f t="shared" si="62"/>
        <v>126.10899999999999</v>
      </c>
      <c r="BG252" s="154" t="str">
        <f t="shared" si="58"/>
        <v>RECORD</v>
      </c>
      <c r="BH252" s="270">
        <f t="shared" si="56"/>
        <v>3.4000000000000342E-2</v>
      </c>
      <c r="BI252" s="270">
        <f t="shared" si="50"/>
        <v>-0.13999999999999879</v>
      </c>
    </row>
    <row r="253" spans="1:61">
      <c r="A253" s="266">
        <v>36739</v>
      </c>
      <c r="B253" s="266"/>
      <c r="C253" s="275"/>
      <c r="D253" s="276">
        <v>2.3213333333333281</v>
      </c>
      <c r="E253" s="277">
        <v>5.2545806451612904</v>
      </c>
      <c r="F253" s="277">
        <f t="shared" si="60"/>
        <v>162.892</v>
      </c>
      <c r="G253" s="277">
        <v>119.52200000000001</v>
      </c>
      <c r="H253" s="281">
        <f t="shared" si="59"/>
        <v>0.73374996930481551</v>
      </c>
      <c r="I253" s="202">
        <v>2851.3130000000001</v>
      </c>
      <c r="J253" s="270">
        <v>47.71</v>
      </c>
      <c r="K253" s="270">
        <v>3.7307471342913345E-3</v>
      </c>
      <c r="L253" s="202">
        <v>393.63400000000001</v>
      </c>
      <c r="M253" s="277">
        <v>91.148598912500006</v>
      </c>
      <c r="N253" s="202">
        <v>1373.155</v>
      </c>
      <c r="O253" s="270">
        <v>11.49</v>
      </c>
      <c r="P253" s="270">
        <v>-9.8322162339618657E-2</v>
      </c>
      <c r="Q253" s="202">
        <v>1622.87</v>
      </c>
      <c r="R253" s="199">
        <v>0.80415737574946733</v>
      </c>
      <c r="S253" s="202">
        <v>395.23</v>
      </c>
      <c r="T253" s="275"/>
      <c r="U253" s="275"/>
      <c r="V253" s="278">
        <v>18.087</v>
      </c>
      <c r="W253" s="278">
        <v>21.536000000000001</v>
      </c>
      <c r="X253" s="278">
        <v>15.552</v>
      </c>
      <c r="Y253" s="278"/>
      <c r="Z253" s="278">
        <v>7.883</v>
      </c>
      <c r="AA253" s="278">
        <v>17.513000000000002</v>
      </c>
      <c r="AB253" s="278">
        <v>27.888999999999999</v>
      </c>
      <c r="AC253" s="278">
        <v>11.061999999999999</v>
      </c>
      <c r="AD253" s="279">
        <v>119.52200000000001</v>
      </c>
      <c r="AE253" s="278">
        <f t="shared" si="52"/>
        <v>119.52200000000001</v>
      </c>
      <c r="AF253" s="278">
        <f t="shared" si="53"/>
        <v>0</v>
      </c>
      <c r="AG253" s="278">
        <f t="shared" si="51"/>
        <v>0</v>
      </c>
      <c r="AH253" s="202">
        <f t="shared" si="47"/>
        <v>-0.97500000000000142</v>
      </c>
      <c r="AI253" s="202">
        <f t="shared" si="49"/>
        <v>59.2</v>
      </c>
      <c r="AJ253" s="285">
        <v>25.417999999999999</v>
      </c>
      <c r="AK253" s="285">
        <v>28.561</v>
      </c>
      <c r="AL253" s="285">
        <v>23.619</v>
      </c>
      <c r="AM253" s="285">
        <v>13.535</v>
      </c>
      <c r="AN253" s="285">
        <v>24.064</v>
      </c>
      <c r="AO253" s="285">
        <v>33.853999999999999</v>
      </c>
      <c r="AP253" s="285">
        <v>13.840999999999999</v>
      </c>
      <c r="AQ253" s="285">
        <v>162.892</v>
      </c>
      <c r="AR253" s="285">
        <v>0</v>
      </c>
      <c r="AS253" s="275"/>
      <c r="AT253" s="244">
        <v>0.71158234322133918</v>
      </c>
      <c r="AU253" s="244">
        <v>0.75403522285634261</v>
      </c>
      <c r="AV253" s="244">
        <v>0.65845294042931535</v>
      </c>
      <c r="AW253" s="244">
        <v>0.58241595862578499</v>
      </c>
      <c r="AX253" s="244">
        <v>0.72776761968085113</v>
      </c>
      <c r="AY253" s="244">
        <v>0.82380220948780059</v>
      </c>
      <c r="AZ253" s="244">
        <v>0.79921970955855792</v>
      </c>
      <c r="BA253" s="275"/>
      <c r="BB253" s="275"/>
      <c r="BC253" s="275"/>
      <c r="BE253" s="274">
        <f t="shared" si="54"/>
        <v>3.8555483870967744</v>
      </c>
      <c r="BF253" s="280">
        <f>MAX(G241,G229,G217,G205,G193,G181,G169,G157,G145,G133,G121,G109,G97,G85,G73,G61,G49,G37,G25,G13)</f>
        <v>125.712</v>
      </c>
      <c r="BG253" s="154" t="str">
        <f t="shared" si="58"/>
        <v/>
      </c>
      <c r="BH253" s="270">
        <f t="shared" si="56"/>
        <v>1.9999999999999928E-2</v>
      </c>
      <c r="BI253" s="270">
        <f t="shared" si="50"/>
        <v>2.9999999999999361E-2</v>
      </c>
    </row>
    <row r="254" spans="1:61">
      <c r="A254" s="266">
        <v>36770</v>
      </c>
      <c r="B254" s="266"/>
      <c r="C254" s="275"/>
      <c r="D254" s="276">
        <v>1.7086666666666588</v>
      </c>
      <c r="E254" s="277">
        <v>5.2545666666666664</v>
      </c>
      <c r="F254" s="277">
        <f t="shared" si="60"/>
        <v>157.637</v>
      </c>
      <c r="G254" s="277">
        <v>127.178</v>
      </c>
      <c r="H254" s="281">
        <f t="shared" si="59"/>
        <v>0.80677759663023274</v>
      </c>
      <c r="I254" s="202">
        <v>3013.55</v>
      </c>
      <c r="J254" s="270">
        <v>47.39</v>
      </c>
      <c r="K254" s="270">
        <v>0.55444731805720693</v>
      </c>
      <c r="L254" s="202">
        <v>432.38099999999997</v>
      </c>
      <c r="M254" s="277">
        <v>236.76079880940006</v>
      </c>
      <c r="N254" s="202">
        <v>1454.5719999999999</v>
      </c>
      <c r="O254" s="270">
        <v>11.44</v>
      </c>
      <c r="P254" s="270">
        <v>-6.5665959757925663E-2</v>
      </c>
      <c r="Q254" s="202">
        <v>1619.3869999999999</v>
      </c>
      <c r="R254" s="199">
        <v>0.81233358414848256</v>
      </c>
      <c r="S254" s="202">
        <v>374.11300000000006</v>
      </c>
      <c r="T254" s="275"/>
      <c r="U254" s="275"/>
      <c r="V254" s="278">
        <v>21.053999999999998</v>
      </c>
      <c r="W254" s="278">
        <v>24.027000000000001</v>
      </c>
      <c r="X254" s="278">
        <v>15.318</v>
      </c>
      <c r="Y254" s="278"/>
      <c r="Z254" s="278">
        <v>8.0090000000000003</v>
      </c>
      <c r="AA254" s="278">
        <v>18.47</v>
      </c>
      <c r="AB254" s="278">
        <v>29.45</v>
      </c>
      <c r="AC254" s="278">
        <v>10.9</v>
      </c>
      <c r="AD254" s="279">
        <v>127.22799999999999</v>
      </c>
      <c r="AE254" s="278">
        <f t="shared" si="52"/>
        <v>127.22800000000001</v>
      </c>
      <c r="AF254" s="278">
        <f t="shared" si="53"/>
        <v>0</v>
      </c>
      <c r="AG254" s="278">
        <f t="shared" si="51"/>
        <v>5.0000000000011369E-2</v>
      </c>
      <c r="AH254" s="202">
        <f t="shared" si="47"/>
        <v>1.5609999999999999</v>
      </c>
      <c r="AI254" s="202">
        <f t="shared" si="49"/>
        <v>58.83</v>
      </c>
      <c r="AJ254" s="285">
        <v>24.597999999999999</v>
      </c>
      <c r="AK254" s="285">
        <v>27.64</v>
      </c>
      <c r="AL254" s="285">
        <v>22.856999999999999</v>
      </c>
      <c r="AM254" s="285">
        <v>13.099</v>
      </c>
      <c r="AN254" s="285">
        <v>23.288</v>
      </c>
      <c r="AO254" s="285">
        <v>32.762</v>
      </c>
      <c r="AP254" s="285">
        <v>13.394</v>
      </c>
      <c r="AQ254" s="285">
        <v>157.63800000000001</v>
      </c>
      <c r="AR254" s="285">
        <v>-1.0000000000047748E-3</v>
      </c>
      <c r="AS254" s="275"/>
      <c r="AT254" s="244">
        <v>0.8559232457923408</v>
      </c>
      <c r="AU254" s="244">
        <v>0.8692836468885673</v>
      </c>
      <c r="AV254" s="244">
        <v>0.67016668854180339</v>
      </c>
      <c r="AW254" s="244">
        <v>0.61142071913886553</v>
      </c>
      <c r="AX254" s="244">
        <v>0.79311233253177593</v>
      </c>
      <c r="AY254" s="244">
        <v>0.89890727061839937</v>
      </c>
      <c r="AZ254" s="244">
        <v>0.81379722263700172</v>
      </c>
      <c r="BA254" s="275"/>
      <c r="BB254" s="275"/>
      <c r="BC254" s="275"/>
      <c r="BE254" s="274">
        <f>G254/30</f>
        <v>4.2392666666666665</v>
      </c>
      <c r="BF254" s="280">
        <f t="shared" ref="BF254:BF264" si="63">MAX(G242,G230,G218,G206,G194,G182,G170,G158,G146,G134,G122,G110,G98,G86,G74,G62,G50,G38,G26,G14,G2)</f>
        <v>132.16399999999999</v>
      </c>
      <c r="BG254" s="154" t="str">
        <f t="shared" si="58"/>
        <v/>
      </c>
      <c r="BH254" s="270">
        <f t="shared" si="56"/>
        <v>1.7999999999999617E-2</v>
      </c>
      <c r="BI254" s="270">
        <f t="shared" si="50"/>
        <v>-5.0000000000000711E-2</v>
      </c>
    </row>
    <row r="255" spans="1:61">
      <c r="A255" s="266">
        <v>36800</v>
      </c>
      <c r="B255" s="266"/>
      <c r="C255" s="275"/>
      <c r="D255" s="276">
        <v>3.4039999999999964</v>
      </c>
      <c r="E255" s="277">
        <v>5.2569354838709677</v>
      </c>
      <c r="F255" s="277">
        <f t="shared" si="60"/>
        <v>162.965</v>
      </c>
      <c r="G255" s="277">
        <v>145.726</v>
      </c>
      <c r="H255" s="281">
        <f t="shared" si="59"/>
        <v>0.89421654956585772</v>
      </c>
      <c r="I255" s="202">
        <v>3481.2939999999999</v>
      </c>
      <c r="J255" s="270">
        <v>47.78</v>
      </c>
      <c r="K255" s="270">
        <v>0.14999396499698747</v>
      </c>
      <c r="L255" s="202">
        <v>725.53200000000004</v>
      </c>
      <c r="M255" s="277">
        <v>-81.431510408699864</v>
      </c>
      <c r="N255" s="202">
        <v>1645.1569999999999</v>
      </c>
      <c r="O255" s="270">
        <v>11.29</v>
      </c>
      <c r="P255" s="270">
        <v>-7.3611614028026295E-2</v>
      </c>
      <c r="Q255" s="202">
        <v>1741.7750000000001</v>
      </c>
      <c r="R255" s="199">
        <v>0.84519361413043492</v>
      </c>
      <c r="S255" s="202">
        <v>319.02499999999964</v>
      </c>
      <c r="T255" s="275"/>
      <c r="U255" s="275"/>
      <c r="V255" s="278">
        <v>23.140999999999998</v>
      </c>
      <c r="W255" s="278">
        <v>27.201000000000001</v>
      </c>
      <c r="X255" s="278">
        <v>18.928000000000001</v>
      </c>
      <c r="Y255" s="278"/>
      <c r="Z255" s="278">
        <v>8.6219999999999999</v>
      </c>
      <c r="AA255" s="278">
        <v>22.239000000000001</v>
      </c>
      <c r="AB255" s="278">
        <v>33.401000000000003</v>
      </c>
      <c r="AC255" s="278">
        <v>12.193</v>
      </c>
      <c r="AD255" s="279">
        <v>145.726</v>
      </c>
      <c r="AE255" s="278">
        <f t="shared" si="52"/>
        <v>145.72500000000002</v>
      </c>
      <c r="AF255" s="278">
        <f t="shared" si="53"/>
        <v>-9.9999999997635314E-4</v>
      </c>
      <c r="AG255" s="278">
        <f t="shared" si="51"/>
        <v>-9.9999999997635314E-4</v>
      </c>
      <c r="AH255" s="202">
        <f t="shared" si="47"/>
        <v>3.9510000000000041</v>
      </c>
      <c r="AI255" s="202">
        <f t="shared" si="49"/>
        <v>59.07</v>
      </c>
      <c r="AJ255" s="285">
        <v>25.417999999999999</v>
      </c>
      <c r="AK255" s="285">
        <v>28.565999999999999</v>
      </c>
      <c r="AL255" s="285">
        <v>23.164000000000001</v>
      </c>
      <c r="AM255" s="285">
        <v>13.492000000000001</v>
      </c>
      <c r="AN255" s="285">
        <v>24.155000000000001</v>
      </c>
      <c r="AO255" s="285">
        <v>34.256999999999998</v>
      </c>
      <c r="AP255" s="285">
        <v>13.913</v>
      </c>
      <c r="AQ255" s="285">
        <v>162.965</v>
      </c>
      <c r="AR255" s="285">
        <v>0</v>
      </c>
      <c r="AS255" s="275"/>
      <c r="AT255" s="244">
        <v>0.91041781414745448</v>
      </c>
      <c r="AU255" s="244">
        <v>0.95221592102499475</v>
      </c>
      <c r="AV255" s="244">
        <v>0.81713002935589707</v>
      </c>
      <c r="AW255" s="244">
        <v>0.63904536021345981</v>
      </c>
      <c r="AX255" s="244">
        <v>0.92067894845787623</v>
      </c>
      <c r="AY255" s="244">
        <v>0.97501240622354568</v>
      </c>
      <c r="AZ255" s="244">
        <v>0.87637461367066771</v>
      </c>
      <c r="BA255" s="275"/>
      <c r="BB255" s="275"/>
      <c r="BC255" s="275"/>
      <c r="BE255" s="274">
        <f t="shared" si="54"/>
        <v>4.7008387096774191</v>
      </c>
      <c r="BF255" s="280">
        <f t="shared" si="63"/>
        <v>148.86799999999999</v>
      </c>
      <c r="BG255" s="154" t="str">
        <f t="shared" si="58"/>
        <v/>
      </c>
      <c r="BH255" s="270">
        <f t="shared" si="56"/>
        <v>-0.13199999999999967</v>
      </c>
      <c r="BI255" s="270">
        <f t="shared" si="50"/>
        <v>-0.15000000000000036</v>
      </c>
    </row>
    <row r="256" spans="1:61">
      <c r="A256" s="266">
        <v>36831</v>
      </c>
      <c r="B256" s="266"/>
      <c r="C256" s="275"/>
      <c r="D256" s="276">
        <v>3.0099999999999909</v>
      </c>
      <c r="E256" s="277">
        <v>5.2569333333333335</v>
      </c>
      <c r="F256" s="277">
        <f t="shared" si="60"/>
        <v>157.708</v>
      </c>
      <c r="G256" s="277">
        <v>140.11000000000001</v>
      </c>
      <c r="H256" s="281">
        <f t="shared" si="59"/>
        <v>0.88841403099398897</v>
      </c>
      <c r="I256" s="202">
        <v>3346.4059999999999</v>
      </c>
      <c r="J256" s="270">
        <v>47.77</v>
      </c>
      <c r="K256" s="270">
        <v>0.20093348239238651</v>
      </c>
      <c r="L256" s="202">
        <v>705.94100000000003</v>
      </c>
      <c r="M256" s="277">
        <v>-58.870553881400042</v>
      </c>
      <c r="N256" s="202">
        <v>1566.6410000000001</v>
      </c>
      <c r="O256" s="270">
        <v>11.18</v>
      </c>
      <c r="P256" s="270">
        <v>-6.4851872554500645E-2</v>
      </c>
      <c r="Q256" s="202">
        <v>1782.367</v>
      </c>
      <c r="R256" s="199">
        <v>0.82387307016732914</v>
      </c>
      <c r="S256" s="202">
        <v>381.03300000000013</v>
      </c>
      <c r="T256" s="275"/>
      <c r="U256" s="275"/>
      <c r="V256" s="278">
        <v>21.948</v>
      </c>
      <c r="W256" s="278">
        <v>26.899000000000001</v>
      </c>
      <c r="X256" s="278">
        <v>17.634</v>
      </c>
      <c r="Y256" s="278"/>
      <c r="Z256" s="278">
        <v>8.077</v>
      </c>
      <c r="AA256" s="278">
        <v>21.065999999999999</v>
      </c>
      <c r="AB256" s="278">
        <v>32.981000000000002</v>
      </c>
      <c r="AC256" s="278">
        <v>11.505000000000001</v>
      </c>
      <c r="AD256" s="279">
        <v>140.11000000000001</v>
      </c>
      <c r="AE256" s="278">
        <f t="shared" si="52"/>
        <v>140.10999999999999</v>
      </c>
      <c r="AF256" s="278">
        <f t="shared" si="53"/>
        <v>0</v>
      </c>
      <c r="AG256" s="278">
        <f t="shared" si="51"/>
        <v>0</v>
      </c>
      <c r="AH256" s="202">
        <f t="shared" si="47"/>
        <v>-0.42000000000000171</v>
      </c>
      <c r="AI256" s="202">
        <f t="shared" si="49"/>
        <v>58.95</v>
      </c>
      <c r="AJ256" s="285">
        <v>24.597999999999999</v>
      </c>
      <c r="AK256" s="285">
        <v>27.645</v>
      </c>
      <c r="AL256" s="285">
        <v>22.417000000000002</v>
      </c>
      <c r="AM256" s="285">
        <v>13.057</v>
      </c>
      <c r="AN256" s="285">
        <v>23.376000000000001</v>
      </c>
      <c r="AO256" s="285">
        <v>33.152000000000001</v>
      </c>
      <c r="AP256" s="285">
        <v>13.464</v>
      </c>
      <c r="AQ256" s="285">
        <v>157.709</v>
      </c>
      <c r="AR256" s="285">
        <v>-1.0000000000047748E-3</v>
      </c>
      <c r="AS256" s="275"/>
      <c r="AT256" s="244">
        <v>0.89226766403772673</v>
      </c>
      <c r="AU256" s="244">
        <v>0.97301501175619465</v>
      </c>
      <c r="AV256" s="244">
        <v>0.78663514297185166</v>
      </c>
      <c r="AW256" s="244">
        <v>0.61859538944627401</v>
      </c>
      <c r="AX256" s="244">
        <v>0.90118069815195068</v>
      </c>
      <c r="AY256" s="244">
        <v>0.99484194015444016</v>
      </c>
      <c r="AZ256" s="244">
        <v>0.85450089126559714</v>
      </c>
      <c r="BA256" s="275"/>
      <c r="BB256" s="275"/>
      <c r="BC256" s="275"/>
      <c r="BE256" s="274">
        <f>G256/30</f>
        <v>4.6703333333333337</v>
      </c>
      <c r="BF256" s="280">
        <f t="shared" si="63"/>
        <v>140.917</v>
      </c>
      <c r="BG256" s="154" t="str">
        <f t="shared" si="58"/>
        <v/>
      </c>
      <c r="BH256" s="270">
        <f t="shared" si="56"/>
        <v>-0.14000000000000021</v>
      </c>
      <c r="BI256" s="270">
        <f t="shared" si="50"/>
        <v>-0.10999999999999943</v>
      </c>
    </row>
    <row r="257" spans="1:61">
      <c r="A257" s="266">
        <v>36861</v>
      </c>
      <c r="B257" s="266"/>
      <c r="C257" s="277">
        <v>0.12358064516128996</v>
      </c>
      <c r="D257" s="276">
        <v>3.8309999999999889</v>
      </c>
      <c r="E257" s="277">
        <v>5.2569354838709677</v>
      </c>
      <c r="F257" s="277">
        <f t="shared" si="60"/>
        <v>162.965</v>
      </c>
      <c r="G257" s="277">
        <v>138.44900000000001</v>
      </c>
      <c r="H257" s="281">
        <f t="shared" si="59"/>
        <v>0.8495627895560397</v>
      </c>
      <c r="I257" s="202">
        <v>3302.5740000000001</v>
      </c>
      <c r="J257" s="270">
        <v>47.71</v>
      </c>
      <c r="K257" s="270">
        <v>7.4649985943210595E-2</v>
      </c>
      <c r="L257" s="202">
        <v>561.33299999999997</v>
      </c>
      <c r="M257" s="277">
        <v>59.381079877500042</v>
      </c>
      <c r="N257" s="202">
        <v>1552.2760000000001</v>
      </c>
      <c r="O257" s="270">
        <v>11.21</v>
      </c>
      <c r="P257" s="270">
        <v>-0.11216474557211242</v>
      </c>
      <c r="Q257" s="202">
        <v>1811.8240000000001</v>
      </c>
      <c r="R257" s="199">
        <v>0.79759816869167111</v>
      </c>
      <c r="S257" s="202">
        <v>459.77599999999984</v>
      </c>
      <c r="T257" s="275"/>
      <c r="U257" s="275"/>
      <c r="V257" s="278">
        <v>22.413</v>
      </c>
      <c r="W257" s="278">
        <v>27.283000000000001</v>
      </c>
      <c r="X257" s="278">
        <v>17.806999999999999</v>
      </c>
      <c r="Y257" s="278"/>
      <c r="Z257" s="278">
        <v>8.0559999999999992</v>
      </c>
      <c r="AA257" s="278">
        <v>19.407</v>
      </c>
      <c r="AB257" s="278">
        <v>31.797000000000001</v>
      </c>
      <c r="AC257" s="278">
        <v>11.686</v>
      </c>
      <c r="AD257" s="279">
        <v>138.44900000000001</v>
      </c>
      <c r="AE257" s="278">
        <f t="shared" si="52"/>
        <v>138.44899999999998</v>
      </c>
      <c r="AF257" s="278">
        <f t="shared" si="53"/>
        <v>0</v>
      </c>
      <c r="AG257" s="278">
        <f t="shared" si="51"/>
        <v>0</v>
      </c>
      <c r="AH257" s="202">
        <f t="shared" si="47"/>
        <v>-1.1840000000000011</v>
      </c>
      <c r="AI257" s="202">
        <f t="shared" si="49"/>
        <v>58.92</v>
      </c>
      <c r="AJ257" s="285">
        <v>25.417999999999999</v>
      </c>
      <c r="AK257" s="285">
        <v>28.565999999999999</v>
      </c>
      <c r="AL257" s="285">
        <v>23.164000000000001</v>
      </c>
      <c r="AM257" s="285">
        <v>13.492000000000001</v>
      </c>
      <c r="AN257" s="285">
        <v>24.155000000000001</v>
      </c>
      <c r="AO257" s="285">
        <v>34.256999999999998</v>
      </c>
      <c r="AP257" s="285">
        <v>13.913</v>
      </c>
      <c r="AQ257" s="285">
        <v>162.965</v>
      </c>
      <c r="AR257" s="285">
        <v>0</v>
      </c>
      <c r="AS257" s="275"/>
      <c r="AT257" s="244">
        <v>0.88177669368164302</v>
      </c>
      <c r="AU257" s="244">
        <v>0.95508646642862149</v>
      </c>
      <c r="AV257" s="244">
        <v>0.76873596960801227</v>
      </c>
      <c r="AW257" s="244">
        <v>0.59709457456270376</v>
      </c>
      <c r="AX257" s="244">
        <v>0.80343614158559296</v>
      </c>
      <c r="AY257" s="244">
        <v>0.92818985900691842</v>
      </c>
      <c r="AZ257" s="244">
        <v>0.83993387479335868</v>
      </c>
      <c r="BA257" s="275"/>
      <c r="BB257" s="275"/>
      <c r="BC257" s="275"/>
      <c r="BE257" s="274">
        <f t="shared" si="54"/>
        <v>4.4660967741935487</v>
      </c>
      <c r="BF257" s="280">
        <f t="shared" si="63"/>
        <v>148.15600000000001</v>
      </c>
      <c r="BG257" s="154" t="str">
        <f t="shared" si="58"/>
        <v/>
      </c>
      <c r="BH257" s="270">
        <f t="shared" si="56"/>
        <v>2.3999999999999844E-2</v>
      </c>
      <c r="BI257" s="270">
        <f t="shared" si="50"/>
        <v>3.0000000000001137E-2</v>
      </c>
    </row>
    <row r="258" spans="1:61">
      <c r="A258" s="266">
        <v>36892</v>
      </c>
      <c r="B258" s="266"/>
      <c r="C258" s="277">
        <v>0.12434408602150469</v>
      </c>
      <c r="D258" s="276">
        <v>3.8546666666666454</v>
      </c>
      <c r="E258" s="277">
        <v>5.225677419354839</v>
      </c>
      <c r="F258" s="277">
        <f t="shared" si="60"/>
        <v>161.99600000000001</v>
      </c>
      <c r="G258" s="277">
        <v>142.87200000000001</v>
      </c>
      <c r="H258" s="281">
        <f t="shared" si="59"/>
        <v>0.88194770241240528</v>
      </c>
      <c r="I258" s="202">
        <v>3372.0659999999998</v>
      </c>
      <c r="J258" s="270">
        <v>47.2</v>
      </c>
      <c r="K258" s="270">
        <v>0.80218092598482116</v>
      </c>
      <c r="L258" s="202">
        <v>614.08000000000004</v>
      </c>
      <c r="M258" s="277">
        <v>261.77013376909997</v>
      </c>
      <c r="N258" s="202">
        <v>1586.8979999999999</v>
      </c>
      <c r="O258" s="270">
        <v>11.11</v>
      </c>
      <c r="P258" s="270">
        <v>8.2921077740923721E-2</v>
      </c>
      <c r="Q258" s="202">
        <v>1938.84</v>
      </c>
      <c r="R258" s="199">
        <v>0.79565003282994096</v>
      </c>
      <c r="S258" s="202">
        <v>497.95999999999981</v>
      </c>
      <c r="T258" s="275"/>
      <c r="U258" s="275"/>
      <c r="V258" s="278">
        <v>23.094000000000001</v>
      </c>
      <c r="W258" s="278">
        <v>26.905999999999999</v>
      </c>
      <c r="X258" s="278">
        <v>19.16</v>
      </c>
      <c r="Y258" s="278"/>
      <c r="Z258" s="278">
        <v>8.3040000000000003</v>
      </c>
      <c r="AA258" s="278">
        <v>20.937999999999999</v>
      </c>
      <c r="AB258" s="278">
        <v>32.895000000000003</v>
      </c>
      <c r="AC258" s="278">
        <v>11.574999999999999</v>
      </c>
      <c r="AD258" s="279">
        <v>142.87200000000001</v>
      </c>
      <c r="AE258" s="278">
        <f t="shared" si="52"/>
        <v>142.87199999999999</v>
      </c>
      <c r="AF258" s="278">
        <f t="shared" si="53"/>
        <v>0</v>
      </c>
      <c r="AG258" s="278">
        <f t="shared" si="51"/>
        <v>0</v>
      </c>
      <c r="AH258" s="202">
        <f t="shared" ref="AH258:AH321" si="64">AB258-AB257</f>
        <v>1.0980000000000025</v>
      </c>
      <c r="AI258" s="202">
        <f t="shared" si="49"/>
        <v>58.31</v>
      </c>
      <c r="AJ258" s="285">
        <v>25.684000000000001</v>
      </c>
      <c r="AK258" s="285">
        <v>28.555</v>
      </c>
      <c r="AL258" s="285">
        <v>23.244</v>
      </c>
      <c r="AM258" s="285">
        <v>11.361000000000001</v>
      </c>
      <c r="AN258" s="285">
        <v>24.474</v>
      </c>
      <c r="AO258" s="285">
        <v>34.768000000000001</v>
      </c>
      <c r="AP258" s="285">
        <v>13.911</v>
      </c>
      <c r="AQ258" s="285">
        <v>161.99700000000001</v>
      </c>
      <c r="AR258" s="285">
        <v>-1.0000000000047748E-3</v>
      </c>
      <c r="AS258" s="275"/>
      <c r="AT258" s="244">
        <v>0.89915900950007788</v>
      </c>
      <c r="AU258" s="244">
        <v>0.94225179478199961</v>
      </c>
      <c r="AV258" s="244">
        <v>0.82429874376183099</v>
      </c>
      <c r="AW258" s="244">
        <v>0.73092157380512279</v>
      </c>
      <c r="AX258" s="244">
        <v>0.85552014382610109</v>
      </c>
      <c r="AY258" s="244">
        <v>0.9461286240220893</v>
      </c>
      <c r="AZ258" s="244">
        <v>0.83207533606498452</v>
      </c>
      <c r="BA258" s="275"/>
      <c r="BB258" s="275"/>
      <c r="BC258" s="275"/>
      <c r="BE258" s="274">
        <f t="shared" si="54"/>
        <v>4.6087741935483875</v>
      </c>
      <c r="BF258" s="280">
        <f t="shared" si="63"/>
        <v>148.57</v>
      </c>
      <c r="BG258" s="154" t="str">
        <f t="shared" si="58"/>
        <v/>
      </c>
      <c r="BH258" s="270">
        <f t="shared" si="56"/>
        <v>1.4000000000000058E-2</v>
      </c>
      <c r="BI258" s="270">
        <f t="shared" si="50"/>
        <v>-0.10000000000000142</v>
      </c>
    </row>
    <row r="259" spans="1:61">
      <c r="A259" s="266">
        <v>36923</v>
      </c>
      <c r="B259" s="266"/>
      <c r="C259" s="277">
        <v>0.14232142857142907</v>
      </c>
      <c r="D259" s="276">
        <v>3.9850000000000136</v>
      </c>
      <c r="E259" s="277">
        <v>5.2256785714285714</v>
      </c>
      <c r="F259" s="277">
        <f t="shared" si="60"/>
        <v>146.31899999999999</v>
      </c>
      <c r="G259" s="277">
        <v>124.94499999999999</v>
      </c>
      <c r="H259" s="281">
        <f t="shared" si="59"/>
        <v>0.8539219103465715</v>
      </c>
      <c r="I259" s="202">
        <v>2994.1770000000001</v>
      </c>
      <c r="J259" s="270">
        <v>47.93</v>
      </c>
      <c r="K259" s="270">
        <v>-0.10559916233615496</v>
      </c>
      <c r="L259" s="202">
        <v>594.15300000000002</v>
      </c>
      <c r="M259" s="277">
        <v>233.47819254060005</v>
      </c>
      <c r="N259" s="202">
        <v>1405.8389999999999</v>
      </c>
      <c r="O259" s="270">
        <v>11.25</v>
      </c>
      <c r="P259" s="270">
        <v>-0.11450011634220125</v>
      </c>
      <c r="Q259" s="202">
        <v>1925.886</v>
      </c>
      <c r="R259" s="199">
        <v>0.76342252348674033</v>
      </c>
      <c r="S259" s="202">
        <v>596.81400000000031</v>
      </c>
      <c r="T259" s="275"/>
      <c r="U259" s="275"/>
      <c r="V259" s="278">
        <v>18.324999999999999</v>
      </c>
      <c r="W259" s="278">
        <v>24.244</v>
      </c>
      <c r="X259" s="278">
        <v>16.367000000000001</v>
      </c>
      <c r="Y259" s="278"/>
      <c r="Z259" s="278">
        <v>8.1199999999999992</v>
      </c>
      <c r="AA259" s="278">
        <v>18.324999999999999</v>
      </c>
      <c r="AB259" s="278">
        <v>29.1</v>
      </c>
      <c r="AC259" s="278">
        <v>10.462999999999999</v>
      </c>
      <c r="AD259" s="279">
        <v>124.94499999999999</v>
      </c>
      <c r="AE259" s="278">
        <f t="shared" si="52"/>
        <v>124.94400000000002</v>
      </c>
      <c r="AF259" s="278">
        <f t="shared" si="53"/>
        <v>-9.9999999997635314E-4</v>
      </c>
      <c r="AG259" s="278">
        <f t="shared" si="51"/>
        <v>-9.9999999997635314E-4</v>
      </c>
      <c r="AH259" s="202">
        <f t="shared" si="64"/>
        <v>-3.7950000000000017</v>
      </c>
      <c r="AI259" s="202">
        <f t="shared" ref="AI259:AI322" si="65">J259+O259</f>
        <v>59.18</v>
      </c>
      <c r="AJ259" s="285">
        <v>23.199000000000002</v>
      </c>
      <c r="AK259" s="285">
        <v>25.791</v>
      </c>
      <c r="AL259" s="285">
        <v>20.995000000000001</v>
      </c>
      <c r="AM259" s="285">
        <v>10.260999999999999</v>
      </c>
      <c r="AN259" s="285">
        <v>22.105</v>
      </c>
      <c r="AO259" s="285">
        <v>31.402999999999999</v>
      </c>
      <c r="AP259" s="285">
        <v>12.565</v>
      </c>
      <c r="AQ259" s="285">
        <v>146.31899999999999</v>
      </c>
      <c r="AR259" s="285">
        <v>0</v>
      </c>
      <c r="AS259" s="275"/>
      <c r="AT259" s="244">
        <v>0.78990473727315824</v>
      </c>
      <c r="AU259" s="244">
        <v>0.9400178356791129</v>
      </c>
      <c r="AV259" s="244">
        <v>0.77956656346749231</v>
      </c>
      <c r="AW259" s="244">
        <v>0.79134587272195689</v>
      </c>
      <c r="AX259" s="244">
        <v>0.8289979642614792</v>
      </c>
      <c r="AY259" s="244">
        <v>0.92666305766964951</v>
      </c>
      <c r="AZ259" s="244">
        <v>0.83270990847592519</v>
      </c>
      <c r="BA259" s="275"/>
      <c r="BB259" s="275"/>
      <c r="BC259" s="275"/>
      <c r="BE259" s="274">
        <f>G259/28</f>
        <v>4.4623214285714283</v>
      </c>
      <c r="BF259" s="280">
        <f t="shared" si="63"/>
        <v>135.53299999999999</v>
      </c>
      <c r="BG259" s="154" t="str">
        <f t="shared" si="58"/>
        <v/>
      </c>
      <c r="BH259" s="270">
        <f t="shared" si="56"/>
        <v>1.6000000000000368E-2</v>
      </c>
      <c r="BI259" s="270">
        <f t="shared" si="50"/>
        <v>0.14000000000000057</v>
      </c>
    </row>
    <row r="260" spans="1:61">
      <c r="A260" s="266">
        <v>36951</v>
      </c>
      <c r="B260" s="266"/>
      <c r="C260" s="277">
        <v>0.12562365591397812</v>
      </c>
      <c r="D260" s="276">
        <v>3.8943333333333214</v>
      </c>
      <c r="E260" s="277">
        <v>5.225677419354839</v>
      </c>
      <c r="F260" s="277">
        <f t="shared" si="60"/>
        <v>161.99600000000001</v>
      </c>
      <c r="G260" s="277">
        <v>137.869</v>
      </c>
      <c r="H260" s="281">
        <f t="shared" si="59"/>
        <v>0.85106422380799518</v>
      </c>
      <c r="I260" s="202">
        <v>3311.527</v>
      </c>
      <c r="J260" s="270">
        <v>48.04</v>
      </c>
      <c r="K260" s="270">
        <v>0.10361964776976151</v>
      </c>
      <c r="L260" s="202">
        <v>663.69399999999996</v>
      </c>
      <c r="M260" s="277">
        <v>296.88604040180007</v>
      </c>
      <c r="N260" s="202">
        <v>1568.251</v>
      </c>
      <c r="O260" s="270">
        <v>11.37</v>
      </c>
      <c r="P260" s="270">
        <v>-6.6654047826187224E-2</v>
      </c>
      <c r="Q260" s="202">
        <v>1946.0719999999999</v>
      </c>
      <c r="R260" s="199">
        <v>0.76328522121117037</v>
      </c>
      <c r="S260" s="202">
        <v>603.52800000000002</v>
      </c>
      <c r="T260" s="275"/>
      <c r="U260" s="275"/>
      <c r="V260" s="278">
        <v>22.498999999999999</v>
      </c>
      <c r="W260" s="278">
        <v>25.954000000000001</v>
      </c>
      <c r="X260" s="278">
        <v>17.791</v>
      </c>
      <c r="Y260" s="278"/>
      <c r="Z260" s="278">
        <v>7.9359999999999999</v>
      </c>
      <c r="AA260" s="278">
        <v>20.222000000000001</v>
      </c>
      <c r="AB260" s="278">
        <v>32.076000000000001</v>
      </c>
      <c r="AC260" s="278">
        <v>11.391</v>
      </c>
      <c r="AD260" s="279">
        <v>137.869</v>
      </c>
      <c r="AE260" s="278">
        <f t="shared" si="52"/>
        <v>137.869</v>
      </c>
      <c r="AF260" s="278">
        <f t="shared" si="53"/>
        <v>0</v>
      </c>
      <c r="AG260" s="278">
        <f t="shared" si="51"/>
        <v>0</v>
      </c>
      <c r="AH260" s="202">
        <f t="shared" si="64"/>
        <v>2.9759999999999991</v>
      </c>
      <c r="AI260" s="202">
        <f t="shared" si="65"/>
        <v>59.41</v>
      </c>
      <c r="AJ260" s="285">
        <v>25.684000000000001</v>
      </c>
      <c r="AK260" s="285">
        <v>28.555</v>
      </c>
      <c r="AL260" s="285">
        <v>23.244</v>
      </c>
      <c r="AM260" s="285">
        <v>11.361000000000001</v>
      </c>
      <c r="AN260" s="285">
        <v>24.474</v>
      </c>
      <c r="AO260" s="285">
        <v>34.768000000000001</v>
      </c>
      <c r="AP260" s="285">
        <v>13.911</v>
      </c>
      <c r="AQ260" s="285">
        <v>161.99700000000001</v>
      </c>
      <c r="AR260" s="285">
        <v>-1.0000000000047748E-3</v>
      </c>
      <c r="AS260" s="275"/>
      <c r="AT260" s="244">
        <v>0.8759928360068524</v>
      </c>
      <c r="AU260" s="244">
        <v>0.90891262475923662</v>
      </c>
      <c r="AV260" s="244">
        <v>0.76540182412665636</v>
      </c>
      <c r="AW260" s="244">
        <v>0.69853005897368181</v>
      </c>
      <c r="AX260" s="244">
        <v>0.82626460733840001</v>
      </c>
      <c r="AY260" s="244">
        <v>0.92257248044178553</v>
      </c>
      <c r="AZ260" s="244">
        <v>0.81884839335777448</v>
      </c>
      <c r="BA260" s="275"/>
      <c r="BB260" s="275"/>
      <c r="BC260" s="275"/>
      <c r="BE260" s="274">
        <f t="shared" si="54"/>
        <v>4.447387096774194</v>
      </c>
      <c r="BF260" s="280">
        <f t="shared" si="63"/>
        <v>143.91499999999999</v>
      </c>
      <c r="BG260" s="154" t="str">
        <f t="shared" si="58"/>
        <v/>
      </c>
      <c r="BH260" s="270">
        <f t="shared" si="56"/>
        <v>0.10800000000000018</v>
      </c>
      <c r="BI260" s="270">
        <f t="shared" ref="BI260:BI323" si="66">O260-O259</f>
        <v>0.11999999999999922</v>
      </c>
    </row>
    <row r="261" spans="1:61">
      <c r="A261" s="266">
        <v>36982</v>
      </c>
      <c r="B261" s="266"/>
      <c r="C261" s="277">
        <v>0.1006111111111115</v>
      </c>
      <c r="D261" s="276">
        <v>3.0183333333333451</v>
      </c>
      <c r="E261" s="277">
        <v>5.2290333333333336</v>
      </c>
      <c r="F261" s="277">
        <f t="shared" si="60"/>
        <v>156.87100000000001</v>
      </c>
      <c r="G261" s="277">
        <v>128.035</v>
      </c>
      <c r="H261" s="281">
        <f t="shared" si="59"/>
        <v>0.81618017351836858</v>
      </c>
      <c r="I261" s="202">
        <v>3072.2919999999999</v>
      </c>
      <c r="J261" s="270">
        <v>47.99</v>
      </c>
      <c r="K261" s="270">
        <v>0.11713195645538832</v>
      </c>
      <c r="L261" s="202">
        <v>504</v>
      </c>
      <c r="M261" s="277">
        <v>177.50410644329997</v>
      </c>
      <c r="N261" s="202">
        <v>1458.0219999999999</v>
      </c>
      <c r="O261" s="270">
        <v>11.39</v>
      </c>
      <c r="P261" s="270">
        <v>-5.7209278665173002E-2</v>
      </c>
      <c r="Q261" s="202">
        <v>1991.145</v>
      </c>
      <c r="R261" s="199">
        <v>0.78303305488068164</v>
      </c>
      <c r="S261" s="202">
        <v>551.7170000000001</v>
      </c>
      <c r="T261" s="275"/>
      <c r="U261" s="275"/>
      <c r="V261" s="278">
        <v>21.24</v>
      </c>
      <c r="W261" s="278">
        <v>24.138000000000002</v>
      </c>
      <c r="X261" s="278">
        <v>17.806000000000001</v>
      </c>
      <c r="Y261" s="278"/>
      <c r="Z261" s="278">
        <v>6.8150000000000004</v>
      </c>
      <c r="AA261" s="278">
        <v>17.385000000000002</v>
      </c>
      <c r="AB261" s="278">
        <v>29.495999999999999</v>
      </c>
      <c r="AC261" s="278">
        <v>11.154999999999999</v>
      </c>
      <c r="AD261" s="279">
        <v>128.035</v>
      </c>
      <c r="AE261" s="278">
        <f t="shared" si="52"/>
        <v>128.035</v>
      </c>
      <c r="AF261" s="278">
        <f t="shared" si="53"/>
        <v>0</v>
      </c>
      <c r="AG261" s="278">
        <f t="shared" si="51"/>
        <v>0</v>
      </c>
      <c r="AH261" s="202">
        <f t="shared" si="64"/>
        <v>-2.5800000000000018</v>
      </c>
      <c r="AI261" s="202">
        <f t="shared" si="65"/>
        <v>59.38</v>
      </c>
      <c r="AJ261" s="285">
        <v>25.08</v>
      </c>
      <c r="AK261" s="285">
        <v>27.786000000000001</v>
      </c>
      <c r="AL261" s="285">
        <v>22.134</v>
      </c>
      <c r="AM261" s="285">
        <v>11.275</v>
      </c>
      <c r="AN261" s="285">
        <v>22.738</v>
      </c>
      <c r="AO261" s="285">
        <v>33.706000000000003</v>
      </c>
      <c r="AP261" s="285">
        <v>13.153</v>
      </c>
      <c r="AQ261" s="285">
        <v>155.87199999999999</v>
      </c>
      <c r="AR261" s="285">
        <v>0.99900000000002365</v>
      </c>
      <c r="AS261" s="275"/>
      <c r="AT261" s="244">
        <v>0.84688995215311003</v>
      </c>
      <c r="AU261" s="244">
        <v>0.86871086158497091</v>
      </c>
      <c r="AV261" s="244">
        <v>0.80446372097225993</v>
      </c>
      <c r="AW261" s="244">
        <v>0.60443458980044351</v>
      </c>
      <c r="AX261" s="244">
        <v>0.76457911865599448</v>
      </c>
      <c r="AY261" s="244">
        <v>0.87509642200201732</v>
      </c>
      <c r="AZ261" s="244">
        <v>0.84809549152284647</v>
      </c>
      <c r="BA261" s="275"/>
      <c r="BB261" s="275"/>
      <c r="BC261" s="275"/>
      <c r="BE261" s="274">
        <f>G261/30</f>
        <v>4.2678333333333329</v>
      </c>
      <c r="BF261" s="280">
        <f t="shared" si="63"/>
        <v>131.001</v>
      </c>
      <c r="BG261" s="154" t="str">
        <f t="shared" si="58"/>
        <v/>
      </c>
      <c r="BH261" s="270">
        <f t="shared" si="56"/>
        <v>6.2000000000000097E-2</v>
      </c>
      <c r="BI261" s="270">
        <f t="shared" si="66"/>
        <v>2.000000000000135E-2</v>
      </c>
    </row>
    <row r="262" spans="1:61">
      <c r="A262" s="266">
        <v>37012</v>
      </c>
      <c r="B262" s="266"/>
      <c r="C262" s="277">
        <v>0.13093548387096765</v>
      </c>
      <c r="D262" s="276">
        <v>4.0589999999999975</v>
      </c>
      <c r="E262" s="277">
        <v>5.2290322580645157</v>
      </c>
      <c r="F262" s="277">
        <f t="shared" si="60"/>
        <v>162.1</v>
      </c>
      <c r="G262" s="277">
        <v>128.61099999999999</v>
      </c>
      <c r="H262" s="281">
        <f t="shared" si="59"/>
        <v>0.79340530536705733</v>
      </c>
      <c r="I262" s="202">
        <v>3091.6469999999999</v>
      </c>
      <c r="J262" s="270">
        <v>48.08</v>
      </c>
      <c r="K262" s="270">
        <v>-0.12643099419612014</v>
      </c>
      <c r="L262" s="202">
        <v>453.83699999999999</v>
      </c>
      <c r="M262" s="277">
        <v>137.0917548087001</v>
      </c>
      <c r="N262" s="202">
        <v>1457.163</v>
      </c>
      <c r="O262" s="270">
        <v>11.33</v>
      </c>
      <c r="P262" s="270">
        <v>-0.1850538931182637</v>
      </c>
      <c r="Q262" s="202">
        <v>2060.4520000000002</v>
      </c>
      <c r="R262" s="199">
        <v>0.7643760201810359</v>
      </c>
      <c r="S262" s="202">
        <v>635.14799999999968</v>
      </c>
      <c r="T262" s="275"/>
      <c r="U262" s="275"/>
      <c r="V262" s="278">
        <v>19.763000000000002</v>
      </c>
      <c r="W262" s="278">
        <v>25.774000000000001</v>
      </c>
      <c r="X262" s="278">
        <v>17.306000000000001</v>
      </c>
      <c r="Y262" s="278"/>
      <c r="Z262" s="278">
        <v>6.0220000000000002</v>
      </c>
      <c r="AA262" s="278">
        <v>20.562999999999999</v>
      </c>
      <c r="AB262" s="278">
        <v>27.780999999999999</v>
      </c>
      <c r="AC262" s="278">
        <v>11.401999999999999</v>
      </c>
      <c r="AD262" s="279">
        <v>128.61099999999999</v>
      </c>
      <c r="AE262" s="278">
        <f t="shared" si="52"/>
        <v>128.61099999999999</v>
      </c>
      <c r="AF262" s="278">
        <f t="shared" si="53"/>
        <v>0</v>
      </c>
      <c r="AG262" s="278">
        <f t="shared" ref="AG262:AG325" si="67">AE262-G262</f>
        <v>0</v>
      </c>
      <c r="AH262" s="202">
        <f t="shared" si="64"/>
        <v>-1.7149999999999999</v>
      </c>
      <c r="AI262" s="202">
        <f t="shared" si="65"/>
        <v>59.41</v>
      </c>
      <c r="AJ262" s="285">
        <v>25.916</v>
      </c>
      <c r="AK262" s="285">
        <v>28.712</v>
      </c>
      <c r="AL262" s="285">
        <v>22.872</v>
      </c>
      <c r="AM262" s="285">
        <v>11.65</v>
      </c>
      <c r="AN262" s="285">
        <v>24.529</v>
      </c>
      <c r="AO262" s="285">
        <v>34.83</v>
      </c>
      <c r="AP262" s="285">
        <v>13.592000000000001</v>
      </c>
      <c r="AQ262" s="285">
        <v>162.10100000000003</v>
      </c>
      <c r="AR262" s="285">
        <v>-1.0000000000331966E-3</v>
      </c>
      <c r="AS262" s="275"/>
      <c r="AT262" s="244">
        <v>0.7625791017132274</v>
      </c>
      <c r="AU262" s="244">
        <v>0.8976734466425188</v>
      </c>
      <c r="AV262" s="244">
        <v>0.75664568030779999</v>
      </c>
      <c r="AW262" s="244">
        <v>0.51690987124463517</v>
      </c>
      <c r="AX262" s="244">
        <v>0.83831383260630266</v>
      </c>
      <c r="AY262" s="244">
        <v>0.79761699684180309</v>
      </c>
      <c r="AZ262" s="244">
        <v>0.83887580929958794</v>
      </c>
      <c r="BA262" s="275"/>
      <c r="BB262" s="275"/>
      <c r="BC262" s="275"/>
      <c r="BE262" s="274">
        <f t="shared" si="54"/>
        <v>4.148741935483871</v>
      </c>
      <c r="BF262" s="280">
        <f t="shared" si="63"/>
        <v>125.32899999999999</v>
      </c>
      <c r="BG262" s="154" t="str">
        <f t="shared" si="58"/>
        <v>RECORD</v>
      </c>
      <c r="BH262" s="270">
        <f t="shared" si="56"/>
        <v>-3.5527136788005011E-16</v>
      </c>
      <c r="BI262" s="270">
        <f t="shared" si="66"/>
        <v>-6.0000000000000497E-2</v>
      </c>
    </row>
    <row r="263" spans="1:61">
      <c r="A263" s="266">
        <v>37043</v>
      </c>
      <c r="B263" s="266"/>
      <c r="C263" s="277">
        <v>0.12586666666666749</v>
      </c>
      <c r="D263" s="276">
        <v>3.7760000000000247</v>
      </c>
      <c r="E263" s="277">
        <v>5.2290333333333336</v>
      </c>
      <c r="F263" s="277">
        <f t="shared" si="60"/>
        <v>156.87100000000001</v>
      </c>
      <c r="G263" s="277">
        <v>124.23399999999999</v>
      </c>
      <c r="H263" s="281">
        <f t="shared" si="59"/>
        <v>0.79195007362737524</v>
      </c>
      <c r="I263" s="202">
        <v>2998.0329999999999</v>
      </c>
      <c r="J263" s="270">
        <v>48.26</v>
      </c>
      <c r="K263" s="270">
        <v>4.2476369033664696E-2</v>
      </c>
      <c r="L263" s="202">
        <v>470.971</v>
      </c>
      <c r="M263" s="277">
        <v>77.393338316900099</v>
      </c>
      <c r="N263" s="202">
        <v>1422.203</v>
      </c>
      <c r="O263" s="270">
        <v>11.45</v>
      </c>
      <c r="P263" s="270">
        <v>-0.13213420826497924</v>
      </c>
      <c r="Q263" s="202">
        <v>2036.7550000000001</v>
      </c>
      <c r="R263" s="199">
        <v>0.73358800098976062</v>
      </c>
      <c r="S263" s="202">
        <v>739.67399999999998</v>
      </c>
      <c r="T263" s="275"/>
      <c r="U263" s="275"/>
      <c r="V263" s="278">
        <v>17.795000000000002</v>
      </c>
      <c r="W263" s="278">
        <v>22.995999999999999</v>
      </c>
      <c r="X263" s="278">
        <v>17.215</v>
      </c>
      <c r="Y263" s="278"/>
      <c r="Z263" s="278">
        <v>6.7119999999999997</v>
      </c>
      <c r="AA263" s="278">
        <v>19.809999999999999</v>
      </c>
      <c r="AB263" s="278">
        <v>28.03</v>
      </c>
      <c r="AC263" s="278">
        <v>11.675000000000001</v>
      </c>
      <c r="AD263" s="279">
        <v>124.23399999999999</v>
      </c>
      <c r="AE263" s="278">
        <f t="shared" ref="AE263:AE326" si="68">SUM(V263:AC263)</f>
        <v>124.233</v>
      </c>
      <c r="AF263" s="278">
        <f t="shared" ref="AF263:AF326" si="69">AE263-AD263</f>
        <v>-9.9999999999056399E-4</v>
      </c>
      <c r="AG263" s="278">
        <f t="shared" si="67"/>
        <v>-9.9999999999056399E-4</v>
      </c>
      <c r="AH263" s="202">
        <f t="shared" si="64"/>
        <v>0.24900000000000233</v>
      </c>
      <c r="AI263" s="202">
        <f t="shared" si="65"/>
        <v>59.709999999999994</v>
      </c>
      <c r="AJ263" s="285">
        <v>25.08</v>
      </c>
      <c r="AK263" s="285">
        <v>27.786000000000001</v>
      </c>
      <c r="AL263" s="285">
        <v>22.134</v>
      </c>
      <c r="AM263" s="285">
        <v>11.275</v>
      </c>
      <c r="AN263" s="285">
        <v>23.738</v>
      </c>
      <c r="AO263" s="285">
        <v>33.706000000000003</v>
      </c>
      <c r="AP263" s="285">
        <v>13.153</v>
      </c>
      <c r="AQ263" s="285">
        <v>156.87199999999999</v>
      </c>
      <c r="AR263" s="285">
        <v>-9.9999999997635314E-4</v>
      </c>
      <c r="AS263" s="275"/>
      <c r="AT263" s="244">
        <v>0.70952950558213723</v>
      </c>
      <c r="AU263" s="244">
        <v>0.82761102713596768</v>
      </c>
      <c r="AV263" s="244">
        <v>0.77776271799042196</v>
      </c>
      <c r="AW263" s="244">
        <v>0.59529933481152986</v>
      </c>
      <c r="AX263" s="244">
        <v>0.83452691886426822</v>
      </c>
      <c r="AY263" s="244">
        <v>0.83160268201507148</v>
      </c>
      <c r="AZ263" s="244">
        <v>0.88763019843381741</v>
      </c>
      <c r="BA263" s="275"/>
      <c r="BB263" s="275"/>
      <c r="BC263" s="275"/>
      <c r="BE263" s="274">
        <f>G263/30</f>
        <v>4.1411333333333333</v>
      </c>
      <c r="BF263" s="280">
        <f t="shared" si="63"/>
        <v>117.917</v>
      </c>
      <c r="BG263" s="154" t="str">
        <f t="shared" si="58"/>
        <v>RECORD</v>
      </c>
      <c r="BH263" s="270">
        <f t="shared" si="56"/>
        <v>5.7999999999999829E-2</v>
      </c>
      <c r="BI263" s="270">
        <f t="shared" si="66"/>
        <v>0.11999999999999922</v>
      </c>
    </row>
    <row r="264" spans="1:61">
      <c r="A264" s="266">
        <v>37073</v>
      </c>
      <c r="B264" s="266"/>
      <c r="C264" s="277">
        <v>3.6774193548386659E-2</v>
      </c>
      <c r="D264" s="276">
        <v>1.1399999999999864</v>
      </c>
      <c r="E264" s="277">
        <v>5.2263548387096774</v>
      </c>
      <c r="F264" s="277">
        <f t="shared" si="60"/>
        <v>162.017</v>
      </c>
      <c r="G264" s="277">
        <v>132.49</v>
      </c>
      <c r="H264" s="281">
        <f t="shared" si="59"/>
        <v>0.81775369251374863</v>
      </c>
      <c r="I264" s="202">
        <v>3181.0419999999999</v>
      </c>
      <c r="J264" s="270">
        <v>48.02</v>
      </c>
      <c r="K264" s="270">
        <v>0.72055227119658127</v>
      </c>
      <c r="L264" s="202">
        <v>520.49900000000002</v>
      </c>
      <c r="M264" s="277">
        <v>4.8011341083999923</v>
      </c>
      <c r="N264" s="202">
        <v>1506.194</v>
      </c>
      <c r="O264" s="270">
        <v>11.37</v>
      </c>
      <c r="P264" s="270">
        <v>4.6598069295816558E-2</v>
      </c>
      <c r="Q264" s="202">
        <v>2333.6889999999999</v>
      </c>
      <c r="R264" s="199">
        <v>0.85047750070609229</v>
      </c>
      <c r="S264" s="202">
        <v>410.28600000000051</v>
      </c>
      <c r="T264" s="275"/>
      <c r="U264" s="275"/>
      <c r="V264" s="278">
        <v>16.829999999999998</v>
      </c>
      <c r="W264" s="278">
        <v>24.806000000000001</v>
      </c>
      <c r="X264" s="278">
        <v>18.526</v>
      </c>
      <c r="Y264" s="278"/>
      <c r="Z264" s="278">
        <v>8.8219999999999992</v>
      </c>
      <c r="AA264" s="278">
        <v>18.542000000000002</v>
      </c>
      <c r="AB264" s="278">
        <v>32.918999999999997</v>
      </c>
      <c r="AC264" s="278">
        <v>12.045</v>
      </c>
      <c r="AD264" s="279">
        <v>132.49</v>
      </c>
      <c r="AE264" s="278">
        <f t="shared" si="68"/>
        <v>132.48999999999998</v>
      </c>
      <c r="AF264" s="278">
        <f t="shared" si="69"/>
        <v>0</v>
      </c>
      <c r="AG264" s="278">
        <f t="shared" si="67"/>
        <v>0</v>
      </c>
      <c r="AH264" s="202">
        <f t="shared" si="64"/>
        <v>4.8889999999999958</v>
      </c>
      <c r="AI264" s="202">
        <f t="shared" si="65"/>
        <v>59.39</v>
      </c>
      <c r="AJ264" s="285">
        <v>26.009</v>
      </c>
      <c r="AK264" s="285">
        <v>28.742999999999999</v>
      </c>
      <c r="AL264" s="285">
        <v>22.898</v>
      </c>
      <c r="AM264" s="285">
        <v>11.632999999999999</v>
      </c>
      <c r="AN264" s="285">
        <v>24.312000000000001</v>
      </c>
      <c r="AO264" s="285">
        <v>34.83</v>
      </c>
      <c r="AP264" s="285">
        <v>13.592000000000001</v>
      </c>
      <c r="AQ264" s="285">
        <v>162.017</v>
      </c>
      <c r="AR264" s="285">
        <v>0</v>
      </c>
      <c r="AS264" s="275"/>
      <c r="AT264" s="244">
        <v>0.64708370179553221</v>
      </c>
      <c r="AU264" s="244">
        <v>0.86302751974393777</v>
      </c>
      <c r="AV264" s="244">
        <v>0.80906629399947594</v>
      </c>
      <c r="AW264" s="244">
        <v>0.7583598383907848</v>
      </c>
      <c r="AX264" s="244">
        <v>0.76266864100032905</v>
      </c>
      <c r="AY264" s="244">
        <v>0.94513350559862186</v>
      </c>
      <c r="AZ264" s="244">
        <v>0.88618304885226595</v>
      </c>
      <c r="BA264" s="275"/>
      <c r="BB264" s="275"/>
      <c r="BC264" s="275"/>
      <c r="BE264" s="274">
        <f t="shared" ref="BE264:BE327" si="70">G264/31</f>
        <v>4.273870967741936</v>
      </c>
      <c r="BF264" s="280">
        <f t="shared" si="63"/>
        <v>128.33699999999999</v>
      </c>
      <c r="BG264" s="154" t="str">
        <f t="shared" si="58"/>
        <v>RECORD</v>
      </c>
      <c r="BH264" s="270">
        <f t="shared" si="56"/>
        <v>2.0000000000003127E-3</v>
      </c>
      <c r="BI264" s="270">
        <f t="shared" si="66"/>
        <v>-8.0000000000000071E-2</v>
      </c>
    </row>
    <row r="265" spans="1:61">
      <c r="A265" s="266">
        <v>37104</v>
      </c>
      <c r="B265" s="266"/>
      <c r="C265" s="277">
        <v>0.14896774193548371</v>
      </c>
      <c r="D265" s="276">
        <v>4.617999999999995</v>
      </c>
      <c r="E265" s="277">
        <v>5.2263548387096774</v>
      </c>
      <c r="F265" s="277">
        <f t="shared" si="60"/>
        <v>162.017</v>
      </c>
      <c r="G265" s="277">
        <v>128.852</v>
      </c>
      <c r="H265" s="281">
        <f t="shared" si="59"/>
        <v>0.79529925871976404</v>
      </c>
      <c r="I265" s="202">
        <v>3092.9949999999999</v>
      </c>
      <c r="J265" s="270">
        <v>48.01</v>
      </c>
      <c r="K265" s="270">
        <v>-5.204914962163798E-3</v>
      </c>
      <c r="L265" s="202">
        <v>619.49800000000005</v>
      </c>
      <c r="M265" s="277">
        <v>-35.986365217000071</v>
      </c>
      <c r="N265" s="202">
        <v>1471.239</v>
      </c>
      <c r="O265" s="270">
        <v>11.42</v>
      </c>
      <c r="P265" s="270">
        <v>-0.135816288304488</v>
      </c>
      <c r="Q265" s="202">
        <v>2289.3110000000001</v>
      </c>
      <c r="R265" s="199">
        <v>0.85568924273005909</v>
      </c>
      <c r="S265" s="202">
        <v>386.08899999999994</v>
      </c>
      <c r="T265" s="275"/>
      <c r="U265" s="275"/>
      <c r="V265" s="278">
        <v>16.71</v>
      </c>
      <c r="W265" s="278">
        <v>24.286999999999999</v>
      </c>
      <c r="X265" s="278">
        <v>13.816000000000001</v>
      </c>
      <c r="Y265" s="278"/>
      <c r="Z265" s="278">
        <v>9.0350000000000001</v>
      </c>
      <c r="AA265" s="278">
        <v>19.835999999999999</v>
      </c>
      <c r="AB265" s="278">
        <v>32.661999999999999</v>
      </c>
      <c r="AC265" s="278">
        <v>12.506</v>
      </c>
      <c r="AD265" s="279">
        <v>128.852</v>
      </c>
      <c r="AE265" s="278">
        <f t="shared" si="68"/>
        <v>128.852</v>
      </c>
      <c r="AF265" s="278">
        <f t="shared" si="69"/>
        <v>0</v>
      </c>
      <c r="AG265" s="278">
        <f t="shared" si="67"/>
        <v>0</v>
      </c>
      <c r="AH265" s="202">
        <f t="shared" si="64"/>
        <v>-0.2569999999999979</v>
      </c>
      <c r="AI265" s="202">
        <f t="shared" si="65"/>
        <v>59.43</v>
      </c>
      <c r="AJ265" s="285">
        <v>26.009</v>
      </c>
      <c r="AK265" s="285">
        <v>28.742999999999999</v>
      </c>
      <c r="AL265" s="285">
        <v>22.898</v>
      </c>
      <c r="AM265" s="285">
        <v>11.632999999999999</v>
      </c>
      <c r="AN265" s="285">
        <v>24.312000000000001</v>
      </c>
      <c r="AO265" s="285">
        <v>34.83</v>
      </c>
      <c r="AP265" s="285">
        <v>13.592000000000001</v>
      </c>
      <c r="AQ265" s="285">
        <v>162.017</v>
      </c>
      <c r="AR265" s="285">
        <v>0</v>
      </c>
      <c r="AS265" s="275"/>
      <c r="AT265" s="244">
        <v>0.6424699142604483</v>
      </c>
      <c r="AU265" s="244">
        <v>0.84497094944856144</v>
      </c>
      <c r="AV265" s="244">
        <v>0.60337147349113462</v>
      </c>
      <c r="AW265" s="244">
        <v>0.77666981861944473</v>
      </c>
      <c r="AX265" s="244">
        <v>0.81589338598223093</v>
      </c>
      <c r="AY265" s="244">
        <v>0.93775480907263853</v>
      </c>
      <c r="AZ265" s="244">
        <v>0.92010005885815183</v>
      </c>
      <c r="BA265" s="275"/>
      <c r="BB265" s="275"/>
      <c r="BC265" s="275"/>
      <c r="BE265" s="274">
        <f t="shared" si="70"/>
        <v>4.1565161290322585</v>
      </c>
      <c r="BF265" s="280">
        <f>MAX(G253,G241,G229,G217,G205,G193,G181,G169,G157,G145,G133,G121,G109,G97,G85,G73,G61,G49,G37,G25,G13)</f>
        <v>125.712</v>
      </c>
      <c r="BG265" s="154" t="str">
        <f t="shared" si="58"/>
        <v>RECORD</v>
      </c>
      <c r="BH265" s="270">
        <f t="shared" si="56"/>
        <v>1.0000000000000142E-2</v>
      </c>
      <c r="BI265" s="270">
        <f t="shared" si="66"/>
        <v>5.0000000000000711E-2</v>
      </c>
    </row>
    <row r="266" spans="1:61">
      <c r="A266" s="266">
        <v>37135</v>
      </c>
      <c r="B266" s="266"/>
      <c r="C266" s="277">
        <v>0.12008888888888881</v>
      </c>
      <c r="D266" s="276">
        <v>3.6026666666666642</v>
      </c>
      <c r="E266" s="277">
        <v>5.2263333333333328</v>
      </c>
      <c r="F266" s="277">
        <f t="shared" si="60"/>
        <v>156.79</v>
      </c>
      <c r="G266" s="277">
        <v>124.624</v>
      </c>
      <c r="H266" s="281">
        <f t="shared" si="59"/>
        <v>0.794846610115441</v>
      </c>
      <c r="I266" s="202">
        <v>2983.8049999999998</v>
      </c>
      <c r="J266" s="270">
        <v>47.88</v>
      </c>
      <c r="K266" s="270">
        <v>0.11001767703026388</v>
      </c>
      <c r="L266" s="202">
        <v>408.37900000000002</v>
      </c>
      <c r="M266" s="277">
        <v>171.08814549290003</v>
      </c>
      <c r="N266" s="202">
        <v>1426.8530000000001</v>
      </c>
      <c r="O266" s="270">
        <v>11.45</v>
      </c>
      <c r="P266" s="270">
        <v>-0.1224030362899029</v>
      </c>
      <c r="Q266" s="202">
        <v>2289.953</v>
      </c>
      <c r="R266" s="199">
        <v>0.82759414528370079</v>
      </c>
      <c r="S266" s="202">
        <v>477.04700000000003</v>
      </c>
      <c r="T266" s="275"/>
      <c r="U266" s="275"/>
      <c r="V266" s="278">
        <v>20.029</v>
      </c>
      <c r="W266" s="278">
        <v>23.928999999999998</v>
      </c>
      <c r="X266" s="278">
        <v>14.156000000000001</v>
      </c>
      <c r="Y266" s="278"/>
      <c r="Z266" s="278">
        <v>8.4879999999999995</v>
      </c>
      <c r="AA266" s="278">
        <v>17.332000000000001</v>
      </c>
      <c r="AB266" s="278">
        <v>30.079000000000001</v>
      </c>
      <c r="AC266" s="278">
        <v>10.356</v>
      </c>
      <c r="AD266" s="279">
        <v>124.369</v>
      </c>
      <c r="AE266" s="278">
        <f t="shared" si="68"/>
        <v>124.369</v>
      </c>
      <c r="AF266" s="278">
        <f t="shared" si="69"/>
        <v>0</v>
      </c>
      <c r="AG266" s="278">
        <f t="shared" si="67"/>
        <v>-0.25499999999999545</v>
      </c>
      <c r="AH266" s="202">
        <f t="shared" si="64"/>
        <v>-2.5829999999999984</v>
      </c>
      <c r="AI266" s="202">
        <f t="shared" si="65"/>
        <v>59.33</v>
      </c>
      <c r="AJ266" s="285">
        <v>25.17</v>
      </c>
      <c r="AK266" s="285">
        <v>27.815999999999999</v>
      </c>
      <c r="AL266" s="285">
        <v>22.16</v>
      </c>
      <c r="AM266" s="285">
        <v>11.257999999999999</v>
      </c>
      <c r="AN266" s="285">
        <v>23.527999999999999</v>
      </c>
      <c r="AO266" s="285">
        <v>33.706000000000003</v>
      </c>
      <c r="AP266" s="285">
        <v>13.153</v>
      </c>
      <c r="AQ266" s="285">
        <v>156.79099999999997</v>
      </c>
      <c r="AR266" s="285">
        <v>-9.9999999997635314E-4</v>
      </c>
      <c r="AS266" s="275"/>
      <c r="AT266" s="244">
        <v>0.79574890742947946</v>
      </c>
      <c r="AU266" s="244">
        <v>0.8602602818521714</v>
      </c>
      <c r="AV266" s="244">
        <v>0.63880866425992777</v>
      </c>
      <c r="AW266" s="244">
        <v>0.75395274471486939</v>
      </c>
      <c r="AX266" s="244">
        <v>0.73665419925195519</v>
      </c>
      <c r="AY266" s="244">
        <v>0.8923930457485314</v>
      </c>
      <c r="AZ266" s="244">
        <v>0.78734889378848927</v>
      </c>
      <c r="BA266" s="275"/>
      <c r="BB266" s="275"/>
      <c r="BC266" s="275"/>
      <c r="BE266" s="274">
        <f>G266/30</f>
        <v>4.1541333333333332</v>
      </c>
      <c r="BF266" s="280">
        <f t="shared" ref="BF266:BF267" si="71">MAX(G254,G242,G230,G218,G206,G194,G182,G170,G158,G146,G134,G122,G110,G98,G86,G74,G62,G50,G38,G26,G14,G2)</f>
        <v>132.16399999999999</v>
      </c>
      <c r="BG266" s="154" t="str">
        <f t="shared" si="58"/>
        <v/>
      </c>
      <c r="BH266" s="270">
        <f t="shared" si="56"/>
        <v>9.9999999999994312E-3</v>
      </c>
      <c r="BI266" s="270">
        <f t="shared" si="66"/>
        <v>2.9999999999999361E-2</v>
      </c>
    </row>
    <row r="267" spans="1:61">
      <c r="A267" s="266">
        <v>37165</v>
      </c>
      <c r="B267" s="266"/>
      <c r="C267" s="277">
        <v>0.11930107526881689</v>
      </c>
      <c r="D267" s="276">
        <v>3.6983333333333235</v>
      </c>
      <c r="E267" s="277">
        <v>5.2680645161290327</v>
      </c>
      <c r="F267" s="277">
        <f t="shared" si="60"/>
        <v>163.31</v>
      </c>
      <c r="G267" s="277">
        <v>146.535</v>
      </c>
      <c r="H267" s="281">
        <f t="shared" si="59"/>
        <v>0.89728124425938394</v>
      </c>
      <c r="I267" s="202">
        <v>3472.1869999999999</v>
      </c>
      <c r="J267" s="270">
        <v>47.39</v>
      </c>
      <c r="K267" s="270">
        <v>-0.3378588861770524</v>
      </c>
      <c r="L267" s="202">
        <v>666.37900000000002</v>
      </c>
      <c r="M267" s="277">
        <v>80.046594637099929</v>
      </c>
      <c r="N267" s="202">
        <v>1653.13</v>
      </c>
      <c r="O267" s="270">
        <v>11.28</v>
      </c>
      <c r="P267" s="270">
        <v>-9.672953183935995E-2</v>
      </c>
      <c r="Q267" s="202">
        <v>2179.9690000000001</v>
      </c>
      <c r="R267" s="199">
        <v>0.83631379860663546</v>
      </c>
      <c r="S267" s="202">
        <v>426.67099999999982</v>
      </c>
      <c r="T267" s="275"/>
      <c r="U267" s="275"/>
      <c r="V267" s="278">
        <v>22.733000000000001</v>
      </c>
      <c r="W267" s="278">
        <v>28.12</v>
      </c>
      <c r="X267" s="278">
        <v>19.550999999999998</v>
      </c>
      <c r="Y267" s="278"/>
      <c r="Z267" s="278">
        <v>8.7249999999999996</v>
      </c>
      <c r="AA267" s="278">
        <v>21.76</v>
      </c>
      <c r="AB267" s="278">
        <v>32.924999999999997</v>
      </c>
      <c r="AC267" s="278">
        <v>12.722</v>
      </c>
      <c r="AD267" s="279">
        <v>146.535</v>
      </c>
      <c r="AE267" s="278">
        <f t="shared" si="68"/>
        <v>146.536</v>
      </c>
      <c r="AF267" s="278">
        <f t="shared" si="69"/>
        <v>1.0000000000047748E-3</v>
      </c>
      <c r="AG267" s="278">
        <f t="shared" si="67"/>
        <v>1.0000000000047748E-3</v>
      </c>
      <c r="AH267" s="202">
        <f t="shared" si="64"/>
        <v>2.8459999999999965</v>
      </c>
      <c r="AI267" s="202">
        <f t="shared" si="65"/>
        <v>58.67</v>
      </c>
      <c r="AJ267" s="285">
        <v>26.04</v>
      </c>
      <c r="AK267" s="285">
        <v>28.774000000000001</v>
      </c>
      <c r="AL267" s="285">
        <v>23.65</v>
      </c>
      <c r="AM267" s="285">
        <v>11.478999999999999</v>
      </c>
      <c r="AN267" s="285">
        <v>24.396000000000001</v>
      </c>
      <c r="AO267" s="285">
        <v>35.113</v>
      </c>
      <c r="AP267" s="285">
        <v>13.856999999999999</v>
      </c>
      <c r="AQ267" s="285">
        <v>163.309</v>
      </c>
      <c r="AR267" s="285">
        <v>1.0000000000047748E-3</v>
      </c>
      <c r="AS267" s="275"/>
      <c r="AT267" s="244">
        <v>0.87300307219662066</v>
      </c>
      <c r="AU267" s="244">
        <v>0.97727114756377287</v>
      </c>
      <c r="AV267" s="244">
        <v>0.82668076109936572</v>
      </c>
      <c r="AW267" s="244">
        <v>0.76008363097830822</v>
      </c>
      <c r="AX267" s="244">
        <v>0.89194949991801942</v>
      </c>
      <c r="AY267" s="244">
        <v>0.93768689659100612</v>
      </c>
      <c r="AZ267" s="244">
        <v>0.91809193909215558</v>
      </c>
      <c r="BA267" s="275"/>
      <c r="BB267" s="275"/>
      <c r="BC267" s="275"/>
      <c r="BE267" s="274">
        <f t="shared" si="70"/>
        <v>4.7269354838709674</v>
      </c>
      <c r="BF267" s="280">
        <f t="shared" si="71"/>
        <v>148.86799999999999</v>
      </c>
      <c r="BG267" s="154" t="str">
        <f t="shared" si="58"/>
        <v/>
      </c>
      <c r="BH267" s="270">
        <f t="shared" si="56"/>
        <v>-0.16199999999999976</v>
      </c>
      <c r="BI267" s="270">
        <f t="shared" si="66"/>
        <v>-0.16999999999999993</v>
      </c>
    </row>
    <row r="268" spans="1:61">
      <c r="A268" s="266">
        <v>37196</v>
      </c>
      <c r="B268" s="266"/>
      <c r="C268" s="277">
        <v>0.14686666666666592</v>
      </c>
      <c r="D268" s="276">
        <v>4.4059999999999775</v>
      </c>
      <c r="E268" s="277">
        <v>5.2680666666666669</v>
      </c>
      <c r="F268" s="277">
        <f t="shared" si="60"/>
        <v>158.042</v>
      </c>
      <c r="G268" s="277">
        <v>144.67400000000001</v>
      </c>
      <c r="H268" s="281">
        <f t="shared" si="59"/>
        <v>0.91541488971286122</v>
      </c>
      <c r="I268" s="202">
        <v>3440.0430000000001</v>
      </c>
      <c r="J268" s="270">
        <v>47.56</v>
      </c>
      <c r="K268" s="270">
        <v>-8.6160450764687369E-2</v>
      </c>
      <c r="L268" s="202">
        <v>633.59799999999996</v>
      </c>
      <c r="M268" s="277">
        <v>82.358175361700091</v>
      </c>
      <c r="N268" s="202">
        <v>1598.704</v>
      </c>
      <c r="O268" s="270">
        <v>11.05</v>
      </c>
      <c r="P268" s="270">
        <v>-0.12298094982559782</v>
      </c>
      <c r="Q268" s="202">
        <v>2234.6889999999999</v>
      </c>
      <c r="R268" s="199">
        <v>0.83242870941438407</v>
      </c>
      <c r="S268" s="202">
        <v>449.85199999999986</v>
      </c>
      <c r="T268" s="275"/>
      <c r="U268" s="275"/>
      <c r="V268" s="278">
        <v>21.895</v>
      </c>
      <c r="W268" s="278">
        <v>27.712</v>
      </c>
      <c r="X268" s="278">
        <v>19.411000000000001</v>
      </c>
      <c r="Y268" s="278"/>
      <c r="Z268" s="278">
        <v>8.5370000000000008</v>
      </c>
      <c r="AA268" s="278">
        <v>22.503</v>
      </c>
      <c r="AB268" s="278">
        <v>32.223999999999997</v>
      </c>
      <c r="AC268" s="278">
        <v>12.391999999999999</v>
      </c>
      <c r="AD268" s="279">
        <v>144.67400000000001</v>
      </c>
      <c r="AE268" s="278">
        <f t="shared" si="68"/>
        <v>144.67400000000001</v>
      </c>
      <c r="AF268" s="278">
        <f t="shared" si="69"/>
        <v>0</v>
      </c>
      <c r="AG268" s="278">
        <f t="shared" si="67"/>
        <v>0</v>
      </c>
      <c r="AH268" s="202">
        <f t="shared" si="64"/>
        <v>-0.70100000000000051</v>
      </c>
      <c r="AI268" s="202">
        <f t="shared" si="65"/>
        <v>58.61</v>
      </c>
      <c r="AJ268" s="285">
        <v>25.2</v>
      </c>
      <c r="AK268" s="285">
        <v>27.846</v>
      </c>
      <c r="AL268" s="285">
        <v>22.887</v>
      </c>
      <c r="AM268" s="285">
        <v>11.109</v>
      </c>
      <c r="AN268" s="285">
        <v>23.609000000000002</v>
      </c>
      <c r="AO268" s="285">
        <v>33.979999999999997</v>
      </c>
      <c r="AP268" s="285">
        <v>13.41</v>
      </c>
      <c r="AQ268" s="285">
        <v>158.04099999999997</v>
      </c>
      <c r="AR268" s="285">
        <v>1.0000000000331966E-3</v>
      </c>
      <c r="AS268" s="275"/>
      <c r="AT268" s="244">
        <v>0.86884920634920637</v>
      </c>
      <c r="AU268" s="244">
        <v>0.9951878187172305</v>
      </c>
      <c r="AV268" s="244">
        <v>0.84812338882334959</v>
      </c>
      <c r="AW268" s="244">
        <v>0.7684760104419841</v>
      </c>
      <c r="AX268" s="244">
        <v>0.95315345842687105</v>
      </c>
      <c r="AY268" s="244">
        <v>0.9483225426721601</v>
      </c>
      <c r="AZ268" s="244">
        <v>0.92408650260999248</v>
      </c>
      <c r="BA268" s="275"/>
      <c r="BB268" s="275"/>
      <c r="BC268" s="275"/>
      <c r="BE268" s="274">
        <f>G268/30</f>
        <v>4.8224666666666671</v>
      </c>
      <c r="BF268" s="280">
        <f t="shared" ref="BF268:BF275" si="72">MAX(G256,G244,G232,G220,G208,G196,G184,G172,G160,G148,G136,G124,G112,G100,G88,G76,G64,G52,G40,G28,G16,G4)</f>
        <v>140.917</v>
      </c>
      <c r="BG268" s="154" t="str">
        <f t="shared" si="58"/>
        <v>RECORD</v>
      </c>
      <c r="BH268" s="270">
        <f t="shared" si="56"/>
        <v>-0.12200000000000025</v>
      </c>
      <c r="BI268" s="270">
        <f t="shared" si="66"/>
        <v>-0.22999999999999865</v>
      </c>
    </row>
    <row r="269" spans="1:61">
      <c r="A269" s="266">
        <v>37226</v>
      </c>
      <c r="B269" s="266"/>
      <c r="C269" s="277">
        <v>0.15072043010752714</v>
      </c>
      <c r="D269" s="276">
        <v>4.6723333333333414</v>
      </c>
      <c r="E269" s="277">
        <v>5.2680645161290327</v>
      </c>
      <c r="F269" s="277">
        <f t="shared" si="60"/>
        <v>163.31</v>
      </c>
      <c r="G269" s="277">
        <v>148.77099999999999</v>
      </c>
      <c r="H269" s="281">
        <f t="shared" si="59"/>
        <v>0.91097299614230598</v>
      </c>
      <c r="I269" s="202">
        <v>3539.9409999999998</v>
      </c>
      <c r="J269" s="270">
        <v>47.59</v>
      </c>
      <c r="K269" s="270">
        <v>5.3646948927941196E-2</v>
      </c>
      <c r="L269" s="202">
        <v>728.173</v>
      </c>
      <c r="M269" s="277">
        <v>-98.451716479300103</v>
      </c>
      <c r="N269" s="202">
        <v>1659.4549999999999</v>
      </c>
      <c r="O269" s="270">
        <v>11.15</v>
      </c>
      <c r="P269" s="270">
        <v>-9.4452892490171081E-2</v>
      </c>
      <c r="Q269" s="202">
        <v>2322.3850000000002</v>
      </c>
      <c r="R269" s="199">
        <v>0.8526312272696901</v>
      </c>
      <c r="S269" s="202">
        <v>401.40099999999984</v>
      </c>
      <c r="T269" s="275"/>
      <c r="U269" s="275"/>
      <c r="V269" s="278">
        <v>22.274000000000001</v>
      </c>
      <c r="W269" s="278">
        <v>27.841999999999999</v>
      </c>
      <c r="X269" s="278">
        <v>21.198</v>
      </c>
      <c r="Y269" s="278"/>
      <c r="Z269" s="278">
        <v>9.0449999999999999</v>
      </c>
      <c r="AA269" s="278">
        <v>22.867000000000001</v>
      </c>
      <c r="AB269" s="278">
        <v>33.226999999999997</v>
      </c>
      <c r="AC269" s="278">
        <v>12.319000000000001</v>
      </c>
      <c r="AD269" s="279">
        <v>148.77099999999999</v>
      </c>
      <c r="AE269" s="278">
        <f t="shared" si="68"/>
        <v>148.77199999999999</v>
      </c>
      <c r="AF269" s="278">
        <f t="shared" si="69"/>
        <v>1.0000000000047748E-3</v>
      </c>
      <c r="AG269" s="278">
        <f t="shared" si="67"/>
        <v>1.0000000000047748E-3</v>
      </c>
      <c r="AH269" s="202">
        <f t="shared" si="64"/>
        <v>1.0030000000000001</v>
      </c>
      <c r="AI269" s="202">
        <f t="shared" si="65"/>
        <v>58.74</v>
      </c>
      <c r="AJ269" s="285">
        <v>26.04</v>
      </c>
      <c r="AK269" s="285">
        <v>28.774000000000001</v>
      </c>
      <c r="AL269" s="285">
        <v>23.65</v>
      </c>
      <c r="AM269" s="285">
        <v>11.478999999999999</v>
      </c>
      <c r="AN269" s="285">
        <v>24.396000000000001</v>
      </c>
      <c r="AO269" s="285">
        <v>35.113</v>
      </c>
      <c r="AP269" s="285">
        <v>13.856999999999999</v>
      </c>
      <c r="AQ269" s="285">
        <v>163.309</v>
      </c>
      <c r="AR269" s="285">
        <v>1.0000000000047748E-3</v>
      </c>
      <c r="AS269" s="275"/>
      <c r="AT269" s="244">
        <v>0.85537634408602159</v>
      </c>
      <c r="AU269" s="244">
        <v>0.96760964759852641</v>
      </c>
      <c r="AV269" s="244">
        <v>0.89632135306553917</v>
      </c>
      <c r="AW269" s="244">
        <v>0.78796062374771325</v>
      </c>
      <c r="AX269" s="244">
        <v>0.93732579111329728</v>
      </c>
      <c r="AY269" s="244">
        <v>0.94628769971235716</v>
      </c>
      <c r="AZ269" s="244">
        <v>0.8890091650429387</v>
      </c>
      <c r="BA269" s="275"/>
      <c r="BB269" s="275"/>
      <c r="BC269" s="275"/>
      <c r="BE269" s="274">
        <f t="shared" si="70"/>
        <v>4.7990645161290315</v>
      </c>
      <c r="BF269" s="280">
        <f t="shared" si="72"/>
        <v>148.15600000000001</v>
      </c>
      <c r="BG269" s="154" t="str">
        <f t="shared" si="58"/>
        <v>RECORD</v>
      </c>
      <c r="BH269" s="270">
        <f t="shared" si="56"/>
        <v>2.2000000000000242E-2</v>
      </c>
      <c r="BI269" s="270">
        <f t="shared" si="66"/>
        <v>9.9999999999999645E-2</v>
      </c>
    </row>
    <row r="270" spans="1:61">
      <c r="A270" s="266">
        <v>37257</v>
      </c>
      <c r="B270" s="266"/>
      <c r="C270" s="277">
        <v>0.13172043010752718</v>
      </c>
      <c r="D270" s="276">
        <v>4.0833333333333428</v>
      </c>
      <c r="E270" s="277">
        <v>5.2943225806451615</v>
      </c>
      <c r="F270" s="277">
        <f t="shared" si="60"/>
        <v>164.124</v>
      </c>
      <c r="G270" s="277">
        <v>151.04</v>
      </c>
      <c r="H270" s="281">
        <f t="shared" si="59"/>
        <v>0.92027978845263336</v>
      </c>
      <c r="I270" s="202">
        <v>3604.87</v>
      </c>
      <c r="J270" s="270">
        <v>47.73</v>
      </c>
      <c r="K270" s="270">
        <v>1.5234974321508332E-2</v>
      </c>
      <c r="L270" s="202">
        <v>721.41099999999994</v>
      </c>
      <c r="M270" s="277">
        <v>128.13633984260014</v>
      </c>
      <c r="N270" s="202">
        <v>1680.681</v>
      </c>
      <c r="O270" s="270">
        <v>11.13</v>
      </c>
      <c r="P270" s="270">
        <v>-0.12778670735113984</v>
      </c>
      <c r="Q270" s="202">
        <v>2457.37</v>
      </c>
      <c r="R270" s="199">
        <v>0.8405000513048535</v>
      </c>
      <c r="S270" s="202">
        <v>466.32999999999993</v>
      </c>
      <c r="T270" s="275"/>
      <c r="U270" s="275"/>
      <c r="V270" s="278">
        <v>22.558</v>
      </c>
      <c r="W270" s="278">
        <v>27.905000000000001</v>
      </c>
      <c r="X270" s="278">
        <v>22.439</v>
      </c>
      <c r="Y270" s="278"/>
      <c r="Z270" s="278">
        <v>8.9960000000000004</v>
      </c>
      <c r="AA270" s="278">
        <v>22.922999999999998</v>
      </c>
      <c r="AB270" s="278">
        <v>33.518000000000001</v>
      </c>
      <c r="AC270" s="278">
        <v>12.7</v>
      </c>
      <c r="AD270" s="279">
        <v>151.04</v>
      </c>
      <c r="AE270" s="278">
        <f t="shared" si="68"/>
        <v>151.03899999999999</v>
      </c>
      <c r="AF270" s="278">
        <f t="shared" si="69"/>
        <v>-1.0000000000047748E-3</v>
      </c>
      <c r="AG270" s="278">
        <f t="shared" si="67"/>
        <v>-1.0000000000047748E-3</v>
      </c>
      <c r="AH270" s="202">
        <f t="shared" si="64"/>
        <v>0.29100000000000392</v>
      </c>
      <c r="AI270" s="202">
        <f t="shared" si="65"/>
        <v>58.86</v>
      </c>
      <c r="AJ270" s="285">
        <v>25.931000000000001</v>
      </c>
      <c r="AK270" s="285">
        <v>29.184999999999999</v>
      </c>
      <c r="AL270" s="285">
        <v>23.68</v>
      </c>
      <c r="AM270" s="285">
        <v>11.742000000000001</v>
      </c>
      <c r="AN270" s="285">
        <v>24.613</v>
      </c>
      <c r="AO270" s="285">
        <v>35.113</v>
      </c>
      <c r="AP270" s="285">
        <v>13.68</v>
      </c>
      <c r="AQ270" s="285">
        <v>163.94400000000002</v>
      </c>
      <c r="AR270" s="285">
        <v>0.1799999999999784</v>
      </c>
      <c r="AS270" s="275"/>
      <c r="AT270" s="244">
        <v>0.86992402915429401</v>
      </c>
      <c r="AU270" s="244">
        <v>0.95614185369196514</v>
      </c>
      <c r="AV270" s="244">
        <v>0.94759290540540542</v>
      </c>
      <c r="AW270" s="244">
        <v>0.7661386475898484</v>
      </c>
      <c r="AX270" s="244">
        <v>0.93133709828139599</v>
      </c>
      <c r="AY270" s="244">
        <v>0.95457522854783128</v>
      </c>
      <c r="AZ270" s="244">
        <v>0.92836257309941517</v>
      </c>
      <c r="BA270" s="275"/>
      <c r="BB270" s="275"/>
      <c r="BC270" s="275"/>
      <c r="BE270" s="274">
        <f t="shared" si="70"/>
        <v>4.8722580645161289</v>
      </c>
      <c r="BF270" s="280">
        <f t="shared" si="72"/>
        <v>148.57</v>
      </c>
      <c r="BG270" s="154" t="str">
        <f t="shared" si="58"/>
        <v>RECORD</v>
      </c>
      <c r="BH270" s="270">
        <f t="shared" si="56"/>
        <v>9.9999999999997868E-3</v>
      </c>
      <c r="BI270" s="270">
        <f t="shared" si="66"/>
        <v>-1.9999999999999574E-2</v>
      </c>
    </row>
    <row r="271" spans="1:61">
      <c r="A271" s="266">
        <v>37288</v>
      </c>
      <c r="B271" s="266"/>
      <c r="C271" s="277">
        <v>0.14507142857142899</v>
      </c>
      <c r="D271" s="276">
        <v>4.0620000000000118</v>
      </c>
      <c r="E271" s="277">
        <v>5.2943214285714291</v>
      </c>
      <c r="F271" s="277">
        <f t="shared" si="60"/>
        <v>148.24100000000001</v>
      </c>
      <c r="G271" s="277">
        <v>134.96799999999999</v>
      </c>
      <c r="H271" s="281">
        <f t="shared" si="59"/>
        <v>0.91046336708467956</v>
      </c>
      <c r="I271" s="202">
        <v>3211.5749999999998</v>
      </c>
      <c r="J271" s="270">
        <v>47.59</v>
      </c>
      <c r="K271" s="270">
        <v>7.1655757750129112E-2</v>
      </c>
      <c r="L271" s="202">
        <v>727.60900000000004</v>
      </c>
      <c r="M271" s="277">
        <v>285.43542221569999</v>
      </c>
      <c r="N271" s="202">
        <v>1509.7370000000001</v>
      </c>
      <c r="O271" s="270">
        <v>11.19</v>
      </c>
      <c r="P271" s="270">
        <v>-8.6641012731064393E-2</v>
      </c>
      <c r="Q271" s="202">
        <v>2306.8609999999999</v>
      </c>
      <c r="R271" s="199">
        <v>0.82337431773955672</v>
      </c>
      <c r="S271" s="202">
        <v>494.85500000000002</v>
      </c>
      <c r="T271" s="275"/>
      <c r="U271" s="275"/>
      <c r="V271" s="278">
        <v>19.794</v>
      </c>
      <c r="W271" s="278">
        <v>25.257000000000001</v>
      </c>
      <c r="X271" s="278">
        <v>20.192</v>
      </c>
      <c r="Y271" s="278"/>
      <c r="Z271" s="278">
        <v>8.0259999999999998</v>
      </c>
      <c r="AA271" s="278">
        <v>20.465</v>
      </c>
      <c r="AB271" s="278">
        <v>30.18</v>
      </c>
      <c r="AC271" s="278">
        <v>11.053000000000001</v>
      </c>
      <c r="AD271" s="279">
        <v>134.96799999999999</v>
      </c>
      <c r="AE271" s="278">
        <f t="shared" si="68"/>
        <v>134.96699999999998</v>
      </c>
      <c r="AF271" s="278">
        <f t="shared" si="69"/>
        <v>-1.0000000000047748E-3</v>
      </c>
      <c r="AG271" s="278">
        <f t="shared" si="67"/>
        <v>-1.0000000000047748E-3</v>
      </c>
      <c r="AH271" s="202">
        <f t="shared" si="64"/>
        <v>-3.338000000000001</v>
      </c>
      <c r="AI271" s="202">
        <f t="shared" si="65"/>
        <v>58.78</v>
      </c>
      <c r="AJ271" s="285">
        <v>23.420999999999999</v>
      </c>
      <c r="AK271" s="285">
        <v>26.361000000000001</v>
      </c>
      <c r="AL271" s="285">
        <v>21.388999999999999</v>
      </c>
      <c r="AM271" s="285">
        <v>10.605</v>
      </c>
      <c r="AN271" s="285">
        <v>22.231000000000002</v>
      </c>
      <c r="AO271" s="285">
        <v>31.715</v>
      </c>
      <c r="AP271" s="285">
        <v>12.519</v>
      </c>
      <c r="AQ271" s="285">
        <v>148.24100000000001</v>
      </c>
      <c r="AR271" s="285">
        <v>0</v>
      </c>
      <c r="AS271" s="275"/>
      <c r="AT271" s="244">
        <v>0.84513897784039971</v>
      </c>
      <c r="AU271" s="244">
        <v>0.95811994992602711</v>
      </c>
      <c r="AV271" s="244">
        <v>0.94403665435504236</v>
      </c>
      <c r="AW271" s="244">
        <v>0.75681282413955675</v>
      </c>
      <c r="AX271" s="244">
        <v>0.92056137825558892</v>
      </c>
      <c r="AY271" s="244">
        <v>0.95160018918492828</v>
      </c>
      <c r="AZ271" s="244">
        <v>0.88289799504752786</v>
      </c>
      <c r="BA271" s="275"/>
      <c r="BB271" s="275"/>
      <c r="BC271" s="275"/>
      <c r="BE271" s="274">
        <f>G271/28</f>
        <v>4.8202857142857143</v>
      </c>
      <c r="BF271" s="280">
        <f t="shared" si="72"/>
        <v>135.53299999999999</v>
      </c>
      <c r="BG271" s="154" t="str">
        <f t="shared" si="58"/>
        <v/>
      </c>
      <c r="BH271" s="270">
        <f t="shared" ref="BH271:BH334" si="73">AVERAGE(O259-O258,O247-O246,O235-O234,O223-O222,O211-O210)</f>
        <v>3.4000000000000342E-2</v>
      </c>
      <c r="BI271" s="270">
        <f t="shared" si="66"/>
        <v>5.9999999999998721E-2</v>
      </c>
    </row>
    <row r="272" spans="1:61">
      <c r="A272" s="266">
        <v>37316</v>
      </c>
      <c r="B272" s="266"/>
      <c r="C272" s="277">
        <v>0.14255913978494694</v>
      </c>
      <c r="D272" s="276">
        <v>4.4193333333333555</v>
      </c>
      <c r="E272" s="277">
        <v>5.2943225806451615</v>
      </c>
      <c r="F272" s="277">
        <f t="shared" si="60"/>
        <v>164.124</v>
      </c>
      <c r="G272" s="277">
        <v>145.374</v>
      </c>
      <c r="H272" s="281">
        <f t="shared" si="59"/>
        <v>0.88575711047744388</v>
      </c>
      <c r="I272" s="202">
        <v>3480.806</v>
      </c>
      <c r="J272" s="270">
        <v>47.89</v>
      </c>
      <c r="K272" s="270">
        <v>3.8701766878801891E-2</v>
      </c>
      <c r="L272" s="202">
        <v>618.98400000000004</v>
      </c>
      <c r="M272" s="277">
        <v>295.93291745790009</v>
      </c>
      <c r="N272" s="202">
        <v>1636.921</v>
      </c>
      <c r="O272" s="270">
        <v>11.26</v>
      </c>
      <c r="P272" s="270">
        <v>-0.16538074680671144</v>
      </c>
      <c r="Q272" s="202">
        <v>2404.9119999999998</v>
      </c>
      <c r="R272" s="199">
        <v>0.82447529911892758</v>
      </c>
      <c r="S272" s="202">
        <v>511.98800000000028</v>
      </c>
      <c r="T272" s="275"/>
      <c r="U272" s="275"/>
      <c r="V272" s="278">
        <v>21.285</v>
      </c>
      <c r="W272" s="278">
        <v>27.024999999999999</v>
      </c>
      <c r="X272" s="278">
        <v>21.259</v>
      </c>
      <c r="Y272" s="278"/>
      <c r="Z272" s="278">
        <v>8.14</v>
      </c>
      <c r="AA272" s="278">
        <v>21.931999999999999</v>
      </c>
      <c r="AB272" s="278">
        <v>33.468000000000004</v>
      </c>
      <c r="AC272" s="278">
        <v>12.263999999999999</v>
      </c>
      <c r="AD272" s="279">
        <v>145.374</v>
      </c>
      <c r="AE272" s="278">
        <f t="shared" si="68"/>
        <v>145.37300000000002</v>
      </c>
      <c r="AF272" s="278">
        <f t="shared" si="69"/>
        <v>-9.9999999997635314E-4</v>
      </c>
      <c r="AG272" s="278">
        <f t="shared" si="67"/>
        <v>-9.9999999997635314E-4</v>
      </c>
      <c r="AH272" s="202">
        <f t="shared" si="64"/>
        <v>3.2880000000000038</v>
      </c>
      <c r="AI272" s="202">
        <f t="shared" si="65"/>
        <v>59.15</v>
      </c>
      <c r="AJ272" s="285">
        <v>25.931000000000001</v>
      </c>
      <c r="AK272" s="285">
        <v>29.184999999999999</v>
      </c>
      <c r="AL272" s="285">
        <v>23.68</v>
      </c>
      <c r="AM272" s="285">
        <v>11.742000000000001</v>
      </c>
      <c r="AN272" s="285">
        <v>24.613</v>
      </c>
      <c r="AO272" s="285">
        <v>35.113</v>
      </c>
      <c r="AP272" s="285">
        <v>13.86</v>
      </c>
      <c r="AQ272" s="285">
        <v>164.12400000000002</v>
      </c>
      <c r="AR272" s="285">
        <v>0</v>
      </c>
      <c r="AS272" s="275"/>
      <c r="AT272" s="244">
        <v>0.82083220855346883</v>
      </c>
      <c r="AU272" s="244">
        <v>0.925989378105191</v>
      </c>
      <c r="AV272" s="244">
        <v>0.89776182432432439</v>
      </c>
      <c r="AW272" s="244">
        <v>0.69323794924203708</v>
      </c>
      <c r="AX272" s="244">
        <v>0.89107382277658143</v>
      </c>
      <c r="AY272" s="244">
        <v>0.9531512545211176</v>
      </c>
      <c r="AZ272" s="244">
        <v>0.88484848484848488</v>
      </c>
      <c r="BA272" s="275"/>
      <c r="BB272" s="275"/>
      <c r="BC272" s="275"/>
      <c r="BE272" s="274">
        <f t="shared" si="70"/>
        <v>4.6894838709677416</v>
      </c>
      <c r="BF272" s="280">
        <f t="shared" si="72"/>
        <v>143.91499999999999</v>
      </c>
      <c r="BG272" s="154" t="str">
        <f t="shared" si="58"/>
        <v>RECORD</v>
      </c>
      <c r="BH272" s="270">
        <f t="shared" si="73"/>
        <v>0.10399999999999991</v>
      </c>
      <c r="BI272" s="270">
        <f t="shared" si="66"/>
        <v>7.0000000000000284E-2</v>
      </c>
    </row>
    <row r="273" spans="1:61">
      <c r="A273" s="266">
        <v>37347</v>
      </c>
      <c r="B273" s="266"/>
      <c r="C273" s="277">
        <v>0.12684444444444504</v>
      </c>
      <c r="D273" s="276">
        <v>3.8053333333333512</v>
      </c>
      <c r="E273" s="277">
        <v>5.3068</v>
      </c>
      <c r="F273" s="277">
        <f t="shared" si="60"/>
        <v>159.20400000000001</v>
      </c>
      <c r="G273" s="277">
        <v>135.398</v>
      </c>
      <c r="H273" s="281">
        <f t="shared" si="59"/>
        <v>0.85046858119142732</v>
      </c>
      <c r="I273" s="202">
        <v>3223.0549999999998</v>
      </c>
      <c r="J273" s="270">
        <v>47.61</v>
      </c>
      <c r="K273" s="270">
        <v>2.8227053949855474E-2</v>
      </c>
      <c r="L273" s="202">
        <v>460.74900000000002</v>
      </c>
      <c r="M273" s="277">
        <v>60.732618573299987</v>
      </c>
      <c r="N273" s="202">
        <v>1527.365</v>
      </c>
      <c r="O273" s="270">
        <v>11.28</v>
      </c>
      <c r="P273" s="270">
        <v>-0.14089892483417721</v>
      </c>
      <c r="Q273" s="202">
        <v>2284.8780000000002</v>
      </c>
      <c r="R273" s="199">
        <v>0.81792163784934901</v>
      </c>
      <c r="S273" s="202">
        <v>508.63900000000012</v>
      </c>
      <c r="T273" s="275"/>
      <c r="U273" s="275"/>
      <c r="V273" s="278">
        <v>19.608000000000001</v>
      </c>
      <c r="W273" s="278">
        <v>24.196000000000002</v>
      </c>
      <c r="X273" s="278">
        <v>21.425999999999998</v>
      </c>
      <c r="Y273" s="278"/>
      <c r="Z273" s="278">
        <v>6.9809999999999999</v>
      </c>
      <c r="AA273" s="278">
        <v>20.04</v>
      </c>
      <c r="AB273" s="278">
        <v>31.379000000000001</v>
      </c>
      <c r="AC273" s="278">
        <v>11.766999999999999</v>
      </c>
      <c r="AD273" s="279">
        <v>135.398</v>
      </c>
      <c r="AE273" s="278">
        <f t="shared" si="68"/>
        <v>135.39700000000002</v>
      </c>
      <c r="AF273" s="278">
        <f t="shared" si="69"/>
        <v>-9.9999999997635314E-4</v>
      </c>
      <c r="AG273" s="278">
        <f t="shared" si="67"/>
        <v>-9.9999999997635314E-4</v>
      </c>
      <c r="AH273" s="202">
        <f t="shared" si="64"/>
        <v>-2.0890000000000022</v>
      </c>
      <c r="AI273" s="202">
        <f t="shared" si="65"/>
        <v>58.89</v>
      </c>
      <c r="AJ273" s="285">
        <v>25.094000000000001</v>
      </c>
      <c r="AK273" s="285">
        <v>28.292000000000002</v>
      </c>
      <c r="AL273" s="285">
        <v>22.93</v>
      </c>
      <c r="AM273" s="285">
        <v>11.396000000000001</v>
      </c>
      <c r="AN273" s="285">
        <v>23.760999999999999</v>
      </c>
      <c r="AO273" s="285">
        <v>34.130000000000003</v>
      </c>
      <c r="AP273" s="285">
        <v>13.601000000000001</v>
      </c>
      <c r="AQ273" s="285">
        <v>159.20400000000001</v>
      </c>
      <c r="AR273" s="285">
        <v>0</v>
      </c>
      <c r="AS273" s="275"/>
      <c r="AT273" s="244">
        <v>0.78138200366621502</v>
      </c>
      <c r="AU273" s="244">
        <v>0.85522409161600454</v>
      </c>
      <c r="AV273" s="244">
        <v>0.93440907108591365</v>
      </c>
      <c r="AW273" s="244">
        <v>0.61258336258336255</v>
      </c>
      <c r="AX273" s="244">
        <v>0.84339884684988009</v>
      </c>
      <c r="AY273" s="244">
        <v>0.91939642543217104</v>
      </c>
      <c r="AZ273" s="244">
        <v>0.8651569737519299</v>
      </c>
      <c r="BA273" s="275"/>
      <c r="BB273" s="275"/>
      <c r="BC273" s="275"/>
      <c r="BE273" s="274">
        <f>G273/30</f>
        <v>4.5132666666666665</v>
      </c>
      <c r="BF273" s="280">
        <f t="shared" si="72"/>
        <v>131.001</v>
      </c>
      <c r="BG273" s="154" t="str">
        <f t="shared" si="58"/>
        <v>RECORD</v>
      </c>
      <c r="BH273" s="270">
        <f t="shared" si="73"/>
        <v>5.200000000000031E-2</v>
      </c>
      <c r="BI273" s="270">
        <f t="shared" si="66"/>
        <v>1.9999999999999574E-2</v>
      </c>
    </row>
    <row r="274" spans="1:61">
      <c r="A274" s="266">
        <v>37377</v>
      </c>
      <c r="B274" s="266"/>
      <c r="C274" s="277">
        <v>0.1476774193548388</v>
      </c>
      <c r="D274" s="276">
        <v>4.578000000000003</v>
      </c>
      <c r="E274" s="277">
        <v>5.3068064516129034</v>
      </c>
      <c r="F274" s="277">
        <f t="shared" si="60"/>
        <v>164.511</v>
      </c>
      <c r="G274" s="277">
        <v>136.042</v>
      </c>
      <c r="H274" s="281">
        <f t="shared" si="59"/>
        <v>0.8269477420962732</v>
      </c>
      <c r="I274" s="202">
        <v>3230.7539999999999</v>
      </c>
      <c r="J274" s="270">
        <v>47.5</v>
      </c>
      <c r="K274" s="270">
        <v>6.3646707438479666E-2</v>
      </c>
      <c r="L274" s="202">
        <v>471.79899999999998</v>
      </c>
      <c r="M274" s="277">
        <v>31.73269648040008</v>
      </c>
      <c r="N274" s="202">
        <v>1534.877</v>
      </c>
      <c r="O274" s="270">
        <v>11.28</v>
      </c>
      <c r="P274" s="270">
        <v>-8.6713127577869642E-2</v>
      </c>
      <c r="Q274" s="202">
        <v>2422.0149999999999</v>
      </c>
      <c r="R274" s="199">
        <v>0.83824150342631698</v>
      </c>
      <c r="S274" s="202">
        <v>467.38499999999976</v>
      </c>
      <c r="T274" s="275"/>
      <c r="U274" s="275"/>
      <c r="V274" s="278">
        <v>18.349</v>
      </c>
      <c r="W274" s="278">
        <v>25.312000000000001</v>
      </c>
      <c r="X274" s="278">
        <v>21.126999999999999</v>
      </c>
      <c r="Y274" s="278"/>
      <c r="Z274" s="278">
        <v>8.7669999999999995</v>
      </c>
      <c r="AA274" s="278">
        <v>21.992000000000001</v>
      </c>
      <c r="AB274" s="278">
        <v>28.974</v>
      </c>
      <c r="AC274" s="278">
        <v>11.522</v>
      </c>
      <c r="AD274" s="279">
        <v>136.042</v>
      </c>
      <c r="AE274" s="278">
        <f t="shared" si="68"/>
        <v>136.04300000000001</v>
      </c>
      <c r="AF274" s="278">
        <f t="shared" si="69"/>
        <v>1.0000000000047748E-3</v>
      </c>
      <c r="AG274" s="278">
        <f t="shared" si="67"/>
        <v>1.0000000000047748E-3</v>
      </c>
      <c r="AH274" s="202">
        <f t="shared" si="64"/>
        <v>-2.4050000000000011</v>
      </c>
      <c r="AI274" s="202">
        <f t="shared" si="65"/>
        <v>58.78</v>
      </c>
      <c r="AJ274" s="285">
        <v>25.931000000000001</v>
      </c>
      <c r="AK274" s="285">
        <v>29.234999999999999</v>
      </c>
      <c r="AL274" s="285">
        <v>23.693999999999999</v>
      </c>
      <c r="AM274" s="285">
        <v>11.776</v>
      </c>
      <c r="AN274" s="285">
        <v>24.553000000000001</v>
      </c>
      <c r="AO274" s="285">
        <v>35.268000000000001</v>
      </c>
      <c r="AP274" s="285">
        <v>14.054</v>
      </c>
      <c r="AQ274" s="285">
        <v>164.511</v>
      </c>
      <c r="AR274" s="285">
        <v>0</v>
      </c>
      <c r="AS274" s="275"/>
      <c r="AT274" s="244">
        <v>0.70760865373491189</v>
      </c>
      <c r="AU274" s="244">
        <v>0.8658115272789465</v>
      </c>
      <c r="AV274" s="244">
        <v>0.89166033595002958</v>
      </c>
      <c r="AW274" s="244">
        <v>0.74448029891304346</v>
      </c>
      <c r="AX274" s="244">
        <v>0.89569502708426674</v>
      </c>
      <c r="AY274" s="244">
        <v>0.82153793807417486</v>
      </c>
      <c r="AZ274" s="244">
        <v>0.81983776860680235</v>
      </c>
      <c r="BA274" s="275"/>
      <c r="BB274" s="275"/>
      <c r="BC274" s="275"/>
      <c r="BE274" s="274">
        <f t="shared" si="70"/>
        <v>4.3884516129032258</v>
      </c>
      <c r="BF274" s="280">
        <f t="shared" si="72"/>
        <v>128.61099999999999</v>
      </c>
      <c r="BG274" s="154" t="str">
        <f t="shared" si="58"/>
        <v>RECORD</v>
      </c>
      <c r="BH274" s="270">
        <f t="shared" si="73"/>
        <v>-1.2000000000000455E-2</v>
      </c>
      <c r="BI274" s="270">
        <f t="shared" si="66"/>
        <v>0</v>
      </c>
    </row>
    <row r="275" spans="1:61">
      <c r="A275" s="266">
        <v>37408</v>
      </c>
      <c r="B275" s="266"/>
      <c r="C275" s="277">
        <v>0.13203333333333375</v>
      </c>
      <c r="D275" s="276">
        <v>3.9610000000000127</v>
      </c>
      <c r="E275" s="277">
        <v>5.3068</v>
      </c>
      <c r="F275" s="277">
        <f t="shared" si="60"/>
        <v>159.20400000000001</v>
      </c>
      <c r="G275" s="277">
        <v>130.62899999999999</v>
      </c>
      <c r="H275" s="281">
        <f t="shared" si="59"/>
        <v>0.82051330368583697</v>
      </c>
      <c r="I275" s="202">
        <v>3098.0619999999999</v>
      </c>
      <c r="J275" s="270">
        <v>47.43</v>
      </c>
      <c r="K275" s="270">
        <v>3.5636377145401354E-2</v>
      </c>
      <c r="L275" s="202">
        <v>403.298</v>
      </c>
      <c r="M275" s="277">
        <v>256.75215814360001</v>
      </c>
      <c r="N275" s="202">
        <v>1475.85</v>
      </c>
      <c r="O275" s="270">
        <v>11.3</v>
      </c>
      <c r="P275" s="270">
        <v>-0.10971840404190658</v>
      </c>
      <c r="Q275" s="202">
        <v>2212.1680000000001</v>
      </c>
      <c r="R275" s="199">
        <v>0.83216079797106624</v>
      </c>
      <c r="S275" s="202">
        <v>446.17399999999998</v>
      </c>
      <c r="T275" s="275"/>
      <c r="U275" s="275"/>
      <c r="V275" s="278">
        <v>16.608000000000001</v>
      </c>
      <c r="W275" s="278">
        <v>25.919</v>
      </c>
      <c r="X275" s="278">
        <v>19.053000000000001</v>
      </c>
      <c r="Y275" s="278"/>
      <c r="Z275" s="278">
        <v>8.532</v>
      </c>
      <c r="AA275" s="278">
        <v>19.550999999999998</v>
      </c>
      <c r="AB275" s="278">
        <v>28.483000000000001</v>
      </c>
      <c r="AC275" s="278">
        <v>12.483000000000001</v>
      </c>
      <c r="AD275" s="279">
        <v>130.62899999999999</v>
      </c>
      <c r="AE275" s="278">
        <f t="shared" si="68"/>
        <v>130.62899999999999</v>
      </c>
      <c r="AF275" s="278">
        <f t="shared" si="69"/>
        <v>0</v>
      </c>
      <c r="AG275" s="278">
        <f t="shared" si="67"/>
        <v>0</v>
      </c>
      <c r="AH275" s="202">
        <f t="shared" si="64"/>
        <v>-0.49099999999999966</v>
      </c>
      <c r="AI275" s="202">
        <f t="shared" si="65"/>
        <v>58.730000000000004</v>
      </c>
      <c r="AJ275" s="285">
        <v>25.094000000000001</v>
      </c>
      <c r="AK275" s="285">
        <v>28.292000000000002</v>
      </c>
      <c r="AL275" s="285">
        <v>22.93</v>
      </c>
      <c r="AM275" s="285">
        <v>11.396000000000001</v>
      </c>
      <c r="AN275" s="285">
        <v>23.760999999999999</v>
      </c>
      <c r="AO275" s="285">
        <v>34.130000000000003</v>
      </c>
      <c r="AP275" s="285">
        <v>13.601000000000001</v>
      </c>
      <c r="AQ275" s="285">
        <v>159.20400000000001</v>
      </c>
      <c r="AR275" s="285">
        <v>0</v>
      </c>
      <c r="AS275" s="275"/>
      <c r="AT275" s="244">
        <v>0.66183151350920533</v>
      </c>
      <c r="AU275" s="244">
        <v>0.9161246995617135</v>
      </c>
      <c r="AV275" s="244">
        <v>0.83092019188835586</v>
      </c>
      <c r="AW275" s="244">
        <v>0.74868374868374865</v>
      </c>
      <c r="AX275" s="244">
        <v>0.82281890492824372</v>
      </c>
      <c r="AY275" s="244">
        <v>0.834544389100498</v>
      </c>
      <c r="AZ275" s="244">
        <v>0.91780016175281232</v>
      </c>
      <c r="BA275" s="275"/>
      <c r="BB275" s="275"/>
      <c r="BC275" s="275"/>
      <c r="BE275" s="274">
        <f>G275/30</f>
        <v>4.3542999999999994</v>
      </c>
      <c r="BF275" s="280">
        <f t="shared" si="72"/>
        <v>124.23399999999999</v>
      </c>
      <c r="BG275" s="154" t="str">
        <f t="shared" si="58"/>
        <v>RECORD</v>
      </c>
      <c r="BH275" s="270">
        <f t="shared" si="73"/>
        <v>7.1999999999999884E-2</v>
      </c>
      <c r="BI275" s="270">
        <f t="shared" si="66"/>
        <v>2.000000000000135E-2</v>
      </c>
    </row>
    <row r="276" spans="1:61">
      <c r="A276" s="266">
        <v>37438</v>
      </c>
      <c r="B276" s="266"/>
      <c r="C276" s="277">
        <v>0.12577419354838759</v>
      </c>
      <c r="D276" s="276">
        <v>3.8990000000000151</v>
      </c>
      <c r="E276" s="277">
        <v>5.2303225806451605</v>
      </c>
      <c r="F276" s="277">
        <f t="shared" si="60"/>
        <v>162.13999999999999</v>
      </c>
      <c r="G276" s="277">
        <v>125.931</v>
      </c>
      <c r="H276" s="281">
        <f t="shared" si="59"/>
        <v>0.77668064635500189</v>
      </c>
      <c r="I276" s="202">
        <v>2989.942</v>
      </c>
      <c r="J276" s="270">
        <v>47.49</v>
      </c>
      <c r="K276" s="270">
        <v>3.9846722637292942E-2</v>
      </c>
      <c r="L276" s="202">
        <v>337.90800000000002</v>
      </c>
      <c r="M276" s="277">
        <v>236.76795073139999</v>
      </c>
      <c r="N276" s="202">
        <v>1430.3009999999999</v>
      </c>
      <c r="O276" s="270">
        <v>11.36</v>
      </c>
      <c r="P276" s="270">
        <v>-0.10528229222829744</v>
      </c>
      <c r="Q276" s="202">
        <v>2138.08</v>
      </c>
      <c r="R276" s="199">
        <v>0.84529137344824856</v>
      </c>
      <c r="S276" s="202">
        <v>391.32000000000016</v>
      </c>
      <c r="T276" s="275"/>
      <c r="U276" s="275"/>
      <c r="V276" s="278">
        <v>15.791</v>
      </c>
      <c r="W276" s="278">
        <v>24.27</v>
      </c>
      <c r="X276" s="278">
        <v>20.285</v>
      </c>
      <c r="Y276" s="278"/>
      <c r="Z276" s="278">
        <v>7.2110000000000003</v>
      </c>
      <c r="AA276" s="278">
        <v>17.582000000000001</v>
      </c>
      <c r="AB276" s="278">
        <v>29.667000000000002</v>
      </c>
      <c r="AC276" s="278">
        <v>11.125999999999999</v>
      </c>
      <c r="AD276" s="279">
        <v>125.931</v>
      </c>
      <c r="AE276" s="278">
        <f t="shared" si="68"/>
        <v>125.93200000000002</v>
      </c>
      <c r="AF276" s="278">
        <f t="shared" si="69"/>
        <v>1.0000000000189857E-3</v>
      </c>
      <c r="AG276" s="278">
        <f t="shared" si="67"/>
        <v>1.0000000000189857E-3</v>
      </c>
      <c r="AH276" s="202">
        <f t="shared" si="64"/>
        <v>1.1840000000000011</v>
      </c>
      <c r="AI276" s="202">
        <f t="shared" si="65"/>
        <v>58.85</v>
      </c>
      <c r="AJ276" s="285">
        <v>25.931000000000001</v>
      </c>
      <c r="AK276" s="285">
        <v>29.265999999999998</v>
      </c>
      <c r="AL276" s="285">
        <v>23.693999999999999</v>
      </c>
      <c r="AM276" s="285">
        <v>9.3130000000000006</v>
      </c>
      <c r="AN276" s="285">
        <v>24.553000000000001</v>
      </c>
      <c r="AO276" s="285">
        <v>35.268000000000001</v>
      </c>
      <c r="AP276" s="285">
        <v>14.115</v>
      </c>
      <c r="AQ276" s="285">
        <v>162.14000000000001</v>
      </c>
      <c r="AR276" s="285">
        <v>0</v>
      </c>
      <c r="AS276" s="275"/>
      <c r="AT276" s="244">
        <v>0.60896224596043347</v>
      </c>
      <c r="AU276" s="244">
        <v>0.82928996104694874</v>
      </c>
      <c r="AV276" s="244">
        <v>0.85612391322697734</v>
      </c>
      <c r="AW276" s="244">
        <v>0.77429399763771067</v>
      </c>
      <c r="AX276" s="244">
        <v>0.71608357430863845</v>
      </c>
      <c r="AY276" s="244">
        <v>0.84118747873426336</v>
      </c>
      <c r="AZ276" s="244">
        <v>0.78823946156571023</v>
      </c>
      <c r="BA276" s="275"/>
      <c r="BB276" s="275"/>
      <c r="BC276" s="275"/>
      <c r="BE276" s="274">
        <f t="shared" si="70"/>
        <v>4.0622903225806448</v>
      </c>
      <c r="BF276" s="280">
        <f>MAX(G264,G252,G240,G228,G216,G204,G192,G180,G168,G156,G144,G132,G120,G108,G96,G84,G72,G60,G48,G36,G24,G12)</f>
        <v>132.49</v>
      </c>
      <c r="BG276" s="154" t="str">
        <f t="shared" si="58"/>
        <v/>
      </c>
      <c r="BH276" s="270">
        <f t="shared" si="73"/>
        <v>-2.5999999999999801E-2</v>
      </c>
      <c r="BI276" s="270">
        <f t="shared" si="66"/>
        <v>5.9999999999998721E-2</v>
      </c>
    </row>
    <row r="277" spans="1:61">
      <c r="A277" s="266">
        <v>37469</v>
      </c>
      <c r="B277" s="266"/>
      <c r="C277" s="277">
        <v>0.1446451612903224</v>
      </c>
      <c r="D277" s="276">
        <v>4.4839999999999947</v>
      </c>
      <c r="E277" s="277">
        <v>5.2303225806451605</v>
      </c>
      <c r="F277" s="277">
        <f t="shared" si="60"/>
        <v>162.13999999999999</v>
      </c>
      <c r="G277" s="277">
        <v>126.086</v>
      </c>
      <c r="H277" s="281">
        <f t="shared" si="59"/>
        <v>0.77763661033674603</v>
      </c>
      <c r="I277" s="202">
        <v>2995.8609999999999</v>
      </c>
      <c r="J277" s="270">
        <v>47.52</v>
      </c>
      <c r="K277" s="270">
        <v>6.6735084628938068E-2</v>
      </c>
      <c r="L277" s="202">
        <v>306.20600000000002</v>
      </c>
      <c r="M277" s="277">
        <v>82.141802926300045</v>
      </c>
      <c r="N277" s="202">
        <v>1433.173</v>
      </c>
      <c r="O277" s="270">
        <v>11.37</v>
      </c>
      <c r="P277" s="270">
        <v>-7.4909244083631421E-2</v>
      </c>
      <c r="Q277" s="202">
        <v>2050.2930000000001</v>
      </c>
      <c r="R277" s="199">
        <v>0.81305597149872788</v>
      </c>
      <c r="S277" s="202">
        <v>471.41899999999987</v>
      </c>
      <c r="T277" s="275"/>
      <c r="U277" s="275"/>
      <c r="V277" s="278">
        <v>18.794</v>
      </c>
      <c r="W277" s="278">
        <v>20.439</v>
      </c>
      <c r="X277" s="278">
        <v>19.388000000000002</v>
      </c>
      <c r="Y277" s="278"/>
      <c r="Z277" s="278">
        <v>6.36</v>
      </c>
      <c r="AA277" s="278">
        <v>18.658999999999999</v>
      </c>
      <c r="AB277" s="278">
        <v>29.219000000000001</v>
      </c>
      <c r="AC277" s="278">
        <v>13.227</v>
      </c>
      <c r="AD277" s="279">
        <v>126.086</v>
      </c>
      <c r="AE277" s="278">
        <f t="shared" si="68"/>
        <v>126.08600000000001</v>
      </c>
      <c r="AF277" s="278">
        <f t="shared" si="69"/>
        <v>0</v>
      </c>
      <c r="AG277" s="278">
        <f t="shared" si="67"/>
        <v>0</v>
      </c>
      <c r="AH277" s="202">
        <f t="shared" si="64"/>
        <v>-0.4480000000000004</v>
      </c>
      <c r="AI277" s="202">
        <f t="shared" si="65"/>
        <v>58.89</v>
      </c>
      <c r="AJ277" s="285">
        <v>25.931000000000001</v>
      </c>
      <c r="AK277" s="285">
        <v>29.265999999999998</v>
      </c>
      <c r="AL277" s="285">
        <v>23.693999999999999</v>
      </c>
      <c r="AM277" s="285">
        <v>9.3130000000000006</v>
      </c>
      <c r="AN277" s="285">
        <v>24.553000000000001</v>
      </c>
      <c r="AO277" s="285">
        <v>35.268000000000001</v>
      </c>
      <c r="AP277" s="285">
        <v>14.115</v>
      </c>
      <c r="AQ277" s="285">
        <v>162.14000000000001</v>
      </c>
      <c r="AR277" s="285">
        <v>0</v>
      </c>
      <c r="AS277" s="275"/>
      <c r="AT277" s="244">
        <v>0.72476958081061282</v>
      </c>
      <c r="AU277" s="244">
        <v>0.69838720699788159</v>
      </c>
      <c r="AV277" s="244">
        <v>0.81826622773697988</v>
      </c>
      <c r="AW277" s="244">
        <v>0.68291635348437663</v>
      </c>
      <c r="AX277" s="244">
        <v>0.75994786787765234</v>
      </c>
      <c r="AY277" s="244">
        <v>0.82848474537824657</v>
      </c>
      <c r="AZ277" s="244">
        <v>0.93708820403825721</v>
      </c>
      <c r="BA277" s="275"/>
      <c r="BB277" s="275"/>
      <c r="BC277" s="275"/>
      <c r="BE277" s="274">
        <f t="shared" si="70"/>
        <v>4.0672903225806447</v>
      </c>
      <c r="BF277" s="280">
        <f>MAX(G265,G253,G241,G229,G217,G205,G193,G181,G169,G157,G145,G133,G121,G109,G97,G85,G73,G61,G49,G37,G25,G13)</f>
        <v>128.852</v>
      </c>
      <c r="BG277" s="154" t="str">
        <f t="shared" si="58"/>
        <v/>
      </c>
      <c r="BH277" s="270">
        <f t="shared" si="73"/>
        <v>3.4000000000000342E-2</v>
      </c>
      <c r="BI277" s="270">
        <f t="shared" si="66"/>
        <v>9.9999999999997868E-3</v>
      </c>
    </row>
    <row r="278" spans="1:61">
      <c r="A278" s="266">
        <v>37500</v>
      </c>
      <c r="B278" s="266"/>
      <c r="C278" s="277">
        <v>8.6744444444444471E-2</v>
      </c>
      <c r="D278" s="276">
        <v>2.6023333333333341</v>
      </c>
      <c r="E278" s="277">
        <v>5.2303333333333333</v>
      </c>
      <c r="F278" s="277">
        <f t="shared" si="60"/>
        <v>156.91</v>
      </c>
      <c r="G278" s="277">
        <v>119.741</v>
      </c>
      <c r="H278" s="281">
        <f t="shared" si="59"/>
        <v>0.7631189854056466</v>
      </c>
      <c r="I278" s="202">
        <v>2860.98</v>
      </c>
      <c r="J278" s="270">
        <v>47.79</v>
      </c>
      <c r="K278" s="270">
        <v>-0.19770509222679067</v>
      </c>
      <c r="L278" s="202">
        <v>300.99200000000002</v>
      </c>
      <c r="M278" s="277">
        <v>196.61488508650001</v>
      </c>
      <c r="N278" s="202">
        <v>1375.7190000000001</v>
      </c>
      <c r="O278" s="270">
        <v>11.49</v>
      </c>
      <c r="P278" s="270">
        <v>6.600359643625886E-2</v>
      </c>
      <c r="Q278" s="202">
        <v>1901.2339999999999</v>
      </c>
      <c r="R278" s="199">
        <v>0.80608581361824816</v>
      </c>
      <c r="S278" s="202">
        <v>457.36599999999999</v>
      </c>
      <c r="T278" s="275"/>
      <c r="U278" s="275"/>
      <c r="V278" s="278">
        <v>17.003</v>
      </c>
      <c r="W278" s="278">
        <v>21.798999999999999</v>
      </c>
      <c r="X278" s="278">
        <v>16.5</v>
      </c>
      <c r="Y278" s="278"/>
      <c r="Z278" s="278">
        <v>7.5910000000000002</v>
      </c>
      <c r="AA278" s="278">
        <v>16.071000000000002</v>
      </c>
      <c r="AB278" s="278">
        <v>28.236000000000001</v>
      </c>
      <c r="AC278" s="278">
        <v>12.54</v>
      </c>
      <c r="AD278" s="279">
        <v>119.741</v>
      </c>
      <c r="AE278" s="278">
        <f t="shared" si="68"/>
        <v>119.74000000000001</v>
      </c>
      <c r="AF278" s="278">
        <f t="shared" si="69"/>
        <v>-9.9999999999056399E-4</v>
      </c>
      <c r="AG278" s="278">
        <f t="shared" si="67"/>
        <v>-9.9999999999056399E-4</v>
      </c>
      <c r="AH278" s="202">
        <f t="shared" si="64"/>
        <v>-0.98300000000000054</v>
      </c>
      <c r="AI278" s="202">
        <f t="shared" si="65"/>
        <v>59.28</v>
      </c>
      <c r="AJ278" s="285">
        <v>25.094000000000001</v>
      </c>
      <c r="AK278" s="285">
        <v>28.321999999999999</v>
      </c>
      <c r="AL278" s="285">
        <v>22.93</v>
      </c>
      <c r="AM278" s="285">
        <v>9.0129999999999999</v>
      </c>
      <c r="AN278" s="285">
        <v>23.760999999999999</v>
      </c>
      <c r="AO278" s="285">
        <v>34.130000000000003</v>
      </c>
      <c r="AP278" s="285">
        <v>13.66</v>
      </c>
      <c r="AQ278" s="285">
        <v>156.91</v>
      </c>
      <c r="AR278" s="285">
        <v>0</v>
      </c>
      <c r="AS278" s="275"/>
      <c r="AT278" s="244">
        <v>0.67757232804654499</v>
      </c>
      <c r="AU278" s="244">
        <v>0.76968434432596566</v>
      </c>
      <c r="AV278" s="244">
        <v>0.71958133449629302</v>
      </c>
      <c r="AW278" s="244">
        <v>0.84222789304338186</v>
      </c>
      <c r="AX278" s="244">
        <v>0.67636042254113893</v>
      </c>
      <c r="AY278" s="244">
        <v>0.82730735423381185</v>
      </c>
      <c r="AZ278" s="244">
        <v>0.91800878477305992</v>
      </c>
      <c r="BA278" s="275"/>
      <c r="BB278" s="191">
        <v>1.021733018208745</v>
      </c>
      <c r="BC278" s="275"/>
      <c r="BE278" s="274">
        <f>G278/30</f>
        <v>3.9913666666666665</v>
      </c>
      <c r="BF278" s="280">
        <f t="shared" ref="BF278:BF301" si="74">MAX(G266,G254,G242,G230,G218,G206,G194,G182,G170,G158,G146,G134,G122,G110,G98,G86,G74,G62,G50,G38,G26,G14,G2)</f>
        <v>132.16399999999999</v>
      </c>
      <c r="BG278" s="154" t="str">
        <f t="shared" si="58"/>
        <v/>
      </c>
      <c r="BH278" s="270">
        <f t="shared" si="73"/>
        <v>-4.0000000000006255E-3</v>
      </c>
      <c r="BI278" s="270">
        <f t="shared" si="66"/>
        <v>0.12000000000000099</v>
      </c>
    </row>
    <row r="279" spans="1:61">
      <c r="A279" s="266">
        <v>37530</v>
      </c>
      <c r="B279" s="266"/>
      <c r="C279" s="277">
        <v>0.15186021505376396</v>
      </c>
      <c r="D279" s="276">
        <v>4.7076666666666824</v>
      </c>
      <c r="E279" s="277">
        <v>5.2334516129032256</v>
      </c>
      <c r="F279" s="277">
        <f t="shared" si="60"/>
        <v>162.23699999999999</v>
      </c>
      <c r="G279" s="277">
        <v>144.75899999999999</v>
      </c>
      <c r="H279" s="281">
        <f t="shared" si="59"/>
        <v>0.89226871798664908</v>
      </c>
      <c r="I279" s="202">
        <v>3391.538</v>
      </c>
      <c r="J279" s="270">
        <v>46.86</v>
      </c>
      <c r="K279" s="270">
        <v>-3.4843889384475801E-2</v>
      </c>
      <c r="L279" s="202">
        <v>508.90100000000001</v>
      </c>
      <c r="M279" s="277">
        <v>-131.6646021848</v>
      </c>
      <c r="N279" s="202">
        <v>1654.9010000000001</v>
      </c>
      <c r="O279" s="270">
        <v>11.43</v>
      </c>
      <c r="P279" s="270">
        <v>-0.10573595004460401</v>
      </c>
      <c r="Q279" s="202">
        <v>1886.11</v>
      </c>
      <c r="R279" s="199">
        <v>0.82720494715144066</v>
      </c>
      <c r="S279" s="202">
        <v>393.99</v>
      </c>
      <c r="T279" s="286">
        <v>347.12299999999988</v>
      </c>
      <c r="U279" s="286"/>
      <c r="V279" s="278">
        <v>21.245000000000001</v>
      </c>
      <c r="W279" s="278">
        <v>27.271999999999998</v>
      </c>
      <c r="X279" s="278">
        <v>20.077000000000002</v>
      </c>
      <c r="Y279" s="278"/>
      <c r="Z279" s="278">
        <v>8.43</v>
      </c>
      <c r="AA279" s="278">
        <v>22.087</v>
      </c>
      <c r="AB279" s="278">
        <v>32.770000000000003</v>
      </c>
      <c r="AC279" s="278">
        <v>12.877000000000001</v>
      </c>
      <c r="AD279" s="279">
        <v>144.75899999999999</v>
      </c>
      <c r="AE279" s="278">
        <f t="shared" si="68"/>
        <v>144.75800000000001</v>
      </c>
      <c r="AF279" s="278">
        <f t="shared" si="69"/>
        <v>-9.9999999997635314E-4</v>
      </c>
      <c r="AG279" s="278">
        <f t="shared" si="67"/>
        <v>-9.9999999997635314E-4</v>
      </c>
      <c r="AH279" s="202">
        <f t="shared" si="64"/>
        <v>4.5340000000000025</v>
      </c>
      <c r="AI279" s="202">
        <f t="shared" si="65"/>
        <v>58.29</v>
      </c>
      <c r="AJ279" s="285">
        <v>25.931000000000001</v>
      </c>
      <c r="AK279" s="285">
        <v>29.265999999999998</v>
      </c>
      <c r="AL279" s="285">
        <v>23.771000000000001</v>
      </c>
      <c r="AM279" s="285">
        <v>9.3000000000000007</v>
      </c>
      <c r="AN279" s="285">
        <v>24.553000000000001</v>
      </c>
      <c r="AO279" s="285">
        <v>35.33</v>
      </c>
      <c r="AP279" s="285">
        <v>14.087</v>
      </c>
      <c r="AQ279" s="285">
        <v>162.238</v>
      </c>
      <c r="AR279" s="285">
        <v>-1.0000000000047748E-3</v>
      </c>
      <c r="AS279" s="275"/>
      <c r="AT279" s="244">
        <v>0.81928965331070924</v>
      </c>
      <c r="AU279" s="244">
        <v>0.9318663295291465</v>
      </c>
      <c r="AV279" s="244">
        <v>0.84460056371208625</v>
      </c>
      <c r="AW279" s="244">
        <v>0.90645161290322573</v>
      </c>
      <c r="AX279" s="244">
        <v>0.89956420803975068</v>
      </c>
      <c r="AY279" s="244">
        <v>0.92754033399377311</v>
      </c>
      <c r="AZ279" s="244">
        <v>0.91410520337900203</v>
      </c>
      <c r="BA279" s="275"/>
      <c r="BB279" s="191">
        <v>1.0325207183433616</v>
      </c>
      <c r="BC279" s="275"/>
      <c r="BE279" s="274">
        <f t="shared" si="70"/>
        <v>4.6696451612903225</v>
      </c>
      <c r="BF279" s="280">
        <f t="shared" si="74"/>
        <v>148.86799999999999</v>
      </c>
      <c r="BG279" s="154" t="str">
        <f t="shared" si="58"/>
        <v/>
      </c>
      <c r="BH279" s="270">
        <f t="shared" si="73"/>
        <v>-0.12599999999999981</v>
      </c>
      <c r="BI279" s="270">
        <f t="shared" si="66"/>
        <v>-6.0000000000000497E-2</v>
      </c>
    </row>
    <row r="280" spans="1:61">
      <c r="A280" s="266">
        <v>37561</v>
      </c>
      <c r="B280" s="266"/>
      <c r="C280" s="277">
        <v>0.13768888888888853</v>
      </c>
      <c r="D280" s="276">
        <v>4.1306666666666558</v>
      </c>
      <c r="E280" s="277">
        <v>5.2334666666666667</v>
      </c>
      <c r="F280" s="277">
        <f t="shared" si="60"/>
        <v>157.00399999999999</v>
      </c>
      <c r="G280" s="277">
        <v>141.566</v>
      </c>
      <c r="H280" s="281">
        <f t="shared" si="59"/>
        <v>0.90167129499885357</v>
      </c>
      <c r="I280" s="202">
        <v>3322.6039999999998</v>
      </c>
      <c r="J280" s="270">
        <v>46.94</v>
      </c>
      <c r="K280" s="270">
        <v>7.1370655928994609E-2</v>
      </c>
      <c r="L280" s="202">
        <v>529.22299999999996</v>
      </c>
      <c r="M280" s="277">
        <v>99.884737218099986</v>
      </c>
      <c r="N280" s="202">
        <v>1605.3040000000001</v>
      </c>
      <c r="O280" s="270">
        <v>11.34</v>
      </c>
      <c r="P280" s="270">
        <v>-0.14207737536891685</v>
      </c>
      <c r="Q280" s="202">
        <v>1845.99</v>
      </c>
      <c r="R280" s="199">
        <v>0.7935997509992061</v>
      </c>
      <c r="S280" s="202">
        <v>480.10699999999974</v>
      </c>
      <c r="T280" s="286">
        <v>409.21466666666674</v>
      </c>
      <c r="U280" s="286"/>
      <c r="V280" s="278">
        <v>21.561</v>
      </c>
      <c r="W280" s="278">
        <v>25.896000000000001</v>
      </c>
      <c r="X280" s="278">
        <v>19.632000000000001</v>
      </c>
      <c r="Y280" s="278"/>
      <c r="Z280" s="278">
        <v>8.5640000000000001</v>
      </c>
      <c r="AA280" s="278">
        <v>21.736999999999998</v>
      </c>
      <c r="AB280" s="278">
        <v>31.678000000000001</v>
      </c>
      <c r="AC280" s="278">
        <v>12.496</v>
      </c>
      <c r="AD280" s="279">
        <v>141.566</v>
      </c>
      <c r="AE280" s="278">
        <f t="shared" si="68"/>
        <v>141.56399999999999</v>
      </c>
      <c r="AF280" s="278">
        <f t="shared" si="69"/>
        <v>-2.0000000000095497E-3</v>
      </c>
      <c r="AG280" s="278">
        <f t="shared" si="67"/>
        <v>-2.0000000000095497E-3</v>
      </c>
      <c r="AH280" s="202">
        <f t="shared" si="64"/>
        <v>-1.0920000000000023</v>
      </c>
      <c r="AI280" s="202">
        <f t="shared" si="65"/>
        <v>58.28</v>
      </c>
      <c r="AJ280" s="285">
        <v>25.094000000000001</v>
      </c>
      <c r="AK280" s="285">
        <v>28.321999999999999</v>
      </c>
      <c r="AL280" s="285">
        <v>23.004000000000001</v>
      </c>
      <c r="AM280" s="285">
        <v>9</v>
      </c>
      <c r="AN280" s="285">
        <v>23.760999999999999</v>
      </c>
      <c r="AO280" s="285">
        <v>34.19</v>
      </c>
      <c r="AP280" s="285">
        <v>13.632999999999999</v>
      </c>
      <c r="AQ280" s="285">
        <v>157.00399999999999</v>
      </c>
      <c r="AR280" s="285">
        <v>0</v>
      </c>
      <c r="AS280" s="275"/>
      <c r="AT280" s="244">
        <v>0.85920937275842824</v>
      </c>
      <c r="AU280" s="244">
        <v>0.91434220747122386</v>
      </c>
      <c r="AV280" s="244">
        <v>0.85341679707876894</v>
      </c>
      <c r="AW280" s="244">
        <v>0.9515555555555556</v>
      </c>
      <c r="AX280" s="244">
        <v>0.91481839989899416</v>
      </c>
      <c r="AY280" s="244">
        <v>0.92652822462708406</v>
      </c>
      <c r="AZ280" s="244">
        <v>0.91659942785887194</v>
      </c>
      <c r="BA280" s="275"/>
      <c r="BB280" s="191">
        <v>1.0291783808729968</v>
      </c>
      <c r="BC280" s="275"/>
      <c r="BE280" s="274">
        <f>G280/30</f>
        <v>4.718866666666667</v>
      </c>
      <c r="BF280" s="280">
        <f t="shared" si="74"/>
        <v>144.67400000000001</v>
      </c>
      <c r="BG280" s="154" t="str">
        <f t="shared" si="58"/>
        <v/>
      </c>
      <c r="BH280" s="270">
        <f t="shared" si="73"/>
        <v>-0.10799999999999983</v>
      </c>
      <c r="BI280" s="270">
        <f t="shared" si="66"/>
        <v>-8.9999999999999858E-2</v>
      </c>
    </row>
    <row r="281" spans="1:61">
      <c r="A281" s="266">
        <v>37591</v>
      </c>
      <c r="B281" s="266"/>
      <c r="C281" s="277">
        <v>0.16387096774193588</v>
      </c>
      <c r="D281" s="276">
        <v>5.0800000000000125</v>
      </c>
      <c r="E281" s="277">
        <v>5.2334516129032256</v>
      </c>
      <c r="F281" s="277">
        <f t="shared" si="60"/>
        <v>162.23699999999999</v>
      </c>
      <c r="G281" s="277">
        <v>145.09</v>
      </c>
      <c r="H281" s="281">
        <f t="shared" si="59"/>
        <v>0.89430894308943099</v>
      </c>
      <c r="I281" s="202">
        <v>3411.058</v>
      </c>
      <c r="J281" s="270">
        <v>47.02</v>
      </c>
      <c r="K281" s="270">
        <v>-4.9233535326635547E-2</v>
      </c>
      <c r="L281" s="202">
        <v>789.87300000000005</v>
      </c>
      <c r="M281" s="277">
        <v>-67.435125727199988</v>
      </c>
      <c r="N281" s="202">
        <v>1655.2149999999999</v>
      </c>
      <c r="O281" s="270">
        <v>11.41</v>
      </c>
      <c r="P281" s="270">
        <v>-0.11613304921089451</v>
      </c>
      <c r="Q281" s="202">
        <v>1966.4179999999999</v>
      </c>
      <c r="R281" s="199">
        <v>0.8200241868223519</v>
      </c>
      <c r="S281" s="202">
        <v>431.58200000000011</v>
      </c>
      <c r="T281" s="286">
        <v>427.99099999999993</v>
      </c>
      <c r="U281" s="286"/>
      <c r="V281" s="278">
        <v>22.056999999999999</v>
      </c>
      <c r="W281" s="278">
        <v>26.547000000000001</v>
      </c>
      <c r="X281" s="278">
        <v>20.195</v>
      </c>
      <c r="Y281" s="278"/>
      <c r="Z281" s="278">
        <v>8.6440000000000001</v>
      </c>
      <c r="AA281" s="278">
        <v>21.738</v>
      </c>
      <c r="AB281" s="278">
        <v>32.784999999999997</v>
      </c>
      <c r="AC281" s="278">
        <v>13.125</v>
      </c>
      <c r="AD281" s="279">
        <v>145.09</v>
      </c>
      <c r="AE281" s="278">
        <f t="shared" si="68"/>
        <v>145.09100000000001</v>
      </c>
      <c r="AF281" s="278">
        <f t="shared" si="69"/>
        <v>1.0000000000047748E-3</v>
      </c>
      <c r="AG281" s="278">
        <f t="shared" si="67"/>
        <v>1.0000000000047748E-3</v>
      </c>
      <c r="AH281" s="202">
        <f t="shared" si="64"/>
        <v>1.1069999999999958</v>
      </c>
      <c r="AI281" s="202">
        <f t="shared" si="65"/>
        <v>58.430000000000007</v>
      </c>
      <c r="AJ281" s="285">
        <v>25.931000000000001</v>
      </c>
      <c r="AK281" s="285">
        <v>29.265999999999998</v>
      </c>
      <c r="AL281" s="285">
        <v>23.771000000000001</v>
      </c>
      <c r="AM281" s="285">
        <v>9.3000000000000007</v>
      </c>
      <c r="AN281" s="285">
        <v>24.553000000000001</v>
      </c>
      <c r="AO281" s="285">
        <v>35.33</v>
      </c>
      <c r="AP281" s="285">
        <v>14.087</v>
      </c>
      <c r="AQ281" s="285">
        <v>162.238</v>
      </c>
      <c r="AR281" s="285">
        <v>-1.0000000000047748E-3</v>
      </c>
      <c r="AS281" s="275"/>
      <c r="AT281" s="244">
        <v>0.85060352473872958</v>
      </c>
      <c r="AU281" s="244">
        <v>0.90709355566186023</v>
      </c>
      <c r="AV281" s="244">
        <v>0.84956459551554409</v>
      </c>
      <c r="AW281" s="244">
        <v>0.92946236559139783</v>
      </c>
      <c r="AX281" s="244">
        <v>0.88535005905591979</v>
      </c>
      <c r="AY281" s="244">
        <v>0.9279649023492782</v>
      </c>
      <c r="AZ281" s="244">
        <v>0.9317100873145453</v>
      </c>
      <c r="BA281" s="275"/>
      <c r="BB281" s="191">
        <v>1.0350127507064582</v>
      </c>
      <c r="BC281" s="275"/>
      <c r="BE281" s="274">
        <f t="shared" si="70"/>
        <v>4.6803225806451616</v>
      </c>
      <c r="BF281" s="280">
        <f t="shared" si="74"/>
        <v>148.77099999999999</v>
      </c>
      <c r="BG281" s="154" t="str">
        <f t="shared" si="58"/>
        <v/>
      </c>
      <c r="BH281" s="270">
        <f t="shared" si="73"/>
        <v>1.7999999999999971E-2</v>
      </c>
      <c r="BI281" s="270">
        <f t="shared" si="66"/>
        <v>7.0000000000000284E-2</v>
      </c>
    </row>
    <row r="282" spans="1:61">
      <c r="A282" s="266">
        <v>37622</v>
      </c>
      <c r="B282" s="266"/>
      <c r="C282" s="277">
        <v>0.13562365591397818</v>
      </c>
      <c r="D282" s="276">
        <v>4.2043333333333237</v>
      </c>
      <c r="E282" s="277">
        <v>5.2388064516129029</v>
      </c>
      <c r="F282" s="277">
        <f t="shared" si="60"/>
        <v>162.40299999999999</v>
      </c>
      <c r="G282" s="277">
        <v>138.489</v>
      </c>
      <c r="H282" s="281">
        <f t="shared" si="59"/>
        <v>0.85274902557218779</v>
      </c>
      <c r="I282" s="202">
        <v>3256.134</v>
      </c>
      <c r="J282" s="270">
        <v>47.02</v>
      </c>
      <c r="K282" s="270">
        <v>5.1575406466078277E-2</v>
      </c>
      <c r="L282" s="202">
        <v>537.55499999999995</v>
      </c>
      <c r="M282" s="277">
        <v>386.12176251270012</v>
      </c>
      <c r="N282" s="202">
        <v>1572.181</v>
      </c>
      <c r="O282" s="270">
        <v>11.35</v>
      </c>
      <c r="P282" s="270">
        <v>-4.7439730891422727E-2</v>
      </c>
      <c r="Q282" s="202">
        <v>1924.338</v>
      </c>
      <c r="R282" s="199">
        <v>0.80354852179722736</v>
      </c>
      <c r="S282" s="202">
        <v>470.46199999999976</v>
      </c>
      <c r="T282" s="286">
        <v>442.40399999999994</v>
      </c>
      <c r="U282" s="286"/>
      <c r="V282" s="278">
        <v>19.902000000000001</v>
      </c>
      <c r="W282" s="278">
        <v>25.460999999999999</v>
      </c>
      <c r="X282" s="278">
        <v>20.408999999999999</v>
      </c>
      <c r="Y282" s="278"/>
      <c r="Z282" s="278">
        <v>7.665</v>
      </c>
      <c r="AA282" s="278">
        <v>21.294</v>
      </c>
      <c r="AB282" s="278">
        <v>31.039000000000001</v>
      </c>
      <c r="AC282" s="278">
        <v>12.718</v>
      </c>
      <c r="AD282" s="279">
        <v>138.489</v>
      </c>
      <c r="AE282" s="278">
        <f t="shared" si="68"/>
        <v>138.488</v>
      </c>
      <c r="AF282" s="278">
        <f t="shared" si="69"/>
        <v>-1.0000000000047748E-3</v>
      </c>
      <c r="AG282" s="278">
        <f t="shared" si="67"/>
        <v>-1.0000000000047748E-3</v>
      </c>
      <c r="AH282" s="202">
        <f t="shared" si="64"/>
        <v>-1.7459999999999951</v>
      </c>
      <c r="AI282" s="202">
        <f t="shared" si="65"/>
        <v>58.370000000000005</v>
      </c>
      <c r="AJ282" s="285">
        <v>25.838000000000001</v>
      </c>
      <c r="AK282" s="285">
        <v>29.25</v>
      </c>
      <c r="AL282" s="285">
        <v>23.771000000000001</v>
      </c>
      <c r="AM282" s="285">
        <v>9.2959999999999994</v>
      </c>
      <c r="AN282" s="285">
        <v>24.611000000000001</v>
      </c>
      <c r="AO282" s="285">
        <v>35.439</v>
      </c>
      <c r="AP282" s="285">
        <v>14.199</v>
      </c>
      <c r="AQ282" s="285">
        <v>162.40400000000002</v>
      </c>
      <c r="AR282" s="285">
        <v>-1.0000000000331966E-3</v>
      </c>
      <c r="AS282" s="275"/>
      <c r="AT282" s="244">
        <v>0.77026085610341355</v>
      </c>
      <c r="AU282" s="244">
        <v>0.8704615384615384</v>
      </c>
      <c r="AV282" s="244">
        <v>0.85856716166757807</v>
      </c>
      <c r="AW282" s="244">
        <v>0.82454819277108438</v>
      </c>
      <c r="AX282" s="244">
        <v>0.86522286782333102</v>
      </c>
      <c r="AY282" s="244">
        <v>0.8758429978272525</v>
      </c>
      <c r="AZ282" s="244">
        <v>0.89569688006197623</v>
      </c>
      <c r="BA282" s="275"/>
      <c r="BB282" s="191">
        <v>1.0303586085056093</v>
      </c>
      <c r="BC282" s="275"/>
      <c r="BE282" s="274">
        <f t="shared" si="70"/>
        <v>4.4673870967741935</v>
      </c>
      <c r="BF282" s="280">
        <f t="shared" si="74"/>
        <v>151.04</v>
      </c>
      <c r="BG282" s="154" t="str">
        <f t="shared" ref="BG282:BG309" si="75">IF(G282&gt;BF282,"RECORD","")</f>
        <v/>
      </c>
      <c r="BH282" s="270">
        <f t="shared" si="73"/>
        <v>2.7999999999999758E-2</v>
      </c>
      <c r="BI282" s="270">
        <f t="shared" si="66"/>
        <v>-6.0000000000000497E-2</v>
      </c>
    </row>
    <row r="283" spans="1:61">
      <c r="A283" s="266">
        <v>37653</v>
      </c>
      <c r="B283" s="266"/>
      <c r="C283" s="277">
        <v>0.14563095238095208</v>
      </c>
      <c r="D283" s="276">
        <v>4.0776666666666586</v>
      </c>
      <c r="E283" s="277">
        <v>5.2387857142857142</v>
      </c>
      <c r="F283" s="277">
        <f t="shared" si="60"/>
        <v>146.68600000000001</v>
      </c>
      <c r="G283" s="277">
        <v>125.089</v>
      </c>
      <c r="H283" s="281">
        <f t="shared" ref="H283:H346" si="76">G283/F283</f>
        <v>0.85276713524126357</v>
      </c>
      <c r="I283" s="202">
        <v>2926.5030000000002</v>
      </c>
      <c r="J283" s="270">
        <v>46.79</v>
      </c>
      <c r="K283" s="270">
        <v>0.41258064516129167</v>
      </c>
      <c r="L283" s="202">
        <v>465.54599999999999</v>
      </c>
      <c r="M283" s="277">
        <v>95.964719765099915</v>
      </c>
      <c r="N283" s="202">
        <v>1434.402</v>
      </c>
      <c r="O283" s="270">
        <v>11.47</v>
      </c>
      <c r="P283" s="270">
        <v>-6.1483870967743215E-2</v>
      </c>
      <c r="Q283" s="202">
        <v>1833.3810000000001</v>
      </c>
      <c r="R283" s="199">
        <v>0.80715902086818703</v>
      </c>
      <c r="S283" s="202">
        <v>438.01900000000001</v>
      </c>
      <c r="T283" s="286">
        <v>435.92099999999988</v>
      </c>
      <c r="U283" s="286"/>
      <c r="V283" s="278">
        <v>18.954999999999998</v>
      </c>
      <c r="W283" s="278">
        <v>22.602</v>
      </c>
      <c r="X283" s="278">
        <v>17.940999999999999</v>
      </c>
      <c r="Y283" s="278"/>
      <c r="Z283" s="278">
        <v>8.0150000000000006</v>
      </c>
      <c r="AA283" s="278">
        <v>17.312999999999999</v>
      </c>
      <c r="AB283" s="278">
        <v>28.76</v>
      </c>
      <c r="AC283" s="278">
        <v>11.503</v>
      </c>
      <c r="AD283" s="279">
        <v>125.089</v>
      </c>
      <c r="AE283" s="278">
        <f t="shared" si="68"/>
        <v>125.08900000000001</v>
      </c>
      <c r="AF283" s="278">
        <f t="shared" si="69"/>
        <v>0</v>
      </c>
      <c r="AG283" s="278">
        <f t="shared" si="67"/>
        <v>0</v>
      </c>
      <c r="AH283" s="202">
        <f t="shared" si="64"/>
        <v>-2.2789999999999999</v>
      </c>
      <c r="AI283" s="202">
        <f t="shared" si="65"/>
        <v>58.26</v>
      </c>
      <c r="AJ283" s="285">
        <v>23.337</v>
      </c>
      <c r="AK283" s="285">
        <v>26.42</v>
      </c>
      <c r="AL283" s="285">
        <v>21.47</v>
      </c>
      <c r="AM283" s="285">
        <v>8.3960000000000008</v>
      </c>
      <c r="AN283" s="285">
        <v>22.228999999999999</v>
      </c>
      <c r="AO283" s="285">
        <v>32.009</v>
      </c>
      <c r="AP283" s="285">
        <v>12.824999999999999</v>
      </c>
      <c r="AQ283" s="285">
        <v>146.68600000000001</v>
      </c>
      <c r="AR283" s="285">
        <v>0</v>
      </c>
      <c r="AS283" s="275"/>
      <c r="AT283" s="244">
        <v>0.81222950679178985</v>
      </c>
      <c r="AU283" s="244">
        <v>0.85548826646479936</v>
      </c>
      <c r="AV283" s="244">
        <v>0.83563111318118299</v>
      </c>
      <c r="AW283" s="244">
        <v>0.95462124821343497</v>
      </c>
      <c r="AX283" s="244">
        <v>0.77884745152728418</v>
      </c>
      <c r="AY283" s="244">
        <v>0.89849729763504016</v>
      </c>
      <c r="AZ283" s="244">
        <v>0.89692007797270956</v>
      </c>
      <c r="BA283" s="275"/>
      <c r="BB283" s="191">
        <v>1.032598123469423</v>
      </c>
      <c r="BC283" s="275"/>
      <c r="BE283" s="274">
        <f>G283/28</f>
        <v>4.4674642857142857</v>
      </c>
      <c r="BF283" s="280">
        <f t="shared" si="74"/>
        <v>135.53299999999999</v>
      </c>
      <c r="BG283" s="154" t="str">
        <f t="shared" si="75"/>
        <v/>
      </c>
      <c r="BH283" s="270">
        <f t="shared" si="73"/>
        <v>3.8000000000000256E-2</v>
      </c>
      <c r="BI283" s="270">
        <f t="shared" si="66"/>
        <v>0.12000000000000099</v>
      </c>
    </row>
    <row r="284" spans="1:61">
      <c r="A284" s="266">
        <v>37681</v>
      </c>
      <c r="B284" s="266"/>
      <c r="C284" s="277">
        <v>0.14916129032258049</v>
      </c>
      <c r="D284" s="276">
        <v>4.6239999999999952</v>
      </c>
      <c r="E284" s="277">
        <v>5.2388064516129029</v>
      </c>
      <c r="F284" s="277">
        <f t="shared" ref="F284:F347" si="77">(A285-A284)*E284</f>
        <v>162.40299999999999</v>
      </c>
      <c r="G284" s="277">
        <v>138.126</v>
      </c>
      <c r="H284" s="281">
        <f t="shared" si="76"/>
        <v>0.85051384518758899</v>
      </c>
      <c r="I284" s="202">
        <v>3252.5770000000002</v>
      </c>
      <c r="J284" s="270">
        <v>47.1</v>
      </c>
      <c r="K284" s="270">
        <v>-4.9912434325747768E-2</v>
      </c>
      <c r="L284" s="202">
        <v>422.77499999999998</v>
      </c>
      <c r="M284" s="277">
        <v>229.68927430380006</v>
      </c>
      <c r="N284" s="202">
        <v>1586.1489999999999</v>
      </c>
      <c r="O284" s="270">
        <v>11.47</v>
      </c>
      <c r="P284" s="270">
        <v>-2.8318739054292053E-2</v>
      </c>
      <c r="Q284" s="202">
        <v>1759.817</v>
      </c>
      <c r="R284" s="199">
        <v>0.77947335784205174</v>
      </c>
      <c r="S284" s="202">
        <v>497.88299999999981</v>
      </c>
      <c r="T284" s="286">
        <v>472.51833333333349</v>
      </c>
      <c r="U284" s="286"/>
      <c r="V284" s="278">
        <v>20.981999999999999</v>
      </c>
      <c r="W284" s="278">
        <v>24.756</v>
      </c>
      <c r="X284" s="278">
        <v>19.501999999999999</v>
      </c>
      <c r="Y284" s="278"/>
      <c r="Z284" s="278">
        <v>8.4410000000000007</v>
      </c>
      <c r="AA284" s="278">
        <v>19.812999999999999</v>
      </c>
      <c r="AB284" s="278">
        <v>31.841000000000001</v>
      </c>
      <c r="AC284" s="278">
        <v>12.791</v>
      </c>
      <c r="AD284" s="279">
        <v>138.126</v>
      </c>
      <c r="AE284" s="278">
        <f t="shared" si="68"/>
        <v>138.126</v>
      </c>
      <c r="AF284" s="278">
        <f t="shared" si="69"/>
        <v>0</v>
      </c>
      <c r="AG284" s="278">
        <f t="shared" si="67"/>
        <v>0</v>
      </c>
      <c r="AH284" s="202">
        <f t="shared" si="64"/>
        <v>3.0809999999999995</v>
      </c>
      <c r="AI284" s="202">
        <f t="shared" si="65"/>
        <v>58.57</v>
      </c>
      <c r="AJ284" s="285">
        <v>25.838000000000001</v>
      </c>
      <c r="AK284" s="285">
        <v>29.25</v>
      </c>
      <c r="AL284" s="285">
        <v>23.771000000000001</v>
      </c>
      <c r="AM284" s="285">
        <v>9.2959999999999994</v>
      </c>
      <c r="AN284" s="285">
        <v>24.611000000000001</v>
      </c>
      <c r="AO284" s="285">
        <v>35.439</v>
      </c>
      <c r="AP284" s="285">
        <v>14.199</v>
      </c>
      <c r="AQ284" s="285">
        <v>162.40299999999999</v>
      </c>
      <c r="AR284" s="285">
        <v>0</v>
      </c>
      <c r="AS284" s="275"/>
      <c r="AT284" s="244">
        <v>0.81205975694713206</v>
      </c>
      <c r="AU284" s="244">
        <v>0.84635897435897434</v>
      </c>
      <c r="AV284" s="244">
        <v>0.82041142568676106</v>
      </c>
      <c r="AW284" s="244">
        <v>0.90802495697074026</v>
      </c>
      <c r="AX284" s="244">
        <v>0.80504652391207177</v>
      </c>
      <c r="AY284" s="244">
        <v>0.8984734332232851</v>
      </c>
      <c r="AZ284" s="244">
        <v>0.90083808718923875</v>
      </c>
      <c r="BA284" s="275"/>
      <c r="BB284" s="191">
        <v>1.0334766807118139</v>
      </c>
      <c r="BC284" s="275"/>
      <c r="BE284" s="274">
        <f t="shared" si="70"/>
        <v>4.4556774193548385</v>
      </c>
      <c r="BF284" s="280">
        <f t="shared" si="74"/>
        <v>145.374</v>
      </c>
      <c r="BG284" s="154" t="str">
        <f t="shared" si="75"/>
        <v/>
      </c>
      <c r="BH284" s="270">
        <f t="shared" si="73"/>
        <v>0.10999999999999979</v>
      </c>
      <c r="BI284" s="270">
        <f t="shared" si="66"/>
        <v>0</v>
      </c>
    </row>
    <row r="285" spans="1:61">
      <c r="A285" s="266">
        <v>37712</v>
      </c>
      <c r="B285" s="266"/>
      <c r="C285" s="277">
        <v>0.12925555555555565</v>
      </c>
      <c r="D285" s="276">
        <v>3.8776666666666699</v>
      </c>
      <c r="E285" s="277">
        <v>5.241766666666666</v>
      </c>
      <c r="F285" s="277">
        <f t="shared" si="77"/>
        <v>157.25299999999999</v>
      </c>
      <c r="G285" s="277">
        <v>123.119</v>
      </c>
      <c r="H285" s="281">
        <f t="shared" si="76"/>
        <v>0.78293577864969199</v>
      </c>
      <c r="I285" s="202">
        <v>2893.0590000000002</v>
      </c>
      <c r="J285" s="270">
        <v>47</v>
      </c>
      <c r="K285" s="270">
        <v>0.16186776555815641</v>
      </c>
      <c r="L285" s="202">
        <v>356.47199999999998</v>
      </c>
      <c r="M285" s="277">
        <v>100.77387805259997</v>
      </c>
      <c r="N285" s="202">
        <v>1408.9549999999999</v>
      </c>
      <c r="O285" s="270">
        <v>11.44</v>
      </c>
      <c r="P285" s="270">
        <v>-4.2063046274179783E-2</v>
      </c>
      <c r="Q285" s="202">
        <v>1692.61</v>
      </c>
      <c r="R285" s="199">
        <v>0.798137407459801</v>
      </c>
      <c r="S285" s="202">
        <v>428.08999999999992</v>
      </c>
      <c r="T285" s="286">
        <v>482.21633333333358</v>
      </c>
      <c r="U285" s="286"/>
      <c r="V285" s="278">
        <v>17.141999999999999</v>
      </c>
      <c r="W285" s="278">
        <v>22.02</v>
      </c>
      <c r="X285" s="278">
        <v>19.497</v>
      </c>
      <c r="Y285" s="278"/>
      <c r="Z285" s="278">
        <v>6.1219999999999999</v>
      </c>
      <c r="AA285" s="278">
        <v>19.004999999999999</v>
      </c>
      <c r="AB285" s="278">
        <v>28.324999999999999</v>
      </c>
      <c r="AC285" s="278">
        <v>11.007999999999999</v>
      </c>
      <c r="AD285" s="279">
        <v>123.119</v>
      </c>
      <c r="AE285" s="278">
        <f t="shared" si="68"/>
        <v>123.119</v>
      </c>
      <c r="AF285" s="278">
        <f t="shared" si="69"/>
        <v>0</v>
      </c>
      <c r="AG285" s="278">
        <f t="shared" si="67"/>
        <v>0</v>
      </c>
      <c r="AH285" s="202">
        <f t="shared" si="64"/>
        <v>-3.5160000000000018</v>
      </c>
      <c r="AI285" s="202">
        <f t="shared" si="65"/>
        <v>58.44</v>
      </c>
      <c r="AJ285" s="285">
        <v>24.963000000000001</v>
      </c>
      <c r="AK285" s="285">
        <v>28.306999999999999</v>
      </c>
      <c r="AL285" s="285">
        <v>23.004000000000001</v>
      </c>
      <c r="AM285" s="285">
        <v>9.0350000000000001</v>
      </c>
      <c r="AN285" s="285">
        <v>23.815999999999999</v>
      </c>
      <c r="AO285" s="285">
        <v>34.354999999999997</v>
      </c>
      <c r="AP285" s="285">
        <v>13.772</v>
      </c>
      <c r="AQ285" s="285">
        <v>157.25299999999999</v>
      </c>
      <c r="AR285" s="285">
        <v>0</v>
      </c>
      <c r="AS285" s="275"/>
      <c r="AT285" s="244">
        <v>0.68669631053959856</v>
      </c>
      <c r="AU285" s="244">
        <v>0.77789945949765082</v>
      </c>
      <c r="AV285" s="244">
        <v>0.84754825247782983</v>
      </c>
      <c r="AW285" s="244">
        <v>0.6775871610403984</v>
      </c>
      <c r="AX285" s="244">
        <v>0.79799294591871006</v>
      </c>
      <c r="AY285" s="244">
        <v>0.82447969727841663</v>
      </c>
      <c r="AZ285" s="244">
        <v>0.79930293348823689</v>
      </c>
      <c r="BA285" s="275"/>
      <c r="BB285" s="191">
        <v>1.0314952742197927</v>
      </c>
      <c r="BC285" s="275"/>
      <c r="BE285" s="274">
        <f>G285/30</f>
        <v>4.1039666666666665</v>
      </c>
      <c r="BF285" s="280">
        <f t="shared" si="74"/>
        <v>135.398</v>
      </c>
      <c r="BG285" s="154" t="str">
        <f t="shared" si="75"/>
        <v/>
      </c>
      <c r="BH285" s="270">
        <f t="shared" si="73"/>
        <v>3.4000000000000342E-2</v>
      </c>
      <c r="BI285" s="270">
        <f t="shared" si="66"/>
        <v>-3.0000000000001137E-2</v>
      </c>
    </row>
    <row r="286" spans="1:61">
      <c r="A286" s="266">
        <v>37742</v>
      </c>
      <c r="B286" s="266"/>
      <c r="C286" s="277">
        <v>0.14065591397849497</v>
      </c>
      <c r="D286" s="276">
        <v>4.3603333333333438</v>
      </c>
      <c r="E286" s="277">
        <v>5.2417741935483875</v>
      </c>
      <c r="F286" s="277">
        <f t="shared" si="77"/>
        <v>162.495</v>
      </c>
      <c r="G286" s="277">
        <v>125.413</v>
      </c>
      <c r="H286" s="281">
        <f t="shared" si="76"/>
        <v>0.7717960552632388</v>
      </c>
      <c r="I286" s="202">
        <v>2954.7869999999998</v>
      </c>
      <c r="J286" s="270">
        <v>47.12</v>
      </c>
      <c r="K286" s="270">
        <v>-2.7120106852969172E-2</v>
      </c>
      <c r="L286" s="202">
        <v>289.50599999999997</v>
      </c>
      <c r="M286" s="277">
        <v>107.6587476909001</v>
      </c>
      <c r="N286" s="202">
        <v>1442.5840000000001</v>
      </c>
      <c r="O286" s="270">
        <v>11.5</v>
      </c>
      <c r="P286" s="270">
        <v>-6.544744683036896E-2</v>
      </c>
      <c r="Q286" s="202">
        <v>1575.175</v>
      </c>
      <c r="R286" s="199">
        <v>0.76740475494494786</v>
      </c>
      <c r="S286" s="202">
        <v>477.42499999999995</v>
      </c>
      <c r="T286" s="286">
        <v>471.12466666666654</v>
      </c>
      <c r="U286" s="286"/>
      <c r="V286" s="278">
        <v>15.4</v>
      </c>
      <c r="W286" s="278">
        <v>22.625</v>
      </c>
      <c r="X286" s="278">
        <v>17.667999999999999</v>
      </c>
      <c r="Y286" s="278"/>
      <c r="Z286" s="278">
        <v>8.2880000000000003</v>
      </c>
      <c r="AA286" s="278">
        <v>18.16</v>
      </c>
      <c r="AB286" s="278">
        <v>31.59</v>
      </c>
      <c r="AC286" s="278">
        <v>11.682</v>
      </c>
      <c r="AD286" s="279">
        <v>125.413</v>
      </c>
      <c r="AE286" s="278">
        <f t="shared" si="68"/>
        <v>125.413</v>
      </c>
      <c r="AF286" s="278">
        <f t="shared" si="69"/>
        <v>0</v>
      </c>
      <c r="AG286" s="278">
        <f t="shared" si="67"/>
        <v>0</v>
      </c>
      <c r="AH286" s="202">
        <f t="shared" si="64"/>
        <v>3.2650000000000006</v>
      </c>
      <c r="AI286" s="202">
        <f t="shared" si="65"/>
        <v>58.62</v>
      </c>
      <c r="AJ286" s="285">
        <v>25.795000000000002</v>
      </c>
      <c r="AK286" s="285">
        <v>29.25</v>
      </c>
      <c r="AL286" s="285">
        <v>23.771000000000001</v>
      </c>
      <c r="AM286" s="285">
        <v>9.3360000000000003</v>
      </c>
      <c r="AN286" s="285">
        <v>24.61</v>
      </c>
      <c r="AO286" s="285">
        <v>35.500999999999998</v>
      </c>
      <c r="AP286" s="285">
        <v>14.231</v>
      </c>
      <c r="AQ286" s="285">
        <v>162.495</v>
      </c>
      <c r="AR286" s="285">
        <v>0</v>
      </c>
      <c r="AS286" s="275"/>
      <c r="AT286" s="244">
        <v>0.59701492537313428</v>
      </c>
      <c r="AU286" s="244">
        <v>0.77350427350427353</v>
      </c>
      <c r="AV286" s="244">
        <v>0.74325859240250725</v>
      </c>
      <c r="AW286" s="244">
        <v>0.88774635818337622</v>
      </c>
      <c r="AX286" s="244">
        <v>0.73791141812271432</v>
      </c>
      <c r="AY286" s="244">
        <v>0.88983408918058648</v>
      </c>
      <c r="AZ286" s="244">
        <v>0.82088398566509735</v>
      </c>
      <c r="BA286" s="275"/>
      <c r="BB286" s="191">
        <v>1.0347677938757014</v>
      </c>
      <c r="BC286" s="275"/>
      <c r="BE286" s="274">
        <f t="shared" si="70"/>
        <v>4.0455806451612899</v>
      </c>
      <c r="BF286" s="280">
        <f t="shared" si="74"/>
        <v>136.042</v>
      </c>
      <c r="BG286" s="154" t="str">
        <f t="shared" si="75"/>
        <v/>
      </c>
      <c r="BH286" s="270">
        <f t="shared" si="73"/>
        <v>-2.2000000000000242E-2</v>
      </c>
      <c r="BI286" s="270">
        <f t="shared" si="66"/>
        <v>6.0000000000000497E-2</v>
      </c>
    </row>
    <row r="287" spans="1:61">
      <c r="A287" s="266">
        <v>37773</v>
      </c>
      <c r="B287" s="266"/>
      <c r="C287" s="277">
        <v>0.12393333333333345</v>
      </c>
      <c r="D287" s="276">
        <v>3.7180000000000035</v>
      </c>
      <c r="E287" s="277">
        <v>5.241766666666666</v>
      </c>
      <c r="F287" s="277">
        <f t="shared" si="77"/>
        <v>157.25299999999999</v>
      </c>
      <c r="G287" s="277">
        <v>117.66200000000001</v>
      </c>
      <c r="H287" s="281">
        <f t="shared" si="76"/>
        <v>0.74823373798910042</v>
      </c>
      <c r="I287" s="202">
        <v>2785.01</v>
      </c>
      <c r="J287" s="270">
        <v>47.34</v>
      </c>
      <c r="K287" s="270">
        <v>5.5264458724622045E-3</v>
      </c>
      <c r="L287" s="202">
        <v>205.167</v>
      </c>
      <c r="M287" s="277">
        <v>205.92544717590002</v>
      </c>
      <c r="N287" s="202">
        <v>1364.3050000000001</v>
      </c>
      <c r="O287" s="270">
        <v>11.6</v>
      </c>
      <c r="P287" s="270">
        <v>-0.14012193112539073</v>
      </c>
      <c r="Q287" s="202">
        <v>1466.739</v>
      </c>
      <c r="R287" s="199">
        <v>0.76055950220378532</v>
      </c>
      <c r="S287" s="202">
        <v>461.76099999999997</v>
      </c>
      <c r="T287" s="286">
        <v>448.99366666666668</v>
      </c>
      <c r="U287" s="286"/>
      <c r="V287" s="278">
        <v>14.734999999999999</v>
      </c>
      <c r="W287" s="278">
        <v>20.161000000000001</v>
      </c>
      <c r="X287" s="278">
        <v>18.686</v>
      </c>
      <c r="Y287" s="278"/>
      <c r="Z287" s="278">
        <v>5.2370000000000001</v>
      </c>
      <c r="AA287" s="278">
        <v>18.702000000000002</v>
      </c>
      <c r="AB287" s="278">
        <v>27.928000000000001</v>
      </c>
      <c r="AC287" s="278">
        <v>12.212</v>
      </c>
      <c r="AD287" s="279">
        <v>117.66200000000001</v>
      </c>
      <c r="AE287" s="278">
        <f t="shared" si="68"/>
        <v>117.661</v>
      </c>
      <c r="AF287" s="278">
        <f t="shared" si="69"/>
        <v>-1.0000000000047748E-3</v>
      </c>
      <c r="AG287" s="278">
        <f t="shared" si="67"/>
        <v>-1.0000000000047748E-3</v>
      </c>
      <c r="AH287" s="202">
        <f t="shared" si="64"/>
        <v>-3.661999999999999</v>
      </c>
      <c r="AI287" s="202">
        <f t="shared" si="65"/>
        <v>58.940000000000005</v>
      </c>
      <c r="AJ287" s="285">
        <v>24.963000000000001</v>
      </c>
      <c r="AK287" s="285">
        <v>28.306999999999999</v>
      </c>
      <c r="AL287" s="285">
        <v>23.004000000000001</v>
      </c>
      <c r="AM287" s="285">
        <v>9.0350000000000001</v>
      </c>
      <c r="AN287" s="285">
        <v>23.815999999999999</v>
      </c>
      <c r="AO287" s="285">
        <v>34.354999999999997</v>
      </c>
      <c r="AP287" s="285">
        <v>13.772</v>
      </c>
      <c r="AQ287" s="285">
        <v>157.25299999999999</v>
      </c>
      <c r="AR287" s="285">
        <v>0</v>
      </c>
      <c r="AS287" s="275"/>
      <c r="AT287" s="244">
        <v>0.59027360493530423</v>
      </c>
      <c r="AU287" s="244">
        <v>0.71222665771717253</v>
      </c>
      <c r="AV287" s="244">
        <v>0.81229351417144835</v>
      </c>
      <c r="AW287" s="244">
        <v>0.57963475373547313</v>
      </c>
      <c r="AX287" s="244">
        <v>0.7852704064494459</v>
      </c>
      <c r="AY287" s="244">
        <v>0.8129238829864649</v>
      </c>
      <c r="AZ287" s="244">
        <v>0.88672669183851294</v>
      </c>
      <c r="BA287" s="275"/>
      <c r="BB287" s="191">
        <v>1.0315989869286601</v>
      </c>
      <c r="BC287" s="275"/>
      <c r="BE287" s="274">
        <f>G287/30</f>
        <v>3.9220666666666668</v>
      </c>
      <c r="BF287" s="280">
        <f t="shared" si="74"/>
        <v>130.62899999999999</v>
      </c>
      <c r="BG287" s="154" t="str">
        <f t="shared" si="75"/>
        <v/>
      </c>
      <c r="BH287" s="270">
        <f t="shared" si="73"/>
        <v>8.9999999999999858E-2</v>
      </c>
      <c r="BI287" s="270">
        <f t="shared" si="66"/>
        <v>9.9999999999999645E-2</v>
      </c>
    </row>
    <row r="288" spans="1:61">
      <c r="A288" s="266">
        <v>37803</v>
      </c>
      <c r="B288" s="266"/>
      <c r="C288" s="277">
        <v>0.1130107526881724</v>
      </c>
      <c r="D288" s="276">
        <v>3.5033333333333445</v>
      </c>
      <c r="E288" s="277">
        <v>5.1028709677419348</v>
      </c>
      <c r="F288" s="277">
        <f t="shared" si="77"/>
        <v>158.18899999999999</v>
      </c>
      <c r="G288" s="277">
        <v>125.76</v>
      </c>
      <c r="H288" s="281">
        <f t="shared" si="76"/>
        <v>0.79499838800422284</v>
      </c>
      <c r="I288" s="202">
        <v>2972.6979999999999</v>
      </c>
      <c r="J288" s="270">
        <v>47.28</v>
      </c>
      <c r="K288" s="270">
        <v>0.13329069857396547</v>
      </c>
      <c r="L288" s="202">
        <v>258.20100000000002</v>
      </c>
      <c r="M288" s="277">
        <v>127.22248207440003</v>
      </c>
      <c r="N288" s="202">
        <v>1452.874</v>
      </c>
      <c r="O288" s="270">
        <v>11.55</v>
      </c>
      <c r="P288" s="270">
        <v>-8.1937388792903576E-2</v>
      </c>
      <c r="Q288" s="202">
        <v>1286.816</v>
      </c>
      <c r="R288" s="199">
        <v>0.71664958788148803</v>
      </c>
      <c r="S288" s="202">
        <v>508.78400000000011</v>
      </c>
      <c r="T288" s="286">
        <v>420.52166666666693</v>
      </c>
      <c r="U288" s="286"/>
      <c r="V288" s="278">
        <v>16.709</v>
      </c>
      <c r="W288" s="278">
        <v>22.3</v>
      </c>
      <c r="X288" s="278">
        <v>19.873999999999999</v>
      </c>
      <c r="Y288" s="278"/>
      <c r="Z288" s="278">
        <v>7.2539999999999996</v>
      </c>
      <c r="AA288" s="278">
        <v>17.215</v>
      </c>
      <c r="AB288" s="278">
        <v>29.97</v>
      </c>
      <c r="AC288" s="278">
        <v>12.438000000000001</v>
      </c>
      <c r="AD288" s="279">
        <v>125.76</v>
      </c>
      <c r="AE288" s="278">
        <f t="shared" si="68"/>
        <v>125.76</v>
      </c>
      <c r="AF288" s="278">
        <f t="shared" si="69"/>
        <v>0</v>
      </c>
      <c r="AG288" s="278">
        <f t="shared" si="67"/>
        <v>0</v>
      </c>
      <c r="AH288" s="202">
        <f t="shared" si="64"/>
        <v>2.041999999999998</v>
      </c>
      <c r="AI288" s="202">
        <f t="shared" si="65"/>
        <v>58.83</v>
      </c>
      <c r="AJ288" s="285">
        <v>22.009</v>
      </c>
      <c r="AK288" s="285">
        <v>29.25</v>
      </c>
      <c r="AL288" s="285">
        <v>23.771000000000001</v>
      </c>
      <c r="AM288" s="285">
        <v>9.6660000000000004</v>
      </c>
      <c r="AN288" s="285">
        <v>23.931999999999999</v>
      </c>
      <c r="AO288" s="285">
        <v>35.405000000000001</v>
      </c>
      <c r="AP288" s="285">
        <v>14.156000000000001</v>
      </c>
      <c r="AQ288" s="285">
        <v>158.18899999999999</v>
      </c>
      <c r="AR288" s="285">
        <v>0</v>
      </c>
      <c r="AS288" s="275"/>
      <c r="AT288" s="244">
        <v>0.75918942250897359</v>
      </c>
      <c r="AU288" s="244">
        <v>0.76239316239316246</v>
      </c>
      <c r="AV288" s="244">
        <v>0.83606074628749305</v>
      </c>
      <c r="AW288" s="244">
        <v>0.75046554934823084</v>
      </c>
      <c r="AX288" s="244">
        <v>0.71932976767507939</v>
      </c>
      <c r="AY288" s="244">
        <v>0.8464906086710916</v>
      </c>
      <c r="AZ288" s="244">
        <v>0.87863803334275214</v>
      </c>
      <c r="BA288" s="275"/>
      <c r="BB288" s="191">
        <v>1.0278572943172182</v>
      </c>
      <c r="BC288" s="275"/>
      <c r="BE288" s="274">
        <f t="shared" si="70"/>
        <v>4.056774193548387</v>
      </c>
      <c r="BF288" s="280">
        <f t="shared" si="74"/>
        <v>132.49</v>
      </c>
      <c r="BG288" s="154" t="str">
        <f t="shared" si="75"/>
        <v/>
      </c>
      <c r="BH288" s="270">
        <f t="shared" si="73"/>
        <v>-0.05</v>
      </c>
      <c r="BI288" s="270">
        <f t="shared" si="66"/>
        <v>-4.9999999999998934E-2</v>
      </c>
    </row>
    <row r="289" spans="1:61">
      <c r="A289" s="266">
        <v>37834</v>
      </c>
      <c r="B289" s="266"/>
      <c r="C289" s="277">
        <v>0.12488172043010773</v>
      </c>
      <c r="D289" s="276">
        <v>3.8713333333333395</v>
      </c>
      <c r="E289" s="277">
        <v>5.1028709677419348</v>
      </c>
      <c r="F289" s="277">
        <f t="shared" si="77"/>
        <v>158.18899999999999</v>
      </c>
      <c r="G289" s="277">
        <v>121.22199999999999</v>
      </c>
      <c r="H289" s="281">
        <f t="shared" si="76"/>
        <v>0.76631118472207294</v>
      </c>
      <c r="I289" s="202">
        <v>2859.0810000000001</v>
      </c>
      <c r="J289" s="270">
        <v>47.17</v>
      </c>
      <c r="K289" s="270">
        <v>0.26018546152206312</v>
      </c>
      <c r="L289" s="202">
        <v>322.74599999999998</v>
      </c>
      <c r="M289" s="277">
        <v>82.763903347500047</v>
      </c>
      <c r="N289" s="202">
        <v>1402.7809999999999</v>
      </c>
      <c r="O289" s="270">
        <v>11.57</v>
      </c>
      <c r="P289" s="270">
        <v>-5.5397569814539693E-2</v>
      </c>
      <c r="Q289" s="202">
        <v>1218.3989999999999</v>
      </c>
      <c r="R289" s="199">
        <v>0.73490500030158623</v>
      </c>
      <c r="S289" s="202">
        <v>439.5010000000002</v>
      </c>
      <c r="T289" s="286">
        <v>402.05999999999995</v>
      </c>
      <c r="U289" s="286"/>
      <c r="V289" s="278">
        <v>17.530999999999999</v>
      </c>
      <c r="W289" s="278">
        <v>22.548999999999999</v>
      </c>
      <c r="X289" s="278">
        <v>16.571999999999999</v>
      </c>
      <c r="Y289" s="278"/>
      <c r="Z289" s="278">
        <v>6.633</v>
      </c>
      <c r="AA289" s="278">
        <v>16.629000000000001</v>
      </c>
      <c r="AB289" s="278">
        <v>28.414999999999999</v>
      </c>
      <c r="AC289" s="278">
        <v>12.893000000000001</v>
      </c>
      <c r="AD289" s="279">
        <v>121.22199999999999</v>
      </c>
      <c r="AE289" s="278">
        <f t="shared" si="68"/>
        <v>121.22200000000001</v>
      </c>
      <c r="AF289" s="278">
        <f t="shared" si="69"/>
        <v>0</v>
      </c>
      <c r="AG289" s="278">
        <f t="shared" si="67"/>
        <v>0</v>
      </c>
      <c r="AH289" s="202">
        <f t="shared" si="64"/>
        <v>-1.5549999999999997</v>
      </c>
      <c r="AI289" s="202">
        <f t="shared" si="65"/>
        <v>58.74</v>
      </c>
      <c r="AJ289" s="285">
        <v>22.009</v>
      </c>
      <c r="AK289" s="285">
        <v>29.25</v>
      </c>
      <c r="AL289" s="285">
        <v>23.771000000000001</v>
      </c>
      <c r="AM289" s="285">
        <v>9.6660000000000004</v>
      </c>
      <c r="AN289" s="285">
        <v>23.931999999999999</v>
      </c>
      <c r="AO289" s="285">
        <v>35.405000000000001</v>
      </c>
      <c r="AP289" s="285">
        <v>14.156000000000001</v>
      </c>
      <c r="AQ289" s="285">
        <v>158.18899999999999</v>
      </c>
      <c r="AR289" s="285">
        <v>0</v>
      </c>
      <c r="AS289" s="275"/>
      <c r="AT289" s="244">
        <v>0.79653777999909126</v>
      </c>
      <c r="AU289" s="244">
        <v>0.77090598290598289</v>
      </c>
      <c r="AV289" s="244">
        <v>0.6971519919229312</v>
      </c>
      <c r="AW289" s="244">
        <v>0.68621973929236502</v>
      </c>
      <c r="AX289" s="244">
        <v>0.69484372388433902</v>
      </c>
      <c r="AY289" s="244">
        <v>0.80257025843807361</v>
      </c>
      <c r="AZ289" s="244">
        <v>0.9107798813224075</v>
      </c>
      <c r="BA289" s="275"/>
      <c r="BB289" s="191">
        <v>1.0319358972243762</v>
      </c>
      <c r="BC289" s="275"/>
      <c r="BE289" s="274">
        <f t="shared" si="70"/>
        <v>3.9103870967741932</v>
      </c>
      <c r="BF289" s="280">
        <f t="shared" si="74"/>
        <v>128.852</v>
      </c>
      <c r="BG289" s="154" t="str">
        <f t="shared" si="75"/>
        <v/>
      </c>
      <c r="BH289" s="270">
        <f t="shared" si="73"/>
        <v>5.400000000000027E-2</v>
      </c>
      <c r="BI289" s="270">
        <f t="shared" si="66"/>
        <v>1.9999999999999574E-2</v>
      </c>
    </row>
    <row r="290" spans="1:61">
      <c r="A290" s="266">
        <v>37865</v>
      </c>
      <c r="B290" s="266"/>
      <c r="C290" s="277">
        <v>0.14878888888888894</v>
      </c>
      <c r="D290" s="276">
        <v>4.4636666666666684</v>
      </c>
      <c r="E290" s="277">
        <v>5.1029</v>
      </c>
      <c r="F290" s="277">
        <f t="shared" si="77"/>
        <v>153.08699999999999</v>
      </c>
      <c r="G290" s="277">
        <v>123.173</v>
      </c>
      <c r="H290" s="281">
        <f t="shared" si="76"/>
        <v>0.80459477290690917</v>
      </c>
      <c r="I290" s="202">
        <v>2899.3339999999998</v>
      </c>
      <c r="J290" s="270">
        <v>47.08</v>
      </c>
      <c r="K290" s="270">
        <v>0.29823509440860363</v>
      </c>
      <c r="L290" s="202">
        <v>300.65300000000002</v>
      </c>
      <c r="M290" s="277">
        <v>90.447273493299917</v>
      </c>
      <c r="N290" s="202">
        <v>1404.068</v>
      </c>
      <c r="O290" s="270">
        <v>11.4</v>
      </c>
      <c r="P290" s="270">
        <v>-7.7234859366429376E-2</v>
      </c>
      <c r="Q290" s="202">
        <v>1080.1400000000001</v>
      </c>
      <c r="R290" s="199">
        <v>0.72555921273594415</v>
      </c>
      <c r="S290" s="202">
        <v>408.55999999999995</v>
      </c>
      <c r="T290" s="286">
        <v>419.21533333333338</v>
      </c>
      <c r="U290" s="286"/>
      <c r="V290" s="278">
        <v>16.391999999999999</v>
      </c>
      <c r="W290" s="278">
        <v>23.515000000000001</v>
      </c>
      <c r="X290" s="278">
        <v>17.786000000000001</v>
      </c>
      <c r="Y290" s="278"/>
      <c r="Z290" s="278">
        <v>8.32</v>
      </c>
      <c r="AA290" s="278">
        <v>16.079000000000001</v>
      </c>
      <c r="AB290" s="278">
        <v>28.501000000000001</v>
      </c>
      <c r="AC290" s="278">
        <v>12.581</v>
      </c>
      <c r="AD290" s="279">
        <v>123.173</v>
      </c>
      <c r="AE290" s="278">
        <f t="shared" si="68"/>
        <v>123.17400000000002</v>
      </c>
      <c r="AF290" s="278">
        <f t="shared" si="69"/>
        <v>1.0000000000189857E-3</v>
      </c>
      <c r="AG290" s="278">
        <f t="shared" si="67"/>
        <v>1.0000000000189857E-3</v>
      </c>
      <c r="AH290" s="202">
        <f t="shared" si="64"/>
        <v>8.6000000000002075E-2</v>
      </c>
      <c r="AI290" s="202">
        <f t="shared" si="65"/>
        <v>58.48</v>
      </c>
      <c r="AJ290" s="285">
        <v>21.298999999999999</v>
      </c>
      <c r="AK290" s="285">
        <v>28.306999999999999</v>
      </c>
      <c r="AL290" s="285">
        <v>23.004000000000001</v>
      </c>
      <c r="AM290" s="285">
        <v>9.3550000000000004</v>
      </c>
      <c r="AN290" s="285">
        <v>23.16</v>
      </c>
      <c r="AO290" s="285">
        <v>34.262999999999998</v>
      </c>
      <c r="AP290" s="285">
        <v>13.699</v>
      </c>
      <c r="AQ290" s="285">
        <v>153.08699999999999</v>
      </c>
      <c r="AR290" s="285">
        <v>0</v>
      </c>
      <c r="AS290" s="275"/>
      <c r="AT290" s="244">
        <v>0.76961359688248276</v>
      </c>
      <c r="AU290" s="244">
        <v>0.83071325113929417</v>
      </c>
      <c r="AV290" s="244">
        <v>0.773169883498522</v>
      </c>
      <c r="AW290" s="244">
        <v>0.88936397648316412</v>
      </c>
      <c r="AX290" s="244">
        <v>0.69425734024179619</v>
      </c>
      <c r="AY290" s="244">
        <v>0.83183025421008094</v>
      </c>
      <c r="AZ290" s="244">
        <v>0.91838820351850503</v>
      </c>
      <c r="BA290" s="275"/>
      <c r="BB290" s="191">
        <v>1.0362390025952657</v>
      </c>
      <c r="BC290" s="275"/>
      <c r="BE290" s="274">
        <f>G290/30</f>
        <v>4.1057666666666668</v>
      </c>
      <c r="BF290" s="280">
        <f t="shared" si="74"/>
        <v>132.16399999999999</v>
      </c>
      <c r="BG290" s="154" t="str">
        <f t="shared" si="75"/>
        <v/>
      </c>
      <c r="BH290" s="270">
        <f t="shared" si="73"/>
        <v>-4.0000000000002698E-3</v>
      </c>
      <c r="BI290" s="270">
        <f t="shared" si="66"/>
        <v>-0.16999999999999993</v>
      </c>
    </row>
    <row r="291" spans="1:61">
      <c r="A291" s="266">
        <v>37895</v>
      </c>
      <c r="B291" s="266"/>
      <c r="C291" s="277">
        <v>0.14784946236559171</v>
      </c>
      <c r="D291" s="276">
        <v>4.5833333333333428</v>
      </c>
      <c r="E291" s="277">
        <v>5.1139354838709679</v>
      </c>
      <c r="F291" s="277">
        <f t="shared" si="77"/>
        <v>158.53200000000001</v>
      </c>
      <c r="G291" s="277">
        <v>141.57</v>
      </c>
      <c r="H291" s="281">
        <f t="shared" si="76"/>
        <v>0.89300582847626964</v>
      </c>
      <c r="I291" s="202">
        <v>3340.973</v>
      </c>
      <c r="J291" s="270">
        <v>47.2</v>
      </c>
      <c r="K291" s="270">
        <v>0.17627149568946265</v>
      </c>
      <c r="L291" s="202">
        <v>457.20400000000001</v>
      </c>
      <c r="M291" s="277">
        <v>51.907264069099938</v>
      </c>
      <c r="N291" s="202">
        <v>1588.9649999999999</v>
      </c>
      <c r="O291" s="270">
        <v>11.22</v>
      </c>
      <c r="P291" s="270">
        <v>-6.1855585458197027E-2</v>
      </c>
      <c r="Q291" s="202">
        <v>1043.633</v>
      </c>
      <c r="R291" s="199">
        <v>0.73922156112763848</v>
      </c>
      <c r="S291" s="202">
        <v>368.16699999999992</v>
      </c>
      <c r="T291" s="286">
        <v>372.11133333333333</v>
      </c>
      <c r="U291" s="286"/>
      <c r="V291" s="278">
        <v>21.146999999999998</v>
      </c>
      <c r="W291" s="278">
        <v>27.295999999999999</v>
      </c>
      <c r="X291" s="278">
        <v>20.477</v>
      </c>
      <c r="Y291" s="278"/>
      <c r="Z291" s="278">
        <v>9.109</v>
      </c>
      <c r="AA291" s="278">
        <v>18.542999999999999</v>
      </c>
      <c r="AB291" s="278">
        <v>29.292999999999999</v>
      </c>
      <c r="AC291" s="278">
        <v>15.706</v>
      </c>
      <c r="AD291" s="279">
        <v>141.57</v>
      </c>
      <c r="AE291" s="278">
        <f t="shared" si="68"/>
        <v>141.571</v>
      </c>
      <c r="AF291" s="278">
        <f t="shared" si="69"/>
        <v>1.0000000000047748E-3</v>
      </c>
      <c r="AG291" s="278">
        <f t="shared" si="67"/>
        <v>1.0000000000047748E-3</v>
      </c>
      <c r="AH291" s="202">
        <f t="shared" si="64"/>
        <v>0.79199999999999804</v>
      </c>
      <c r="AI291" s="202">
        <f t="shared" si="65"/>
        <v>58.42</v>
      </c>
      <c r="AJ291" s="285">
        <v>22.207999999999998</v>
      </c>
      <c r="AK291" s="285">
        <v>29.25</v>
      </c>
      <c r="AL291" s="285">
        <v>23.783000000000001</v>
      </c>
      <c r="AM291" s="285">
        <v>9.6159999999999997</v>
      </c>
      <c r="AN291" s="285">
        <v>23.931999999999999</v>
      </c>
      <c r="AO291" s="285">
        <v>35.423999999999999</v>
      </c>
      <c r="AP291" s="285">
        <v>14.319000000000001</v>
      </c>
      <c r="AQ291" s="285">
        <v>158.53200000000001</v>
      </c>
      <c r="AR291" s="285">
        <v>0</v>
      </c>
      <c r="AS291" s="275"/>
      <c r="AT291" s="244">
        <v>0.95222442363112392</v>
      </c>
      <c r="AU291" s="244">
        <v>0.93319658119658122</v>
      </c>
      <c r="AV291" s="244">
        <v>0.86099314636505064</v>
      </c>
      <c r="AW291" s="244">
        <v>0.94727537437603992</v>
      </c>
      <c r="AX291" s="244">
        <v>0.7748203242520475</v>
      </c>
      <c r="AY291" s="244">
        <v>0.82692524841915083</v>
      </c>
      <c r="AZ291" s="244">
        <v>1.0968643061666317</v>
      </c>
      <c r="BA291" s="275"/>
      <c r="BB291" s="191">
        <v>1.0323750323750325</v>
      </c>
      <c r="BC291" s="275"/>
      <c r="BE291" s="274">
        <f t="shared" si="70"/>
        <v>4.5667741935483868</v>
      </c>
      <c r="BF291" s="280">
        <f t="shared" si="74"/>
        <v>148.86799999999999</v>
      </c>
      <c r="BG291" s="154" t="str">
        <f t="shared" si="75"/>
        <v/>
      </c>
      <c r="BH291" s="270">
        <f t="shared" si="73"/>
        <v>-0.14800000000000005</v>
      </c>
      <c r="BI291" s="270">
        <f t="shared" si="66"/>
        <v>-0.17999999999999972</v>
      </c>
    </row>
    <row r="292" spans="1:61">
      <c r="A292" s="266">
        <v>37926</v>
      </c>
      <c r="B292" s="266"/>
      <c r="C292" s="277">
        <v>0.17731111111111014</v>
      </c>
      <c r="D292" s="276">
        <v>5.3193333333333044</v>
      </c>
      <c r="E292" s="277">
        <v>5.1139333333333337</v>
      </c>
      <c r="F292" s="277">
        <f t="shared" si="77"/>
        <v>153.41800000000001</v>
      </c>
      <c r="G292" s="277">
        <v>140.29400000000001</v>
      </c>
      <c r="H292" s="281">
        <f t="shared" si="76"/>
        <v>0.91445593085557109</v>
      </c>
      <c r="I292" s="202">
        <v>3331.424</v>
      </c>
      <c r="J292" s="270">
        <v>47.49</v>
      </c>
      <c r="K292" s="270">
        <v>0.11553062906327938</v>
      </c>
      <c r="L292" s="202">
        <v>489.48500000000001</v>
      </c>
      <c r="M292" s="277">
        <v>202.4924939476</v>
      </c>
      <c r="N292" s="202">
        <v>1561.8779999999999</v>
      </c>
      <c r="O292" s="270">
        <v>11.13</v>
      </c>
      <c r="P292" s="270">
        <v>-6.9199706986539766E-2</v>
      </c>
      <c r="Q292" s="202">
        <v>1126.184</v>
      </c>
      <c r="R292" s="199">
        <v>0.74819558862609614</v>
      </c>
      <c r="S292" s="202">
        <v>379.01600000000008</v>
      </c>
      <c r="T292" s="286">
        <v>432.1543333333334</v>
      </c>
      <c r="U292" s="286"/>
      <c r="V292" s="278">
        <v>20.009</v>
      </c>
      <c r="W292" s="278">
        <v>26.937999999999999</v>
      </c>
      <c r="X292" s="278">
        <v>20.707000000000001</v>
      </c>
      <c r="Y292" s="278"/>
      <c r="Z292" s="278">
        <v>8.2940000000000005</v>
      </c>
      <c r="AA292" s="278">
        <v>19.065999999999999</v>
      </c>
      <c r="AB292" s="278">
        <v>30.001000000000001</v>
      </c>
      <c r="AC292" s="278">
        <v>15.276999999999999</v>
      </c>
      <c r="AD292" s="279">
        <v>140.29400000000001</v>
      </c>
      <c r="AE292" s="278">
        <f t="shared" si="68"/>
        <v>140.292</v>
      </c>
      <c r="AF292" s="278">
        <f t="shared" si="69"/>
        <v>-2.0000000000095497E-3</v>
      </c>
      <c r="AG292" s="278">
        <f t="shared" si="67"/>
        <v>-2.0000000000095497E-3</v>
      </c>
      <c r="AH292" s="202">
        <f t="shared" si="64"/>
        <v>0.70800000000000196</v>
      </c>
      <c r="AI292" s="202">
        <f t="shared" si="65"/>
        <v>58.620000000000005</v>
      </c>
      <c r="AJ292" s="285">
        <v>21.491</v>
      </c>
      <c r="AK292" s="285">
        <v>28.306999999999999</v>
      </c>
      <c r="AL292" s="285">
        <v>23.015999999999998</v>
      </c>
      <c r="AM292" s="285">
        <v>9.3059999999999992</v>
      </c>
      <c r="AN292" s="285">
        <v>23.16</v>
      </c>
      <c r="AO292" s="285">
        <v>34.280999999999999</v>
      </c>
      <c r="AP292" s="285">
        <v>13.856999999999999</v>
      </c>
      <c r="AQ292" s="285">
        <v>153.41800000000001</v>
      </c>
      <c r="AR292" s="285">
        <v>0</v>
      </c>
      <c r="AS292" s="275"/>
      <c r="AT292" s="244">
        <v>0.93104090084221303</v>
      </c>
      <c r="AU292" s="244">
        <v>0.95163740417564557</v>
      </c>
      <c r="AV292" s="244">
        <v>0.89967848453249921</v>
      </c>
      <c r="AW292" s="244">
        <v>0.89125295508274249</v>
      </c>
      <c r="AX292" s="244">
        <v>0.82322970639032811</v>
      </c>
      <c r="AY292" s="244">
        <v>0.87514949972287859</v>
      </c>
      <c r="AZ292" s="244">
        <v>1.1024752832503428</v>
      </c>
      <c r="BA292" s="275"/>
      <c r="BB292" s="191">
        <v>1.0379156153031013</v>
      </c>
      <c r="BC292" s="275"/>
      <c r="BE292" s="274">
        <f>G292/30</f>
        <v>4.6764666666666672</v>
      </c>
      <c r="BF292" s="280">
        <f t="shared" si="74"/>
        <v>144.67400000000001</v>
      </c>
      <c r="BG292" s="154" t="str">
        <f t="shared" si="75"/>
        <v/>
      </c>
      <c r="BH292" s="270">
        <f t="shared" si="73"/>
        <v>-0.1019999999999996</v>
      </c>
      <c r="BI292" s="270">
        <f t="shared" si="66"/>
        <v>-8.9999999999999858E-2</v>
      </c>
    </row>
    <row r="293" spans="1:61">
      <c r="A293" s="266">
        <v>37956</v>
      </c>
      <c r="B293" s="266"/>
      <c r="C293" s="277">
        <v>0.23936559139784941</v>
      </c>
      <c r="D293" s="276">
        <v>7.4203333333333319</v>
      </c>
      <c r="E293" s="277">
        <v>5.1139354838709679</v>
      </c>
      <c r="F293" s="277">
        <f t="shared" si="77"/>
        <v>158.53200000000001</v>
      </c>
      <c r="G293" s="277">
        <v>138.40299999999999</v>
      </c>
      <c r="H293" s="281">
        <f t="shared" si="76"/>
        <v>0.87302878914036275</v>
      </c>
      <c r="I293" s="202">
        <v>3292.2420000000002</v>
      </c>
      <c r="J293" s="270">
        <v>47.57</v>
      </c>
      <c r="K293" s="270">
        <v>0.20973346743776489</v>
      </c>
      <c r="L293" s="202">
        <v>566.226</v>
      </c>
      <c r="M293" s="277">
        <v>-75.834732488399936</v>
      </c>
      <c r="N293" s="202">
        <v>1534.537</v>
      </c>
      <c r="O293" s="270">
        <v>11.09</v>
      </c>
      <c r="P293" s="270">
        <v>-8.6274030219215092E-2</v>
      </c>
      <c r="Q293" s="202">
        <v>1203.3430000000001</v>
      </c>
      <c r="R293" s="199">
        <v>0.76175413053111352</v>
      </c>
      <c r="S293" s="202">
        <v>376.35699999999997</v>
      </c>
      <c r="T293" s="286">
        <v>418.59300000000002</v>
      </c>
      <c r="U293" s="286"/>
      <c r="V293" s="278">
        <v>19.555</v>
      </c>
      <c r="W293" s="278">
        <v>26.274999999999999</v>
      </c>
      <c r="X293" s="278">
        <v>19.895</v>
      </c>
      <c r="Y293" s="278"/>
      <c r="Z293" s="278">
        <v>8.7349999999999994</v>
      </c>
      <c r="AA293" s="278">
        <v>18.419</v>
      </c>
      <c r="AB293" s="278">
        <v>30.178000000000001</v>
      </c>
      <c r="AC293" s="278">
        <v>15.346</v>
      </c>
      <c r="AD293" s="279">
        <v>138.40299999999999</v>
      </c>
      <c r="AE293" s="278">
        <f t="shared" si="68"/>
        <v>138.40299999999999</v>
      </c>
      <c r="AF293" s="278">
        <f t="shared" si="69"/>
        <v>0</v>
      </c>
      <c r="AG293" s="278">
        <f t="shared" si="67"/>
        <v>0</v>
      </c>
      <c r="AH293" s="202">
        <f t="shared" si="64"/>
        <v>0.1769999999999996</v>
      </c>
      <c r="AI293" s="202">
        <f t="shared" si="65"/>
        <v>58.66</v>
      </c>
      <c r="AJ293" s="285">
        <v>22.207999999999998</v>
      </c>
      <c r="AK293" s="285">
        <v>29.25</v>
      </c>
      <c r="AL293" s="285">
        <v>23.783000000000001</v>
      </c>
      <c r="AM293" s="285">
        <v>9.6159999999999997</v>
      </c>
      <c r="AN293" s="285">
        <v>23.931999999999999</v>
      </c>
      <c r="AO293" s="285">
        <v>35.423999999999999</v>
      </c>
      <c r="AP293" s="285">
        <v>14.319000000000001</v>
      </c>
      <c r="AQ293" s="285">
        <v>158.53200000000001</v>
      </c>
      <c r="AR293" s="285">
        <v>0</v>
      </c>
      <c r="AS293" s="275"/>
      <c r="AT293" s="244">
        <v>0.88053854466858794</v>
      </c>
      <c r="AU293" s="244">
        <v>0.89829059829059821</v>
      </c>
      <c r="AV293" s="244">
        <v>0.83652188538031358</v>
      </c>
      <c r="AW293" s="244">
        <v>0.90838186356073214</v>
      </c>
      <c r="AX293" s="244">
        <v>0.76963897710178841</v>
      </c>
      <c r="AY293" s="244">
        <v>0.85190831074977424</v>
      </c>
      <c r="AZ293" s="244">
        <v>1.0717228856763741</v>
      </c>
      <c r="BA293" s="275"/>
      <c r="BB293" s="191">
        <v>1.0536139630884687</v>
      </c>
      <c r="BC293" s="275"/>
      <c r="BE293" s="274">
        <f t="shared" si="70"/>
        <v>4.464612903225806</v>
      </c>
      <c r="BF293" s="280">
        <f t="shared" si="74"/>
        <v>148.77099999999999</v>
      </c>
      <c r="BG293" s="154" t="str">
        <f t="shared" si="75"/>
        <v/>
      </c>
      <c r="BH293" s="270">
        <f t="shared" si="73"/>
        <v>3.2000000000000028E-2</v>
      </c>
      <c r="BI293" s="270">
        <f t="shared" si="66"/>
        <v>-4.0000000000000924E-2</v>
      </c>
    </row>
    <row r="294" spans="1:61">
      <c r="A294" s="266">
        <v>37987</v>
      </c>
      <c r="B294" s="266"/>
      <c r="C294" s="277">
        <v>0.25322580645161274</v>
      </c>
      <c r="D294" s="276">
        <v>7.8499999999999943</v>
      </c>
      <c r="E294" s="277">
        <v>5.2405161290322573</v>
      </c>
      <c r="F294" s="277">
        <f t="shared" si="77"/>
        <v>162.45599999999999</v>
      </c>
      <c r="G294" s="277">
        <v>138.05000000000001</v>
      </c>
      <c r="H294" s="281">
        <f t="shared" si="76"/>
        <v>0.84976855271581242</v>
      </c>
      <c r="I294" s="202">
        <v>3283.0120000000002</v>
      </c>
      <c r="J294" s="270">
        <v>47.56</v>
      </c>
      <c r="K294" s="270">
        <v>0.11374914324879626</v>
      </c>
      <c r="L294" s="202">
        <v>495.9</v>
      </c>
      <c r="M294" s="277">
        <v>123.82001581769998</v>
      </c>
      <c r="N294" s="202">
        <v>1545.645</v>
      </c>
      <c r="O294" s="270">
        <v>11.2</v>
      </c>
      <c r="P294" s="270">
        <v>-0.10815627141877826</v>
      </c>
      <c r="Q294" s="202">
        <v>1147.8499999999999</v>
      </c>
      <c r="R294" s="199">
        <v>0.58839963092064795</v>
      </c>
      <c r="S294" s="202">
        <v>802.95</v>
      </c>
      <c r="T294" s="286">
        <v>462.35866666666647</v>
      </c>
      <c r="U294" s="286"/>
      <c r="V294" s="278">
        <v>19.344999999999999</v>
      </c>
      <c r="W294" s="278">
        <v>27.131</v>
      </c>
      <c r="X294" s="278">
        <v>18.722000000000001</v>
      </c>
      <c r="Y294" s="278"/>
      <c r="Z294" s="278">
        <v>8.8160000000000007</v>
      </c>
      <c r="AA294" s="278">
        <v>18.923999999999999</v>
      </c>
      <c r="AB294" s="278">
        <v>30.03</v>
      </c>
      <c r="AC294" s="278">
        <v>15.083</v>
      </c>
      <c r="AD294" s="279">
        <v>138.05000000000001</v>
      </c>
      <c r="AE294" s="278">
        <f t="shared" si="68"/>
        <v>138.05100000000002</v>
      </c>
      <c r="AF294" s="278">
        <f t="shared" si="69"/>
        <v>1.0000000000047748E-3</v>
      </c>
      <c r="AG294" s="278">
        <f t="shared" si="67"/>
        <v>1.0000000000047748E-3</v>
      </c>
      <c r="AH294" s="202">
        <f t="shared" si="64"/>
        <v>-0.14799999999999969</v>
      </c>
      <c r="AI294" s="202">
        <f t="shared" si="65"/>
        <v>58.760000000000005</v>
      </c>
      <c r="AJ294" s="285">
        <v>22.364999999999998</v>
      </c>
      <c r="AK294" s="285">
        <v>29.3</v>
      </c>
      <c r="AL294" s="285">
        <v>23.783000000000001</v>
      </c>
      <c r="AM294" s="285">
        <v>9.484</v>
      </c>
      <c r="AN294" s="285">
        <v>23.56</v>
      </c>
      <c r="AO294" s="285">
        <v>35.49</v>
      </c>
      <c r="AP294" s="285">
        <v>18.079000000000001</v>
      </c>
      <c r="AQ294" s="285">
        <v>162.45599999999999</v>
      </c>
      <c r="AR294" s="285">
        <v>0</v>
      </c>
      <c r="AS294" s="275"/>
      <c r="AT294" s="244">
        <v>0.86496758327744239</v>
      </c>
      <c r="AU294" s="244">
        <v>0.92597269624573375</v>
      </c>
      <c r="AV294" s="244">
        <v>0.78720094184922007</v>
      </c>
      <c r="AW294" s="244">
        <v>0.92956558414171242</v>
      </c>
      <c r="AX294" s="244">
        <v>0.8032258064516129</v>
      </c>
      <c r="AY294" s="244">
        <v>0.84615384615384615</v>
      </c>
      <c r="AZ294" s="244">
        <v>0.83428286962774489</v>
      </c>
      <c r="BA294" s="275"/>
      <c r="BB294" s="191">
        <v>1.0568634552698297</v>
      </c>
      <c r="BC294" s="275"/>
      <c r="BE294" s="274">
        <f t="shared" si="70"/>
        <v>4.4532258064516137</v>
      </c>
      <c r="BF294" s="280">
        <f t="shared" si="74"/>
        <v>151.04</v>
      </c>
      <c r="BG294" s="154" t="str">
        <f t="shared" si="75"/>
        <v/>
      </c>
      <c r="BH294" s="270">
        <f t="shared" si="73"/>
        <v>-3.5527136788005011E-16</v>
      </c>
      <c r="BI294" s="270">
        <f t="shared" si="66"/>
        <v>0.10999999999999943</v>
      </c>
    </row>
    <row r="295" spans="1:61">
      <c r="A295" s="266">
        <v>38018</v>
      </c>
      <c r="B295" s="266"/>
      <c r="C295" s="277">
        <v>0.24963218390804651</v>
      </c>
      <c r="D295" s="276">
        <v>7.2393333333333487</v>
      </c>
      <c r="E295" s="277">
        <v>5.2389655172413798</v>
      </c>
      <c r="F295" s="277">
        <f t="shared" si="77"/>
        <v>151.93</v>
      </c>
      <c r="G295" s="277">
        <v>124.154</v>
      </c>
      <c r="H295" s="281">
        <f t="shared" si="76"/>
        <v>0.8171789639965773</v>
      </c>
      <c r="I295" s="202">
        <v>2957.8679999999999</v>
      </c>
      <c r="J295" s="270">
        <v>47.65</v>
      </c>
      <c r="K295" s="270">
        <v>0.21848647825866152</v>
      </c>
      <c r="L295" s="202">
        <v>358.37099999999998</v>
      </c>
      <c r="M295" s="277">
        <v>221.47875764100013</v>
      </c>
      <c r="N295" s="202">
        <v>1390.751</v>
      </c>
      <c r="O295" s="270">
        <v>11.2</v>
      </c>
      <c r="P295" s="270">
        <v>-7.0059363742451808E-2</v>
      </c>
      <c r="Q295" s="202">
        <v>1507.386</v>
      </c>
      <c r="R295" s="199">
        <v>0.75433418405644792</v>
      </c>
      <c r="S295" s="202">
        <v>490.91400000000021</v>
      </c>
      <c r="T295" s="286">
        <v>449.87366666666662</v>
      </c>
      <c r="U295" s="286"/>
      <c r="V295" s="278">
        <v>16.858000000000001</v>
      </c>
      <c r="W295" s="278">
        <v>23.268000000000001</v>
      </c>
      <c r="X295" s="278">
        <v>17.088000000000001</v>
      </c>
      <c r="Y295" s="278"/>
      <c r="Z295" s="278">
        <v>8.2970000000000006</v>
      </c>
      <c r="AA295" s="278">
        <v>16.827000000000002</v>
      </c>
      <c r="AB295" s="278">
        <v>27.347000000000001</v>
      </c>
      <c r="AC295" s="278">
        <v>14.468</v>
      </c>
      <c r="AD295" s="279">
        <v>124.154</v>
      </c>
      <c r="AE295" s="278">
        <f t="shared" si="68"/>
        <v>124.15300000000001</v>
      </c>
      <c r="AF295" s="278">
        <f t="shared" si="69"/>
        <v>-9.9999999999056399E-4</v>
      </c>
      <c r="AG295" s="278">
        <f t="shared" si="67"/>
        <v>-9.9999999999056399E-4</v>
      </c>
      <c r="AH295" s="202">
        <f t="shared" si="64"/>
        <v>-2.6829999999999998</v>
      </c>
      <c r="AI295" s="202">
        <f t="shared" si="65"/>
        <v>58.849999999999994</v>
      </c>
      <c r="AJ295" s="285">
        <v>20.922000000000001</v>
      </c>
      <c r="AK295" s="285">
        <v>27.408999999999999</v>
      </c>
      <c r="AL295" s="285">
        <v>22.248999999999999</v>
      </c>
      <c r="AM295" s="285">
        <v>8.8719999999999999</v>
      </c>
      <c r="AN295" s="285">
        <v>22.41</v>
      </c>
      <c r="AO295" s="285">
        <v>33.201000000000001</v>
      </c>
      <c r="AP295" s="285">
        <v>16.867000000000001</v>
      </c>
      <c r="AQ295" s="285">
        <v>151.93</v>
      </c>
      <c r="AR295" s="285">
        <v>0</v>
      </c>
      <c r="AS295" s="275"/>
      <c r="AT295" s="244">
        <v>0.80575470796290982</v>
      </c>
      <c r="AU295" s="244">
        <v>0.84891823853478787</v>
      </c>
      <c r="AV295" s="244">
        <v>0.76803451840532166</v>
      </c>
      <c r="AW295" s="244">
        <v>0.93518935978358886</v>
      </c>
      <c r="AX295" s="244">
        <v>0.75087014725568946</v>
      </c>
      <c r="AY295" s="244">
        <v>0.82368000963826393</v>
      </c>
      <c r="AZ295" s="244">
        <v>0.85776960929625889</v>
      </c>
      <c r="BA295" s="275"/>
      <c r="BB295" s="191">
        <v>1.0583093040363851</v>
      </c>
      <c r="BC295" s="275"/>
      <c r="BE295" s="274">
        <f>G295/29</f>
        <v>4.2811724137931035</v>
      </c>
      <c r="BF295" s="280">
        <f t="shared" si="74"/>
        <v>135.53299999999999</v>
      </c>
      <c r="BG295" s="154" t="str">
        <f t="shared" si="75"/>
        <v/>
      </c>
      <c r="BH295" s="270">
        <f t="shared" si="73"/>
        <v>8.4000000000000338E-2</v>
      </c>
      <c r="BI295" s="270">
        <f t="shared" si="66"/>
        <v>0</v>
      </c>
    </row>
    <row r="296" spans="1:61">
      <c r="A296" s="266">
        <v>38047</v>
      </c>
      <c r="B296" s="266"/>
      <c r="C296" s="277">
        <v>0.26347311827956976</v>
      </c>
      <c r="D296" s="276">
        <v>8.167666666666662</v>
      </c>
      <c r="E296" s="277">
        <v>5.2405161290322573</v>
      </c>
      <c r="F296" s="277">
        <f t="shared" si="77"/>
        <v>162.45599999999999</v>
      </c>
      <c r="G296" s="277">
        <v>121.429</v>
      </c>
      <c r="H296" s="281">
        <f t="shared" si="76"/>
        <v>0.74745777318166151</v>
      </c>
      <c r="I296" s="202">
        <v>2886.703</v>
      </c>
      <c r="J296" s="270">
        <v>47.55</v>
      </c>
      <c r="K296" s="270">
        <v>0.17344967720363513</v>
      </c>
      <c r="L296" s="202">
        <v>245.887</v>
      </c>
      <c r="M296" s="277">
        <v>380.96397590780015</v>
      </c>
      <c r="N296" s="202">
        <v>1376.086</v>
      </c>
      <c r="O296" s="270">
        <v>11.2</v>
      </c>
      <c r="P296" s="270">
        <v>7.6524601970216821E-2</v>
      </c>
      <c r="Q296" s="202">
        <v>1392.0920000000001</v>
      </c>
      <c r="R296" s="199">
        <v>0.74984756261782926</v>
      </c>
      <c r="S296" s="202">
        <v>464.4079999999999</v>
      </c>
      <c r="T296" s="286">
        <v>489.44599999999997</v>
      </c>
      <c r="U296" s="286"/>
      <c r="V296" s="278">
        <v>13.919</v>
      </c>
      <c r="W296" s="278">
        <v>22.803000000000001</v>
      </c>
      <c r="X296" s="278">
        <v>17.344000000000001</v>
      </c>
      <c r="Y296" s="278"/>
      <c r="Z296" s="278">
        <v>5.9109999999999996</v>
      </c>
      <c r="AA296" s="278">
        <v>17.166</v>
      </c>
      <c r="AB296" s="278">
        <v>28.125</v>
      </c>
      <c r="AC296" s="278">
        <v>16.16</v>
      </c>
      <c r="AD296" s="279">
        <v>121.429</v>
      </c>
      <c r="AE296" s="278">
        <f t="shared" si="68"/>
        <v>121.428</v>
      </c>
      <c r="AF296" s="278">
        <f t="shared" si="69"/>
        <v>-1.0000000000047748E-3</v>
      </c>
      <c r="AG296" s="278">
        <f t="shared" si="67"/>
        <v>-1.0000000000047748E-3</v>
      </c>
      <c r="AH296" s="202">
        <f t="shared" si="64"/>
        <v>0.77799999999999869</v>
      </c>
      <c r="AI296" s="202">
        <f t="shared" si="65"/>
        <v>58.75</v>
      </c>
      <c r="AJ296" s="285">
        <v>22.364999999999998</v>
      </c>
      <c r="AK296" s="285">
        <v>29.3</v>
      </c>
      <c r="AL296" s="285">
        <v>23.783000000000001</v>
      </c>
      <c r="AM296" s="285">
        <v>9.484</v>
      </c>
      <c r="AN296" s="285">
        <v>23.956</v>
      </c>
      <c r="AO296" s="285">
        <v>35.49</v>
      </c>
      <c r="AP296" s="285">
        <v>18.079000000000001</v>
      </c>
      <c r="AQ296" s="285">
        <v>162.45599999999999</v>
      </c>
      <c r="AR296" s="285">
        <v>0</v>
      </c>
      <c r="AS296" s="275"/>
      <c r="AT296" s="244">
        <v>0.62235636038452946</v>
      </c>
      <c r="AU296" s="244">
        <v>0.77825938566552899</v>
      </c>
      <c r="AV296" s="244">
        <v>0.7292603960812345</v>
      </c>
      <c r="AW296" s="244">
        <v>0.62326022775200329</v>
      </c>
      <c r="AX296" s="244">
        <v>0.71656370011688097</v>
      </c>
      <c r="AY296" s="244">
        <v>0.79247675401521556</v>
      </c>
      <c r="AZ296" s="244">
        <v>0.8938547486033519</v>
      </c>
      <c r="BA296" s="275"/>
      <c r="BB296" s="191">
        <v>1.0672628998564317</v>
      </c>
      <c r="BC296" s="275"/>
      <c r="BE296" s="274">
        <f t="shared" si="70"/>
        <v>3.9170645161290323</v>
      </c>
      <c r="BF296" s="280">
        <f t="shared" si="74"/>
        <v>145.374</v>
      </c>
      <c r="BG296" s="154" t="str">
        <f t="shared" si="75"/>
        <v/>
      </c>
      <c r="BH296" s="270">
        <f t="shared" si="73"/>
        <v>6.1999999999999743E-2</v>
      </c>
      <c r="BI296" s="270">
        <f t="shared" si="66"/>
        <v>0</v>
      </c>
    </row>
    <row r="297" spans="1:61">
      <c r="A297" s="266">
        <v>38078</v>
      </c>
      <c r="B297" s="266"/>
      <c r="C297" s="277">
        <v>0.23790000000000003</v>
      </c>
      <c r="D297" s="276">
        <v>7.1370000000000005</v>
      </c>
      <c r="E297" s="277">
        <v>5.2403000000000004</v>
      </c>
      <c r="F297" s="277">
        <f t="shared" si="77"/>
        <v>157.209</v>
      </c>
      <c r="G297" s="277">
        <v>105.373</v>
      </c>
      <c r="H297" s="281">
        <f t="shared" si="76"/>
        <v>0.6702733304072922</v>
      </c>
      <c r="I297" s="202">
        <v>2506.8820000000001</v>
      </c>
      <c r="J297" s="270">
        <v>47.58</v>
      </c>
      <c r="K297" s="270">
        <v>0.10287263354368292</v>
      </c>
      <c r="L297" s="202">
        <v>129.01400000000001</v>
      </c>
      <c r="M297" s="277">
        <v>218.76467957559998</v>
      </c>
      <c r="N297" s="202">
        <v>1189.1110000000001</v>
      </c>
      <c r="O297" s="270">
        <v>11.28</v>
      </c>
      <c r="P297" s="270">
        <v>-7.8329037418896519E-2</v>
      </c>
      <c r="Q297" s="202">
        <v>1214.508</v>
      </c>
      <c r="R297" s="199">
        <v>0.7388417082370119</v>
      </c>
      <c r="S297" s="202">
        <v>429.29199999999992</v>
      </c>
      <c r="T297" s="286">
        <v>482.21633333333352</v>
      </c>
      <c r="U297" s="286"/>
      <c r="V297" s="278">
        <v>9.7710000000000008</v>
      </c>
      <c r="W297" s="278">
        <v>21.131</v>
      </c>
      <c r="X297" s="278">
        <v>17.408999999999999</v>
      </c>
      <c r="Y297" s="278"/>
      <c r="Z297" s="278">
        <v>4.4690000000000003</v>
      </c>
      <c r="AA297" s="278">
        <v>15.461</v>
      </c>
      <c r="AB297" s="278">
        <v>24.879000000000001</v>
      </c>
      <c r="AC297" s="278">
        <v>12.254</v>
      </c>
      <c r="AD297" s="279">
        <v>105.373</v>
      </c>
      <c r="AE297" s="278">
        <f t="shared" si="68"/>
        <v>105.37400000000001</v>
      </c>
      <c r="AF297" s="278">
        <f t="shared" si="69"/>
        <v>1.0000000000047748E-3</v>
      </c>
      <c r="AG297" s="278">
        <f t="shared" si="67"/>
        <v>1.0000000000047748E-3</v>
      </c>
      <c r="AH297" s="202">
        <f t="shared" si="64"/>
        <v>-3.2459999999999987</v>
      </c>
      <c r="AI297" s="202">
        <f t="shared" si="65"/>
        <v>58.86</v>
      </c>
      <c r="AJ297" s="285">
        <v>21.643000000000001</v>
      </c>
      <c r="AK297" s="285">
        <v>28.355</v>
      </c>
      <c r="AL297" s="285">
        <v>23.015999999999998</v>
      </c>
      <c r="AM297" s="285">
        <v>9.1590000000000007</v>
      </c>
      <c r="AN297" s="285">
        <v>23.135999999999999</v>
      </c>
      <c r="AO297" s="285">
        <v>34.345999999999997</v>
      </c>
      <c r="AP297" s="285">
        <v>17.553999999999998</v>
      </c>
      <c r="AQ297" s="285">
        <v>157.209</v>
      </c>
      <c r="AR297" s="285">
        <v>0</v>
      </c>
      <c r="AS297" s="275"/>
      <c r="AT297" s="244">
        <v>0.45146236658503908</v>
      </c>
      <c r="AU297" s="244">
        <v>0.74523011814494799</v>
      </c>
      <c r="AV297" s="244">
        <v>0.75638686131386867</v>
      </c>
      <c r="AW297" s="244">
        <v>0.48793536412272082</v>
      </c>
      <c r="AX297" s="244">
        <v>0.66826590594744129</v>
      </c>
      <c r="AY297" s="244">
        <v>0.72436382693763479</v>
      </c>
      <c r="AZ297" s="244">
        <v>0.69807451293152556</v>
      </c>
      <c r="BA297" s="275"/>
      <c r="BB297" s="191">
        <v>1.067730822886318</v>
      </c>
      <c r="BC297" s="275"/>
      <c r="BE297" s="274">
        <f>G297/30</f>
        <v>3.5124333333333335</v>
      </c>
      <c r="BF297" s="280">
        <f t="shared" si="74"/>
        <v>135.398</v>
      </c>
      <c r="BG297" s="154" t="str">
        <f t="shared" si="75"/>
        <v/>
      </c>
      <c r="BH297" s="270">
        <f t="shared" si="73"/>
        <v>0</v>
      </c>
      <c r="BI297" s="270">
        <f t="shared" si="66"/>
        <v>8.0000000000000071E-2</v>
      </c>
    </row>
    <row r="298" spans="1:61">
      <c r="A298" s="266">
        <v>38108</v>
      </c>
      <c r="B298" s="266"/>
      <c r="C298" s="277">
        <v>0.24356989247311844</v>
      </c>
      <c r="D298" s="276">
        <v>7.5506666666666717</v>
      </c>
      <c r="E298" s="277">
        <v>5.2403225806451612</v>
      </c>
      <c r="F298" s="277">
        <f t="shared" si="77"/>
        <v>162.44999999999999</v>
      </c>
      <c r="G298" s="277">
        <v>109.916</v>
      </c>
      <c r="H298" s="281">
        <f t="shared" si="76"/>
        <v>0.67661434287473077</v>
      </c>
      <c r="I298" s="202">
        <v>2610.143</v>
      </c>
      <c r="J298" s="270">
        <v>47.49</v>
      </c>
      <c r="K298" s="270">
        <v>5.3700340522134127E-2</v>
      </c>
      <c r="L298" s="202">
        <v>117.075</v>
      </c>
      <c r="M298" s="277">
        <v>233.12148852300004</v>
      </c>
      <c r="N298" s="202">
        <v>1244.2159999999999</v>
      </c>
      <c r="O298" s="270">
        <v>11.32</v>
      </c>
      <c r="P298" s="270">
        <v>-0.12874006810442751</v>
      </c>
      <c r="Q298" s="202">
        <v>1193.665</v>
      </c>
      <c r="R298" s="199">
        <v>0.72413552535792292</v>
      </c>
      <c r="S298" s="202">
        <v>454.7349999999999</v>
      </c>
      <c r="T298" s="286">
        <v>483.80199999999991</v>
      </c>
      <c r="U298" s="286"/>
      <c r="V298" s="278">
        <v>12.603999999999999</v>
      </c>
      <c r="W298" s="278">
        <v>21.713999999999999</v>
      </c>
      <c r="X298" s="278">
        <v>16.904</v>
      </c>
      <c r="Y298" s="278"/>
      <c r="Z298" s="278">
        <v>2.7109999999999999</v>
      </c>
      <c r="AA298" s="278">
        <v>15.564</v>
      </c>
      <c r="AB298" s="278">
        <v>26.548999999999999</v>
      </c>
      <c r="AC298" s="278">
        <v>13.869</v>
      </c>
      <c r="AD298" s="279">
        <v>109.916</v>
      </c>
      <c r="AE298" s="278">
        <f t="shared" si="68"/>
        <v>109.91499999999999</v>
      </c>
      <c r="AF298" s="278">
        <f t="shared" si="69"/>
        <v>-1.0000000000047748E-3</v>
      </c>
      <c r="AG298" s="278">
        <f t="shared" si="67"/>
        <v>-1.0000000000047748E-3</v>
      </c>
      <c r="AH298" s="202">
        <f t="shared" si="64"/>
        <v>1.6699999999999982</v>
      </c>
      <c r="AI298" s="202">
        <f t="shared" si="65"/>
        <v>58.81</v>
      </c>
      <c r="AJ298" s="285">
        <v>22.35</v>
      </c>
      <c r="AK298" s="285">
        <v>29.3</v>
      </c>
      <c r="AL298" s="285">
        <v>23.783000000000001</v>
      </c>
      <c r="AM298" s="285">
        <v>9.4649999999999999</v>
      </c>
      <c r="AN298" s="285">
        <v>23.908000000000001</v>
      </c>
      <c r="AO298" s="285">
        <v>34.49</v>
      </c>
      <c r="AP298" s="285">
        <v>18.138999999999999</v>
      </c>
      <c r="AQ298" s="285">
        <v>162.44999999999999</v>
      </c>
      <c r="AR298" s="285">
        <v>0</v>
      </c>
      <c r="AS298" s="275"/>
      <c r="AT298" s="244">
        <v>0.56393736017897089</v>
      </c>
      <c r="AU298" s="244">
        <v>0.74109215017064844</v>
      </c>
      <c r="AV298" s="244">
        <v>0.71075978640205184</v>
      </c>
      <c r="AW298" s="244">
        <v>0.28642366613840464</v>
      </c>
      <c r="AX298" s="244">
        <v>0.65099548268362051</v>
      </c>
      <c r="AY298" s="244">
        <v>0.76975935053638733</v>
      </c>
      <c r="AZ298" s="244">
        <v>0.76459562269143833</v>
      </c>
      <c r="BA298" s="275"/>
      <c r="BB298" s="191">
        <v>1.0686948821524316</v>
      </c>
      <c r="BC298" s="275"/>
      <c r="BE298" s="274">
        <f t="shared" si="70"/>
        <v>3.5456774193548388</v>
      </c>
      <c r="BF298" s="280">
        <f t="shared" si="74"/>
        <v>136.042</v>
      </c>
      <c r="BG298" s="154" t="str">
        <f t="shared" si="75"/>
        <v/>
      </c>
      <c r="BH298" s="270">
        <f t="shared" si="73"/>
        <v>-1.7999999999999971E-2</v>
      </c>
      <c r="BI298" s="270">
        <f t="shared" si="66"/>
        <v>4.0000000000000924E-2</v>
      </c>
    </row>
    <row r="299" spans="1:61">
      <c r="A299" s="266">
        <v>38139</v>
      </c>
      <c r="B299" s="266"/>
      <c r="C299" s="277">
        <v>0.23129999999999976</v>
      </c>
      <c r="D299" s="276">
        <v>6.938999999999993</v>
      </c>
      <c r="E299" s="277">
        <v>5.2403000000000004</v>
      </c>
      <c r="F299" s="277">
        <f t="shared" si="77"/>
        <v>157.209</v>
      </c>
      <c r="G299" s="277">
        <v>102.42100000000001</v>
      </c>
      <c r="H299" s="281">
        <f t="shared" si="76"/>
        <v>0.65149577950371795</v>
      </c>
      <c r="I299" s="202">
        <v>2442.6819999999998</v>
      </c>
      <c r="J299" s="270">
        <v>47.7</v>
      </c>
      <c r="K299" s="270">
        <v>0.14564740307241664</v>
      </c>
      <c r="L299" s="202">
        <v>73.832999999999998</v>
      </c>
      <c r="M299" s="277">
        <v>139.07429109930001</v>
      </c>
      <c r="N299" s="202">
        <v>1165.8499999999999</v>
      </c>
      <c r="O299" s="270">
        <v>11.38</v>
      </c>
      <c r="P299" s="270">
        <v>-7.7878566203366972E-2</v>
      </c>
      <c r="Q299" s="202">
        <v>1145.1379999999999</v>
      </c>
      <c r="R299" s="199">
        <v>0.75651582215762692</v>
      </c>
      <c r="S299" s="202">
        <v>368.56200000000013</v>
      </c>
      <c r="T299" s="286">
        <v>456.52533333333344</v>
      </c>
      <c r="U299" s="286"/>
      <c r="V299" s="278">
        <v>13.759</v>
      </c>
      <c r="W299" s="278">
        <v>18.274000000000001</v>
      </c>
      <c r="X299" s="278">
        <v>17.181999999999999</v>
      </c>
      <c r="Y299" s="278"/>
      <c r="Z299" s="278">
        <v>3.8149999999999999</v>
      </c>
      <c r="AA299" s="278">
        <v>12.247999999999999</v>
      </c>
      <c r="AB299" s="278">
        <v>23.734000000000002</v>
      </c>
      <c r="AC299" s="278">
        <v>13.41</v>
      </c>
      <c r="AD299" s="279">
        <v>102.42100000000001</v>
      </c>
      <c r="AE299" s="278">
        <f t="shared" si="68"/>
        <v>102.422</v>
      </c>
      <c r="AF299" s="278">
        <f t="shared" si="69"/>
        <v>9.9999999999056399E-4</v>
      </c>
      <c r="AG299" s="278">
        <f t="shared" si="67"/>
        <v>9.9999999999056399E-4</v>
      </c>
      <c r="AH299" s="202">
        <f t="shared" si="64"/>
        <v>-2.8149999999999977</v>
      </c>
      <c r="AI299" s="202">
        <f t="shared" si="65"/>
        <v>59.080000000000005</v>
      </c>
      <c r="AJ299" s="285">
        <v>21.643000000000001</v>
      </c>
      <c r="AK299" s="285">
        <v>28.353999999999999</v>
      </c>
      <c r="AL299" s="285">
        <v>23.015999999999998</v>
      </c>
      <c r="AM299" s="285">
        <v>9.1590000000000007</v>
      </c>
      <c r="AN299" s="285">
        <v>23.135999999999999</v>
      </c>
      <c r="AO299" s="285">
        <v>34.345999999999997</v>
      </c>
      <c r="AP299" s="285">
        <v>17.553999999999998</v>
      </c>
      <c r="AQ299" s="285">
        <v>157.209</v>
      </c>
      <c r="AR299" s="285">
        <v>0</v>
      </c>
      <c r="AS299" s="275"/>
      <c r="AT299" s="244">
        <v>0.63572517673150675</v>
      </c>
      <c r="AU299" s="244">
        <v>0.6444946039359527</v>
      </c>
      <c r="AV299" s="244">
        <v>0.74652415710809872</v>
      </c>
      <c r="AW299" s="244">
        <v>0.41653018888524945</v>
      </c>
      <c r="AX299" s="244">
        <v>0.52939142461964039</v>
      </c>
      <c r="AY299" s="244">
        <v>0.69102661154137324</v>
      </c>
      <c r="AZ299" s="244">
        <v>0.76392844935627213</v>
      </c>
      <c r="BA299" s="275"/>
      <c r="BB299" s="191">
        <v>1.0677497778775835</v>
      </c>
      <c r="BC299" s="275"/>
      <c r="BE299" s="274">
        <f>G299/30</f>
        <v>3.4140333333333337</v>
      </c>
      <c r="BF299" s="280">
        <f t="shared" si="74"/>
        <v>130.62899999999999</v>
      </c>
      <c r="BG299" s="154" t="str">
        <f t="shared" si="75"/>
        <v/>
      </c>
      <c r="BH299" s="270">
        <f t="shared" si="73"/>
        <v>0.11999999999999993</v>
      </c>
      <c r="BI299" s="270">
        <f t="shared" si="66"/>
        <v>6.0000000000000497E-2</v>
      </c>
    </row>
    <row r="300" spans="1:61">
      <c r="A300" s="266">
        <v>38169</v>
      </c>
      <c r="B300" s="266"/>
      <c r="C300" s="277">
        <v>0.21333333333333321</v>
      </c>
      <c r="D300" s="276">
        <v>6.6133333333333297</v>
      </c>
      <c r="E300" s="277">
        <v>5.2434838709677418</v>
      </c>
      <c r="F300" s="277">
        <f t="shared" si="77"/>
        <v>162.548</v>
      </c>
      <c r="G300" s="277">
        <v>108.66</v>
      </c>
      <c r="H300" s="281">
        <f t="shared" si="76"/>
        <v>0.66847946452740115</v>
      </c>
      <c r="I300" s="202">
        <v>2588.404</v>
      </c>
      <c r="J300" s="270">
        <v>47.64</v>
      </c>
      <c r="K300" s="270">
        <v>0.1125880515875366</v>
      </c>
      <c r="L300" s="202">
        <v>90.460999999999999</v>
      </c>
      <c r="M300" s="277">
        <v>157.30786855420007</v>
      </c>
      <c r="N300" s="202">
        <v>1235.8879999999999</v>
      </c>
      <c r="O300" s="270">
        <v>11.37</v>
      </c>
      <c r="P300" s="270">
        <v>-5.7756636400439376E-2</v>
      </c>
      <c r="Q300" s="202">
        <v>1022.985</v>
      </c>
      <c r="R300" s="199">
        <v>0.72469892320770746</v>
      </c>
      <c r="S300" s="202">
        <v>388.61500000000012</v>
      </c>
      <c r="T300" s="286">
        <v>447.25766666666686</v>
      </c>
      <c r="U300" s="286"/>
      <c r="V300" s="278">
        <v>16.218</v>
      </c>
      <c r="W300" s="278">
        <v>17.021999999999998</v>
      </c>
      <c r="X300" s="278">
        <v>17.309000000000001</v>
      </c>
      <c r="Y300" s="278"/>
      <c r="Z300" s="278">
        <v>3.9169999999999998</v>
      </c>
      <c r="AA300" s="278">
        <v>16.239999999999998</v>
      </c>
      <c r="AB300" s="278">
        <v>24.367999999999999</v>
      </c>
      <c r="AC300" s="278">
        <v>13.586</v>
      </c>
      <c r="AD300" s="279">
        <v>108.66</v>
      </c>
      <c r="AE300" s="278">
        <f t="shared" si="68"/>
        <v>108.65999999999998</v>
      </c>
      <c r="AF300" s="278">
        <f t="shared" si="69"/>
        <v>0</v>
      </c>
      <c r="AG300" s="278">
        <f t="shared" si="67"/>
        <v>0</v>
      </c>
      <c r="AH300" s="202">
        <f t="shared" si="64"/>
        <v>0.63399999999999679</v>
      </c>
      <c r="AI300" s="202">
        <f t="shared" si="65"/>
        <v>59.01</v>
      </c>
      <c r="AJ300" s="285">
        <v>22.364999999999998</v>
      </c>
      <c r="AK300" s="285">
        <v>29.393000000000001</v>
      </c>
      <c r="AL300" s="285">
        <v>23.907</v>
      </c>
      <c r="AM300" s="285">
        <v>9.4860000000000007</v>
      </c>
      <c r="AN300" s="285">
        <v>23.939</v>
      </c>
      <c r="AO300" s="285">
        <v>35.49</v>
      </c>
      <c r="AP300" s="285">
        <v>17.969000000000001</v>
      </c>
      <c r="AQ300" s="285">
        <v>162.548</v>
      </c>
      <c r="AR300" s="285">
        <v>0</v>
      </c>
      <c r="AS300" s="275"/>
      <c r="AT300" s="244">
        <v>0.72515090543259564</v>
      </c>
      <c r="AU300" s="244">
        <v>0.57911747695029425</v>
      </c>
      <c r="AV300" s="244">
        <v>0.72401388714602422</v>
      </c>
      <c r="AW300" s="244">
        <v>0.4129243095087497</v>
      </c>
      <c r="AX300" s="244">
        <v>0.67839091023016829</v>
      </c>
      <c r="AY300" s="244">
        <v>0.68661594815440963</v>
      </c>
      <c r="AZ300" s="244">
        <v>0.75607991540987252</v>
      </c>
      <c r="BA300" s="275"/>
      <c r="BB300" s="191">
        <v>1.0608626296091785</v>
      </c>
      <c r="BC300" s="275"/>
      <c r="BE300" s="274">
        <f t="shared" si="70"/>
        <v>3.5051612903225804</v>
      </c>
      <c r="BF300" s="280">
        <f t="shared" si="74"/>
        <v>132.49</v>
      </c>
      <c r="BG300" s="154" t="str">
        <f t="shared" si="75"/>
        <v/>
      </c>
      <c r="BH300" s="270">
        <f t="shared" si="73"/>
        <v>-5.3999999999999916E-2</v>
      </c>
      <c r="BI300" s="270">
        <f t="shared" si="66"/>
        <v>-1.0000000000001563E-2</v>
      </c>
    </row>
    <row r="301" spans="1:61">
      <c r="A301" s="266">
        <v>38200</v>
      </c>
      <c r="B301" s="266"/>
      <c r="C301" s="277">
        <v>0.20911827956989271</v>
      </c>
      <c r="D301" s="276">
        <v>6.4826666666666739</v>
      </c>
      <c r="E301" s="277">
        <v>5.2434516129032254</v>
      </c>
      <c r="F301" s="277">
        <f t="shared" si="77"/>
        <v>162.547</v>
      </c>
      <c r="G301" s="277">
        <v>96.494</v>
      </c>
      <c r="H301" s="281">
        <f t="shared" si="76"/>
        <v>0.59363753252905316</v>
      </c>
      <c r="I301" s="202">
        <v>2314.6260000000002</v>
      </c>
      <c r="J301" s="270">
        <v>47.97</v>
      </c>
      <c r="K301" s="270">
        <v>0.20013562943061203</v>
      </c>
      <c r="L301" s="202">
        <v>46.213000000000001</v>
      </c>
      <c r="M301" s="277">
        <v>177.06802968920002</v>
      </c>
      <c r="N301" s="202">
        <v>1118.6310000000001</v>
      </c>
      <c r="O301" s="270">
        <v>11.59</v>
      </c>
      <c r="P301" s="270">
        <v>-7.3798918848929418E-2</v>
      </c>
      <c r="Q301" s="202">
        <v>868.55600000000004</v>
      </c>
      <c r="R301" s="199">
        <v>0.73593967124216231</v>
      </c>
      <c r="S301" s="202">
        <v>311.64400000000001</v>
      </c>
      <c r="T301" s="286">
        <v>419.86400000000003</v>
      </c>
      <c r="U301" s="286"/>
      <c r="V301" s="278">
        <v>16.422999999999998</v>
      </c>
      <c r="W301" s="278">
        <v>15.74</v>
      </c>
      <c r="X301" s="278">
        <v>11.782</v>
      </c>
      <c r="Y301" s="278"/>
      <c r="Z301" s="278">
        <v>4.5220000000000002</v>
      </c>
      <c r="AA301" s="278">
        <v>14.154999999999999</v>
      </c>
      <c r="AB301" s="278">
        <v>21.661000000000001</v>
      </c>
      <c r="AC301" s="278">
        <v>12.212</v>
      </c>
      <c r="AD301" s="279">
        <v>96.494</v>
      </c>
      <c r="AE301" s="278">
        <f t="shared" si="68"/>
        <v>96.49499999999999</v>
      </c>
      <c r="AF301" s="278">
        <f t="shared" si="69"/>
        <v>9.9999999999056399E-4</v>
      </c>
      <c r="AG301" s="278">
        <f t="shared" si="67"/>
        <v>9.9999999999056399E-4</v>
      </c>
      <c r="AH301" s="202">
        <f t="shared" si="64"/>
        <v>-2.7069999999999972</v>
      </c>
      <c r="AI301" s="202">
        <f t="shared" si="65"/>
        <v>59.56</v>
      </c>
      <c r="AJ301" s="285">
        <v>22.364999999999998</v>
      </c>
      <c r="AK301" s="285">
        <v>29.393000000000001</v>
      </c>
      <c r="AL301" s="285">
        <v>23.907</v>
      </c>
      <c r="AM301" s="285">
        <v>9.4860000000000007</v>
      </c>
      <c r="AN301" s="285">
        <v>23.939</v>
      </c>
      <c r="AO301" s="285">
        <v>35.49</v>
      </c>
      <c r="AP301" s="285">
        <v>17.969000000000001</v>
      </c>
      <c r="AQ301" s="285">
        <v>162.548</v>
      </c>
      <c r="AR301" s="285">
        <v>-1.0000000000047748E-3</v>
      </c>
      <c r="AS301" s="275"/>
      <c r="AT301" s="244">
        <v>0.73431701319025255</v>
      </c>
      <c r="AU301" s="244">
        <v>0.53550165005273365</v>
      </c>
      <c r="AV301" s="244">
        <v>0.49282636884594472</v>
      </c>
      <c r="AW301" s="244">
        <v>0.47670250896057348</v>
      </c>
      <c r="AX301" s="244">
        <v>0.59129454028990347</v>
      </c>
      <c r="AY301" s="244">
        <v>0.6103409411101719</v>
      </c>
      <c r="AZ301" s="244">
        <v>0.67961489231454164</v>
      </c>
      <c r="BA301" s="275"/>
      <c r="BB301" s="191">
        <v>1.0671820700423515</v>
      </c>
      <c r="BC301" s="275"/>
      <c r="BE301" s="274">
        <f t="shared" si="70"/>
        <v>3.112709677419355</v>
      </c>
      <c r="BF301" s="280">
        <f t="shared" si="74"/>
        <v>128.852</v>
      </c>
      <c r="BG301" s="154" t="str">
        <f t="shared" si="75"/>
        <v/>
      </c>
      <c r="BH301" s="270">
        <f t="shared" si="73"/>
        <v>3.2000000000000028E-2</v>
      </c>
      <c r="BI301" s="270">
        <f t="shared" si="66"/>
        <v>0.22000000000000064</v>
      </c>
    </row>
    <row r="302" spans="1:61">
      <c r="A302" s="266">
        <v>38231</v>
      </c>
      <c r="B302" s="266"/>
      <c r="C302" s="277">
        <v>0.23314444444444479</v>
      </c>
      <c r="D302" s="276">
        <v>6.9943333333333442</v>
      </c>
      <c r="E302" s="277">
        <v>5.2435</v>
      </c>
      <c r="F302" s="277">
        <f t="shared" si="77"/>
        <v>157.30500000000001</v>
      </c>
      <c r="G302" s="277">
        <v>113.96899999999999</v>
      </c>
      <c r="H302" s="281">
        <f t="shared" si="76"/>
        <v>0.7245097104351419</v>
      </c>
      <c r="I302" s="202">
        <v>2699.884</v>
      </c>
      <c r="J302" s="270">
        <v>47.38</v>
      </c>
      <c r="K302" s="270">
        <v>0.143491967262797</v>
      </c>
      <c r="L302" s="202">
        <v>111.667</v>
      </c>
      <c r="M302" s="277">
        <v>158.49531651920003</v>
      </c>
      <c r="N302" s="202">
        <v>1313.162</v>
      </c>
      <c r="O302" s="270">
        <v>11.52</v>
      </c>
      <c r="P302" s="270">
        <v>-1.4860701590013292E-2</v>
      </c>
      <c r="Q302" s="202">
        <v>797.36900000000003</v>
      </c>
      <c r="R302" s="199">
        <v>0.74132484194867976</v>
      </c>
      <c r="S302" s="202">
        <v>278.23100000000011</v>
      </c>
      <c r="T302" s="286">
        <v>413.34633333333335</v>
      </c>
      <c r="U302" s="275"/>
      <c r="V302" s="278">
        <v>19.562999999999999</v>
      </c>
      <c r="W302" s="278">
        <v>22.088000000000001</v>
      </c>
      <c r="X302" s="278">
        <v>13.718</v>
      </c>
      <c r="Y302" s="278"/>
      <c r="Z302" s="278">
        <v>5.9130000000000003</v>
      </c>
      <c r="AA302" s="278">
        <v>16.254000000000001</v>
      </c>
      <c r="AB302" s="278">
        <v>24.204999999999998</v>
      </c>
      <c r="AC302" s="278">
        <v>12.228</v>
      </c>
      <c r="AD302" s="279">
        <v>113.96899999999999</v>
      </c>
      <c r="AE302" s="278">
        <f t="shared" si="68"/>
        <v>113.96899999999999</v>
      </c>
      <c r="AF302" s="278">
        <f t="shared" si="69"/>
        <v>0</v>
      </c>
      <c r="AG302" s="278">
        <f t="shared" si="67"/>
        <v>0</v>
      </c>
      <c r="AH302" s="202">
        <f t="shared" si="64"/>
        <v>2.5439999999999969</v>
      </c>
      <c r="AI302" s="202">
        <f t="shared" si="65"/>
        <v>58.900000000000006</v>
      </c>
      <c r="AJ302" s="285">
        <v>21.643000000000001</v>
      </c>
      <c r="AK302" s="285">
        <v>28.445</v>
      </c>
      <c r="AL302" s="285">
        <v>23.135999999999999</v>
      </c>
      <c r="AM302" s="285">
        <v>9.18</v>
      </c>
      <c r="AN302" s="285">
        <v>23.166</v>
      </c>
      <c r="AO302" s="285">
        <v>34.345999999999997</v>
      </c>
      <c r="AP302" s="285">
        <v>17.388999999999999</v>
      </c>
      <c r="AQ302" s="285">
        <v>157.30500000000001</v>
      </c>
      <c r="AR302" s="285">
        <v>0</v>
      </c>
      <c r="AS302" s="275"/>
      <c r="AT302" s="244">
        <v>0.90389502379522235</v>
      </c>
      <c r="AU302" s="244">
        <v>0.77651608367024083</v>
      </c>
      <c r="AV302" s="244">
        <v>0.59292876901798064</v>
      </c>
      <c r="AW302" s="244">
        <v>0.64411764705882357</v>
      </c>
      <c r="AX302" s="244">
        <v>0.70163170163170163</v>
      </c>
      <c r="AY302" s="244">
        <v>0.70473999883538119</v>
      </c>
      <c r="AZ302" s="244">
        <v>0.70320317442061075</v>
      </c>
      <c r="BA302" s="275"/>
      <c r="BB302" s="191">
        <v>1.0613704896360707</v>
      </c>
      <c r="BC302" s="275"/>
      <c r="BE302" s="274">
        <f>G302/30</f>
        <v>3.7989666666666664</v>
      </c>
      <c r="BF302" s="280">
        <f t="shared" ref="BF302:BF366" si="78">MAX(G290,G278,G266,G254,G242,G230,G218,G206,G194,G182,G170,G158,G146,G134,G122,G110,G98,G86,G74,G62,G50,G38,G26)</f>
        <v>132.16399999999999</v>
      </c>
      <c r="BG302" s="154" t="str">
        <f t="shared" si="75"/>
        <v/>
      </c>
      <c r="BH302" s="270">
        <f t="shared" si="73"/>
        <v>-1.4000000000000058E-2</v>
      </c>
      <c r="BI302" s="270">
        <f t="shared" si="66"/>
        <v>-7.0000000000000284E-2</v>
      </c>
    </row>
    <row r="303" spans="1:61">
      <c r="A303" s="266">
        <v>38261</v>
      </c>
      <c r="B303" s="266"/>
      <c r="C303" s="277">
        <v>0.23088172043010824</v>
      </c>
      <c r="D303" s="276">
        <v>7.1573333333333551</v>
      </c>
      <c r="E303" s="277">
        <v>5.3272258064516134</v>
      </c>
      <c r="F303" s="277">
        <f t="shared" si="77"/>
        <v>165.14400000000001</v>
      </c>
      <c r="G303" s="277">
        <v>148.136</v>
      </c>
      <c r="H303" s="281">
        <f t="shared" si="76"/>
        <v>0.89701109334883489</v>
      </c>
      <c r="I303" s="202">
        <v>3500.6660000000002</v>
      </c>
      <c r="J303" s="270">
        <v>47.26</v>
      </c>
      <c r="K303" s="270">
        <v>0.20114879368077965</v>
      </c>
      <c r="L303" s="202">
        <v>479.67500000000001</v>
      </c>
      <c r="M303" s="277">
        <v>-10.139346377299944</v>
      </c>
      <c r="N303" s="202">
        <v>1685.4939999999999</v>
      </c>
      <c r="O303" s="270">
        <v>11.38</v>
      </c>
      <c r="P303" s="270">
        <v>-4.9185197905041278E-2</v>
      </c>
      <c r="Q303" s="202">
        <v>882.45100000000002</v>
      </c>
      <c r="R303" s="199">
        <v>0.69517173467780058</v>
      </c>
      <c r="S303" s="202">
        <v>386.94899999999984</v>
      </c>
      <c r="T303" s="286">
        <v>376.44099999999997</v>
      </c>
      <c r="U303" s="275"/>
      <c r="V303" s="278">
        <v>21.265000000000001</v>
      </c>
      <c r="W303" s="278">
        <v>29.704000000000001</v>
      </c>
      <c r="X303" s="278">
        <v>18.8</v>
      </c>
      <c r="Y303" s="278"/>
      <c r="Z303" s="278">
        <v>9.2889999999999997</v>
      </c>
      <c r="AA303" s="278">
        <v>20.085999999999999</v>
      </c>
      <c r="AB303" s="278">
        <v>33.465000000000003</v>
      </c>
      <c r="AC303" s="278">
        <v>15.526999999999999</v>
      </c>
      <c r="AD303" s="279">
        <v>148.136</v>
      </c>
      <c r="AE303" s="278">
        <f t="shared" si="68"/>
        <v>148.136</v>
      </c>
      <c r="AF303" s="278">
        <f t="shared" si="69"/>
        <v>0</v>
      </c>
      <c r="AG303" s="278">
        <f t="shared" si="67"/>
        <v>0</v>
      </c>
      <c r="AH303" s="202">
        <f t="shared" si="64"/>
        <v>9.2600000000000051</v>
      </c>
      <c r="AI303" s="202">
        <f t="shared" si="65"/>
        <v>58.64</v>
      </c>
      <c r="AJ303" s="285">
        <v>22.417000000000002</v>
      </c>
      <c r="AK303" s="285">
        <v>31.625</v>
      </c>
      <c r="AL303" s="285">
        <v>23.907</v>
      </c>
      <c r="AM303" s="285">
        <v>9.7880000000000003</v>
      </c>
      <c r="AN303" s="285">
        <v>23.939</v>
      </c>
      <c r="AO303" s="285">
        <v>35.94</v>
      </c>
      <c r="AP303" s="285">
        <v>17.978000000000002</v>
      </c>
      <c r="AQ303" s="285">
        <v>165.14400000000001</v>
      </c>
      <c r="AR303" s="285">
        <v>0</v>
      </c>
      <c r="AS303" s="275"/>
      <c r="AT303" s="244">
        <v>0.94861042958469011</v>
      </c>
      <c r="AU303" s="244">
        <v>0.93925691699604741</v>
      </c>
      <c r="AV303" s="244">
        <v>0.78638055799556617</v>
      </c>
      <c r="AW303" s="244">
        <v>0.94901920719248056</v>
      </c>
      <c r="AX303" s="244">
        <v>0.83904925017753451</v>
      </c>
      <c r="AY303" s="244">
        <v>0.93113522537562621</v>
      </c>
      <c r="AZ303" s="244">
        <v>0.86366670374902643</v>
      </c>
      <c r="BA303" s="275"/>
      <c r="BB303" s="191">
        <v>1.0483159619088767</v>
      </c>
      <c r="BC303" s="275"/>
      <c r="BE303" s="274">
        <f t="shared" si="70"/>
        <v>4.7785806451612904</v>
      </c>
      <c r="BF303" s="280">
        <f t="shared" si="78"/>
        <v>148.86799999999999</v>
      </c>
      <c r="BG303" s="154" t="str">
        <f t="shared" si="75"/>
        <v/>
      </c>
      <c r="BH303" s="270">
        <f t="shared" si="73"/>
        <v>-0.15</v>
      </c>
      <c r="BI303" s="270">
        <f t="shared" si="66"/>
        <v>-0.13999999999999879</v>
      </c>
    </row>
    <row r="304" spans="1:61">
      <c r="A304" s="266">
        <v>38292</v>
      </c>
      <c r="B304" s="266"/>
      <c r="C304" s="277">
        <v>0.2241222222222215</v>
      </c>
      <c r="D304" s="276">
        <v>6.7236666666666451</v>
      </c>
      <c r="E304" s="277">
        <v>5.3272000000000004</v>
      </c>
      <c r="F304" s="277">
        <f t="shared" si="77"/>
        <v>159.816</v>
      </c>
      <c r="G304" s="277">
        <v>144.38300000000001</v>
      </c>
      <c r="H304" s="281">
        <f t="shared" si="76"/>
        <v>0.90343269760224265</v>
      </c>
      <c r="I304" s="202">
        <v>3413.0169999999998</v>
      </c>
      <c r="J304" s="270">
        <v>47.28</v>
      </c>
      <c r="K304" s="270">
        <v>0.15933645107209315</v>
      </c>
      <c r="L304" s="202">
        <v>604.56399999999996</v>
      </c>
      <c r="M304" s="277">
        <v>189.16098802940007</v>
      </c>
      <c r="N304" s="202">
        <v>1620.105</v>
      </c>
      <c r="O304" s="270">
        <v>11.22</v>
      </c>
      <c r="P304" s="270">
        <v>-4.9083208329657069E-2</v>
      </c>
      <c r="Q304" s="202">
        <v>886.28599999999994</v>
      </c>
      <c r="R304" s="199">
        <v>0.74402787105439883</v>
      </c>
      <c r="S304" s="202">
        <v>304.9140000000001</v>
      </c>
      <c r="T304" s="286">
        <v>411.52966666666674</v>
      </c>
      <c r="U304" s="275"/>
      <c r="V304" s="278">
        <v>21.068000000000001</v>
      </c>
      <c r="W304" s="278">
        <v>28.271999999999998</v>
      </c>
      <c r="X304" s="278">
        <v>20.93</v>
      </c>
      <c r="Y304" s="278"/>
      <c r="Z304" s="278">
        <v>8.1769999999999996</v>
      </c>
      <c r="AA304" s="278">
        <v>18.975000000000001</v>
      </c>
      <c r="AB304" s="278">
        <v>32.707999999999998</v>
      </c>
      <c r="AC304" s="278">
        <v>14.254</v>
      </c>
      <c r="AD304" s="279">
        <v>144.38300000000001</v>
      </c>
      <c r="AE304" s="278">
        <f t="shared" si="68"/>
        <v>144.38399999999999</v>
      </c>
      <c r="AF304" s="278">
        <f t="shared" si="69"/>
        <v>9.9999999997635314E-4</v>
      </c>
      <c r="AG304" s="278">
        <f t="shared" si="67"/>
        <v>9.9999999997635314E-4</v>
      </c>
      <c r="AH304" s="202">
        <f t="shared" si="64"/>
        <v>-0.757000000000005</v>
      </c>
      <c r="AI304" s="202">
        <f t="shared" si="65"/>
        <v>58.5</v>
      </c>
      <c r="AJ304" s="285">
        <v>21.693999999999999</v>
      </c>
      <c r="AK304" s="285">
        <v>30.605</v>
      </c>
      <c r="AL304" s="285">
        <v>23.135999999999999</v>
      </c>
      <c r="AM304" s="285">
        <v>9.4719999999999995</v>
      </c>
      <c r="AN304" s="285">
        <v>23.166</v>
      </c>
      <c r="AO304" s="285">
        <v>34.345999999999997</v>
      </c>
      <c r="AP304" s="285">
        <v>17.398</v>
      </c>
      <c r="AQ304" s="285">
        <v>159.80600000000001</v>
      </c>
      <c r="AR304" s="285">
        <v>9.9999999999909051E-3</v>
      </c>
      <c r="AS304" s="275"/>
      <c r="AT304" s="244">
        <v>0.9711440951415139</v>
      </c>
      <c r="AU304" s="244">
        <v>0.92377062571475244</v>
      </c>
      <c r="AV304" s="244">
        <v>0.90465076071922546</v>
      </c>
      <c r="AW304" s="244">
        <v>0.86328125</v>
      </c>
      <c r="AX304" s="244">
        <v>0.81908831908831914</v>
      </c>
      <c r="AY304" s="244">
        <v>0.95230885692657086</v>
      </c>
      <c r="AZ304" s="244">
        <v>0.81928957351419707</v>
      </c>
      <c r="BA304" s="275"/>
      <c r="BB304" s="191">
        <v>1.0465682709644948</v>
      </c>
      <c r="BC304" s="275"/>
      <c r="BE304" s="274">
        <f>G304/30</f>
        <v>4.8127666666666666</v>
      </c>
      <c r="BF304" s="280">
        <f t="shared" si="78"/>
        <v>144.67400000000001</v>
      </c>
      <c r="BG304" s="154" t="str">
        <f t="shared" si="75"/>
        <v/>
      </c>
      <c r="BH304" s="270">
        <f t="shared" si="73"/>
        <v>-0.10999999999999979</v>
      </c>
      <c r="BI304" s="270">
        <f t="shared" si="66"/>
        <v>-0.16000000000000014</v>
      </c>
    </row>
    <row r="305" spans="1:61">
      <c r="A305" s="266">
        <v>38322</v>
      </c>
      <c r="B305" s="266"/>
      <c r="C305" s="277">
        <v>0.21444086021505421</v>
      </c>
      <c r="D305" s="276">
        <v>6.6476666666666802</v>
      </c>
      <c r="E305" s="277">
        <v>5.3391935483870965</v>
      </c>
      <c r="F305" s="277">
        <f t="shared" si="77"/>
        <v>165.51499999999999</v>
      </c>
      <c r="G305" s="277">
        <v>143.38900000000001</v>
      </c>
      <c r="H305" s="281">
        <f t="shared" si="76"/>
        <v>0.86632027308703152</v>
      </c>
      <c r="I305" s="202">
        <v>3393.6289999999999</v>
      </c>
      <c r="J305" s="270">
        <v>47.33</v>
      </c>
      <c r="K305" s="270">
        <v>0.23037413076802693</v>
      </c>
      <c r="L305" s="202">
        <v>572.65099999999995</v>
      </c>
      <c r="M305" s="277">
        <v>320.70074597830001</v>
      </c>
      <c r="N305" s="202">
        <v>1617.1769999999999</v>
      </c>
      <c r="O305" s="270">
        <v>11.28</v>
      </c>
      <c r="P305" s="270">
        <v>-6.7407522605586578E-2</v>
      </c>
      <c r="Q305" s="202">
        <v>973.38699999999994</v>
      </c>
      <c r="R305" s="199">
        <v>0.74242010525512925</v>
      </c>
      <c r="S305" s="202">
        <v>337.71299999999997</v>
      </c>
      <c r="T305" s="286">
        <v>416.43833333333322</v>
      </c>
      <c r="U305" s="275"/>
      <c r="V305" s="278">
        <v>19.645</v>
      </c>
      <c r="W305" s="278">
        <v>27.69</v>
      </c>
      <c r="X305" s="278">
        <v>20.167999999999999</v>
      </c>
      <c r="Y305" s="278"/>
      <c r="Z305" s="278">
        <v>8.3580000000000005</v>
      </c>
      <c r="AA305" s="278">
        <v>19.945</v>
      </c>
      <c r="AB305" s="278">
        <v>31.795999999999999</v>
      </c>
      <c r="AC305" s="278">
        <v>15.786</v>
      </c>
      <c r="AD305" s="279">
        <v>143.38900000000001</v>
      </c>
      <c r="AE305" s="278">
        <f t="shared" si="68"/>
        <v>143.38800000000001</v>
      </c>
      <c r="AF305" s="278">
        <f t="shared" si="69"/>
        <v>-1.0000000000047748E-3</v>
      </c>
      <c r="AG305" s="278">
        <f t="shared" si="67"/>
        <v>-1.0000000000047748E-3</v>
      </c>
      <c r="AH305" s="202">
        <f t="shared" si="64"/>
        <v>-0.91199999999999903</v>
      </c>
      <c r="AI305" s="202">
        <f t="shared" si="65"/>
        <v>58.61</v>
      </c>
      <c r="AJ305" s="285">
        <v>22.326000000000001</v>
      </c>
      <c r="AK305" s="285">
        <v>31.88</v>
      </c>
      <c r="AL305" s="285">
        <v>23.899000000000001</v>
      </c>
      <c r="AM305" s="285">
        <v>9.7759999999999998</v>
      </c>
      <c r="AN305" s="285">
        <v>22.890999999999998</v>
      </c>
      <c r="AO305" s="285">
        <v>36.381</v>
      </c>
      <c r="AP305" s="285">
        <v>18.363</v>
      </c>
      <c r="AQ305" s="285">
        <v>165.51499999999999</v>
      </c>
      <c r="AR305" s="285">
        <v>0</v>
      </c>
      <c r="AS305" s="275"/>
      <c r="AT305" s="244">
        <v>0.87991579324554325</v>
      </c>
      <c r="AU305" s="244">
        <v>0.86856963613550819</v>
      </c>
      <c r="AV305" s="244">
        <v>0.84388468136742112</v>
      </c>
      <c r="AW305" s="244">
        <v>0.85495090016366615</v>
      </c>
      <c r="AX305" s="244">
        <v>0.87130313223537648</v>
      </c>
      <c r="AY305" s="244">
        <v>0.87397267804623291</v>
      </c>
      <c r="AZ305" s="244">
        <v>0.85966345368403851</v>
      </c>
      <c r="BA305" s="275"/>
      <c r="BB305" s="191">
        <v>1.0463610644238168</v>
      </c>
      <c r="BC305" s="275"/>
      <c r="BE305" s="274">
        <f t="shared" si="70"/>
        <v>4.6254516129032259</v>
      </c>
      <c r="BF305" s="280">
        <f t="shared" si="78"/>
        <v>148.77099999999999</v>
      </c>
      <c r="BG305" s="154" t="str">
        <f t="shared" si="75"/>
        <v/>
      </c>
      <c r="BH305" s="270">
        <f t="shared" si="73"/>
        <v>2.8000000000000115E-2</v>
      </c>
      <c r="BI305" s="270">
        <f t="shared" si="66"/>
        <v>5.9999999999998721E-2</v>
      </c>
    </row>
    <row r="306" spans="1:61">
      <c r="A306" s="266">
        <v>38353</v>
      </c>
      <c r="B306" s="266"/>
      <c r="C306" s="277">
        <v>0.23153763440860262</v>
      </c>
      <c r="D306" s="276">
        <v>7.1776666666666813</v>
      </c>
      <c r="E306" s="277">
        <v>5.3391935483870965</v>
      </c>
      <c r="F306" s="277">
        <f t="shared" si="77"/>
        <v>165.51499999999999</v>
      </c>
      <c r="G306" s="277">
        <v>141.37899999999999</v>
      </c>
      <c r="H306" s="281">
        <f t="shared" si="76"/>
        <v>0.85417635863818986</v>
      </c>
      <c r="I306" s="202">
        <v>3364.3780000000002</v>
      </c>
      <c r="J306" s="270">
        <v>47.59</v>
      </c>
      <c r="K306" s="270">
        <v>0.23686741310834947</v>
      </c>
      <c r="L306" s="202">
        <v>531.98099999999999</v>
      </c>
      <c r="M306" s="277">
        <v>82.497967937099929</v>
      </c>
      <c r="N306" s="202">
        <v>1604.8820000000001</v>
      </c>
      <c r="O306" s="270">
        <v>11.35</v>
      </c>
      <c r="P306" s="270">
        <v>-3.983777234276431E-2</v>
      </c>
      <c r="Q306" s="202">
        <v>1216.9110000000001</v>
      </c>
      <c r="R306" s="199">
        <v>0.78007115384615389</v>
      </c>
      <c r="S306" s="202">
        <v>343.08899999999994</v>
      </c>
      <c r="T306" s="286">
        <v>478.2506666666664</v>
      </c>
      <c r="U306" s="275"/>
      <c r="V306" s="278">
        <v>19.754000000000001</v>
      </c>
      <c r="W306" s="278">
        <v>28.524000000000001</v>
      </c>
      <c r="X306" s="278">
        <v>20.263999999999999</v>
      </c>
      <c r="Y306" s="278"/>
      <c r="Z306" s="278">
        <v>7.51</v>
      </c>
      <c r="AA306" s="278">
        <v>19.292999999999999</v>
      </c>
      <c r="AB306" s="278">
        <v>31.532</v>
      </c>
      <c r="AC306" s="278">
        <v>14.503</v>
      </c>
      <c r="AD306" s="279">
        <v>141.37899999999999</v>
      </c>
      <c r="AE306" s="278">
        <f t="shared" si="68"/>
        <v>141.38</v>
      </c>
      <c r="AF306" s="278">
        <f t="shared" si="69"/>
        <v>1.0000000000047748E-3</v>
      </c>
      <c r="AG306" s="278">
        <f t="shared" si="67"/>
        <v>1.0000000000047748E-3</v>
      </c>
      <c r="AH306" s="202">
        <f t="shared" si="64"/>
        <v>-0.26399999999999935</v>
      </c>
      <c r="AI306" s="202">
        <f t="shared" si="65"/>
        <v>58.940000000000005</v>
      </c>
      <c r="AJ306" s="285">
        <v>22.326000000000001</v>
      </c>
      <c r="AK306" s="285">
        <v>31.88</v>
      </c>
      <c r="AL306" s="285">
        <v>23.899000000000001</v>
      </c>
      <c r="AM306" s="285">
        <v>9.7759999999999998</v>
      </c>
      <c r="AN306" s="285">
        <v>22.890999999999998</v>
      </c>
      <c r="AO306" s="285">
        <v>36.381</v>
      </c>
      <c r="AP306" s="285">
        <v>18.363</v>
      </c>
      <c r="AQ306" s="285">
        <v>165.51499999999999</v>
      </c>
      <c r="AR306" s="285">
        <v>0</v>
      </c>
      <c r="AS306" s="275"/>
      <c r="AT306" s="244">
        <v>0.88479799337095766</v>
      </c>
      <c r="AU306" s="244">
        <v>0.89473023839397747</v>
      </c>
      <c r="AV306" s="244">
        <v>0.84790158584041164</v>
      </c>
      <c r="AW306" s="244">
        <v>0.76820785597381347</v>
      </c>
      <c r="AX306" s="244">
        <v>0.84282032239744886</v>
      </c>
      <c r="AY306" s="244">
        <v>0.86671614304169764</v>
      </c>
      <c r="AZ306" s="244">
        <v>0.78979469585579698</v>
      </c>
      <c r="BA306" s="275"/>
      <c r="BB306" s="191">
        <v>1.0507689732327057</v>
      </c>
      <c r="BC306" s="275"/>
      <c r="BE306" s="274">
        <f t="shared" si="70"/>
        <v>4.560612903225806</v>
      </c>
      <c r="BF306" s="280">
        <f t="shared" si="78"/>
        <v>151.04</v>
      </c>
      <c r="BG306" s="154" t="str">
        <f t="shared" si="75"/>
        <v/>
      </c>
      <c r="BH306" s="270">
        <f t="shared" si="73"/>
        <v>5.999999999999517E-3</v>
      </c>
      <c r="BI306" s="270">
        <f t="shared" si="66"/>
        <v>7.0000000000000284E-2</v>
      </c>
    </row>
    <row r="307" spans="1:61">
      <c r="A307" s="266">
        <v>38384</v>
      </c>
      <c r="B307" s="266"/>
      <c r="C307" s="277">
        <v>0.23133333333333286</v>
      </c>
      <c r="D307" s="276">
        <v>6.4773333333333198</v>
      </c>
      <c r="E307" s="277">
        <v>5.3392142857142852</v>
      </c>
      <c r="F307" s="277">
        <f t="shared" si="77"/>
        <v>149.49799999999999</v>
      </c>
      <c r="G307" s="277">
        <v>131.11600000000001</v>
      </c>
      <c r="H307" s="281">
        <f t="shared" si="76"/>
        <v>0.87704183333556318</v>
      </c>
      <c r="I307" s="202">
        <v>3123.4479999999999</v>
      </c>
      <c r="J307" s="270">
        <v>47.64</v>
      </c>
      <c r="K307" s="270">
        <v>0.23005184359707442</v>
      </c>
      <c r="L307" s="202">
        <v>495.57499999999999</v>
      </c>
      <c r="M307" s="277">
        <v>185.96449062640005</v>
      </c>
      <c r="N307" s="202">
        <v>1498.961</v>
      </c>
      <c r="O307" s="270">
        <v>11.43</v>
      </c>
      <c r="P307" s="270">
        <v>-6.2443432336838356E-2</v>
      </c>
      <c r="Q307" s="202">
        <v>1247.501</v>
      </c>
      <c r="R307" s="199">
        <v>0.75753036191401502</v>
      </c>
      <c r="S307" s="202">
        <v>399.29899999999998</v>
      </c>
      <c r="T307" s="286">
        <v>474.59600000000006</v>
      </c>
      <c r="U307" s="275"/>
      <c r="V307" s="278">
        <v>18.047000000000001</v>
      </c>
      <c r="W307" s="278">
        <v>25.178000000000001</v>
      </c>
      <c r="X307" s="278">
        <v>17.91</v>
      </c>
      <c r="Y307" s="278"/>
      <c r="Z307" s="278">
        <v>6.9080000000000004</v>
      </c>
      <c r="AA307" s="278">
        <v>17.574999999999999</v>
      </c>
      <c r="AB307" s="278">
        <v>31.222000000000001</v>
      </c>
      <c r="AC307" s="278">
        <v>14.276999999999999</v>
      </c>
      <c r="AD307" s="279">
        <v>131.11600000000001</v>
      </c>
      <c r="AE307" s="278">
        <f t="shared" si="68"/>
        <v>131.11699999999999</v>
      </c>
      <c r="AF307" s="278">
        <f t="shared" si="69"/>
        <v>9.9999999997635314E-4</v>
      </c>
      <c r="AG307" s="278">
        <f t="shared" si="67"/>
        <v>9.9999999997635314E-4</v>
      </c>
      <c r="AH307" s="202">
        <f t="shared" si="64"/>
        <v>-0.30999999999999872</v>
      </c>
      <c r="AI307" s="202">
        <f t="shared" si="65"/>
        <v>59.07</v>
      </c>
      <c r="AJ307" s="285">
        <v>20.164999999999999</v>
      </c>
      <c r="AK307" s="285">
        <v>28.795000000000002</v>
      </c>
      <c r="AL307" s="285">
        <v>21.585999999999999</v>
      </c>
      <c r="AM307" s="285">
        <v>8.83</v>
      </c>
      <c r="AN307" s="285">
        <v>20.675999999999998</v>
      </c>
      <c r="AO307" s="285">
        <v>32.86</v>
      </c>
      <c r="AP307" s="285">
        <v>16.585999999999999</v>
      </c>
      <c r="AQ307" s="285">
        <v>149.49799999999999</v>
      </c>
      <c r="AR307" s="285">
        <v>0</v>
      </c>
      <c r="AS307" s="275"/>
      <c r="AT307" s="244">
        <v>0.89496652615918681</v>
      </c>
      <c r="AU307" s="244">
        <v>0.8743879145685014</v>
      </c>
      <c r="AV307" s="244">
        <v>0.82970443806170668</v>
      </c>
      <c r="AW307" s="244">
        <v>0.7823329558323896</v>
      </c>
      <c r="AX307" s="244">
        <v>0.85001934610176055</v>
      </c>
      <c r="AY307" s="244">
        <v>0.95015216068167996</v>
      </c>
      <c r="AZ307" s="244">
        <v>0.86078620523332938</v>
      </c>
      <c r="BA307" s="275"/>
      <c r="BB307" s="191">
        <v>1.0494015477388978</v>
      </c>
      <c r="BC307" s="275"/>
      <c r="BE307" s="274">
        <f>G307/28</f>
        <v>4.6827142857142858</v>
      </c>
      <c r="BF307" s="280">
        <f t="shared" si="78"/>
        <v>135.53299999999999</v>
      </c>
      <c r="BG307" s="154" t="str">
        <f t="shared" si="75"/>
        <v/>
      </c>
      <c r="BH307" s="270">
        <f t="shared" si="73"/>
        <v>7.6000000000000151E-2</v>
      </c>
      <c r="BI307" s="270">
        <f t="shared" si="66"/>
        <v>8.0000000000000071E-2</v>
      </c>
    </row>
    <row r="308" spans="1:61">
      <c r="A308" s="266">
        <v>38412</v>
      </c>
      <c r="B308" s="266"/>
      <c r="C308" s="277">
        <v>0.21549462365591457</v>
      </c>
      <c r="D308" s="276">
        <v>6.6803333333333512</v>
      </c>
      <c r="E308" s="277">
        <v>5.3391935483870965</v>
      </c>
      <c r="F308" s="277">
        <f t="shared" si="77"/>
        <v>165.51499999999999</v>
      </c>
      <c r="G308" s="277">
        <v>141.81299999999999</v>
      </c>
      <c r="H308" s="281">
        <f t="shared" si="76"/>
        <v>0.85679847747938254</v>
      </c>
      <c r="I308" s="202">
        <v>3379.6979999999999</v>
      </c>
      <c r="J308" s="270">
        <v>47.66</v>
      </c>
      <c r="K308" s="270">
        <v>0.12261650354674458</v>
      </c>
      <c r="L308" s="202">
        <v>454.24599999999998</v>
      </c>
      <c r="M308" s="277">
        <v>262.07691423140011</v>
      </c>
      <c r="N308" s="202">
        <v>1621.0409999999999</v>
      </c>
      <c r="O308" s="270">
        <v>11.43</v>
      </c>
      <c r="P308" s="270">
        <v>-7.3261201400734777E-2</v>
      </c>
      <c r="Q308" s="202">
        <v>1369.3620000000001</v>
      </c>
      <c r="R308" s="199">
        <v>0.75542671153527896</v>
      </c>
      <c r="S308" s="202">
        <v>443.33799999999974</v>
      </c>
      <c r="T308" s="286">
        <v>491.42633333333328</v>
      </c>
      <c r="U308" s="275"/>
      <c r="V308" s="278">
        <v>19.678000000000001</v>
      </c>
      <c r="W308" s="278">
        <v>28.388999999999999</v>
      </c>
      <c r="X308" s="278">
        <v>18.55</v>
      </c>
      <c r="Y308" s="278"/>
      <c r="Z308" s="278">
        <v>5.0369999999999999</v>
      </c>
      <c r="AA308" s="278">
        <v>20.062999999999999</v>
      </c>
      <c r="AB308" s="278">
        <v>34.164000000000001</v>
      </c>
      <c r="AC308" s="278">
        <v>15.930999999999999</v>
      </c>
      <c r="AD308" s="279">
        <v>141.81299999999999</v>
      </c>
      <c r="AE308" s="278">
        <f t="shared" si="68"/>
        <v>141.81200000000001</v>
      </c>
      <c r="AF308" s="278">
        <f t="shared" si="69"/>
        <v>-9.9999999997635314E-4</v>
      </c>
      <c r="AG308" s="278">
        <f t="shared" si="67"/>
        <v>-9.9999999997635314E-4</v>
      </c>
      <c r="AH308" s="202">
        <f t="shared" si="64"/>
        <v>2.9420000000000002</v>
      </c>
      <c r="AI308" s="202">
        <f t="shared" si="65"/>
        <v>59.089999999999996</v>
      </c>
      <c r="AJ308" s="285">
        <v>22.326000000000001</v>
      </c>
      <c r="AK308" s="285">
        <v>31.88</v>
      </c>
      <c r="AL308" s="285">
        <v>23.899000000000001</v>
      </c>
      <c r="AM308" s="285">
        <v>9.7759999999999998</v>
      </c>
      <c r="AN308" s="285">
        <v>22.890999999999998</v>
      </c>
      <c r="AO308" s="285">
        <v>36.381</v>
      </c>
      <c r="AP308" s="285">
        <v>18.363</v>
      </c>
      <c r="AQ308" s="285">
        <v>165.51499999999999</v>
      </c>
      <c r="AR308" s="285">
        <v>0</v>
      </c>
      <c r="AS308" s="275"/>
      <c r="AT308" s="244">
        <v>0.88139389053121919</v>
      </c>
      <c r="AU308" s="244">
        <v>0.89049560853199494</v>
      </c>
      <c r="AV308" s="244">
        <v>0.77618310389556044</v>
      </c>
      <c r="AW308" s="244">
        <v>0.51524140752864156</v>
      </c>
      <c r="AX308" s="244">
        <v>0.87645799659254731</v>
      </c>
      <c r="AY308" s="244">
        <v>0.93906159808691358</v>
      </c>
      <c r="AZ308" s="244">
        <v>0.86755976692261616</v>
      </c>
      <c r="BA308" s="275"/>
      <c r="BB308" s="191">
        <v>1.0471066357339127</v>
      </c>
      <c r="BC308" s="275"/>
      <c r="BE308" s="274">
        <f t="shared" si="70"/>
        <v>4.5746129032258063</v>
      </c>
      <c r="BF308" s="280">
        <f t="shared" si="78"/>
        <v>145.374</v>
      </c>
      <c r="BG308" s="154" t="str">
        <f t="shared" si="75"/>
        <v/>
      </c>
      <c r="BH308" s="270">
        <f t="shared" si="73"/>
        <v>4.3999999999999775E-2</v>
      </c>
      <c r="BI308" s="270">
        <f t="shared" si="66"/>
        <v>0</v>
      </c>
    </row>
    <row r="309" spans="1:61">
      <c r="A309" s="266">
        <v>38443</v>
      </c>
      <c r="B309" s="266"/>
      <c r="C309" s="277">
        <v>0.17438888888888851</v>
      </c>
      <c r="D309" s="276">
        <v>5.2316666666666549</v>
      </c>
      <c r="E309" s="277">
        <v>5.3383999999999991</v>
      </c>
      <c r="F309" s="277">
        <f t="shared" si="77"/>
        <v>160.15199999999999</v>
      </c>
      <c r="G309" s="277">
        <v>134.185</v>
      </c>
      <c r="H309" s="281">
        <f t="shared" si="76"/>
        <v>0.83786028273140523</v>
      </c>
      <c r="I309" s="202">
        <v>3194.9050000000002</v>
      </c>
      <c r="J309" s="270">
        <v>47.62</v>
      </c>
      <c r="K309" s="270">
        <v>0.10169754931261821</v>
      </c>
      <c r="L309" s="202">
        <v>417.78300000000002</v>
      </c>
      <c r="M309" s="277">
        <v>273.2372470752</v>
      </c>
      <c r="N309" s="202">
        <v>1528.4010000000001</v>
      </c>
      <c r="O309" s="270">
        <v>11.39</v>
      </c>
      <c r="P309" s="270">
        <v>-5.9934249850568833E-2</v>
      </c>
      <c r="Q309" s="202">
        <v>1476.6980000000001</v>
      </c>
      <c r="R309" s="199">
        <v>0.82171164654165052</v>
      </c>
      <c r="S309" s="202">
        <v>320.40199999999982</v>
      </c>
      <c r="T309" s="286">
        <v>472.34600000000006</v>
      </c>
      <c r="U309" s="275"/>
      <c r="V309" s="278">
        <v>18.452999999999999</v>
      </c>
      <c r="W309" s="278">
        <v>26.03</v>
      </c>
      <c r="X309" s="278">
        <v>19.556999999999999</v>
      </c>
      <c r="Y309" s="278"/>
      <c r="Z309" s="278">
        <v>4.5430000000000001</v>
      </c>
      <c r="AA309" s="278">
        <v>18.143000000000001</v>
      </c>
      <c r="AB309" s="278">
        <v>32.688000000000002</v>
      </c>
      <c r="AC309" s="278">
        <v>14.77</v>
      </c>
      <c r="AD309" s="279">
        <v>134.185</v>
      </c>
      <c r="AE309" s="278">
        <f t="shared" si="68"/>
        <v>134.18400000000003</v>
      </c>
      <c r="AF309" s="278">
        <f t="shared" si="69"/>
        <v>-9.9999999997635314E-4</v>
      </c>
      <c r="AG309" s="278">
        <f t="shared" si="67"/>
        <v>-9.9999999997635314E-4</v>
      </c>
      <c r="AH309" s="202">
        <f t="shared" si="64"/>
        <v>-1.4759999999999991</v>
      </c>
      <c r="AI309" s="202">
        <f t="shared" si="65"/>
        <v>59.01</v>
      </c>
      <c r="AJ309" s="285">
        <v>21.605</v>
      </c>
      <c r="AK309" s="285">
        <v>30.736999999999998</v>
      </c>
      <c r="AL309" s="285">
        <v>23.085999999999999</v>
      </c>
      <c r="AM309" s="285">
        <v>9.4689999999999994</v>
      </c>
      <c r="AN309" s="285">
        <v>22.152999999999999</v>
      </c>
      <c r="AO309" s="285">
        <v>35.366199999999999</v>
      </c>
      <c r="AP309" s="285">
        <v>17.741</v>
      </c>
      <c r="AQ309" s="285">
        <v>160.15199999999999</v>
      </c>
      <c r="AR309" s="285">
        <v>0</v>
      </c>
      <c r="AS309" s="275"/>
      <c r="AT309" s="244">
        <v>0.85410784540615592</v>
      </c>
      <c r="AU309" s="244">
        <v>0.84686208803721907</v>
      </c>
      <c r="AV309" s="244">
        <v>0.84713679286147447</v>
      </c>
      <c r="AW309" s="244">
        <v>0.47977611152180805</v>
      </c>
      <c r="AX309" s="244">
        <v>0.81898614183180618</v>
      </c>
      <c r="AY309" s="244">
        <v>0.92427232781582425</v>
      </c>
      <c r="AZ309" s="244">
        <v>0.8325348063807001</v>
      </c>
      <c r="BA309" s="275"/>
      <c r="BB309" s="191">
        <v>1.038988461204059</v>
      </c>
      <c r="BC309" s="275"/>
      <c r="BE309" s="274">
        <f>G309/30</f>
        <v>4.472833333333333</v>
      </c>
      <c r="BF309" s="280">
        <f t="shared" si="78"/>
        <v>135.398</v>
      </c>
      <c r="BG309" s="154" t="str">
        <f t="shared" si="75"/>
        <v/>
      </c>
      <c r="BH309" s="270">
        <f t="shared" si="73"/>
        <v>1.9999999999999928E-2</v>
      </c>
      <c r="BI309" s="270">
        <f t="shared" si="66"/>
        <v>-3.9999999999999147E-2</v>
      </c>
    </row>
    <row r="310" spans="1:61">
      <c r="A310" s="266">
        <v>38473</v>
      </c>
      <c r="B310" s="266"/>
      <c r="C310" s="277">
        <v>0.19743010752688131</v>
      </c>
      <c r="D310" s="276">
        <v>6.1203333333333205</v>
      </c>
      <c r="E310" s="277">
        <v>5.3384193548387104</v>
      </c>
      <c r="F310" s="277">
        <f t="shared" si="77"/>
        <v>165.49100000000001</v>
      </c>
      <c r="G310" s="277">
        <v>136.69300000000001</v>
      </c>
      <c r="H310" s="281">
        <f t="shared" si="76"/>
        <v>0.82598449462508539</v>
      </c>
      <c r="I310" s="202">
        <v>3245.52</v>
      </c>
      <c r="J310" s="270">
        <v>47.49</v>
      </c>
      <c r="K310" s="270">
        <v>9.5192792456352038E-2</v>
      </c>
      <c r="L310" s="202">
        <v>330.69200000000001</v>
      </c>
      <c r="M310" s="277">
        <v>215.27591420290014</v>
      </c>
      <c r="N310" s="202">
        <v>1559.42</v>
      </c>
      <c r="O310" s="270">
        <v>11.41</v>
      </c>
      <c r="P310" s="270">
        <v>-6.582111847633243E-2</v>
      </c>
      <c r="Q310" s="202">
        <v>1571.296</v>
      </c>
      <c r="R310" s="199">
        <v>0.83194578281357545</v>
      </c>
      <c r="S310" s="202">
        <v>317.404</v>
      </c>
      <c r="T310" s="286">
        <v>466.51499999999982</v>
      </c>
      <c r="U310" s="275"/>
      <c r="V310" s="278">
        <v>18.628</v>
      </c>
      <c r="W310" s="278">
        <v>27.829000000000001</v>
      </c>
      <c r="X310" s="278">
        <v>19.48</v>
      </c>
      <c r="Y310" s="278"/>
      <c r="Z310" s="278">
        <v>5.4619999999999997</v>
      </c>
      <c r="AA310" s="278">
        <v>18.873999999999999</v>
      </c>
      <c r="AB310" s="278">
        <v>30.681000000000001</v>
      </c>
      <c r="AC310" s="278">
        <v>15.738</v>
      </c>
      <c r="AD310" s="279">
        <v>136.69300000000001</v>
      </c>
      <c r="AE310" s="278">
        <f t="shared" si="68"/>
        <v>136.69200000000001</v>
      </c>
      <c r="AF310" s="278">
        <f t="shared" si="69"/>
        <v>-1.0000000000047748E-3</v>
      </c>
      <c r="AG310" s="278">
        <f t="shared" si="67"/>
        <v>-1.0000000000047748E-3</v>
      </c>
      <c r="AH310" s="202">
        <f t="shared" si="64"/>
        <v>-2.0070000000000014</v>
      </c>
      <c r="AI310" s="202">
        <f t="shared" si="65"/>
        <v>58.900000000000006</v>
      </c>
      <c r="AJ310" s="285">
        <v>22.326000000000001</v>
      </c>
      <c r="AK310" s="285">
        <v>31.760999999999999</v>
      </c>
      <c r="AL310" s="285">
        <v>23.855</v>
      </c>
      <c r="AM310" s="285">
        <v>9.7840000000000007</v>
      </c>
      <c r="AN310" s="285">
        <v>22.890999999999998</v>
      </c>
      <c r="AO310" s="285">
        <v>36.540999999999997</v>
      </c>
      <c r="AP310" s="285">
        <v>18.332000000000001</v>
      </c>
      <c r="AQ310" s="285">
        <v>165.49100000000001</v>
      </c>
      <c r="AR310" s="285">
        <v>0</v>
      </c>
      <c r="AS310" s="275"/>
      <c r="AT310" s="244">
        <v>0.83436352235062261</v>
      </c>
      <c r="AU310" s="244">
        <v>0.8762003715248261</v>
      </c>
      <c r="AV310" s="244">
        <v>0.81660029343953044</v>
      </c>
      <c r="AW310" s="244">
        <v>0.55825838103025338</v>
      </c>
      <c r="AX310" s="244">
        <v>0.82451618540037575</v>
      </c>
      <c r="AY310" s="244">
        <v>0.83963219397389244</v>
      </c>
      <c r="AZ310" s="244">
        <v>0.85849879991272082</v>
      </c>
      <c r="BA310" s="275"/>
      <c r="BB310" s="191">
        <v>1.0447742995861773</v>
      </c>
      <c r="BC310" s="275"/>
      <c r="BE310" s="274">
        <f t="shared" si="70"/>
        <v>4.4094516129032266</v>
      </c>
      <c r="BF310" s="280">
        <f t="shared" si="78"/>
        <v>136.042</v>
      </c>
      <c r="BG310" s="154" t="str">
        <f t="shared" ref="BG310:BG365" si="79">IF(G310&gt;BF310,"RECORD","")</f>
        <v>RECORD</v>
      </c>
      <c r="BH310" s="270">
        <f t="shared" si="73"/>
        <v>1.0000000000000498E-2</v>
      </c>
      <c r="BI310" s="270">
        <f t="shared" si="66"/>
        <v>1.9999999999999574E-2</v>
      </c>
    </row>
    <row r="311" spans="1:61">
      <c r="A311" s="266">
        <v>38504</v>
      </c>
      <c r="B311" s="266"/>
      <c r="C311" s="277">
        <v>0.22432222222222151</v>
      </c>
      <c r="D311" s="276">
        <v>6.7296666666666454</v>
      </c>
      <c r="E311" s="277">
        <v>5.3383999999999991</v>
      </c>
      <c r="F311" s="277">
        <f t="shared" si="77"/>
        <v>160.15199999999999</v>
      </c>
      <c r="G311" s="277">
        <v>125.25700000000001</v>
      </c>
      <c r="H311" s="281">
        <f t="shared" si="76"/>
        <v>0.78211324241970137</v>
      </c>
      <c r="I311" s="202">
        <v>2985.3530000000001</v>
      </c>
      <c r="J311" s="270">
        <v>47.67</v>
      </c>
      <c r="K311" s="270">
        <v>0.22271643600364399</v>
      </c>
      <c r="L311" s="202">
        <v>393.45100000000002</v>
      </c>
      <c r="M311" s="277">
        <v>174.43449450920002</v>
      </c>
      <c r="N311" s="202">
        <v>1563.877</v>
      </c>
      <c r="O311" s="270">
        <v>11.41</v>
      </c>
      <c r="P311" s="270">
        <v>-6.5672290130315503E-2</v>
      </c>
      <c r="Q311" s="202">
        <v>1563.877</v>
      </c>
      <c r="R311" s="199">
        <v>0.85081170774168968</v>
      </c>
      <c r="S311" s="202">
        <v>274.22300000000018</v>
      </c>
      <c r="T311" s="286">
        <v>456.52533333333326</v>
      </c>
      <c r="U311" s="275"/>
      <c r="V311" s="278">
        <v>13.108000000000001</v>
      </c>
      <c r="W311" s="278">
        <v>21.562999999999999</v>
      </c>
      <c r="X311" s="278">
        <v>18.995000000000001</v>
      </c>
      <c r="Y311" s="278"/>
      <c r="Z311" s="278">
        <v>7.7549999999999999</v>
      </c>
      <c r="AA311" s="278">
        <v>16.22</v>
      </c>
      <c r="AB311" s="278">
        <v>32.494999999999997</v>
      </c>
      <c r="AC311" s="278">
        <v>15.122</v>
      </c>
      <c r="AD311" s="279">
        <v>125.25700000000001</v>
      </c>
      <c r="AE311" s="278">
        <f t="shared" si="68"/>
        <v>125.258</v>
      </c>
      <c r="AF311" s="278">
        <f t="shared" si="69"/>
        <v>9.9999999999056399E-4</v>
      </c>
      <c r="AG311" s="278">
        <f t="shared" si="67"/>
        <v>9.9999999999056399E-4</v>
      </c>
      <c r="AH311" s="202">
        <f t="shared" si="64"/>
        <v>1.8139999999999965</v>
      </c>
      <c r="AI311" s="202">
        <f t="shared" si="65"/>
        <v>59.08</v>
      </c>
      <c r="AJ311" s="285">
        <v>21.605</v>
      </c>
      <c r="AK311" s="285">
        <v>30.736999999999998</v>
      </c>
      <c r="AL311" s="285">
        <v>23.085999999999999</v>
      </c>
      <c r="AM311" s="285">
        <v>9.4689999999999994</v>
      </c>
      <c r="AN311" s="285">
        <v>22.152999999999999</v>
      </c>
      <c r="AO311" s="285">
        <v>35.362000000000002</v>
      </c>
      <c r="AP311" s="285">
        <v>17.741</v>
      </c>
      <c r="AQ311" s="285">
        <v>160.15199999999999</v>
      </c>
      <c r="AR311" s="285">
        <v>0</v>
      </c>
      <c r="AS311" s="275"/>
      <c r="AT311" s="244">
        <v>0.60671140939597312</v>
      </c>
      <c r="AU311" s="244">
        <v>0.70153235514201129</v>
      </c>
      <c r="AV311" s="244">
        <v>0.82279303473966914</v>
      </c>
      <c r="AW311" s="244">
        <v>0.81898827753722681</v>
      </c>
      <c r="AX311" s="244">
        <v>0.7321807430144901</v>
      </c>
      <c r="AY311" s="244">
        <v>0.91892426898931046</v>
      </c>
      <c r="AZ311" s="244">
        <v>0.85237585254495241</v>
      </c>
      <c r="BA311" s="275"/>
      <c r="BB311" s="191">
        <v>1.05372687088679</v>
      </c>
      <c r="BC311" s="275"/>
      <c r="BE311" s="274">
        <f>G311/30</f>
        <v>4.1752333333333338</v>
      </c>
      <c r="BF311" s="280">
        <f t="shared" si="78"/>
        <v>130.62899999999999</v>
      </c>
      <c r="BG311" s="154" t="str">
        <f t="shared" si="79"/>
        <v/>
      </c>
      <c r="BH311" s="270">
        <f t="shared" si="73"/>
        <v>8.7999999999999898E-2</v>
      </c>
      <c r="BI311" s="270">
        <f t="shared" si="66"/>
        <v>0</v>
      </c>
    </row>
    <row r="312" spans="1:61">
      <c r="A312" s="266">
        <v>38534</v>
      </c>
      <c r="B312" s="266"/>
      <c r="C312" s="277">
        <v>0.18375268817204238</v>
      </c>
      <c r="D312" s="276">
        <v>5.6963333333333139</v>
      </c>
      <c r="E312" s="277">
        <v>5.3420645161290325</v>
      </c>
      <c r="F312" s="277">
        <f t="shared" si="77"/>
        <v>165.60400000000001</v>
      </c>
      <c r="G312" s="277">
        <v>133.78700000000001</v>
      </c>
      <c r="H312" s="281">
        <f t="shared" si="76"/>
        <v>0.80787299823675751</v>
      </c>
      <c r="I312" s="202">
        <v>3176.7930000000001</v>
      </c>
      <c r="J312" s="270">
        <v>47.5</v>
      </c>
      <c r="K312" s="270">
        <v>0.10998924602701265</v>
      </c>
      <c r="L312" s="202">
        <v>383.64299999999997</v>
      </c>
      <c r="M312" s="277">
        <v>98.857594680300053</v>
      </c>
      <c r="N312" s="202">
        <v>1526.1849999999999</v>
      </c>
      <c r="O312" s="270">
        <v>11.41</v>
      </c>
      <c r="P312" s="270">
        <v>-3.4447365276616182E-2</v>
      </c>
      <c r="Q312" s="202">
        <v>1575.961</v>
      </c>
      <c r="R312" s="199">
        <v>0.79237819900447481</v>
      </c>
      <c r="S312" s="202">
        <v>412.93900000000008</v>
      </c>
      <c r="T312" s="286">
        <v>432.04100000000017</v>
      </c>
      <c r="U312" s="275"/>
      <c r="V312" s="278">
        <v>18.449000000000002</v>
      </c>
      <c r="W312" s="278">
        <v>26.352</v>
      </c>
      <c r="X312" s="278">
        <v>19.548999999999999</v>
      </c>
      <c r="Y312" s="278"/>
      <c r="Z312" s="278">
        <v>6.0350000000000001</v>
      </c>
      <c r="AA312" s="278">
        <v>17.463000000000001</v>
      </c>
      <c r="AB312" s="278">
        <v>30.478000000000002</v>
      </c>
      <c r="AC312" s="278">
        <v>15.441000000000001</v>
      </c>
      <c r="AD312" s="279">
        <v>133.767</v>
      </c>
      <c r="AE312" s="278">
        <f t="shared" si="68"/>
        <v>133.767</v>
      </c>
      <c r="AF312" s="278">
        <f t="shared" si="69"/>
        <v>0</v>
      </c>
      <c r="AG312" s="278">
        <f t="shared" si="67"/>
        <v>-2.0000000000010232E-2</v>
      </c>
      <c r="AH312" s="202">
        <f t="shared" si="64"/>
        <v>-2.0169999999999959</v>
      </c>
      <c r="AI312" s="202">
        <f t="shared" si="65"/>
        <v>58.91</v>
      </c>
      <c r="AJ312" s="285">
        <v>22.437999999999999</v>
      </c>
      <c r="AK312" s="285">
        <v>31.792000000000002</v>
      </c>
      <c r="AL312" s="285">
        <v>23.855</v>
      </c>
      <c r="AM312" s="285">
        <v>9.782</v>
      </c>
      <c r="AN312" s="285">
        <v>22.890999999999998</v>
      </c>
      <c r="AO312" s="285">
        <v>36.634</v>
      </c>
      <c r="AP312" s="285">
        <v>18.212</v>
      </c>
      <c r="AQ312" s="285">
        <v>165.60400000000001</v>
      </c>
      <c r="AR312" s="285">
        <v>0</v>
      </c>
      <c r="AS312" s="275"/>
      <c r="AT312" s="244">
        <v>0.82222123183884488</v>
      </c>
      <c r="AU312" s="244">
        <v>0.82888777050830398</v>
      </c>
      <c r="AV312" s="244">
        <v>0.81949276881156985</v>
      </c>
      <c r="AW312" s="244">
        <v>0.61694949907994279</v>
      </c>
      <c r="AX312" s="244">
        <v>0.76287623957013684</v>
      </c>
      <c r="AY312" s="244">
        <v>0.83195938199486819</v>
      </c>
      <c r="AZ312" s="244">
        <v>0.84784757302877234</v>
      </c>
      <c r="BA312" s="275"/>
      <c r="BB312" s="191">
        <v>1.042577629615234</v>
      </c>
      <c r="BC312" s="275"/>
      <c r="BE312" s="274">
        <f t="shared" si="70"/>
        <v>4.3157096774193553</v>
      </c>
      <c r="BF312" s="280">
        <f t="shared" si="78"/>
        <v>132.49</v>
      </c>
      <c r="BG312" s="154" t="str">
        <f t="shared" si="79"/>
        <v>RECORD</v>
      </c>
      <c r="BH312" s="270">
        <f t="shared" si="73"/>
        <v>-4.4000000000000129E-2</v>
      </c>
      <c r="BI312" s="270">
        <f t="shared" si="66"/>
        <v>0</v>
      </c>
    </row>
    <row r="313" spans="1:61">
      <c r="A313" s="266">
        <v>38565</v>
      </c>
      <c r="B313" s="266"/>
      <c r="C313" s="277">
        <v>0.22990322580645192</v>
      </c>
      <c r="D313" s="276">
        <v>7.1270000000000095</v>
      </c>
      <c r="E313" s="277">
        <v>5.3420645161290325</v>
      </c>
      <c r="F313" s="277">
        <f t="shared" si="77"/>
        <v>165.60400000000001</v>
      </c>
      <c r="G313" s="277">
        <v>123.21299999999999</v>
      </c>
      <c r="H313" s="281">
        <f t="shared" si="76"/>
        <v>0.74402188352938325</v>
      </c>
      <c r="I313" s="202">
        <v>2941.3850000000002</v>
      </c>
      <c r="J313" s="270">
        <v>47.74</v>
      </c>
      <c r="K313" s="270">
        <v>0.16547798066594765</v>
      </c>
      <c r="L313" s="202">
        <v>325.52999999999997</v>
      </c>
      <c r="M313" s="277">
        <v>82.345903677900083</v>
      </c>
      <c r="N313" s="202">
        <v>1409.6020000000001</v>
      </c>
      <c r="O313" s="270">
        <v>11.44</v>
      </c>
      <c r="P313" s="270">
        <v>-5.1324228939694905E-2</v>
      </c>
      <c r="Q313" s="202">
        <v>1412.193</v>
      </c>
      <c r="R313" s="199">
        <v>0.81766718777140879</v>
      </c>
      <c r="S313" s="202">
        <v>314.90699999999993</v>
      </c>
      <c r="T313" s="286">
        <v>406.94000000000005</v>
      </c>
      <c r="U313" s="286"/>
      <c r="V313" s="278">
        <v>18.489999999999998</v>
      </c>
      <c r="W313" s="278">
        <v>22.803999999999998</v>
      </c>
      <c r="X313" s="278">
        <v>15.095000000000001</v>
      </c>
      <c r="Y313" s="278"/>
      <c r="Z313" s="278">
        <v>5.9980000000000002</v>
      </c>
      <c r="AA313" s="278">
        <v>15.667</v>
      </c>
      <c r="AB313" s="278">
        <v>28.872</v>
      </c>
      <c r="AC313" s="278">
        <v>16.286999999999999</v>
      </c>
      <c r="AD313" s="279">
        <v>123.21299999999999</v>
      </c>
      <c r="AE313" s="278">
        <f t="shared" si="68"/>
        <v>123.21299999999999</v>
      </c>
      <c r="AF313" s="278">
        <f t="shared" si="69"/>
        <v>0</v>
      </c>
      <c r="AG313" s="278">
        <f t="shared" si="67"/>
        <v>0</v>
      </c>
      <c r="AH313" s="202">
        <f t="shared" si="64"/>
        <v>-1.6060000000000016</v>
      </c>
      <c r="AI313" s="202">
        <f t="shared" si="65"/>
        <v>59.18</v>
      </c>
      <c r="AJ313" s="285">
        <v>22.437999999999999</v>
      </c>
      <c r="AK313" s="285">
        <v>31.792000000000002</v>
      </c>
      <c r="AL313" s="285">
        <v>23.855</v>
      </c>
      <c r="AM313" s="285">
        <v>9.782</v>
      </c>
      <c r="AN313" s="285">
        <v>22.890999999999998</v>
      </c>
      <c r="AO313" s="285">
        <v>36.634</v>
      </c>
      <c r="AP313" s="285">
        <v>18.212</v>
      </c>
      <c r="AQ313" s="285">
        <v>165.60400000000001</v>
      </c>
      <c r="AR313" s="285">
        <v>0</v>
      </c>
      <c r="AS313" s="275"/>
      <c r="AT313" s="244">
        <v>0.82404848917015772</v>
      </c>
      <c r="AU313" s="244">
        <v>0.71728736789129333</v>
      </c>
      <c r="AV313" s="244">
        <v>0.63278138754977997</v>
      </c>
      <c r="AW313" s="244">
        <v>0.61316704150480472</v>
      </c>
      <c r="AX313" s="244">
        <v>0.68441745664234854</v>
      </c>
      <c r="AY313" s="244">
        <v>0.7881203253807938</v>
      </c>
      <c r="AZ313" s="244">
        <v>0.89430046123435092</v>
      </c>
      <c r="BA313" s="275"/>
      <c r="BB313" s="191">
        <v>1.0578429224189008</v>
      </c>
      <c r="BC313" s="275"/>
      <c r="BE313" s="274">
        <f t="shared" si="70"/>
        <v>3.9746129032258062</v>
      </c>
      <c r="BF313" s="280">
        <f t="shared" si="78"/>
        <v>128.852</v>
      </c>
      <c r="BG313" s="154" t="str">
        <f t="shared" si="79"/>
        <v/>
      </c>
      <c r="BH313" s="270">
        <f t="shared" si="73"/>
        <v>6.6000000000000017E-2</v>
      </c>
      <c r="BI313" s="270">
        <f t="shared" si="66"/>
        <v>2.9999999999999361E-2</v>
      </c>
    </row>
    <row r="314" spans="1:61">
      <c r="A314" s="266">
        <v>38596</v>
      </c>
      <c r="B314" s="266"/>
      <c r="C314" s="277">
        <v>0.20207777777777761</v>
      </c>
      <c r="D314" s="276">
        <v>6.0623333333333278</v>
      </c>
      <c r="E314" s="277">
        <v>5.3420666666666667</v>
      </c>
      <c r="F314" s="277">
        <f t="shared" si="77"/>
        <v>160.262</v>
      </c>
      <c r="G314" s="277">
        <v>127.101</v>
      </c>
      <c r="H314" s="281">
        <f t="shared" si="76"/>
        <v>0.79308257727970444</v>
      </c>
      <c r="I314" s="202">
        <v>3000.819</v>
      </c>
      <c r="J314" s="270">
        <v>47.22</v>
      </c>
      <c r="K314" s="270">
        <v>0.1954547047485562</v>
      </c>
      <c r="L314" s="202">
        <v>282.86900000000003</v>
      </c>
      <c r="M314" s="277">
        <v>193.33023384879999</v>
      </c>
      <c r="N314" s="202">
        <v>1468.8</v>
      </c>
      <c r="O314" s="270">
        <v>11.56</v>
      </c>
      <c r="P314" s="270">
        <v>-6.2090164960325822E-2</v>
      </c>
      <c r="Q314" s="202">
        <v>1374.4580000000001</v>
      </c>
      <c r="R314" s="199">
        <v>0.80893296451062335</v>
      </c>
      <c r="S314" s="202">
        <v>324.64199999999983</v>
      </c>
      <c r="T314" s="286">
        <v>413.3463333333334</v>
      </c>
      <c r="U314" s="286"/>
      <c r="V314" s="278">
        <v>19.292999999999999</v>
      </c>
      <c r="W314" s="278">
        <v>24.315000000000001</v>
      </c>
      <c r="X314" s="278">
        <v>15.346</v>
      </c>
      <c r="Y314" s="278"/>
      <c r="Z314" s="278">
        <v>5.7869999999999999</v>
      </c>
      <c r="AA314" s="278">
        <v>15.881</v>
      </c>
      <c r="AB314" s="278">
        <v>31.545999999999999</v>
      </c>
      <c r="AC314" s="278">
        <v>14.933</v>
      </c>
      <c r="AD314" s="279">
        <v>127.101</v>
      </c>
      <c r="AE314" s="278">
        <f t="shared" si="68"/>
        <v>127.101</v>
      </c>
      <c r="AF314" s="278">
        <f t="shared" si="69"/>
        <v>0</v>
      </c>
      <c r="AG314" s="278">
        <f t="shared" si="67"/>
        <v>0</v>
      </c>
      <c r="AH314" s="202">
        <f t="shared" si="64"/>
        <v>2.6739999999999995</v>
      </c>
      <c r="AI314" s="202">
        <f t="shared" si="65"/>
        <v>58.78</v>
      </c>
      <c r="AJ314" s="285">
        <v>21.713999999999999</v>
      </c>
      <c r="AK314" s="285">
        <v>30.766999999999999</v>
      </c>
      <c r="AL314" s="285">
        <v>23.085999999999999</v>
      </c>
      <c r="AM314" s="285">
        <v>9.4670000000000005</v>
      </c>
      <c r="AN314" s="285">
        <v>22.152999999999999</v>
      </c>
      <c r="AO314" s="285">
        <v>35.451999999999998</v>
      </c>
      <c r="AP314" s="285">
        <v>17.623999999999999</v>
      </c>
      <c r="AQ314" s="285">
        <v>160.262</v>
      </c>
      <c r="AR314" s="285">
        <v>0</v>
      </c>
      <c r="AS314" s="275"/>
      <c r="AT314" s="244">
        <v>0.88850511190936721</v>
      </c>
      <c r="AU314" s="244">
        <v>0.79029479637273703</v>
      </c>
      <c r="AV314" s="244">
        <v>0.6647318721302955</v>
      </c>
      <c r="AW314" s="244">
        <v>0.61128129291222133</v>
      </c>
      <c r="AX314" s="244">
        <v>0.71687807520426128</v>
      </c>
      <c r="AY314" s="244">
        <v>0.88982285907706193</v>
      </c>
      <c r="AZ314" s="244">
        <v>0.8473104857013164</v>
      </c>
      <c r="BA314" s="275"/>
      <c r="BB314" s="191">
        <v>1.0476969758958099</v>
      </c>
      <c r="BC314" s="275"/>
      <c r="BE314" s="274">
        <f>G314/30</f>
        <v>4.2366999999999999</v>
      </c>
      <c r="BF314" s="280">
        <f t="shared" si="78"/>
        <v>132.16399999999999</v>
      </c>
      <c r="BG314" s="154" t="str">
        <f t="shared" si="79"/>
        <v/>
      </c>
      <c r="BH314" s="270">
        <f t="shared" si="73"/>
        <v>-2.8000000000000115E-2</v>
      </c>
      <c r="BI314" s="270">
        <f t="shared" si="66"/>
        <v>0.12000000000000099</v>
      </c>
    </row>
    <row r="315" spans="1:61">
      <c r="A315" s="266">
        <v>38626</v>
      </c>
      <c r="B315" s="266"/>
      <c r="C315" s="277">
        <v>0.21981720430107449</v>
      </c>
      <c r="D315" s="276">
        <v>6.8143333333333089</v>
      </c>
      <c r="E315" s="277">
        <v>5.2636451612903228</v>
      </c>
      <c r="F315" s="277">
        <f t="shared" si="77"/>
        <v>163.173</v>
      </c>
      <c r="G315" s="277">
        <v>150.85900000000001</v>
      </c>
      <c r="H315" s="281">
        <f t="shared" si="76"/>
        <v>0.92453408345743482</v>
      </c>
      <c r="I315" s="202">
        <v>3531.741</v>
      </c>
      <c r="J315" s="270">
        <v>46.82</v>
      </c>
      <c r="K315" s="270">
        <v>0.12389243583781706</v>
      </c>
      <c r="L315" s="202">
        <v>413.447</v>
      </c>
      <c r="M315" s="277">
        <v>245.8091635303</v>
      </c>
      <c r="N315" s="202">
        <v>1757.2270000000001</v>
      </c>
      <c r="O315" s="270">
        <v>11.65</v>
      </c>
      <c r="P315" s="270">
        <v>-5.260454103420642E-2</v>
      </c>
      <c r="Q315" s="202">
        <v>1495.1410000000001</v>
      </c>
      <c r="R315" s="199">
        <v>0.79380992832492703</v>
      </c>
      <c r="S315" s="202">
        <v>388.35899999999992</v>
      </c>
      <c r="T315" s="286">
        <v>383.03533333333326</v>
      </c>
      <c r="U315" s="286"/>
      <c r="V315" s="278">
        <v>21.85</v>
      </c>
      <c r="W315" s="278">
        <v>30.605</v>
      </c>
      <c r="X315" s="278">
        <v>19.651</v>
      </c>
      <c r="Y315" s="278"/>
      <c r="Z315" s="278">
        <v>8.2829999999999995</v>
      </c>
      <c r="AA315" s="278">
        <v>19.553999999999998</v>
      </c>
      <c r="AB315" s="278">
        <v>35.317999999999998</v>
      </c>
      <c r="AC315" s="278">
        <v>15.6</v>
      </c>
      <c r="AD315" s="279">
        <v>150.85900000000001</v>
      </c>
      <c r="AE315" s="278">
        <f t="shared" si="68"/>
        <v>150.86099999999999</v>
      </c>
      <c r="AF315" s="278">
        <f t="shared" si="69"/>
        <v>1.999999999981128E-3</v>
      </c>
      <c r="AG315" s="278">
        <f t="shared" si="67"/>
        <v>1.999999999981128E-3</v>
      </c>
      <c r="AH315" s="202">
        <f t="shared" si="64"/>
        <v>3.7719999999999985</v>
      </c>
      <c r="AI315" s="202">
        <f t="shared" si="65"/>
        <v>58.47</v>
      </c>
      <c r="AJ315" s="285">
        <v>22.437999999999999</v>
      </c>
      <c r="AK315" s="285">
        <v>31.792000000000002</v>
      </c>
      <c r="AL315" s="285">
        <v>23.855</v>
      </c>
      <c r="AM315" s="285">
        <v>9.7520000000000007</v>
      </c>
      <c r="AN315" s="285">
        <v>20.492000000000001</v>
      </c>
      <c r="AO315" s="285">
        <v>36.665999999999997</v>
      </c>
      <c r="AP315" s="285">
        <v>18.178000000000001</v>
      </c>
      <c r="AQ315" s="285">
        <v>163.173</v>
      </c>
      <c r="AR315" s="285">
        <v>0</v>
      </c>
      <c r="AS315" s="275"/>
      <c r="AT315" s="244">
        <v>0.97379445583385338</v>
      </c>
      <c r="AU315" s="244">
        <v>0.96266356316054347</v>
      </c>
      <c r="AV315" s="244">
        <v>0.82376860197023682</v>
      </c>
      <c r="AW315" s="244">
        <v>0.84936423297785058</v>
      </c>
      <c r="AX315" s="244">
        <v>0.95422603943002138</v>
      </c>
      <c r="AY315" s="244">
        <v>0.96323569519445806</v>
      </c>
      <c r="AZ315" s="244">
        <v>0.85818021784574749</v>
      </c>
      <c r="BA315" s="275"/>
      <c r="BB315" s="191">
        <v>1.0451702141293082</v>
      </c>
      <c r="BC315" s="275"/>
      <c r="BE315" s="274">
        <f t="shared" si="70"/>
        <v>4.86641935483871</v>
      </c>
      <c r="BF315" s="280">
        <f t="shared" si="78"/>
        <v>148.86799999999999</v>
      </c>
      <c r="BG315" s="154" t="str">
        <f t="shared" si="79"/>
        <v>RECORD</v>
      </c>
      <c r="BH315" s="270">
        <f t="shared" si="73"/>
        <v>-0.13999999999999985</v>
      </c>
      <c r="BI315" s="270">
        <f t="shared" si="66"/>
        <v>8.9999999999999858E-2</v>
      </c>
    </row>
    <row r="316" spans="1:61">
      <c r="A316" s="266">
        <v>38657</v>
      </c>
      <c r="B316" s="266"/>
      <c r="C316" s="277">
        <v>0.21934444444444429</v>
      </c>
      <c r="D316" s="276">
        <v>6.5803333333333285</v>
      </c>
      <c r="E316" s="277">
        <v>5.2636666666666665</v>
      </c>
      <c r="F316" s="277">
        <f t="shared" si="77"/>
        <v>157.91</v>
      </c>
      <c r="G316" s="277">
        <v>144.93299999999999</v>
      </c>
      <c r="H316" s="281">
        <f t="shared" si="76"/>
        <v>0.91782027737318728</v>
      </c>
      <c r="I316" s="202">
        <v>3398.7689999999998</v>
      </c>
      <c r="J316" s="270">
        <v>46.9</v>
      </c>
      <c r="K316" s="270">
        <v>0.1216042592511144</v>
      </c>
      <c r="L316" s="202">
        <v>615.46600000000001</v>
      </c>
      <c r="M316" s="277">
        <v>59.13036433069999</v>
      </c>
      <c r="N316" s="202">
        <v>1679.2840000000001</v>
      </c>
      <c r="O316" s="270">
        <v>11.59</v>
      </c>
      <c r="P316" s="270">
        <v>4.3591323095899526E-3</v>
      </c>
      <c r="Q316" s="202">
        <v>1608.231</v>
      </c>
      <c r="R316" s="199">
        <v>0.86846905713359979</v>
      </c>
      <c r="S316" s="202">
        <v>243.56899999999996</v>
      </c>
      <c r="T316" s="286">
        <v>403.3003333333333</v>
      </c>
      <c r="U316" s="286"/>
      <c r="V316" s="278">
        <v>20.907</v>
      </c>
      <c r="W316" s="278">
        <v>29.271999999999998</v>
      </c>
      <c r="X316" s="278">
        <v>18.997</v>
      </c>
      <c r="Y316" s="278"/>
      <c r="Z316" s="278">
        <v>7.4470000000000001</v>
      </c>
      <c r="AA316" s="278">
        <v>19.556000000000001</v>
      </c>
      <c r="AB316" s="278">
        <v>33.183999999999997</v>
      </c>
      <c r="AC316" s="278">
        <v>15.57</v>
      </c>
      <c r="AD316" s="279">
        <v>144.93299999999999</v>
      </c>
      <c r="AE316" s="278">
        <f t="shared" si="68"/>
        <v>144.93299999999999</v>
      </c>
      <c r="AF316" s="278">
        <f t="shared" si="69"/>
        <v>0</v>
      </c>
      <c r="AG316" s="278">
        <f t="shared" si="67"/>
        <v>0</v>
      </c>
      <c r="AH316" s="202">
        <f t="shared" si="64"/>
        <v>-2.1340000000000003</v>
      </c>
      <c r="AI316" s="202">
        <f t="shared" si="65"/>
        <v>58.489999999999995</v>
      </c>
      <c r="AJ316" s="285">
        <v>21.713999999999999</v>
      </c>
      <c r="AK316" s="285">
        <v>30.766999999999999</v>
      </c>
      <c r="AL316" s="285">
        <v>23.085999999999999</v>
      </c>
      <c r="AM316" s="285">
        <v>9.4369999999999994</v>
      </c>
      <c r="AN316" s="285">
        <v>19.831</v>
      </c>
      <c r="AO316" s="285">
        <v>35.482999999999997</v>
      </c>
      <c r="AP316" s="285">
        <v>17.591999999999999</v>
      </c>
      <c r="AQ316" s="285">
        <v>157.91</v>
      </c>
      <c r="AR316" s="285">
        <v>0</v>
      </c>
      <c r="AS316" s="275"/>
      <c r="AT316" s="244">
        <v>0.96283503730312248</v>
      </c>
      <c r="AU316" s="244">
        <v>0.95140897715084338</v>
      </c>
      <c r="AV316" s="244">
        <v>0.82287966733084994</v>
      </c>
      <c r="AW316" s="244">
        <v>0.78912790081593731</v>
      </c>
      <c r="AX316" s="244">
        <v>0.9861328223488478</v>
      </c>
      <c r="AY316" s="244">
        <v>0.93520840966096441</v>
      </c>
      <c r="AZ316" s="244">
        <v>0.8850613915416099</v>
      </c>
      <c r="BA316" s="275"/>
      <c r="BB316" s="191">
        <v>1.0454025883224203</v>
      </c>
      <c r="BC316" s="275"/>
      <c r="BE316" s="274">
        <f>G316/30</f>
        <v>4.8311000000000002</v>
      </c>
      <c r="BF316" s="280">
        <f t="shared" si="78"/>
        <v>144.67400000000001</v>
      </c>
      <c r="BG316" s="154" t="str">
        <f t="shared" si="79"/>
        <v>RECORD</v>
      </c>
      <c r="BH316" s="270">
        <f t="shared" si="73"/>
        <v>-0.13599999999999959</v>
      </c>
      <c r="BI316" s="270">
        <f t="shared" si="66"/>
        <v>-6.0000000000000497E-2</v>
      </c>
    </row>
    <row r="317" spans="1:61">
      <c r="A317" s="266">
        <v>38687</v>
      </c>
      <c r="B317" s="266"/>
      <c r="C317" s="277">
        <v>0.19790322580645131</v>
      </c>
      <c r="D317" s="276">
        <v>6.1349999999999909</v>
      </c>
      <c r="E317" s="277">
        <v>5.2636451612903228</v>
      </c>
      <c r="F317" s="277">
        <f t="shared" si="77"/>
        <v>163.173</v>
      </c>
      <c r="G317" s="277">
        <v>142.245</v>
      </c>
      <c r="H317" s="281">
        <f t="shared" si="76"/>
        <v>0.87174348697394788</v>
      </c>
      <c r="I317" s="202">
        <v>3348.4870000000001</v>
      </c>
      <c r="J317" s="270">
        <v>47.08</v>
      </c>
      <c r="K317" s="270">
        <v>0.33878959428494682</v>
      </c>
      <c r="L317" s="202">
        <v>417.43700000000001</v>
      </c>
      <c r="M317" s="277">
        <v>198.77413944250009</v>
      </c>
      <c r="N317" s="202">
        <v>1656.5</v>
      </c>
      <c r="O317" s="270">
        <v>11.65</v>
      </c>
      <c r="P317" s="270">
        <v>-7.6337781372151525E-2</v>
      </c>
      <c r="Q317" s="202">
        <v>1829.4849999999999</v>
      </c>
      <c r="R317" s="199">
        <v>0.83519059575439392</v>
      </c>
      <c r="S317" s="202">
        <v>361.0150000000001</v>
      </c>
      <c r="T317" s="286">
        <v>403.11333333333329</v>
      </c>
      <c r="U317" s="286"/>
      <c r="V317" s="278">
        <v>21.786999999999999</v>
      </c>
      <c r="W317" s="278">
        <v>29.114000000000001</v>
      </c>
      <c r="X317" s="278">
        <v>19.213000000000001</v>
      </c>
      <c r="Y317" s="278"/>
      <c r="Z317" s="278">
        <v>4.8929999999999998</v>
      </c>
      <c r="AA317" s="278">
        <v>19.414999999999999</v>
      </c>
      <c r="AB317" s="278">
        <v>33.283999999999999</v>
      </c>
      <c r="AC317" s="278">
        <v>14.538</v>
      </c>
      <c r="AD317" s="279">
        <v>142.245</v>
      </c>
      <c r="AE317" s="278">
        <f t="shared" si="68"/>
        <v>142.244</v>
      </c>
      <c r="AF317" s="278">
        <f t="shared" si="69"/>
        <v>-1.0000000000047748E-3</v>
      </c>
      <c r="AG317" s="278">
        <f t="shared" si="67"/>
        <v>-1.0000000000047748E-3</v>
      </c>
      <c r="AH317" s="202">
        <f t="shared" si="64"/>
        <v>0.10000000000000142</v>
      </c>
      <c r="AI317" s="202">
        <f t="shared" si="65"/>
        <v>58.73</v>
      </c>
      <c r="AJ317" s="285">
        <v>22.437999999999999</v>
      </c>
      <c r="AK317" s="285">
        <v>31.792000000000002</v>
      </c>
      <c r="AL317" s="285">
        <v>23.855</v>
      </c>
      <c r="AM317" s="285">
        <v>9.7520000000000007</v>
      </c>
      <c r="AN317" s="285">
        <v>20.492000000000001</v>
      </c>
      <c r="AO317" s="285">
        <v>36.665999999999997</v>
      </c>
      <c r="AP317" s="285">
        <v>18.178000000000001</v>
      </c>
      <c r="AQ317" s="285">
        <v>163.173</v>
      </c>
      <c r="AR317" s="285">
        <v>0</v>
      </c>
      <c r="AS317" s="275"/>
      <c r="AT317" s="244">
        <v>0.97098671895890898</v>
      </c>
      <c r="AU317" s="244">
        <v>0.91576497232008047</v>
      </c>
      <c r="AV317" s="244">
        <v>0.80540767134772584</v>
      </c>
      <c r="AW317" s="244">
        <v>0.50174323215750605</v>
      </c>
      <c r="AX317" s="244">
        <v>0.9474429045481163</v>
      </c>
      <c r="AY317" s="244">
        <v>0.90776195930835113</v>
      </c>
      <c r="AZ317" s="244">
        <v>0.79975794916932552</v>
      </c>
      <c r="BA317" s="275"/>
      <c r="BB317" s="191">
        <v>1.0431298112411684</v>
      </c>
      <c r="BC317" s="275"/>
      <c r="BE317" s="274">
        <f t="shared" si="70"/>
        <v>4.5885483870967745</v>
      </c>
      <c r="BF317" s="280">
        <f t="shared" si="78"/>
        <v>148.77099999999999</v>
      </c>
      <c r="BG317" s="154" t="str">
        <f t="shared" si="79"/>
        <v/>
      </c>
      <c r="BH317" s="270">
        <f t="shared" si="73"/>
        <v>4.3999999999999775E-2</v>
      </c>
      <c r="BI317" s="270">
        <f t="shared" si="66"/>
        <v>6.0000000000000497E-2</v>
      </c>
    </row>
    <row r="318" spans="1:61">
      <c r="A318" s="266">
        <v>38718</v>
      </c>
      <c r="B318" s="266"/>
      <c r="C318" s="277">
        <v>0.21873118279569967</v>
      </c>
      <c r="D318" s="276">
        <v>6.7806666666666899</v>
      </c>
      <c r="E318" s="277">
        <v>5.253774193548387</v>
      </c>
      <c r="F318" s="277">
        <f t="shared" si="77"/>
        <v>162.86699999999999</v>
      </c>
      <c r="G318" s="277">
        <v>145.64599999999999</v>
      </c>
      <c r="H318" s="281">
        <f t="shared" si="76"/>
        <v>0.89426341738964921</v>
      </c>
      <c r="I318" s="202">
        <v>3423.248</v>
      </c>
      <c r="J318" s="270">
        <v>47.01</v>
      </c>
      <c r="K318" s="270">
        <v>8.8058082575223295E-2</v>
      </c>
      <c r="L318" s="202">
        <v>543.46799999999996</v>
      </c>
      <c r="M318" s="277">
        <v>218.74886109869999</v>
      </c>
      <c r="N318" s="202">
        <v>1695.3</v>
      </c>
      <c r="O318" s="270">
        <v>11.64</v>
      </c>
      <c r="P318" s="270">
        <v>-5.9349195241427566E-2</v>
      </c>
      <c r="Q318" s="202">
        <v>2056.6869999999999</v>
      </c>
      <c r="R318" s="199">
        <v>0.83247940949324761</v>
      </c>
      <c r="S318" s="202">
        <v>413.86900000000014</v>
      </c>
      <c r="T318" s="286">
        <v>478.2506666666664</v>
      </c>
      <c r="U318" s="286"/>
      <c r="V318" s="278">
        <v>21.599</v>
      </c>
      <c r="W318" s="278">
        <v>28.975999999999999</v>
      </c>
      <c r="X318" s="278">
        <v>19.896000000000001</v>
      </c>
      <c r="Y318" s="278"/>
      <c r="Z318" s="278">
        <v>4.6390000000000002</v>
      </c>
      <c r="AA318" s="278">
        <v>19.646999999999998</v>
      </c>
      <c r="AB318" s="278">
        <v>35.005000000000003</v>
      </c>
      <c r="AC318" s="278">
        <v>15.884</v>
      </c>
      <c r="AD318" s="279">
        <v>145.64599999999999</v>
      </c>
      <c r="AE318" s="278">
        <f t="shared" si="68"/>
        <v>145.64600000000002</v>
      </c>
      <c r="AF318" s="278">
        <f t="shared" si="69"/>
        <v>0</v>
      </c>
      <c r="AG318" s="278">
        <f t="shared" si="67"/>
        <v>0</v>
      </c>
      <c r="AH318" s="202">
        <f t="shared" si="64"/>
        <v>1.7210000000000036</v>
      </c>
      <c r="AI318" s="202">
        <f t="shared" si="65"/>
        <v>58.65</v>
      </c>
      <c r="AJ318" s="285">
        <v>22.617000000000001</v>
      </c>
      <c r="AK318" s="285">
        <v>31.79</v>
      </c>
      <c r="AL318" s="285">
        <v>23.327000000000002</v>
      </c>
      <c r="AM318" s="285">
        <v>9.7390000000000008</v>
      </c>
      <c r="AN318" s="285">
        <v>20.733000000000001</v>
      </c>
      <c r="AO318" s="285">
        <v>36.479999999999997</v>
      </c>
      <c r="AP318" s="285">
        <v>18.183</v>
      </c>
      <c r="AQ318" s="285">
        <v>162.86699999999999</v>
      </c>
      <c r="AR318" s="285">
        <v>0</v>
      </c>
      <c r="AS318" s="275"/>
      <c r="AT318" s="244">
        <v>0.95498960958570989</v>
      </c>
      <c r="AU318" s="244">
        <v>0.91148159798678829</v>
      </c>
      <c r="AV318" s="244">
        <v>0.85291722038839113</v>
      </c>
      <c r="AW318" s="244">
        <v>0.47633227230721836</v>
      </c>
      <c r="AX318" s="244">
        <v>0.94761973665171451</v>
      </c>
      <c r="AY318" s="244">
        <v>0.95956688596491246</v>
      </c>
      <c r="AZ318" s="244">
        <v>0.87356321839080464</v>
      </c>
      <c r="BA318" s="275"/>
      <c r="BB318" s="191">
        <v>1.0465558042559815</v>
      </c>
      <c r="BC318" s="275"/>
      <c r="BE318" s="274">
        <f t="shared" si="70"/>
        <v>4.6982580645161285</v>
      </c>
      <c r="BF318" s="280">
        <f t="shared" si="78"/>
        <v>151.04</v>
      </c>
      <c r="BG318" s="154" t="str">
        <f t="shared" si="79"/>
        <v/>
      </c>
      <c r="BH318" s="270">
        <f t="shared" si="73"/>
        <v>-3.5527136788005011E-16</v>
      </c>
      <c r="BI318" s="270">
        <f t="shared" si="66"/>
        <v>-9.9999999999997868E-3</v>
      </c>
    </row>
    <row r="319" spans="1:61">
      <c r="A319" s="266">
        <v>38749</v>
      </c>
      <c r="B319" s="266"/>
      <c r="C319" s="277">
        <v>0.22699999999999981</v>
      </c>
      <c r="D319" s="276">
        <v>6.3559999999999945</v>
      </c>
      <c r="E319" s="277">
        <v>5.2537857142857138</v>
      </c>
      <c r="F319" s="277">
        <f t="shared" si="77"/>
        <v>147.10599999999999</v>
      </c>
      <c r="G319" s="277">
        <v>129.994</v>
      </c>
      <c r="H319" s="281">
        <f t="shared" si="76"/>
        <v>0.88367571683004098</v>
      </c>
      <c r="I319" s="202">
        <v>3062.8020000000001</v>
      </c>
      <c r="J319" s="270">
        <v>47.12</v>
      </c>
      <c r="K319" s="270">
        <v>4.0982764943166217E-2</v>
      </c>
      <c r="L319" s="202">
        <v>462.24200000000002</v>
      </c>
      <c r="M319" s="277">
        <v>227.56537428190001</v>
      </c>
      <c r="N319" s="202">
        <v>1525.2719999999999</v>
      </c>
      <c r="O319" s="270">
        <v>11.73</v>
      </c>
      <c r="P319" s="270">
        <v>-8.2035203520351985E-2</v>
      </c>
      <c r="Q319" s="202">
        <v>2316.491</v>
      </c>
      <c r="R319" s="199">
        <v>0.83851872819761386</v>
      </c>
      <c r="S319" s="202">
        <v>446.10800000000017</v>
      </c>
      <c r="T319" s="286">
        <v>474.59600000000017</v>
      </c>
      <c r="U319" s="286"/>
      <c r="V319" s="278">
        <v>18.87</v>
      </c>
      <c r="W319" s="278">
        <v>24.827999999999999</v>
      </c>
      <c r="X319" s="278">
        <v>17.048999999999999</v>
      </c>
      <c r="Y319" s="278"/>
      <c r="Z319" s="278">
        <v>6.7510000000000003</v>
      </c>
      <c r="AA319" s="278">
        <v>17.263999999999999</v>
      </c>
      <c r="AB319" s="278">
        <v>30.768999999999998</v>
      </c>
      <c r="AC319" s="278">
        <v>14.464</v>
      </c>
      <c r="AD319" s="279">
        <v>129.994</v>
      </c>
      <c r="AE319" s="278">
        <f t="shared" si="68"/>
        <v>129.995</v>
      </c>
      <c r="AF319" s="278">
        <f t="shared" si="69"/>
        <v>1.0000000000047748E-3</v>
      </c>
      <c r="AG319" s="278">
        <f t="shared" si="67"/>
        <v>1.0000000000047748E-3</v>
      </c>
      <c r="AH319" s="202">
        <f t="shared" si="64"/>
        <v>-4.2360000000000042</v>
      </c>
      <c r="AI319" s="202">
        <f t="shared" si="65"/>
        <v>58.849999999999994</v>
      </c>
      <c r="AJ319" s="285">
        <v>20.428999999999998</v>
      </c>
      <c r="AK319" s="285">
        <v>28.713000000000001</v>
      </c>
      <c r="AL319" s="285">
        <v>21.068999999999999</v>
      </c>
      <c r="AM319" s="285">
        <v>8.7959999999999994</v>
      </c>
      <c r="AN319" s="285">
        <v>18.725999999999999</v>
      </c>
      <c r="AO319" s="285">
        <v>32.948999999999998</v>
      </c>
      <c r="AP319" s="285">
        <v>16.422999999999998</v>
      </c>
      <c r="AQ319" s="285">
        <v>147.10599999999999</v>
      </c>
      <c r="AR319" s="285">
        <v>0</v>
      </c>
      <c r="AS319" s="275"/>
      <c r="AT319" s="244">
        <v>0.92368691565911221</v>
      </c>
      <c r="AU319" s="244">
        <v>0.86469543412391592</v>
      </c>
      <c r="AV319" s="244">
        <v>0.809198348284209</v>
      </c>
      <c r="AW319" s="244">
        <v>0.76750795816280137</v>
      </c>
      <c r="AX319" s="244">
        <v>0.92192673288475913</v>
      </c>
      <c r="AY319" s="244">
        <v>0.93383714225014414</v>
      </c>
      <c r="AZ319" s="244">
        <v>0.88071606892772347</v>
      </c>
      <c r="BA319" s="275"/>
      <c r="BB319" s="191">
        <v>1.0488945643645091</v>
      </c>
      <c r="BC319" s="275"/>
      <c r="BE319" s="274">
        <f>G319/28</f>
        <v>4.6426428571428575</v>
      </c>
      <c r="BF319" s="280">
        <f t="shared" si="78"/>
        <v>135.53299999999999</v>
      </c>
      <c r="BG319" s="154" t="str">
        <f t="shared" si="79"/>
        <v/>
      </c>
      <c r="BH319" s="270">
        <f t="shared" si="73"/>
        <v>8.0000000000000071E-2</v>
      </c>
      <c r="BI319" s="270">
        <f t="shared" si="66"/>
        <v>8.9999999999999858E-2</v>
      </c>
    </row>
    <row r="320" spans="1:61">
      <c r="A320" s="266">
        <v>38777</v>
      </c>
      <c r="B320" s="266"/>
      <c r="C320" s="277">
        <v>0.21552688172042991</v>
      </c>
      <c r="D320" s="276">
        <v>6.6813333333333276</v>
      </c>
      <c r="E320" s="277">
        <v>5.253774193548387</v>
      </c>
      <c r="F320" s="277">
        <f t="shared" si="77"/>
        <v>162.86699999999999</v>
      </c>
      <c r="G320" s="277">
        <v>142.852</v>
      </c>
      <c r="H320" s="281">
        <f t="shared" si="76"/>
        <v>0.87710831537389411</v>
      </c>
      <c r="I320" s="202">
        <v>3368.0230000000001</v>
      </c>
      <c r="J320" s="270">
        <v>47.15</v>
      </c>
      <c r="K320" s="270">
        <v>-0.28419527418635226</v>
      </c>
      <c r="L320" s="202">
        <v>511.78500000000003</v>
      </c>
      <c r="M320" s="277">
        <v>160.72292591009995</v>
      </c>
      <c r="N320" s="202">
        <v>1679.51</v>
      </c>
      <c r="O320" s="270">
        <v>11.76</v>
      </c>
      <c r="P320" s="270">
        <v>-8.0329915292018939E-2</v>
      </c>
      <c r="Q320" s="202">
        <v>2392.8040000000001</v>
      </c>
      <c r="R320" s="199">
        <v>0.86931014789292183</v>
      </c>
      <c r="S320" s="202">
        <v>359.72800000000007</v>
      </c>
      <c r="T320" s="286">
        <v>491.42633333333328</v>
      </c>
      <c r="U320" s="286"/>
      <c r="V320" s="278">
        <v>21.012</v>
      </c>
      <c r="W320" s="278">
        <v>28.187999999999999</v>
      </c>
      <c r="X320" s="278">
        <v>18.649999999999999</v>
      </c>
      <c r="Y320" s="278"/>
      <c r="Z320" s="278">
        <v>6.4089999999999998</v>
      </c>
      <c r="AA320" s="278">
        <v>18.47</v>
      </c>
      <c r="AB320" s="278">
        <v>34.451000000000001</v>
      </c>
      <c r="AC320" s="278">
        <v>15.672000000000001</v>
      </c>
      <c r="AD320" s="279">
        <v>142.852</v>
      </c>
      <c r="AE320" s="278">
        <f t="shared" si="68"/>
        <v>142.852</v>
      </c>
      <c r="AF320" s="278">
        <f t="shared" si="69"/>
        <v>0</v>
      </c>
      <c r="AG320" s="278">
        <f t="shared" si="67"/>
        <v>0</v>
      </c>
      <c r="AH320" s="202">
        <f t="shared" si="64"/>
        <v>3.6820000000000022</v>
      </c>
      <c r="AI320" s="202">
        <f t="shared" si="65"/>
        <v>58.91</v>
      </c>
      <c r="AJ320" s="285">
        <v>22.617000000000001</v>
      </c>
      <c r="AK320" s="285">
        <v>31.79</v>
      </c>
      <c r="AL320" s="285">
        <v>23.327000000000002</v>
      </c>
      <c r="AM320" s="285">
        <v>9.7390000000000008</v>
      </c>
      <c r="AN320" s="285">
        <v>20.733000000000001</v>
      </c>
      <c r="AO320" s="285">
        <v>36.479999999999997</v>
      </c>
      <c r="AP320" s="285">
        <v>18.181999999999999</v>
      </c>
      <c r="AQ320" s="285">
        <v>162.86699999999999</v>
      </c>
      <c r="AR320" s="285">
        <v>0</v>
      </c>
      <c r="AS320" s="275"/>
      <c r="AT320" s="244">
        <v>0.9290356811248176</v>
      </c>
      <c r="AU320" s="244">
        <v>0.88669392890846177</v>
      </c>
      <c r="AV320" s="244">
        <v>0.79950272216744533</v>
      </c>
      <c r="AW320" s="244">
        <v>0.65807577780059545</v>
      </c>
      <c r="AX320" s="244">
        <v>0.89085033521439239</v>
      </c>
      <c r="AY320" s="244">
        <v>0.94438048245614048</v>
      </c>
      <c r="AZ320" s="244">
        <v>0.86195138048619524</v>
      </c>
      <c r="BA320" s="275"/>
      <c r="BB320" s="191">
        <v>1.0467710170899485</v>
      </c>
      <c r="BC320" s="275"/>
      <c r="BE320" s="274">
        <f t="shared" si="70"/>
        <v>4.6081290322580646</v>
      </c>
      <c r="BF320" s="280">
        <f t="shared" si="78"/>
        <v>145.374</v>
      </c>
      <c r="BG320" s="154" t="str">
        <f t="shared" si="79"/>
        <v/>
      </c>
      <c r="BH320" s="270">
        <f t="shared" si="73"/>
        <v>3.7999999999999902E-2</v>
      </c>
      <c r="BI320" s="270">
        <f t="shared" si="66"/>
        <v>2.9999999999999361E-2</v>
      </c>
    </row>
    <row r="321" spans="1:61">
      <c r="A321" s="266">
        <v>38808</v>
      </c>
      <c r="B321" s="266"/>
      <c r="C321" s="277">
        <v>0.15867777777777783</v>
      </c>
      <c r="D321" s="276">
        <v>4.7603333333333353</v>
      </c>
      <c r="E321" s="277">
        <v>5.3048666666666664</v>
      </c>
      <c r="F321" s="277">
        <f t="shared" si="77"/>
        <v>159.14599999999999</v>
      </c>
      <c r="G321" s="277">
        <v>130.773</v>
      </c>
      <c r="H321" s="281">
        <f t="shared" si="76"/>
        <v>0.82171716537016326</v>
      </c>
      <c r="I321" s="202">
        <v>3087.1309999999999</v>
      </c>
      <c r="J321" s="270">
        <v>47.21</v>
      </c>
      <c r="K321" s="270">
        <v>0.1967879980324625</v>
      </c>
      <c r="L321" s="202">
        <v>446.57600000000002</v>
      </c>
      <c r="M321" s="277">
        <v>102.24723038620004</v>
      </c>
      <c r="N321" s="202">
        <v>1539.829</v>
      </c>
      <c r="O321" s="270">
        <v>11.77</v>
      </c>
      <c r="P321" s="270">
        <v>-6.5868175110672667E-2</v>
      </c>
      <c r="Q321" s="202">
        <v>2350.0549999999998</v>
      </c>
      <c r="R321" s="199">
        <v>0.820893593372365</v>
      </c>
      <c r="S321" s="202">
        <v>512.74600000000009</v>
      </c>
      <c r="T321" s="286">
        <v>455.34033333333332</v>
      </c>
      <c r="U321" s="286"/>
      <c r="V321" s="278">
        <v>20.120999999999999</v>
      </c>
      <c r="W321" s="278">
        <v>24.843</v>
      </c>
      <c r="X321" s="278">
        <v>19.058</v>
      </c>
      <c r="Y321" s="278"/>
      <c r="Z321" s="278">
        <v>3.577</v>
      </c>
      <c r="AA321" s="278">
        <v>17.085999999999999</v>
      </c>
      <c r="AB321" s="278">
        <v>32.011000000000003</v>
      </c>
      <c r="AC321" s="278">
        <v>14.077999999999999</v>
      </c>
      <c r="AD321" s="279">
        <v>130.773</v>
      </c>
      <c r="AE321" s="278">
        <f t="shared" si="68"/>
        <v>130.774</v>
      </c>
      <c r="AF321" s="278">
        <f t="shared" si="69"/>
        <v>1.0000000000047748E-3</v>
      </c>
      <c r="AG321" s="278">
        <f t="shared" si="67"/>
        <v>1.0000000000047748E-3</v>
      </c>
      <c r="AH321" s="202">
        <f t="shared" si="64"/>
        <v>-2.4399999999999977</v>
      </c>
      <c r="AI321" s="202">
        <f t="shared" si="65"/>
        <v>58.980000000000004</v>
      </c>
      <c r="AJ321" s="285">
        <v>22.068000000000001</v>
      </c>
      <c r="AK321" s="285">
        <v>31.34</v>
      </c>
      <c r="AL321" s="285">
        <v>22.643000000000001</v>
      </c>
      <c r="AM321" s="285">
        <v>9.4350000000000005</v>
      </c>
      <c r="AN321" s="285">
        <v>20.228999999999999</v>
      </c>
      <c r="AO321" s="285">
        <v>35.564999999999998</v>
      </c>
      <c r="AP321" s="285">
        <v>17.864999999999998</v>
      </c>
      <c r="AQ321" s="285">
        <v>159.14599999999999</v>
      </c>
      <c r="AR321" s="285">
        <v>0</v>
      </c>
      <c r="AS321" s="275"/>
      <c r="AT321" s="244">
        <v>0.91177270255573672</v>
      </c>
      <c r="AU321" s="244">
        <v>0.79269304403318441</v>
      </c>
      <c r="AV321" s="244">
        <v>0.84167292319922271</v>
      </c>
      <c r="AW321" s="244">
        <v>0.37912029676735559</v>
      </c>
      <c r="AX321" s="244">
        <v>0.84462899797320679</v>
      </c>
      <c r="AY321" s="244">
        <v>0.90007029382820203</v>
      </c>
      <c r="AZ321" s="244">
        <v>0.78802127064091798</v>
      </c>
      <c r="BA321" s="275"/>
      <c r="BB321" s="191">
        <v>1.0364014997999078</v>
      </c>
      <c r="BC321" s="275"/>
      <c r="BE321" s="274">
        <f>G321/30</f>
        <v>4.3590999999999998</v>
      </c>
      <c r="BF321" s="280">
        <f t="shared" si="78"/>
        <v>135.398</v>
      </c>
      <c r="BG321" s="154" t="str">
        <f t="shared" si="79"/>
        <v/>
      </c>
      <c r="BH321" s="270">
        <f t="shared" si="73"/>
        <v>1.0000000000000142E-2</v>
      </c>
      <c r="BI321" s="270">
        <f t="shared" si="66"/>
        <v>9.9999999999997868E-3</v>
      </c>
    </row>
    <row r="322" spans="1:61">
      <c r="A322" s="266">
        <v>38838</v>
      </c>
      <c r="B322" s="266"/>
      <c r="C322" s="277">
        <v>0.24373118279569894</v>
      </c>
      <c r="D322" s="276">
        <v>7.5556666666666672</v>
      </c>
      <c r="E322" s="277">
        <v>5.3048709677419357</v>
      </c>
      <c r="F322" s="277">
        <f t="shared" si="77"/>
        <v>164.45099999999999</v>
      </c>
      <c r="G322" s="277">
        <v>138.631</v>
      </c>
      <c r="H322" s="281">
        <f t="shared" si="76"/>
        <v>0.84299274555946757</v>
      </c>
      <c r="I322" s="202">
        <v>3290.2060000000001</v>
      </c>
      <c r="J322" s="270">
        <v>47.47</v>
      </c>
      <c r="K322" s="270">
        <v>6.9219263042690216E-2</v>
      </c>
      <c r="L322" s="202">
        <v>482.40600000000001</v>
      </c>
      <c r="M322" s="277">
        <v>150.75956447130005</v>
      </c>
      <c r="N322" s="202">
        <v>1631.923</v>
      </c>
      <c r="O322" s="270">
        <v>11.77</v>
      </c>
      <c r="P322" s="270">
        <v>-6.9206493980299655E-2</v>
      </c>
      <c r="Q322" s="202">
        <v>2494.5410000000002</v>
      </c>
      <c r="R322" s="199">
        <v>0.83026356649005484</v>
      </c>
      <c r="S322" s="202">
        <v>509.97600000000011</v>
      </c>
      <c r="T322" s="286">
        <v>466.51499999999987</v>
      </c>
      <c r="U322" s="286"/>
      <c r="V322" s="278">
        <v>20.454000000000001</v>
      </c>
      <c r="W322" s="278">
        <v>26.754000000000001</v>
      </c>
      <c r="X322" s="278">
        <v>18.818999999999999</v>
      </c>
      <c r="Y322" s="278"/>
      <c r="Z322" s="278">
        <v>4.4089999999999998</v>
      </c>
      <c r="AA322" s="278">
        <v>16.347999999999999</v>
      </c>
      <c r="AB322" s="278">
        <v>35.616999999999997</v>
      </c>
      <c r="AC322" s="278">
        <v>16.2</v>
      </c>
      <c r="AD322" s="279">
        <v>138.601</v>
      </c>
      <c r="AE322" s="278">
        <f t="shared" si="68"/>
        <v>138.601</v>
      </c>
      <c r="AF322" s="278">
        <f t="shared" si="69"/>
        <v>0</v>
      </c>
      <c r="AG322" s="278">
        <f t="shared" si="67"/>
        <v>-3.0000000000001137E-2</v>
      </c>
      <c r="AH322" s="202">
        <f t="shared" ref="AH322:AH385" si="80">AB322-AB321</f>
        <v>3.6059999999999945</v>
      </c>
      <c r="AI322" s="202">
        <f t="shared" si="65"/>
        <v>59.239999999999995</v>
      </c>
      <c r="AJ322" s="285">
        <v>22.803999999999998</v>
      </c>
      <c r="AK322" s="285">
        <v>32.384999999999998</v>
      </c>
      <c r="AL322" s="285">
        <v>23.398</v>
      </c>
      <c r="AM322" s="285">
        <v>9.75</v>
      </c>
      <c r="AN322" s="285">
        <v>20.904</v>
      </c>
      <c r="AO322" s="285">
        <v>36.75</v>
      </c>
      <c r="AP322" s="285">
        <v>18.460999999999999</v>
      </c>
      <c r="AQ322" s="285">
        <v>164.45099999999999</v>
      </c>
      <c r="AR322" s="285">
        <v>0</v>
      </c>
      <c r="AS322" s="275"/>
      <c r="AT322" s="244">
        <v>0.89694790387651302</v>
      </c>
      <c r="AU322" s="244">
        <v>0.82612320518758697</v>
      </c>
      <c r="AV322" s="244">
        <v>0.80429951277886991</v>
      </c>
      <c r="AW322" s="244">
        <v>0.4522051282051282</v>
      </c>
      <c r="AX322" s="244">
        <v>0.78205128205128205</v>
      </c>
      <c r="AY322" s="244">
        <v>0.96917006802721084</v>
      </c>
      <c r="AZ322" s="244">
        <v>0.87752559449650613</v>
      </c>
      <c r="BA322" s="275"/>
      <c r="BB322" s="191">
        <v>1.054501999312323</v>
      </c>
      <c r="BC322" s="275"/>
      <c r="BE322" s="274">
        <f t="shared" si="70"/>
        <v>4.471967741935484</v>
      </c>
      <c r="BF322" s="280">
        <f t="shared" si="78"/>
        <v>136.69300000000001</v>
      </c>
      <c r="BG322" s="154" t="str">
        <f t="shared" si="79"/>
        <v>RECORD</v>
      </c>
      <c r="BH322" s="270">
        <f t="shared" si="73"/>
        <v>1.2000000000000099E-2</v>
      </c>
      <c r="BI322" s="270">
        <f t="shared" si="66"/>
        <v>0</v>
      </c>
    </row>
    <row r="323" spans="1:61">
      <c r="A323" s="266">
        <v>38869</v>
      </c>
      <c r="B323" s="266"/>
      <c r="C323" s="277">
        <v>0.20380000000000015</v>
      </c>
      <c r="D323" s="276">
        <v>6.1140000000000043</v>
      </c>
      <c r="E323" s="277">
        <v>5.3048666666666664</v>
      </c>
      <c r="F323" s="277">
        <f t="shared" si="77"/>
        <v>159.14599999999999</v>
      </c>
      <c r="G323" s="277">
        <v>131.32599999999999</v>
      </c>
      <c r="H323" s="281">
        <f t="shared" si="76"/>
        <v>0.82519196209769652</v>
      </c>
      <c r="I323" s="202">
        <v>3097.6039999999998</v>
      </c>
      <c r="J323" s="270">
        <v>47.17</v>
      </c>
      <c r="K323" s="270">
        <v>0.13646100116414317</v>
      </c>
      <c r="L323" s="202">
        <v>377.26600000000002</v>
      </c>
      <c r="M323" s="277">
        <v>243.52204494559993</v>
      </c>
      <c r="N323" s="202">
        <v>1542.8630000000001</v>
      </c>
      <c r="O323" s="270">
        <v>11.75</v>
      </c>
      <c r="P323" s="270">
        <v>-4.5256111757856488E-2</v>
      </c>
      <c r="Q323" s="202">
        <v>2542.4989999999998</v>
      </c>
      <c r="R323" s="199">
        <v>0.83355621613522868</v>
      </c>
      <c r="S323" s="202">
        <v>507.68399999999974</v>
      </c>
      <c r="T323" s="286">
        <v>425.49900000000002</v>
      </c>
      <c r="U323" s="286"/>
      <c r="V323" s="278">
        <v>15.332000000000001</v>
      </c>
      <c r="W323" s="278">
        <v>25.225999999999999</v>
      </c>
      <c r="X323" s="278">
        <v>20.632000000000001</v>
      </c>
      <c r="Y323" s="278"/>
      <c r="Z323" s="278">
        <v>7.3330000000000002</v>
      </c>
      <c r="AA323" s="278">
        <v>16.422999999999998</v>
      </c>
      <c r="AB323" s="278">
        <v>32.905999999999999</v>
      </c>
      <c r="AC323" s="278">
        <v>13.474</v>
      </c>
      <c r="AD323" s="279">
        <v>131.32599999999999</v>
      </c>
      <c r="AE323" s="278">
        <f t="shared" si="68"/>
        <v>131.32599999999999</v>
      </c>
      <c r="AF323" s="278">
        <f t="shared" si="69"/>
        <v>0</v>
      </c>
      <c r="AG323" s="278">
        <f t="shared" si="67"/>
        <v>0</v>
      </c>
      <c r="AH323" s="202">
        <f t="shared" si="80"/>
        <v>-2.7109999999999985</v>
      </c>
      <c r="AI323" s="202">
        <f t="shared" ref="AI323:AI386" si="81">J323+O323</f>
        <v>58.92</v>
      </c>
      <c r="AJ323" s="285">
        <v>22.068000000000001</v>
      </c>
      <c r="AK323" s="285">
        <v>31.34</v>
      </c>
      <c r="AL323" s="285">
        <v>22.643000000000001</v>
      </c>
      <c r="AM323" s="285">
        <v>9.4350000000000005</v>
      </c>
      <c r="AN323" s="285">
        <v>20.228999999999999</v>
      </c>
      <c r="AO323" s="285">
        <v>35.564999999999998</v>
      </c>
      <c r="AP323" s="285">
        <v>17.864999999999998</v>
      </c>
      <c r="AQ323" s="285">
        <v>159.14599999999999</v>
      </c>
      <c r="AR323" s="285">
        <v>0</v>
      </c>
      <c r="AS323" s="275"/>
      <c r="AT323" s="244">
        <v>0.69476164582200473</v>
      </c>
      <c r="AU323" s="244">
        <v>0.80491384811742184</v>
      </c>
      <c r="AV323" s="244">
        <v>0.91118668021021954</v>
      </c>
      <c r="AW323" s="244">
        <v>0.77721250662427133</v>
      </c>
      <c r="AX323" s="244">
        <v>0.81185426862425225</v>
      </c>
      <c r="AY323" s="244">
        <v>0.92523548432447633</v>
      </c>
      <c r="AZ323" s="244">
        <v>0.75421214665547165</v>
      </c>
      <c r="BA323" s="275"/>
      <c r="BB323" s="191">
        <v>1.0465558990603536</v>
      </c>
      <c r="BC323" s="275"/>
      <c r="BE323" s="274">
        <f>G323/30</f>
        <v>4.3775333333333331</v>
      </c>
      <c r="BF323" s="280">
        <f t="shared" si="78"/>
        <v>130.62899999999999</v>
      </c>
      <c r="BG323" s="154" t="str">
        <f t="shared" si="79"/>
        <v>RECORD</v>
      </c>
      <c r="BH323" s="270">
        <f t="shared" si="73"/>
        <v>6.0000000000000143E-2</v>
      </c>
      <c r="BI323" s="270">
        <f t="shared" si="66"/>
        <v>-1.9999999999999574E-2</v>
      </c>
    </row>
    <row r="324" spans="1:61">
      <c r="A324" s="266">
        <v>38899</v>
      </c>
      <c r="B324" s="266"/>
      <c r="C324" s="277">
        <v>0.18916129032257986</v>
      </c>
      <c r="D324" s="276">
        <v>5.8639999999999759</v>
      </c>
      <c r="E324" s="277">
        <v>5.3242903225806453</v>
      </c>
      <c r="F324" s="277">
        <f t="shared" si="77"/>
        <v>165.053</v>
      </c>
      <c r="G324" s="277">
        <v>142.626</v>
      </c>
      <c r="H324" s="281">
        <f t="shared" si="76"/>
        <v>0.86412243340018058</v>
      </c>
      <c r="I324" s="202">
        <v>3358.6669999999999</v>
      </c>
      <c r="J324" s="270">
        <v>47.1</v>
      </c>
      <c r="K324" s="270">
        <v>0.14223853458145896</v>
      </c>
      <c r="L324" s="202">
        <v>565.74400000000003</v>
      </c>
      <c r="M324" s="277">
        <v>201.48451806019989</v>
      </c>
      <c r="N324" s="202">
        <v>1675.84</v>
      </c>
      <c r="O324" s="270">
        <v>11.75</v>
      </c>
      <c r="P324" s="270">
        <v>-5.224257525759235E-2</v>
      </c>
      <c r="Q324" s="202">
        <v>2688.0079999999998</v>
      </c>
      <c r="R324" s="199">
        <v>0.82854986942980646</v>
      </c>
      <c r="S324" s="202">
        <v>556.22400000000016</v>
      </c>
      <c r="T324" s="286">
        <v>404.84833333333353</v>
      </c>
      <c r="U324" s="286"/>
      <c r="V324" s="278">
        <v>20.684999999999999</v>
      </c>
      <c r="W324" s="278">
        <v>26.765000000000001</v>
      </c>
      <c r="X324" s="278">
        <v>20.93</v>
      </c>
      <c r="Y324" s="278"/>
      <c r="Z324" s="278">
        <v>6.7960000000000003</v>
      </c>
      <c r="AA324" s="278">
        <v>19.533000000000001</v>
      </c>
      <c r="AB324" s="278">
        <v>31.768000000000001</v>
      </c>
      <c r="AC324" s="278">
        <v>16.149000000000001</v>
      </c>
      <c r="AD324" s="279">
        <v>142.626</v>
      </c>
      <c r="AE324" s="278">
        <f t="shared" si="68"/>
        <v>142.626</v>
      </c>
      <c r="AF324" s="278">
        <f t="shared" si="69"/>
        <v>0</v>
      </c>
      <c r="AG324" s="278">
        <f t="shared" si="67"/>
        <v>0</v>
      </c>
      <c r="AH324" s="202">
        <f t="shared" si="80"/>
        <v>-1.1379999999999981</v>
      </c>
      <c r="AI324" s="202">
        <f t="shared" si="81"/>
        <v>58.85</v>
      </c>
      <c r="AJ324" s="285">
        <v>22.823</v>
      </c>
      <c r="AK324" s="285">
        <v>32.384999999999998</v>
      </c>
      <c r="AL324" s="285">
        <v>23.491</v>
      </c>
      <c r="AM324" s="285">
        <v>9.7919999999999998</v>
      </c>
      <c r="AN324" s="285">
        <v>21.213999999999999</v>
      </c>
      <c r="AO324" s="285">
        <v>36.805</v>
      </c>
      <c r="AP324" s="285">
        <v>18.544</v>
      </c>
      <c r="AQ324" s="285">
        <v>165.053</v>
      </c>
      <c r="AR324" s="285">
        <v>0</v>
      </c>
      <c r="AS324" s="275"/>
      <c r="AT324" s="244">
        <v>0.90632256933794852</v>
      </c>
      <c r="AU324" s="244">
        <v>0.82646286861201179</v>
      </c>
      <c r="AV324" s="244">
        <v>0.89097952407304926</v>
      </c>
      <c r="AW324" s="244">
        <v>0.69403594771241839</v>
      </c>
      <c r="AX324" s="244">
        <v>0.92075987555387961</v>
      </c>
      <c r="AY324" s="244">
        <v>0.86314359462029622</v>
      </c>
      <c r="AZ324" s="244">
        <v>0.87084771354616053</v>
      </c>
      <c r="BA324" s="275"/>
      <c r="BB324" s="191">
        <v>1.0411145232986971</v>
      </c>
      <c r="BC324" s="275"/>
      <c r="BE324" s="274">
        <f t="shared" si="70"/>
        <v>4.6008387096774195</v>
      </c>
      <c r="BF324" s="280">
        <f t="shared" si="78"/>
        <v>133.78700000000001</v>
      </c>
      <c r="BG324" s="154" t="str">
        <f t="shared" si="79"/>
        <v>RECORD</v>
      </c>
      <c r="BH324" s="270">
        <f t="shared" si="73"/>
        <v>-1.6000000000000368E-2</v>
      </c>
      <c r="BI324" s="270">
        <f t="shared" ref="BI324:BI387" si="82">O324-O323</f>
        <v>0</v>
      </c>
    </row>
    <row r="325" spans="1:61">
      <c r="A325" s="266">
        <v>38930</v>
      </c>
      <c r="B325" s="266"/>
      <c r="C325" s="277">
        <v>0.24368817204301027</v>
      </c>
      <c r="D325" s="276">
        <v>7.554333333333318</v>
      </c>
      <c r="E325" s="277">
        <v>5.3242903225806453</v>
      </c>
      <c r="F325" s="277">
        <f t="shared" si="77"/>
        <v>165.053</v>
      </c>
      <c r="G325" s="277">
        <v>134.60900000000001</v>
      </c>
      <c r="H325" s="281">
        <f t="shared" si="76"/>
        <v>0.81555015661635966</v>
      </c>
      <c r="I325" s="202">
        <v>3170.777</v>
      </c>
      <c r="J325" s="270">
        <v>47.11</v>
      </c>
      <c r="K325" s="270">
        <v>7.3755773875120667E-2</v>
      </c>
      <c r="L325" s="202">
        <v>480.32600000000002</v>
      </c>
      <c r="M325" s="277">
        <v>250.16635051869991</v>
      </c>
      <c r="N325" s="202">
        <v>1564.3510000000001</v>
      </c>
      <c r="O325" s="270">
        <v>11.62</v>
      </c>
      <c r="P325" s="270">
        <v>4.4751811296865895E-2</v>
      </c>
      <c r="Q325" s="202">
        <v>2678.0259999999998</v>
      </c>
      <c r="R325" s="199">
        <v>0.83531638470593572</v>
      </c>
      <c r="S325" s="202">
        <v>527.97600000000057</v>
      </c>
      <c r="T325" s="286">
        <v>380.16566666666671</v>
      </c>
      <c r="U325" s="286"/>
      <c r="V325" s="278">
        <v>21.733000000000001</v>
      </c>
      <c r="W325" s="278">
        <v>23.664999999999999</v>
      </c>
      <c r="X325" s="278">
        <v>16.599</v>
      </c>
      <c r="Y325" s="278"/>
      <c r="Z325" s="278">
        <v>6.2590000000000003</v>
      </c>
      <c r="AA325" s="278">
        <v>19.59</v>
      </c>
      <c r="AB325" s="278">
        <v>31.460999999999999</v>
      </c>
      <c r="AC325" s="278">
        <v>15.368</v>
      </c>
      <c r="AD325" s="279">
        <v>134.67400000000001</v>
      </c>
      <c r="AE325" s="278">
        <f t="shared" si="68"/>
        <v>134.67500000000001</v>
      </c>
      <c r="AF325" s="278">
        <f t="shared" si="69"/>
        <v>1.0000000000047748E-3</v>
      </c>
      <c r="AG325" s="278">
        <f t="shared" si="67"/>
        <v>6.6000000000002501E-2</v>
      </c>
      <c r="AH325" s="202">
        <f t="shared" si="80"/>
        <v>-0.30700000000000216</v>
      </c>
      <c r="AI325" s="202">
        <f t="shared" si="81"/>
        <v>58.73</v>
      </c>
      <c r="AJ325" s="285">
        <v>22.823</v>
      </c>
      <c r="AK325" s="285">
        <v>32.384999999999998</v>
      </c>
      <c r="AL325" s="285">
        <v>23.491</v>
      </c>
      <c r="AM325" s="285">
        <v>9.7919999999999998</v>
      </c>
      <c r="AN325" s="285">
        <v>21.213999999999999</v>
      </c>
      <c r="AO325" s="285">
        <v>36.805</v>
      </c>
      <c r="AP325" s="285">
        <v>18.544</v>
      </c>
      <c r="AQ325" s="285">
        <v>165.053</v>
      </c>
      <c r="AR325" s="285">
        <v>0</v>
      </c>
      <c r="AS325" s="275"/>
      <c r="AT325" s="244">
        <v>0.95224116023309824</v>
      </c>
      <c r="AU325" s="244">
        <v>0.73073953991045237</v>
      </c>
      <c r="AV325" s="244">
        <v>0.70661104252692519</v>
      </c>
      <c r="AW325" s="244">
        <v>0.6391952614379085</v>
      </c>
      <c r="AX325" s="244">
        <v>0.92344678042801931</v>
      </c>
      <c r="AY325" s="244">
        <v>0.85480233663904359</v>
      </c>
      <c r="AZ325" s="244">
        <v>0.82873166522864539</v>
      </c>
      <c r="BA325" s="275"/>
      <c r="BB325" s="191">
        <v>1.0561205664802005</v>
      </c>
      <c r="BC325" s="275"/>
      <c r="BE325" s="274">
        <f t="shared" si="70"/>
        <v>4.342225806451613</v>
      </c>
      <c r="BF325" s="280">
        <f t="shared" si="78"/>
        <v>128.852</v>
      </c>
      <c r="BG325" s="154" t="str">
        <f t="shared" si="79"/>
        <v>RECORD</v>
      </c>
      <c r="BH325" s="270">
        <f t="shared" si="73"/>
        <v>6.6000000000000017E-2</v>
      </c>
      <c r="BI325" s="270">
        <f t="shared" si="82"/>
        <v>-0.13000000000000078</v>
      </c>
    </row>
    <row r="326" spans="1:61">
      <c r="A326" s="266">
        <v>38961</v>
      </c>
      <c r="B326" s="266"/>
      <c r="C326" s="277">
        <v>0.16822222222222269</v>
      </c>
      <c r="D326" s="276">
        <v>5.0466666666666811</v>
      </c>
      <c r="E326" s="277">
        <v>5.3243</v>
      </c>
      <c r="F326" s="277">
        <f t="shared" si="77"/>
        <v>159.72900000000001</v>
      </c>
      <c r="G326" s="277">
        <v>137.32</v>
      </c>
      <c r="H326" s="281">
        <f t="shared" si="76"/>
        <v>0.85970612725303475</v>
      </c>
      <c r="I326" s="202">
        <v>3233.489</v>
      </c>
      <c r="J326" s="270">
        <v>47.09</v>
      </c>
      <c r="K326" s="270">
        <v>3.479512994613998E-2</v>
      </c>
      <c r="L326" s="202">
        <v>418.08499999999998</v>
      </c>
      <c r="M326" s="277">
        <v>254.62310558770008</v>
      </c>
      <c r="N326" s="202">
        <v>1613.1</v>
      </c>
      <c r="O326" s="270">
        <v>11.75</v>
      </c>
      <c r="P326" s="270">
        <v>7.9313977991102291E-2</v>
      </c>
      <c r="Q326" s="202">
        <v>2630.098</v>
      </c>
      <c r="R326" s="199">
        <v>0.83627970510633087</v>
      </c>
      <c r="S326" s="202">
        <v>514.89999999999964</v>
      </c>
      <c r="T326" s="286">
        <v>396.85599999999994</v>
      </c>
      <c r="U326" s="286"/>
      <c r="V326" s="278">
        <v>19.829000000000001</v>
      </c>
      <c r="W326" s="278">
        <v>24.884</v>
      </c>
      <c r="X326" s="278">
        <v>17.751999999999999</v>
      </c>
      <c r="Y326" s="278"/>
      <c r="Z326" s="278">
        <v>7.4169999999999998</v>
      </c>
      <c r="AA326" s="278">
        <v>18.503</v>
      </c>
      <c r="AB326" s="278">
        <v>34.704999999999998</v>
      </c>
      <c r="AC326" s="278">
        <v>14.23</v>
      </c>
      <c r="AD326" s="279">
        <v>137.32</v>
      </c>
      <c r="AE326" s="278">
        <f t="shared" si="68"/>
        <v>137.32</v>
      </c>
      <c r="AF326" s="278">
        <f t="shared" si="69"/>
        <v>0</v>
      </c>
      <c r="AG326" s="278">
        <f t="shared" ref="AG326:AG389" si="83">AE326-G326</f>
        <v>0</v>
      </c>
      <c r="AH326" s="202">
        <f t="shared" si="80"/>
        <v>3.2439999999999998</v>
      </c>
      <c r="AI326" s="202">
        <f t="shared" si="81"/>
        <v>58.84</v>
      </c>
      <c r="AJ326" s="285">
        <v>22.087</v>
      </c>
      <c r="AK326" s="285">
        <v>31.34</v>
      </c>
      <c r="AL326" s="285">
        <v>22.733000000000001</v>
      </c>
      <c r="AM326" s="285">
        <v>9.4760000000000009</v>
      </c>
      <c r="AN326" s="285">
        <v>20.529</v>
      </c>
      <c r="AO326" s="285">
        <v>35.616999999999997</v>
      </c>
      <c r="AP326" s="285">
        <v>17.946000000000002</v>
      </c>
      <c r="AQ326" s="285">
        <v>159.72900000000001</v>
      </c>
      <c r="AR326" s="285">
        <v>0</v>
      </c>
      <c r="AS326" s="275"/>
      <c r="AT326" s="244">
        <v>0.89776791777968945</v>
      </c>
      <c r="AU326" s="244">
        <v>0.79400127632418638</v>
      </c>
      <c r="AV326" s="244">
        <v>0.78089121541371564</v>
      </c>
      <c r="AW326" s="244">
        <v>0.78271422541156599</v>
      </c>
      <c r="AX326" s="244">
        <v>0.90131034146816702</v>
      </c>
      <c r="AY326" s="244">
        <v>0.97439424993682799</v>
      </c>
      <c r="AZ326" s="244">
        <v>0.7929343586314499</v>
      </c>
      <c r="BA326" s="275"/>
      <c r="BB326" s="191">
        <v>1.036751140887465</v>
      </c>
      <c r="BC326" s="275"/>
      <c r="BE326" s="274">
        <f>G326/30</f>
        <v>4.5773333333333328</v>
      </c>
      <c r="BF326" s="280">
        <f t="shared" si="78"/>
        <v>132.16399999999999</v>
      </c>
      <c r="BG326" s="154" t="str">
        <f t="shared" si="79"/>
        <v>RECORD</v>
      </c>
      <c r="BH326" s="270">
        <f t="shared" si="73"/>
        <v>6.0000000000002274E-3</v>
      </c>
      <c r="BI326" s="270">
        <f t="shared" si="82"/>
        <v>0.13000000000000078</v>
      </c>
    </row>
    <row r="327" spans="1:61">
      <c r="A327" s="266">
        <v>38991</v>
      </c>
      <c r="B327" s="266"/>
      <c r="C327" s="277">
        <v>0.21793548387096684</v>
      </c>
      <c r="D327" s="276">
        <v>6.7559999999999718</v>
      </c>
      <c r="E327" s="277">
        <v>5.3462580645161291</v>
      </c>
      <c r="F327" s="277">
        <f t="shared" si="77"/>
        <v>165.73400000000001</v>
      </c>
      <c r="G327" s="277">
        <v>154.98400000000001</v>
      </c>
      <c r="H327" s="281">
        <f t="shared" si="76"/>
        <v>0.93513702680198385</v>
      </c>
      <c r="I327" s="202">
        <v>3658.16</v>
      </c>
      <c r="J327" s="270">
        <v>47.21</v>
      </c>
      <c r="K327" s="270">
        <v>6.5874860887845443E-2</v>
      </c>
      <c r="L327" s="202">
        <v>490.85199999999998</v>
      </c>
      <c r="M327" s="277">
        <v>186.10617587930017</v>
      </c>
      <c r="N327" s="202">
        <v>1764.8320000000001</v>
      </c>
      <c r="O327" s="270">
        <v>11.39</v>
      </c>
      <c r="P327" s="270">
        <v>-7.8636082601706292E-2</v>
      </c>
      <c r="Q327" s="202">
        <v>2629.6889999999999</v>
      </c>
      <c r="R327" s="199">
        <v>0.83376315789473676</v>
      </c>
      <c r="S327" s="202">
        <v>524.31100000000015</v>
      </c>
      <c r="T327" s="286">
        <v>389.76599999999991</v>
      </c>
      <c r="U327" s="286"/>
      <c r="V327" s="278">
        <v>21.236999999999998</v>
      </c>
      <c r="W327" s="278">
        <v>31.47</v>
      </c>
      <c r="X327" s="278">
        <v>21.087</v>
      </c>
      <c r="Y327" s="278"/>
      <c r="Z327" s="278">
        <v>8.1219999999999999</v>
      </c>
      <c r="AA327" s="278">
        <v>20.032</v>
      </c>
      <c r="AB327" s="278">
        <v>36.334000000000003</v>
      </c>
      <c r="AC327" s="278">
        <v>16.704000000000001</v>
      </c>
      <c r="AD327" s="279">
        <v>154.98400000000001</v>
      </c>
      <c r="AE327" s="278">
        <f t="shared" ref="AE327:AE390" si="84">SUM(V327:AC327)</f>
        <v>154.98599999999999</v>
      </c>
      <c r="AF327" s="278">
        <f t="shared" ref="AF327:AF390" si="85">AE327-AD327</f>
        <v>1.999999999981128E-3</v>
      </c>
      <c r="AG327" s="278">
        <f t="shared" si="83"/>
        <v>1.999999999981128E-3</v>
      </c>
      <c r="AH327" s="202">
        <f t="shared" si="80"/>
        <v>1.6290000000000049</v>
      </c>
      <c r="AI327" s="202">
        <f t="shared" si="81"/>
        <v>58.6</v>
      </c>
      <c r="AJ327" s="285">
        <v>22.824000000000002</v>
      </c>
      <c r="AK327" s="285">
        <v>32.384999999999998</v>
      </c>
      <c r="AL327" s="285">
        <v>23.79</v>
      </c>
      <c r="AM327" s="285">
        <v>9.6760000000000002</v>
      </c>
      <c r="AN327" s="285">
        <v>21.306999999999999</v>
      </c>
      <c r="AO327" s="285">
        <v>37.023000000000003</v>
      </c>
      <c r="AP327" s="285">
        <v>18.728999999999999</v>
      </c>
      <c r="AQ327" s="285">
        <v>165.73400000000001</v>
      </c>
      <c r="AR327" s="285">
        <v>0</v>
      </c>
      <c r="AS327" s="275"/>
      <c r="AT327" s="244">
        <v>0.93046792849631954</v>
      </c>
      <c r="AU327" s="244">
        <v>0.97174617878647529</v>
      </c>
      <c r="AV327" s="244">
        <v>0.88638083228247166</v>
      </c>
      <c r="AW327" s="244">
        <v>0.83939644481190567</v>
      </c>
      <c r="AX327" s="244">
        <v>0.94016051063030937</v>
      </c>
      <c r="AY327" s="244">
        <v>0.98138994678983338</v>
      </c>
      <c r="AZ327" s="244">
        <v>0.89187890437289774</v>
      </c>
      <c r="BA327" s="275"/>
      <c r="BB327" s="191">
        <v>1.043591596551902</v>
      </c>
      <c r="BC327" s="275"/>
      <c r="BE327" s="274">
        <f t="shared" si="70"/>
        <v>4.999483870967742</v>
      </c>
      <c r="BF327" s="280">
        <f t="shared" si="78"/>
        <v>150.85900000000001</v>
      </c>
      <c r="BG327" s="154" t="str">
        <f t="shared" si="79"/>
        <v>RECORD</v>
      </c>
      <c r="BH327" s="270">
        <f t="shared" si="73"/>
        <v>-9.1999999999999818E-2</v>
      </c>
      <c r="BI327" s="270">
        <f t="shared" si="82"/>
        <v>-0.35999999999999943</v>
      </c>
    </row>
    <row r="328" spans="1:61">
      <c r="A328" s="266">
        <v>39022</v>
      </c>
      <c r="B328" s="266"/>
      <c r="C328" s="277">
        <v>0.22995555555555522</v>
      </c>
      <c r="D328" s="276">
        <v>6.8986666666666565</v>
      </c>
      <c r="E328" s="277">
        <v>5.3462333333333332</v>
      </c>
      <c r="F328" s="277">
        <f t="shared" si="77"/>
        <v>160.387</v>
      </c>
      <c r="G328" s="277">
        <v>148.19800000000001</v>
      </c>
      <c r="H328" s="281">
        <f t="shared" si="76"/>
        <v>0.92400256878674714</v>
      </c>
      <c r="I328" s="202">
        <v>3506.549</v>
      </c>
      <c r="J328" s="270">
        <v>47.32</v>
      </c>
      <c r="K328" s="270">
        <v>3.1114358786993535E-2</v>
      </c>
      <c r="L328" s="202">
        <v>540.29</v>
      </c>
      <c r="M328" s="277">
        <v>301.74872800390006</v>
      </c>
      <c r="N328" s="202">
        <v>1658.329</v>
      </c>
      <c r="O328" s="270">
        <v>11.19</v>
      </c>
      <c r="P328" s="270">
        <v>-6.7904102817596623E-2</v>
      </c>
      <c r="Q328" s="202">
        <v>2694.2190000000001</v>
      </c>
      <c r="R328" s="199">
        <v>0.82953821200090883</v>
      </c>
      <c r="S328" s="202">
        <v>553.63500000000022</v>
      </c>
      <c r="T328" s="286">
        <v>377.92733333333331</v>
      </c>
      <c r="U328" s="275"/>
      <c r="V328" s="278">
        <v>20.994</v>
      </c>
      <c r="W328" s="278">
        <v>29.469000000000001</v>
      </c>
      <c r="X328" s="278">
        <v>20.792999999999999</v>
      </c>
      <c r="Y328" s="278"/>
      <c r="Z328" s="278">
        <v>7.641</v>
      </c>
      <c r="AA328" s="278">
        <v>19.882000000000001</v>
      </c>
      <c r="AB328" s="278">
        <v>33.613999999999997</v>
      </c>
      <c r="AC328" s="278">
        <v>15.804</v>
      </c>
      <c r="AD328" s="279">
        <v>148.19800000000001</v>
      </c>
      <c r="AE328" s="278">
        <f t="shared" si="84"/>
        <v>148.197</v>
      </c>
      <c r="AF328" s="278">
        <f t="shared" si="85"/>
        <v>-1.0000000000047748E-3</v>
      </c>
      <c r="AG328" s="278">
        <f t="shared" si="83"/>
        <v>-1.0000000000047748E-3</v>
      </c>
      <c r="AH328" s="202">
        <f t="shared" si="80"/>
        <v>-2.720000000000006</v>
      </c>
      <c r="AI328" s="202">
        <f t="shared" si="81"/>
        <v>58.51</v>
      </c>
      <c r="AJ328" s="285">
        <v>22.088000000000001</v>
      </c>
      <c r="AK328" s="285">
        <v>31.34</v>
      </c>
      <c r="AL328" s="285">
        <v>23.023</v>
      </c>
      <c r="AM328" s="285">
        <v>9.3640000000000008</v>
      </c>
      <c r="AN328" s="285">
        <v>20.619</v>
      </c>
      <c r="AO328" s="285">
        <v>35.829000000000001</v>
      </c>
      <c r="AP328" s="285">
        <v>18.123999999999999</v>
      </c>
      <c r="AQ328" s="285">
        <v>160.387</v>
      </c>
      <c r="AR328" s="285">
        <v>0</v>
      </c>
      <c r="AS328" s="275"/>
      <c r="AT328" s="244">
        <v>0.95047084389713865</v>
      </c>
      <c r="AU328" s="244">
        <v>0.94029993618379071</v>
      </c>
      <c r="AV328" s="244">
        <v>0.90314033792294657</v>
      </c>
      <c r="AW328" s="244">
        <v>0.81599743699273808</v>
      </c>
      <c r="AX328" s="244">
        <v>0.9642562684902275</v>
      </c>
      <c r="AY328" s="244">
        <v>0.938178570431773</v>
      </c>
      <c r="AZ328" s="244">
        <v>0.87199293754138163</v>
      </c>
      <c r="BA328" s="275"/>
      <c r="BB328" s="191">
        <v>1.0465503358119992</v>
      </c>
      <c r="BC328" s="275"/>
      <c r="BE328" s="274">
        <f>G328/30</f>
        <v>4.9399333333333333</v>
      </c>
      <c r="BF328" s="280">
        <f t="shared" si="78"/>
        <v>144.93299999999999</v>
      </c>
      <c r="BG328" s="154" t="str">
        <f t="shared" si="79"/>
        <v>RECORD</v>
      </c>
      <c r="BH328" s="270">
        <f t="shared" si="73"/>
        <v>-0.12599999999999981</v>
      </c>
      <c r="BI328" s="270">
        <f t="shared" si="82"/>
        <v>-0.20000000000000107</v>
      </c>
    </row>
    <row r="329" spans="1:61">
      <c r="A329" s="266">
        <v>39052</v>
      </c>
      <c r="B329" s="266"/>
      <c r="C329" s="277">
        <v>0.26520430107526838</v>
      </c>
      <c r="D329" s="276">
        <v>8.2213333333333196</v>
      </c>
      <c r="E329" s="277">
        <v>5.3462580645161291</v>
      </c>
      <c r="F329" s="277">
        <f t="shared" si="77"/>
        <v>165.73400000000001</v>
      </c>
      <c r="G329" s="277">
        <v>149.16200000000001</v>
      </c>
      <c r="H329" s="281">
        <f t="shared" si="76"/>
        <v>0.9000084472709281</v>
      </c>
      <c r="I329" s="202">
        <v>3528.08</v>
      </c>
      <c r="J329" s="270">
        <v>47.31</v>
      </c>
      <c r="K329" s="270">
        <v>0.12831409509689706</v>
      </c>
      <c r="L329" s="202">
        <v>514.5</v>
      </c>
      <c r="M329" s="277">
        <v>272.71947920070011</v>
      </c>
      <c r="N329" s="202">
        <v>1686.204</v>
      </c>
      <c r="O329" s="270">
        <v>11.3</v>
      </c>
      <c r="P329" s="270">
        <v>-4.7220163083766309E-2</v>
      </c>
      <c r="Q329" s="202">
        <v>2605.86</v>
      </c>
      <c r="R329" s="199">
        <v>0.79716846212558068</v>
      </c>
      <c r="S329" s="202">
        <v>663.03499999999985</v>
      </c>
      <c r="T329" s="286">
        <v>379.59099999999995</v>
      </c>
      <c r="U329" s="275"/>
      <c r="V329" s="278">
        <v>20.805</v>
      </c>
      <c r="W329" s="278">
        <v>29.984000000000002</v>
      </c>
      <c r="X329" s="278">
        <v>19.614000000000001</v>
      </c>
      <c r="Y329" s="278"/>
      <c r="Z329" s="278">
        <v>7.2759999999999998</v>
      </c>
      <c r="AA329" s="278">
        <v>19.244</v>
      </c>
      <c r="AB329" s="278">
        <v>35.076999999999998</v>
      </c>
      <c r="AC329" s="278">
        <v>17.161999999999999</v>
      </c>
      <c r="AD329" s="279">
        <v>149.16200000000001</v>
      </c>
      <c r="AE329" s="278">
        <f t="shared" si="84"/>
        <v>149.16200000000001</v>
      </c>
      <c r="AF329" s="278">
        <f t="shared" si="85"/>
        <v>0</v>
      </c>
      <c r="AG329" s="278">
        <f t="shared" si="83"/>
        <v>0</v>
      </c>
      <c r="AH329" s="202">
        <f t="shared" si="80"/>
        <v>1.463000000000001</v>
      </c>
      <c r="AI329" s="202">
        <f t="shared" si="81"/>
        <v>58.61</v>
      </c>
      <c r="AJ329" s="285">
        <v>22.824000000000002</v>
      </c>
      <c r="AK329" s="285">
        <v>32.384999999999998</v>
      </c>
      <c r="AL329" s="285">
        <v>23.79</v>
      </c>
      <c r="AM329" s="285">
        <v>9.6760000000000002</v>
      </c>
      <c r="AN329" s="285">
        <v>21.306999999999999</v>
      </c>
      <c r="AO329" s="285">
        <v>37.023000000000003</v>
      </c>
      <c r="AP329" s="285">
        <v>18.728999999999999</v>
      </c>
      <c r="AQ329" s="285">
        <v>165.73400000000001</v>
      </c>
      <c r="AR329" s="285">
        <v>0</v>
      </c>
      <c r="AS329" s="275"/>
      <c r="AT329" s="244">
        <v>0.91154048370136687</v>
      </c>
      <c r="AU329" s="244">
        <v>0.92586073799598589</v>
      </c>
      <c r="AV329" s="244">
        <v>0.82446406052963439</v>
      </c>
      <c r="AW329" s="244">
        <v>0.75196362133112848</v>
      </c>
      <c r="AX329" s="244">
        <v>0.90317735955319856</v>
      </c>
      <c r="AY329" s="244">
        <v>0.94743807903195298</v>
      </c>
      <c r="AZ329" s="244">
        <v>0.91633295958139782</v>
      </c>
      <c r="BA329" s="275"/>
      <c r="BB329" s="191">
        <v>1.055116808123606</v>
      </c>
      <c r="BC329" s="275"/>
      <c r="BE329" s="274">
        <f t="shared" ref="BE329:BE392" si="86">G329/31</f>
        <v>4.8116774193548393</v>
      </c>
      <c r="BF329" s="280">
        <f t="shared" si="78"/>
        <v>148.77099999999999</v>
      </c>
      <c r="BG329" s="154" t="str">
        <f t="shared" si="79"/>
        <v>RECORD</v>
      </c>
      <c r="BH329" s="270">
        <f t="shared" si="73"/>
        <v>4.9999999999999642E-2</v>
      </c>
      <c r="BI329" s="270">
        <f t="shared" si="82"/>
        <v>0.11000000000000121</v>
      </c>
    </row>
    <row r="330" spans="1:61">
      <c r="A330" s="266">
        <v>39083</v>
      </c>
      <c r="B330" s="266"/>
      <c r="C330" s="277">
        <v>0.21391031182795653</v>
      </c>
      <c r="D330" s="276">
        <v>6.6312196666666523</v>
      </c>
      <c r="E330" s="277">
        <v>5.3590322580645156</v>
      </c>
      <c r="F330" s="277">
        <f t="shared" si="77"/>
        <v>166.13</v>
      </c>
      <c r="G330" s="277">
        <v>148.858</v>
      </c>
      <c r="H330" s="281">
        <f t="shared" si="76"/>
        <v>0.89603322699091081</v>
      </c>
      <c r="I330" s="202">
        <v>3530.335</v>
      </c>
      <c r="J330" s="270">
        <v>47.43</v>
      </c>
      <c r="K330" s="270">
        <v>0.13032383372585343</v>
      </c>
      <c r="L330" s="202">
        <v>563.74400000000003</v>
      </c>
      <c r="M330" s="277">
        <v>189.58988790519982</v>
      </c>
      <c r="N330" s="202">
        <v>1682.01</v>
      </c>
      <c r="O330" s="270">
        <v>11.3</v>
      </c>
      <c r="P330" s="270">
        <v>-6.3183108477838701E-2</v>
      </c>
      <c r="Q330" s="202">
        <v>2738.5230000000001</v>
      </c>
      <c r="R330" s="199">
        <v>0.81583787648583439</v>
      </c>
      <c r="S330" s="202">
        <v>618.17699999999968</v>
      </c>
      <c r="T330" s="286">
        <v>450.22033333333326</v>
      </c>
      <c r="U330" s="275"/>
      <c r="V330" s="278">
        <v>20.248000000000001</v>
      </c>
      <c r="W330" s="278">
        <v>29.111999999999998</v>
      </c>
      <c r="X330" s="278">
        <v>20.946999999999999</v>
      </c>
      <c r="Y330" s="278"/>
      <c r="Z330" s="278">
        <v>7.915</v>
      </c>
      <c r="AA330" s="278">
        <v>19.018000000000001</v>
      </c>
      <c r="AB330" s="278">
        <v>34.665999999999997</v>
      </c>
      <c r="AC330" s="278">
        <v>16.952999999999999</v>
      </c>
      <c r="AD330" s="279">
        <v>148.858</v>
      </c>
      <c r="AE330" s="278">
        <f t="shared" si="84"/>
        <v>148.85900000000001</v>
      </c>
      <c r="AF330" s="278">
        <f t="shared" si="85"/>
        <v>1.0000000000047748E-3</v>
      </c>
      <c r="AG330" s="278">
        <f t="shared" si="83"/>
        <v>1.0000000000047748E-3</v>
      </c>
      <c r="AH330" s="202">
        <f t="shared" si="80"/>
        <v>-0.41100000000000136</v>
      </c>
      <c r="AI330" s="202">
        <f t="shared" si="81"/>
        <v>58.730000000000004</v>
      </c>
      <c r="AJ330" s="285">
        <v>22.82</v>
      </c>
      <c r="AK330" s="285">
        <v>32.659999999999997</v>
      </c>
      <c r="AL330" s="285">
        <v>23.748000000000001</v>
      </c>
      <c r="AM330" s="285">
        <v>9.5519999999999996</v>
      </c>
      <c r="AN330" s="285">
        <v>21.273</v>
      </c>
      <c r="AO330" s="285">
        <v>37.162999999999997</v>
      </c>
      <c r="AP330" s="285">
        <v>18.914000000000001</v>
      </c>
      <c r="AQ330" s="285">
        <v>166.13</v>
      </c>
      <c r="AR330" s="285">
        <v>0</v>
      </c>
      <c r="AS330" s="275"/>
      <c r="AT330" s="244">
        <v>0.88729184925503946</v>
      </c>
      <c r="AU330" s="244">
        <v>0.89136558481322725</v>
      </c>
      <c r="AV330" s="244">
        <v>0.88205322553478183</v>
      </c>
      <c r="AW330" s="244">
        <v>0.82862227805695143</v>
      </c>
      <c r="AX330" s="244">
        <v>0.89399708550745083</v>
      </c>
      <c r="AY330" s="244">
        <v>0.93280951484002905</v>
      </c>
      <c r="AZ330" s="244">
        <v>0.89632018610553021</v>
      </c>
      <c r="BA330" s="275"/>
      <c r="BB330" s="191">
        <v>1.0445472844366219</v>
      </c>
      <c r="BC330" s="275"/>
      <c r="BE330" s="274">
        <f t="shared" si="86"/>
        <v>4.8018709677419356</v>
      </c>
      <c r="BF330" s="280">
        <f t="shared" si="78"/>
        <v>151.04</v>
      </c>
      <c r="BG330" s="154" t="str">
        <f t="shared" si="79"/>
        <v/>
      </c>
      <c r="BH330" s="270">
        <f t="shared" si="73"/>
        <v>1.7999999999999971E-2</v>
      </c>
      <c r="BI330" s="270">
        <f t="shared" si="82"/>
        <v>0</v>
      </c>
    </row>
    <row r="331" spans="1:61">
      <c r="A331" s="266">
        <v>39114</v>
      </c>
      <c r="B331" s="266"/>
      <c r="C331" s="277">
        <v>0.22021071428571407</v>
      </c>
      <c r="D331" s="276">
        <v>6.1658999999999935</v>
      </c>
      <c r="E331" s="277">
        <v>5.3590357142857146</v>
      </c>
      <c r="F331" s="277">
        <f t="shared" si="77"/>
        <v>150.053</v>
      </c>
      <c r="G331" s="277">
        <v>130.779</v>
      </c>
      <c r="H331" s="281">
        <f t="shared" si="76"/>
        <v>0.87155205160843163</v>
      </c>
      <c r="I331" s="202">
        <v>3105.8229999999999</v>
      </c>
      <c r="J331" s="270">
        <v>47.5</v>
      </c>
      <c r="K331" s="270">
        <v>6.9978874715303618E-2</v>
      </c>
      <c r="L331" s="202">
        <v>488.642</v>
      </c>
      <c r="M331" s="277">
        <v>267.67308800469999</v>
      </c>
      <c r="N331" s="202">
        <v>1483.596</v>
      </c>
      <c r="O331" s="270">
        <v>11.34</v>
      </c>
      <c r="P331" s="270">
        <v>-3.3825034740246451E-2</v>
      </c>
      <c r="Q331" s="202">
        <v>2819.6750000000002</v>
      </c>
      <c r="R331" s="199">
        <v>0.81078730195243998</v>
      </c>
      <c r="S331" s="202">
        <v>658.02499999999964</v>
      </c>
      <c r="T331" s="286">
        <v>458.34700000000021</v>
      </c>
      <c r="U331" s="275"/>
      <c r="V331" s="278">
        <v>18.047000000000001</v>
      </c>
      <c r="W331" s="278">
        <v>25.036000000000001</v>
      </c>
      <c r="X331" s="278">
        <v>18.719000000000001</v>
      </c>
      <c r="Y331" s="278"/>
      <c r="Z331" s="278">
        <v>7.1710000000000003</v>
      </c>
      <c r="AA331" s="278">
        <v>17.126999999999999</v>
      </c>
      <c r="AB331" s="278">
        <v>30.417000000000002</v>
      </c>
      <c r="AC331" s="278">
        <v>14.262</v>
      </c>
      <c r="AD331" s="279">
        <v>130.779</v>
      </c>
      <c r="AE331" s="278">
        <f t="shared" si="84"/>
        <v>130.779</v>
      </c>
      <c r="AF331" s="278">
        <f t="shared" si="85"/>
        <v>0</v>
      </c>
      <c r="AG331" s="278">
        <f t="shared" si="83"/>
        <v>0</v>
      </c>
      <c r="AH331" s="202">
        <f t="shared" si="80"/>
        <v>-4.2489999999999952</v>
      </c>
      <c r="AI331" s="202">
        <f t="shared" si="81"/>
        <v>58.84</v>
      </c>
      <c r="AJ331" s="285">
        <v>20.611000000000001</v>
      </c>
      <c r="AK331" s="285">
        <v>29.5</v>
      </c>
      <c r="AL331" s="285">
        <v>21.449000000000002</v>
      </c>
      <c r="AM331" s="285">
        <v>8.6280000000000001</v>
      </c>
      <c r="AN331" s="285">
        <v>19.215</v>
      </c>
      <c r="AO331" s="285">
        <v>33.567</v>
      </c>
      <c r="AP331" s="285">
        <v>17.082999999999998</v>
      </c>
      <c r="AQ331" s="285">
        <v>150.053</v>
      </c>
      <c r="AR331" s="285">
        <v>0</v>
      </c>
      <c r="AS331" s="275"/>
      <c r="AT331" s="244">
        <v>0.87560040754936685</v>
      </c>
      <c r="AU331" s="244">
        <v>0.84867796610169499</v>
      </c>
      <c r="AV331" s="244">
        <v>0.87272133899016269</v>
      </c>
      <c r="AW331" s="244">
        <v>0.83113120074177105</v>
      </c>
      <c r="AX331" s="244">
        <v>0.89133489461358306</v>
      </c>
      <c r="AY331" s="244">
        <v>0.90615783358655821</v>
      </c>
      <c r="AZ331" s="244">
        <v>0.83486507053796177</v>
      </c>
      <c r="BA331" s="275"/>
      <c r="BB331" s="191">
        <v>1.0471474778060696</v>
      </c>
      <c r="BC331" s="275"/>
      <c r="BE331" s="274">
        <f>G331/28</f>
        <v>4.6706785714285717</v>
      </c>
      <c r="BF331" s="280">
        <f t="shared" si="78"/>
        <v>135.53299999999999</v>
      </c>
      <c r="BG331" s="154" t="str">
        <f t="shared" si="79"/>
        <v/>
      </c>
      <c r="BH331" s="270">
        <f t="shared" si="73"/>
        <v>6.9999999999999923E-2</v>
      </c>
      <c r="BI331" s="270">
        <f t="shared" si="82"/>
        <v>3.9999999999999147E-2</v>
      </c>
    </row>
    <row r="332" spans="1:61">
      <c r="A332" s="266">
        <v>39142</v>
      </c>
      <c r="B332" s="266"/>
      <c r="C332" s="277">
        <v>0.26204864516128989</v>
      </c>
      <c r="D332" s="276">
        <v>8.1235079999999869</v>
      </c>
      <c r="E332" s="277">
        <v>5.3590322580645156</v>
      </c>
      <c r="F332" s="277">
        <f t="shared" si="77"/>
        <v>166.13</v>
      </c>
      <c r="G332" s="277">
        <v>147.99100000000001</v>
      </c>
      <c r="H332" s="281">
        <f t="shared" si="76"/>
        <v>0.89081442244025777</v>
      </c>
      <c r="I332" s="202">
        <v>3519.7829999999999</v>
      </c>
      <c r="J332" s="270">
        <v>47.57</v>
      </c>
      <c r="K332" s="270">
        <v>0.10717808776619364</v>
      </c>
      <c r="L332" s="202">
        <v>483.04599999999999</v>
      </c>
      <c r="M332" s="277">
        <v>439.32463420880021</v>
      </c>
      <c r="N332" s="202">
        <v>1683.4680000000001</v>
      </c>
      <c r="O332" s="270">
        <v>11.38</v>
      </c>
      <c r="P332" s="270">
        <v>-6.2279676402656747E-2</v>
      </c>
      <c r="Q332" s="202">
        <v>2933.422</v>
      </c>
      <c r="R332" s="199">
        <v>0.82436544514388488</v>
      </c>
      <c r="S332" s="202">
        <v>624.97800000000007</v>
      </c>
      <c r="T332" s="286">
        <v>468.54299999999984</v>
      </c>
      <c r="U332" s="275"/>
      <c r="V332" s="278">
        <v>20.393999999999998</v>
      </c>
      <c r="W332" s="278">
        <v>29.244</v>
      </c>
      <c r="X332" s="278">
        <v>19.876999999999999</v>
      </c>
      <c r="Y332" s="278"/>
      <c r="Z332" s="278">
        <v>7.8209999999999997</v>
      </c>
      <c r="AA332" s="278">
        <v>19.687000000000001</v>
      </c>
      <c r="AB332" s="278">
        <v>34.658000000000001</v>
      </c>
      <c r="AC332" s="278">
        <v>16.309000000000001</v>
      </c>
      <c r="AD332" s="279">
        <v>147.99100000000001</v>
      </c>
      <c r="AE332" s="278">
        <f t="shared" si="84"/>
        <v>147.98999999999998</v>
      </c>
      <c r="AF332" s="278">
        <f t="shared" si="85"/>
        <v>-1.0000000000331966E-3</v>
      </c>
      <c r="AG332" s="278">
        <f t="shared" si="83"/>
        <v>-1.0000000000331966E-3</v>
      </c>
      <c r="AH332" s="202">
        <f t="shared" si="80"/>
        <v>4.2409999999999997</v>
      </c>
      <c r="AI332" s="202">
        <f t="shared" si="81"/>
        <v>58.95</v>
      </c>
      <c r="AJ332" s="285">
        <v>22.82</v>
      </c>
      <c r="AK332" s="285">
        <v>32.659999999999997</v>
      </c>
      <c r="AL332" s="285">
        <v>23.748000000000001</v>
      </c>
      <c r="AM332" s="285">
        <v>9.5519999999999996</v>
      </c>
      <c r="AN332" s="285">
        <v>21.273</v>
      </c>
      <c r="AO332" s="285">
        <v>37.162999999999997</v>
      </c>
      <c r="AP332" s="285">
        <v>18.914000000000001</v>
      </c>
      <c r="AQ332" s="285">
        <v>166.13</v>
      </c>
      <c r="AR332" s="285">
        <v>0</v>
      </c>
      <c r="AS332" s="275"/>
      <c r="AT332" s="244">
        <v>0.89368974583698502</v>
      </c>
      <c r="AU332" s="244">
        <v>0.89540722596448263</v>
      </c>
      <c r="AV332" s="244">
        <v>0.83699679973050356</v>
      </c>
      <c r="AW332" s="244">
        <v>0.81878140703517588</v>
      </c>
      <c r="AX332" s="244">
        <v>0.9254454002726461</v>
      </c>
      <c r="AY332" s="244">
        <v>0.93259424696606852</v>
      </c>
      <c r="AZ332" s="244">
        <v>0.86227133340382789</v>
      </c>
      <c r="BA332" s="275"/>
      <c r="BB332" s="191">
        <v>1.0548919055888533</v>
      </c>
      <c r="BC332" s="275"/>
      <c r="BE332" s="274">
        <f t="shared" si="86"/>
        <v>4.7739032258064524</v>
      </c>
      <c r="BF332" s="280">
        <f t="shared" si="78"/>
        <v>145.374</v>
      </c>
      <c r="BG332" s="154" t="str">
        <f t="shared" si="79"/>
        <v>RECORD</v>
      </c>
      <c r="BH332" s="270">
        <f t="shared" si="73"/>
        <v>1.9999999999999928E-2</v>
      </c>
      <c r="BI332" s="270">
        <f t="shared" si="82"/>
        <v>4.0000000000000924E-2</v>
      </c>
    </row>
    <row r="333" spans="1:61">
      <c r="A333" s="266">
        <v>39173</v>
      </c>
      <c r="B333" s="266"/>
      <c r="C333" s="277">
        <v>0.20921422222222172</v>
      </c>
      <c r="D333" s="276">
        <v>6.2764266666666515</v>
      </c>
      <c r="E333" s="277">
        <v>5.3332000000000006</v>
      </c>
      <c r="F333" s="277">
        <f t="shared" si="77"/>
        <v>159.99600000000001</v>
      </c>
      <c r="G333" s="277">
        <v>138.72</v>
      </c>
      <c r="H333" s="281">
        <f t="shared" si="76"/>
        <v>0.86702167554188847</v>
      </c>
      <c r="I333" s="202">
        <v>3283.5450000000001</v>
      </c>
      <c r="J333" s="270">
        <v>47.34</v>
      </c>
      <c r="K333" s="270">
        <v>0.17147954726608816</v>
      </c>
      <c r="L333" s="202">
        <v>451.80099999999999</v>
      </c>
      <c r="M333" s="277">
        <v>177.36008907050012</v>
      </c>
      <c r="N333" s="202">
        <v>1562.327</v>
      </c>
      <c r="O333" s="270">
        <v>11.26</v>
      </c>
      <c r="P333" s="270">
        <v>-4.3729107071326823E-2</v>
      </c>
      <c r="Q333" s="202">
        <v>2901.9349999999999</v>
      </c>
      <c r="R333" s="199">
        <v>0.82912428571428565</v>
      </c>
      <c r="S333" s="202">
        <v>598.06500000000005</v>
      </c>
      <c r="T333" s="286">
        <v>455.34033333333332</v>
      </c>
      <c r="U333" s="275"/>
      <c r="V333" s="278">
        <v>20.074000000000002</v>
      </c>
      <c r="W333" s="278">
        <v>26.145</v>
      </c>
      <c r="X333" s="278">
        <v>19.405999999999999</v>
      </c>
      <c r="Y333" s="278"/>
      <c r="Z333" s="278">
        <v>7.0220000000000002</v>
      </c>
      <c r="AA333" s="278">
        <v>17.335000000000001</v>
      </c>
      <c r="AB333" s="278">
        <v>32.527999999999999</v>
      </c>
      <c r="AC333" s="278">
        <v>16.21</v>
      </c>
      <c r="AD333" s="279">
        <v>138.72</v>
      </c>
      <c r="AE333" s="278">
        <f t="shared" si="84"/>
        <v>138.72</v>
      </c>
      <c r="AF333" s="278">
        <f t="shared" si="85"/>
        <v>0</v>
      </c>
      <c r="AG333" s="278">
        <f t="shared" si="83"/>
        <v>0</v>
      </c>
      <c r="AH333" s="202">
        <f t="shared" si="80"/>
        <v>-2.1300000000000026</v>
      </c>
      <c r="AI333" s="202">
        <f t="shared" si="81"/>
        <v>58.6</v>
      </c>
      <c r="AJ333" s="285">
        <v>22.331</v>
      </c>
      <c r="AK333" s="285">
        <v>31.571999999999999</v>
      </c>
      <c r="AL333" s="285">
        <v>22.917999999999999</v>
      </c>
      <c r="AM333" s="285">
        <v>8.1199999999999992</v>
      </c>
      <c r="AN333" s="285">
        <v>20.57</v>
      </c>
      <c r="AO333" s="285">
        <v>35.960999999999999</v>
      </c>
      <c r="AP333" s="285">
        <v>18.523</v>
      </c>
      <c r="AQ333" s="285">
        <v>159.99600000000001</v>
      </c>
      <c r="AR333" s="285">
        <v>0</v>
      </c>
      <c r="AS333" s="275"/>
      <c r="AT333" s="244">
        <v>0.89892973892794781</v>
      </c>
      <c r="AU333" s="244">
        <v>0.82810718358038771</v>
      </c>
      <c r="AV333" s="244">
        <v>0.84675800680687663</v>
      </c>
      <c r="AW333" s="244">
        <v>0.86477832512315278</v>
      </c>
      <c r="AX333" s="244">
        <v>0.84273213417598447</v>
      </c>
      <c r="AY333" s="244">
        <v>0.90453546898028425</v>
      </c>
      <c r="AZ333" s="244">
        <v>0.87512821897100912</v>
      </c>
      <c r="BA333" s="275"/>
      <c r="BB333" s="191">
        <v>1.0452452902729719</v>
      </c>
      <c r="BC333" s="275"/>
      <c r="BE333" s="274">
        <f>G333/30</f>
        <v>4.6239999999999997</v>
      </c>
      <c r="BF333" s="280">
        <f t="shared" si="78"/>
        <v>135.398</v>
      </c>
      <c r="BG333" s="154" t="str">
        <f t="shared" si="79"/>
        <v>RECORD</v>
      </c>
      <c r="BH333" s="270">
        <f t="shared" si="73"/>
        <v>7.9999999999998302E-3</v>
      </c>
      <c r="BI333" s="270">
        <f t="shared" si="82"/>
        <v>-0.12000000000000099</v>
      </c>
    </row>
    <row r="334" spans="1:61">
      <c r="A334" s="266">
        <v>39203</v>
      </c>
      <c r="B334" s="266"/>
      <c r="C334" s="277">
        <v>0.28267940860215029</v>
      </c>
      <c r="D334" s="276">
        <v>8.7630616666666583</v>
      </c>
      <c r="E334" s="277">
        <v>5.3331935483870971</v>
      </c>
      <c r="F334" s="277">
        <f t="shared" si="77"/>
        <v>165.32900000000001</v>
      </c>
      <c r="G334" s="277">
        <v>143.35400000000001</v>
      </c>
      <c r="H334" s="281">
        <f t="shared" si="76"/>
        <v>0.86708320984219345</v>
      </c>
      <c r="I334" s="202">
        <v>3409.297</v>
      </c>
      <c r="J334" s="270">
        <v>47.56</v>
      </c>
      <c r="K334" s="270">
        <v>0.1309797002060975</v>
      </c>
      <c r="L334" s="202">
        <v>400.47399999999999</v>
      </c>
      <c r="M334" s="277">
        <v>266.17139508769998</v>
      </c>
      <c r="N334" s="202">
        <v>1635.86</v>
      </c>
      <c r="O334" s="270">
        <v>11.41</v>
      </c>
      <c r="P334" s="270">
        <v>-3.7996221813250131E-2</v>
      </c>
      <c r="Q334" s="202">
        <v>2923.5880000000002</v>
      </c>
      <c r="R334" s="199">
        <v>0.84284832934528797</v>
      </c>
      <c r="S334" s="202">
        <v>545.11199999999963</v>
      </c>
      <c r="T334" s="286">
        <v>466.51499999999987</v>
      </c>
      <c r="U334" s="275"/>
      <c r="V334" s="278">
        <v>18.934999999999999</v>
      </c>
      <c r="W334" s="278">
        <v>27.834</v>
      </c>
      <c r="X334" s="278">
        <v>21.890999999999998</v>
      </c>
      <c r="Y334" s="278"/>
      <c r="Z334" s="278">
        <v>6.96</v>
      </c>
      <c r="AA334" s="278">
        <v>18.838000000000001</v>
      </c>
      <c r="AB334" s="278">
        <v>32.841000000000001</v>
      </c>
      <c r="AC334" s="278">
        <v>16.053999999999998</v>
      </c>
      <c r="AD334" s="279">
        <v>143.35400000000001</v>
      </c>
      <c r="AE334" s="278">
        <f t="shared" si="84"/>
        <v>143.35300000000001</v>
      </c>
      <c r="AF334" s="278">
        <f t="shared" si="85"/>
        <v>-1.0000000000047748E-3</v>
      </c>
      <c r="AG334" s="278">
        <f t="shared" si="83"/>
        <v>-1.0000000000047748E-3</v>
      </c>
      <c r="AH334" s="202">
        <f t="shared" si="80"/>
        <v>0.31300000000000239</v>
      </c>
      <c r="AI334" s="202">
        <f t="shared" si="81"/>
        <v>58.97</v>
      </c>
      <c r="AJ334" s="285">
        <v>23.076000000000001</v>
      </c>
      <c r="AK334" s="285">
        <v>32.625</v>
      </c>
      <c r="AL334" s="285">
        <v>23.681999999999999</v>
      </c>
      <c r="AM334" s="285">
        <v>8.39</v>
      </c>
      <c r="AN334" s="285">
        <v>21.254999999999999</v>
      </c>
      <c r="AO334" s="285">
        <v>37.159999999999997</v>
      </c>
      <c r="AP334" s="285">
        <v>19.140999999999998</v>
      </c>
      <c r="AQ334" s="285">
        <v>165.32900000000001</v>
      </c>
      <c r="AR334" s="285">
        <v>0</v>
      </c>
      <c r="AS334" s="275"/>
      <c r="AT334" s="244">
        <v>0.82054948864621247</v>
      </c>
      <c r="AU334" s="244">
        <v>0.85314942528735627</v>
      </c>
      <c r="AV334" s="244">
        <v>0.92437294147453763</v>
      </c>
      <c r="AW334" s="244">
        <v>0.8295589988081048</v>
      </c>
      <c r="AX334" s="244">
        <v>0.8862855798635616</v>
      </c>
      <c r="AY334" s="244">
        <v>0.8837728740581271</v>
      </c>
      <c r="AZ334" s="244">
        <v>0.83872315970952405</v>
      </c>
      <c r="BA334" s="275"/>
      <c r="BB334" s="191">
        <v>1.0611288256111908</v>
      </c>
      <c r="BC334" s="275"/>
      <c r="BE334" s="274">
        <f t="shared" si="86"/>
        <v>4.6243225806451616</v>
      </c>
      <c r="BF334" s="280">
        <f t="shared" si="78"/>
        <v>138.631</v>
      </c>
      <c r="BG334" s="154" t="str">
        <f t="shared" si="79"/>
        <v>RECORD</v>
      </c>
      <c r="BH334" s="270">
        <f t="shared" si="73"/>
        <v>2.4000000000000198E-2</v>
      </c>
      <c r="BI334" s="270">
        <f t="shared" si="82"/>
        <v>0.15000000000000036</v>
      </c>
    </row>
    <row r="335" spans="1:61">
      <c r="A335" s="266">
        <v>39234</v>
      </c>
      <c r="B335" s="266"/>
      <c r="C335" s="277">
        <v>0.24281074444444453</v>
      </c>
      <c r="D335" s="276">
        <v>7.2843223333333356</v>
      </c>
      <c r="E335" s="277">
        <v>5.3332000000000006</v>
      </c>
      <c r="F335" s="277">
        <f t="shared" si="77"/>
        <v>159.99600000000001</v>
      </c>
      <c r="G335" s="277">
        <v>141.583</v>
      </c>
      <c r="H335" s="281">
        <f t="shared" si="76"/>
        <v>0.88491587289682239</v>
      </c>
      <c r="I335" s="202">
        <v>3354.26</v>
      </c>
      <c r="J335" s="270">
        <v>47.38</v>
      </c>
      <c r="K335" s="270">
        <v>8.0401445119477444E-2</v>
      </c>
      <c r="L335" s="202">
        <v>453.26100000000002</v>
      </c>
      <c r="M335" s="277">
        <v>282.44869871279997</v>
      </c>
      <c r="N335" s="202">
        <v>1619.38</v>
      </c>
      <c r="O335" s="270">
        <v>11.44</v>
      </c>
      <c r="P335" s="270">
        <v>-6.4244169529148465E-2</v>
      </c>
      <c r="Q335" s="202">
        <v>2951.3789999999999</v>
      </c>
      <c r="R335" s="199">
        <v>0.83142120682855369</v>
      </c>
      <c r="S335" s="202">
        <v>598.42100000000028</v>
      </c>
      <c r="T335" s="286">
        <v>425.49900000000002</v>
      </c>
      <c r="U335" s="275"/>
      <c r="V335" s="278">
        <v>18.373999999999999</v>
      </c>
      <c r="W335" s="278">
        <v>27.163</v>
      </c>
      <c r="X335" s="278">
        <v>20.337</v>
      </c>
      <c r="Y335" s="278"/>
      <c r="Z335" s="278">
        <v>7.8339999999999996</v>
      </c>
      <c r="AA335" s="278">
        <v>16.962</v>
      </c>
      <c r="AB335" s="278">
        <v>34.210999999999999</v>
      </c>
      <c r="AC335" s="278">
        <v>16.701000000000001</v>
      </c>
      <c r="AD335" s="279">
        <v>141.583</v>
      </c>
      <c r="AE335" s="278">
        <f t="shared" si="84"/>
        <v>141.58199999999999</v>
      </c>
      <c r="AF335" s="278">
        <f t="shared" si="85"/>
        <v>-1.0000000000047748E-3</v>
      </c>
      <c r="AG335" s="278">
        <f t="shared" si="83"/>
        <v>-1.0000000000047748E-3</v>
      </c>
      <c r="AH335" s="202">
        <f t="shared" si="80"/>
        <v>1.3699999999999974</v>
      </c>
      <c r="AI335" s="202">
        <f t="shared" si="81"/>
        <v>58.82</v>
      </c>
      <c r="AJ335" s="285">
        <v>22.331</v>
      </c>
      <c r="AK335" s="285">
        <v>31.571999999999999</v>
      </c>
      <c r="AL335" s="285">
        <v>22.917999999999999</v>
      </c>
      <c r="AM335" s="285">
        <v>8.1199999999999992</v>
      </c>
      <c r="AN335" s="285">
        <v>20.57</v>
      </c>
      <c r="AO335" s="285">
        <v>35.960999999999999</v>
      </c>
      <c r="AP335" s="285">
        <v>18.523</v>
      </c>
      <c r="AQ335" s="285">
        <v>159.99600000000001</v>
      </c>
      <c r="AR335" s="285">
        <v>0</v>
      </c>
      <c r="AS335" s="275"/>
      <c r="AT335" s="244">
        <v>0.82280238233845326</v>
      </c>
      <c r="AU335" s="244">
        <v>0.8603509438743191</v>
      </c>
      <c r="AV335" s="244">
        <v>0.88738109782703556</v>
      </c>
      <c r="AW335" s="244">
        <v>0.96477832512315276</v>
      </c>
      <c r="AX335" s="244">
        <v>0.82459893048128341</v>
      </c>
      <c r="AY335" s="244">
        <v>0.95133616973943991</v>
      </c>
      <c r="AZ335" s="244">
        <v>0.90163580413539923</v>
      </c>
      <c r="BA335" s="275"/>
      <c r="BB335" s="191">
        <v>1.0514491311339167</v>
      </c>
      <c r="BC335" s="275"/>
      <c r="BE335" s="274">
        <f>G335/30</f>
        <v>4.7194333333333329</v>
      </c>
      <c r="BF335" s="280">
        <f t="shared" si="78"/>
        <v>131.32599999999999</v>
      </c>
      <c r="BG335" s="154" t="str">
        <f t="shared" si="79"/>
        <v>RECORD</v>
      </c>
      <c r="BH335" s="270">
        <f t="shared" ref="BH335:BH398" si="87">AVERAGE(O323-O322,O311-O310,O299-O298,O287-O286,O275-O274)</f>
        <v>3.2000000000000382E-2</v>
      </c>
      <c r="BI335" s="270">
        <f t="shared" si="82"/>
        <v>2.9999999999999361E-2</v>
      </c>
    </row>
    <row r="336" spans="1:61">
      <c r="A336" s="266">
        <v>39264</v>
      </c>
      <c r="B336" s="266"/>
      <c r="C336" s="277">
        <v>0.25343744086021508</v>
      </c>
      <c r="D336" s="276">
        <v>7.8565606666666667</v>
      </c>
      <c r="E336" s="277">
        <v>5.3545483870967745</v>
      </c>
      <c r="F336" s="277">
        <f t="shared" si="77"/>
        <v>165.99100000000001</v>
      </c>
      <c r="G336" s="277">
        <v>142.524</v>
      </c>
      <c r="H336" s="281">
        <f t="shared" si="76"/>
        <v>0.85862486520353509</v>
      </c>
      <c r="I336" s="202">
        <v>3373.9850000000001</v>
      </c>
      <c r="J336" s="270">
        <v>47.35</v>
      </c>
      <c r="K336" s="270">
        <v>7.564523222218611E-2</v>
      </c>
      <c r="L336" s="202">
        <v>481.03300000000002</v>
      </c>
      <c r="M336" s="277">
        <v>126.64801600010003</v>
      </c>
      <c r="N336" s="202">
        <v>1627.0309999999999</v>
      </c>
      <c r="O336" s="270">
        <v>11.42</v>
      </c>
      <c r="P336" s="270">
        <v>-4.4269703370039437E-2</v>
      </c>
      <c r="Q336" s="202">
        <v>2835.3710000000001</v>
      </c>
      <c r="R336" s="199">
        <v>0.83403076832568546</v>
      </c>
      <c r="S336" s="202">
        <v>564.22899999999981</v>
      </c>
      <c r="T336" s="286">
        <v>437.68100000000004</v>
      </c>
      <c r="U336" s="275"/>
      <c r="V336" s="278">
        <v>20.297999999999998</v>
      </c>
      <c r="W336" s="278">
        <v>26.436</v>
      </c>
      <c r="X336" s="278">
        <v>19.84</v>
      </c>
      <c r="Y336" s="278"/>
      <c r="Z336" s="278">
        <v>6.01</v>
      </c>
      <c r="AA336" s="278">
        <v>19.829000000000001</v>
      </c>
      <c r="AB336" s="278">
        <v>33.387999999999998</v>
      </c>
      <c r="AC336" s="278">
        <v>16.725000000000001</v>
      </c>
      <c r="AD336" s="279">
        <v>142.524</v>
      </c>
      <c r="AE336" s="278">
        <f t="shared" si="84"/>
        <v>142.52600000000001</v>
      </c>
      <c r="AF336" s="278">
        <f t="shared" si="85"/>
        <v>2.0000000000095497E-3</v>
      </c>
      <c r="AG336" s="278">
        <f t="shared" si="83"/>
        <v>2.0000000000095497E-3</v>
      </c>
      <c r="AH336" s="202">
        <f t="shared" si="80"/>
        <v>-0.8230000000000004</v>
      </c>
      <c r="AI336" s="202">
        <f t="shared" si="81"/>
        <v>58.77</v>
      </c>
      <c r="AJ336" s="285">
        <v>23.273</v>
      </c>
      <c r="AK336" s="285">
        <v>32.625</v>
      </c>
      <c r="AL336" s="285">
        <v>23.827000000000002</v>
      </c>
      <c r="AM336" s="285">
        <v>8.4309999999999992</v>
      </c>
      <c r="AN336" s="285">
        <v>21.259</v>
      </c>
      <c r="AO336" s="285">
        <v>37.194000000000003</v>
      </c>
      <c r="AP336" s="285">
        <v>19.382000000000001</v>
      </c>
      <c r="AQ336" s="285">
        <v>165.99100000000001</v>
      </c>
      <c r="AR336" s="285">
        <v>0</v>
      </c>
      <c r="AS336" s="275"/>
      <c r="AT336" s="244">
        <v>0.87216946676406126</v>
      </c>
      <c r="AU336" s="244">
        <v>0.81029885057471263</v>
      </c>
      <c r="AV336" s="244">
        <v>0.83266882108532325</v>
      </c>
      <c r="AW336" s="244">
        <v>0.71284545131063937</v>
      </c>
      <c r="AX336" s="244">
        <v>0.93273437132508585</v>
      </c>
      <c r="AY336" s="244">
        <v>0.89767166747324822</v>
      </c>
      <c r="AZ336" s="244">
        <v>0.86291404395831184</v>
      </c>
      <c r="BA336" s="275"/>
      <c r="BB336" s="191">
        <v>1.0551244749422319</v>
      </c>
      <c r="BC336" s="275"/>
      <c r="BE336" s="274">
        <f t="shared" si="86"/>
        <v>4.5975483870967739</v>
      </c>
      <c r="BF336" s="280">
        <f t="shared" si="78"/>
        <v>142.626</v>
      </c>
      <c r="BG336" s="154" t="str">
        <f t="shared" si="79"/>
        <v/>
      </c>
      <c r="BH336" s="270">
        <f t="shared" si="87"/>
        <v>-3.5527136788005011E-16</v>
      </c>
      <c r="BI336" s="270">
        <f t="shared" si="82"/>
        <v>-1.9999999999999574E-2</v>
      </c>
    </row>
    <row r="337" spans="1:61">
      <c r="A337" s="266">
        <v>39295</v>
      </c>
      <c r="B337" s="266"/>
      <c r="C337" s="277">
        <v>0.2789322903225811</v>
      </c>
      <c r="D337" s="276">
        <v>8.6469010000000139</v>
      </c>
      <c r="E337" s="277">
        <v>5.3545483870967745</v>
      </c>
      <c r="F337" s="277">
        <f t="shared" si="77"/>
        <v>165.99100000000001</v>
      </c>
      <c r="G337" s="277">
        <v>137.56399999999999</v>
      </c>
      <c r="H337" s="281">
        <f t="shared" si="76"/>
        <v>0.8287437270695398</v>
      </c>
      <c r="I337" s="202">
        <v>3252.2979999999998</v>
      </c>
      <c r="J337" s="270">
        <v>47.28</v>
      </c>
      <c r="K337" s="270">
        <v>0.13757141623796798</v>
      </c>
      <c r="L337" s="202">
        <v>457.53500000000003</v>
      </c>
      <c r="M337" s="277">
        <v>310.55519456890005</v>
      </c>
      <c r="N337" s="202">
        <v>1568.5070000000001</v>
      </c>
      <c r="O337" s="270">
        <v>11.4</v>
      </c>
      <c r="P337" s="270">
        <v>-2.7487700113415059E-2</v>
      </c>
      <c r="Q337" s="202">
        <v>2701.712</v>
      </c>
      <c r="R337" s="199">
        <v>0.84417947756530443</v>
      </c>
      <c r="S337" s="202">
        <v>498.68799999999965</v>
      </c>
      <c r="T337" s="286">
        <v>408.60899999999998</v>
      </c>
      <c r="U337" s="275"/>
      <c r="V337" s="278">
        <v>19.035</v>
      </c>
      <c r="W337" s="278">
        <v>25.306000000000001</v>
      </c>
      <c r="X337" s="278">
        <v>17.364999999999998</v>
      </c>
      <c r="Y337" s="278"/>
      <c r="Z337" s="278">
        <v>7.6989999999999998</v>
      </c>
      <c r="AA337" s="278">
        <v>19.364999999999998</v>
      </c>
      <c r="AB337" s="278">
        <v>31.443999999999999</v>
      </c>
      <c r="AC337" s="278">
        <v>17.350000000000001</v>
      </c>
      <c r="AD337" s="279">
        <v>137.56399999999999</v>
      </c>
      <c r="AE337" s="278">
        <f t="shared" si="84"/>
        <v>137.56399999999999</v>
      </c>
      <c r="AF337" s="278">
        <f t="shared" si="85"/>
        <v>0</v>
      </c>
      <c r="AG337" s="278">
        <f t="shared" si="83"/>
        <v>0</v>
      </c>
      <c r="AH337" s="202">
        <f t="shared" si="80"/>
        <v>-1.9439999999999991</v>
      </c>
      <c r="AI337" s="202">
        <f t="shared" si="81"/>
        <v>58.68</v>
      </c>
      <c r="AJ337" s="285">
        <v>23.273</v>
      </c>
      <c r="AK337" s="285">
        <v>32.625</v>
      </c>
      <c r="AL337" s="285">
        <v>23.827000000000002</v>
      </c>
      <c r="AM337" s="285">
        <v>8.4309999999999992</v>
      </c>
      <c r="AN337" s="285">
        <v>21.259</v>
      </c>
      <c r="AO337" s="285">
        <v>37.194000000000003</v>
      </c>
      <c r="AP337" s="285">
        <v>19.382000000000001</v>
      </c>
      <c r="AQ337" s="285">
        <v>165.99100000000001</v>
      </c>
      <c r="AR337" s="285">
        <v>0</v>
      </c>
      <c r="AS337" s="275"/>
      <c r="AT337" s="244">
        <v>0.81790057147767803</v>
      </c>
      <c r="AU337" s="244">
        <v>0.77566283524904223</v>
      </c>
      <c r="AV337" s="244">
        <v>0.72879506442271358</v>
      </c>
      <c r="AW337" s="244">
        <v>0.91317755900842135</v>
      </c>
      <c r="AX337" s="244">
        <v>0.91090832118161713</v>
      </c>
      <c r="AY337" s="244">
        <v>0.84540517287734573</v>
      </c>
      <c r="AZ337" s="244">
        <v>0.89516045815705292</v>
      </c>
      <c r="BA337" s="275"/>
      <c r="BB337" s="191">
        <v>1.0628572955133611</v>
      </c>
      <c r="BC337" s="275"/>
      <c r="BE337" s="274">
        <f t="shared" si="86"/>
        <v>4.4375483870967738</v>
      </c>
      <c r="BF337" s="280">
        <f t="shared" si="78"/>
        <v>134.60900000000001</v>
      </c>
      <c r="BG337" s="154" t="str">
        <f t="shared" si="79"/>
        <v>RECORD</v>
      </c>
      <c r="BH337" s="270">
        <f t="shared" si="87"/>
        <v>2.9999999999999714E-2</v>
      </c>
      <c r="BI337" s="270">
        <f t="shared" si="82"/>
        <v>-1.9999999999999574E-2</v>
      </c>
    </row>
    <row r="338" spans="1:61">
      <c r="A338" s="266">
        <v>39326</v>
      </c>
      <c r="B338" s="266"/>
      <c r="C338" s="277">
        <v>0.25026000000000009</v>
      </c>
      <c r="D338" s="276">
        <v>7.5078000000000031</v>
      </c>
      <c r="E338" s="277">
        <v>5.3545333333333334</v>
      </c>
      <c r="F338" s="277">
        <f t="shared" si="77"/>
        <v>160.636</v>
      </c>
      <c r="G338" s="277">
        <v>139.82900000000001</v>
      </c>
      <c r="H338" s="281">
        <f t="shared" si="76"/>
        <v>0.87047112726910536</v>
      </c>
      <c r="I338" s="202">
        <v>3311.3229999999999</v>
      </c>
      <c r="J338" s="270">
        <v>47.36</v>
      </c>
      <c r="K338" s="270">
        <v>1.7437272969139883E-2</v>
      </c>
      <c r="L338" s="202">
        <v>401.07600000000002</v>
      </c>
      <c r="M338" s="277">
        <v>257.35210750709996</v>
      </c>
      <c r="N338" s="202">
        <v>1602.011</v>
      </c>
      <c r="O338" s="270">
        <v>11.46</v>
      </c>
      <c r="P338" s="270">
        <v>-7.1127701972624635E-2</v>
      </c>
      <c r="Q338" s="202">
        <v>2561.36</v>
      </c>
      <c r="R338" s="199">
        <v>0.83018182996791245</v>
      </c>
      <c r="S338" s="202">
        <v>523.9399999999996</v>
      </c>
      <c r="T338" s="286">
        <v>396.85599999999994</v>
      </c>
      <c r="U338" s="275"/>
      <c r="V338" s="278">
        <v>19.806999999999999</v>
      </c>
      <c r="W338" s="278">
        <v>25.707000000000001</v>
      </c>
      <c r="X338" s="278">
        <v>19.257000000000001</v>
      </c>
      <c r="Y338" s="278"/>
      <c r="Z338" s="278">
        <v>7.7229999999999999</v>
      </c>
      <c r="AA338" s="278">
        <v>17.687999999999999</v>
      </c>
      <c r="AB338" s="278">
        <v>33.881999999999998</v>
      </c>
      <c r="AC338" s="278">
        <v>15.763</v>
      </c>
      <c r="AD338" s="279">
        <v>139.82900000000001</v>
      </c>
      <c r="AE338" s="278">
        <f t="shared" si="84"/>
        <v>139.827</v>
      </c>
      <c r="AF338" s="278">
        <f t="shared" si="85"/>
        <v>-2.0000000000095497E-3</v>
      </c>
      <c r="AG338" s="278">
        <f t="shared" si="83"/>
        <v>-2.0000000000095497E-3</v>
      </c>
      <c r="AH338" s="202">
        <f t="shared" si="80"/>
        <v>2.4379999999999988</v>
      </c>
      <c r="AI338" s="202">
        <f t="shared" si="81"/>
        <v>58.82</v>
      </c>
      <c r="AJ338" s="285">
        <v>22.521999999999998</v>
      </c>
      <c r="AK338" s="285">
        <v>31.571999999999999</v>
      </c>
      <c r="AL338" s="285">
        <v>23.059000000000001</v>
      </c>
      <c r="AM338" s="285">
        <v>8.1590000000000007</v>
      </c>
      <c r="AN338" s="285">
        <v>20.573</v>
      </c>
      <c r="AO338" s="285">
        <v>35.994</v>
      </c>
      <c r="AP338" s="285">
        <v>18.757000000000001</v>
      </c>
      <c r="AQ338" s="285">
        <v>160.636</v>
      </c>
      <c r="AR338" s="285">
        <v>0</v>
      </c>
      <c r="AS338" s="275"/>
      <c r="AT338" s="244">
        <v>0.87945120326791582</v>
      </c>
      <c r="AU338" s="244">
        <v>0.81423413150893198</v>
      </c>
      <c r="AV338" s="244">
        <v>0.83511860878615729</v>
      </c>
      <c r="AW338" s="244">
        <v>0.94656207868611342</v>
      </c>
      <c r="AX338" s="244">
        <v>0.85976765663734012</v>
      </c>
      <c r="AY338" s="244">
        <v>0.94132355392565426</v>
      </c>
      <c r="AZ338" s="244">
        <v>0.84037959161912879</v>
      </c>
      <c r="BA338" s="275"/>
      <c r="BB338" s="191">
        <v>1.0536927246851511</v>
      </c>
      <c r="BC338" s="275"/>
      <c r="BE338" s="274">
        <f>G338/30</f>
        <v>4.6609666666666669</v>
      </c>
      <c r="BF338" s="280">
        <f t="shared" si="78"/>
        <v>137.32</v>
      </c>
      <c r="BG338" s="154" t="str">
        <f t="shared" si="79"/>
        <v>RECORD</v>
      </c>
      <c r="BH338" s="270">
        <f t="shared" si="87"/>
        <v>2.6000000000000512E-2</v>
      </c>
      <c r="BI338" s="270">
        <f t="shared" si="82"/>
        <v>6.0000000000000497E-2</v>
      </c>
    </row>
    <row r="339" spans="1:61">
      <c r="A339" s="266">
        <v>39356</v>
      </c>
      <c r="B339" s="266"/>
      <c r="C339" s="277">
        <v>0.28296680645161315</v>
      </c>
      <c r="D339" s="276">
        <v>8.7719710000000077</v>
      </c>
      <c r="E339" s="277">
        <v>5.3761612903225808</v>
      </c>
      <c r="F339" s="277">
        <f t="shared" si="77"/>
        <v>166.661</v>
      </c>
      <c r="G339" s="277">
        <v>154.97399999999999</v>
      </c>
      <c r="H339" s="281">
        <f t="shared" si="76"/>
        <v>0.92987561577093614</v>
      </c>
      <c r="I339" s="202">
        <v>3642.5949999999998</v>
      </c>
      <c r="J339" s="270">
        <v>47.01</v>
      </c>
      <c r="K339" s="270">
        <v>0.25196603640403481</v>
      </c>
      <c r="L339" s="202">
        <v>562.41999999999996</v>
      </c>
      <c r="M339" s="277">
        <v>146.68586365220006</v>
      </c>
      <c r="N339" s="202">
        <v>1777.24</v>
      </c>
      <c r="O339" s="270">
        <v>11.47</v>
      </c>
      <c r="P339" s="270">
        <v>-5.8372168253228551E-2</v>
      </c>
      <c r="Q339" s="202">
        <v>2679.7979999999998</v>
      </c>
      <c r="R339" s="199">
        <v>0.83097088281807174</v>
      </c>
      <c r="S339" s="202">
        <v>545.10200000000032</v>
      </c>
      <c r="T339" s="286">
        <v>389.76599999999991</v>
      </c>
      <c r="U339" s="275"/>
      <c r="V339" s="278">
        <v>21.981000000000002</v>
      </c>
      <c r="W339" s="278">
        <v>30.303999999999998</v>
      </c>
      <c r="X339" s="278">
        <v>20.707000000000001</v>
      </c>
      <c r="Y339" s="278"/>
      <c r="Z339" s="278">
        <v>7.85</v>
      </c>
      <c r="AA339" s="278">
        <v>20.376000000000001</v>
      </c>
      <c r="AB339" s="278">
        <v>35.872</v>
      </c>
      <c r="AC339" s="278">
        <v>17.882999999999999</v>
      </c>
      <c r="AD339" s="279">
        <v>154.97399999999999</v>
      </c>
      <c r="AE339" s="278">
        <f t="shared" si="84"/>
        <v>154.97299999999998</v>
      </c>
      <c r="AF339" s="278">
        <f t="shared" si="85"/>
        <v>-1.0000000000047748E-3</v>
      </c>
      <c r="AG339" s="278">
        <f t="shared" si="83"/>
        <v>-1.0000000000047748E-3</v>
      </c>
      <c r="AH339" s="202">
        <f t="shared" si="80"/>
        <v>1.990000000000002</v>
      </c>
      <c r="AI339" s="202">
        <f t="shared" si="81"/>
        <v>58.48</v>
      </c>
      <c r="AJ339" s="285">
        <v>23.308</v>
      </c>
      <c r="AK339" s="285">
        <v>32.625</v>
      </c>
      <c r="AL339" s="285">
        <v>23.923999999999999</v>
      </c>
      <c r="AM339" s="285">
        <v>8.4390000000000001</v>
      </c>
      <c r="AN339" s="285">
        <v>21.259</v>
      </c>
      <c r="AO339" s="285">
        <v>37.167000000000002</v>
      </c>
      <c r="AP339" s="285">
        <v>19.940000000000001</v>
      </c>
      <c r="AQ339" s="285">
        <v>166.661</v>
      </c>
      <c r="AR339" s="285">
        <v>0</v>
      </c>
      <c r="AS339" s="275"/>
      <c r="AT339" s="244">
        <v>0.94306675819461139</v>
      </c>
      <c r="AU339" s="244">
        <v>0.92885823754789265</v>
      </c>
      <c r="AV339" s="244">
        <v>0.86553251964554423</v>
      </c>
      <c r="AW339" s="244">
        <v>0.93020500059248723</v>
      </c>
      <c r="AX339" s="244">
        <v>0.95846465026576988</v>
      </c>
      <c r="AY339" s="244">
        <v>0.96515726316355899</v>
      </c>
      <c r="AZ339" s="244">
        <v>0.89684052156469396</v>
      </c>
      <c r="BA339" s="275"/>
      <c r="BB339" s="191">
        <v>1.0566028559629357</v>
      </c>
      <c r="BC339" s="275"/>
      <c r="BE339" s="274">
        <f t="shared" si="86"/>
        <v>4.9991612903225802</v>
      </c>
      <c r="BF339" s="280">
        <f t="shared" si="78"/>
        <v>154.98400000000001</v>
      </c>
      <c r="BG339" s="154" t="str">
        <f t="shared" si="79"/>
        <v/>
      </c>
      <c r="BH339" s="270">
        <f t="shared" si="87"/>
        <v>-0.12999999999999973</v>
      </c>
      <c r="BI339" s="270">
        <f t="shared" si="82"/>
        <v>9.9999999999997868E-3</v>
      </c>
    </row>
    <row r="340" spans="1:61">
      <c r="A340" s="266">
        <v>39387</v>
      </c>
      <c r="B340" s="266"/>
      <c r="C340" s="277">
        <v>0.31780133333333349</v>
      </c>
      <c r="D340" s="276">
        <v>9.5340400000000045</v>
      </c>
      <c r="E340" s="277">
        <v>5.3761666666666663</v>
      </c>
      <c r="F340" s="277">
        <f t="shared" si="77"/>
        <v>161.285</v>
      </c>
      <c r="G340" s="277">
        <v>146.74799999999999</v>
      </c>
      <c r="H340" s="281">
        <f t="shared" si="76"/>
        <v>0.9098676256316458</v>
      </c>
      <c r="I340" s="202">
        <v>3471.0630000000001</v>
      </c>
      <c r="J340" s="270">
        <v>47.31</v>
      </c>
      <c r="K340" s="270">
        <v>0.16112976001593182</v>
      </c>
      <c r="L340" s="202">
        <v>399.19900000000001</v>
      </c>
      <c r="M340" s="277">
        <v>503.00187822409993</v>
      </c>
      <c r="N340" s="202">
        <v>1685.79</v>
      </c>
      <c r="O340" s="270">
        <v>11.49</v>
      </c>
      <c r="P340" s="270">
        <v>6.240678967333757E-2</v>
      </c>
      <c r="Q340" s="202">
        <v>2689.3589999999999</v>
      </c>
      <c r="R340" s="199">
        <v>0.83128060089020761</v>
      </c>
      <c r="S340" s="202">
        <v>545.84100000000035</v>
      </c>
      <c r="T340" s="286">
        <v>388.01233333333334</v>
      </c>
      <c r="U340" s="275"/>
      <c r="V340" s="278">
        <v>21.106999999999999</v>
      </c>
      <c r="W340" s="278">
        <v>27.959</v>
      </c>
      <c r="X340" s="278">
        <v>21.826000000000001</v>
      </c>
      <c r="Y340" s="278"/>
      <c r="Z340" s="278">
        <v>7.1859999999999999</v>
      </c>
      <c r="AA340" s="278">
        <v>19.071000000000002</v>
      </c>
      <c r="AB340" s="278">
        <v>33.917999999999999</v>
      </c>
      <c r="AC340" s="278">
        <v>15.680999999999999</v>
      </c>
      <c r="AD340" s="279">
        <v>146.74799999999999</v>
      </c>
      <c r="AE340" s="278">
        <f t="shared" si="84"/>
        <v>146.74800000000002</v>
      </c>
      <c r="AF340" s="278">
        <f t="shared" si="85"/>
        <v>0</v>
      </c>
      <c r="AG340" s="278">
        <f t="shared" si="83"/>
        <v>0</v>
      </c>
      <c r="AH340" s="202">
        <f t="shared" si="80"/>
        <v>-1.9540000000000006</v>
      </c>
      <c r="AI340" s="202">
        <f t="shared" si="81"/>
        <v>58.800000000000004</v>
      </c>
      <c r="AJ340" s="285">
        <v>22.556000000000001</v>
      </c>
      <c r="AK340" s="285">
        <v>31.571999999999999</v>
      </c>
      <c r="AL340" s="285">
        <v>23.152000000000001</v>
      </c>
      <c r="AM340" s="285">
        <v>8.1669999999999998</v>
      </c>
      <c r="AN340" s="285">
        <v>20.573</v>
      </c>
      <c r="AO340" s="285">
        <v>35.968000000000004</v>
      </c>
      <c r="AP340" s="285">
        <v>19.297000000000001</v>
      </c>
      <c r="AQ340" s="285">
        <v>161.285</v>
      </c>
      <c r="AR340" s="285">
        <v>0</v>
      </c>
      <c r="AS340" s="275"/>
      <c r="AT340" s="244">
        <v>0.93575988650469932</v>
      </c>
      <c r="AU340" s="244">
        <v>0.88556315722792345</v>
      </c>
      <c r="AV340" s="244">
        <v>0.94272633033863162</v>
      </c>
      <c r="AW340" s="244">
        <v>0.87988245377739682</v>
      </c>
      <c r="AX340" s="244">
        <v>0.92699168813493416</v>
      </c>
      <c r="AY340" s="244">
        <v>0.94300489323843406</v>
      </c>
      <c r="AZ340" s="244">
        <v>0.81261335958957348</v>
      </c>
      <c r="BA340" s="275"/>
      <c r="BB340" s="191">
        <v>1.0649687900346172</v>
      </c>
      <c r="BC340" s="275"/>
      <c r="BE340" s="274">
        <f>G340/30</f>
        <v>4.8915999999999995</v>
      </c>
      <c r="BF340" s="280">
        <f t="shared" si="78"/>
        <v>148.19800000000001</v>
      </c>
      <c r="BG340" s="154" t="str">
        <f t="shared" si="79"/>
        <v/>
      </c>
      <c r="BH340" s="270">
        <f t="shared" si="87"/>
        <v>-0.12000000000000029</v>
      </c>
      <c r="BI340" s="270">
        <f t="shared" si="82"/>
        <v>1.9999999999999574E-2</v>
      </c>
    </row>
    <row r="341" spans="1:61">
      <c r="A341" s="266">
        <v>39417</v>
      </c>
      <c r="B341" s="266"/>
      <c r="C341" s="277">
        <v>0.26295682795698794</v>
      </c>
      <c r="D341" s="276">
        <v>8.1516616666666266</v>
      </c>
      <c r="E341" s="277">
        <v>5.3761612903225808</v>
      </c>
      <c r="F341" s="277">
        <f t="shared" si="77"/>
        <v>166.661</v>
      </c>
      <c r="G341" s="277">
        <v>155.90700000000001</v>
      </c>
      <c r="H341" s="281">
        <f t="shared" si="76"/>
        <v>0.93547380610940778</v>
      </c>
      <c r="I341" s="202">
        <v>3690.422</v>
      </c>
      <c r="J341" s="270">
        <v>47.34</v>
      </c>
      <c r="K341" s="270">
        <v>5.2071963852526437E-2</v>
      </c>
      <c r="L341" s="202">
        <v>678.952</v>
      </c>
      <c r="M341" s="277">
        <v>84.035817412100073</v>
      </c>
      <c r="N341" s="202">
        <v>1795.8810000000001</v>
      </c>
      <c r="O341" s="270">
        <v>11.52</v>
      </c>
      <c r="P341" s="270">
        <v>-6.4098916163084496E-2</v>
      </c>
      <c r="Q341" s="202">
        <v>2712.4279999999999</v>
      </c>
      <c r="R341" s="199">
        <v>0.82771681415929199</v>
      </c>
      <c r="S341" s="202">
        <v>564.57200000000012</v>
      </c>
      <c r="T341" s="286">
        <v>389.65133333333347</v>
      </c>
      <c r="U341" s="275"/>
      <c r="V341" s="278">
        <v>21.968</v>
      </c>
      <c r="W341" s="278">
        <v>32.951000000000001</v>
      </c>
      <c r="X341" s="278">
        <v>21.623000000000001</v>
      </c>
      <c r="Y341" s="278"/>
      <c r="Z341" s="278">
        <v>7.2839999999999998</v>
      </c>
      <c r="AA341" s="278">
        <v>19.806999999999999</v>
      </c>
      <c r="AB341" s="278">
        <v>35.415999999999997</v>
      </c>
      <c r="AC341" s="278">
        <v>16.858000000000001</v>
      </c>
      <c r="AD341" s="279">
        <v>155.90700000000001</v>
      </c>
      <c r="AE341" s="278">
        <f t="shared" si="84"/>
        <v>155.90700000000001</v>
      </c>
      <c r="AF341" s="278">
        <f t="shared" si="85"/>
        <v>0</v>
      </c>
      <c r="AG341" s="278">
        <f t="shared" si="83"/>
        <v>0</v>
      </c>
      <c r="AH341" s="202">
        <f t="shared" si="80"/>
        <v>1.4979999999999976</v>
      </c>
      <c r="AI341" s="202">
        <f t="shared" si="81"/>
        <v>58.86</v>
      </c>
      <c r="AJ341" s="285">
        <v>23.308</v>
      </c>
      <c r="AK341" s="285">
        <v>32.625</v>
      </c>
      <c r="AL341" s="285">
        <v>23.923999999999999</v>
      </c>
      <c r="AM341" s="285">
        <v>8.4390000000000001</v>
      </c>
      <c r="AN341" s="285">
        <v>21.259</v>
      </c>
      <c r="AO341" s="285">
        <v>37.167000000000002</v>
      </c>
      <c r="AP341" s="285">
        <v>19.940000000000001</v>
      </c>
      <c r="AQ341" s="285">
        <v>166.661</v>
      </c>
      <c r="AR341" s="285">
        <v>0</v>
      </c>
      <c r="AS341" s="275"/>
      <c r="AT341" s="244">
        <v>0.9425090097820491</v>
      </c>
      <c r="AU341" s="244">
        <v>1.009992337164751</v>
      </c>
      <c r="AV341" s="244">
        <v>0.90382043136599233</v>
      </c>
      <c r="AW341" s="244">
        <v>0.86313544258798436</v>
      </c>
      <c r="AX341" s="244">
        <v>0.93169951549931784</v>
      </c>
      <c r="AY341" s="244">
        <v>0.95288831490300518</v>
      </c>
      <c r="AZ341" s="244">
        <v>0.84543630892678034</v>
      </c>
      <c r="BA341" s="275"/>
      <c r="BB341" s="191">
        <v>1.0522854116022156</v>
      </c>
      <c r="BC341" s="275"/>
      <c r="BE341" s="274">
        <f t="shared" si="86"/>
        <v>5.0292580645161298</v>
      </c>
      <c r="BF341" s="280">
        <f t="shared" si="78"/>
        <v>149.16200000000001</v>
      </c>
      <c r="BG341" s="154" t="str">
        <f t="shared" si="79"/>
        <v>RECORD</v>
      </c>
      <c r="BH341" s="270">
        <f t="shared" si="87"/>
        <v>5.1999999999999956E-2</v>
      </c>
      <c r="BI341" s="270">
        <f t="shared" si="82"/>
        <v>2.9999999999999361E-2</v>
      </c>
    </row>
    <row r="342" spans="1:61">
      <c r="A342" s="266">
        <v>39448</v>
      </c>
      <c r="B342" s="266"/>
      <c r="C342" s="277">
        <v>0.25897629032258174</v>
      </c>
      <c r="D342" s="276">
        <v>8.0282650000000331</v>
      </c>
      <c r="E342" s="277">
        <v>5.5313225806451616</v>
      </c>
      <c r="F342" s="277">
        <f t="shared" si="77"/>
        <v>171.471</v>
      </c>
      <c r="G342" s="277">
        <v>152.43899999999999</v>
      </c>
      <c r="H342" s="281">
        <f t="shared" si="76"/>
        <v>0.88900747065101382</v>
      </c>
      <c r="I342" s="202">
        <v>3600.9189999999999</v>
      </c>
      <c r="J342" s="270">
        <v>47.24</v>
      </c>
      <c r="K342" s="270">
        <v>1.2004949420671096E-2</v>
      </c>
      <c r="L342" s="202">
        <v>745.154</v>
      </c>
      <c r="M342" s="277">
        <v>93.533041177299992</v>
      </c>
      <c r="N342" s="202">
        <v>1762.8</v>
      </c>
      <c r="O342" s="270">
        <v>11.56</v>
      </c>
      <c r="P342" s="270">
        <v>-6.1081513416459288E-2</v>
      </c>
      <c r="Q342" s="202">
        <v>2817.7979999999998</v>
      </c>
      <c r="R342" s="199">
        <v>0.82681866197183096</v>
      </c>
      <c r="S342" s="202">
        <v>590.20200000000023</v>
      </c>
      <c r="T342" s="286">
        <v>500.83599999999984</v>
      </c>
      <c r="U342" s="275"/>
      <c r="V342" s="278">
        <v>21.300999999999998</v>
      </c>
      <c r="W342" s="278">
        <v>32.658000000000001</v>
      </c>
      <c r="X342" s="278">
        <v>21.672999999999998</v>
      </c>
      <c r="Y342" s="278"/>
      <c r="Z342" s="278">
        <v>5.3010000000000002</v>
      </c>
      <c r="AA342" s="278">
        <v>19.623000000000001</v>
      </c>
      <c r="AB342" s="278">
        <v>34.646999999999998</v>
      </c>
      <c r="AC342" s="278">
        <v>17.236000000000001</v>
      </c>
      <c r="AD342" s="279">
        <v>152.43899999999999</v>
      </c>
      <c r="AE342" s="278">
        <f t="shared" si="84"/>
        <v>152.43899999999999</v>
      </c>
      <c r="AF342" s="278">
        <f t="shared" si="85"/>
        <v>0</v>
      </c>
      <c r="AG342" s="278">
        <f t="shared" si="83"/>
        <v>0</v>
      </c>
      <c r="AH342" s="202">
        <f t="shared" si="80"/>
        <v>-0.76899999999999835</v>
      </c>
      <c r="AI342" s="202">
        <f t="shared" si="81"/>
        <v>58.800000000000004</v>
      </c>
      <c r="AJ342" s="285">
        <v>23.577999999999999</v>
      </c>
      <c r="AK342" s="285">
        <v>37.469000000000001</v>
      </c>
      <c r="AL342" s="285">
        <v>24.047999999999998</v>
      </c>
      <c r="AM342" s="285">
        <v>8.11</v>
      </c>
      <c r="AN342" s="285">
        <v>21.288</v>
      </c>
      <c r="AO342" s="285">
        <v>37.261000000000003</v>
      </c>
      <c r="AP342" s="285">
        <v>19.718</v>
      </c>
      <c r="AQ342" s="285">
        <v>171.471</v>
      </c>
      <c r="AR342" s="285">
        <v>0</v>
      </c>
      <c r="AS342" s="275"/>
      <c r="AT342" s="244">
        <v>0.90342692340317243</v>
      </c>
      <c r="AU342" s="244">
        <v>0.8716005230990953</v>
      </c>
      <c r="AV342" s="244">
        <v>0.90123918829008653</v>
      </c>
      <c r="AW342" s="244">
        <v>0.65363748458692983</v>
      </c>
      <c r="AX342" s="244">
        <v>0.9217869222096956</v>
      </c>
      <c r="AY342" s="244">
        <v>0.92984621990821492</v>
      </c>
      <c r="AZ342" s="244">
        <v>0.8741251648240187</v>
      </c>
      <c r="BA342" s="275"/>
      <c r="BB342" s="191">
        <v>1.0526654268264686</v>
      </c>
      <c r="BC342" s="275"/>
      <c r="BE342" s="274">
        <f t="shared" si="86"/>
        <v>4.9173870967741937</v>
      </c>
      <c r="BF342" s="280">
        <f t="shared" si="78"/>
        <v>151.04</v>
      </c>
      <c r="BG342" s="154" t="str">
        <f t="shared" si="79"/>
        <v>RECORD</v>
      </c>
      <c r="BH342" s="270">
        <f t="shared" si="87"/>
        <v>2.1999999999999888E-2</v>
      </c>
      <c r="BI342" s="270">
        <f t="shared" si="82"/>
        <v>4.0000000000000924E-2</v>
      </c>
    </row>
    <row r="343" spans="1:61">
      <c r="A343" s="266">
        <v>39479</v>
      </c>
      <c r="B343" s="266"/>
      <c r="C343" s="277">
        <v>0.26162068965517304</v>
      </c>
      <c r="D343" s="276">
        <v>7.5870000000000175</v>
      </c>
      <c r="E343" s="277">
        <v>5.5313103448275855</v>
      </c>
      <c r="F343" s="277">
        <f t="shared" si="77"/>
        <v>160.40799999999999</v>
      </c>
      <c r="G343" s="277">
        <v>138.923</v>
      </c>
      <c r="H343" s="281">
        <f t="shared" si="76"/>
        <v>0.86606029624457637</v>
      </c>
      <c r="I343" s="202">
        <v>3288.1660000000002</v>
      </c>
      <c r="J343" s="270">
        <v>47.34</v>
      </c>
      <c r="K343" s="270">
        <v>7.9288785748410362E-2</v>
      </c>
      <c r="L343" s="202">
        <v>590.74199999999996</v>
      </c>
      <c r="M343" s="277">
        <v>322.37693798580017</v>
      </c>
      <c r="N343" s="202">
        <v>1608.568</v>
      </c>
      <c r="O343" s="270">
        <v>11.58</v>
      </c>
      <c r="P343" s="270">
        <v>-6.0649784997611533E-2</v>
      </c>
      <c r="Q343" s="202">
        <v>2717.431</v>
      </c>
      <c r="R343" s="199">
        <v>0.82891468138974467</v>
      </c>
      <c r="S343" s="202">
        <v>560.86900000000014</v>
      </c>
      <c r="T343" s="286">
        <v>458.34700000000004</v>
      </c>
      <c r="U343" s="275"/>
      <c r="V343" s="278">
        <v>19.202000000000002</v>
      </c>
      <c r="W343" s="278">
        <v>29.422999999999998</v>
      </c>
      <c r="X343" s="278">
        <v>19.091999999999999</v>
      </c>
      <c r="Y343" s="278"/>
      <c r="Z343" s="278">
        <v>5.0140000000000002</v>
      </c>
      <c r="AA343" s="278">
        <v>17.873999999999999</v>
      </c>
      <c r="AB343" s="278">
        <v>32.15</v>
      </c>
      <c r="AC343" s="278">
        <v>16.167000000000002</v>
      </c>
      <c r="AD343" s="279">
        <v>138.923</v>
      </c>
      <c r="AE343" s="278">
        <f t="shared" si="84"/>
        <v>138.922</v>
      </c>
      <c r="AF343" s="278">
        <f t="shared" si="85"/>
        <v>-1.0000000000047748E-3</v>
      </c>
      <c r="AG343" s="278">
        <f t="shared" si="83"/>
        <v>-1.0000000000047748E-3</v>
      </c>
      <c r="AH343" s="202">
        <f t="shared" si="80"/>
        <v>-2.4969999999999999</v>
      </c>
      <c r="AI343" s="202">
        <f t="shared" si="81"/>
        <v>58.92</v>
      </c>
      <c r="AJ343" s="285">
        <v>22.056999999999999</v>
      </c>
      <c r="AK343" s="285">
        <v>35.051000000000002</v>
      </c>
      <c r="AL343" s="285">
        <v>22.495999999999999</v>
      </c>
      <c r="AM343" s="285">
        <v>7.5860000000000003</v>
      </c>
      <c r="AN343" s="285">
        <v>19.914999999999999</v>
      </c>
      <c r="AO343" s="285">
        <v>34.856999999999999</v>
      </c>
      <c r="AP343" s="285">
        <v>18.446000000000002</v>
      </c>
      <c r="AQ343" s="285">
        <v>160.40799999999999</v>
      </c>
      <c r="AR343" s="285">
        <v>0</v>
      </c>
      <c r="AS343" s="275"/>
      <c r="AT343" s="244">
        <v>0.87056263317767613</v>
      </c>
      <c r="AU343" s="244">
        <v>0.83943396764714262</v>
      </c>
      <c r="AV343" s="244">
        <v>0.84868421052631582</v>
      </c>
      <c r="AW343" s="244">
        <v>0.66095438966517273</v>
      </c>
      <c r="AX343" s="244">
        <v>0.89751443635450667</v>
      </c>
      <c r="AY343" s="244">
        <v>0.92233984565510507</v>
      </c>
      <c r="AZ343" s="244">
        <v>0.87645017890057464</v>
      </c>
      <c r="BA343" s="275"/>
      <c r="BB343" s="191">
        <v>1.0546129870503806</v>
      </c>
      <c r="BC343" s="275"/>
      <c r="BE343" s="274">
        <f>G343/29</f>
        <v>4.7904482758620688</v>
      </c>
      <c r="BF343" s="280">
        <f t="shared" si="78"/>
        <v>135.53299999999999</v>
      </c>
      <c r="BG343" s="154" t="str">
        <f t="shared" si="79"/>
        <v>RECORD</v>
      </c>
      <c r="BH343" s="270">
        <f t="shared" si="87"/>
        <v>6.6000000000000017E-2</v>
      </c>
      <c r="BI343" s="270">
        <f t="shared" si="82"/>
        <v>1.9999999999999574E-2</v>
      </c>
    </row>
    <row r="344" spans="1:61">
      <c r="A344" s="266">
        <v>39508</v>
      </c>
      <c r="B344" s="266"/>
      <c r="C344" s="277">
        <v>0.2513440860215051</v>
      </c>
      <c r="D344" s="276">
        <v>7.7916666666666572</v>
      </c>
      <c r="E344" s="277">
        <v>5.5313225806451616</v>
      </c>
      <c r="F344" s="277">
        <f t="shared" si="77"/>
        <v>171.471</v>
      </c>
      <c r="G344" s="277">
        <v>148.16499999999999</v>
      </c>
      <c r="H344" s="281">
        <f t="shared" si="76"/>
        <v>0.86408197304500467</v>
      </c>
      <c r="I344" s="202">
        <v>3510.857</v>
      </c>
      <c r="J344" s="270">
        <v>47.39</v>
      </c>
      <c r="K344" s="270">
        <v>7.3184217838289101E-2</v>
      </c>
      <c r="L344" s="202">
        <v>644.26499999999999</v>
      </c>
      <c r="M344" s="277">
        <v>154.123424946</v>
      </c>
      <c r="N344" s="202">
        <v>1725.7249999999999</v>
      </c>
      <c r="O344" s="270">
        <v>11.65</v>
      </c>
      <c r="P344" s="270">
        <v>6.9922200611282292E-2</v>
      </c>
      <c r="Q344" s="202">
        <v>2529.2669999999998</v>
      </c>
      <c r="R344" s="199">
        <v>0.82028507491729896</v>
      </c>
      <c r="S344" s="202">
        <v>554.13300000000027</v>
      </c>
      <c r="T344" s="286">
        <v>468.54299999999984</v>
      </c>
      <c r="U344" s="275"/>
      <c r="V344" s="278">
        <v>20.806999999999999</v>
      </c>
      <c r="W344" s="278">
        <v>31.948</v>
      </c>
      <c r="X344" s="278">
        <v>19.402999999999999</v>
      </c>
      <c r="Y344" s="278"/>
      <c r="Z344" s="278">
        <v>5.2329999999999997</v>
      </c>
      <c r="AA344" s="278">
        <v>19.689</v>
      </c>
      <c r="AB344" s="278">
        <v>33.853999999999999</v>
      </c>
      <c r="AC344" s="278">
        <v>17.231000000000002</v>
      </c>
      <c r="AD344" s="279">
        <v>148.16499999999999</v>
      </c>
      <c r="AE344" s="278">
        <f t="shared" si="84"/>
        <v>148.16499999999996</v>
      </c>
      <c r="AF344" s="278">
        <f t="shared" si="85"/>
        <v>0</v>
      </c>
      <c r="AG344" s="278">
        <f t="shared" si="83"/>
        <v>0</v>
      </c>
      <c r="AH344" s="202">
        <f t="shared" si="80"/>
        <v>1.7040000000000006</v>
      </c>
      <c r="AI344" s="202">
        <f t="shared" si="81"/>
        <v>59.04</v>
      </c>
      <c r="AJ344" s="285">
        <v>23.577999999999999</v>
      </c>
      <c r="AK344" s="285">
        <v>37.469000000000001</v>
      </c>
      <c r="AL344" s="285">
        <v>24.047999999999998</v>
      </c>
      <c r="AM344" s="285">
        <v>8.11</v>
      </c>
      <c r="AN344" s="285">
        <v>21.288</v>
      </c>
      <c r="AO344" s="285">
        <v>37.261000000000003</v>
      </c>
      <c r="AP344" s="285">
        <v>19.718</v>
      </c>
      <c r="AQ344" s="285">
        <v>171.471</v>
      </c>
      <c r="AR344" s="285">
        <v>0</v>
      </c>
      <c r="AS344" s="275"/>
      <c r="AT344" s="244">
        <v>0.88247518873526165</v>
      </c>
      <c r="AU344" s="244">
        <v>0.85265152526088228</v>
      </c>
      <c r="AV344" s="244">
        <v>0.80684464404524281</v>
      </c>
      <c r="AW344" s="244">
        <v>0.64525277435265105</v>
      </c>
      <c r="AX344" s="244">
        <v>0.92488726042841041</v>
      </c>
      <c r="AY344" s="244">
        <v>0.90856391401196956</v>
      </c>
      <c r="AZ344" s="244">
        <v>0.87387158941069087</v>
      </c>
      <c r="BA344" s="275"/>
      <c r="BB344" s="191">
        <v>1.0525877681413738</v>
      </c>
      <c r="BC344" s="275"/>
      <c r="BE344" s="274">
        <f t="shared" si="86"/>
        <v>4.7795161290322579</v>
      </c>
      <c r="BF344" s="280">
        <f t="shared" si="78"/>
        <v>147.99100000000001</v>
      </c>
      <c r="BG344" s="154" t="str">
        <f t="shared" si="79"/>
        <v>RECORD</v>
      </c>
      <c r="BH344" s="270">
        <f t="shared" si="87"/>
        <v>1.4000000000000058E-2</v>
      </c>
      <c r="BI344" s="270">
        <f t="shared" si="82"/>
        <v>7.0000000000000284E-2</v>
      </c>
    </row>
    <row r="345" spans="1:61">
      <c r="A345" s="266">
        <v>39539</v>
      </c>
      <c r="B345" s="266"/>
      <c r="C345" s="277">
        <v>0.249466666666666</v>
      </c>
      <c r="D345" s="276">
        <v>7.4839999999999804</v>
      </c>
      <c r="E345" s="277">
        <v>5.4438666666666666</v>
      </c>
      <c r="F345" s="277">
        <f t="shared" si="77"/>
        <v>163.316</v>
      </c>
      <c r="G345" s="277">
        <v>139.96600000000001</v>
      </c>
      <c r="H345" s="281">
        <f t="shared" si="76"/>
        <v>0.85702564353768163</v>
      </c>
      <c r="I345" s="202">
        <v>3310.89</v>
      </c>
      <c r="J345" s="270">
        <v>47.31</v>
      </c>
      <c r="K345" s="270">
        <v>0.17185825703629121</v>
      </c>
      <c r="L345" s="202">
        <v>697.43899999999996</v>
      </c>
      <c r="M345" s="277">
        <v>159.58917344409997</v>
      </c>
      <c r="N345" s="202">
        <v>1631.8789999999999</v>
      </c>
      <c r="O345" s="270">
        <v>11.66</v>
      </c>
      <c r="P345" s="270">
        <v>-8.3194303153611315E-2</v>
      </c>
      <c r="Q345" s="202">
        <v>2409.4290000000001</v>
      </c>
      <c r="R345" s="199">
        <v>0.82351117643037808</v>
      </c>
      <c r="S345" s="202">
        <v>516.37099999999964</v>
      </c>
      <c r="T345" s="286">
        <v>456.70933333333329</v>
      </c>
      <c r="U345" s="275"/>
      <c r="V345" s="278">
        <v>17.98</v>
      </c>
      <c r="W345" s="278">
        <v>29.36</v>
      </c>
      <c r="X345" s="278">
        <v>20.321999999999999</v>
      </c>
      <c r="Y345" s="278"/>
      <c r="Z345" s="278">
        <v>4.6859999999999999</v>
      </c>
      <c r="AA345" s="278">
        <v>17.73</v>
      </c>
      <c r="AB345" s="278">
        <v>33.076000000000001</v>
      </c>
      <c r="AC345" s="278">
        <v>16.812000000000001</v>
      </c>
      <c r="AD345" s="279">
        <v>139.96600000000001</v>
      </c>
      <c r="AE345" s="278">
        <f t="shared" si="84"/>
        <v>139.96600000000004</v>
      </c>
      <c r="AF345" s="278">
        <f t="shared" si="85"/>
        <v>0</v>
      </c>
      <c r="AG345" s="278">
        <f t="shared" si="83"/>
        <v>0</v>
      </c>
      <c r="AH345" s="202">
        <f t="shared" si="80"/>
        <v>-0.77799999999999869</v>
      </c>
      <c r="AI345" s="202">
        <f t="shared" si="81"/>
        <v>58.97</v>
      </c>
      <c r="AJ345" s="285">
        <v>22.96</v>
      </c>
      <c r="AK345" s="285">
        <v>36.308999999999997</v>
      </c>
      <c r="AL345" s="285">
        <v>23.271999999999998</v>
      </c>
      <c r="AM345" s="285">
        <v>5.2560000000000002</v>
      </c>
      <c r="AN345" s="285">
        <v>20.256</v>
      </c>
      <c r="AO345" s="285">
        <v>36.054000000000002</v>
      </c>
      <c r="AP345" s="285">
        <v>19.082000000000001</v>
      </c>
      <c r="AQ345" s="285">
        <v>163.316</v>
      </c>
      <c r="AR345" s="285">
        <v>0</v>
      </c>
      <c r="AS345" s="275"/>
      <c r="AT345" s="244">
        <v>0.7831010452961672</v>
      </c>
      <c r="AU345" s="244">
        <v>0.80861494395328981</v>
      </c>
      <c r="AV345" s="244">
        <v>0.87323822619456859</v>
      </c>
      <c r="AW345" s="244">
        <v>0.89155251141552505</v>
      </c>
      <c r="AX345" s="244">
        <v>0.8752962085308057</v>
      </c>
      <c r="AY345" s="244">
        <v>0.91740167526488037</v>
      </c>
      <c r="AZ345" s="244">
        <v>0.88103972329944458</v>
      </c>
      <c r="BA345" s="275"/>
      <c r="BB345" s="191">
        <v>1.0534701284597687</v>
      </c>
      <c r="BC345" s="275"/>
      <c r="BE345" s="274">
        <f>G345/30</f>
        <v>4.6655333333333333</v>
      </c>
      <c r="BF345" s="280">
        <f t="shared" si="78"/>
        <v>138.72</v>
      </c>
      <c r="BG345" s="154" t="str">
        <f t="shared" si="79"/>
        <v>RECORD</v>
      </c>
      <c r="BH345" s="270">
        <f t="shared" si="87"/>
        <v>-2.0000000000000285E-2</v>
      </c>
      <c r="BI345" s="270">
        <f t="shared" si="82"/>
        <v>9.9999999999997868E-3</v>
      </c>
    </row>
    <row r="346" spans="1:61">
      <c r="A346" s="266">
        <v>39569</v>
      </c>
      <c r="B346" s="266"/>
      <c r="C346" s="277">
        <v>0.2774623655913982</v>
      </c>
      <c r="D346" s="276">
        <v>8.6013333333333435</v>
      </c>
      <c r="E346" s="277">
        <v>5.4438387096774186</v>
      </c>
      <c r="F346" s="277">
        <f t="shared" si="77"/>
        <v>168.75899999999999</v>
      </c>
      <c r="G346" s="277">
        <v>144.00200000000001</v>
      </c>
      <c r="H346" s="281">
        <f t="shared" si="76"/>
        <v>0.85329967586913891</v>
      </c>
      <c r="I346" s="202">
        <v>3408.2</v>
      </c>
      <c r="J346" s="270">
        <v>47.34</v>
      </c>
      <c r="K346" s="270">
        <v>0.28412354470194146</v>
      </c>
      <c r="L346" s="202">
        <v>623.28599999999994</v>
      </c>
      <c r="M346" s="277">
        <v>100.7054713962001</v>
      </c>
      <c r="N346" s="202">
        <v>1680.7650000000001</v>
      </c>
      <c r="O346" s="270">
        <v>11.67</v>
      </c>
      <c r="P346" s="270">
        <v>-0.16042179069919804</v>
      </c>
      <c r="Q346" s="202">
        <v>2489.1779999999999</v>
      </c>
      <c r="R346" s="199">
        <v>0.83277952492472396</v>
      </c>
      <c r="S346" s="202">
        <v>499.82200000000012</v>
      </c>
      <c r="T346" s="286">
        <v>480.71199999999999</v>
      </c>
      <c r="U346" s="275"/>
      <c r="V346" s="278">
        <v>20.151</v>
      </c>
      <c r="W346" s="278">
        <v>31.081</v>
      </c>
      <c r="X346" s="278">
        <v>20.933</v>
      </c>
      <c r="Y346" s="278"/>
      <c r="Z346" s="278">
        <v>5.1280000000000001</v>
      </c>
      <c r="AA346" s="278">
        <v>19.998000000000001</v>
      </c>
      <c r="AB346" s="278">
        <v>31.257000000000001</v>
      </c>
      <c r="AC346" s="278">
        <v>15.455</v>
      </c>
      <c r="AD346" s="279">
        <v>144.00200000000001</v>
      </c>
      <c r="AE346" s="278">
        <f t="shared" si="84"/>
        <v>144.00300000000001</v>
      </c>
      <c r="AF346" s="278">
        <f t="shared" si="85"/>
        <v>1.0000000000047748E-3</v>
      </c>
      <c r="AG346" s="278">
        <f t="shared" si="83"/>
        <v>1.0000000000047748E-3</v>
      </c>
      <c r="AH346" s="202">
        <f t="shared" si="80"/>
        <v>-1.8189999999999991</v>
      </c>
      <c r="AI346" s="202">
        <f t="shared" si="81"/>
        <v>59.010000000000005</v>
      </c>
      <c r="AJ346" s="285">
        <v>23.725000000000001</v>
      </c>
      <c r="AK346" s="285">
        <v>37.518999999999998</v>
      </c>
      <c r="AL346" s="285">
        <v>24.047999999999998</v>
      </c>
      <c r="AM346" s="285">
        <v>5.431</v>
      </c>
      <c r="AN346" s="285">
        <v>21.062999999999999</v>
      </c>
      <c r="AO346" s="285">
        <v>37.255000000000003</v>
      </c>
      <c r="AP346" s="285">
        <v>19.718</v>
      </c>
      <c r="AQ346" s="285">
        <v>168.75899999999999</v>
      </c>
      <c r="AR346" s="285">
        <v>0</v>
      </c>
      <c r="AS346" s="275"/>
      <c r="AT346" s="244">
        <v>0.8493572181243414</v>
      </c>
      <c r="AU346" s="244">
        <v>0.8284069404834884</v>
      </c>
      <c r="AV346" s="244">
        <v>0.87046739853626087</v>
      </c>
      <c r="AW346" s="244">
        <v>0.94420916958202905</v>
      </c>
      <c r="AX346" s="244">
        <v>0.94943740207947591</v>
      </c>
      <c r="AY346" s="244">
        <v>0.83900147631190447</v>
      </c>
      <c r="AZ346" s="244">
        <v>0.78380160259661225</v>
      </c>
      <c r="BA346" s="275"/>
      <c r="BB346" s="191">
        <v>1.0597306518890941</v>
      </c>
      <c r="BC346" s="275"/>
      <c r="BE346" s="274">
        <f t="shared" si="86"/>
        <v>4.645225806451613</v>
      </c>
      <c r="BF346" s="280">
        <f t="shared" si="78"/>
        <v>143.35400000000001</v>
      </c>
      <c r="BG346" s="154" t="str">
        <f t="shared" si="79"/>
        <v>RECORD</v>
      </c>
      <c r="BH346" s="270">
        <f t="shared" si="87"/>
        <v>5.400000000000027E-2</v>
      </c>
      <c r="BI346" s="270">
        <f t="shared" si="82"/>
        <v>9.9999999999997868E-3</v>
      </c>
    </row>
    <row r="347" spans="1:61">
      <c r="A347" s="266">
        <v>39600</v>
      </c>
      <c r="B347" s="266"/>
      <c r="C347" s="277">
        <v>0.25123333333333353</v>
      </c>
      <c r="D347" s="276">
        <v>7.5370000000000061</v>
      </c>
      <c r="E347" s="277">
        <v>5.4438666666666666</v>
      </c>
      <c r="F347" s="277">
        <f t="shared" si="77"/>
        <v>163.316</v>
      </c>
      <c r="G347" s="277">
        <v>133.51300000000001</v>
      </c>
      <c r="H347" s="281">
        <f t="shared" ref="H347:H410" si="88">G347/F347</f>
        <v>0.8175132871243479</v>
      </c>
      <c r="I347" s="202">
        <v>3161.7269999999999</v>
      </c>
      <c r="J347" s="270">
        <v>47.36</v>
      </c>
      <c r="K347" s="270">
        <v>0.17349875930521108</v>
      </c>
      <c r="L347" s="202">
        <v>545.13400000000001</v>
      </c>
      <c r="M347" s="277">
        <v>302.95663585609998</v>
      </c>
      <c r="N347" s="202">
        <v>1558.38</v>
      </c>
      <c r="O347" s="270">
        <v>11.67</v>
      </c>
      <c r="P347" s="270">
        <v>-9.3963133640553309E-2</v>
      </c>
      <c r="Q347" s="202">
        <v>2449.3029999999999</v>
      </c>
      <c r="R347" s="199">
        <v>0.84284342739160356</v>
      </c>
      <c r="S347" s="202">
        <v>456.69700000000012</v>
      </c>
      <c r="T347" s="286">
        <v>446.0023333333333</v>
      </c>
      <c r="U347" s="275"/>
      <c r="V347" s="278">
        <v>17.207999999999998</v>
      </c>
      <c r="W347" s="278">
        <v>28.591999999999999</v>
      </c>
      <c r="X347" s="278">
        <v>20.045000000000002</v>
      </c>
      <c r="Y347" s="278"/>
      <c r="Z347" s="278">
        <v>4.9400000000000004</v>
      </c>
      <c r="AA347" s="278">
        <v>17.193999999999999</v>
      </c>
      <c r="AB347" s="278">
        <v>30.905999999999999</v>
      </c>
      <c r="AC347" s="278">
        <v>14.629</v>
      </c>
      <c r="AD347" s="279">
        <v>133.51300000000001</v>
      </c>
      <c r="AE347" s="278">
        <f t="shared" si="84"/>
        <v>133.51399999999998</v>
      </c>
      <c r="AF347" s="278">
        <f t="shared" si="85"/>
        <v>9.9999999997635314E-4</v>
      </c>
      <c r="AG347" s="278">
        <f t="shared" si="83"/>
        <v>9.9999999997635314E-4</v>
      </c>
      <c r="AH347" s="202">
        <f t="shared" si="80"/>
        <v>-0.35100000000000264</v>
      </c>
      <c r="AI347" s="202">
        <f t="shared" si="81"/>
        <v>59.03</v>
      </c>
      <c r="AJ347" s="285">
        <v>22.96</v>
      </c>
      <c r="AK347" s="285">
        <v>36.308999999999997</v>
      </c>
      <c r="AL347" s="285">
        <v>23.271999999999998</v>
      </c>
      <c r="AM347" s="285">
        <v>5.2560000000000002</v>
      </c>
      <c r="AN347" s="285">
        <v>20.384</v>
      </c>
      <c r="AO347" s="285">
        <v>36.054000000000002</v>
      </c>
      <c r="AP347" s="285">
        <v>19.082000000000001</v>
      </c>
      <c r="AQ347" s="285">
        <v>163.30600000000001</v>
      </c>
      <c r="AR347" s="285">
        <v>9.9999999999909051E-3</v>
      </c>
      <c r="AS347" s="275"/>
      <c r="AT347" s="244">
        <v>0.74947735191637621</v>
      </c>
      <c r="AU347" s="244">
        <v>0.78746316340301303</v>
      </c>
      <c r="AV347" s="244">
        <v>0.8613355104847028</v>
      </c>
      <c r="AW347" s="244">
        <v>0.93987823439878238</v>
      </c>
      <c r="AX347" s="244">
        <v>0.8435047095761381</v>
      </c>
      <c r="AY347" s="244">
        <v>0.85721417873190209</v>
      </c>
      <c r="AZ347" s="244">
        <v>0.76663871711560627</v>
      </c>
      <c r="BA347" s="275"/>
      <c r="BB347" s="191">
        <v>1.05645143169579</v>
      </c>
      <c r="BC347" s="275"/>
      <c r="BE347" s="274">
        <f>G347/30</f>
        <v>4.4504333333333337</v>
      </c>
      <c r="BF347" s="280">
        <f t="shared" si="78"/>
        <v>141.583</v>
      </c>
      <c r="BG347" s="154" t="str">
        <f t="shared" si="79"/>
        <v/>
      </c>
      <c r="BH347" s="270">
        <f t="shared" si="87"/>
        <v>3.3999999999999989E-2</v>
      </c>
      <c r="BI347" s="270">
        <f t="shared" si="82"/>
        <v>0</v>
      </c>
    </row>
    <row r="348" spans="1:61">
      <c r="A348" s="266">
        <v>39630</v>
      </c>
      <c r="B348" s="266"/>
      <c r="C348" s="277">
        <v>0.2026666666666668</v>
      </c>
      <c r="D348" s="276">
        <v>6.2826666666666711</v>
      </c>
      <c r="E348" s="277">
        <v>5.4723548387096779</v>
      </c>
      <c r="F348" s="277">
        <f t="shared" ref="F348:F411" si="89">(A349-A348)*E348</f>
        <v>169.643</v>
      </c>
      <c r="G348" s="277">
        <v>133.03399999999999</v>
      </c>
      <c r="H348" s="281">
        <f t="shared" si="88"/>
        <v>0.78419976067388575</v>
      </c>
      <c r="I348" s="202">
        <v>3152.3330000000001</v>
      </c>
      <c r="J348" s="270">
        <v>47.39</v>
      </c>
      <c r="K348" s="270">
        <v>0.21808709175738983</v>
      </c>
      <c r="L348" s="202">
        <v>563.98900000000003</v>
      </c>
      <c r="M348" s="277">
        <v>185.62227342709991</v>
      </c>
      <c r="N348" s="202">
        <v>1551.655</v>
      </c>
      <c r="O348" s="270">
        <v>11.66</v>
      </c>
      <c r="P348" s="270">
        <v>-5.7655221916496302E-2</v>
      </c>
      <c r="Q348" s="202">
        <v>2367.0169999999998</v>
      </c>
      <c r="R348" s="199">
        <v>0.8473908996527405</v>
      </c>
      <c r="S348" s="202">
        <v>426.2829999999999</v>
      </c>
      <c r="T348" s="286">
        <v>492.64900000000006</v>
      </c>
      <c r="U348" s="275"/>
      <c r="V348" s="278">
        <v>19.599</v>
      </c>
      <c r="W348" s="278">
        <v>29.492000000000001</v>
      </c>
      <c r="X348" s="278">
        <v>19.471</v>
      </c>
      <c r="Y348" s="278"/>
      <c r="Z348" s="278">
        <v>3.4009999999999998</v>
      </c>
      <c r="AA348" s="278">
        <v>17.297000000000001</v>
      </c>
      <c r="AB348" s="278">
        <v>26.486000000000001</v>
      </c>
      <c r="AC348" s="278">
        <v>17.289000000000001</v>
      </c>
      <c r="AD348" s="279">
        <v>133.03399999999999</v>
      </c>
      <c r="AE348" s="278">
        <f t="shared" si="84"/>
        <v>133.035</v>
      </c>
      <c r="AF348" s="278">
        <f t="shared" si="85"/>
        <v>1.0000000000047748E-3</v>
      </c>
      <c r="AG348" s="278">
        <f t="shared" si="83"/>
        <v>1.0000000000047748E-3</v>
      </c>
      <c r="AH348" s="202">
        <f t="shared" si="80"/>
        <v>-4.4199999999999982</v>
      </c>
      <c r="AI348" s="202">
        <f t="shared" si="81"/>
        <v>59.05</v>
      </c>
      <c r="AJ348" s="285">
        <v>23.988</v>
      </c>
      <c r="AK348" s="285">
        <v>37.518999999999998</v>
      </c>
      <c r="AL348" s="285">
        <v>23.968</v>
      </c>
      <c r="AM348" s="285">
        <v>5.4560000000000004</v>
      </c>
      <c r="AN348" s="285">
        <v>21.062999999999999</v>
      </c>
      <c r="AO348" s="285">
        <v>37.311</v>
      </c>
      <c r="AP348" s="285">
        <v>20.338000000000001</v>
      </c>
      <c r="AQ348" s="285">
        <v>169.643</v>
      </c>
      <c r="AR348" s="285">
        <v>0</v>
      </c>
      <c r="AS348" s="275"/>
      <c r="AT348" s="244">
        <v>0.81703351675837921</v>
      </c>
      <c r="AU348" s="244">
        <v>0.78605506543351378</v>
      </c>
      <c r="AV348" s="244">
        <v>0.81237483311081438</v>
      </c>
      <c r="AW348" s="244">
        <v>0.62335043988269789</v>
      </c>
      <c r="AX348" s="244">
        <v>0.82120305749418421</v>
      </c>
      <c r="AY348" s="244">
        <v>0.70987108359465034</v>
      </c>
      <c r="AZ348" s="244">
        <v>0.85008358737338974</v>
      </c>
      <c r="BA348" s="275"/>
      <c r="BB348" s="191">
        <v>1.0472260224203336</v>
      </c>
      <c r="BC348" s="275"/>
      <c r="BE348" s="274">
        <f t="shared" si="86"/>
        <v>4.2914193548387098</v>
      </c>
      <c r="BF348" s="280">
        <f t="shared" si="78"/>
        <v>142.626</v>
      </c>
      <c r="BG348" s="154" t="str">
        <f t="shared" si="79"/>
        <v/>
      </c>
      <c r="BH348" s="270">
        <f t="shared" si="87"/>
        <v>-1.6000000000000014E-2</v>
      </c>
      <c r="BI348" s="270">
        <f t="shared" si="82"/>
        <v>-9.9999999999997868E-3</v>
      </c>
    </row>
    <row r="349" spans="1:61">
      <c r="A349" s="266">
        <v>39661</v>
      </c>
      <c r="B349" s="266"/>
      <c r="C349" s="277">
        <v>0.22405376344086025</v>
      </c>
      <c r="D349" s="276">
        <v>6.9456666666666678</v>
      </c>
      <c r="E349" s="277">
        <v>5.4723548387096779</v>
      </c>
      <c r="F349" s="277">
        <f t="shared" si="89"/>
        <v>169.643</v>
      </c>
      <c r="G349" s="277">
        <v>121.681</v>
      </c>
      <c r="H349" s="281">
        <f t="shared" si="88"/>
        <v>0.71727686966158344</v>
      </c>
      <c r="I349" s="202">
        <v>2875.527</v>
      </c>
      <c r="J349" s="270">
        <v>47.26</v>
      </c>
      <c r="K349" s="270">
        <v>0.19983207214677634</v>
      </c>
      <c r="L349" s="202">
        <v>354.05500000000001</v>
      </c>
      <c r="M349" s="277">
        <v>226.37479368919998</v>
      </c>
      <c r="N349" s="202">
        <v>1431.7280000000001</v>
      </c>
      <c r="O349" s="270">
        <v>11.77</v>
      </c>
      <c r="P349" s="270">
        <v>-5.0035244117342614E-2</v>
      </c>
      <c r="Q349" s="202">
        <v>2152.31</v>
      </c>
      <c r="R349" s="199">
        <v>0.83832281685752119</v>
      </c>
      <c r="S349" s="202">
        <v>415.09000000000015</v>
      </c>
      <c r="T349" s="286">
        <v>417.69866666666661</v>
      </c>
      <c r="U349" s="275"/>
      <c r="V349" s="278">
        <v>17.536000000000001</v>
      </c>
      <c r="W349" s="278">
        <v>26.949000000000002</v>
      </c>
      <c r="X349" s="278">
        <v>15.441000000000001</v>
      </c>
      <c r="Y349" s="278"/>
      <c r="Z349" s="278">
        <v>3.6629999999999998</v>
      </c>
      <c r="AA349" s="278">
        <v>15.321999999999999</v>
      </c>
      <c r="AB349" s="278">
        <v>26.164999999999999</v>
      </c>
      <c r="AC349" s="278">
        <v>16.606000000000002</v>
      </c>
      <c r="AD349" s="279">
        <v>121.681</v>
      </c>
      <c r="AE349" s="278">
        <f t="shared" si="84"/>
        <v>121.68199999999999</v>
      </c>
      <c r="AF349" s="278">
        <f t="shared" si="85"/>
        <v>9.9999999999056399E-4</v>
      </c>
      <c r="AG349" s="278">
        <f t="shared" si="83"/>
        <v>9.9999999999056399E-4</v>
      </c>
      <c r="AH349" s="202">
        <f t="shared" si="80"/>
        <v>-0.32100000000000151</v>
      </c>
      <c r="AI349" s="202">
        <f t="shared" si="81"/>
        <v>59.03</v>
      </c>
      <c r="AJ349" s="285">
        <v>23.988</v>
      </c>
      <c r="AK349" s="285">
        <v>37.518999999999998</v>
      </c>
      <c r="AL349" s="285">
        <v>23.968</v>
      </c>
      <c r="AM349" s="285">
        <v>5.4560000000000004</v>
      </c>
      <c r="AN349" s="285">
        <v>21.062999999999999</v>
      </c>
      <c r="AO349" s="285">
        <v>37.311</v>
      </c>
      <c r="AP349" s="285">
        <v>20.338000000000001</v>
      </c>
      <c r="AQ349" s="285">
        <v>169.643</v>
      </c>
      <c r="AR349" s="285">
        <v>0</v>
      </c>
      <c r="AS349" s="275"/>
      <c r="AT349" s="287">
        <v>0.73103218275804571</v>
      </c>
      <c r="AU349" s="287">
        <v>0.71827607345611566</v>
      </c>
      <c r="AV349" s="287">
        <v>0.64423397863818432</v>
      </c>
      <c r="AW349" s="287">
        <v>0.67137096774193539</v>
      </c>
      <c r="AX349" s="287">
        <v>0.72743673740682713</v>
      </c>
      <c r="AY349" s="287">
        <v>0.70126772265551707</v>
      </c>
      <c r="AZ349" s="287">
        <v>0.81650113088799292</v>
      </c>
      <c r="BA349" s="275"/>
      <c r="BB349" s="191">
        <v>1.0570809466282054</v>
      </c>
      <c r="BC349" s="275"/>
      <c r="BE349" s="274">
        <f t="shared" si="86"/>
        <v>3.9251935483870968</v>
      </c>
      <c r="BF349" s="280">
        <f t="shared" si="78"/>
        <v>137.56399999999999</v>
      </c>
      <c r="BG349" s="154" t="str">
        <f t="shared" si="79"/>
        <v/>
      </c>
      <c r="BH349" s="270">
        <f t="shared" si="87"/>
        <v>2.3999999999999844E-2</v>
      </c>
      <c r="BI349" s="270">
        <f t="shared" si="82"/>
        <v>0.10999999999999943</v>
      </c>
    </row>
    <row r="350" spans="1:61">
      <c r="A350" s="266">
        <v>39692</v>
      </c>
      <c r="B350" s="266"/>
      <c r="C350" s="277">
        <v>0.17713333333333309</v>
      </c>
      <c r="D350" s="276">
        <v>5.313999999999993</v>
      </c>
      <c r="E350" s="277">
        <v>5.4723666666666668</v>
      </c>
      <c r="F350" s="277">
        <f t="shared" si="89"/>
        <v>164.17099999999999</v>
      </c>
      <c r="G350" s="277">
        <v>120.376</v>
      </c>
      <c r="H350" s="281">
        <f t="shared" si="88"/>
        <v>0.73323546789627891</v>
      </c>
      <c r="I350" s="202">
        <v>2871.76</v>
      </c>
      <c r="J350" s="270">
        <v>47.71</v>
      </c>
      <c r="K350" s="270">
        <v>-3.2380459861563793E-2</v>
      </c>
      <c r="L350" s="202">
        <v>307.30500000000001</v>
      </c>
      <c r="M350" s="277">
        <v>251.02246605930003</v>
      </c>
      <c r="N350" s="202">
        <v>1398.248</v>
      </c>
      <c r="O350" s="270">
        <v>11.62</v>
      </c>
      <c r="P350" s="270">
        <v>-0.11948285464237252</v>
      </c>
      <c r="Q350" s="202">
        <v>1988.027</v>
      </c>
      <c r="R350" s="199">
        <v>0.80013966030749417</v>
      </c>
      <c r="S350" s="202">
        <v>496.57299999999987</v>
      </c>
      <c r="T350" s="286">
        <v>416.03399999999982</v>
      </c>
      <c r="U350" s="275"/>
      <c r="V350" s="278">
        <v>17.942</v>
      </c>
      <c r="W350" s="278">
        <v>25.436</v>
      </c>
      <c r="X350" s="278">
        <v>15.185</v>
      </c>
      <c r="Y350" s="278"/>
      <c r="Z350" s="278">
        <v>2.0840000000000001</v>
      </c>
      <c r="AA350" s="278">
        <v>17.009</v>
      </c>
      <c r="AB350" s="278">
        <v>28.739000000000001</v>
      </c>
      <c r="AC350" s="278">
        <v>13.981999999999999</v>
      </c>
      <c r="AD350" s="279">
        <v>120.376</v>
      </c>
      <c r="AE350" s="278">
        <f t="shared" si="84"/>
        <v>120.37700000000001</v>
      </c>
      <c r="AF350" s="278">
        <f t="shared" si="85"/>
        <v>1.0000000000047748E-3</v>
      </c>
      <c r="AG350" s="278">
        <f t="shared" si="83"/>
        <v>1.0000000000047748E-3</v>
      </c>
      <c r="AH350" s="202">
        <f t="shared" si="80"/>
        <v>2.5740000000000016</v>
      </c>
      <c r="AI350" s="202">
        <f t="shared" si="81"/>
        <v>59.33</v>
      </c>
      <c r="AJ350" s="285">
        <v>23.213999999999999</v>
      </c>
      <c r="AK350" s="285">
        <v>36.308999999999997</v>
      </c>
      <c r="AL350" s="285">
        <v>23.195</v>
      </c>
      <c r="AM350" s="285">
        <v>5.28</v>
      </c>
      <c r="AN350" s="285">
        <v>20.384</v>
      </c>
      <c r="AO350" s="285">
        <v>36.107999999999997</v>
      </c>
      <c r="AP350" s="285">
        <v>19.681999999999999</v>
      </c>
      <c r="AQ350" s="285">
        <v>164.17099999999999</v>
      </c>
      <c r="AR350" s="285">
        <v>0</v>
      </c>
      <c r="AS350" s="275"/>
      <c r="AT350" s="287">
        <v>0.77289566640820195</v>
      </c>
      <c r="AU350" s="287">
        <v>0.70054256520421943</v>
      </c>
      <c r="AV350" s="287">
        <v>0.65466695408493214</v>
      </c>
      <c r="AW350" s="287">
        <v>0.39469696969696971</v>
      </c>
      <c r="AX350" s="287">
        <v>0.83442896389324961</v>
      </c>
      <c r="AY350" s="287">
        <v>0.79591780214910834</v>
      </c>
      <c r="AZ350" s="287">
        <v>0.71039528503200899</v>
      </c>
      <c r="BA350" s="275"/>
      <c r="BB350" s="191">
        <v>1.0441450122948095</v>
      </c>
      <c r="BC350" s="275"/>
      <c r="BE350" s="274">
        <f>G350/30</f>
        <v>4.0125333333333337</v>
      </c>
      <c r="BF350" s="280">
        <f t="shared" si="78"/>
        <v>139.82900000000001</v>
      </c>
      <c r="BG350" s="154" t="str">
        <f t="shared" si="79"/>
        <v/>
      </c>
      <c r="BH350" s="270">
        <f t="shared" si="87"/>
        <v>1.4000000000000411E-2</v>
      </c>
      <c r="BI350" s="270">
        <f t="shared" si="82"/>
        <v>-0.15000000000000036</v>
      </c>
    </row>
    <row r="351" spans="1:61">
      <c r="A351" s="266">
        <v>39722</v>
      </c>
      <c r="B351" s="266"/>
      <c r="C351" s="277">
        <v>0.21461290322580709</v>
      </c>
      <c r="D351" s="276">
        <v>6.65300000000002</v>
      </c>
      <c r="E351" s="277">
        <v>5.5686774193548381</v>
      </c>
      <c r="F351" s="277">
        <f t="shared" si="89"/>
        <v>172.62899999999999</v>
      </c>
      <c r="G351" s="277">
        <v>143.39699999999999</v>
      </c>
      <c r="H351" s="281">
        <f t="shared" si="88"/>
        <v>0.83066576299463013</v>
      </c>
      <c r="I351" s="202">
        <v>3344.3739999999998</v>
      </c>
      <c r="J351" s="270">
        <v>46.64</v>
      </c>
      <c r="K351" s="270">
        <v>0.26969676774407958</v>
      </c>
      <c r="L351" s="202">
        <v>581.17499999999995</v>
      </c>
      <c r="M351" s="277">
        <v>89.070763275900049</v>
      </c>
      <c r="N351" s="202">
        <v>1655.55</v>
      </c>
      <c r="O351" s="270">
        <v>11.55</v>
      </c>
      <c r="P351" s="270">
        <v>-0.11447850716427865</v>
      </c>
      <c r="Q351" s="202">
        <v>1983.8710000000001</v>
      </c>
      <c r="R351" s="199">
        <v>0.83059284069499695</v>
      </c>
      <c r="S351" s="202">
        <v>404.62899999999991</v>
      </c>
      <c r="T351" s="286">
        <v>433.20633333333325</v>
      </c>
      <c r="U351" s="275"/>
      <c r="V351" s="278">
        <v>20.510999999999999</v>
      </c>
      <c r="W351" s="278">
        <v>32.103000000000002</v>
      </c>
      <c r="X351" s="278">
        <v>19.305</v>
      </c>
      <c r="Y351" s="278"/>
      <c r="Z351" s="278">
        <v>4.9340000000000002</v>
      </c>
      <c r="AA351" s="278">
        <v>20.414000000000001</v>
      </c>
      <c r="AB351" s="278">
        <v>29.545999999999999</v>
      </c>
      <c r="AC351" s="278">
        <v>16.584</v>
      </c>
      <c r="AD351" s="279">
        <v>143.39699999999999</v>
      </c>
      <c r="AE351" s="278">
        <f t="shared" si="84"/>
        <v>143.39700000000002</v>
      </c>
      <c r="AF351" s="278">
        <f t="shared" si="85"/>
        <v>0</v>
      </c>
      <c r="AG351" s="278">
        <f t="shared" si="83"/>
        <v>0</v>
      </c>
      <c r="AH351" s="202">
        <f t="shared" si="80"/>
        <v>0.80699999999999861</v>
      </c>
      <c r="AI351" s="202">
        <f t="shared" si="81"/>
        <v>58.19</v>
      </c>
      <c r="AJ351" s="285">
        <v>24.146000000000001</v>
      </c>
      <c r="AK351" s="285">
        <v>37.518999999999998</v>
      </c>
      <c r="AL351" s="285">
        <v>23.899000000000001</v>
      </c>
      <c r="AM351" s="285">
        <v>5.6059999999999999</v>
      </c>
      <c r="AN351" s="285">
        <v>23.797999999999998</v>
      </c>
      <c r="AO351" s="285">
        <v>37.323999999999998</v>
      </c>
      <c r="AP351" s="285">
        <v>20.338000000000001</v>
      </c>
      <c r="AQ351" s="285">
        <v>172.62899999999999</v>
      </c>
      <c r="AR351" s="285">
        <v>0</v>
      </c>
      <c r="AS351" s="275"/>
      <c r="AT351" s="287">
        <v>0.84945746707529191</v>
      </c>
      <c r="AU351" s="287">
        <v>0.85564647245395675</v>
      </c>
      <c r="AV351" s="287">
        <v>0.80777438386543365</v>
      </c>
      <c r="AW351" s="287">
        <v>0.88012843382090622</v>
      </c>
      <c r="AX351" s="287">
        <v>0.85780317673754114</v>
      </c>
      <c r="AY351" s="287">
        <v>0.79160861643982428</v>
      </c>
      <c r="AZ351" s="287">
        <v>0.81541941193824363</v>
      </c>
      <c r="BA351" s="275"/>
      <c r="BB351" s="191">
        <v>1.0463956707601973</v>
      </c>
      <c r="BC351" s="275"/>
      <c r="BE351" s="274">
        <f t="shared" si="86"/>
        <v>4.6257096774193549</v>
      </c>
      <c r="BF351" s="280">
        <f t="shared" si="78"/>
        <v>154.98400000000001</v>
      </c>
      <c r="BG351" s="154" t="str">
        <f t="shared" si="79"/>
        <v/>
      </c>
      <c r="BH351" s="270">
        <f t="shared" si="87"/>
        <v>-0.11599999999999966</v>
      </c>
      <c r="BI351" s="270">
        <f t="shared" si="82"/>
        <v>-6.9999999999998508E-2</v>
      </c>
    </row>
    <row r="352" spans="1:61">
      <c r="A352" s="266">
        <v>39753</v>
      </c>
      <c r="B352" s="266"/>
      <c r="C352" s="277">
        <v>0.17547777777777754</v>
      </c>
      <c r="D352" s="276">
        <v>5.264333333333326</v>
      </c>
      <c r="E352" s="277">
        <v>5.5687000000000006</v>
      </c>
      <c r="F352" s="277">
        <f t="shared" si="89"/>
        <v>167.06100000000001</v>
      </c>
      <c r="G352" s="277">
        <v>139.41900000000001</v>
      </c>
      <c r="H352" s="281">
        <f t="shared" si="88"/>
        <v>0.83453947959128705</v>
      </c>
      <c r="I352" s="202">
        <v>3273.0990000000002</v>
      </c>
      <c r="J352" s="270">
        <v>46.95</v>
      </c>
      <c r="K352" s="270">
        <v>0.23442575740121896</v>
      </c>
      <c r="L352" s="202">
        <v>409.459</v>
      </c>
      <c r="M352" s="277">
        <v>382.79693815970001</v>
      </c>
      <c r="N352" s="202">
        <v>1570.4010000000001</v>
      </c>
      <c r="O352" s="270">
        <v>11.26</v>
      </c>
      <c r="P352" s="270">
        <v>-4.3089505817301088E-2</v>
      </c>
      <c r="Q352" s="202">
        <v>2042.415</v>
      </c>
      <c r="R352" s="199">
        <v>0.81080389043271139</v>
      </c>
      <c r="S352" s="202">
        <v>476.58500000000004</v>
      </c>
      <c r="T352" s="286">
        <v>409.92366666666686</v>
      </c>
      <c r="U352" s="275"/>
      <c r="V352" s="278">
        <v>19.693000000000001</v>
      </c>
      <c r="W352" s="278">
        <v>30.143999999999998</v>
      </c>
      <c r="X352" s="278">
        <v>19.513999999999999</v>
      </c>
      <c r="Y352" s="278"/>
      <c r="Z352" s="278">
        <v>4.944</v>
      </c>
      <c r="AA352" s="278">
        <v>20.718</v>
      </c>
      <c r="AB352" s="278">
        <v>29.018999999999998</v>
      </c>
      <c r="AC352" s="278">
        <v>15.388</v>
      </c>
      <c r="AD352" s="279">
        <v>139.41900000000001</v>
      </c>
      <c r="AE352" s="278">
        <f t="shared" si="84"/>
        <v>139.42000000000002</v>
      </c>
      <c r="AF352" s="278">
        <f t="shared" si="85"/>
        <v>1.0000000000047748E-3</v>
      </c>
      <c r="AG352" s="278">
        <f t="shared" si="83"/>
        <v>1.0000000000047748E-3</v>
      </c>
      <c r="AH352" s="202">
        <f t="shared" si="80"/>
        <v>-0.52700000000000102</v>
      </c>
      <c r="AI352" s="202">
        <f t="shared" si="81"/>
        <v>58.21</v>
      </c>
      <c r="AJ352" s="285">
        <v>23.367000000000001</v>
      </c>
      <c r="AK352" s="285">
        <v>36.308999999999997</v>
      </c>
      <c r="AL352" s="285">
        <v>23.128</v>
      </c>
      <c r="AM352" s="285">
        <v>5.4260000000000002</v>
      </c>
      <c r="AN352" s="285">
        <v>23.03</v>
      </c>
      <c r="AO352" s="285">
        <v>36.119999999999997</v>
      </c>
      <c r="AP352" s="285">
        <v>19.681999999999999</v>
      </c>
      <c r="AQ352" s="285">
        <v>167.06100000000001</v>
      </c>
      <c r="AR352" s="285">
        <v>0</v>
      </c>
      <c r="AS352" s="275"/>
      <c r="AT352" s="287">
        <v>0.84276971797834555</v>
      </c>
      <c r="AU352" s="287">
        <v>0.83020738659836402</v>
      </c>
      <c r="AV352" s="287">
        <v>0.84373919059149083</v>
      </c>
      <c r="AW352" s="287">
        <v>0.91116844821231102</v>
      </c>
      <c r="AX352" s="287">
        <v>0.89960920538428135</v>
      </c>
      <c r="AY352" s="287">
        <v>0.80340531561461792</v>
      </c>
      <c r="AZ352" s="287">
        <v>0.78183111472411349</v>
      </c>
      <c r="BA352" s="275"/>
      <c r="BB352" s="191">
        <v>1.0377590811391082</v>
      </c>
      <c r="BC352" s="275"/>
      <c r="BE352" s="274">
        <f>G352/30</f>
        <v>4.6473000000000004</v>
      </c>
      <c r="BF352" s="280">
        <f t="shared" si="78"/>
        <v>148.19800000000001</v>
      </c>
      <c r="BG352" s="154" t="str">
        <f t="shared" si="79"/>
        <v/>
      </c>
      <c r="BH352" s="270">
        <f t="shared" si="87"/>
        <v>-9.8000000000000392E-2</v>
      </c>
      <c r="BI352" s="270">
        <f t="shared" si="82"/>
        <v>-0.29000000000000092</v>
      </c>
    </row>
    <row r="353" spans="1:61">
      <c r="A353" s="266">
        <v>39783</v>
      </c>
      <c r="B353" s="266"/>
      <c r="C353" s="277">
        <v>0.21160215053763412</v>
      </c>
      <c r="D353" s="276">
        <v>6.5596666666666579</v>
      </c>
      <c r="E353" s="277">
        <v>5.5686774193548381</v>
      </c>
      <c r="F353" s="277">
        <f t="shared" si="89"/>
        <v>172.62899999999999</v>
      </c>
      <c r="G353" s="277">
        <v>134.78700000000001</v>
      </c>
      <c r="H353" s="281">
        <f t="shared" si="88"/>
        <v>0.78079001789965774</v>
      </c>
      <c r="I353" s="202">
        <v>3176.2570000000001</v>
      </c>
      <c r="J353" s="270">
        <v>47.13</v>
      </c>
      <c r="K353" s="270">
        <v>0.21459013300631824</v>
      </c>
      <c r="L353" s="202">
        <v>607.70500000000004</v>
      </c>
      <c r="M353" s="277">
        <v>11.53154221310001</v>
      </c>
      <c r="N353" s="202">
        <v>1531.62</v>
      </c>
      <c r="O353" s="270">
        <v>11.36</v>
      </c>
      <c r="P353" s="270">
        <v>-6.1537590793319552E-2</v>
      </c>
      <c r="Q353" s="202">
        <v>2175.8359999999998</v>
      </c>
      <c r="R353" s="199">
        <v>0.82743991481594137</v>
      </c>
      <c r="S353" s="202">
        <v>453.76400000000058</v>
      </c>
      <c r="T353" s="286">
        <v>433.9813333333334</v>
      </c>
      <c r="U353" s="275"/>
      <c r="V353" s="278">
        <v>19.434000000000001</v>
      </c>
      <c r="W353" s="278">
        <v>26.780999999999999</v>
      </c>
      <c r="X353" s="278">
        <v>19.408999999999999</v>
      </c>
      <c r="Y353" s="278"/>
      <c r="Z353" s="278">
        <v>5.2030000000000003</v>
      </c>
      <c r="AA353" s="278">
        <v>19.088999999999999</v>
      </c>
      <c r="AB353" s="278">
        <v>30.175000000000001</v>
      </c>
      <c r="AC353" s="278">
        <v>14.696</v>
      </c>
      <c r="AD353" s="279">
        <v>134.78700000000001</v>
      </c>
      <c r="AE353" s="278">
        <f t="shared" si="84"/>
        <v>134.78700000000001</v>
      </c>
      <c r="AF353" s="278">
        <f t="shared" si="85"/>
        <v>0</v>
      </c>
      <c r="AG353" s="278">
        <f t="shared" si="83"/>
        <v>0</v>
      </c>
      <c r="AH353" s="202">
        <f t="shared" si="80"/>
        <v>1.1560000000000024</v>
      </c>
      <c r="AI353" s="202">
        <f t="shared" si="81"/>
        <v>58.49</v>
      </c>
      <c r="AJ353" s="285">
        <v>24.146000000000001</v>
      </c>
      <c r="AK353" s="285">
        <v>37.518999999999998</v>
      </c>
      <c r="AL353" s="285">
        <v>23.899000000000001</v>
      </c>
      <c r="AM353" s="285">
        <v>5.6059999999999999</v>
      </c>
      <c r="AN353" s="285">
        <v>23.797999999999998</v>
      </c>
      <c r="AO353" s="285">
        <v>37.323999999999998</v>
      </c>
      <c r="AP353" s="285">
        <v>20.338000000000001</v>
      </c>
      <c r="AQ353" s="285">
        <v>172.62899999999999</v>
      </c>
      <c r="AR353" s="285">
        <v>0</v>
      </c>
      <c r="AS353" s="275"/>
      <c r="AT353" s="287">
        <v>0.80485380601341838</v>
      </c>
      <c r="AU353" s="287">
        <v>0.71379834217329885</v>
      </c>
      <c r="AV353" s="287">
        <v>0.81212603037784004</v>
      </c>
      <c r="AW353" s="287">
        <v>0.92811273635390656</v>
      </c>
      <c r="AX353" s="287">
        <v>0.80212622909488196</v>
      </c>
      <c r="AY353" s="287">
        <v>0.80846104383238671</v>
      </c>
      <c r="AZ353" s="287">
        <v>0.72258825843249086</v>
      </c>
      <c r="BA353" s="275"/>
      <c r="BB353" s="191">
        <v>1.0486669090243619</v>
      </c>
      <c r="BC353" s="275"/>
      <c r="BE353" s="274">
        <f t="shared" si="86"/>
        <v>4.3479677419354843</v>
      </c>
      <c r="BF353" s="280">
        <f t="shared" si="78"/>
        <v>155.90700000000001</v>
      </c>
      <c r="BG353" s="154" t="str">
        <f t="shared" si="79"/>
        <v/>
      </c>
      <c r="BH353" s="270">
        <f t="shared" si="87"/>
        <v>4.3999999999999775E-2</v>
      </c>
      <c r="BI353" s="270">
        <f t="shared" si="82"/>
        <v>9.9999999999999645E-2</v>
      </c>
    </row>
    <row r="354" spans="1:61">
      <c r="A354" s="266">
        <v>39814</v>
      </c>
      <c r="B354" s="266"/>
      <c r="C354" s="277">
        <v>0.19690215053763388</v>
      </c>
      <c r="D354" s="276">
        <v>6.1039666666666506</v>
      </c>
      <c r="E354" s="277">
        <v>5.5870645161290327</v>
      </c>
      <c r="F354" s="277">
        <f t="shared" si="89"/>
        <v>173.19900000000001</v>
      </c>
      <c r="G354" s="277">
        <v>139.1</v>
      </c>
      <c r="H354" s="281">
        <f t="shared" si="88"/>
        <v>0.80312241987540334</v>
      </c>
      <c r="I354" s="202">
        <v>3285.7289999999998</v>
      </c>
      <c r="J354" s="270">
        <v>47.24</v>
      </c>
      <c r="K354" s="270">
        <v>0.13040810868574226</v>
      </c>
      <c r="L354" s="202">
        <v>600.82299999999998</v>
      </c>
      <c r="M354" s="277">
        <v>276.11698865480014</v>
      </c>
      <c r="N354" s="202">
        <v>1572.0329999999999</v>
      </c>
      <c r="O354" s="270">
        <v>11.3</v>
      </c>
      <c r="P354" s="270">
        <v>-0.17702562762863039</v>
      </c>
      <c r="Q354" s="202">
        <v>2393.5239999999999</v>
      </c>
      <c r="R354" s="199">
        <v>0.79989439561541298</v>
      </c>
      <c r="S354" s="202">
        <v>598.77599999999984</v>
      </c>
      <c r="T354" s="286">
        <v>540.74933333333342</v>
      </c>
      <c r="U354" s="275"/>
      <c r="V354" s="278">
        <v>19.125</v>
      </c>
      <c r="W354" s="278">
        <v>27.382000000000001</v>
      </c>
      <c r="X354" s="278">
        <v>20.460999999999999</v>
      </c>
      <c r="Y354" s="278"/>
      <c r="Z354" s="278">
        <v>5.2729999999999997</v>
      </c>
      <c r="AA354" s="278">
        <v>20.826000000000001</v>
      </c>
      <c r="AB354" s="278">
        <v>30.693000000000001</v>
      </c>
      <c r="AC354" s="278">
        <v>15.34</v>
      </c>
      <c r="AD354" s="279">
        <v>139.1</v>
      </c>
      <c r="AE354" s="278">
        <f t="shared" si="84"/>
        <v>139.1</v>
      </c>
      <c r="AF354" s="278">
        <f t="shared" si="85"/>
        <v>0</v>
      </c>
      <c r="AG354" s="278">
        <f t="shared" si="83"/>
        <v>0</v>
      </c>
      <c r="AH354" s="202">
        <f t="shared" si="80"/>
        <v>0.51800000000000068</v>
      </c>
      <c r="AI354" s="202">
        <f t="shared" si="81"/>
        <v>58.540000000000006</v>
      </c>
      <c r="AJ354" s="285">
        <v>24.135000000000002</v>
      </c>
      <c r="AK354" s="285">
        <v>37.472999999999999</v>
      </c>
      <c r="AL354" s="285">
        <v>23.844000000000001</v>
      </c>
      <c r="AM354" s="285">
        <v>5.5810000000000004</v>
      </c>
      <c r="AN354" s="285">
        <v>24.504999999999999</v>
      </c>
      <c r="AO354" s="285">
        <v>37.393999999999998</v>
      </c>
      <c r="AP354" s="285">
        <v>20.268000000000001</v>
      </c>
      <c r="AQ354" s="285">
        <v>173.19900000000001</v>
      </c>
      <c r="AR354" s="285">
        <v>0</v>
      </c>
      <c r="AS354" s="275"/>
      <c r="AT354" s="287">
        <v>0.79241765071472958</v>
      </c>
      <c r="AU354" s="287">
        <v>0.73071277986817185</v>
      </c>
      <c r="AV354" s="287">
        <v>0.85811944304646859</v>
      </c>
      <c r="AW354" s="287">
        <v>0.94481275757032779</v>
      </c>
      <c r="AX354" s="287">
        <v>0.8498673740053051</v>
      </c>
      <c r="AY354" s="287">
        <v>0.820800128362839</v>
      </c>
      <c r="AZ354" s="287">
        <v>0.75685810144069465</v>
      </c>
      <c r="BA354" s="275"/>
      <c r="BB354" s="191">
        <v>1.0438818595734483</v>
      </c>
      <c r="BC354" s="275"/>
      <c r="BE354" s="274">
        <f t="shared" si="86"/>
        <v>4.4870967741935486</v>
      </c>
      <c r="BF354" s="280">
        <f t="shared" si="78"/>
        <v>152.43899999999999</v>
      </c>
      <c r="BG354" s="154" t="str">
        <f t="shared" si="79"/>
        <v/>
      </c>
      <c r="BH354" s="270">
        <f t="shared" si="87"/>
        <v>4.2000000000000169E-2</v>
      </c>
      <c r="BI354" s="270">
        <f t="shared" si="82"/>
        <v>-5.9999999999998721E-2</v>
      </c>
    </row>
    <row r="355" spans="1:61">
      <c r="A355" s="266">
        <v>39845</v>
      </c>
      <c r="B355" s="266"/>
      <c r="C355" s="277">
        <v>0.23959523809523781</v>
      </c>
      <c r="D355" s="276">
        <v>6.7086666666666588</v>
      </c>
      <c r="E355" s="277">
        <v>5.587071428571428</v>
      </c>
      <c r="F355" s="277">
        <f t="shared" si="89"/>
        <v>156.43799999999999</v>
      </c>
      <c r="G355" s="277">
        <v>128.66800000000001</v>
      </c>
      <c r="H355" s="281">
        <f t="shared" si="88"/>
        <v>0.82248558534371452</v>
      </c>
      <c r="I355" s="202">
        <v>3032.33</v>
      </c>
      <c r="J355" s="270">
        <v>47.13</v>
      </c>
      <c r="K355" s="270">
        <v>0.191301061236544</v>
      </c>
      <c r="L355" s="202">
        <v>649.99300000000005</v>
      </c>
      <c r="M355" s="277">
        <v>69.364907107699992</v>
      </c>
      <c r="N355" s="202">
        <v>1468.096</v>
      </c>
      <c r="O355" s="270">
        <v>11.41</v>
      </c>
      <c r="P355" s="270">
        <v>-6.3140619998524272E-2</v>
      </c>
      <c r="Q355" s="202">
        <v>2500.9110000000001</v>
      </c>
      <c r="R355" s="199">
        <v>0.80052207035626266</v>
      </c>
      <c r="S355" s="202">
        <v>623.18899999999985</v>
      </c>
      <c r="T355" s="286">
        <v>499.2970000000002</v>
      </c>
      <c r="U355" s="275"/>
      <c r="V355" s="278">
        <v>17.652999999999999</v>
      </c>
      <c r="W355" s="278">
        <v>27.446000000000002</v>
      </c>
      <c r="X355" s="278">
        <v>18.82</v>
      </c>
      <c r="Y355" s="278"/>
      <c r="Z355" s="278">
        <v>4.9050000000000002</v>
      </c>
      <c r="AA355" s="278">
        <v>18.315000000000001</v>
      </c>
      <c r="AB355" s="278">
        <v>27.981000000000002</v>
      </c>
      <c r="AC355" s="278">
        <v>13.547000000000001</v>
      </c>
      <c r="AD355" s="279">
        <v>128.66800000000001</v>
      </c>
      <c r="AE355" s="278">
        <f t="shared" si="84"/>
        <v>128.667</v>
      </c>
      <c r="AF355" s="278">
        <f t="shared" si="85"/>
        <v>-1.0000000000047748E-3</v>
      </c>
      <c r="AG355" s="278">
        <f t="shared" si="83"/>
        <v>-1.0000000000047748E-3</v>
      </c>
      <c r="AH355" s="202">
        <f t="shared" si="80"/>
        <v>-2.7119999999999997</v>
      </c>
      <c r="AI355" s="202">
        <f t="shared" si="81"/>
        <v>58.540000000000006</v>
      </c>
      <c r="AJ355" s="285">
        <v>21.798999999999999</v>
      </c>
      <c r="AK355" s="285">
        <v>33.847000000000001</v>
      </c>
      <c r="AL355" s="285">
        <v>21.536999999999999</v>
      </c>
      <c r="AM355" s="285">
        <v>5.0410000000000004</v>
      </c>
      <c r="AN355" s="285">
        <v>22.132999999999999</v>
      </c>
      <c r="AO355" s="285">
        <v>33.774999999999999</v>
      </c>
      <c r="AP355" s="285">
        <v>18.306000000000001</v>
      </c>
      <c r="AQ355" s="285">
        <v>156.43799999999999</v>
      </c>
      <c r="AR355" s="285">
        <v>0</v>
      </c>
      <c r="AS355" s="275"/>
      <c r="AT355" s="287">
        <v>0.80980778934813524</v>
      </c>
      <c r="AU355" s="287">
        <v>0.81088427334771174</v>
      </c>
      <c r="AV355" s="287">
        <v>0.87384501091145472</v>
      </c>
      <c r="AW355" s="287">
        <v>0.97302122594723262</v>
      </c>
      <c r="AX355" s="287">
        <v>0.82749740206930833</v>
      </c>
      <c r="AY355" s="287">
        <v>0.82845299777942272</v>
      </c>
      <c r="AZ355" s="287">
        <v>0.74003059106303948</v>
      </c>
      <c r="BA355" s="275"/>
      <c r="BB355" s="191">
        <v>1.052139356068849</v>
      </c>
      <c r="BC355" s="275"/>
      <c r="BE355" s="274">
        <f>G355/28</f>
        <v>4.5952857142857146</v>
      </c>
      <c r="BF355" s="280">
        <f t="shared" si="78"/>
        <v>138.923</v>
      </c>
      <c r="BG355" s="154" t="str">
        <f t="shared" si="79"/>
        <v/>
      </c>
      <c r="BH355" s="270">
        <f t="shared" si="87"/>
        <v>4.5999999999999729E-2</v>
      </c>
      <c r="BI355" s="270">
        <f t="shared" si="82"/>
        <v>0.10999999999999943</v>
      </c>
    </row>
    <row r="356" spans="1:61">
      <c r="A356" s="266">
        <v>39873</v>
      </c>
      <c r="B356" s="266"/>
      <c r="C356" s="277">
        <v>0.22998924731182838</v>
      </c>
      <c r="D356" s="276">
        <v>7.1296666666666795</v>
      </c>
      <c r="E356" s="277">
        <v>5.5870645161290327</v>
      </c>
      <c r="F356" s="277">
        <f t="shared" si="89"/>
        <v>173.19900000000001</v>
      </c>
      <c r="G356" s="277">
        <v>137.25700000000001</v>
      </c>
      <c r="H356" s="281">
        <f t="shared" si="88"/>
        <v>0.79248148083995862</v>
      </c>
      <c r="I356" s="202">
        <v>3249.6909999999998</v>
      </c>
      <c r="J356" s="270">
        <v>47.35</v>
      </c>
      <c r="K356" s="270">
        <v>8.9283405669952742E-2</v>
      </c>
      <c r="L356" s="202">
        <v>504.32900000000001</v>
      </c>
      <c r="M356" s="277">
        <v>296.13981649629983</v>
      </c>
      <c r="N356" s="202">
        <v>1567.0740000000001</v>
      </c>
      <c r="O356" s="270">
        <v>11.42</v>
      </c>
      <c r="P356" s="270">
        <v>-8.9313879397913354E-2</v>
      </c>
      <c r="Q356" s="202">
        <v>2592.5039999999999</v>
      </c>
      <c r="R356" s="199">
        <v>0.81228976062163183</v>
      </c>
      <c r="S356" s="202">
        <v>599.096</v>
      </c>
      <c r="T356" s="286">
        <v>487.29299999999995</v>
      </c>
      <c r="U356" s="275"/>
      <c r="V356" s="278">
        <v>18.658000000000001</v>
      </c>
      <c r="W356" s="278">
        <v>27.643000000000001</v>
      </c>
      <c r="X356" s="278">
        <v>21.837</v>
      </c>
      <c r="Y356" s="278"/>
      <c r="Z356" s="278">
        <v>4.9180000000000001</v>
      </c>
      <c r="AA356" s="278">
        <v>18.731999999999999</v>
      </c>
      <c r="AB356" s="278">
        <v>31.262</v>
      </c>
      <c r="AC356" s="278">
        <v>14.205</v>
      </c>
      <c r="AD356" s="279">
        <v>137.25700000000001</v>
      </c>
      <c r="AE356" s="278">
        <f t="shared" si="84"/>
        <v>137.25500000000002</v>
      </c>
      <c r="AF356" s="278">
        <f t="shared" si="85"/>
        <v>-1.999999999981128E-3</v>
      </c>
      <c r="AG356" s="278">
        <f t="shared" si="83"/>
        <v>-1.999999999981128E-3</v>
      </c>
      <c r="AH356" s="202">
        <f t="shared" si="80"/>
        <v>3.2809999999999988</v>
      </c>
      <c r="AI356" s="202">
        <f t="shared" si="81"/>
        <v>58.77</v>
      </c>
      <c r="AJ356" s="285">
        <v>24.135000000000002</v>
      </c>
      <c r="AK356" s="285">
        <v>37.472999999999999</v>
      </c>
      <c r="AL356" s="285">
        <v>23.844000000000001</v>
      </c>
      <c r="AM356" s="285">
        <v>5.5810000000000004</v>
      </c>
      <c r="AN356" s="285">
        <v>24.504999999999999</v>
      </c>
      <c r="AO356" s="285">
        <v>37.393999999999998</v>
      </c>
      <c r="AP356" s="285">
        <v>20.268000000000001</v>
      </c>
      <c r="AQ356" s="285">
        <v>173.19900000000001</v>
      </c>
      <c r="AR356" s="285">
        <v>0</v>
      </c>
      <c r="AS356" s="275"/>
      <c r="AT356" s="287">
        <v>0.77306815827636211</v>
      </c>
      <c r="AU356" s="287">
        <v>0.73767779467883543</v>
      </c>
      <c r="AV356" s="287">
        <v>0.91582788122798187</v>
      </c>
      <c r="AW356" s="287">
        <v>0.88120408528937466</v>
      </c>
      <c r="AX356" s="287">
        <v>0.76441542542338303</v>
      </c>
      <c r="AY356" s="287">
        <v>0.8360164732309997</v>
      </c>
      <c r="AZ356" s="287">
        <v>0.70085849615156892</v>
      </c>
      <c r="BA356" s="275"/>
      <c r="BB356" s="191">
        <v>1.0519439202857901</v>
      </c>
      <c r="BC356" s="275"/>
      <c r="BE356" s="274">
        <f t="shared" si="86"/>
        <v>4.4276451612903225</v>
      </c>
      <c r="BF356" s="280">
        <f t="shared" si="78"/>
        <v>148.16499999999999</v>
      </c>
      <c r="BG356" s="154" t="str">
        <f t="shared" si="79"/>
        <v/>
      </c>
      <c r="BH356" s="270">
        <f t="shared" si="87"/>
        <v>2.8000000000000115E-2</v>
      </c>
      <c r="BI356" s="270">
        <f t="shared" si="82"/>
        <v>9.9999999999997868E-3</v>
      </c>
    </row>
    <row r="357" spans="1:61">
      <c r="A357" s="266">
        <v>39904</v>
      </c>
      <c r="B357" s="266"/>
      <c r="C357" s="277">
        <v>0.20616666666666675</v>
      </c>
      <c r="D357" s="276">
        <v>6.1850000000000023</v>
      </c>
      <c r="E357" s="277">
        <v>5.5897666666666668</v>
      </c>
      <c r="F357" s="277">
        <f t="shared" si="89"/>
        <v>167.69300000000001</v>
      </c>
      <c r="G357" s="277">
        <v>134.11500000000001</v>
      </c>
      <c r="H357" s="281">
        <f t="shared" si="88"/>
        <v>0.7997650468415497</v>
      </c>
      <c r="I357" s="202">
        <v>3185.614</v>
      </c>
      <c r="J357" s="270">
        <v>47.35</v>
      </c>
      <c r="K357" s="270">
        <v>0.20381325730576805</v>
      </c>
      <c r="L357" s="202">
        <v>632.91600000000005</v>
      </c>
      <c r="M357" s="277">
        <v>226.63668609630008</v>
      </c>
      <c r="N357" s="202">
        <v>1520.5350000000001</v>
      </c>
      <c r="O357" s="270">
        <v>11.34</v>
      </c>
      <c r="P357" s="270">
        <v>3.5623663578046916E-2</v>
      </c>
      <c r="Q357" s="202">
        <v>2709.9540000000002</v>
      </c>
      <c r="R357" s="199">
        <v>0.8263566506068184</v>
      </c>
      <c r="S357" s="202">
        <v>569.44599999999991</v>
      </c>
      <c r="T357" s="286">
        <v>486.13633333333314</v>
      </c>
      <c r="U357" s="275"/>
      <c r="V357" s="278">
        <v>18.986999999999998</v>
      </c>
      <c r="W357" s="278">
        <v>27.747</v>
      </c>
      <c r="X357" s="278">
        <v>20.908999999999999</v>
      </c>
      <c r="Y357" s="278"/>
      <c r="Z357" s="278">
        <v>4.9290000000000003</v>
      </c>
      <c r="AA357" s="278">
        <v>19.286999999999999</v>
      </c>
      <c r="AB357" s="278">
        <v>29.608000000000001</v>
      </c>
      <c r="AC357" s="278">
        <v>12.648</v>
      </c>
      <c r="AD357" s="279">
        <v>134.11500000000001</v>
      </c>
      <c r="AE357" s="278">
        <f t="shared" si="84"/>
        <v>134.11500000000001</v>
      </c>
      <c r="AF357" s="278">
        <f t="shared" si="85"/>
        <v>0</v>
      </c>
      <c r="AG357" s="278">
        <f t="shared" si="83"/>
        <v>0</v>
      </c>
      <c r="AH357" s="202">
        <f t="shared" si="80"/>
        <v>-1.6539999999999999</v>
      </c>
      <c r="AI357" s="202">
        <f t="shared" si="81"/>
        <v>58.69</v>
      </c>
      <c r="AJ357" s="285">
        <v>23.17</v>
      </c>
      <c r="AK357" s="285">
        <v>36.354999999999997</v>
      </c>
      <c r="AL357" s="285">
        <v>23.288</v>
      </c>
      <c r="AM357" s="285">
        <v>5.3780000000000001</v>
      </c>
      <c r="AN357" s="285">
        <v>23.763000000000002</v>
      </c>
      <c r="AO357" s="285">
        <v>36.125</v>
      </c>
      <c r="AP357" s="285">
        <v>19.614000000000001</v>
      </c>
      <c r="AQ357" s="285">
        <v>167.69300000000001</v>
      </c>
      <c r="AR357" s="285">
        <v>0</v>
      </c>
      <c r="AS357" s="275"/>
      <c r="AT357" s="287">
        <v>0.8194648252050063</v>
      </c>
      <c r="AU357" s="287">
        <v>0.76322376564434058</v>
      </c>
      <c r="AV357" s="287">
        <v>0.8978443833734111</v>
      </c>
      <c r="AW357" s="287">
        <v>0.91651171439196732</v>
      </c>
      <c r="AX357" s="287">
        <v>0.81163994445145804</v>
      </c>
      <c r="AY357" s="287">
        <v>0.81959861591695504</v>
      </c>
      <c r="AZ357" s="287">
        <v>0.64484551850718874</v>
      </c>
      <c r="BA357" s="275"/>
      <c r="BB357" s="191">
        <v>1.0461171382768519</v>
      </c>
      <c r="BC357" s="275"/>
      <c r="BE357" s="274">
        <f>G357/30</f>
        <v>4.4705000000000004</v>
      </c>
      <c r="BF357" s="280">
        <f t="shared" si="78"/>
        <v>139.96600000000001</v>
      </c>
      <c r="BG357" s="154" t="str">
        <f t="shared" si="79"/>
        <v/>
      </c>
      <c r="BH357" s="270">
        <f t="shared" si="87"/>
        <v>-1.2000000000000099E-2</v>
      </c>
      <c r="BI357" s="270">
        <f t="shared" si="82"/>
        <v>-8.0000000000000071E-2</v>
      </c>
    </row>
    <row r="358" spans="1:61">
      <c r="A358" s="266">
        <v>39934</v>
      </c>
      <c r="B358" s="266"/>
      <c r="C358" s="277">
        <v>0.12906451612903241</v>
      </c>
      <c r="D358" s="276">
        <v>4.0010000000000048</v>
      </c>
      <c r="E358" s="277">
        <v>5.5897741935483864</v>
      </c>
      <c r="F358" s="277">
        <f t="shared" si="89"/>
        <v>173.28299999999999</v>
      </c>
      <c r="G358" s="277">
        <v>142.16900000000001</v>
      </c>
      <c r="H358" s="281">
        <f t="shared" si="88"/>
        <v>0.82044401355008867</v>
      </c>
      <c r="I358" s="202">
        <v>3377.2539999999999</v>
      </c>
      <c r="J358" s="270">
        <v>47.51</v>
      </c>
      <c r="K358" s="270">
        <v>0.3849168776082621</v>
      </c>
      <c r="L358" s="202">
        <v>612.68799999999999</v>
      </c>
      <c r="M358" s="277">
        <v>132.72027181520059</v>
      </c>
      <c r="N358" s="202">
        <v>1629.3530000000001</v>
      </c>
      <c r="O358" s="270">
        <v>11.46</v>
      </c>
      <c r="P358" s="270">
        <v>5.5358828761029599E-2</v>
      </c>
      <c r="Q358" s="202">
        <v>2695.944</v>
      </c>
      <c r="R358" s="199">
        <v>0.80748315212507871</v>
      </c>
      <c r="S358" s="202">
        <v>642.75599999999986</v>
      </c>
      <c r="T358" s="286">
        <v>488.17766666666677</v>
      </c>
      <c r="U358" s="275"/>
      <c r="V358" s="278">
        <v>20.911000000000001</v>
      </c>
      <c r="W358" s="278">
        <v>29.802</v>
      </c>
      <c r="X358" s="278">
        <v>21.22</v>
      </c>
      <c r="Y358" s="278"/>
      <c r="Z358" s="278">
        <v>5.5439999999999996</v>
      </c>
      <c r="AA358" s="278">
        <v>18.995999999999999</v>
      </c>
      <c r="AB358" s="278">
        <v>30.32</v>
      </c>
      <c r="AC358" s="278">
        <v>15.375999999999999</v>
      </c>
      <c r="AD358" s="279">
        <v>142.16900000000001</v>
      </c>
      <c r="AE358" s="278">
        <f t="shared" si="84"/>
        <v>142.16899999999998</v>
      </c>
      <c r="AF358" s="278">
        <f t="shared" si="85"/>
        <v>0</v>
      </c>
      <c r="AG358" s="278">
        <f t="shared" si="83"/>
        <v>0</v>
      </c>
      <c r="AH358" s="202">
        <f t="shared" si="80"/>
        <v>0.71199999999999974</v>
      </c>
      <c r="AI358" s="202">
        <f t="shared" si="81"/>
        <v>58.97</v>
      </c>
      <c r="AJ358" s="285">
        <v>23.942</v>
      </c>
      <c r="AK358" s="285">
        <v>37.566000000000003</v>
      </c>
      <c r="AL358" s="285">
        <v>24.064</v>
      </c>
      <c r="AM358" s="285">
        <v>5.5579999999999998</v>
      </c>
      <c r="AN358" s="285">
        <v>24.555</v>
      </c>
      <c r="AO358" s="285">
        <v>37.33</v>
      </c>
      <c r="AP358" s="285">
        <v>20.268000000000001</v>
      </c>
      <c r="AQ358" s="285">
        <v>173.28299999999999</v>
      </c>
      <c r="AR358" s="285">
        <v>0</v>
      </c>
      <c r="AS358" s="275"/>
      <c r="AT358" s="287">
        <v>0.87340238910700863</v>
      </c>
      <c r="AU358" s="287">
        <v>0.79332375019964851</v>
      </c>
      <c r="AV358" s="287">
        <v>0.88181515957446799</v>
      </c>
      <c r="AW358" s="287">
        <v>0.99748110831234249</v>
      </c>
      <c r="AX358" s="287">
        <v>0.77361026267562605</v>
      </c>
      <c r="AY358" s="287">
        <v>0.81221537637289043</v>
      </c>
      <c r="AZ358" s="287">
        <v>0.75863430037497526</v>
      </c>
      <c r="BA358" s="275"/>
      <c r="BB358" s="191">
        <v>1.0281425627246445</v>
      </c>
      <c r="BC358" s="275"/>
      <c r="BE358" s="274">
        <f t="shared" si="86"/>
        <v>4.5860967741935488</v>
      </c>
      <c r="BF358" s="280">
        <f t="shared" si="78"/>
        <v>144.00200000000001</v>
      </c>
      <c r="BG358" s="154" t="str">
        <f t="shared" si="79"/>
        <v/>
      </c>
      <c r="BH358" s="270">
        <f t="shared" si="87"/>
        <v>4.4000000000000129E-2</v>
      </c>
      <c r="BI358" s="270">
        <f t="shared" si="82"/>
        <v>0.12000000000000099</v>
      </c>
    </row>
    <row r="359" spans="1:61">
      <c r="A359" s="266">
        <v>39965</v>
      </c>
      <c r="B359" s="266"/>
      <c r="C359" s="277">
        <v>0.2317222222222218</v>
      </c>
      <c r="D359" s="276">
        <v>6.9516666666666538</v>
      </c>
      <c r="E359" s="277">
        <v>5.5897666666666668</v>
      </c>
      <c r="F359" s="277">
        <f t="shared" si="89"/>
        <v>167.69300000000001</v>
      </c>
      <c r="G359" s="277">
        <v>133.14500000000001</v>
      </c>
      <c r="H359" s="281">
        <f t="shared" si="88"/>
        <v>0.79398066705229198</v>
      </c>
      <c r="I359" s="202">
        <v>3147.241</v>
      </c>
      <c r="J359" s="270">
        <v>47.28</v>
      </c>
      <c r="K359" s="270">
        <v>0.16152846843845481</v>
      </c>
      <c r="L359" s="202">
        <v>608.91200000000003</v>
      </c>
      <c r="M359" s="277">
        <v>356.09999200839991</v>
      </c>
      <c r="N359" s="202">
        <v>1530.366</v>
      </c>
      <c r="O359" s="270">
        <v>11.49</v>
      </c>
      <c r="P359" s="270">
        <v>-3.8621190130623262E-2</v>
      </c>
      <c r="Q359" s="202">
        <v>2907.181</v>
      </c>
      <c r="R359" s="199">
        <v>0.82349403733393756</v>
      </c>
      <c r="S359" s="202">
        <v>623.11900000000014</v>
      </c>
      <c r="T359" s="286">
        <v>444.31433333333331</v>
      </c>
      <c r="U359" s="275"/>
      <c r="V359" s="278">
        <v>19.808</v>
      </c>
      <c r="W359" s="278">
        <v>28.366</v>
      </c>
      <c r="X359" s="278">
        <v>18.370999999999999</v>
      </c>
      <c r="Y359" s="278"/>
      <c r="Z359" s="278">
        <v>3.81</v>
      </c>
      <c r="AA359" s="278">
        <v>17.295999999999999</v>
      </c>
      <c r="AB359" s="278">
        <v>31.684999999999999</v>
      </c>
      <c r="AC359" s="278">
        <v>13.81</v>
      </c>
      <c r="AD359" s="279">
        <v>133.14500000000001</v>
      </c>
      <c r="AE359" s="278">
        <f t="shared" si="84"/>
        <v>133.14600000000002</v>
      </c>
      <c r="AF359" s="278">
        <f t="shared" si="85"/>
        <v>1.0000000000047748E-3</v>
      </c>
      <c r="AG359" s="278">
        <f t="shared" si="83"/>
        <v>1.0000000000047748E-3</v>
      </c>
      <c r="AH359" s="202">
        <f t="shared" si="80"/>
        <v>1.3649999999999984</v>
      </c>
      <c r="AI359" s="202">
        <f t="shared" si="81"/>
        <v>58.77</v>
      </c>
      <c r="AJ359" s="285">
        <v>23.17</v>
      </c>
      <c r="AK359" s="285">
        <v>36.354999999999997</v>
      </c>
      <c r="AL359" s="285">
        <v>23.288</v>
      </c>
      <c r="AM359" s="285">
        <v>5.3780000000000001</v>
      </c>
      <c r="AN359" s="285">
        <v>23.763000000000002</v>
      </c>
      <c r="AO359" s="285">
        <v>36.125</v>
      </c>
      <c r="AP359" s="285">
        <v>19.614000000000001</v>
      </c>
      <c r="AQ359" s="285">
        <v>167.69300000000001</v>
      </c>
      <c r="AR359" s="285">
        <v>0</v>
      </c>
      <c r="AS359" s="275"/>
      <c r="AT359" s="287">
        <v>0.85489857574449712</v>
      </c>
      <c r="AU359" s="287">
        <v>0.78025030944849405</v>
      </c>
      <c r="AV359" s="287">
        <v>0.78886121607694948</v>
      </c>
      <c r="AW359" s="287">
        <v>0.70844179992562295</v>
      </c>
      <c r="AX359" s="287">
        <v>0.72785422715987036</v>
      </c>
      <c r="AY359" s="287">
        <v>0.87709342560553627</v>
      </c>
      <c r="AZ359" s="287">
        <v>0.70408891608035074</v>
      </c>
      <c r="BA359" s="275"/>
      <c r="BB359" s="191">
        <v>1.0522112483883483</v>
      </c>
      <c r="BC359" s="275"/>
      <c r="BE359" s="274">
        <f>G359/30</f>
        <v>4.4381666666666666</v>
      </c>
      <c r="BF359" s="280">
        <f t="shared" si="78"/>
        <v>141.583</v>
      </c>
      <c r="BG359" s="154" t="str">
        <f t="shared" si="79"/>
        <v/>
      </c>
      <c r="BH359" s="270">
        <f t="shared" si="87"/>
        <v>1.4000000000000058E-2</v>
      </c>
      <c r="BI359" s="270">
        <f t="shared" si="82"/>
        <v>2.9999999999999361E-2</v>
      </c>
    </row>
    <row r="360" spans="1:61">
      <c r="A360" s="266">
        <v>39995</v>
      </c>
      <c r="B360" s="266"/>
      <c r="C360" s="277">
        <v>0.25376344086021485</v>
      </c>
      <c r="D360" s="276">
        <v>7.86666666666666</v>
      </c>
      <c r="E360" s="277">
        <v>5.545064516129032</v>
      </c>
      <c r="F360" s="277">
        <f t="shared" si="89"/>
        <v>171.89699999999999</v>
      </c>
      <c r="G360" s="277">
        <v>120.92</v>
      </c>
      <c r="H360" s="281">
        <f t="shared" si="88"/>
        <v>0.70344450455796204</v>
      </c>
      <c r="I360" s="202">
        <v>2872.4319999999998</v>
      </c>
      <c r="J360" s="270">
        <v>47.51</v>
      </c>
      <c r="K360" s="270">
        <v>0.11449528936743292</v>
      </c>
      <c r="L360" s="202">
        <v>413.83300000000003</v>
      </c>
      <c r="M360" s="277">
        <v>219.05864018779965</v>
      </c>
      <c r="N360" s="202">
        <v>1394.3720000000001</v>
      </c>
      <c r="O360" s="270">
        <v>11.53</v>
      </c>
      <c r="P360" s="270">
        <v>-0.12198674811056875</v>
      </c>
      <c r="Q360" s="202">
        <v>2804.0369999999998</v>
      </c>
      <c r="R360" s="199">
        <v>0.81302357273333525</v>
      </c>
      <c r="S360" s="202">
        <v>644.86299999999983</v>
      </c>
      <c r="T360" s="286">
        <v>465.14866666666666</v>
      </c>
      <c r="U360" s="275"/>
      <c r="V360" s="278">
        <v>12.786</v>
      </c>
      <c r="W360" s="278">
        <v>26.587</v>
      </c>
      <c r="X360" s="278">
        <v>20.145</v>
      </c>
      <c r="Y360" s="278"/>
      <c r="Z360" s="278">
        <v>2.74</v>
      </c>
      <c r="AA360" s="278">
        <v>17.271000000000001</v>
      </c>
      <c r="AB360" s="278">
        <v>27.573</v>
      </c>
      <c r="AC360" s="278">
        <v>13.818</v>
      </c>
      <c r="AD360" s="279">
        <v>120.92</v>
      </c>
      <c r="AE360" s="278">
        <f t="shared" si="84"/>
        <v>120.92</v>
      </c>
      <c r="AF360" s="278">
        <f t="shared" si="85"/>
        <v>0</v>
      </c>
      <c r="AG360" s="278">
        <f t="shared" si="83"/>
        <v>0</v>
      </c>
      <c r="AH360" s="202">
        <f t="shared" si="80"/>
        <v>-4.1119999999999983</v>
      </c>
      <c r="AI360" s="202">
        <f t="shared" si="81"/>
        <v>59.04</v>
      </c>
      <c r="AJ360" s="285">
        <v>23.942</v>
      </c>
      <c r="AK360" s="285">
        <v>37.588999999999999</v>
      </c>
      <c r="AL360" s="285">
        <v>23.885999999999999</v>
      </c>
      <c r="AM360" s="285">
        <v>5.5679999999999996</v>
      </c>
      <c r="AN360" s="285">
        <v>24.626000000000001</v>
      </c>
      <c r="AO360" s="285">
        <v>38.22</v>
      </c>
      <c r="AP360" s="285">
        <v>18.065999999999999</v>
      </c>
      <c r="AQ360" s="285">
        <v>171.89699999999999</v>
      </c>
      <c r="AR360" s="285">
        <v>0</v>
      </c>
      <c r="AS360" s="275"/>
      <c r="AT360" s="287">
        <v>0.53404059811210425</v>
      </c>
      <c r="AU360" s="287">
        <v>0.70730798903934666</v>
      </c>
      <c r="AV360" s="287">
        <v>0.84338106003516711</v>
      </c>
      <c r="AW360" s="287">
        <v>0.49209770114942536</v>
      </c>
      <c r="AX360" s="287">
        <v>0.70133192560708191</v>
      </c>
      <c r="AY360" s="287">
        <v>0.72142857142857142</v>
      </c>
      <c r="AZ360" s="287">
        <v>0.76486217203586848</v>
      </c>
      <c r="BA360" s="275"/>
      <c r="BB360" s="191">
        <v>1.0650567868563237</v>
      </c>
      <c r="BC360" s="275"/>
      <c r="BE360" s="274">
        <f t="shared" si="86"/>
        <v>3.9006451612903228</v>
      </c>
      <c r="BF360" s="280">
        <f t="shared" si="78"/>
        <v>142.626</v>
      </c>
      <c r="BG360" s="154" t="str">
        <f t="shared" si="79"/>
        <v/>
      </c>
      <c r="BH360" s="270">
        <f t="shared" si="87"/>
        <v>-8.000000000000184E-3</v>
      </c>
      <c r="BI360" s="270">
        <f t="shared" si="82"/>
        <v>3.9999999999999147E-2</v>
      </c>
    </row>
    <row r="361" spans="1:61">
      <c r="A361" s="266">
        <v>40026</v>
      </c>
      <c r="B361" s="266"/>
      <c r="C361" s="277">
        <v>0.23278494623655885</v>
      </c>
      <c r="D361" s="276">
        <v>7.2163333333333242</v>
      </c>
      <c r="E361" s="277">
        <v>5.545064516129032</v>
      </c>
      <c r="F361" s="277">
        <f t="shared" si="89"/>
        <v>171.89699999999999</v>
      </c>
      <c r="G361" s="277">
        <v>112.617</v>
      </c>
      <c r="H361" s="281">
        <f t="shared" si="88"/>
        <v>0.65514232360076097</v>
      </c>
      <c r="I361" s="202">
        <v>2669.971</v>
      </c>
      <c r="J361" s="270">
        <v>47.42</v>
      </c>
      <c r="K361" s="270">
        <v>9.0987482614742987E-2</v>
      </c>
      <c r="L361" s="202">
        <v>261</v>
      </c>
      <c r="M361" s="277">
        <v>149.12847620639997</v>
      </c>
      <c r="N361" s="202">
        <v>1299.1790000000001</v>
      </c>
      <c r="O361" s="270">
        <v>11.53</v>
      </c>
      <c r="P361" s="270">
        <v>-0.10246175243393374</v>
      </c>
      <c r="Q361" s="202">
        <v>2520.1320000000001</v>
      </c>
      <c r="R361" s="199">
        <v>0.80412635609444805</v>
      </c>
      <c r="S361" s="202">
        <v>613.86799999999994</v>
      </c>
      <c r="T361" s="286">
        <v>409.56166666666655</v>
      </c>
      <c r="U361" s="275"/>
      <c r="V361" s="278">
        <v>11.895</v>
      </c>
      <c r="W361" s="278">
        <v>21.263000000000002</v>
      </c>
      <c r="X361" s="278">
        <v>16.407</v>
      </c>
      <c r="Y361" s="278"/>
      <c r="Z361" s="278">
        <v>3.4380000000000002</v>
      </c>
      <c r="AA361" s="278">
        <v>18.329000000000001</v>
      </c>
      <c r="AB361" s="278">
        <v>27.532</v>
      </c>
      <c r="AC361" s="278">
        <v>13.752000000000001</v>
      </c>
      <c r="AD361" s="279">
        <v>112.617</v>
      </c>
      <c r="AE361" s="278">
        <f t="shared" si="84"/>
        <v>112.61599999999999</v>
      </c>
      <c r="AF361" s="278">
        <f t="shared" si="85"/>
        <v>-1.0000000000189857E-3</v>
      </c>
      <c r="AG361" s="278">
        <f t="shared" si="83"/>
        <v>-1.0000000000189857E-3</v>
      </c>
      <c r="AH361" s="202">
        <f t="shared" si="80"/>
        <v>-4.1000000000000369E-2</v>
      </c>
      <c r="AI361" s="202">
        <f t="shared" si="81"/>
        <v>58.95</v>
      </c>
      <c r="AJ361" s="285">
        <v>23.942</v>
      </c>
      <c r="AK361" s="285">
        <v>37.588999999999999</v>
      </c>
      <c r="AL361" s="285">
        <v>23.885999999999999</v>
      </c>
      <c r="AM361" s="285">
        <v>5.5679999999999996</v>
      </c>
      <c r="AN361" s="285">
        <v>24.626000000000001</v>
      </c>
      <c r="AO361" s="285">
        <v>38.22</v>
      </c>
      <c r="AP361" s="285">
        <v>18.065999999999999</v>
      </c>
      <c r="AQ361" s="285">
        <v>171.89699999999999</v>
      </c>
      <c r="AR361" s="285">
        <v>0</v>
      </c>
      <c r="AS361" s="275"/>
      <c r="AT361" s="287">
        <v>0.49682566201653994</v>
      </c>
      <c r="AU361" s="287">
        <v>0.56567080794913416</v>
      </c>
      <c r="AV361" s="287">
        <v>0.68688771665410708</v>
      </c>
      <c r="AW361" s="287">
        <v>0.6174568965517242</v>
      </c>
      <c r="AX361" s="287">
        <v>0.74429464793307887</v>
      </c>
      <c r="AY361" s="287">
        <v>0.72035583464154895</v>
      </c>
      <c r="AZ361" s="287">
        <v>0.76120890069744274</v>
      </c>
      <c r="BA361" s="275"/>
      <c r="BB361" s="191">
        <v>1.0640785434999451</v>
      </c>
      <c r="BC361" s="275"/>
      <c r="BE361" s="274">
        <f t="shared" si="86"/>
        <v>3.6328064516129035</v>
      </c>
      <c r="BF361" s="280">
        <f t="shared" si="78"/>
        <v>137.56399999999999</v>
      </c>
      <c r="BG361" s="154" t="str">
        <f t="shared" si="79"/>
        <v/>
      </c>
      <c r="BH361" s="270">
        <f t="shared" si="87"/>
        <v>4.1999999999999815E-2</v>
      </c>
      <c r="BI361" s="270">
        <f t="shared" si="82"/>
        <v>0</v>
      </c>
    </row>
    <row r="362" spans="1:61">
      <c r="A362" s="266">
        <v>40057</v>
      </c>
      <c r="B362" s="266"/>
      <c r="C362" s="277">
        <v>0.19825555555555543</v>
      </c>
      <c r="D362" s="276">
        <v>5.9476666666666631</v>
      </c>
      <c r="E362" s="277">
        <v>5.545066666666667</v>
      </c>
      <c r="F362" s="277">
        <f t="shared" si="89"/>
        <v>166.352</v>
      </c>
      <c r="G362" s="277">
        <v>107.379</v>
      </c>
      <c r="H362" s="281">
        <f t="shared" si="88"/>
        <v>0.64549269019909594</v>
      </c>
      <c r="I362" s="202">
        <v>2520.0259999999998</v>
      </c>
      <c r="J362" s="270">
        <v>46.94</v>
      </c>
      <c r="K362" s="270">
        <v>0.42043296664509455</v>
      </c>
      <c r="L362" s="202">
        <v>328.76799999999997</v>
      </c>
      <c r="M362" s="277">
        <v>76.802309990300103</v>
      </c>
      <c r="N362" s="202">
        <v>1239.6969999999999</v>
      </c>
      <c r="O362" s="270">
        <v>11.55</v>
      </c>
      <c r="P362" s="270">
        <v>-7.9619389375846339E-2</v>
      </c>
      <c r="Q362" s="202">
        <v>2261.944</v>
      </c>
      <c r="R362" s="199">
        <v>0.79075126726096834</v>
      </c>
      <c r="S362" s="202">
        <v>598.55600000000004</v>
      </c>
      <c r="T362" s="286">
        <v>445.37166666666644</v>
      </c>
      <c r="U362" s="275"/>
      <c r="V362" s="278">
        <v>13.217000000000001</v>
      </c>
      <c r="W362" s="278">
        <v>23.449000000000002</v>
      </c>
      <c r="X362" s="278">
        <v>15.170999999999999</v>
      </c>
      <c r="Y362" s="278"/>
      <c r="Z362" s="278">
        <v>4.0170000000000003</v>
      </c>
      <c r="AA362" s="278">
        <v>14.951000000000001</v>
      </c>
      <c r="AB362" s="278">
        <v>24.693000000000001</v>
      </c>
      <c r="AC362" s="278">
        <v>11.88</v>
      </c>
      <c r="AD362" s="279">
        <v>107.379</v>
      </c>
      <c r="AE362" s="278">
        <f t="shared" si="84"/>
        <v>107.378</v>
      </c>
      <c r="AF362" s="278">
        <f t="shared" si="85"/>
        <v>-1.0000000000047748E-3</v>
      </c>
      <c r="AG362" s="278">
        <f t="shared" si="83"/>
        <v>-1.0000000000047748E-3</v>
      </c>
      <c r="AH362" s="202">
        <f t="shared" si="80"/>
        <v>-2.8389999999999986</v>
      </c>
      <c r="AI362" s="202">
        <f t="shared" si="81"/>
        <v>58.489999999999995</v>
      </c>
      <c r="AJ362" s="285">
        <v>23.17</v>
      </c>
      <c r="AK362" s="285">
        <v>36.375999999999998</v>
      </c>
      <c r="AL362" s="285">
        <v>23.116</v>
      </c>
      <c r="AM362" s="285">
        <v>5.3879999999999999</v>
      </c>
      <c r="AN362" s="285">
        <v>23.831</v>
      </c>
      <c r="AO362" s="285">
        <v>36.987000000000002</v>
      </c>
      <c r="AP362" s="285">
        <v>17.483000000000001</v>
      </c>
      <c r="AQ362" s="285">
        <v>166.352</v>
      </c>
      <c r="AR362" s="285">
        <v>0</v>
      </c>
      <c r="AS362" s="275"/>
      <c r="AT362" s="287">
        <v>0.57043590850237369</v>
      </c>
      <c r="AU362" s="287">
        <v>0.64462832636903467</v>
      </c>
      <c r="AV362" s="287">
        <v>0.65629866758954836</v>
      </c>
      <c r="AW362" s="287">
        <v>0.74554565701559028</v>
      </c>
      <c r="AX362" s="287">
        <v>0.62737610675170996</v>
      </c>
      <c r="AY362" s="287">
        <v>0.66761294508881497</v>
      </c>
      <c r="AZ362" s="287">
        <v>0.67951724532402913</v>
      </c>
      <c r="BA362" s="275"/>
      <c r="BB362" s="191">
        <v>1.0553894771479215</v>
      </c>
      <c r="BC362" s="275"/>
      <c r="BE362" s="274">
        <f>G362/30</f>
        <v>3.5793000000000004</v>
      </c>
      <c r="BF362" s="280">
        <f t="shared" si="78"/>
        <v>139.82900000000001</v>
      </c>
      <c r="BG362" s="154" t="str">
        <f t="shared" si="79"/>
        <v/>
      </c>
      <c r="BH362" s="270">
        <f t="shared" si="87"/>
        <v>1.8000000000000328E-2</v>
      </c>
      <c r="BI362" s="270">
        <f t="shared" si="82"/>
        <v>2.000000000000135E-2</v>
      </c>
    </row>
    <row r="363" spans="1:61">
      <c r="A363" s="266">
        <v>40087</v>
      </c>
      <c r="B363" s="266"/>
      <c r="C363" s="277">
        <v>0.25122580645161324</v>
      </c>
      <c r="D363" s="276">
        <v>7.7880000000000109</v>
      </c>
      <c r="E363" s="277">
        <v>5.5769677419354835</v>
      </c>
      <c r="F363" s="277">
        <f t="shared" si="89"/>
        <v>172.886</v>
      </c>
      <c r="G363" s="277">
        <v>155.262</v>
      </c>
      <c r="H363" s="281">
        <f t="shared" si="88"/>
        <v>0.89805999329037633</v>
      </c>
      <c r="I363" s="202">
        <v>3630.4209999999998</v>
      </c>
      <c r="J363" s="270">
        <v>46.77</v>
      </c>
      <c r="K363" s="270">
        <v>0.4020331186752415</v>
      </c>
      <c r="L363" s="202">
        <v>702.12099999999998</v>
      </c>
      <c r="M363" s="277">
        <v>54.57747177050021</v>
      </c>
      <c r="N363" s="202">
        <v>1743.9059999999999</v>
      </c>
      <c r="O363" s="270">
        <v>11.23</v>
      </c>
      <c r="P363" s="270">
        <v>-3.588776448942177E-2</v>
      </c>
      <c r="Q363" s="202">
        <v>2286.0639999999999</v>
      </c>
      <c r="R363" s="199">
        <v>0.81371965544244318</v>
      </c>
      <c r="S363" s="202">
        <v>523.33600000000024</v>
      </c>
      <c r="T363" s="286">
        <v>439.09966666666674</v>
      </c>
      <c r="U363" s="275"/>
      <c r="V363" s="278">
        <v>20.937000000000001</v>
      </c>
      <c r="W363" s="278">
        <v>35.11</v>
      </c>
      <c r="X363" s="278">
        <v>19.027000000000001</v>
      </c>
      <c r="Y363" s="278"/>
      <c r="Z363" s="278">
        <v>5.2140000000000004</v>
      </c>
      <c r="AA363" s="278">
        <v>24.204000000000001</v>
      </c>
      <c r="AB363" s="278">
        <v>34.929000000000002</v>
      </c>
      <c r="AC363" s="278">
        <v>15.840999999999999</v>
      </c>
      <c r="AD363" s="279">
        <v>155.262</v>
      </c>
      <c r="AE363" s="278">
        <f t="shared" si="84"/>
        <v>155.262</v>
      </c>
      <c r="AF363" s="278">
        <f t="shared" si="85"/>
        <v>0</v>
      </c>
      <c r="AG363" s="278">
        <f t="shared" si="83"/>
        <v>0</v>
      </c>
      <c r="AH363" s="202">
        <f t="shared" si="80"/>
        <v>10.236000000000001</v>
      </c>
      <c r="AI363" s="202">
        <f t="shared" si="81"/>
        <v>58</v>
      </c>
      <c r="AJ363" s="285">
        <v>23.942</v>
      </c>
      <c r="AK363" s="285">
        <v>37.700000000000003</v>
      </c>
      <c r="AL363" s="285">
        <v>24.858000000000001</v>
      </c>
      <c r="AM363" s="285">
        <v>5.5620000000000003</v>
      </c>
      <c r="AN363" s="285">
        <v>24.556999999999999</v>
      </c>
      <c r="AO363" s="285">
        <v>38.201000000000001</v>
      </c>
      <c r="AP363" s="285">
        <v>18.065999999999999</v>
      </c>
      <c r="AQ363" s="285">
        <v>172.886</v>
      </c>
      <c r="AR363" s="285">
        <v>0</v>
      </c>
      <c r="AS363" s="275"/>
      <c r="AT363" s="287">
        <v>0.87448834683819232</v>
      </c>
      <c r="AU363" s="287">
        <v>0.93129973474801053</v>
      </c>
      <c r="AV363" s="287">
        <v>0.76542762893233574</v>
      </c>
      <c r="AW363" s="287">
        <v>0.93743257820927728</v>
      </c>
      <c r="AX363" s="287">
        <v>0.98562527996090732</v>
      </c>
      <c r="AY363" s="287">
        <v>0.91434779194261939</v>
      </c>
      <c r="AZ363" s="287">
        <v>0.87684047381822205</v>
      </c>
      <c r="BA363" s="275"/>
      <c r="BB363" s="191">
        <v>1.0501603740773662</v>
      </c>
      <c r="BC363" s="275"/>
      <c r="BE363" s="274">
        <f t="shared" si="86"/>
        <v>5.0084516129032259</v>
      </c>
      <c r="BF363" s="280">
        <f t="shared" si="78"/>
        <v>154.98400000000001</v>
      </c>
      <c r="BG363" s="154" t="str">
        <f t="shared" si="79"/>
        <v>RECORD</v>
      </c>
      <c r="BH363" s="270">
        <f t="shared" si="87"/>
        <v>-9.3999999999999417E-2</v>
      </c>
      <c r="BI363" s="270">
        <f t="shared" si="82"/>
        <v>-0.32000000000000028</v>
      </c>
    </row>
    <row r="364" spans="1:61">
      <c r="A364" s="266">
        <v>40118</v>
      </c>
      <c r="B364" s="266"/>
      <c r="C364" s="277">
        <v>0.28092222222222268</v>
      </c>
      <c r="D364" s="276">
        <v>8.4276666666666813</v>
      </c>
      <c r="E364" s="277">
        <v>5.5769666666666664</v>
      </c>
      <c r="F364" s="277">
        <f t="shared" si="89"/>
        <v>167.309</v>
      </c>
      <c r="G364" s="277">
        <v>160.25899999999999</v>
      </c>
      <c r="H364" s="281">
        <f t="shared" si="88"/>
        <v>0.95786239831688669</v>
      </c>
      <c r="I364" s="202">
        <v>3770</v>
      </c>
      <c r="J364" s="270">
        <v>47.07</v>
      </c>
      <c r="K364" s="270">
        <v>7.7769039244358851E-2</v>
      </c>
      <c r="L364" s="202">
        <v>981.56500000000005</v>
      </c>
      <c r="M364" s="277">
        <v>411.67420229270033</v>
      </c>
      <c r="N364" s="202">
        <v>1769.8</v>
      </c>
      <c r="O364" s="270">
        <v>11.04</v>
      </c>
      <c r="P364" s="270">
        <v>-4.920839426154977E-2</v>
      </c>
      <c r="Q364" s="202">
        <v>2410.8620000000001</v>
      </c>
      <c r="R364" s="199">
        <v>0.80617354957364995</v>
      </c>
      <c r="S364" s="202">
        <v>579.63799999999992</v>
      </c>
      <c r="T364" s="286">
        <v>442.44666666666689</v>
      </c>
      <c r="U364" s="275"/>
      <c r="V364" s="278">
        <v>22.548999999999999</v>
      </c>
      <c r="W364" s="278">
        <v>35.159999999999997</v>
      </c>
      <c r="X364" s="278">
        <v>21.934999999999999</v>
      </c>
      <c r="Y364" s="278"/>
      <c r="Z364" s="278">
        <v>5.33</v>
      </c>
      <c r="AA364" s="278">
        <v>25.027999999999999</v>
      </c>
      <c r="AB364" s="278">
        <v>34.555</v>
      </c>
      <c r="AC364" s="278">
        <v>15.702</v>
      </c>
      <c r="AD364" s="279">
        <v>160.25899999999999</v>
      </c>
      <c r="AE364" s="278">
        <f t="shared" si="84"/>
        <v>160.25899999999999</v>
      </c>
      <c r="AF364" s="278">
        <f t="shared" si="85"/>
        <v>0</v>
      </c>
      <c r="AG364" s="278">
        <f t="shared" si="83"/>
        <v>0</v>
      </c>
      <c r="AH364" s="202">
        <f t="shared" si="80"/>
        <v>-0.37400000000000233</v>
      </c>
      <c r="AI364" s="202">
        <f t="shared" si="81"/>
        <v>58.11</v>
      </c>
      <c r="AJ364" s="285">
        <v>23.17</v>
      </c>
      <c r="AK364" s="285">
        <v>36.484000000000002</v>
      </c>
      <c r="AL364" s="285">
        <v>24.056000000000001</v>
      </c>
      <c r="AM364" s="285">
        <v>5.383</v>
      </c>
      <c r="AN364" s="285">
        <v>23.765000000000001</v>
      </c>
      <c r="AO364" s="285">
        <v>36.969000000000001</v>
      </c>
      <c r="AP364" s="285">
        <v>17.484000000000002</v>
      </c>
      <c r="AQ364" s="285">
        <v>167.309</v>
      </c>
      <c r="AR364" s="285">
        <v>0</v>
      </c>
      <c r="AS364" s="275"/>
      <c r="AT364" s="287">
        <v>0.9731981009926628</v>
      </c>
      <c r="AU364" s="287">
        <v>0.96371011950444019</v>
      </c>
      <c r="AV364" s="287">
        <v>0.91183072830063172</v>
      </c>
      <c r="AW364" s="287">
        <v>0.99015418911387698</v>
      </c>
      <c r="AX364" s="287">
        <v>1.0531453818640857</v>
      </c>
      <c r="AY364" s="287">
        <v>0.93470204766155429</v>
      </c>
      <c r="AZ364" s="287">
        <v>0.8980782429649965</v>
      </c>
      <c r="BA364" s="275"/>
      <c r="BB364" s="191">
        <v>1.0525877901813108</v>
      </c>
      <c r="BC364" s="275"/>
      <c r="BE364" s="274">
        <f>G364/30</f>
        <v>5.3419666666666661</v>
      </c>
      <c r="BF364" s="280">
        <f t="shared" si="78"/>
        <v>148.19800000000001</v>
      </c>
      <c r="BG364" s="154" t="str">
        <f t="shared" si="79"/>
        <v>RECORD</v>
      </c>
      <c r="BH364" s="270">
        <f t="shared" si="87"/>
        <v>-0.13800000000000062</v>
      </c>
      <c r="BI364" s="270">
        <f t="shared" si="82"/>
        <v>-0.19000000000000128</v>
      </c>
    </row>
    <row r="365" spans="1:61">
      <c r="A365" s="266">
        <v>40148</v>
      </c>
      <c r="B365" s="266"/>
      <c r="C365" s="277">
        <v>0.28256989247311853</v>
      </c>
      <c r="D365" s="276">
        <v>8.7596666666666749</v>
      </c>
      <c r="E365" s="277">
        <v>5.5769677419354835</v>
      </c>
      <c r="F365" s="277">
        <f t="shared" si="89"/>
        <v>172.886</v>
      </c>
      <c r="G365" s="277">
        <v>164.37700000000001</v>
      </c>
      <c r="H365" s="281">
        <f t="shared" si="88"/>
        <v>0.95078259662436526</v>
      </c>
      <c r="I365" s="202">
        <v>3864.7640000000001</v>
      </c>
      <c r="J365" s="270">
        <v>47.02</v>
      </c>
      <c r="K365" s="270">
        <v>6.5346835832954753E-2</v>
      </c>
      <c r="L365" s="202">
        <v>1282.2249999999999</v>
      </c>
      <c r="M365" s="277">
        <v>0.28540887619942623</v>
      </c>
      <c r="N365" s="202">
        <v>1814.492</v>
      </c>
      <c r="O365" s="270">
        <v>11.04</v>
      </c>
      <c r="P365" s="270">
        <v>-7.5829113802198478E-2</v>
      </c>
      <c r="Q365" s="202">
        <v>2594.393</v>
      </c>
      <c r="R365" s="199">
        <v>0.82348611331534682</v>
      </c>
      <c r="S365" s="202">
        <v>556.10699999999997</v>
      </c>
      <c r="T365" s="286">
        <v>459.78366666666693</v>
      </c>
      <c r="U365" s="275"/>
      <c r="V365" s="278">
        <v>23.588999999999999</v>
      </c>
      <c r="W365" s="278">
        <v>35.677</v>
      </c>
      <c r="X365" s="278">
        <v>23.071999999999999</v>
      </c>
      <c r="Y365" s="278"/>
      <c r="Z365" s="278">
        <v>5.6360000000000001</v>
      </c>
      <c r="AA365" s="278">
        <v>25.71</v>
      </c>
      <c r="AB365" s="278">
        <v>34.235999999999997</v>
      </c>
      <c r="AC365" s="278">
        <v>16.456</v>
      </c>
      <c r="AD365" s="279">
        <v>164.37700000000001</v>
      </c>
      <c r="AE365" s="278">
        <f t="shared" si="84"/>
        <v>164.37599999999998</v>
      </c>
      <c r="AF365" s="278">
        <f t="shared" si="85"/>
        <v>-1.0000000000331966E-3</v>
      </c>
      <c r="AG365" s="278">
        <f t="shared" si="83"/>
        <v>-1.0000000000331966E-3</v>
      </c>
      <c r="AH365" s="202">
        <f t="shared" si="80"/>
        <v>-0.31900000000000261</v>
      </c>
      <c r="AI365" s="202">
        <f t="shared" si="81"/>
        <v>58.06</v>
      </c>
      <c r="AJ365" s="285">
        <v>23.942</v>
      </c>
      <c r="AK365" s="285">
        <v>37.700000000000003</v>
      </c>
      <c r="AL365" s="285">
        <v>24.858000000000001</v>
      </c>
      <c r="AM365" s="285">
        <v>5.5620000000000003</v>
      </c>
      <c r="AN365" s="285">
        <v>24.556999999999999</v>
      </c>
      <c r="AO365" s="285">
        <v>38.201000000000001</v>
      </c>
      <c r="AP365" s="285">
        <v>18.065999999999999</v>
      </c>
      <c r="AQ365" s="285">
        <v>172.886</v>
      </c>
      <c r="AR365" s="285">
        <v>0</v>
      </c>
      <c r="AS365" s="275"/>
      <c r="AT365" s="287">
        <v>0.98525603541892903</v>
      </c>
      <c r="AU365" s="287">
        <v>0.94633952254641907</v>
      </c>
      <c r="AV365" s="287">
        <v>0.92815190280794913</v>
      </c>
      <c r="AW365" s="287">
        <v>1.013304566702625</v>
      </c>
      <c r="AX365" s="287">
        <v>1.0469519892495012</v>
      </c>
      <c r="AY365" s="287">
        <v>0.89620690557838789</v>
      </c>
      <c r="AZ365" s="287">
        <v>0.91088232038082584</v>
      </c>
      <c r="BA365" s="275"/>
      <c r="BB365" s="191">
        <v>1.053290099385356</v>
      </c>
      <c r="BC365" s="275"/>
      <c r="BE365" s="274">
        <f t="shared" si="86"/>
        <v>5.302483870967742</v>
      </c>
      <c r="BF365" s="280">
        <f t="shared" si="78"/>
        <v>155.90700000000001</v>
      </c>
      <c r="BG365" s="154" t="str">
        <f t="shared" si="79"/>
        <v>RECORD</v>
      </c>
      <c r="BH365" s="270">
        <f t="shared" si="87"/>
        <v>7.1999999999999884E-2</v>
      </c>
      <c r="BI365" s="270">
        <f t="shared" si="82"/>
        <v>0</v>
      </c>
    </row>
    <row r="366" spans="1:61">
      <c r="A366" s="266">
        <v>40179</v>
      </c>
      <c r="B366" s="266"/>
      <c r="C366" s="277">
        <v>0.15539483870967735</v>
      </c>
      <c r="D366" s="276">
        <v>4.8172399999999982</v>
      </c>
      <c r="E366" s="277">
        <v>5.7021612903225805</v>
      </c>
      <c r="F366" s="277">
        <f t="shared" si="89"/>
        <v>176.767</v>
      </c>
      <c r="G366" s="288">
        <v>162.39699999999999</v>
      </c>
      <c r="H366" s="281">
        <f t="shared" si="88"/>
        <v>0.9187065459050614</v>
      </c>
      <c r="I366" s="202">
        <v>3813.7469999999998</v>
      </c>
      <c r="J366" s="270">
        <v>46.97</v>
      </c>
      <c r="K366" s="270">
        <v>7.4242763056545868E-2</v>
      </c>
      <c r="L366" s="202">
        <v>1074.1420000000001</v>
      </c>
      <c r="M366" s="277">
        <v>426.27225527630003</v>
      </c>
      <c r="N366" s="202">
        <v>1804.694</v>
      </c>
      <c r="O366" s="270">
        <v>11.11</v>
      </c>
      <c r="P366" s="270">
        <v>-7.7113446797353546E-2</v>
      </c>
      <c r="Q366" s="202">
        <v>2694.723</v>
      </c>
      <c r="R366" s="199">
        <v>0.83643150023745294</v>
      </c>
      <c r="S366" s="202">
        <v>526.9670000000001</v>
      </c>
      <c r="T366" s="286">
        <v>534.28233333333344</v>
      </c>
      <c r="U366" s="275"/>
      <c r="V366" s="278">
        <v>24.236000000000001</v>
      </c>
      <c r="W366" s="278">
        <v>35.533999999999999</v>
      </c>
      <c r="X366" s="278">
        <v>23.655000000000001</v>
      </c>
      <c r="Y366" s="278"/>
      <c r="Z366" s="278">
        <v>5.2089999999999996</v>
      </c>
      <c r="AA366" s="278">
        <v>24.997</v>
      </c>
      <c r="AB366" s="278">
        <v>32.898000000000003</v>
      </c>
      <c r="AC366" s="278">
        <v>15.868</v>
      </c>
      <c r="AD366" s="279">
        <v>162.39699999999999</v>
      </c>
      <c r="AE366" s="278">
        <f t="shared" si="84"/>
        <v>162.39699999999999</v>
      </c>
      <c r="AF366" s="278">
        <f t="shared" si="85"/>
        <v>0</v>
      </c>
      <c r="AG366" s="278">
        <f t="shared" si="83"/>
        <v>0</v>
      </c>
      <c r="AH366" s="202">
        <f t="shared" si="80"/>
        <v>-1.3379999999999939</v>
      </c>
      <c r="AI366" s="202">
        <f t="shared" si="81"/>
        <v>58.08</v>
      </c>
      <c r="AJ366" s="285">
        <v>24.242999999999999</v>
      </c>
      <c r="AK366" s="285">
        <v>39.232999999999997</v>
      </c>
      <c r="AL366" s="285">
        <v>25.356999999999999</v>
      </c>
      <c r="AM366" s="285">
        <v>5.5810000000000004</v>
      </c>
      <c r="AN366" s="285">
        <v>26.132999999999999</v>
      </c>
      <c r="AO366" s="285">
        <v>38.235999999999997</v>
      </c>
      <c r="AP366" s="285">
        <v>17.984000000000002</v>
      </c>
      <c r="AQ366" s="285">
        <v>176.767</v>
      </c>
      <c r="AR366" s="285">
        <v>0</v>
      </c>
      <c r="AS366" s="275"/>
      <c r="AT366" s="287">
        <v>0.99971125685764972</v>
      </c>
      <c r="AU366" s="287">
        <v>0.90571712588892006</v>
      </c>
      <c r="AV366" s="287">
        <v>0.93287849509011322</v>
      </c>
      <c r="AW366" s="287">
        <v>0.93334527862390237</v>
      </c>
      <c r="AX366" s="287">
        <v>0.95653005778134925</v>
      </c>
      <c r="AY366" s="287">
        <v>0.86039334658437094</v>
      </c>
      <c r="AZ366" s="287">
        <v>0.88233985765124545</v>
      </c>
      <c r="BA366" s="275"/>
      <c r="BB366" s="289">
        <v>1.0296633558501695</v>
      </c>
      <c r="BC366" s="275"/>
      <c r="BE366" s="274">
        <f t="shared" si="86"/>
        <v>5.238612903225806</v>
      </c>
      <c r="BF366" s="280">
        <f t="shared" si="78"/>
        <v>152.43899999999999</v>
      </c>
      <c r="BG366" s="154" t="str">
        <f t="shared" ref="BG366:BG393" si="90">IF(G366&gt;BF366,"RECORD","")</f>
        <v>RECORD</v>
      </c>
      <c r="BH366" s="270">
        <f t="shared" si="87"/>
        <v>8.0000000000005397E-3</v>
      </c>
      <c r="BI366" s="270">
        <f t="shared" si="82"/>
        <v>7.0000000000000284E-2</v>
      </c>
    </row>
    <row r="367" spans="1:61">
      <c r="A367" s="266">
        <v>40210</v>
      </c>
      <c r="B367" s="266"/>
      <c r="C367" s="277">
        <v>0.19662142857142889</v>
      </c>
      <c r="D367" s="276">
        <v>5.5054000000000087</v>
      </c>
      <c r="E367" s="277">
        <v>5.7021785714285711</v>
      </c>
      <c r="F367" s="277">
        <f t="shared" si="89"/>
        <v>159.661</v>
      </c>
      <c r="G367" s="288">
        <v>148.351</v>
      </c>
      <c r="H367" s="281">
        <f t="shared" si="88"/>
        <v>0.92916241286225187</v>
      </c>
      <c r="I367" s="202">
        <v>3502.3209999999999</v>
      </c>
      <c r="J367" s="270">
        <v>47.22</v>
      </c>
      <c r="K367" s="270">
        <v>3.84695859255757E-2</v>
      </c>
      <c r="L367" s="202">
        <v>906.79300000000001</v>
      </c>
      <c r="M367" s="277">
        <v>425.56468391390001</v>
      </c>
      <c r="N367" s="202">
        <v>1635.895</v>
      </c>
      <c r="O367" s="270">
        <v>11.11</v>
      </c>
      <c r="P367" s="270">
        <v>-0.12509459469999307</v>
      </c>
      <c r="Q367" s="202">
        <v>2851.9650000000001</v>
      </c>
      <c r="R367" s="199">
        <v>0.86536098314952792</v>
      </c>
      <c r="S367" s="202">
        <v>443.72899999999981</v>
      </c>
      <c r="T367" s="286">
        <v>543.38866666666672</v>
      </c>
      <c r="U367" s="275"/>
      <c r="V367" s="278">
        <v>23.015999999999998</v>
      </c>
      <c r="W367" s="278">
        <v>32.085999999999999</v>
      </c>
      <c r="X367" s="278">
        <v>21.018000000000001</v>
      </c>
      <c r="Y367" s="278"/>
      <c r="Z367" s="278">
        <v>4.9169999999999998</v>
      </c>
      <c r="AA367" s="278">
        <v>22.567</v>
      </c>
      <c r="AB367" s="278">
        <v>29.95</v>
      </c>
      <c r="AC367" s="278">
        <v>14.797000000000001</v>
      </c>
      <c r="AD367" s="279">
        <v>148.351</v>
      </c>
      <c r="AE367" s="278">
        <f t="shared" si="84"/>
        <v>148.351</v>
      </c>
      <c r="AF367" s="278">
        <f t="shared" si="85"/>
        <v>0</v>
      </c>
      <c r="AG367" s="278">
        <f t="shared" si="83"/>
        <v>0</v>
      </c>
      <c r="AH367" s="202">
        <f t="shared" si="80"/>
        <v>-2.948000000000004</v>
      </c>
      <c r="AI367" s="202">
        <f t="shared" si="81"/>
        <v>58.33</v>
      </c>
      <c r="AJ367" s="285">
        <v>21.896999999999998</v>
      </c>
      <c r="AK367" s="285">
        <v>35.436999999999998</v>
      </c>
      <c r="AL367" s="285">
        <v>22.902999999999999</v>
      </c>
      <c r="AM367" s="285">
        <v>5.0410000000000004</v>
      </c>
      <c r="AN367" s="285">
        <v>23.603999999999999</v>
      </c>
      <c r="AO367" s="285">
        <v>34.536000000000001</v>
      </c>
      <c r="AP367" s="285">
        <v>16.244</v>
      </c>
      <c r="AQ367" s="285">
        <v>159.661</v>
      </c>
      <c r="AR367" s="285">
        <v>0</v>
      </c>
      <c r="AS367" s="275"/>
      <c r="AT367" s="287">
        <v>1.05110289080696</v>
      </c>
      <c r="AU367" s="287">
        <v>0.90543781922848998</v>
      </c>
      <c r="AV367" s="287">
        <v>0.91769637165436846</v>
      </c>
      <c r="AW367" s="287">
        <v>0.97540170601071208</v>
      </c>
      <c r="AX367" s="287">
        <v>0.95606676834434845</v>
      </c>
      <c r="AY367" s="287">
        <v>0.86721102617558488</v>
      </c>
      <c r="AZ367" s="287">
        <v>0.9109209554296972</v>
      </c>
      <c r="BA367" s="275"/>
      <c r="BB367" s="289">
        <v>1.0371106362612992</v>
      </c>
      <c r="BC367" s="275"/>
      <c r="BE367" s="274">
        <f>G367/28</f>
        <v>5.2982500000000003</v>
      </c>
      <c r="BF367" s="280">
        <f t="shared" ref="BF367:BF393" si="91">MAX(G355,G343,G331,G319,G307,G295,G283,G271,G259,G247,G235,G223,G211,G199,G187,G175,G163,G151,G139,G127,G115,G103,G91)</f>
        <v>138.923</v>
      </c>
      <c r="BG367" s="154" t="str">
        <f t="shared" si="90"/>
        <v>RECORD</v>
      </c>
      <c r="BH367" s="270">
        <f t="shared" si="87"/>
        <v>6.7999999999999616E-2</v>
      </c>
      <c r="BI367" s="270">
        <f t="shared" si="82"/>
        <v>0</v>
      </c>
    </row>
    <row r="368" spans="1:61">
      <c r="A368" s="266">
        <v>40238</v>
      </c>
      <c r="B368" s="266"/>
      <c r="C368" s="277">
        <v>0.20735997849462343</v>
      </c>
      <c r="D368" s="276">
        <v>6.4281593333333262</v>
      </c>
      <c r="E368" s="277">
        <v>5.7021612903225805</v>
      </c>
      <c r="F368" s="277">
        <f t="shared" si="89"/>
        <v>176.767</v>
      </c>
      <c r="G368" s="288">
        <v>149.62700000000001</v>
      </c>
      <c r="H368" s="281">
        <f t="shared" si="88"/>
        <v>0.84646455503572504</v>
      </c>
      <c r="I368" s="202">
        <v>3519.2719999999999</v>
      </c>
      <c r="J368" s="270">
        <v>47.04</v>
      </c>
      <c r="K368" s="270">
        <v>0.1242589161604144</v>
      </c>
      <c r="L368" s="202">
        <v>910.76499999999999</v>
      </c>
      <c r="M368" s="277">
        <v>449.06514004250005</v>
      </c>
      <c r="N368" s="202">
        <v>1668.3920000000001</v>
      </c>
      <c r="O368" s="270">
        <v>11.15</v>
      </c>
      <c r="P368" s="270">
        <v>-7.8877985317832966E-2</v>
      </c>
      <c r="Q368" s="202">
        <v>2738.3519999999999</v>
      </c>
      <c r="R368" s="199">
        <v>0.82538980186861344</v>
      </c>
      <c r="S368" s="202">
        <v>579.29500000000007</v>
      </c>
      <c r="T368" s="286">
        <v>532.18899999999996</v>
      </c>
      <c r="U368" s="275"/>
      <c r="V368" s="278">
        <v>19.265999999999998</v>
      </c>
      <c r="W368" s="278">
        <v>32.892000000000003</v>
      </c>
      <c r="X368" s="278">
        <v>21.184000000000001</v>
      </c>
      <c r="Y368" s="278"/>
      <c r="Z368" s="278">
        <v>5.5140000000000002</v>
      </c>
      <c r="AA368" s="278">
        <v>22.978999999999999</v>
      </c>
      <c r="AB368" s="278">
        <v>32.066000000000003</v>
      </c>
      <c r="AC368" s="278">
        <v>15.726000000000001</v>
      </c>
      <c r="AD368" s="279">
        <v>149.62700000000001</v>
      </c>
      <c r="AE368" s="278">
        <f t="shared" si="84"/>
        <v>149.62700000000001</v>
      </c>
      <c r="AF368" s="278">
        <f t="shared" si="85"/>
        <v>0</v>
      </c>
      <c r="AG368" s="278">
        <f t="shared" si="83"/>
        <v>0</v>
      </c>
      <c r="AH368" s="202">
        <f t="shared" si="80"/>
        <v>2.1160000000000032</v>
      </c>
      <c r="AI368" s="202">
        <f t="shared" si="81"/>
        <v>58.19</v>
      </c>
      <c r="AJ368" s="285">
        <v>24.242999999999999</v>
      </c>
      <c r="AK368" s="285">
        <v>39.232999999999997</v>
      </c>
      <c r="AL368" s="285">
        <v>25.356999999999999</v>
      </c>
      <c r="AM368" s="285">
        <v>5.5810000000000004</v>
      </c>
      <c r="AN368" s="285">
        <v>26.132999999999999</v>
      </c>
      <c r="AO368" s="285">
        <v>38.235999999999997</v>
      </c>
      <c r="AP368" s="285">
        <v>17.984000000000002</v>
      </c>
      <c r="AQ368" s="285">
        <v>176.767</v>
      </c>
      <c r="AR368" s="285">
        <v>0</v>
      </c>
      <c r="AS368" s="275"/>
      <c r="AT368" s="287">
        <v>0.79470362578888754</v>
      </c>
      <c r="AU368" s="287">
        <v>0.83837585705910855</v>
      </c>
      <c r="AV368" s="287">
        <v>0.83543005876089449</v>
      </c>
      <c r="AW368" s="287">
        <v>0.98799498297796096</v>
      </c>
      <c r="AX368" s="287">
        <v>0.87930968507251372</v>
      </c>
      <c r="AY368" s="287">
        <v>0.83863374830003157</v>
      </c>
      <c r="AZ368" s="287">
        <v>0.87444395017793586</v>
      </c>
      <c r="BA368" s="275"/>
      <c r="BB368" s="289">
        <v>1.0429612258037209</v>
      </c>
      <c r="BC368" s="275"/>
      <c r="BE368" s="274">
        <f t="shared" si="86"/>
        <v>4.826677419354839</v>
      </c>
      <c r="BF368" s="280">
        <f t="shared" si="91"/>
        <v>148.16499999999999</v>
      </c>
      <c r="BG368" s="154" t="str">
        <f t="shared" si="90"/>
        <v>RECORD</v>
      </c>
      <c r="BH368" s="270">
        <f t="shared" si="87"/>
        <v>3.0000000000000072E-2</v>
      </c>
      <c r="BI368" s="270">
        <f t="shared" si="82"/>
        <v>4.0000000000000924E-2</v>
      </c>
    </row>
    <row r="369" spans="1:61">
      <c r="A369" s="266">
        <v>40269</v>
      </c>
      <c r="B369" s="266"/>
      <c r="C369" s="277">
        <v>0.15801657777777792</v>
      </c>
      <c r="D369" s="276">
        <v>4.7404973333333373</v>
      </c>
      <c r="E369" s="290">
        <v>5.7021612903225805</v>
      </c>
      <c r="F369" s="277">
        <f t="shared" si="89"/>
        <v>171.06483870967742</v>
      </c>
      <c r="G369" s="288">
        <v>131.71899999999999</v>
      </c>
      <c r="H369" s="281">
        <f t="shared" si="88"/>
        <v>0.76999458797927967</v>
      </c>
      <c r="I369" s="202">
        <v>3087.5790000000002</v>
      </c>
      <c r="J369" s="270">
        <v>46.88</v>
      </c>
      <c r="K369" s="270">
        <v>0.19355314602115214</v>
      </c>
      <c r="L369" s="202">
        <v>705.31399999999996</v>
      </c>
      <c r="M369" s="277">
        <v>145.97102290300006</v>
      </c>
      <c r="N369" s="202">
        <v>1474.3910000000001</v>
      </c>
      <c r="O369" s="270">
        <v>11.19345728406684</v>
      </c>
      <c r="P369" s="270">
        <v>-6.8395784744105015E-2</v>
      </c>
      <c r="Q369" s="202">
        <v>2811.5070000000001</v>
      </c>
      <c r="R369" s="199">
        <v>0.8233316045804242</v>
      </c>
      <c r="S369" s="202">
        <v>603.2859999999996</v>
      </c>
      <c r="T369" s="286">
        <v>532.85433333333333</v>
      </c>
      <c r="U369" s="275"/>
      <c r="V369" s="278">
        <v>16.587</v>
      </c>
      <c r="W369" s="278">
        <v>28.56</v>
      </c>
      <c r="X369" s="278">
        <v>21.012</v>
      </c>
      <c r="Y369" s="278">
        <v>22.036000000000001</v>
      </c>
      <c r="Z369" s="278"/>
      <c r="AB369" s="278">
        <v>29.652000000000001</v>
      </c>
      <c r="AC369" s="278">
        <v>13.872</v>
      </c>
      <c r="AD369" s="279">
        <v>131.71899999999999</v>
      </c>
      <c r="AE369" s="278">
        <f t="shared" si="84"/>
        <v>131.71899999999999</v>
      </c>
      <c r="AF369" s="278">
        <f t="shared" si="85"/>
        <v>0</v>
      </c>
      <c r="AG369" s="278">
        <f t="shared" si="83"/>
        <v>0</v>
      </c>
      <c r="AH369" s="202">
        <f t="shared" si="80"/>
        <v>-2.4140000000000015</v>
      </c>
      <c r="AI369" s="202">
        <f t="shared" si="81"/>
        <v>58.073457284066841</v>
      </c>
      <c r="AJ369" s="275"/>
      <c r="AK369" s="275"/>
      <c r="AL369" s="275"/>
      <c r="AM369" s="275"/>
      <c r="AN369" s="275"/>
      <c r="AO369" s="275"/>
      <c r="AP369" s="275"/>
      <c r="AQ369" s="275"/>
      <c r="AR369" s="275"/>
      <c r="AS369" s="275"/>
      <c r="AT369" s="275"/>
      <c r="AU369" s="275"/>
      <c r="AV369" s="275"/>
      <c r="AW369" s="275"/>
      <c r="AX369" s="275"/>
      <c r="AY369" s="275"/>
      <c r="AZ369" s="275"/>
      <c r="BA369" s="275"/>
      <c r="BB369" s="289">
        <v>1.0359894725387631</v>
      </c>
      <c r="BC369" s="275"/>
      <c r="BE369" s="274">
        <f>G369/30</f>
        <v>4.3906333333333327</v>
      </c>
      <c r="BF369" s="280">
        <f t="shared" si="91"/>
        <v>139.96600000000001</v>
      </c>
      <c r="BG369" s="154" t="str">
        <f t="shared" si="90"/>
        <v/>
      </c>
      <c r="BH369" s="270">
        <f t="shared" si="87"/>
        <v>-4.4000000000000129E-2</v>
      </c>
      <c r="BI369" s="270">
        <f t="shared" si="82"/>
        <v>4.3457284066839463E-2</v>
      </c>
    </row>
    <row r="370" spans="1:61">
      <c r="A370" s="266">
        <v>40299</v>
      </c>
      <c r="B370" s="266"/>
      <c r="C370" s="277">
        <v>0.1657703763440859</v>
      </c>
      <c r="D370" s="276">
        <v>5.1388816666666628</v>
      </c>
      <c r="E370" s="291">
        <v>5.5821612903225803</v>
      </c>
      <c r="F370" s="277">
        <f t="shared" si="89"/>
        <v>173.047</v>
      </c>
      <c r="G370" s="288">
        <v>127.815</v>
      </c>
      <c r="H370" s="281">
        <f t="shared" si="88"/>
        <v>0.73861436488352872</v>
      </c>
      <c r="I370" s="202">
        <v>3014.9009999999998</v>
      </c>
      <c r="J370" s="270">
        <v>47.18</v>
      </c>
      <c r="K370" s="270">
        <v>0.12155164455585066</v>
      </c>
      <c r="L370" s="202">
        <v>398.80200000000002</v>
      </c>
      <c r="M370" s="277">
        <v>191.54153789880002</v>
      </c>
      <c r="N370" s="202">
        <v>1430.5319999999999</v>
      </c>
      <c r="O370" s="270">
        <v>11.19</v>
      </c>
      <c r="P370" s="270">
        <v>-4.6550621707432072E-2</v>
      </c>
      <c r="Q370" s="202">
        <v>2905.5659999999998</v>
      </c>
      <c r="R370" s="199">
        <v>0.82499559188930327</v>
      </c>
      <c r="S370" s="202">
        <v>616.35100000000057</v>
      </c>
      <c r="T370" s="286">
        <v>518.30333333333328</v>
      </c>
      <c r="U370" s="275"/>
      <c r="V370" s="278">
        <v>17.053999999999998</v>
      </c>
      <c r="W370" s="278">
        <v>27.488</v>
      </c>
      <c r="X370" s="278">
        <v>19.959</v>
      </c>
      <c r="Y370" s="278">
        <v>23.199000000000002</v>
      </c>
      <c r="Z370" s="278"/>
      <c r="AB370" s="278">
        <v>27.678000000000001</v>
      </c>
      <c r="AC370" s="278">
        <v>12.438000000000001</v>
      </c>
      <c r="AD370" s="279">
        <v>127.815</v>
      </c>
      <c r="AE370" s="278">
        <f t="shared" si="84"/>
        <v>127.816</v>
      </c>
      <c r="AF370" s="278">
        <f t="shared" si="85"/>
        <v>1.0000000000047748E-3</v>
      </c>
      <c r="AG370" s="278">
        <f t="shared" si="83"/>
        <v>1.0000000000047748E-3</v>
      </c>
      <c r="AH370" s="202">
        <f t="shared" si="80"/>
        <v>-1.9740000000000002</v>
      </c>
      <c r="AI370" s="202">
        <f t="shared" si="81"/>
        <v>58.37</v>
      </c>
      <c r="AJ370" s="275"/>
      <c r="AK370" s="275"/>
      <c r="AL370" s="275"/>
      <c r="AM370" s="275"/>
      <c r="AN370" s="275"/>
      <c r="AO370" s="275"/>
      <c r="AP370" s="275"/>
      <c r="AQ370" s="275"/>
      <c r="AR370" s="275"/>
      <c r="AS370" s="275"/>
      <c r="AT370" s="275"/>
      <c r="AU370" s="275"/>
      <c r="AV370" s="275"/>
      <c r="AW370" s="275"/>
      <c r="AX370" s="275"/>
      <c r="AY370" s="275"/>
      <c r="AZ370" s="275"/>
      <c r="BA370" s="275"/>
      <c r="BB370" s="289">
        <v>1.0402056227099061</v>
      </c>
      <c r="BC370" s="275"/>
      <c r="BE370" s="274">
        <f t="shared" si="86"/>
        <v>4.1230645161290322</v>
      </c>
      <c r="BF370" s="280">
        <f t="shared" si="91"/>
        <v>144.00200000000001</v>
      </c>
      <c r="BG370" s="154" t="str">
        <f t="shared" si="90"/>
        <v/>
      </c>
      <c r="BH370" s="270">
        <f t="shared" si="87"/>
        <v>6.0000000000000143E-2</v>
      </c>
      <c r="BI370" s="270">
        <f t="shared" si="82"/>
        <v>-3.457284066840316E-3</v>
      </c>
    </row>
    <row r="371" spans="1:61">
      <c r="A371" s="266">
        <v>40330</v>
      </c>
      <c r="B371" s="266"/>
      <c r="C371" s="277">
        <v>0.10785417777777724</v>
      </c>
      <c r="D371" s="276">
        <v>3.2356253333333171</v>
      </c>
      <c r="E371" s="290">
        <v>5.5821612903225803</v>
      </c>
      <c r="F371" s="277">
        <f t="shared" si="89"/>
        <v>167.46483870967742</v>
      </c>
      <c r="G371" s="288">
        <v>126.241</v>
      </c>
      <c r="H371" s="281">
        <f t="shared" si="88"/>
        <v>0.75383585576943446</v>
      </c>
      <c r="I371" s="202">
        <v>2698.8229999999999</v>
      </c>
      <c r="J371" s="270">
        <v>47.03</v>
      </c>
      <c r="K371" s="270">
        <v>0.1865064872610489</v>
      </c>
      <c r="L371" s="202">
        <v>501.44099999999997</v>
      </c>
      <c r="M371" s="277">
        <v>56.050473396900031</v>
      </c>
      <c r="N371" s="202">
        <v>1414.2449999999999</v>
      </c>
      <c r="O371" s="270">
        <v>11.2</v>
      </c>
      <c r="P371" s="270">
        <v>-6.1009496602160596E-2</v>
      </c>
      <c r="Q371" s="202">
        <v>3036.0819999999999</v>
      </c>
      <c r="R371" s="199">
        <v>0.84394640473531202</v>
      </c>
      <c r="S371" s="202">
        <v>561.40000000000009</v>
      </c>
      <c r="T371" s="286">
        <v>520.93399999999997</v>
      </c>
      <c r="U371" s="275"/>
      <c r="V371" s="278">
        <v>15.282999999999999</v>
      </c>
      <c r="W371" s="278">
        <v>27.603000000000002</v>
      </c>
      <c r="X371" s="278">
        <v>19.693999999999999</v>
      </c>
      <c r="Y371" s="278">
        <v>19.701000000000001</v>
      </c>
      <c r="Z371" s="278"/>
      <c r="AB371" s="278">
        <v>29.04</v>
      </c>
      <c r="AC371" s="278">
        <v>14.92</v>
      </c>
      <c r="AD371" s="279">
        <v>126.241</v>
      </c>
      <c r="AE371" s="278">
        <f t="shared" si="84"/>
        <v>126.241</v>
      </c>
      <c r="AF371" s="278">
        <f t="shared" si="85"/>
        <v>0</v>
      </c>
      <c r="AG371" s="278">
        <f t="shared" si="83"/>
        <v>0</v>
      </c>
      <c r="AH371" s="202">
        <f t="shared" si="80"/>
        <v>1.3619999999999983</v>
      </c>
      <c r="AI371" s="202">
        <f t="shared" si="81"/>
        <v>58.230000000000004</v>
      </c>
      <c r="AJ371" s="275"/>
      <c r="AK371" s="275"/>
      <c r="AL371" s="275"/>
      <c r="AM371" s="275"/>
      <c r="AN371" s="275"/>
      <c r="AO371" s="275"/>
      <c r="AP371" s="275"/>
      <c r="AQ371" s="275"/>
      <c r="AR371" s="275"/>
      <c r="AS371" s="275"/>
      <c r="AT371" s="275"/>
      <c r="AU371" s="275"/>
      <c r="AV371" s="275"/>
      <c r="AW371" s="275"/>
      <c r="AX371" s="275"/>
      <c r="AY371" s="275"/>
      <c r="AZ371" s="275"/>
      <c r="BA371" s="275"/>
      <c r="BB371" s="289">
        <v>1.0256305426393431</v>
      </c>
      <c r="BC371" s="275"/>
      <c r="BE371" s="274">
        <f>G371/30</f>
        <v>4.2080333333333337</v>
      </c>
      <c r="BF371" s="280">
        <f t="shared" si="91"/>
        <v>141.583</v>
      </c>
      <c r="BG371" s="154" t="str">
        <f t="shared" si="90"/>
        <v/>
      </c>
      <c r="BH371" s="270">
        <f t="shared" si="87"/>
        <v>7.9999999999998302E-3</v>
      </c>
      <c r="BI371" s="270">
        <f t="shared" si="82"/>
        <v>9.9999999999997868E-3</v>
      </c>
    </row>
    <row r="372" spans="1:61">
      <c r="A372" s="266">
        <v>40360</v>
      </c>
      <c r="B372" s="266"/>
      <c r="C372" s="277">
        <v>0.16719563440860169</v>
      </c>
      <c r="D372" s="276">
        <v>5.1830646666666524</v>
      </c>
      <c r="E372" s="290">
        <v>5.5821612903225803</v>
      </c>
      <c r="F372" s="277">
        <f t="shared" si="89"/>
        <v>173.047</v>
      </c>
      <c r="G372" s="288">
        <v>124.181</v>
      </c>
      <c r="H372" s="281">
        <f t="shared" si="88"/>
        <v>0.71761428975942954</v>
      </c>
      <c r="I372" s="202">
        <v>2930.98</v>
      </c>
      <c r="J372" s="270">
        <v>47.2</v>
      </c>
      <c r="K372" s="270">
        <v>4.8166295248911695E-2</v>
      </c>
      <c r="L372" s="202">
        <v>407.279</v>
      </c>
      <c r="M372" s="277">
        <v>80.176041700899987</v>
      </c>
      <c r="N372" s="202">
        <v>1390.596</v>
      </c>
      <c r="O372" s="270">
        <v>11.2</v>
      </c>
      <c r="P372" s="270">
        <v>-6.5137905865736201E-2</v>
      </c>
      <c r="Q372" s="202">
        <v>3026.1959999999999</v>
      </c>
      <c r="R372" s="199">
        <v>0.84199742464527649</v>
      </c>
      <c r="S372" s="202">
        <v>567.8720000000003</v>
      </c>
      <c r="T372" s="286">
        <v>515.57866666666655</v>
      </c>
      <c r="U372" s="275"/>
      <c r="V372" s="278">
        <v>17.59</v>
      </c>
      <c r="W372" s="278">
        <v>24.007000000000001</v>
      </c>
      <c r="X372" s="278">
        <v>19.344999999999999</v>
      </c>
      <c r="Y372" s="278">
        <v>22.390999999999998</v>
      </c>
      <c r="Z372" s="278"/>
      <c r="AB372" s="278">
        <v>26.318999999999999</v>
      </c>
      <c r="AC372" s="278">
        <v>14.53</v>
      </c>
      <c r="AD372" s="279">
        <v>124.181</v>
      </c>
      <c r="AE372" s="278">
        <f t="shared" si="84"/>
        <v>124.182</v>
      </c>
      <c r="AF372" s="278">
        <f t="shared" si="85"/>
        <v>1.0000000000047748E-3</v>
      </c>
      <c r="AG372" s="278">
        <f t="shared" si="83"/>
        <v>1.0000000000047748E-3</v>
      </c>
      <c r="AH372" s="202">
        <f t="shared" si="80"/>
        <v>-2.7210000000000001</v>
      </c>
      <c r="AI372" s="202">
        <f t="shared" si="81"/>
        <v>58.400000000000006</v>
      </c>
      <c r="AJ372" s="275"/>
      <c r="AK372" s="275"/>
      <c r="AL372" s="275"/>
      <c r="AM372" s="275"/>
      <c r="AN372" s="275"/>
      <c r="AO372" s="275"/>
      <c r="AP372" s="275"/>
      <c r="AQ372" s="275"/>
      <c r="AR372" s="275"/>
      <c r="AS372" s="275"/>
      <c r="AT372" s="275"/>
      <c r="AU372" s="275"/>
      <c r="AV372" s="275"/>
      <c r="AW372" s="275"/>
      <c r="AX372" s="275"/>
      <c r="AY372" s="275"/>
      <c r="AZ372" s="275"/>
      <c r="BA372" s="275"/>
      <c r="BB372" s="289">
        <v>1.041737984608488</v>
      </c>
      <c r="BC372" s="275"/>
      <c r="BE372" s="274">
        <f t="shared" si="86"/>
        <v>4.0058387096774188</v>
      </c>
      <c r="BF372" s="280">
        <f t="shared" si="91"/>
        <v>142.626</v>
      </c>
      <c r="BG372" s="154" t="str">
        <f t="shared" si="90"/>
        <v/>
      </c>
      <c r="BH372" s="270">
        <f t="shared" si="87"/>
        <v>1.9999999999999575E-3</v>
      </c>
      <c r="BI372" s="270">
        <f t="shared" si="82"/>
        <v>0</v>
      </c>
    </row>
    <row r="373" spans="1:61">
      <c r="A373" s="266">
        <v>40391</v>
      </c>
      <c r="B373" s="266"/>
      <c r="C373" s="277">
        <v>0.18417741935483889</v>
      </c>
      <c r="D373" s="276">
        <v>5.7095000000000056</v>
      </c>
      <c r="E373" s="290">
        <v>5.5821612903225803</v>
      </c>
      <c r="F373" s="277">
        <f t="shared" si="89"/>
        <v>173.047</v>
      </c>
      <c r="G373" s="288">
        <v>122.39700000000001</v>
      </c>
      <c r="H373" s="281">
        <f t="shared" si="88"/>
        <v>0.70730495183389486</v>
      </c>
      <c r="I373" s="202">
        <v>2818.2950000000001</v>
      </c>
      <c r="J373" s="270">
        <v>47.23</v>
      </c>
      <c r="K373" s="270">
        <v>8.3600793090127468E-2</v>
      </c>
      <c r="L373" s="202">
        <v>453.346</v>
      </c>
      <c r="M373" s="277">
        <v>121.95209505979994</v>
      </c>
      <c r="N373" s="202">
        <v>1372.146</v>
      </c>
      <c r="O373" s="270">
        <v>11.21</v>
      </c>
      <c r="P373" s="270">
        <v>-0.13758915433643182</v>
      </c>
      <c r="Q373" s="202">
        <v>2818.2950000000001</v>
      </c>
      <c r="R373" s="199">
        <v>0.84434694293315438</v>
      </c>
      <c r="S373" s="202">
        <v>519.54500000000007</v>
      </c>
      <c r="T373" s="286">
        <v>480.58466666666686</v>
      </c>
      <c r="U373" s="275"/>
      <c r="V373" s="278">
        <v>17.355</v>
      </c>
      <c r="W373" s="278">
        <v>23.408999999999999</v>
      </c>
      <c r="X373" s="278">
        <v>15.997</v>
      </c>
      <c r="Y373" s="278">
        <v>22.527000000000001</v>
      </c>
      <c r="Z373" s="278"/>
      <c r="AB373" s="278">
        <v>28.021999999999998</v>
      </c>
      <c r="AC373" s="278">
        <v>15.086</v>
      </c>
      <c r="AD373" s="279">
        <v>122.39700000000001</v>
      </c>
      <c r="AE373" s="278">
        <f t="shared" si="84"/>
        <v>122.396</v>
      </c>
      <c r="AF373" s="278">
        <f t="shared" si="85"/>
        <v>-1.0000000000047748E-3</v>
      </c>
      <c r="AG373" s="278">
        <f t="shared" si="83"/>
        <v>-1.0000000000047748E-3</v>
      </c>
      <c r="AH373" s="202">
        <f t="shared" si="80"/>
        <v>1.7029999999999994</v>
      </c>
      <c r="AI373" s="202">
        <f t="shared" si="81"/>
        <v>58.44</v>
      </c>
      <c r="AJ373" s="275"/>
      <c r="AK373" s="275"/>
      <c r="AL373" s="275"/>
      <c r="AM373" s="275"/>
      <c r="AN373" s="275"/>
      <c r="AO373" s="275"/>
      <c r="AP373" s="275"/>
      <c r="AQ373" s="275"/>
      <c r="AR373" s="275"/>
      <c r="AS373" s="275"/>
      <c r="AT373" s="275"/>
      <c r="AU373" s="275"/>
      <c r="AV373" s="275"/>
      <c r="AW373" s="275"/>
      <c r="AX373" s="275"/>
      <c r="AY373" s="275"/>
      <c r="AZ373" s="275"/>
      <c r="BA373" s="275"/>
      <c r="BB373" s="289">
        <v>1.0466473851483289</v>
      </c>
      <c r="BC373" s="275"/>
      <c r="BE373" s="274">
        <f t="shared" si="86"/>
        <v>3.9482903225806454</v>
      </c>
      <c r="BF373" s="280">
        <f t="shared" si="91"/>
        <v>137.56399999999999</v>
      </c>
      <c r="BG373" s="154" t="str">
        <f t="shared" si="90"/>
        <v/>
      </c>
      <c r="BH373" s="270">
        <f t="shared" si="87"/>
        <v>-2.0000000000003127E-3</v>
      </c>
      <c r="BI373" s="270">
        <f t="shared" si="82"/>
        <v>1.0000000000001563E-2</v>
      </c>
    </row>
    <row r="374" spans="1:61">
      <c r="A374" s="266">
        <v>40422</v>
      </c>
      <c r="B374" s="266"/>
      <c r="C374" s="277">
        <v>0.18151711111111127</v>
      </c>
      <c r="D374" s="276">
        <v>5.4455133333333379</v>
      </c>
      <c r="E374" s="290">
        <v>5.5821612903225803</v>
      </c>
      <c r="F374" s="277">
        <f t="shared" si="89"/>
        <v>167.46483870967742</v>
      </c>
      <c r="G374" s="288">
        <v>124.917</v>
      </c>
      <c r="H374" s="281">
        <f t="shared" si="88"/>
        <v>0.74592971851577894</v>
      </c>
      <c r="I374" s="202">
        <v>2924.2660000000001</v>
      </c>
      <c r="J374" s="270">
        <v>46.82</v>
      </c>
      <c r="K374" s="270">
        <v>0.12115082265213317</v>
      </c>
      <c r="L374" s="202">
        <v>361.89</v>
      </c>
      <c r="M374" s="277">
        <v>112.25463637590002</v>
      </c>
      <c r="N374" s="202">
        <v>1427.9649999999999</v>
      </c>
      <c r="O374" s="270">
        <v>11.43</v>
      </c>
      <c r="P374" s="270">
        <v>-0.11986825813985469</v>
      </c>
      <c r="Q374" s="202">
        <v>2765.1590000000001</v>
      </c>
      <c r="R374" s="199">
        <v>0.81190182571980574</v>
      </c>
      <c r="S374" s="202">
        <v>640.62100000000009</v>
      </c>
      <c r="T374" s="286">
        <v>511.80433333333303</v>
      </c>
      <c r="U374" s="275"/>
      <c r="V374" s="278">
        <v>13.879</v>
      </c>
      <c r="W374" s="278">
        <v>31.015000000000001</v>
      </c>
      <c r="X374" s="278">
        <v>15.903</v>
      </c>
      <c r="Y374" s="278">
        <v>21.385000000000002</v>
      </c>
      <c r="Z374" s="278"/>
      <c r="AB374" s="278">
        <v>29.021000000000001</v>
      </c>
      <c r="AC374" s="278">
        <v>13.714</v>
      </c>
      <c r="AD374" s="279">
        <v>124.917</v>
      </c>
      <c r="AE374" s="278">
        <f t="shared" si="84"/>
        <v>124.917</v>
      </c>
      <c r="AF374" s="278">
        <f t="shared" si="85"/>
        <v>0</v>
      </c>
      <c r="AG374" s="278">
        <f t="shared" si="83"/>
        <v>0</v>
      </c>
      <c r="AH374" s="202">
        <f t="shared" si="80"/>
        <v>0.99900000000000233</v>
      </c>
      <c r="AI374" s="202">
        <f t="shared" si="81"/>
        <v>58.25</v>
      </c>
      <c r="AJ374" s="275"/>
      <c r="AK374" s="275"/>
      <c r="AL374" s="275"/>
      <c r="AM374" s="275"/>
      <c r="AN374" s="275"/>
      <c r="AO374" s="275"/>
      <c r="AP374" s="275"/>
      <c r="AQ374" s="275"/>
      <c r="AR374" s="275"/>
      <c r="AS374" s="275"/>
      <c r="AT374" s="275"/>
      <c r="AU374" s="275"/>
      <c r="AV374" s="275"/>
      <c r="AW374" s="275"/>
      <c r="AX374" s="275"/>
      <c r="AY374" s="275"/>
      <c r="AZ374" s="275"/>
      <c r="BA374" s="275"/>
      <c r="BB374" s="289">
        <v>1.0435930524534958</v>
      </c>
      <c r="BC374" s="275"/>
      <c r="BE374" s="274">
        <f>G374/30</f>
        <v>4.1638999999999999</v>
      </c>
      <c r="BF374" s="280">
        <f t="shared" si="91"/>
        <v>139.82900000000001</v>
      </c>
      <c r="BG374" s="154" t="str">
        <f t="shared" si="90"/>
        <v/>
      </c>
      <c r="BH374" s="270">
        <f t="shared" si="87"/>
        <v>3.6000000000000656E-2</v>
      </c>
      <c r="BI374" s="270">
        <f t="shared" si="82"/>
        <v>0.21999999999999886</v>
      </c>
    </row>
    <row r="375" spans="1:61">
      <c r="A375" s="266">
        <v>40452</v>
      </c>
      <c r="B375" s="266"/>
      <c r="C375" s="277">
        <v>0.17255224731182703</v>
      </c>
      <c r="D375" s="276">
        <v>5.3491196666666383</v>
      </c>
      <c r="E375" s="290">
        <v>5.5821612903225803</v>
      </c>
      <c r="F375" s="277">
        <f t="shared" si="89"/>
        <v>173.047</v>
      </c>
      <c r="G375" s="288">
        <v>151.864</v>
      </c>
      <c r="H375" s="281">
        <f t="shared" si="88"/>
        <v>0.87758816968800391</v>
      </c>
      <c r="I375" s="202">
        <v>3598.9340000000002</v>
      </c>
      <c r="J375" s="270">
        <v>47.4</v>
      </c>
      <c r="K375" s="270">
        <v>0.15417496867559777</v>
      </c>
      <c r="L375" s="202">
        <v>641.18700000000001</v>
      </c>
      <c r="M375" s="277">
        <v>91.815974052300021</v>
      </c>
      <c r="N375" s="202">
        <v>1738.441</v>
      </c>
      <c r="O375" s="270">
        <v>11.45</v>
      </c>
      <c r="P375" s="270">
        <v>-6.0725403856720206E-2</v>
      </c>
      <c r="Q375" s="202">
        <v>2821.2640000000001</v>
      </c>
      <c r="R375" s="199">
        <v>0.8588419412943159</v>
      </c>
      <c r="S375" s="202">
        <v>463.69900000000007</v>
      </c>
      <c r="T375" s="286">
        <v>484.0920000000001</v>
      </c>
      <c r="U375" s="275"/>
      <c r="V375" s="278">
        <v>18.498999999999999</v>
      </c>
      <c r="W375" s="278">
        <v>32.273000000000003</v>
      </c>
      <c r="X375" s="278">
        <v>19.707000000000001</v>
      </c>
      <c r="Y375" s="278">
        <v>28.873999999999999</v>
      </c>
      <c r="Z375" s="278"/>
      <c r="AB375" s="278">
        <v>35.965000000000003</v>
      </c>
      <c r="AC375" s="278">
        <v>16.545000000000002</v>
      </c>
      <c r="AD375" s="279">
        <v>151.864</v>
      </c>
      <c r="AE375" s="278">
        <f t="shared" si="84"/>
        <v>151.863</v>
      </c>
      <c r="AF375" s="278">
        <f t="shared" si="85"/>
        <v>-1.0000000000047748E-3</v>
      </c>
      <c r="AG375" s="278">
        <f t="shared" si="83"/>
        <v>-1.0000000000047748E-3</v>
      </c>
      <c r="AH375" s="202">
        <f t="shared" si="80"/>
        <v>6.9440000000000026</v>
      </c>
      <c r="AI375" s="202">
        <f t="shared" si="81"/>
        <v>58.849999999999994</v>
      </c>
      <c r="AJ375" s="275"/>
      <c r="AK375" s="275"/>
      <c r="AL375" s="275"/>
      <c r="AM375" s="275"/>
      <c r="AN375" s="275"/>
      <c r="AO375" s="275"/>
      <c r="AP375" s="275"/>
      <c r="AQ375" s="275"/>
      <c r="AR375" s="275"/>
      <c r="AS375" s="275"/>
      <c r="AT375" s="275"/>
      <c r="AU375" s="275"/>
      <c r="AV375" s="275"/>
      <c r="AW375" s="275"/>
      <c r="AX375" s="275"/>
      <c r="AY375" s="275"/>
      <c r="AZ375" s="275"/>
      <c r="BA375" s="275"/>
      <c r="BB375" s="289">
        <v>1.0352230921526275</v>
      </c>
      <c r="BC375" s="275"/>
      <c r="BE375" s="274">
        <f t="shared" si="86"/>
        <v>4.8988387096774195</v>
      </c>
      <c r="BF375" s="280">
        <f t="shared" si="91"/>
        <v>155.262</v>
      </c>
      <c r="BG375" s="154" t="str">
        <f t="shared" si="90"/>
        <v/>
      </c>
      <c r="BH375" s="270">
        <f t="shared" si="87"/>
        <v>-0.12999999999999973</v>
      </c>
      <c r="BI375" s="270">
        <f t="shared" si="82"/>
        <v>1.9999999999999574E-2</v>
      </c>
    </row>
    <row r="376" spans="1:61">
      <c r="A376" s="266">
        <v>40483</v>
      </c>
      <c r="B376" s="266"/>
      <c r="C376" s="277">
        <v>0.20637888888888939</v>
      </c>
      <c r="D376" s="276">
        <v>6.1913666666666813</v>
      </c>
      <c r="E376" s="290">
        <v>5.5821612903225803</v>
      </c>
      <c r="F376" s="277">
        <f t="shared" si="89"/>
        <v>167.46483870967742</v>
      </c>
      <c r="G376" s="288">
        <v>148.86699999999999</v>
      </c>
      <c r="H376" s="281">
        <f t="shared" si="88"/>
        <v>0.88894481460720687</v>
      </c>
      <c r="I376" s="202">
        <v>3562.9810000000002</v>
      </c>
      <c r="J376" s="270">
        <v>47.87</v>
      </c>
      <c r="K376" s="270">
        <v>0.11256527488250612</v>
      </c>
      <c r="L376" s="202">
        <v>764.06600000000003</v>
      </c>
      <c r="M376" s="277">
        <v>278.33781431409989</v>
      </c>
      <c r="N376" s="202">
        <v>1708.431</v>
      </c>
      <c r="O376" s="270">
        <v>11.48</v>
      </c>
      <c r="P376" s="270">
        <v>-5.7196844801023161E-2</v>
      </c>
      <c r="Q376" s="202">
        <v>2830.51</v>
      </c>
      <c r="R376" s="199">
        <v>0.84506104540593541</v>
      </c>
      <c r="S376" s="202">
        <v>518.96399999999994</v>
      </c>
      <c r="T376" s="286">
        <v>525.35366666666687</v>
      </c>
      <c r="U376" s="275"/>
      <c r="V376" s="278">
        <v>18.658999999999999</v>
      </c>
      <c r="W376" s="278">
        <v>34.073</v>
      </c>
      <c r="X376" s="278">
        <v>20.992000000000001</v>
      </c>
      <c r="Y376" s="278">
        <v>27.349</v>
      </c>
      <c r="Z376" s="278"/>
      <c r="AB376" s="278">
        <v>32.709000000000003</v>
      </c>
      <c r="AC376" s="278">
        <v>15.085000000000001</v>
      </c>
      <c r="AD376" s="279">
        <v>148.86699999999999</v>
      </c>
      <c r="AE376" s="278">
        <f t="shared" si="84"/>
        <v>148.86700000000002</v>
      </c>
      <c r="AF376" s="278">
        <f t="shared" si="85"/>
        <v>0</v>
      </c>
      <c r="AG376" s="278">
        <f t="shared" si="83"/>
        <v>0</v>
      </c>
      <c r="AH376" s="202">
        <f t="shared" si="80"/>
        <v>-3.2560000000000002</v>
      </c>
      <c r="AI376" s="202">
        <f t="shared" si="81"/>
        <v>59.349999999999994</v>
      </c>
      <c r="AJ376" s="275"/>
      <c r="AK376" s="275"/>
      <c r="AL376" s="275"/>
      <c r="AM376" s="275"/>
      <c r="AN376" s="275"/>
      <c r="AO376" s="275"/>
      <c r="AP376" s="275"/>
      <c r="AQ376" s="275"/>
      <c r="AR376" s="275"/>
      <c r="AS376" s="275"/>
      <c r="AT376" s="275"/>
      <c r="AU376" s="275"/>
      <c r="AV376" s="275"/>
      <c r="AW376" s="275"/>
      <c r="AX376" s="275"/>
      <c r="AY376" s="275"/>
      <c r="AZ376" s="275"/>
      <c r="BA376" s="275"/>
      <c r="BB376" s="289">
        <v>1.0415899203091799</v>
      </c>
      <c r="BC376" s="275"/>
      <c r="BE376" s="274">
        <f>G376/30</f>
        <v>4.9622333333333328</v>
      </c>
      <c r="BF376" s="280">
        <f t="shared" si="91"/>
        <v>160.25899999999999</v>
      </c>
      <c r="BG376" s="154" t="str">
        <f t="shared" si="90"/>
        <v/>
      </c>
      <c r="BH376" s="270">
        <f t="shared" si="87"/>
        <v>-0.14400000000000085</v>
      </c>
      <c r="BI376" s="270">
        <f t="shared" si="82"/>
        <v>3.0000000000001137E-2</v>
      </c>
    </row>
    <row r="377" spans="1:61">
      <c r="A377" s="266">
        <v>40513</v>
      </c>
      <c r="B377" s="266"/>
      <c r="C377" s="277">
        <v>0.21966865591397777</v>
      </c>
      <c r="D377" s="276">
        <v>6.809728333333311</v>
      </c>
      <c r="E377" s="290">
        <v>5.5821612903225803</v>
      </c>
      <c r="F377" s="277">
        <f t="shared" si="89"/>
        <v>173.047</v>
      </c>
      <c r="G377" s="288">
        <v>145.53700000000001</v>
      </c>
      <c r="H377" s="281">
        <f t="shared" si="88"/>
        <v>0.84102584846891315</v>
      </c>
      <c r="I377" s="202">
        <v>3509.6959999999999</v>
      </c>
      <c r="J377" s="270">
        <v>48.23</v>
      </c>
      <c r="K377" s="270">
        <v>2.2350282940656996E-2</v>
      </c>
      <c r="L377" s="202">
        <v>599.14499999999998</v>
      </c>
      <c r="M377" s="277">
        <v>299.67542108040004</v>
      </c>
      <c r="N377" s="202">
        <v>1678.07</v>
      </c>
      <c r="O377" s="270">
        <v>11.53</v>
      </c>
      <c r="P377" s="270">
        <v>-0.16443823872948826</v>
      </c>
      <c r="Q377" s="202">
        <v>3020.3069999999998</v>
      </c>
      <c r="R377" s="199">
        <v>0.85514084182040417</v>
      </c>
      <c r="S377" s="202">
        <v>511.63400000000001</v>
      </c>
      <c r="T377" s="286">
        <v>524.81433333333348</v>
      </c>
      <c r="U377" s="275"/>
      <c r="V377" s="278">
        <v>17.472999999999999</v>
      </c>
      <c r="W377" s="278">
        <v>32.487000000000002</v>
      </c>
      <c r="X377" s="278">
        <v>19.626000000000001</v>
      </c>
      <c r="Y377" s="278">
        <v>27.27</v>
      </c>
      <c r="Z377" s="278"/>
      <c r="AB377" s="278">
        <v>32.819000000000003</v>
      </c>
      <c r="AC377" s="278">
        <v>15.862</v>
      </c>
      <c r="AD377" s="279">
        <v>145.53700000000001</v>
      </c>
      <c r="AE377" s="278">
        <f t="shared" si="84"/>
        <v>145.53700000000001</v>
      </c>
      <c r="AF377" s="278">
        <f t="shared" si="85"/>
        <v>0</v>
      </c>
      <c r="AG377" s="278">
        <f t="shared" si="83"/>
        <v>0</v>
      </c>
      <c r="AH377" s="202">
        <f t="shared" si="80"/>
        <v>0.10999999999999943</v>
      </c>
      <c r="AI377" s="202">
        <f t="shared" si="81"/>
        <v>59.76</v>
      </c>
      <c r="AJ377" s="275"/>
      <c r="AK377" s="275"/>
      <c r="AL377" s="275"/>
      <c r="AM377" s="275"/>
      <c r="AN377" s="275"/>
      <c r="AO377" s="275"/>
      <c r="AP377" s="275"/>
      <c r="AQ377" s="275"/>
      <c r="AR377" s="275"/>
      <c r="AS377" s="275"/>
      <c r="AT377" s="275"/>
      <c r="AU377" s="275"/>
      <c r="AV377" s="275"/>
      <c r="AW377" s="275"/>
      <c r="AX377" s="275"/>
      <c r="AY377" s="275"/>
      <c r="AZ377" s="275"/>
      <c r="BA377" s="275"/>
      <c r="BB377" s="289">
        <v>1.0467903580074711</v>
      </c>
      <c r="BC377" s="275"/>
      <c r="BE377" s="274">
        <f t="shared" si="86"/>
        <v>4.6947419354838713</v>
      </c>
      <c r="BF377" s="280">
        <f t="shared" si="91"/>
        <v>164.37700000000001</v>
      </c>
      <c r="BG377" s="154" t="str">
        <f t="shared" si="90"/>
        <v/>
      </c>
      <c r="BH377" s="270">
        <f t="shared" si="87"/>
        <v>6.0000000000000143E-2</v>
      </c>
      <c r="BI377" s="270">
        <f t="shared" si="82"/>
        <v>4.9999999999998934E-2</v>
      </c>
    </row>
    <row r="378" spans="1:61">
      <c r="A378" s="266">
        <v>40544</v>
      </c>
      <c r="B378" s="266"/>
      <c r="C378" s="277">
        <v>0.14622903225806422</v>
      </c>
      <c r="D378" s="276">
        <v>4.5330999999999904</v>
      </c>
      <c r="E378" s="290">
        <v>5.5821612903225803</v>
      </c>
      <c r="F378" s="277">
        <f t="shared" si="89"/>
        <v>173.047</v>
      </c>
      <c r="G378" s="288">
        <v>144.63499999999999</v>
      </c>
      <c r="H378" s="281">
        <f t="shared" si="88"/>
        <v>0.8358133917375048</v>
      </c>
      <c r="I378" s="202">
        <v>3460.422</v>
      </c>
      <c r="J378" s="270">
        <v>47.85</v>
      </c>
      <c r="K378" s="270">
        <v>8.2082898421376171E-3</v>
      </c>
      <c r="L378" s="202">
        <v>834.42</v>
      </c>
      <c r="M378" s="277">
        <v>335.95936563660018</v>
      </c>
      <c r="N378" s="202">
        <v>1670.3119999999999</v>
      </c>
      <c r="O378" s="270">
        <v>11.55</v>
      </c>
      <c r="P378" s="270">
        <v>3.2476782904744539E-4</v>
      </c>
      <c r="Q378" s="202">
        <v>3098.4050000000002</v>
      </c>
      <c r="R378" s="199">
        <v>0.90718789481158113</v>
      </c>
      <c r="S378" s="202">
        <v>316.98999999999978</v>
      </c>
      <c r="T378" s="286">
        <v>571.98166666666668</v>
      </c>
      <c r="U378" s="275"/>
      <c r="V378" s="278">
        <v>18.957999999999998</v>
      </c>
      <c r="W378" s="278">
        <v>31.963000000000001</v>
      </c>
      <c r="X378" s="278">
        <v>20.042000000000002</v>
      </c>
      <c r="Y378" s="278">
        <v>26.657</v>
      </c>
      <c r="Z378" s="278"/>
      <c r="AB378" s="278">
        <v>32.673000000000002</v>
      </c>
      <c r="AC378" s="278">
        <v>14.342000000000001</v>
      </c>
      <c r="AD378" s="279">
        <v>144.63499999999999</v>
      </c>
      <c r="AE378" s="278">
        <f t="shared" si="84"/>
        <v>144.63500000000002</v>
      </c>
      <c r="AF378" s="278">
        <f t="shared" si="85"/>
        <v>0</v>
      </c>
      <c r="AG378" s="278">
        <f t="shared" si="83"/>
        <v>0</v>
      </c>
      <c r="AH378" s="202">
        <f t="shared" si="80"/>
        <v>-0.1460000000000008</v>
      </c>
      <c r="AI378" s="202">
        <f t="shared" si="81"/>
        <v>59.400000000000006</v>
      </c>
      <c r="AJ378" s="275"/>
      <c r="AK378" s="275"/>
      <c r="AL378" s="275"/>
      <c r="AM378" s="275"/>
      <c r="AN378" s="275"/>
      <c r="AO378" s="275"/>
      <c r="AP378" s="275"/>
      <c r="AQ378" s="275"/>
      <c r="AR378" s="275"/>
      <c r="AS378" s="275"/>
      <c r="AT378" s="275"/>
      <c r="AU378" s="275"/>
      <c r="AV378" s="275"/>
      <c r="AW378" s="275"/>
      <c r="AX378" s="275"/>
      <c r="AY378" s="275"/>
      <c r="AZ378" s="275"/>
      <c r="BA378" s="275"/>
      <c r="BB378" s="289">
        <v>1.0313416531268365</v>
      </c>
      <c r="BC378" s="275"/>
      <c r="BE378" s="274">
        <f t="shared" si="86"/>
        <v>4.665645161290322</v>
      </c>
      <c r="BF378" s="280">
        <f t="shared" si="91"/>
        <v>162.39699999999999</v>
      </c>
      <c r="BG378" s="154" t="str">
        <f t="shared" si="90"/>
        <v/>
      </c>
      <c r="BH378" s="270">
        <f t="shared" si="87"/>
        <v>8.0000000000005397E-3</v>
      </c>
      <c r="BI378" s="270">
        <f t="shared" si="82"/>
        <v>2.000000000000135E-2</v>
      </c>
    </row>
    <row r="379" spans="1:61">
      <c r="A379" s="266">
        <v>40575</v>
      </c>
      <c r="B379" s="266"/>
      <c r="C379" s="277">
        <v>0.1617678571428571</v>
      </c>
      <c r="D379" s="276">
        <v>4.5294999999999987</v>
      </c>
      <c r="E379" s="290">
        <v>5.5821612903225803</v>
      </c>
      <c r="F379" s="277">
        <f t="shared" si="89"/>
        <v>156.30051612903225</v>
      </c>
      <c r="G379" s="288">
        <v>124.884</v>
      </c>
      <c r="H379" s="281">
        <f t="shared" si="88"/>
        <v>0.79899928095505024</v>
      </c>
      <c r="I379" s="202">
        <v>3006.098</v>
      </c>
      <c r="J379" s="270">
        <v>48.14</v>
      </c>
      <c r="K379" s="270">
        <v>0.17257944495743516</v>
      </c>
      <c r="L379" s="202">
        <v>663.58600000000001</v>
      </c>
      <c r="M379" s="277">
        <v>268.38708579199999</v>
      </c>
      <c r="N379" s="202">
        <v>1452.4659999999999</v>
      </c>
      <c r="O379" s="270">
        <v>11.63</v>
      </c>
      <c r="P379" s="270">
        <v>-3.9014515487179935E-2</v>
      </c>
      <c r="Q379" s="202">
        <v>3101.877</v>
      </c>
      <c r="R379" s="199">
        <v>0.91894751155914123</v>
      </c>
      <c r="S379" s="202">
        <v>273.59000000000015</v>
      </c>
      <c r="T379" s="286">
        <v>543.38866666666672</v>
      </c>
      <c r="U379" s="275"/>
      <c r="V379" s="278">
        <v>15.885</v>
      </c>
      <c r="W379" s="278">
        <v>28.029</v>
      </c>
      <c r="X379" s="278">
        <v>16.265999999999998</v>
      </c>
      <c r="Y379" s="278">
        <v>23.021000000000001</v>
      </c>
      <c r="Z379" s="278"/>
      <c r="AB379" s="278">
        <v>28.2</v>
      </c>
      <c r="AC379" s="278">
        <v>13.483000000000001</v>
      </c>
      <c r="AD379" s="279">
        <v>124.884</v>
      </c>
      <c r="AE379" s="278">
        <f t="shared" si="84"/>
        <v>124.884</v>
      </c>
      <c r="AF379" s="278">
        <f t="shared" si="85"/>
        <v>0</v>
      </c>
      <c r="AG379" s="278">
        <f t="shared" si="83"/>
        <v>0</v>
      </c>
      <c r="AH379" s="202">
        <f t="shared" si="80"/>
        <v>-4.4730000000000025</v>
      </c>
      <c r="AI379" s="202">
        <f t="shared" si="81"/>
        <v>59.77</v>
      </c>
      <c r="AJ379" s="275"/>
      <c r="AK379" s="275"/>
      <c r="AL379" s="275"/>
      <c r="AM379" s="275"/>
      <c r="AN379" s="275"/>
      <c r="AO379" s="275"/>
      <c r="AP379" s="275"/>
      <c r="AQ379" s="275"/>
      <c r="AR379" s="275"/>
      <c r="AS379" s="275"/>
      <c r="AT379" s="275"/>
      <c r="AU379" s="275"/>
      <c r="AV379" s="275"/>
      <c r="AW379" s="275"/>
      <c r="AX379" s="275"/>
      <c r="AY379" s="275"/>
      <c r="AZ379" s="275"/>
      <c r="BA379" s="275"/>
      <c r="BB379" s="289">
        <v>1.0362696582428494</v>
      </c>
      <c r="BC379" s="275"/>
      <c r="BE379" s="274">
        <f>G379/28</f>
        <v>4.4601428571428574</v>
      </c>
      <c r="BF379" s="280">
        <f t="shared" si="91"/>
        <v>148.351</v>
      </c>
      <c r="BG379" s="154" t="str">
        <f t="shared" si="90"/>
        <v/>
      </c>
      <c r="BH379" s="270">
        <f t="shared" si="87"/>
        <v>5.1999999999999602E-2</v>
      </c>
      <c r="BI379" s="270">
        <f t="shared" si="82"/>
        <v>8.0000000000000071E-2</v>
      </c>
    </row>
    <row r="380" spans="1:61">
      <c r="A380" s="266">
        <v>40603</v>
      </c>
      <c r="B380" s="266"/>
      <c r="C380" s="277">
        <v>0.18956236559139847</v>
      </c>
      <c r="D380" s="276">
        <v>5.8764333333333525</v>
      </c>
      <c r="E380" s="290">
        <v>5.5821612903225803</v>
      </c>
      <c r="F380" s="277">
        <f t="shared" si="89"/>
        <v>173.047</v>
      </c>
      <c r="G380" s="288">
        <v>134.39099999999999</v>
      </c>
      <c r="H380" s="281">
        <f t="shared" si="88"/>
        <v>0.77661560154177767</v>
      </c>
      <c r="I380" s="202">
        <v>3227.8710000000001</v>
      </c>
      <c r="J380" s="270">
        <v>48.04</v>
      </c>
      <c r="K380" s="270">
        <v>3.3953017842343058E-2</v>
      </c>
      <c r="L380" s="202">
        <v>518.86099999999999</v>
      </c>
      <c r="M380" s="277">
        <v>355.33963558869993</v>
      </c>
      <c r="N380" s="202">
        <v>1565.116</v>
      </c>
      <c r="O380" s="270">
        <v>11.65</v>
      </c>
      <c r="P380" s="270">
        <v>-7.3727722020532127E-2</v>
      </c>
      <c r="Q380" s="202">
        <v>3059.7930000000001</v>
      </c>
      <c r="R380" s="199">
        <v>0.89735499917736894</v>
      </c>
      <c r="S380" s="202">
        <v>349.99800000000005</v>
      </c>
      <c r="T380" s="286">
        <v>577.50800000000015</v>
      </c>
      <c r="U380" s="275"/>
      <c r="V380" s="278">
        <v>17.157</v>
      </c>
      <c r="W380" s="278">
        <v>30.228999999999999</v>
      </c>
      <c r="X380" s="278">
        <v>17.712</v>
      </c>
      <c r="Y380" s="278">
        <v>24.347000000000001</v>
      </c>
      <c r="Z380" s="278"/>
      <c r="AB380" s="278">
        <v>30.06</v>
      </c>
      <c r="AC380" s="278">
        <v>14.885</v>
      </c>
      <c r="AD380" s="279">
        <v>134.39099999999999</v>
      </c>
      <c r="AE380" s="278">
        <f t="shared" si="84"/>
        <v>134.38999999999999</v>
      </c>
      <c r="AF380" s="278">
        <f t="shared" si="85"/>
        <v>-1.0000000000047748E-3</v>
      </c>
      <c r="AG380" s="278">
        <f t="shared" si="83"/>
        <v>-1.0000000000047748E-3</v>
      </c>
      <c r="AH380" s="202">
        <f t="shared" si="80"/>
        <v>1.8599999999999994</v>
      </c>
      <c r="AI380" s="202">
        <f t="shared" si="81"/>
        <v>59.69</v>
      </c>
      <c r="AJ380" s="275"/>
      <c r="AK380" s="275"/>
      <c r="AL380" s="275"/>
      <c r="AM380" s="275"/>
      <c r="AN380" s="275"/>
      <c r="AO380" s="275"/>
      <c r="AP380" s="275"/>
      <c r="AQ380" s="275"/>
      <c r="AR380" s="275"/>
      <c r="AS380" s="275"/>
      <c r="AT380" s="275"/>
      <c r="AU380" s="275"/>
      <c r="AV380" s="275"/>
      <c r="AW380" s="275"/>
      <c r="AX380" s="275"/>
      <c r="AY380" s="275"/>
      <c r="AZ380" s="275"/>
      <c r="BA380" s="275"/>
      <c r="BB380" s="289">
        <v>1.043726390408088</v>
      </c>
      <c r="BC380" s="275"/>
      <c r="BE380" s="274">
        <f t="shared" si="86"/>
        <v>4.3351935483870969</v>
      </c>
      <c r="BF380" s="280">
        <f t="shared" si="91"/>
        <v>149.62700000000001</v>
      </c>
      <c r="BG380" s="154" t="str">
        <f t="shared" si="90"/>
        <v/>
      </c>
      <c r="BH380" s="270">
        <f t="shared" si="87"/>
        <v>3.8000000000000256E-2</v>
      </c>
      <c r="BI380" s="270">
        <f t="shared" si="82"/>
        <v>1.9999999999999574E-2</v>
      </c>
    </row>
    <row r="381" spans="1:61">
      <c r="A381" s="266">
        <v>40634</v>
      </c>
      <c r="B381" s="266"/>
      <c r="C381" s="277">
        <v>0.22192888888888879</v>
      </c>
      <c r="D381" s="276">
        <v>6.6578666666666635</v>
      </c>
      <c r="E381" s="291">
        <v>5.5221612903225807</v>
      </c>
      <c r="F381" s="277">
        <f t="shared" si="89"/>
        <v>165.66483870967741</v>
      </c>
      <c r="G381" s="277">
        <v>121.33</v>
      </c>
      <c r="H381" s="281">
        <f t="shared" si="88"/>
        <v>0.73238232653959323</v>
      </c>
      <c r="I381" s="202">
        <v>2922.8739999999998</v>
      </c>
      <c r="J381" s="270">
        <v>48.18</v>
      </c>
      <c r="K381" s="270">
        <v>0.46426732117315339</v>
      </c>
      <c r="L381" s="202">
        <v>580.01</v>
      </c>
      <c r="M381" s="277">
        <v>106.41680690710007</v>
      </c>
      <c r="N381" s="202">
        <v>1421.5</v>
      </c>
      <c r="O381" s="270">
        <v>11.72</v>
      </c>
      <c r="P381" s="270">
        <v>3.5786225569298225E-2</v>
      </c>
      <c r="Q381" s="202">
        <v>2694.4319999999998</v>
      </c>
      <c r="R381" s="199">
        <v>0.80621698900201899</v>
      </c>
      <c r="S381" s="202">
        <v>647.63600000000042</v>
      </c>
      <c r="T381" s="286">
        <v>561.29399999999987</v>
      </c>
      <c r="U381" s="275"/>
      <c r="V381" s="278">
        <v>16.463000000000001</v>
      </c>
      <c r="W381" s="278">
        <v>26.169</v>
      </c>
      <c r="X381" s="278">
        <v>17.059999999999999</v>
      </c>
      <c r="Y381" s="278">
        <v>23.138000000000002</v>
      </c>
      <c r="Z381" s="278"/>
      <c r="AB381" s="278">
        <v>27.981000000000002</v>
      </c>
      <c r="AC381" s="278">
        <v>10.52</v>
      </c>
      <c r="AD381" s="279">
        <v>121.33</v>
      </c>
      <c r="AE381" s="278">
        <f t="shared" si="84"/>
        <v>121.331</v>
      </c>
      <c r="AF381" s="278">
        <f t="shared" si="85"/>
        <v>1.0000000000047748E-3</v>
      </c>
      <c r="AG381" s="278">
        <f t="shared" si="83"/>
        <v>1.0000000000047748E-3</v>
      </c>
      <c r="AH381" s="202">
        <f t="shared" si="80"/>
        <v>-2.0789999999999971</v>
      </c>
      <c r="AI381" s="202">
        <f t="shared" si="81"/>
        <v>59.9</v>
      </c>
      <c r="AJ381" s="275"/>
      <c r="AK381" s="275"/>
      <c r="AL381" s="275"/>
      <c r="AM381" s="275"/>
      <c r="AN381" s="275"/>
      <c r="AO381" s="275"/>
      <c r="AP381" s="275"/>
      <c r="AQ381" s="275"/>
      <c r="AR381" s="275"/>
      <c r="AS381" s="275"/>
      <c r="AT381" s="275"/>
      <c r="AU381" s="275"/>
      <c r="AV381" s="275"/>
      <c r="AW381" s="275"/>
      <c r="AX381" s="275"/>
      <c r="AY381" s="275"/>
      <c r="AZ381" s="275"/>
      <c r="BA381" s="275"/>
      <c r="BB381" s="289">
        <v>1.0548740350009616</v>
      </c>
      <c r="BC381" s="275"/>
      <c r="BE381" s="274">
        <f>G381/30</f>
        <v>4.0443333333333333</v>
      </c>
      <c r="BF381" s="280">
        <f t="shared" si="91"/>
        <v>139.96600000000001</v>
      </c>
      <c r="BG381" s="154" t="str">
        <f t="shared" si="90"/>
        <v/>
      </c>
      <c r="BH381" s="270">
        <f t="shared" si="87"/>
        <v>-2.7308543186632405E-2</v>
      </c>
      <c r="BI381" s="270">
        <f t="shared" si="82"/>
        <v>7.0000000000000284E-2</v>
      </c>
    </row>
    <row r="382" spans="1:61">
      <c r="A382" s="266">
        <v>40664</v>
      </c>
      <c r="B382" s="266"/>
      <c r="C382" s="277">
        <v>0.24901827956989242</v>
      </c>
      <c r="D382" s="276">
        <v>7.7195666666666654</v>
      </c>
      <c r="E382" s="290">
        <v>5.5221612903225807</v>
      </c>
      <c r="F382" s="277">
        <f t="shared" si="89"/>
        <v>171.18700000000001</v>
      </c>
      <c r="G382" s="277">
        <v>120.319</v>
      </c>
      <c r="H382" s="281">
        <f t="shared" si="88"/>
        <v>0.70285126791169883</v>
      </c>
      <c r="I382" s="202">
        <v>2905.3009999999999</v>
      </c>
      <c r="J382" s="270">
        <v>48.29</v>
      </c>
      <c r="K382" s="270">
        <v>0.14106386955805306</v>
      </c>
      <c r="L382" s="202">
        <v>334.21100000000001</v>
      </c>
      <c r="M382" s="277">
        <v>255.18477090099987</v>
      </c>
      <c r="N382" s="202">
        <v>1403.866</v>
      </c>
      <c r="O382" s="270">
        <v>11.67</v>
      </c>
      <c r="P382" s="270">
        <v>-2.3548162702018871E-2</v>
      </c>
      <c r="Q382" s="202">
        <v>2709.7190000000001</v>
      </c>
      <c r="R382" s="199">
        <v>0.8528308264535901</v>
      </c>
      <c r="S382" s="202">
        <v>467.60399999999981</v>
      </c>
      <c r="T382" s="286">
        <v>557.14633333333347</v>
      </c>
      <c r="U382" s="275"/>
      <c r="V382" s="278">
        <v>13.038</v>
      </c>
      <c r="W382" s="278">
        <v>26.762</v>
      </c>
      <c r="X382" s="278">
        <v>17.829000000000001</v>
      </c>
      <c r="Y382" s="278">
        <v>21.273</v>
      </c>
      <c r="Z382" s="278"/>
      <c r="AB382" s="278">
        <v>29.306000000000001</v>
      </c>
      <c r="AC382" s="278">
        <v>12.11</v>
      </c>
      <c r="AD382" s="279">
        <v>120.319</v>
      </c>
      <c r="AE382" s="278">
        <f t="shared" si="84"/>
        <v>120.318</v>
      </c>
      <c r="AF382" s="278">
        <f t="shared" si="85"/>
        <v>-1.0000000000047748E-3</v>
      </c>
      <c r="AG382" s="278">
        <f t="shared" si="83"/>
        <v>-1.0000000000047748E-3</v>
      </c>
      <c r="AH382" s="202">
        <f t="shared" si="80"/>
        <v>1.3249999999999993</v>
      </c>
      <c r="AI382" s="202">
        <f t="shared" si="81"/>
        <v>59.96</v>
      </c>
      <c r="AJ382" s="275"/>
      <c r="AK382" s="275"/>
      <c r="AL382" s="275"/>
      <c r="AM382" s="275"/>
      <c r="AN382" s="275"/>
      <c r="AO382" s="275"/>
      <c r="AP382" s="275"/>
      <c r="AQ382" s="275"/>
      <c r="AR382" s="275"/>
      <c r="AS382" s="275"/>
      <c r="AT382" s="275"/>
      <c r="AU382" s="275"/>
      <c r="AV382" s="275"/>
      <c r="AW382" s="275"/>
      <c r="AX382" s="275"/>
      <c r="AY382" s="275"/>
      <c r="AZ382" s="275"/>
      <c r="BA382" s="275"/>
      <c r="BB382" s="289">
        <v>1.0641591657732083</v>
      </c>
      <c r="BC382" s="275"/>
      <c r="BE382" s="274">
        <f t="shared" si="86"/>
        <v>3.8812580645161292</v>
      </c>
      <c r="BF382" s="280">
        <f t="shared" si="91"/>
        <v>144.00200000000001</v>
      </c>
      <c r="BG382" s="154" t="str">
        <f t="shared" si="90"/>
        <v/>
      </c>
      <c r="BH382" s="270">
        <f t="shared" si="87"/>
        <v>5.5308543186632163E-2</v>
      </c>
      <c r="BI382" s="270">
        <f t="shared" si="82"/>
        <v>-5.0000000000000711E-2</v>
      </c>
    </row>
    <row r="383" spans="1:61">
      <c r="A383" s="266">
        <v>40695</v>
      </c>
      <c r="B383" s="266"/>
      <c r="C383" s="277">
        <v>0.19685666666666654</v>
      </c>
      <c r="D383" s="276">
        <v>5.905699999999996</v>
      </c>
      <c r="E383" s="290">
        <v>5.5221612903225807</v>
      </c>
      <c r="F383" s="277">
        <f t="shared" si="89"/>
        <v>165.66483870967741</v>
      </c>
      <c r="G383" s="277">
        <v>117.718</v>
      </c>
      <c r="H383" s="281">
        <f t="shared" si="88"/>
        <v>0.71057926906443447</v>
      </c>
      <c r="I383" s="202">
        <v>2827.665</v>
      </c>
      <c r="J383" s="270">
        <v>48.04</v>
      </c>
      <c r="K383" s="270">
        <v>6.5533162330517314E-2</v>
      </c>
      <c r="L383" s="202">
        <v>372.81900000000002</v>
      </c>
      <c r="M383" s="277">
        <v>135.95396482320001</v>
      </c>
      <c r="N383" s="202">
        <v>1378.1189999999999</v>
      </c>
      <c r="O383" s="270">
        <v>11.71</v>
      </c>
      <c r="P383" s="270">
        <v>-7.7950481986867715E-2</v>
      </c>
      <c r="Q383" s="202">
        <v>2587.5680000000002</v>
      </c>
      <c r="R383" s="199">
        <v>0.8206519119180582</v>
      </c>
      <c r="S383" s="202">
        <v>565.49599999999964</v>
      </c>
      <c r="T383" s="286">
        <v>555.83500000000004</v>
      </c>
      <c r="U383" s="275"/>
      <c r="V383" s="278">
        <v>15.573</v>
      </c>
      <c r="W383" s="278">
        <v>21.626000000000001</v>
      </c>
      <c r="X383" s="278">
        <v>17.885999999999999</v>
      </c>
      <c r="Y383" s="278">
        <v>20.844000000000001</v>
      </c>
      <c r="Z383" s="278"/>
      <c r="AB383" s="278">
        <v>28.541</v>
      </c>
      <c r="AC383" s="278">
        <v>13.247999999999999</v>
      </c>
      <c r="AD383" s="279">
        <v>117.718</v>
      </c>
      <c r="AE383" s="278">
        <f t="shared" si="84"/>
        <v>117.718</v>
      </c>
      <c r="AF383" s="278">
        <f t="shared" si="85"/>
        <v>0</v>
      </c>
      <c r="AG383" s="278">
        <f t="shared" si="83"/>
        <v>0</v>
      </c>
      <c r="AH383" s="202">
        <f t="shared" si="80"/>
        <v>-0.76500000000000057</v>
      </c>
      <c r="AI383" s="202">
        <f t="shared" si="81"/>
        <v>59.75</v>
      </c>
      <c r="AJ383" s="275"/>
      <c r="AK383" s="275"/>
      <c r="AL383" s="275"/>
      <c r="AM383" s="275"/>
      <c r="AN383" s="275"/>
      <c r="AO383" s="275"/>
      <c r="AP383" s="275"/>
      <c r="AQ383" s="275"/>
      <c r="AR383" s="275"/>
      <c r="AS383" s="275"/>
      <c r="AT383" s="275"/>
      <c r="AU383" s="275"/>
      <c r="AV383" s="275"/>
      <c r="AW383" s="275"/>
      <c r="AX383" s="275"/>
      <c r="AY383" s="275"/>
      <c r="AZ383" s="275"/>
      <c r="BA383" s="275"/>
      <c r="BB383" s="289">
        <v>1.0501681985762585</v>
      </c>
      <c r="BC383" s="275"/>
      <c r="BE383" s="274">
        <f>G383/30</f>
        <v>3.9239333333333333</v>
      </c>
      <c r="BF383" s="280">
        <f t="shared" si="91"/>
        <v>141.583</v>
      </c>
      <c r="BG383" s="154" t="str">
        <f t="shared" si="90"/>
        <v/>
      </c>
      <c r="BH383" s="270">
        <f t="shared" si="87"/>
        <v>9.9999999999997868E-3</v>
      </c>
      <c r="BI383" s="270">
        <f t="shared" si="82"/>
        <v>4.0000000000000924E-2</v>
      </c>
    </row>
    <row r="384" spans="1:61">
      <c r="A384" s="266">
        <v>40725</v>
      </c>
      <c r="B384" s="266"/>
      <c r="C384" s="277">
        <v>0.21324838709677446</v>
      </c>
      <c r="D384" s="276">
        <v>6.6107000000000085</v>
      </c>
      <c r="E384" s="290">
        <v>5.5221612903225807</v>
      </c>
      <c r="F384" s="277">
        <f t="shared" si="89"/>
        <v>171.18700000000001</v>
      </c>
      <c r="G384" s="277">
        <v>122.952</v>
      </c>
      <c r="H384" s="281">
        <f t="shared" si="88"/>
        <v>0.71823210874657528</v>
      </c>
      <c r="I384" s="202">
        <v>2936.33</v>
      </c>
      <c r="J384" s="270">
        <v>47.76</v>
      </c>
      <c r="K384" s="270">
        <v>4.7802708649939518E-2</v>
      </c>
      <c r="L384" s="202">
        <v>386.81200000000001</v>
      </c>
      <c r="M384" s="277">
        <v>170.53771620229998</v>
      </c>
      <c r="N384" s="202">
        <v>1436.5709999999999</v>
      </c>
      <c r="O384" s="270">
        <v>11.68</v>
      </c>
      <c r="P384" s="270">
        <v>-6.6518650815396541E-2</v>
      </c>
      <c r="Q384" s="202">
        <v>2530.0100000000002</v>
      </c>
      <c r="R384" s="199">
        <v>0.80860673774494218</v>
      </c>
      <c r="S384" s="202">
        <v>598.84099999999989</v>
      </c>
      <c r="T384" s="286">
        <v>562.77500000000009</v>
      </c>
      <c r="U384" s="275"/>
      <c r="V384" s="278">
        <v>15.887</v>
      </c>
      <c r="W384" s="278">
        <v>26.234999999999999</v>
      </c>
      <c r="X384" s="278">
        <v>18.161999999999999</v>
      </c>
      <c r="Y384" s="278">
        <v>21.268000000000001</v>
      </c>
      <c r="Z384" s="278"/>
      <c r="AB384" s="278">
        <v>27.361000000000001</v>
      </c>
      <c r="AC384" s="278">
        <v>14.037000000000001</v>
      </c>
      <c r="AD384" s="279">
        <v>122.952</v>
      </c>
      <c r="AE384" s="278">
        <f t="shared" si="84"/>
        <v>122.95</v>
      </c>
      <c r="AF384" s="278">
        <f t="shared" si="85"/>
        <v>-1.9999999999953388E-3</v>
      </c>
      <c r="AG384" s="278">
        <f t="shared" si="83"/>
        <v>-1.9999999999953388E-3</v>
      </c>
      <c r="AH384" s="202">
        <f t="shared" si="80"/>
        <v>-1.1799999999999997</v>
      </c>
      <c r="AI384" s="202">
        <f t="shared" si="81"/>
        <v>59.44</v>
      </c>
      <c r="AJ384" s="275"/>
      <c r="AK384" s="275"/>
      <c r="AL384" s="275"/>
      <c r="AM384" s="275"/>
      <c r="AN384" s="275"/>
      <c r="AO384" s="275"/>
      <c r="AP384" s="275"/>
      <c r="AQ384" s="275"/>
      <c r="AR384" s="275"/>
      <c r="AS384" s="275"/>
      <c r="AT384" s="275"/>
      <c r="AU384" s="275"/>
      <c r="AV384" s="275"/>
      <c r="AW384" s="275"/>
      <c r="AX384" s="275"/>
      <c r="AY384" s="275"/>
      <c r="AZ384" s="275"/>
      <c r="BA384" s="275"/>
      <c r="BB384" s="289">
        <v>1.0537665105081659</v>
      </c>
      <c r="BC384" s="275"/>
      <c r="BE384" s="274">
        <f t="shared" si="86"/>
        <v>3.9661935483870967</v>
      </c>
      <c r="BF384" s="280">
        <f t="shared" si="91"/>
        <v>142.626</v>
      </c>
      <c r="BG384" s="154" t="str">
        <f t="shared" si="90"/>
        <v/>
      </c>
      <c r="BH384" s="270">
        <f t="shared" si="87"/>
        <v>1.9999999999999575E-3</v>
      </c>
      <c r="BI384" s="270">
        <f t="shared" si="82"/>
        <v>-3.0000000000001137E-2</v>
      </c>
    </row>
    <row r="385" spans="1:61">
      <c r="A385" s="266">
        <v>40756</v>
      </c>
      <c r="B385" s="266"/>
      <c r="C385" s="292">
        <v>0.19968180774193545</v>
      </c>
      <c r="D385" s="293">
        <v>6.1901360399999987</v>
      </c>
      <c r="E385" s="290">
        <v>5.5221612903225807</v>
      </c>
      <c r="F385" s="277">
        <f t="shared" si="89"/>
        <v>171.18700000000001</v>
      </c>
      <c r="G385" s="277">
        <v>118.767</v>
      </c>
      <c r="H385" s="281">
        <f t="shared" si="88"/>
        <v>0.69378515891977777</v>
      </c>
      <c r="I385" s="202">
        <v>2852.2539999999999</v>
      </c>
      <c r="J385" s="270">
        <v>48.03</v>
      </c>
      <c r="K385" s="270">
        <v>4.9999999999997158E-2</v>
      </c>
      <c r="L385" s="202">
        <v>473.29700000000003</v>
      </c>
      <c r="M385" s="277">
        <v>95.245030940799893</v>
      </c>
      <c r="N385" s="202">
        <v>1386.0709999999999</v>
      </c>
      <c r="O385" s="270">
        <v>11.67</v>
      </c>
      <c r="P385" s="270">
        <v>-7.0000000000000284E-2</v>
      </c>
      <c r="Q385" s="202">
        <v>2312.9540000000002</v>
      </c>
      <c r="R385" s="199">
        <v>0.81990570719602984</v>
      </c>
      <c r="S385" s="202">
        <v>508.04599999999982</v>
      </c>
      <c r="T385" s="286">
        <v>515.40300000000013</v>
      </c>
      <c r="U385" s="275"/>
      <c r="V385" s="278">
        <v>13.884</v>
      </c>
      <c r="W385" s="278">
        <v>24.530999999999999</v>
      </c>
      <c r="X385" s="278">
        <v>15.936999999999999</v>
      </c>
      <c r="Y385" s="278">
        <v>20.768000000000001</v>
      </c>
      <c r="Z385" s="278"/>
      <c r="AB385" s="278">
        <v>30.082000000000001</v>
      </c>
      <c r="AC385" s="278">
        <v>13.565</v>
      </c>
      <c r="AD385" s="279">
        <v>118.767</v>
      </c>
      <c r="AE385" s="278">
        <f t="shared" si="84"/>
        <v>118.767</v>
      </c>
      <c r="AF385" s="278">
        <f t="shared" si="85"/>
        <v>0</v>
      </c>
      <c r="AG385" s="278">
        <f t="shared" si="83"/>
        <v>0</v>
      </c>
      <c r="AH385" s="202">
        <f t="shared" si="80"/>
        <v>2.7210000000000001</v>
      </c>
      <c r="AI385" s="202">
        <f t="shared" si="81"/>
        <v>59.7</v>
      </c>
      <c r="AJ385" s="275"/>
      <c r="AK385" s="275"/>
      <c r="AL385" s="275"/>
      <c r="AM385" s="275"/>
      <c r="AN385" s="275"/>
      <c r="AO385" s="275"/>
      <c r="AP385" s="275"/>
      <c r="AQ385" s="275"/>
      <c r="AR385" s="275"/>
      <c r="AS385" s="275"/>
      <c r="AT385" s="275"/>
      <c r="AU385" s="275"/>
      <c r="AV385" s="275"/>
      <c r="AW385" s="275"/>
      <c r="AX385" s="275"/>
      <c r="AY385" s="275"/>
      <c r="AZ385" s="275"/>
      <c r="BA385" s="275"/>
      <c r="BB385" s="294">
        <v>1.0521199999999999</v>
      </c>
      <c r="BC385" s="275"/>
      <c r="BE385" s="274">
        <f t="shared" si="86"/>
        <v>3.8311935483870965</v>
      </c>
      <c r="BF385" s="280">
        <f t="shared" si="91"/>
        <v>137.56399999999999</v>
      </c>
      <c r="BG385" s="154" t="str">
        <f t="shared" si="90"/>
        <v/>
      </c>
      <c r="BH385" s="270">
        <f t="shared" si="87"/>
        <v>-5.9999999999998718E-3</v>
      </c>
      <c r="BI385" s="270">
        <f t="shared" si="82"/>
        <v>-9.9999999999997868E-3</v>
      </c>
    </row>
    <row r="386" spans="1:61">
      <c r="A386" s="266">
        <v>40787</v>
      </c>
      <c r="B386" s="266"/>
      <c r="C386" s="292">
        <v>0.17847248045000205</v>
      </c>
      <c r="D386" s="293">
        <v>5.3541744135000613</v>
      </c>
      <c r="E386" s="290">
        <v>5.5221612903225807</v>
      </c>
      <c r="F386" s="277">
        <f t="shared" si="89"/>
        <v>165.66483870967741</v>
      </c>
      <c r="G386" s="277">
        <v>110.313</v>
      </c>
      <c r="H386" s="281">
        <f t="shared" si="88"/>
        <v>0.66588058672679584</v>
      </c>
      <c r="I386" s="202">
        <v>2639.998</v>
      </c>
      <c r="J386" s="270">
        <v>47.86</v>
      </c>
      <c r="K386" s="270">
        <v>4.9999999999997158E-2</v>
      </c>
      <c r="L386" s="202">
        <v>300.34699999999998</v>
      </c>
      <c r="M386" s="277">
        <v>219.33145823950008</v>
      </c>
      <c r="N386" s="202">
        <v>1290.933</v>
      </c>
      <c r="O386" s="270">
        <v>11.7</v>
      </c>
      <c r="P386" s="270">
        <v>-7.0000000000000284E-2</v>
      </c>
      <c r="Q386" s="202">
        <v>1950.42</v>
      </c>
      <c r="R386" s="199">
        <v>0.8198486759142497</v>
      </c>
      <c r="S386" s="202">
        <v>428.57999999999993</v>
      </c>
      <c r="T386" s="286">
        <v>545.79866666666646</v>
      </c>
      <c r="U386" s="275"/>
      <c r="V386" s="278">
        <v>12.468</v>
      </c>
      <c r="W386" s="278">
        <v>23.276</v>
      </c>
      <c r="X386" s="278">
        <v>14.507</v>
      </c>
      <c r="Y386" s="278">
        <v>17.992000000000001</v>
      </c>
      <c r="Z386" s="278"/>
      <c r="AB386" s="278">
        <v>30.126999999999999</v>
      </c>
      <c r="AC386" s="278">
        <v>11.944000000000001</v>
      </c>
      <c r="AD386" s="279">
        <v>110.313</v>
      </c>
      <c r="AE386" s="278">
        <f t="shared" si="84"/>
        <v>110.31399999999999</v>
      </c>
      <c r="AF386" s="278">
        <f t="shared" si="85"/>
        <v>9.9999999999056399E-4</v>
      </c>
      <c r="AG386" s="278">
        <f t="shared" si="83"/>
        <v>9.9999999999056399E-4</v>
      </c>
      <c r="AH386" s="202">
        <f t="shared" ref="AH386:AH449" si="92">AB386-AB385</f>
        <v>4.4999999999998153E-2</v>
      </c>
      <c r="AI386" s="202">
        <f t="shared" si="81"/>
        <v>59.56</v>
      </c>
      <c r="AJ386" s="275"/>
      <c r="AK386" s="275"/>
      <c r="AL386" s="275"/>
      <c r="AM386" s="275"/>
      <c r="AN386" s="275"/>
      <c r="AO386" s="275"/>
      <c r="AP386" s="275"/>
      <c r="AQ386" s="275"/>
      <c r="AR386" s="275"/>
      <c r="AS386" s="275"/>
      <c r="AT386" s="275"/>
      <c r="AU386" s="275"/>
      <c r="AV386" s="275"/>
      <c r="AW386" s="275"/>
      <c r="AX386" s="275"/>
      <c r="AY386" s="275"/>
      <c r="AZ386" s="275"/>
      <c r="BA386" s="275"/>
      <c r="BB386" s="294">
        <v>1.0485362052840559</v>
      </c>
      <c r="BC386" s="275"/>
      <c r="BE386" s="274">
        <f>G386/30</f>
        <v>3.6771000000000003</v>
      </c>
      <c r="BF386" s="280">
        <f t="shared" si="91"/>
        <v>139.82900000000001</v>
      </c>
      <c r="BG386" s="154" t="str">
        <f t="shared" si="90"/>
        <v/>
      </c>
      <c r="BH386" s="270">
        <f t="shared" si="87"/>
        <v>5.600000000000023E-2</v>
      </c>
      <c r="BI386" s="270">
        <f t="shared" si="82"/>
        <v>2.9999999999999361E-2</v>
      </c>
    </row>
    <row r="387" spans="1:61">
      <c r="A387" s="266">
        <v>40817</v>
      </c>
      <c r="B387" s="266"/>
      <c r="C387" s="292">
        <v>0.22104170728379718</v>
      </c>
      <c r="D387" s="293">
        <v>6.8522929257977125</v>
      </c>
      <c r="E387" s="290">
        <v>5.5221612903225807</v>
      </c>
      <c r="F387" s="277">
        <f t="shared" si="89"/>
        <v>171.18700000000001</v>
      </c>
      <c r="G387" s="277">
        <v>141.179</v>
      </c>
      <c r="H387" s="281">
        <f t="shared" si="88"/>
        <v>0.82470631531599947</v>
      </c>
      <c r="I387" s="202">
        <v>3362.9349999999999</v>
      </c>
      <c r="J387" s="270">
        <v>47.64</v>
      </c>
      <c r="K387" s="270">
        <v>0</v>
      </c>
      <c r="L387" s="202">
        <v>578.14599999999996</v>
      </c>
      <c r="M387" s="277">
        <v>118.42526480900017</v>
      </c>
      <c r="N387" s="202">
        <v>1632.2819999999999</v>
      </c>
      <c r="O387" s="270">
        <v>11.56</v>
      </c>
      <c r="P387" s="270">
        <v>-7.0000000000000284E-2</v>
      </c>
      <c r="Q387" s="202">
        <v>1876.09</v>
      </c>
      <c r="R387" s="199">
        <v>0.80003837953091683</v>
      </c>
      <c r="S387" s="202">
        <v>468.91000000000008</v>
      </c>
      <c r="T387" s="286">
        <v>503.78200000000015</v>
      </c>
      <c r="U387" s="275"/>
      <c r="V387" s="278">
        <v>16.63</v>
      </c>
      <c r="W387" s="278">
        <v>31.907</v>
      </c>
      <c r="X387" s="278">
        <v>17.858000000000001</v>
      </c>
      <c r="Y387" s="278">
        <v>28.939</v>
      </c>
      <c r="Z387" s="278"/>
      <c r="AB387" s="278">
        <v>33.058</v>
      </c>
      <c r="AC387" s="278">
        <v>12.786</v>
      </c>
      <c r="AD387" s="279">
        <v>141.179</v>
      </c>
      <c r="AE387" s="278">
        <f t="shared" si="84"/>
        <v>141.178</v>
      </c>
      <c r="AF387" s="278">
        <f t="shared" si="85"/>
        <v>-1.0000000000047748E-3</v>
      </c>
      <c r="AG387" s="278">
        <f t="shared" si="83"/>
        <v>-1.0000000000047748E-3</v>
      </c>
      <c r="AH387" s="202">
        <f t="shared" si="92"/>
        <v>2.9310000000000009</v>
      </c>
      <c r="AI387" s="202">
        <f t="shared" ref="AI387:AI450" si="93">J387+O387</f>
        <v>59.2</v>
      </c>
      <c r="AJ387" s="275"/>
      <c r="AK387" s="275"/>
      <c r="AL387" s="275"/>
      <c r="AM387" s="275"/>
      <c r="AN387" s="275"/>
      <c r="AO387" s="275"/>
      <c r="AP387" s="275"/>
      <c r="AQ387" s="275"/>
      <c r="AR387" s="275"/>
      <c r="AS387" s="275"/>
      <c r="AT387" s="275"/>
      <c r="AU387" s="275"/>
      <c r="AV387" s="275"/>
      <c r="AW387" s="275"/>
      <c r="AX387" s="275"/>
      <c r="AY387" s="275"/>
      <c r="AZ387" s="275"/>
      <c r="BA387" s="275"/>
      <c r="BB387" s="294">
        <v>1.0485362052840559</v>
      </c>
      <c r="BC387" s="275"/>
      <c r="BE387" s="274">
        <f t="shared" si="86"/>
        <v>4.5541612903225808</v>
      </c>
      <c r="BF387" s="280">
        <f t="shared" si="91"/>
        <v>155.262</v>
      </c>
      <c r="BG387" s="154" t="str">
        <f t="shared" si="90"/>
        <v/>
      </c>
      <c r="BH387" s="270">
        <f t="shared" si="87"/>
        <v>-0.14399999999999977</v>
      </c>
      <c r="BI387" s="270">
        <f t="shared" si="82"/>
        <v>-0.13999999999999879</v>
      </c>
    </row>
    <row r="388" spans="1:61">
      <c r="A388" s="266">
        <v>40848</v>
      </c>
      <c r="B388" s="266"/>
      <c r="C388" s="292">
        <v>0.22856831579718553</v>
      </c>
      <c r="D388" s="293">
        <v>6.8570494739155663</v>
      </c>
      <c r="E388" s="290">
        <v>5.5221612903225807</v>
      </c>
      <c r="F388" s="277">
        <f t="shared" si="89"/>
        <v>165.66483870967741</v>
      </c>
      <c r="G388" s="277">
        <v>141.27699999999999</v>
      </c>
      <c r="H388" s="281">
        <f t="shared" si="88"/>
        <v>0.85278808164950215</v>
      </c>
      <c r="I388" s="202">
        <v>3377.5430000000001</v>
      </c>
      <c r="J388" s="270">
        <v>47.81</v>
      </c>
      <c r="K388" s="270">
        <v>0</v>
      </c>
      <c r="L388" s="202">
        <v>673.30399999999997</v>
      </c>
      <c r="M388" s="277">
        <v>163.33384502829995</v>
      </c>
      <c r="N388" s="202">
        <v>1598.0319999999999</v>
      </c>
      <c r="O388" s="270">
        <v>11.31</v>
      </c>
      <c r="P388" s="270">
        <v>-7.0000000000000284E-2</v>
      </c>
      <c r="Q388" s="202">
        <v>1855.2909999999999</v>
      </c>
      <c r="R388" s="199">
        <v>0.80003924105217761</v>
      </c>
      <c r="S388" s="202">
        <v>463.70900000000006</v>
      </c>
      <c r="T388" s="286">
        <v>539.48000000000013</v>
      </c>
      <c r="U388" s="275"/>
      <c r="V388" s="278">
        <v>16.951000000000001</v>
      </c>
      <c r="W388" s="278">
        <v>31.367999999999999</v>
      </c>
      <c r="X388" s="278">
        <v>19.390999999999998</v>
      </c>
      <c r="Y388" s="278">
        <v>28.882999999999999</v>
      </c>
      <c r="Z388" s="278"/>
      <c r="AB388" s="278">
        <v>30.855</v>
      </c>
      <c r="AC388" s="278">
        <v>13.831</v>
      </c>
      <c r="AD388" s="279">
        <v>141.27699999999999</v>
      </c>
      <c r="AE388" s="278">
        <f t="shared" si="84"/>
        <v>141.279</v>
      </c>
      <c r="AF388" s="278">
        <f t="shared" si="85"/>
        <v>2.0000000000095497E-3</v>
      </c>
      <c r="AG388" s="278">
        <f t="shared" si="83"/>
        <v>2.0000000000095497E-3</v>
      </c>
      <c r="AH388" s="202">
        <f t="shared" si="92"/>
        <v>-2.2029999999999994</v>
      </c>
      <c r="AI388" s="202">
        <f t="shared" si="93"/>
        <v>59.120000000000005</v>
      </c>
      <c r="AJ388" s="275"/>
      <c r="AK388" s="275"/>
      <c r="AL388" s="275"/>
      <c r="AM388" s="275"/>
      <c r="AN388" s="275"/>
      <c r="AO388" s="275"/>
      <c r="AP388" s="275"/>
      <c r="AQ388" s="275"/>
      <c r="AR388" s="275"/>
      <c r="AS388" s="275"/>
      <c r="AT388" s="275"/>
      <c r="AU388" s="275"/>
      <c r="AV388" s="275"/>
      <c r="AW388" s="275"/>
      <c r="AX388" s="275"/>
      <c r="AY388" s="275"/>
      <c r="AZ388" s="275"/>
      <c r="BA388" s="275"/>
      <c r="BB388" s="294">
        <v>1.0485362052840559</v>
      </c>
      <c r="BC388" s="275"/>
      <c r="BE388" s="274">
        <f>G388/30</f>
        <v>4.7092333333333327</v>
      </c>
      <c r="BF388" s="280">
        <f t="shared" si="91"/>
        <v>160.25899999999999</v>
      </c>
      <c r="BG388" s="154" t="str">
        <f t="shared" si="90"/>
        <v/>
      </c>
      <c r="BH388" s="270">
        <f t="shared" si="87"/>
        <v>-0.1260000000000005</v>
      </c>
      <c r="BI388" s="270">
        <f t="shared" ref="BI388:BI451" si="94">O388-O387</f>
        <v>-0.25</v>
      </c>
    </row>
    <row r="389" spans="1:61">
      <c r="A389" s="266">
        <v>40878</v>
      </c>
      <c r="B389" s="266"/>
      <c r="C389" s="292">
        <v>0.22768177330346456</v>
      </c>
      <c r="D389" s="293">
        <v>7.0581349724074016</v>
      </c>
      <c r="E389" s="290">
        <v>5.5221612903225807</v>
      </c>
      <c r="F389" s="277">
        <f t="shared" si="89"/>
        <v>171.18700000000001</v>
      </c>
      <c r="G389" s="277">
        <v>145.41999999999999</v>
      </c>
      <c r="H389" s="281">
        <f t="shared" si="88"/>
        <v>0.84948039278683529</v>
      </c>
      <c r="I389" s="202">
        <v>3479.7359999999999</v>
      </c>
      <c r="J389" s="270">
        <v>47.86</v>
      </c>
      <c r="K389" s="270">
        <v>0</v>
      </c>
      <c r="L389" s="202">
        <v>608.15899999999999</v>
      </c>
      <c r="M389" s="277">
        <v>258.75194271459998</v>
      </c>
      <c r="N389" s="202">
        <v>1651.9190000000001</v>
      </c>
      <c r="O389" s="270">
        <v>11.36</v>
      </c>
      <c r="P389" s="270">
        <v>-7.0000000000000284E-2</v>
      </c>
      <c r="Q389" s="202">
        <v>1938.0309999999999</v>
      </c>
      <c r="R389" s="199">
        <v>0.79984770945109362</v>
      </c>
      <c r="S389" s="202">
        <v>484.96900000000005</v>
      </c>
      <c r="T389" s="286">
        <v>544.10433333333333</v>
      </c>
      <c r="U389" s="275"/>
      <c r="V389" s="278">
        <v>17.509</v>
      </c>
      <c r="W389" s="278">
        <v>31.911000000000001</v>
      </c>
      <c r="X389" s="278">
        <v>20.369</v>
      </c>
      <c r="Y389" s="278">
        <v>29.29</v>
      </c>
      <c r="Z389" s="278"/>
      <c r="AB389" s="278">
        <v>32.618000000000002</v>
      </c>
      <c r="AC389" s="278">
        <v>13.723000000000001</v>
      </c>
      <c r="AD389" s="279">
        <v>145.41999999999999</v>
      </c>
      <c r="AE389" s="278">
        <f t="shared" si="84"/>
        <v>145.42000000000002</v>
      </c>
      <c r="AF389" s="278">
        <f t="shared" si="85"/>
        <v>0</v>
      </c>
      <c r="AG389" s="278">
        <f t="shared" si="83"/>
        <v>0</v>
      </c>
      <c r="AH389" s="202">
        <f t="shared" si="92"/>
        <v>1.7630000000000017</v>
      </c>
      <c r="AI389" s="202">
        <f t="shared" si="93"/>
        <v>59.22</v>
      </c>
      <c r="AJ389" s="275"/>
      <c r="AK389" s="275"/>
      <c r="AL389" s="275"/>
      <c r="AM389" s="275"/>
      <c r="AN389" s="275"/>
      <c r="AO389" s="275"/>
      <c r="AP389" s="275"/>
      <c r="AQ389" s="275"/>
      <c r="AR389" s="275"/>
      <c r="AS389" s="275"/>
      <c r="AT389" s="275"/>
      <c r="AU389" s="275"/>
      <c r="AV389" s="275"/>
      <c r="AW389" s="275"/>
      <c r="AX389" s="275"/>
      <c r="AY389" s="275"/>
      <c r="AZ389" s="275"/>
      <c r="BA389" s="275"/>
      <c r="BB389" s="294">
        <v>1.0485362052840559</v>
      </c>
      <c r="BC389" s="275"/>
      <c r="BE389" s="274">
        <f t="shared" si="86"/>
        <v>4.6909677419354834</v>
      </c>
      <c r="BF389" s="280">
        <f t="shared" si="91"/>
        <v>164.37700000000001</v>
      </c>
      <c r="BG389" s="154" t="str">
        <f t="shared" si="90"/>
        <v/>
      </c>
      <c r="BH389" s="270">
        <f t="shared" si="87"/>
        <v>5.7999999999999829E-2</v>
      </c>
      <c r="BI389" s="270">
        <f t="shared" si="94"/>
        <v>4.9999999999998934E-2</v>
      </c>
    </row>
    <row r="390" spans="1:61">
      <c r="A390" s="266">
        <v>40909</v>
      </c>
      <c r="B390" s="266"/>
      <c r="C390" s="292">
        <v>0.22360003500747985</v>
      </c>
      <c r="D390" s="293">
        <v>6.9316010852318755</v>
      </c>
      <c r="E390" s="290">
        <v>5.5221612903225807</v>
      </c>
      <c r="F390" s="277">
        <f t="shared" si="89"/>
        <v>171.18700000000001</v>
      </c>
      <c r="G390" s="277">
        <v>142.81299999999999</v>
      </c>
      <c r="H390" s="281">
        <f t="shared" si="88"/>
        <v>0.83425143264383383</v>
      </c>
      <c r="I390" s="202">
        <v>3424.1320000000001</v>
      </c>
      <c r="J390" s="270">
        <v>47.95</v>
      </c>
      <c r="K390" s="270">
        <v>0</v>
      </c>
      <c r="L390" s="202">
        <v>585.62300000000005</v>
      </c>
      <c r="M390" s="277">
        <v>394.08775803790002</v>
      </c>
      <c r="N390" s="202">
        <v>1634.298</v>
      </c>
      <c r="O390" s="270">
        <v>11.44</v>
      </c>
      <c r="P390" s="270">
        <v>-7.0000000000000284E-2</v>
      </c>
      <c r="Q390" s="202">
        <v>2098.2260000000001</v>
      </c>
      <c r="R390" s="199">
        <v>0.79993366374380481</v>
      </c>
      <c r="S390" s="202">
        <v>524.77399999999989</v>
      </c>
      <c r="T390" s="286">
        <v>571.98166666666668</v>
      </c>
      <c r="U390" s="275"/>
      <c r="V390" s="278">
        <v>18.126999999999999</v>
      </c>
      <c r="W390" s="278">
        <v>31.81</v>
      </c>
      <c r="X390" s="278">
        <v>20.541</v>
      </c>
      <c r="Y390" s="278">
        <v>27.8</v>
      </c>
      <c r="Z390" s="278"/>
      <c r="AB390" s="278">
        <v>31.27</v>
      </c>
      <c r="AC390" s="278">
        <v>13.265000000000001</v>
      </c>
      <c r="AD390" s="279">
        <v>142.81299999999999</v>
      </c>
      <c r="AE390" s="278">
        <f t="shared" si="84"/>
        <v>142.81299999999999</v>
      </c>
      <c r="AF390" s="278">
        <f t="shared" si="85"/>
        <v>0</v>
      </c>
      <c r="AG390" s="278">
        <f t="shared" ref="AG390:AG453" si="95">AE390-G390</f>
        <v>0</v>
      </c>
      <c r="AH390" s="202">
        <f t="shared" si="92"/>
        <v>-1.3480000000000025</v>
      </c>
      <c r="AI390" s="202">
        <f t="shared" si="93"/>
        <v>59.39</v>
      </c>
      <c r="AJ390" s="275"/>
      <c r="AK390" s="275"/>
      <c r="AL390" s="275"/>
      <c r="AM390" s="275"/>
      <c r="AN390" s="275"/>
      <c r="AO390" s="275"/>
      <c r="AP390" s="275"/>
      <c r="AQ390" s="275"/>
      <c r="AR390" s="275"/>
      <c r="AS390" s="275"/>
      <c r="AT390" s="275"/>
      <c r="AU390" s="275"/>
      <c r="AV390" s="275"/>
      <c r="AW390" s="275"/>
      <c r="AX390" s="275"/>
      <c r="AY390" s="275"/>
      <c r="AZ390" s="275"/>
      <c r="BA390" s="275"/>
      <c r="BB390" s="294">
        <v>1.0485362052840559</v>
      </c>
      <c r="BC390" s="275"/>
      <c r="BE390" s="274">
        <f t="shared" si="86"/>
        <v>4.6068709677419353</v>
      </c>
      <c r="BF390" s="280">
        <f t="shared" si="91"/>
        <v>162.39699999999999</v>
      </c>
      <c r="BG390" s="154" t="str">
        <f t="shared" si="90"/>
        <v/>
      </c>
      <c r="BH390" s="270">
        <f t="shared" si="87"/>
        <v>1.4000000000000767E-2</v>
      </c>
      <c r="BI390" s="270">
        <f t="shared" si="94"/>
        <v>8.0000000000000071E-2</v>
      </c>
    </row>
    <row r="391" spans="1:61">
      <c r="A391" s="266">
        <v>40940</v>
      </c>
      <c r="B391" s="266"/>
      <c r="C391" s="292">
        <v>0.22820384794762119</v>
      </c>
      <c r="D391" s="293">
        <v>6.6179115904810146</v>
      </c>
      <c r="E391" s="291">
        <v>5.4541612903225811</v>
      </c>
      <c r="F391" s="277">
        <f t="shared" si="89"/>
        <v>158.17067741935486</v>
      </c>
      <c r="G391" s="277">
        <v>136.35</v>
      </c>
      <c r="H391" s="281">
        <f t="shared" si="88"/>
        <v>0.86204347243514601</v>
      </c>
      <c r="I391" s="202">
        <v>3269.2429999999999</v>
      </c>
      <c r="J391" s="270">
        <v>47.95</v>
      </c>
      <c r="K391" s="270">
        <v>0</v>
      </c>
      <c r="L391" s="202">
        <v>658.54200000000003</v>
      </c>
      <c r="M391" s="277">
        <v>127.97861402670003</v>
      </c>
      <c r="N391" s="202">
        <v>1568.7239999999999</v>
      </c>
      <c r="O391" s="270">
        <v>11.51</v>
      </c>
      <c r="P391" s="270">
        <v>-7.0000000000000284E-2</v>
      </c>
      <c r="Q391" s="202">
        <v>2242.2579999999998</v>
      </c>
      <c r="R391" s="199">
        <v>0.79994933999286477</v>
      </c>
      <c r="S391" s="202">
        <v>560.74200000000019</v>
      </c>
      <c r="T391" s="286">
        <v>542.5956666666666</v>
      </c>
      <c r="U391" s="275"/>
      <c r="V391" s="278">
        <v>18.207000000000001</v>
      </c>
      <c r="W391" s="278">
        <v>30.494</v>
      </c>
      <c r="X391" s="278">
        <v>18.074999999999999</v>
      </c>
      <c r="Y391" s="278">
        <v>26.244</v>
      </c>
      <c r="Z391" s="278"/>
      <c r="AB391" s="278">
        <v>29.675999999999998</v>
      </c>
      <c r="AC391" s="278">
        <v>13.653</v>
      </c>
      <c r="AD391" s="279">
        <v>136.35</v>
      </c>
      <c r="AE391" s="278">
        <f t="shared" ref="AE391:AE454" si="96">SUM(V391:AC391)</f>
        <v>136.34899999999999</v>
      </c>
      <c r="AF391" s="278">
        <f t="shared" ref="AF391:AF454" si="97">AE391-AD391</f>
        <v>-1.0000000000047748E-3</v>
      </c>
      <c r="AG391" s="278">
        <f t="shared" si="95"/>
        <v>-1.0000000000047748E-3</v>
      </c>
      <c r="AH391" s="202">
        <f t="shared" si="92"/>
        <v>-1.5940000000000012</v>
      </c>
      <c r="AI391" s="202">
        <f t="shared" si="93"/>
        <v>59.46</v>
      </c>
      <c r="AJ391" s="275"/>
      <c r="AK391" s="275"/>
      <c r="AL391" s="275"/>
      <c r="AM391" s="275"/>
      <c r="AN391" s="275"/>
      <c r="AO391" s="275"/>
      <c r="AP391" s="275"/>
      <c r="AQ391" s="275"/>
      <c r="AR391" s="275"/>
      <c r="AS391" s="275"/>
      <c r="AT391" s="275"/>
      <c r="AU391" s="275"/>
      <c r="AV391" s="275"/>
      <c r="AW391" s="275"/>
      <c r="AX391" s="275"/>
      <c r="AY391" s="275"/>
      <c r="AZ391" s="275"/>
      <c r="BA391" s="275"/>
      <c r="BB391" s="294">
        <v>1.0485362052840559</v>
      </c>
      <c r="BC391" s="275"/>
      <c r="BE391" s="274">
        <f>G391/29</f>
        <v>4.7017241379310342</v>
      </c>
      <c r="BF391" s="280">
        <f t="shared" si="91"/>
        <v>148.351</v>
      </c>
      <c r="BG391" s="154" t="str">
        <f t="shared" si="90"/>
        <v/>
      </c>
      <c r="BH391" s="270">
        <f t="shared" si="87"/>
        <v>4.9999999999999642E-2</v>
      </c>
      <c r="BI391" s="270">
        <f t="shared" si="94"/>
        <v>7.0000000000000284E-2</v>
      </c>
    </row>
    <row r="392" spans="1:61">
      <c r="A392" s="266">
        <v>40969</v>
      </c>
      <c r="B392" s="266"/>
      <c r="C392" s="292">
        <v>0.22003184107708121</v>
      </c>
      <c r="D392" s="293">
        <v>6.8209870733895173</v>
      </c>
      <c r="E392" s="290">
        <v>5.4541612903225811</v>
      </c>
      <c r="F392" s="277">
        <f t="shared" si="89"/>
        <v>169.07900000000001</v>
      </c>
      <c r="G392" s="277">
        <v>140.53399999999999</v>
      </c>
      <c r="H392" s="281">
        <f t="shared" si="88"/>
        <v>0.8311735934089981</v>
      </c>
      <c r="I392" s="202">
        <v>3368.8229999999999</v>
      </c>
      <c r="J392" s="270">
        <v>47.94</v>
      </c>
      <c r="K392" s="270">
        <v>0</v>
      </c>
      <c r="L392" s="202">
        <v>681.53300000000002</v>
      </c>
      <c r="M392" s="277">
        <v>198.62022521979998</v>
      </c>
      <c r="N392" s="202">
        <v>1622.998</v>
      </c>
      <c r="O392" s="270">
        <v>11.55</v>
      </c>
      <c r="P392" s="270">
        <v>-7.0000000000000284E-2</v>
      </c>
      <c r="Q392" s="202">
        <v>2363.2020000000002</v>
      </c>
      <c r="R392" s="199">
        <v>0.80000067704807054</v>
      </c>
      <c r="S392" s="202">
        <v>590.79799999999977</v>
      </c>
      <c r="T392" s="286">
        <v>577.50800000000015</v>
      </c>
      <c r="U392" s="275"/>
      <c r="V392" s="278">
        <v>18.030999999999999</v>
      </c>
      <c r="W392" s="278">
        <v>32.133000000000003</v>
      </c>
      <c r="X392" s="278">
        <v>17.672000000000001</v>
      </c>
      <c r="Y392" s="278">
        <v>26.882000000000001</v>
      </c>
      <c r="Z392" s="278"/>
      <c r="AB392" s="278">
        <v>31.414999999999999</v>
      </c>
      <c r="AC392" s="278">
        <v>14.401999999999999</v>
      </c>
      <c r="AD392" s="279">
        <v>140.53399999999999</v>
      </c>
      <c r="AE392" s="278">
        <f t="shared" si="96"/>
        <v>140.535</v>
      </c>
      <c r="AF392" s="278">
        <f t="shared" si="97"/>
        <v>1.0000000000047748E-3</v>
      </c>
      <c r="AG392" s="278">
        <f t="shared" si="95"/>
        <v>1.0000000000047748E-3</v>
      </c>
      <c r="AH392" s="202">
        <f t="shared" si="92"/>
        <v>1.7390000000000008</v>
      </c>
      <c r="AI392" s="202">
        <f t="shared" si="93"/>
        <v>59.489999999999995</v>
      </c>
      <c r="AJ392" s="275"/>
      <c r="AK392" s="275"/>
      <c r="AL392" s="275"/>
      <c r="AM392" s="275"/>
      <c r="AN392" s="275"/>
      <c r="AO392" s="275"/>
      <c r="AP392" s="275"/>
      <c r="AQ392" s="275"/>
      <c r="AR392" s="275"/>
      <c r="AS392" s="275"/>
      <c r="AT392" s="275"/>
      <c r="AU392" s="275"/>
      <c r="AV392" s="275"/>
      <c r="AW392" s="275"/>
      <c r="AX392" s="275"/>
      <c r="AY392" s="275"/>
      <c r="AZ392" s="275"/>
      <c r="BA392" s="275"/>
      <c r="BB392" s="294">
        <v>1.0485362052840559</v>
      </c>
      <c r="BC392" s="275"/>
      <c r="BE392" s="274">
        <f t="shared" si="86"/>
        <v>4.5333548387096769</v>
      </c>
      <c r="BF392" s="280">
        <f t="shared" si="91"/>
        <v>149.62700000000001</v>
      </c>
      <c r="BG392" s="154" t="str">
        <f t="shared" si="90"/>
        <v/>
      </c>
      <c r="BH392" s="270">
        <f t="shared" si="87"/>
        <v>3.6000000000000296E-2</v>
      </c>
      <c r="BI392" s="270">
        <f t="shared" si="94"/>
        <v>4.0000000000000924E-2</v>
      </c>
    </row>
    <row r="393" spans="1:61">
      <c r="A393" s="266">
        <v>41000</v>
      </c>
      <c r="B393" s="266"/>
      <c r="C393" s="292">
        <v>0.21308688418508079</v>
      </c>
      <c r="D393" s="293">
        <v>6.3926065255524236</v>
      </c>
      <c r="E393" s="290">
        <v>5.4541612903225811</v>
      </c>
      <c r="F393" s="277">
        <f t="shared" si="89"/>
        <v>163.62483870967742</v>
      </c>
      <c r="G393" s="277">
        <v>131.708</v>
      </c>
      <c r="H393" s="281">
        <f t="shared" si="88"/>
        <v>0.80493891415649887</v>
      </c>
      <c r="I393" s="202">
        <v>3166.0120000000002</v>
      </c>
      <c r="J393" s="270">
        <v>48.08</v>
      </c>
      <c r="K393" s="270">
        <v>0</v>
      </c>
      <c r="L393" s="202">
        <v>607.59799999999996</v>
      </c>
      <c r="M393" s="277">
        <v>136.58130528130005</v>
      </c>
      <c r="N393" s="202">
        <v>1519.8820000000001</v>
      </c>
      <c r="O393" s="270">
        <v>11.54</v>
      </c>
      <c r="P393" s="270">
        <v>-7.0000000000000284E-2</v>
      </c>
      <c r="Q393" s="202">
        <v>2384.942</v>
      </c>
      <c r="R393" s="199">
        <v>0.80004763502180476</v>
      </c>
      <c r="S393" s="202">
        <v>596.05799999999999</v>
      </c>
      <c r="T393" s="286">
        <v>590.26566666666656</v>
      </c>
      <c r="U393" s="275"/>
      <c r="V393" s="278">
        <v>15.935</v>
      </c>
      <c r="W393" s="278">
        <v>29.298999999999999</v>
      </c>
      <c r="X393" s="278">
        <v>18.805</v>
      </c>
      <c r="Y393" s="278">
        <v>27.164000000000001</v>
      </c>
      <c r="Z393" s="278"/>
      <c r="AB393" s="278">
        <v>27.818000000000001</v>
      </c>
      <c r="AC393" s="278">
        <v>12.686999999999999</v>
      </c>
      <c r="AD393" s="279">
        <v>131.708</v>
      </c>
      <c r="AE393" s="278">
        <f t="shared" si="96"/>
        <v>131.708</v>
      </c>
      <c r="AF393" s="278">
        <f t="shared" si="97"/>
        <v>0</v>
      </c>
      <c r="AG393" s="278">
        <f t="shared" si="95"/>
        <v>0</v>
      </c>
      <c r="AH393" s="202">
        <f t="shared" si="92"/>
        <v>-3.5969999999999978</v>
      </c>
      <c r="AI393" s="202">
        <f t="shared" si="93"/>
        <v>59.62</v>
      </c>
      <c r="AJ393" s="275"/>
      <c r="AK393" s="275"/>
      <c r="AL393" s="275"/>
      <c r="AM393" s="275"/>
      <c r="AN393" s="275"/>
      <c r="AO393" s="275"/>
      <c r="AP393" s="275"/>
      <c r="AQ393" s="275"/>
      <c r="AR393" s="275"/>
      <c r="AS393" s="275"/>
      <c r="AT393" s="275"/>
      <c r="AU393" s="275"/>
      <c r="AV393" s="275"/>
      <c r="AW393" s="275"/>
      <c r="AX393" s="275"/>
      <c r="AY393" s="275"/>
      <c r="AZ393" s="275"/>
      <c r="BA393" s="275"/>
      <c r="BB393" s="294">
        <v>1.0485362052840559</v>
      </c>
      <c r="BC393" s="275"/>
      <c r="BE393" s="274">
        <f>G393/30</f>
        <v>4.3902666666666663</v>
      </c>
      <c r="BF393" s="280">
        <f t="shared" si="91"/>
        <v>139.96600000000001</v>
      </c>
      <c r="BG393" s="154" t="str">
        <f t="shared" si="90"/>
        <v/>
      </c>
      <c r="BH393" s="270">
        <f t="shared" si="87"/>
        <v>-1.5308543186632306E-2</v>
      </c>
      <c r="BI393" s="270">
        <f t="shared" si="94"/>
        <v>-1.0000000000001563E-2</v>
      </c>
    </row>
    <row r="394" spans="1:61">
      <c r="A394" s="266">
        <v>41030</v>
      </c>
      <c r="B394" s="266"/>
      <c r="C394" s="292">
        <v>0.21648086967113778</v>
      </c>
      <c r="D394" s="293">
        <v>6.7109069598052713</v>
      </c>
      <c r="E394" s="290">
        <v>5.4541612903225811</v>
      </c>
      <c r="F394" s="277">
        <f t="shared" si="89"/>
        <v>169.07900000000001</v>
      </c>
      <c r="G394" s="277">
        <v>138.26599999999999</v>
      </c>
      <c r="H394" s="281">
        <f t="shared" si="88"/>
        <v>0.81775974544443708</v>
      </c>
      <c r="I394" s="202">
        <v>3316.442</v>
      </c>
      <c r="J394" s="270">
        <v>47.97</v>
      </c>
      <c r="K394" s="270">
        <v>0</v>
      </c>
      <c r="L394" s="202">
        <v>723.13199999999995</v>
      </c>
      <c r="M394" s="277">
        <v>108.32840049240008</v>
      </c>
      <c r="N394" s="202">
        <v>1596.9690000000001</v>
      </c>
      <c r="O394" s="270">
        <v>11.55</v>
      </c>
      <c r="P394" s="270">
        <v>-7.0000000000000284E-2</v>
      </c>
      <c r="Q394" s="202">
        <v>2312.3580000000002</v>
      </c>
      <c r="R394" s="199">
        <v>0.80012387543252605</v>
      </c>
      <c r="S394" s="202">
        <v>577.64199999999983</v>
      </c>
      <c r="T394" s="286">
        <v>553.76166666666677</v>
      </c>
      <c r="U394" s="275"/>
      <c r="V394" s="278">
        <v>16.041</v>
      </c>
      <c r="W394" s="278">
        <v>31.503</v>
      </c>
      <c r="X394" s="278">
        <v>19.553000000000001</v>
      </c>
      <c r="Y394" s="278">
        <v>29.425999999999998</v>
      </c>
      <c r="Z394" s="278"/>
      <c r="AB394" s="278">
        <v>29.225000000000001</v>
      </c>
      <c r="AC394" s="278">
        <v>12.518000000000001</v>
      </c>
      <c r="AD394" s="279">
        <v>138.26599999999999</v>
      </c>
      <c r="AE394" s="278">
        <f t="shared" si="96"/>
        <v>138.26599999999999</v>
      </c>
      <c r="AF394" s="278">
        <f t="shared" si="97"/>
        <v>0</v>
      </c>
      <c r="AG394" s="278">
        <f t="shared" si="95"/>
        <v>0</v>
      </c>
      <c r="AH394" s="202">
        <f t="shared" si="92"/>
        <v>1.407</v>
      </c>
      <c r="AI394" s="202">
        <f t="shared" si="93"/>
        <v>59.519999999999996</v>
      </c>
      <c r="AJ394" s="275"/>
      <c r="AK394" s="275"/>
      <c r="AL394" s="275"/>
      <c r="AM394" s="275"/>
      <c r="AN394" s="275"/>
      <c r="AO394" s="275"/>
      <c r="AP394" s="275"/>
      <c r="AQ394" s="275"/>
      <c r="AR394" s="275"/>
      <c r="AS394" s="275"/>
      <c r="AT394" s="275"/>
      <c r="AU394" s="275"/>
      <c r="AV394" s="275"/>
      <c r="AW394" s="275"/>
      <c r="AX394" s="275"/>
      <c r="AY394" s="275"/>
      <c r="AZ394" s="275"/>
      <c r="BA394" s="275"/>
      <c r="BB394" s="294">
        <v>1.0485362052840559</v>
      </c>
      <c r="BC394" s="275"/>
      <c r="BE394" s="274">
        <f t="shared" ref="BE394:BE457" si="98">G394/31</f>
        <v>4.4601935483870969</v>
      </c>
      <c r="BF394" s="280">
        <f t="shared" ref="BF394:BF409" si="99">MAX(G382,G370,G358,G346,G334,G322,G310,G298,G286,G274,G262,G250,G238,G226,G214,G202,G190,G178,G166,G154,G142,G130,G118)</f>
        <v>144.00200000000001</v>
      </c>
      <c r="BG394" s="154" t="str">
        <f t="shared" ref="BG394:BG409" si="100">IF(G394&gt;BF394,"RECORD","")</f>
        <v/>
      </c>
      <c r="BH394" s="270">
        <f t="shared" si="87"/>
        <v>4.5308543186632022E-2</v>
      </c>
      <c r="BI394" s="270">
        <f t="shared" si="94"/>
        <v>1.0000000000001563E-2</v>
      </c>
    </row>
    <row r="395" spans="1:61">
      <c r="A395" s="266">
        <v>41061</v>
      </c>
      <c r="B395" s="266"/>
      <c r="C395" s="292">
        <v>0.21704743853626005</v>
      </c>
      <c r="D395" s="293">
        <v>6.5114231560878011</v>
      </c>
      <c r="E395" s="290">
        <v>5.4541612903225811</v>
      </c>
      <c r="F395" s="277">
        <f t="shared" si="89"/>
        <v>163.62483870967742</v>
      </c>
      <c r="G395" s="277">
        <v>134.15600000000001</v>
      </c>
      <c r="H395" s="281">
        <f t="shared" si="88"/>
        <v>0.81989996786512032</v>
      </c>
      <c r="I395" s="202">
        <v>3225.1210000000001</v>
      </c>
      <c r="J395" s="270">
        <v>48.08</v>
      </c>
      <c r="K395" s="270">
        <v>0</v>
      </c>
      <c r="L395" s="202">
        <v>585.50400000000002</v>
      </c>
      <c r="M395" s="277">
        <v>88.334305055999948</v>
      </c>
      <c r="N395" s="202">
        <v>1547.4359999999999</v>
      </c>
      <c r="O395" s="270">
        <v>11.53</v>
      </c>
      <c r="P395" s="270">
        <v>-7.0000000000000284E-2</v>
      </c>
      <c r="Q395" s="202">
        <v>2306.1280000000002</v>
      </c>
      <c r="R395" s="199">
        <v>0.79990565383281309</v>
      </c>
      <c r="S395" s="202">
        <v>576.87199999999984</v>
      </c>
      <c r="T395" s="286">
        <v>575.10566666666671</v>
      </c>
      <c r="U395" s="275"/>
      <c r="V395" s="278">
        <v>19.027000000000001</v>
      </c>
      <c r="W395" s="278">
        <v>28.79</v>
      </c>
      <c r="X395" s="278">
        <v>17.983000000000001</v>
      </c>
      <c r="Y395" s="278">
        <v>26.085000000000001</v>
      </c>
      <c r="Z395" s="278"/>
      <c r="AB395" s="278">
        <v>29.364000000000001</v>
      </c>
      <c r="AC395" s="278">
        <v>12.907</v>
      </c>
      <c r="AD395" s="279">
        <v>134.15600000000001</v>
      </c>
      <c r="AE395" s="278">
        <f t="shared" si="96"/>
        <v>134.15600000000001</v>
      </c>
      <c r="AF395" s="278">
        <f t="shared" si="97"/>
        <v>0</v>
      </c>
      <c r="AG395" s="278">
        <f t="shared" si="95"/>
        <v>0</v>
      </c>
      <c r="AH395" s="202">
        <f t="shared" si="92"/>
        <v>0.13899999999999935</v>
      </c>
      <c r="AI395" s="202">
        <f t="shared" si="93"/>
        <v>59.61</v>
      </c>
      <c r="AJ395" s="275"/>
      <c r="AK395" s="275"/>
      <c r="AL395" s="275"/>
      <c r="AM395" s="275"/>
      <c r="AN395" s="275"/>
      <c r="AO395" s="275"/>
      <c r="AP395" s="275"/>
      <c r="AQ395" s="275"/>
      <c r="AR395" s="275"/>
      <c r="AS395" s="275"/>
      <c r="AT395" s="275"/>
      <c r="AU395" s="275"/>
      <c r="AV395" s="275"/>
      <c r="AW395" s="275"/>
      <c r="AX395" s="275"/>
      <c r="AY395" s="275"/>
      <c r="AZ395" s="275"/>
      <c r="BA395" s="275"/>
      <c r="BB395" s="294">
        <v>1.0485362052840559</v>
      </c>
      <c r="BC395" s="275"/>
      <c r="BE395" s="274">
        <f>G395/30</f>
        <v>4.4718666666666671</v>
      </c>
      <c r="BF395" s="280">
        <f t="shared" si="99"/>
        <v>141.583</v>
      </c>
      <c r="BG395" s="154" t="str">
        <f t="shared" si="100"/>
        <v/>
      </c>
      <c r="BH395" s="270">
        <f t="shared" si="87"/>
        <v>2.1999999999999888E-2</v>
      </c>
      <c r="BI395" s="270">
        <f t="shared" si="94"/>
        <v>-2.000000000000135E-2</v>
      </c>
    </row>
    <row r="396" spans="1:61">
      <c r="A396" s="266">
        <v>41091</v>
      </c>
      <c r="B396" s="266"/>
      <c r="C396" s="292">
        <v>0.21509367361043846</v>
      </c>
      <c r="D396" s="293">
        <v>6.6679038819235927</v>
      </c>
      <c r="E396" s="290">
        <v>5.4541612903225811</v>
      </c>
      <c r="F396" s="277">
        <f t="shared" si="89"/>
        <v>169.07900000000001</v>
      </c>
      <c r="G396" s="277">
        <v>137.38</v>
      </c>
      <c r="H396" s="281">
        <f t="shared" si="88"/>
        <v>0.8125195914335902</v>
      </c>
      <c r="I396" s="202">
        <v>3300.5920000000001</v>
      </c>
      <c r="J396" s="270">
        <v>48.05</v>
      </c>
      <c r="K396" s="270">
        <v>0</v>
      </c>
      <c r="L396" s="202">
        <v>653.26</v>
      </c>
      <c r="M396" s="277">
        <v>244.42845791450009</v>
      </c>
      <c r="N396" s="202">
        <v>1594.0519999999999</v>
      </c>
      <c r="O396" s="270">
        <v>11.6</v>
      </c>
      <c r="P396" s="270">
        <v>-7.0000000000000284E-2</v>
      </c>
      <c r="Q396" s="202">
        <v>2345.2269999999999</v>
      </c>
      <c r="R396" s="199">
        <v>0.79987278308321963</v>
      </c>
      <c r="S396" s="202">
        <v>586.77300000000014</v>
      </c>
      <c r="T396" s="286">
        <v>576.98066666666671</v>
      </c>
      <c r="U396" s="275"/>
      <c r="V396" s="278">
        <v>18.774999999999999</v>
      </c>
      <c r="W396" s="278">
        <v>30.763999999999999</v>
      </c>
      <c r="X396" s="278">
        <v>17.295000000000002</v>
      </c>
      <c r="Y396" s="278">
        <v>30.341000000000001</v>
      </c>
      <c r="Z396" s="278"/>
      <c r="AB396" s="278">
        <v>27.242000000000001</v>
      </c>
      <c r="AC396" s="278">
        <v>12.962</v>
      </c>
      <c r="AD396" s="279">
        <v>137.38</v>
      </c>
      <c r="AE396" s="278">
        <f t="shared" si="96"/>
        <v>137.37900000000002</v>
      </c>
      <c r="AF396" s="278">
        <f t="shared" si="97"/>
        <v>-9.9999999997635314E-4</v>
      </c>
      <c r="AG396" s="278">
        <f t="shared" si="95"/>
        <v>-9.9999999997635314E-4</v>
      </c>
      <c r="AH396" s="202">
        <f t="shared" si="92"/>
        <v>-2.1219999999999999</v>
      </c>
      <c r="AI396" s="202">
        <f t="shared" si="93"/>
        <v>59.65</v>
      </c>
      <c r="AJ396" s="275"/>
      <c r="AK396" s="275"/>
      <c r="AL396" s="275"/>
      <c r="AM396" s="275"/>
      <c r="AN396" s="275"/>
      <c r="AO396" s="275"/>
      <c r="AP396" s="275"/>
      <c r="AQ396" s="275"/>
      <c r="AR396" s="275"/>
      <c r="AS396" s="275"/>
      <c r="AT396" s="275"/>
      <c r="AU396" s="275"/>
      <c r="AV396" s="275"/>
      <c r="AW396" s="275"/>
      <c r="AX396" s="275"/>
      <c r="AY396" s="275"/>
      <c r="AZ396" s="275"/>
      <c r="BA396" s="275"/>
      <c r="BB396" s="294">
        <v>1.0485362052840559</v>
      </c>
      <c r="BC396" s="275"/>
      <c r="BE396" s="274">
        <f t="shared" si="98"/>
        <v>4.4316129032258065</v>
      </c>
      <c r="BF396" s="280">
        <f t="shared" si="99"/>
        <v>142.626</v>
      </c>
      <c r="BG396" s="154" t="str">
        <f t="shared" si="100"/>
        <v/>
      </c>
      <c r="BH396" s="270">
        <f t="shared" si="87"/>
        <v>-4.0000000000002698E-3</v>
      </c>
      <c r="BI396" s="270">
        <f t="shared" si="94"/>
        <v>7.0000000000000284E-2</v>
      </c>
    </row>
    <row r="397" spans="1:61">
      <c r="A397" s="266">
        <v>41122</v>
      </c>
      <c r="B397" s="266"/>
      <c r="C397" s="292">
        <v>0.19535509490024178</v>
      </c>
      <c r="D397" s="293">
        <v>6.0560079419074953</v>
      </c>
      <c r="E397" s="290">
        <v>5.4541612903225811</v>
      </c>
      <c r="F397" s="277">
        <f t="shared" si="89"/>
        <v>169.07900000000001</v>
      </c>
      <c r="G397" s="277">
        <v>124.773</v>
      </c>
      <c r="H397" s="281">
        <f t="shared" si="88"/>
        <v>0.73795681308737326</v>
      </c>
      <c r="I397" s="202">
        <v>3003.2649999999999</v>
      </c>
      <c r="J397" s="270">
        <v>48.14</v>
      </c>
      <c r="K397" s="270">
        <v>0</v>
      </c>
      <c r="L397" s="202">
        <v>613.19600000000003</v>
      </c>
      <c r="M397" s="277">
        <v>169.38561589929998</v>
      </c>
      <c r="N397" s="202">
        <v>1460.079</v>
      </c>
      <c r="O397" s="270">
        <v>11.7</v>
      </c>
      <c r="P397" s="270">
        <v>-7.0000000000000284E-2</v>
      </c>
      <c r="Q397" s="202">
        <v>2168.4769999999999</v>
      </c>
      <c r="R397" s="199">
        <v>0.79988085577277757</v>
      </c>
      <c r="S397" s="202">
        <v>542.52300000000014</v>
      </c>
      <c r="T397" s="286">
        <v>508.75966666666653</v>
      </c>
      <c r="U397" s="275"/>
      <c r="V397" s="278">
        <v>18.047000000000001</v>
      </c>
      <c r="W397" s="278">
        <v>26.789000000000001</v>
      </c>
      <c r="X397" s="278">
        <v>12.999000000000001</v>
      </c>
      <c r="Y397" s="278">
        <v>24.574000000000002</v>
      </c>
      <c r="Z397" s="278"/>
      <c r="AB397" s="278">
        <v>30.331</v>
      </c>
      <c r="AC397" s="278">
        <v>12.032999999999999</v>
      </c>
      <c r="AD397" s="279">
        <v>124.773</v>
      </c>
      <c r="AE397" s="278">
        <f t="shared" si="96"/>
        <v>124.77300000000001</v>
      </c>
      <c r="AF397" s="278">
        <f t="shared" si="97"/>
        <v>0</v>
      </c>
      <c r="AG397" s="278">
        <f t="shared" si="95"/>
        <v>0</v>
      </c>
      <c r="AH397" s="202">
        <f t="shared" si="92"/>
        <v>3.0889999999999986</v>
      </c>
      <c r="AI397" s="202">
        <f t="shared" si="93"/>
        <v>59.84</v>
      </c>
      <c r="AJ397" s="275"/>
      <c r="AK397" s="275"/>
      <c r="AL397" s="275"/>
      <c r="AM397" s="275"/>
      <c r="AN397" s="275"/>
      <c r="AO397" s="275"/>
      <c r="AP397" s="275"/>
      <c r="AQ397" s="275"/>
      <c r="AR397" s="275"/>
      <c r="AS397" s="275"/>
      <c r="AT397" s="275"/>
      <c r="AU397" s="275"/>
      <c r="AV397" s="275"/>
      <c r="AW397" s="275"/>
      <c r="AX397" s="275"/>
      <c r="AY397" s="275"/>
      <c r="AZ397" s="275"/>
      <c r="BA397" s="275"/>
      <c r="BB397" s="294">
        <v>1.0485362052840559</v>
      </c>
      <c r="BC397" s="275"/>
      <c r="BE397" s="274">
        <f t="shared" si="98"/>
        <v>4.0249354838709674</v>
      </c>
      <c r="BF397" s="280">
        <f t="shared" si="99"/>
        <v>137.56399999999999</v>
      </c>
      <c r="BG397" s="154" t="str">
        <f t="shared" si="100"/>
        <v/>
      </c>
      <c r="BH397" s="270">
        <f t="shared" si="87"/>
        <v>1.8000000000000328E-2</v>
      </c>
      <c r="BI397" s="270">
        <f t="shared" si="94"/>
        <v>9.9999999999999645E-2</v>
      </c>
    </row>
    <row r="398" spans="1:61">
      <c r="A398" s="266">
        <v>41153</v>
      </c>
      <c r="B398" s="266"/>
      <c r="C398" s="292">
        <v>0.19399715934265724</v>
      </c>
      <c r="D398" s="293">
        <v>5.8199147802797171</v>
      </c>
      <c r="E398" s="290">
        <v>5.4541612903225811</v>
      </c>
      <c r="F398" s="277">
        <f t="shared" si="89"/>
        <v>163.62483870967742</v>
      </c>
      <c r="G398" s="277">
        <v>119.732</v>
      </c>
      <c r="H398" s="281">
        <f t="shared" si="88"/>
        <v>0.73174709258196857</v>
      </c>
      <c r="I398" s="202">
        <v>2842.4209999999998</v>
      </c>
      <c r="J398" s="270">
        <v>47.48</v>
      </c>
      <c r="K398" s="270">
        <v>0</v>
      </c>
      <c r="L398" s="202">
        <v>379.72</v>
      </c>
      <c r="M398" s="277">
        <v>393.70901743520005</v>
      </c>
      <c r="N398" s="202">
        <v>1399.6990000000001</v>
      </c>
      <c r="O398" s="270">
        <v>11.69</v>
      </c>
      <c r="P398" s="270">
        <v>-7.0000000000000284E-2</v>
      </c>
      <c r="Q398" s="202">
        <v>2042.991</v>
      </c>
      <c r="R398" s="199">
        <v>0.79991816758026624</v>
      </c>
      <c r="S398" s="202">
        <v>511.00900000000001</v>
      </c>
      <c r="T398" s="286">
        <v>539.68966666666654</v>
      </c>
      <c r="U398" s="275"/>
      <c r="V398" s="278">
        <v>13.579000000000001</v>
      </c>
      <c r="W398" s="278">
        <v>27.283000000000001</v>
      </c>
      <c r="X398" s="278">
        <v>14.090999999999999</v>
      </c>
      <c r="Y398" s="278">
        <v>24.178999999999998</v>
      </c>
      <c r="Z398" s="278"/>
      <c r="AB398" s="278">
        <v>28.175000000000001</v>
      </c>
      <c r="AC398" s="278">
        <v>12.426</v>
      </c>
      <c r="AD398" s="279">
        <v>119.732</v>
      </c>
      <c r="AE398" s="278">
        <f t="shared" si="96"/>
        <v>119.733</v>
      </c>
      <c r="AF398" s="278">
        <f t="shared" si="97"/>
        <v>1.0000000000047748E-3</v>
      </c>
      <c r="AG398" s="278">
        <f t="shared" si="95"/>
        <v>1.0000000000047748E-3</v>
      </c>
      <c r="AH398" s="202">
        <f t="shared" si="92"/>
        <v>-2.1559999999999988</v>
      </c>
      <c r="AI398" s="202">
        <f t="shared" si="93"/>
        <v>59.169999999999995</v>
      </c>
      <c r="AJ398" s="275"/>
      <c r="AK398" s="275"/>
      <c r="AL398" s="275"/>
      <c r="AM398" s="275"/>
      <c r="AN398" s="275"/>
      <c r="AO398" s="275"/>
      <c r="AP398" s="275"/>
      <c r="AQ398" s="275"/>
      <c r="AR398" s="275"/>
      <c r="AS398" s="275"/>
      <c r="AT398" s="275"/>
      <c r="AU398" s="275"/>
      <c r="AV398" s="275"/>
      <c r="AW398" s="275"/>
      <c r="AX398" s="275"/>
      <c r="AY398" s="275"/>
      <c r="AZ398" s="275"/>
      <c r="BA398" s="275"/>
      <c r="BB398" s="294">
        <v>1.0486078473614382</v>
      </c>
      <c r="BC398" s="275"/>
      <c r="BE398" s="274">
        <f>G398/30</f>
        <v>3.9910666666666668</v>
      </c>
      <c r="BF398" s="280">
        <f t="shared" si="99"/>
        <v>139.82900000000001</v>
      </c>
      <c r="BG398" s="154" t="str">
        <f t="shared" si="100"/>
        <v/>
      </c>
      <c r="BH398" s="270">
        <f t="shared" si="87"/>
        <v>3.5999999999999942E-2</v>
      </c>
      <c r="BI398" s="270">
        <f t="shared" si="94"/>
        <v>-9.9999999999997868E-3</v>
      </c>
    </row>
    <row r="399" spans="1:61">
      <c r="A399" s="266">
        <v>41183</v>
      </c>
      <c r="B399" s="266"/>
      <c r="C399" s="292">
        <v>0.24074369201567028</v>
      </c>
      <c r="D399" s="293">
        <v>7.4630544524857783</v>
      </c>
      <c r="E399" s="290">
        <v>5.4541612903225811</v>
      </c>
      <c r="F399" s="277">
        <f t="shared" si="89"/>
        <v>169.07900000000001</v>
      </c>
      <c r="G399" s="277">
        <v>153.536</v>
      </c>
      <c r="H399" s="281">
        <f t="shared" si="88"/>
        <v>0.90807255779842555</v>
      </c>
      <c r="I399" s="202">
        <v>3628.9090000000001</v>
      </c>
      <c r="J399" s="270">
        <v>47.27</v>
      </c>
      <c r="K399" s="270">
        <v>0</v>
      </c>
      <c r="L399" s="202">
        <v>819.78599999999994</v>
      </c>
      <c r="M399" s="277">
        <v>124.94534353710003</v>
      </c>
      <c r="N399" s="202">
        <v>1805.675</v>
      </c>
      <c r="O399" s="270">
        <v>11.76</v>
      </c>
      <c r="P399" s="270">
        <v>-7.0000000000000284E-2</v>
      </c>
      <c r="Q399" s="202">
        <v>2187.6779999999999</v>
      </c>
      <c r="R399" s="199">
        <v>0.79988226691042041</v>
      </c>
      <c r="S399" s="202">
        <v>547.32200000000012</v>
      </c>
      <c r="T399" s="286">
        <v>485.31500000000005</v>
      </c>
      <c r="U399" s="275"/>
      <c r="V399" s="278">
        <v>18.861000000000001</v>
      </c>
      <c r="W399" s="278">
        <v>34.817999999999998</v>
      </c>
      <c r="X399" s="278">
        <v>21.312000000000001</v>
      </c>
      <c r="Y399" s="278">
        <v>31.094999999999999</v>
      </c>
      <c r="Z399" s="278"/>
      <c r="AB399" s="278">
        <v>33.174999999999997</v>
      </c>
      <c r="AC399" s="278">
        <v>14.276</v>
      </c>
      <c r="AD399" s="279">
        <v>153.536</v>
      </c>
      <c r="AE399" s="278">
        <f t="shared" si="96"/>
        <v>153.53700000000001</v>
      </c>
      <c r="AF399" s="278">
        <f t="shared" si="97"/>
        <v>1.0000000000047748E-3</v>
      </c>
      <c r="AG399" s="278">
        <f t="shared" si="95"/>
        <v>1.0000000000047748E-3</v>
      </c>
      <c r="AH399" s="202">
        <f t="shared" si="92"/>
        <v>4.9999999999999964</v>
      </c>
      <c r="AI399" s="202">
        <f t="shared" si="93"/>
        <v>59.03</v>
      </c>
      <c r="AJ399" s="275"/>
      <c r="AK399" s="275"/>
      <c r="AL399" s="275"/>
      <c r="AM399" s="275"/>
      <c r="AN399" s="275"/>
      <c r="AO399" s="275"/>
      <c r="AP399" s="275"/>
      <c r="AQ399" s="275"/>
      <c r="AR399" s="275"/>
      <c r="AS399" s="275"/>
      <c r="AT399" s="275"/>
      <c r="AU399" s="275"/>
      <c r="AV399" s="275"/>
      <c r="AW399" s="275"/>
      <c r="AX399" s="275"/>
      <c r="AY399" s="275"/>
      <c r="AZ399" s="275"/>
      <c r="BA399" s="275"/>
      <c r="BB399" s="294">
        <v>1.0486078473614382</v>
      </c>
      <c r="BC399" s="275"/>
      <c r="BE399" s="274">
        <f t="shared" si="98"/>
        <v>4.9527741935483869</v>
      </c>
      <c r="BF399" s="280">
        <f t="shared" si="99"/>
        <v>155.262</v>
      </c>
      <c r="BG399" s="154" t="str">
        <f t="shared" si="100"/>
        <v/>
      </c>
      <c r="BH399" s="270">
        <f t="shared" ref="BH399:BH462" si="101">AVERAGE(O387-O386,O375-O374,O363-O362,O351-O350,O339-O338)</f>
        <v>-9.9999999999999645E-2</v>
      </c>
      <c r="BI399" s="270">
        <f t="shared" si="94"/>
        <v>7.0000000000000284E-2</v>
      </c>
    </row>
    <row r="400" spans="1:61">
      <c r="A400" s="266">
        <v>41214</v>
      </c>
      <c r="B400" s="266"/>
      <c r="C400" s="292">
        <v>0.25488010842443692</v>
      </c>
      <c r="D400" s="293">
        <v>7.6464032527331085</v>
      </c>
      <c r="E400" s="290">
        <v>5.4541612903225811</v>
      </c>
      <c r="F400" s="277">
        <f t="shared" si="89"/>
        <v>163.62483870967742</v>
      </c>
      <c r="G400" s="277">
        <v>157.30799999999999</v>
      </c>
      <c r="H400" s="281">
        <f t="shared" si="88"/>
        <v>0.96139437777606918</v>
      </c>
      <c r="I400" s="202">
        <v>3746.7150000000001</v>
      </c>
      <c r="J400" s="270">
        <v>47.64</v>
      </c>
      <c r="K400" s="270">
        <v>0</v>
      </c>
      <c r="L400" s="202">
        <v>1039.9649999999999</v>
      </c>
      <c r="M400" s="277">
        <v>357.8082278979</v>
      </c>
      <c r="N400" s="202">
        <v>1830.51</v>
      </c>
      <c r="O400" s="270">
        <v>11.64</v>
      </c>
      <c r="P400" s="270">
        <v>-7.0000000000000284E-2</v>
      </c>
      <c r="Q400" s="202">
        <v>2384.7559999999999</v>
      </c>
      <c r="R400" s="199">
        <v>0.79998523985239844</v>
      </c>
      <c r="S400" s="202">
        <v>596.24400000000014</v>
      </c>
      <c r="T400" s="286">
        <v>513.79666666666674</v>
      </c>
      <c r="U400" s="275"/>
      <c r="V400" s="278">
        <v>19.411000000000001</v>
      </c>
      <c r="W400" s="278">
        <v>35.783000000000001</v>
      </c>
      <c r="X400" s="278">
        <v>21.693999999999999</v>
      </c>
      <c r="Y400" s="278">
        <v>31.442</v>
      </c>
      <c r="Z400" s="278"/>
      <c r="AB400" s="278">
        <v>34.774999999999999</v>
      </c>
      <c r="AC400" s="278">
        <v>14.202999999999999</v>
      </c>
      <c r="AD400" s="279">
        <v>157.30799999999999</v>
      </c>
      <c r="AE400" s="278">
        <f t="shared" si="96"/>
        <v>157.30800000000002</v>
      </c>
      <c r="AF400" s="278">
        <f t="shared" si="97"/>
        <v>0</v>
      </c>
      <c r="AG400" s="278">
        <f t="shared" si="95"/>
        <v>0</v>
      </c>
      <c r="AH400" s="202">
        <f t="shared" si="92"/>
        <v>1.6000000000000014</v>
      </c>
      <c r="AI400" s="202">
        <f t="shared" si="93"/>
        <v>59.28</v>
      </c>
      <c r="AJ400" s="275"/>
      <c r="AK400" s="275"/>
      <c r="AL400" s="275"/>
      <c r="AM400" s="275"/>
      <c r="AN400" s="275"/>
      <c r="AO400" s="275"/>
      <c r="AP400" s="275"/>
      <c r="AQ400" s="275"/>
      <c r="AR400" s="275"/>
      <c r="AS400" s="275"/>
      <c r="AT400" s="275"/>
      <c r="AU400" s="275"/>
      <c r="AV400" s="275"/>
      <c r="AW400" s="275"/>
      <c r="AX400" s="275"/>
      <c r="AY400" s="275"/>
      <c r="AZ400" s="275"/>
      <c r="BA400" s="275"/>
      <c r="BB400" s="294">
        <v>1.0486078473614382</v>
      </c>
      <c r="BC400" s="275"/>
      <c r="BE400" s="274">
        <f>G400/30</f>
        <v>5.2435999999999998</v>
      </c>
      <c r="BF400" s="280">
        <f t="shared" si="99"/>
        <v>160.25899999999999</v>
      </c>
      <c r="BG400" s="154" t="str">
        <f t="shared" si="100"/>
        <v/>
      </c>
      <c r="BH400" s="270">
        <f t="shared" si="101"/>
        <v>-0.13600000000000029</v>
      </c>
      <c r="BI400" s="270">
        <f t="shared" si="94"/>
        <v>-0.11999999999999922</v>
      </c>
    </row>
    <row r="401" spans="1:61">
      <c r="A401" s="266">
        <v>41244</v>
      </c>
      <c r="B401" s="266"/>
      <c r="C401" s="292">
        <v>0.25072084468537481</v>
      </c>
      <c r="D401" s="293">
        <v>7.7723461852466187</v>
      </c>
      <c r="E401" s="290">
        <v>5.4541612903225811</v>
      </c>
      <c r="F401" s="277">
        <f t="shared" si="89"/>
        <v>169.07900000000001</v>
      </c>
      <c r="G401" s="277">
        <v>159.899</v>
      </c>
      <c r="H401" s="281">
        <f t="shared" si="88"/>
        <v>0.94570585347677705</v>
      </c>
      <c r="I401" s="202">
        <v>3794.8939999999998</v>
      </c>
      <c r="J401" s="270">
        <v>47.47</v>
      </c>
      <c r="K401" s="270">
        <v>0</v>
      </c>
      <c r="L401" s="202">
        <v>801.245</v>
      </c>
      <c r="M401" s="277">
        <v>373.06223042290014</v>
      </c>
      <c r="N401" s="202">
        <v>1864.943</v>
      </c>
      <c r="O401" s="270">
        <v>11.66</v>
      </c>
      <c r="P401" s="270">
        <v>-7.0000000000000284E-2</v>
      </c>
      <c r="Q401" s="202">
        <v>2600.2040000000002</v>
      </c>
      <c r="R401" s="199">
        <v>0.80006276923076924</v>
      </c>
      <c r="S401" s="202">
        <v>649.79599999999982</v>
      </c>
      <c r="T401" s="286">
        <v>517.57000000000005</v>
      </c>
      <c r="U401" s="275"/>
      <c r="V401" s="278">
        <v>20.715</v>
      </c>
      <c r="W401" s="278">
        <v>36.006999999999998</v>
      </c>
      <c r="X401" s="278">
        <v>23.298999999999999</v>
      </c>
      <c r="Y401" s="278">
        <v>31.163</v>
      </c>
      <c r="Z401" s="278"/>
      <c r="AB401" s="278">
        <v>35.192</v>
      </c>
      <c r="AC401" s="278">
        <v>13.523999999999999</v>
      </c>
      <c r="AD401" s="279">
        <v>159.899</v>
      </c>
      <c r="AE401" s="278">
        <f t="shared" si="96"/>
        <v>159.89999999999998</v>
      </c>
      <c r="AF401" s="278">
        <f t="shared" si="97"/>
        <v>9.9999999997635314E-4</v>
      </c>
      <c r="AG401" s="278">
        <f t="shared" si="95"/>
        <v>9.9999999997635314E-4</v>
      </c>
      <c r="AH401" s="202">
        <f t="shared" si="92"/>
        <v>0.41700000000000159</v>
      </c>
      <c r="AI401" s="202">
        <f t="shared" si="93"/>
        <v>59.129999999999995</v>
      </c>
      <c r="AJ401" s="275"/>
      <c r="AK401" s="275"/>
      <c r="AL401" s="275"/>
      <c r="AM401" s="275"/>
      <c r="AN401" s="275"/>
      <c r="AO401" s="275"/>
      <c r="AP401" s="275"/>
      <c r="AQ401" s="275"/>
      <c r="AR401" s="275"/>
      <c r="AS401" s="275"/>
      <c r="AT401" s="275"/>
      <c r="AU401" s="275"/>
      <c r="AV401" s="275"/>
      <c r="AW401" s="275"/>
      <c r="AX401" s="275"/>
      <c r="AY401" s="275"/>
      <c r="AZ401" s="275"/>
      <c r="BA401" s="275"/>
      <c r="BB401" s="294">
        <v>1.0486078473614382</v>
      </c>
      <c r="BC401" s="275"/>
      <c r="BE401" s="274">
        <f t="shared" si="98"/>
        <v>5.1580322580645159</v>
      </c>
      <c r="BF401" s="280">
        <f t="shared" si="99"/>
        <v>164.37700000000001</v>
      </c>
      <c r="BG401" s="154" t="str">
        <f t="shared" si="100"/>
        <v/>
      </c>
      <c r="BH401" s="270">
        <f t="shared" si="101"/>
        <v>4.5999999999999375E-2</v>
      </c>
      <c r="BI401" s="270">
        <f t="shared" si="94"/>
        <v>1.9999999999999574E-2</v>
      </c>
    </row>
    <row r="402" spans="1:61">
      <c r="A402" s="266">
        <v>41275</v>
      </c>
      <c r="B402" s="266"/>
      <c r="C402" s="292">
        <v>0.24804898107557133</v>
      </c>
      <c r="D402" s="293">
        <v>7.6895184133427108</v>
      </c>
      <c r="E402" s="290">
        <v>5.4541612903225811</v>
      </c>
      <c r="F402" s="277">
        <f t="shared" si="89"/>
        <v>169.07900000000001</v>
      </c>
      <c r="G402" s="277">
        <v>158.19499999999999</v>
      </c>
      <c r="H402" s="281">
        <f t="shared" si="88"/>
        <v>0.93562772431821806</v>
      </c>
      <c r="I402" s="202">
        <v>3762.18</v>
      </c>
      <c r="J402" s="270">
        <v>47.56</v>
      </c>
      <c r="K402" s="270">
        <v>0</v>
      </c>
      <c r="L402" s="202">
        <v>1117.5609999999999</v>
      </c>
      <c r="M402" s="277">
        <v>491.30952433519997</v>
      </c>
      <c r="N402" s="202">
        <v>1859.8</v>
      </c>
      <c r="O402" s="270">
        <v>11.76</v>
      </c>
      <c r="P402" s="270">
        <v>-7.0000000000000284E-2</v>
      </c>
      <c r="Q402" s="202">
        <v>2822.982</v>
      </c>
      <c r="R402" s="199">
        <v>0.79993822612638144</v>
      </c>
      <c r="S402" s="202">
        <v>706.01800000000003</v>
      </c>
      <c r="T402" s="286">
        <v>547.31433333333337</v>
      </c>
      <c r="U402" s="275"/>
      <c r="V402" s="278">
        <v>19.606999999999999</v>
      </c>
      <c r="W402" s="278">
        <v>34.972999999999999</v>
      </c>
      <c r="X402" s="278">
        <v>22.873999999999999</v>
      </c>
      <c r="Y402" s="278">
        <v>31.013999999999999</v>
      </c>
      <c r="Z402" s="278"/>
      <c r="AB402" s="278">
        <v>35.466000000000001</v>
      </c>
      <c r="AC402" s="278">
        <v>14.260999999999999</v>
      </c>
      <c r="AD402" s="279">
        <v>158.19499999999999</v>
      </c>
      <c r="AE402" s="278">
        <f t="shared" si="96"/>
        <v>158.19499999999999</v>
      </c>
      <c r="AF402" s="278">
        <f t="shared" si="97"/>
        <v>0</v>
      </c>
      <c r="AG402" s="278">
        <f t="shared" si="95"/>
        <v>0</v>
      </c>
      <c r="AH402" s="202">
        <f t="shared" si="92"/>
        <v>0.27400000000000091</v>
      </c>
      <c r="AI402" s="202">
        <f t="shared" si="93"/>
        <v>59.32</v>
      </c>
      <c r="AJ402" s="275"/>
      <c r="AK402" s="275"/>
      <c r="AL402" s="275"/>
      <c r="AM402" s="275"/>
      <c r="AN402" s="275"/>
      <c r="AO402" s="275"/>
      <c r="AP402" s="275"/>
      <c r="AQ402" s="275"/>
      <c r="AR402" s="275"/>
      <c r="AS402" s="275"/>
      <c r="AT402" s="275"/>
      <c r="AU402" s="275"/>
      <c r="AV402" s="275"/>
      <c r="AW402" s="275"/>
      <c r="AX402" s="275"/>
      <c r="AY402" s="275"/>
      <c r="AZ402" s="275"/>
      <c r="BA402" s="275"/>
      <c r="BB402" s="294">
        <v>1.0486078473614382</v>
      </c>
      <c r="BC402" s="275"/>
      <c r="BE402" s="274">
        <f t="shared" si="98"/>
        <v>5.1030645161290318</v>
      </c>
      <c r="BF402" s="280">
        <f t="shared" si="99"/>
        <v>162.39699999999999</v>
      </c>
      <c r="BG402" s="154" t="str">
        <f t="shared" si="100"/>
        <v/>
      </c>
      <c r="BH402" s="270">
        <f t="shared" si="101"/>
        <v>3.0000000000000783E-2</v>
      </c>
      <c r="BI402" s="270">
        <f t="shared" si="94"/>
        <v>9.9999999999999645E-2</v>
      </c>
    </row>
    <row r="403" spans="1:61">
      <c r="A403" s="266">
        <v>41306</v>
      </c>
      <c r="B403" s="266"/>
      <c r="C403" s="292">
        <v>0.23665424885735678</v>
      </c>
      <c r="D403" s="293">
        <v>6.6263189680059895</v>
      </c>
      <c r="E403" s="290">
        <v>5.4541612903225811</v>
      </c>
      <c r="F403" s="277">
        <f t="shared" si="89"/>
        <v>152.71651612903227</v>
      </c>
      <c r="G403" s="277">
        <v>136.322</v>
      </c>
      <c r="H403" s="281">
        <f t="shared" si="88"/>
        <v>0.89264739306140062</v>
      </c>
      <c r="I403" s="202">
        <v>3234.5889999999999</v>
      </c>
      <c r="J403" s="270">
        <v>47.46</v>
      </c>
      <c r="K403" s="270">
        <v>0</v>
      </c>
      <c r="L403" s="202">
        <v>765.65899999999999</v>
      </c>
      <c r="M403" s="277">
        <v>496.66291360449998</v>
      </c>
      <c r="N403" s="202">
        <v>1599.9</v>
      </c>
      <c r="O403" s="270">
        <v>11.74</v>
      </c>
      <c r="P403" s="270">
        <v>-7.0000000000000284E-2</v>
      </c>
      <c r="Q403" s="202">
        <v>2790.0509999999999</v>
      </c>
      <c r="R403" s="199">
        <v>0.79989994266055042</v>
      </c>
      <c r="S403" s="202">
        <v>697.94900000000007</v>
      </c>
      <c r="T403" s="286">
        <v>521.78000000000009</v>
      </c>
      <c r="U403" s="275"/>
      <c r="V403" s="278">
        <v>17.629000000000001</v>
      </c>
      <c r="W403" s="278">
        <v>29.827999999999999</v>
      </c>
      <c r="X403" s="278">
        <v>18.949000000000002</v>
      </c>
      <c r="Y403" s="278">
        <v>25.841999999999999</v>
      </c>
      <c r="Z403" s="278"/>
      <c r="AB403" s="278">
        <v>31.617999999999999</v>
      </c>
      <c r="AC403" s="278">
        <v>12.457000000000001</v>
      </c>
      <c r="AD403" s="279">
        <v>136.322</v>
      </c>
      <c r="AE403" s="278">
        <f t="shared" si="96"/>
        <v>136.32300000000001</v>
      </c>
      <c r="AF403" s="278">
        <f t="shared" si="97"/>
        <v>1.0000000000047748E-3</v>
      </c>
      <c r="AG403" s="278">
        <f t="shared" si="95"/>
        <v>1.0000000000047748E-3</v>
      </c>
      <c r="AH403" s="202">
        <f t="shared" si="92"/>
        <v>-3.8480000000000025</v>
      </c>
      <c r="AI403" s="202">
        <f t="shared" si="93"/>
        <v>59.2</v>
      </c>
      <c r="AJ403" s="275"/>
      <c r="AK403" s="275"/>
      <c r="AL403" s="275"/>
      <c r="AM403" s="275"/>
      <c r="AN403" s="275"/>
      <c r="AO403" s="275"/>
      <c r="AP403" s="275"/>
      <c r="AQ403" s="275"/>
      <c r="AR403" s="275"/>
      <c r="AS403" s="275"/>
      <c r="AT403" s="275"/>
      <c r="AU403" s="275"/>
      <c r="AV403" s="275"/>
      <c r="AW403" s="275"/>
      <c r="AX403" s="275"/>
      <c r="AY403" s="275"/>
      <c r="AZ403" s="275"/>
      <c r="BA403" s="275"/>
      <c r="BB403" s="294">
        <v>1.0486078473614382</v>
      </c>
      <c r="BC403" s="275"/>
      <c r="BE403" s="274">
        <f>G403/28</f>
        <v>4.8686428571428575</v>
      </c>
      <c r="BF403" s="280">
        <f t="shared" si="99"/>
        <v>148.351</v>
      </c>
      <c r="BG403" s="154" t="str">
        <f t="shared" si="100"/>
        <v/>
      </c>
      <c r="BH403" s="270">
        <f t="shared" si="101"/>
        <v>5.5999999999999869E-2</v>
      </c>
      <c r="BI403" s="270">
        <f t="shared" si="94"/>
        <v>-1.9999999999999574E-2</v>
      </c>
    </row>
    <row r="404" spans="1:61">
      <c r="A404" s="266">
        <v>41334</v>
      </c>
      <c r="B404" s="266"/>
      <c r="C404" s="292">
        <v>0.21494076504212725</v>
      </c>
      <c r="D404" s="293">
        <v>6.6631637163059452</v>
      </c>
      <c r="E404" s="290">
        <v>5.4541612903225811</v>
      </c>
      <c r="F404" s="277">
        <f t="shared" si="89"/>
        <v>169.07900000000001</v>
      </c>
      <c r="G404" s="277">
        <v>137.08000000000001</v>
      </c>
      <c r="H404" s="281">
        <f t="shared" si="88"/>
        <v>0.8107452729197594</v>
      </c>
      <c r="I404" s="202">
        <v>3270.547</v>
      </c>
      <c r="J404" s="270">
        <v>47.72</v>
      </c>
      <c r="K404" s="270">
        <v>0</v>
      </c>
      <c r="L404" s="202">
        <v>638.327</v>
      </c>
      <c r="M404" s="277">
        <v>588.89259142719993</v>
      </c>
      <c r="N404" s="202">
        <v>1637</v>
      </c>
      <c r="O404" s="270">
        <v>11.94</v>
      </c>
      <c r="P404" s="270">
        <v>-7.0000000000000284E-2</v>
      </c>
      <c r="Q404" s="202">
        <v>2764.8879999999999</v>
      </c>
      <c r="R404" s="199">
        <v>0.80002546296296295</v>
      </c>
      <c r="S404" s="202">
        <v>691.11200000000008</v>
      </c>
      <c r="T404" s="286">
        <v>574.74200000000008</v>
      </c>
      <c r="U404" s="275"/>
      <c r="V404" s="278">
        <v>16.013999999999999</v>
      </c>
      <c r="W404" s="278">
        <v>29.771000000000001</v>
      </c>
      <c r="X404" s="278">
        <v>19.202999999999999</v>
      </c>
      <c r="Y404" s="278">
        <v>25.274999999999999</v>
      </c>
      <c r="Z404" s="278"/>
      <c r="AB404" s="278">
        <v>34.085000000000001</v>
      </c>
      <c r="AC404" s="278">
        <v>12.731</v>
      </c>
      <c r="AD404" s="279">
        <v>137.08000000000001</v>
      </c>
      <c r="AE404" s="278">
        <f t="shared" si="96"/>
        <v>137.07900000000001</v>
      </c>
      <c r="AF404" s="278">
        <f t="shared" si="97"/>
        <v>-1.0000000000047748E-3</v>
      </c>
      <c r="AG404" s="278">
        <f t="shared" si="95"/>
        <v>-1.0000000000047748E-3</v>
      </c>
      <c r="AH404" s="202">
        <f t="shared" si="92"/>
        <v>2.4670000000000023</v>
      </c>
      <c r="AI404" s="202">
        <f t="shared" si="93"/>
        <v>59.66</v>
      </c>
      <c r="AJ404" s="275"/>
      <c r="AK404" s="275"/>
      <c r="AL404" s="275"/>
      <c r="AM404" s="275"/>
      <c r="AN404" s="275"/>
      <c r="AO404" s="275"/>
      <c r="AP404" s="275"/>
      <c r="AQ404" s="275"/>
      <c r="AR404" s="275"/>
      <c r="AS404" s="275"/>
      <c r="AT404" s="275"/>
      <c r="AU404" s="275"/>
      <c r="AV404" s="275"/>
      <c r="AW404" s="275"/>
      <c r="AX404" s="275"/>
      <c r="AY404" s="275"/>
      <c r="AZ404" s="275"/>
      <c r="BA404" s="275"/>
      <c r="BB404" s="294">
        <v>1.0486078473614382</v>
      </c>
      <c r="BC404" s="275"/>
      <c r="BE404" s="274">
        <f t="shared" si="98"/>
        <v>4.4219354838709686</v>
      </c>
      <c r="BF404" s="280">
        <f t="shared" si="99"/>
        <v>149.62700000000001</v>
      </c>
      <c r="BG404" s="154" t="str">
        <f t="shared" si="100"/>
        <v/>
      </c>
      <c r="BH404" s="270">
        <f t="shared" si="101"/>
        <v>3.6000000000000296E-2</v>
      </c>
      <c r="BI404" s="270">
        <f t="shared" si="94"/>
        <v>0.19999999999999929</v>
      </c>
    </row>
    <row r="405" spans="1:61">
      <c r="A405" s="266">
        <v>41365</v>
      </c>
      <c r="B405" s="266"/>
      <c r="C405" s="292">
        <v>0.19461447900414772</v>
      </c>
      <c r="D405" s="293">
        <v>5.8384343701244319</v>
      </c>
      <c r="E405" s="290">
        <v>5.4541612903225811</v>
      </c>
      <c r="F405" s="277">
        <f t="shared" si="89"/>
        <v>163.62483870967742</v>
      </c>
      <c r="G405" s="277">
        <v>120.113</v>
      </c>
      <c r="H405" s="281">
        <f t="shared" si="88"/>
        <v>0.73407558991161925</v>
      </c>
      <c r="I405" s="202">
        <v>2861.3649999999998</v>
      </c>
      <c r="J405" s="270">
        <v>47.64</v>
      </c>
      <c r="K405" s="270">
        <v>0</v>
      </c>
      <c r="L405" s="202">
        <v>506.42899999999997</v>
      </c>
      <c r="M405" s="277">
        <v>163.51296636430015</v>
      </c>
      <c r="N405" s="202">
        <v>1423.9</v>
      </c>
      <c r="O405" s="270">
        <v>11.85</v>
      </c>
      <c r="P405" s="270">
        <v>-7.0000000000000284E-2</v>
      </c>
      <c r="Q405" s="202">
        <v>2637.636</v>
      </c>
      <c r="R405" s="199">
        <v>0.80001091901728838</v>
      </c>
      <c r="S405" s="202">
        <v>659.36400000000003</v>
      </c>
      <c r="T405" s="286">
        <v>589.59666666666647</v>
      </c>
      <c r="U405" s="275"/>
      <c r="V405" s="278">
        <v>14.009</v>
      </c>
      <c r="W405" s="278">
        <v>24.603000000000002</v>
      </c>
      <c r="X405" s="278">
        <v>19.257999999999999</v>
      </c>
      <c r="Y405" s="278">
        <v>23.13</v>
      </c>
      <c r="Z405" s="278"/>
      <c r="AB405" s="278">
        <v>27.925999999999998</v>
      </c>
      <c r="AC405" s="278">
        <v>11.188000000000001</v>
      </c>
      <c r="AD405" s="279">
        <v>120.113</v>
      </c>
      <c r="AE405" s="278">
        <f t="shared" si="96"/>
        <v>120.114</v>
      </c>
      <c r="AF405" s="278">
        <f t="shared" si="97"/>
        <v>1.0000000000047748E-3</v>
      </c>
      <c r="AG405" s="278">
        <f t="shared" si="95"/>
        <v>1.0000000000047748E-3</v>
      </c>
      <c r="AH405" s="202">
        <f t="shared" si="92"/>
        <v>-6.1590000000000025</v>
      </c>
      <c r="AI405" s="202">
        <f t="shared" si="93"/>
        <v>59.49</v>
      </c>
      <c r="AJ405" s="275"/>
      <c r="AK405" s="275"/>
      <c r="AL405" s="275"/>
      <c r="AM405" s="275"/>
      <c r="AN405" s="275"/>
      <c r="AO405" s="275"/>
      <c r="AP405" s="275"/>
      <c r="AQ405" s="275"/>
      <c r="AR405" s="275"/>
      <c r="AS405" s="275"/>
      <c r="AT405" s="275"/>
      <c r="AU405" s="275"/>
      <c r="AV405" s="275"/>
      <c r="AW405" s="275"/>
      <c r="AX405" s="275"/>
      <c r="AY405" s="275"/>
      <c r="AZ405" s="275"/>
      <c r="BA405" s="275"/>
      <c r="BB405" s="294">
        <v>1.0486078473614382</v>
      </c>
      <c r="BC405" s="275"/>
      <c r="BE405" s="274">
        <f>G405/30</f>
        <v>4.0037666666666665</v>
      </c>
      <c r="BF405" s="280">
        <f t="shared" si="99"/>
        <v>139.96600000000001</v>
      </c>
      <c r="BG405" s="154" t="str">
        <f t="shared" si="100"/>
        <v/>
      </c>
      <c r="BH405" s="270">
        <f t="shared" si="101"/>
        <v>6.69145681336758E-3</v>
      </c>
      <c r="BI405" s="270">
        <f t="shared" si="94"/>
        <v>-8.9999999999999858E-2</v>
      </c>
    </row>
    <row r="406" spans="1:61">
      <c r="A406" s="266">
        <v>41395</v>
      </c>
      <c r="B406" s="266"/>
      <c r="C406" s="292">
        <v>0.19228480418646834</v>
      </c>
      <c r="D406" s="293">
        <v>5.9608289297805186</v>
      </c>
      <c r="E406" s="290">
        <v>5.4541612903225811</v>
      </c>
      <c r="F406" s="277">
        <f t="shared" si="89"/>
        <v>169.07900000000001</v>
      </c>
      <c r="G406" s="277">
        <v>122.631</v>
      </c>
      <c r="H406" s="281">
        <f t="shared" si="88"/>
        <v>0.72528817889862129</v>
      </c>
      <c r="I406" s="202">
        <v>2912.26</v>
      </c>
      <c r="J406" s="270">
        <v>47.5</v>
      </c>
      <c r="K406" s="270">
        <v>0</v>
      </c>
      <c r="L406" s="202">
        <v>425.74200000000002</v>
      </c>
      <c r="M406" s="277">
        <v>197.10648466679999</v>
      </c>
      <c r="N406" s="202">
        <v>1461.9</v>
      </c>
      <c r="O406" s="270">
        <v>11.92</v>
      </c>
      <c r="P406" s="270">
        <v>-7.0000000000000284E-2</v>
      </c>
      <c r="Q406" s="202">
        <v>2468.9969999999998</v>
      </c>
      <c r="R406" s="199">
        <v>0.80006383668178871</v>
      </c>
      <c r="S406" s="202">
        <v>617.00300000000016</v>
      </c>
      <c r="T406" s="286">
        <v>564.60500000000013</v>
      </c>
      <c r="U406" s="275"/>
      <c r="V406" s="278">
        <v>14.86</v>
      </c>
      <c r="W406" s="278">
        <v>25.004999999999999</v>
      </c>
      <c r="X406" s="278">
        <v>18.632000000000001</v>
      </c>
      <c r="Y406" s="278">
        <v>23.626000000000001</v>
      </c>
      <c r="Z406" s="278"/>
      <c r="AB406" s="278">
        <v>28.047000000000001</v>
      </c>
      <c r="AC406" s="278">
        <v>12.46</v>
      </c>
      <c r="AD406" s="279">
        <v>122.631</v>
      </c>
      <c r="AE406" s="278">
        <f t="shared" si="96"/>
        <v>122.63</v>
      </c>
      <c r="AF406" s="278">
        <f t="shared" si="97"/>
        <v>-1.0000000000047748E-3</v>
      </c>
      <c r="AG406" s="278">
        <f t="shared" si="95"/>
        <v>-1.0000000000047748E-3</v>
      </c>
      <c r="AH406" s="202">
        <f t="shared" si="92"/>
        <v>0.12100000000000222</v>
      </c>
      <c r="AI406" s="202">
        <f t="shared" si="93"/>
        <v>59.42</v>
      </c>
      <c r="AJ406" s="275"/>
      <c r="AK406" s="275"/>
      <c r="AL406" s="275"/>
      <c r="AM406" s="275"/>
      <c r="AN406" s="275"/>
      <c r="AO406" s="275"/>
      <c r="AP406" s="275"/>
      <c r="AQ406" s="275"/>
      <c r="AR406" s="275"/>
      <c r="AS406" s="275"/>
      <c r="AT406" s="275"/>
      <c r="AU406" s="275"/>
      <c r="AV406" s="275"/>
      <c r="AW406" s="275"/>
      <c r="AX406" s="275"/>
      <c r="AY406" s="275"/>
      <c r="AZ406" s="275"/>
      <c r="BA406" s="275"/>
      <c r="BB406" s="294">
        <v>1.0486078473614382</v>
      </c>
      <c r="BC406" s="275"/>
      <c r="BE406" s="274">
        <f t="shared" si="98"/>
        <v>3.9558387096774195</v>
      </c>
      <c r="BF406" s="280">
        <f t="shared" si="99"/>
        <v>144.00200000000001</v>
      </c>
      <c r="BG406" s="154" t="str">
        <f t="shared" si="100"/>
        <v/>
      </c>
      <c r="BH406" s="270">
        <f t="shared" si="101"/>
        <v>1.7308543186632264E-2</v>
      </c>
      <c r="BI406" s="270">
        <f t="shared" si="94"/>
        <v>7.0000000000000284E-2</v>
      </c>
    </row>
    <row r="407" spans="1:61">
      <c r="A407" s="266">
        <v>41426</v>
      </c>
      <c r="B407" s="266"/>
      <c r="C407" s="292">
        <v>0.19289376120755244</v>
      </c>
      <c r="D407" s="293">
        <v>5.7868128362265736</v>
      </c>
      <c r="E407" s="290">
        <v>5.4541612903225811</v>
      </c>
      <c r="F407" s="277">
        <f t="shared" si="89"/>
        <v>163.62483870967742</v>
      </c>
      <c r="G407" s="277">
        <v>119.051</v>
      </c>
      <c r="H407" s="281">
        <f t="shared" si="88"/>
        <v>0.72758513278802617</v>
      </c>
      <c r="I407" s="202">
        <v>2835.1489999999999</v>
      </c>
      <c r="J407" s="270">
        <v>47.63</v>
      </c>
      <c r="K407" s="270">
        <v>0</v>
      </c>
      <c r="L407" s="202">
        <v>415.33100000000002</v>
      </c>
      <c r="M407" s="277">
        <v>211.69546381899988</v>
      </c>
      <c r="N407" s="202">
        <v>1419.5</v>
      </c>
      <c r="O407" s="270">
        <v>11.92</v>
      </c>
      <c r="P407" s="270">
        <v>-7.0000000000000284E-2</v>
      </c>
      <c r="Q407" s="202">
        <v>2297.6419999999998</v>
      </c>
      <c r="R407" s="199">
        <v>0.80001462395543166</v>
      </c>
      <c r="S407" s="202">
        <v>574.35800000000017</v>
      </c>
      <c r="T407" s="286">
        <v>567.92266666666649</v>
      </c>
      <c r="U407" s="275"/>
      <c r="V407" s="278">
        <v>13.779</v>
      </c>
      <c r="W407" s="278">
        <v>23.231000000000002</v>
      </c>
      <c r="X407" s="278">
        <v>17.439</v>
      </c>
      <c r="Y407" s="278">
        <v>20.984999999999999</v>
      </c>
      <c r="Z407" s="278"/>
      <c r="AB407" s="278">
        <v>31.07</v>
      </c>
      <c r="AC407" s="278">
        <v>12.547000000000001</v>
      </c>
      <c r="AD407" s="279">
        <v>119.051</v>
      </c>
      <c r="AE407" s="278">
        <f t="shared" si="96"/>
        <v>119.05099999999999</v>
      </c>
      <c r="AF407" s="278">
        <f t="shared" si="97"/>
        <v>0</v>
      </c>
      <c r="AG407" s="278">
        <f t="shared" si="95"/>
        <v>0</v>
      </c>
      <c r="AH407" s="202">
        <f t="shared" si="92"/>
        <v>3.0229999999999997</v>
      </c>
      <c r="AI407" s="202">
        <f t="shared" si="93"/>
        <v>59.550000000000004</v>
      </c>
      <c r="AJ407" s="275"/>
      <c r="AK407" s="275"/>
      <c r="AL407" s="275"/>
      <c r="AM407" s="275"/>
      <c r="AN407" s="275"/>
      <c r="AO407" s="275"/>
      <c r="AP407" s="275"/>
      <c r="AQ407" s="275"/>
      <c r="AR407" s="275"/>
      <c r="AS407" s="275"/>
      <c r="AT407" s="275"/>
      <c r="AU407" s="275"/>
      <c r="AV407" s="275"/>
      <c r="AW407" s="275"/>
      <c r="AX407" s="275"/>
      <c r="AY407" s="275"/>
      <c r="AZ407" s="275"/>
      <c r="BA407" s="275"/>
      <c r="BB407" s="294">
        <v>1.0486078473614382</v>
      </c>
      <c r="BC407" s="275"/>
      <c r="BE407" s="274">
        <f>G407/30</f>
        <v>3.9683666666666668</v>
      </c>
      <c r="BF407" s="280">
        <f t="shared" si="99"/>
        <v>141.583</v>
      </c>
      <c r="BG407" s="154" t="str">
        <f t="shared" si="100"/>
        <v/>
      </c>
      <c r="BH407" s="270">
        <f t="shared" si="101"/>
        <v>1.1999999999999744E-2</v>
      </c>
      <c r="BI407" s="270">
        <f t="shared" si="94"/>
        <v>0</v>
      </c>
    </row>
    <row r="408" spans="1:61">
      <c r="A408" s="266">
        <v>41456</v>
      </c>
      <c r="B408" s="266"/>
      <c r="C408" s="292">
        <v>0.18241741117209689</v>
      </c>
      <c r="D408" s="293">
        <v>5.6549397463350033</v>
      </c>
      <c r="E408" s="290">
        <v>5.4541612903225811</v>
      </c>
      <c r="F408" s="277">
        <f t="shared" si="89"/>
        <v>169.07900000000001</v>
      </c>
      <c r="G408" s="277">
        <v>116.33799999999999</v>
      </c>
      <c r="H408" s="281">
        <f t="shared" si="88"/>
        <v>0.68806889087349699</v>
      </c>
      <c r="I408" s="202">
        <v>2765.335</v>
      </c>
      <c r="J408" s="270">
        <v>47.54</v>
      </c>
      <c r="K408" s="270">
        <v>0</v>
      </c>
      <c r="L408" s="202">
        <v>351.536</v>
      </c>
      <c r="M408" s="277">
        <v>269.78600439399992</v>
      </c>
      <c r="N408" s="202">
        <v>1387.6</v>
      </c>
      <c r="O408" s="270">
        <v>11.93</v>
      </c>
      <c r="P408" s="270">
        <v>-7.0000000000000284E-2</v>
      </c>
      <c r="Q408" s="202">
        <v>2049.8969999999999</v>
      </c>
      <c r="R408" s="199">
        <v>0.80011592505854801</v>
      </c>
      <c r="S408" s="202">
        <v>512.10300000000007</v>
      </c>
      <c r="T408" s="286">
        <v>584.49533333333341</v>
      </c>
      <c r="U408" s="275"/>
      <c r="V408" s="278">
        <v>13.419</v>
      </c>
      <c r="W408" s="278">
        <v>23.331</v>
      </c>
      <c r="X408" s="278">
        <v>17.989000000000001</v>
      </c>
      <c r="Y408" s="278">
        <v>21.992999999999999</v>
      </c>
      <c r="Z408" s="278"/>
      <c r="AB408" s="278">
        <v>26.611999999999998</v>
      </c>
      <c r="AC408" s="278">
        <v>12.993</v>
      </c>
      <c r="AD408" s="279">
        <v>116.33799999999999</v>
      </c>
      <c r="AE408" s="278">
        <f t="shared" si="96"/>
        <v>116.33699999999999</v>
      </c>
      <c r="AF408" s="278">
        <f t="shared" si="97"/>
        <v>-1.0000000000047748E-3</v>
      </c>
      <c r="AG408" s="278">
        <f t="shared" si="95"/>
        <v>-1.0000000000047748E-3</v>
      </c>
      <c r="AH408" s="202">
        <f t="shared" si="92"/>
        <v>-4.458000000000002</v>
      </c>
      <c r="AI408" s="202">
        <f t="shared" si="93"/>
        <v>59.47</v>
      </c>
      <c r="AJ408" s="275"/>
      <c r="AK408" s="275"/>
      <c r="AL408" s="275"/>
      <c r="AM408" s="275"/>
      <c r="AN408" s="275"/>
      <c r="AO408" s="275"/>
      <c r="AP408" s="275"/>
      <c r="AQ408" s="275"/>
      <c r="AR408" s="275"/>
      <c r="AS408" s="275"/>
      <c r="AT408" s="275"/>
      <c r="AU408" s="275"/>
      <c r="AV408" s="275"/>
      <c r="AW408" s="275"/>
      <c r="AX408" s="275"/>
      <c r="AY408" s="275"/>
      <c r="AZ408" s="275"/>
      <c r="BA408" s="275"/>
      <c r="BB408" s="294">
        <v>1.0486078473614382</v>
      </c>
      <c r="BC408" s="275"/>
      <c r="BE408" s="274">
        <f t="shared" si="98"/>
        <v>3.7528387096774192</v>
      </c>
      <c r="BF408" s="280">
        <f t="shared" si="99"/>
        <v>142.626</v>
      </c>
      <c r="BG408" s="154" t="str">
        <f t="shared" si="100"/>
        <v/>
      </c>
      <c r="BH408" s="270">
        <f t="shared" si="101"/>
        <v>1.3999999999999702E-2</v>
      </c>
      <c r="BI408" s="270">
        <f t="shared" si="94"/>
        <v>9.9999999999997868E-3</v>
      </c>
    </row>
    <row r="409" spans="1:61">
      <c r="A409" s="266">
        <v>41487</v>
      </c>
      <c r="B409" s="266"/>
      <c r="C409" s="292">
        <v>0.17326659190753677</v>
      </c>
      <c r="D409" s="293">
        <v>5.3712643491336394</v>
      </c>
      <c r="E409" s="290">
        <v>5.4541612903225811</v>
      </c>
      <c r="F409" s="277">
        <f t="shared" si="89"/>
        <v>169.07900000000001</v>
      </c>
      <c r="G409" s="277">
        <v>110.502</v>
      </c>
      <c r="H409" s="281">
        <f t="shared" si="88"/>
        <v>0.65355248138444155</v>
      </c>
      <c r="I409" s="202">
        <v>2634.7939999999999</v>
      </c>
      <c r="J409" s="270">
        <v>47.69</v>
      </c>
      <c r="K409" s="270">
        <v>0</v>
      </c>
      <c r="L409" s="202">
        <v>306.68400000000003</v>
      </c>
      <c r="M409" s="277">
        <v>202.12545131730002</v>
      </c>
      <c r="N409" s="202">
        <v>1317.2</v>
      </c>
      <c r="O409" s="270">
        <v>11.92</v>
      </c>
      <c r="P409" s="270">
        <v>-7.0000000000000284E-2</v>
      </c>
      <c r="Q409" s="202">
        <v>1668.539</v>
      </c>
      <c r="R409" s="199">
        <v>0.79987488015340369</v>
      </c>
      <c r="S409" s="202">
        <v>417.46100000000001</v>
      </c>
      <c r="T409" s="286">
        <v>523.37133333333338</v>
      </c>
      <c r="U409" s="275"/>
      <c r="V409" s="278">
        <v>13.134</v>
      </c>
      <c r="W409" s="278">
        <v>19.643000000000001</v>
      </c>
      <c r="X409" s="278">
        <v>17.382999999999999</v>
      </c>
      <c r="Y409" s="278">
        <v>20.553999999999998</v>
      </c>
      <c r="Z409" s="278"/>
      <c r="AB409" s="278">
        <v>28.170999999999999</v>
      </c>
      <c r="AC409" s="278">
        <v>11.617000000000001</v>
      </c>
      <c r="AD409" s="279">
        <v>110.502</v>
      </c>
      <c r="AE409" s="278">
        <f t="shared" si="96"/>
        <v>110.502</v>
      </c>
      <c r="AF409" s="278">
        <f t="shared" si="97"/>
        <v>0</v>
      </c>
      <c r="AG409" s="278">
        <f t="shared" si="95"/>
        <v>0</v>
      </c>
      <c r="AH409" s="202">
        <f t="shared" si="92"/>
        <v>1.5590000000000011</v>
      </c>
      <c r="AI409" s="202">
        <f t="shared" si="93"/>
        <v>59.61</v>
      </c>
      <c r="AJ409" s="275"/>
      <c r="AK409" s="275"/>
      <c r="AL409" s="275"/>
      <c r="AM409" s="275"/>
      <c r="AN409" s="275"/>
      <c r="AO409" s="275"/>
      <c r="AP409" s="275"/>
      <c r="AQ409" s="275"/>
      <c r="AR409" s="275"/>
      <c r="AS409" s="275"/>
      <c r="AT409" s="275"/>
      <c r="AU409" s="275"/>
      <c r="AV409" s="275"/>
      <c r="AW409" s="275"/>
      <c r="AX409" s="275"/>
      <c r="AY409" s="275"/>
      <c r="AZ409" s="275"/>
      <c r="BA409" s="275"/>
      <c r="BB409" s="294">
        <v>1.0486078473614382</v>
      </c>
      <c r="BC409" s="275"/>
      <c r="BE409" s="274">
        <f t="shared" si="98"/>
        <v>3.56458064516129</v>
      </c>
      <c r="BF409" s="280">
        <f t="shared" si="99"/>
        <v>137.56399999999999</v>
      </c>
      <c r="BG409" s="154" t="str">
        <f t="shared" si="100"/>
        <v/>
      </c>
      <c r="BH409" s="270">
        <f t="shared" si="101"/>
        <v>4.2000000000000169E-2</v>
      </c>
      <c r="BI409" s="270">
        <f t="shared" si="94"/>
        <v>-9.9999999999997868E-3</v>
      </c>
    </row>
    <row r="410" spans="1:61">
      <c r="A410" s="266">
        <v>41518</v>
      </c>
      <c r="B410" s="266"/>
      <c r="C410" s="292">
        <v>0.17492348500832358</v>
      </c>
      <c r="D410" s="293">
        <v>5.2477045502497077</v>
      </c>
      <c r="E410" s="290">
        <v>5.4541612903225811</v>
      </c>
      <c r="F410" s="277">
        <f t="shared" si="89"/>
        <v>163.62483870967742</v>
      </c>
      <c r="G410" s="277">
        <v>108.68</v>
      </c>
      <c r="H410" s="281">
        <f t="shared" si="88"/>
        <v>0.66420233539745721</v>
      </c>
      <c r="I410" s="202">
        <v>2582.7719999999999</v>
      </c>
      <c r="J410" s="270">
        <v>47.53</v>
      </c>
      <c r="K410" s="270">
        <v>0</v>
      </c>
      <c r="L410" s="202">
        <v>306.226</v>
      </c>
      <c r="M410" s="277">
        <v>174.20676947539999</v>
      </c>
      <c r="N410" s="202">
        <v>1293.8</v>
      </c>
      <c r="O410" s="270">
        <v>11.9</v>
      </c>
      <c r="P410" s="270">
        <v>-7.0000000000000284E-2</v>
      </c>
      <c r="Q410" s="202">
        <v>1372.2819999999999</v>
      </c>
      <c r="R410" s="199">
        <v>0.80016443148688043</v>
      </c>
      <c r="S410" s="202">
        <v>342.71800000000007</v>
      </c>
      <c r="T410" s="286">
        <v>535.37933333333331</v>
      </c>
      <c r="U410" s="275"/>
      <c r="V410" s="278">
        <v>11.103</v>
      </c>
      <c r="W410" s="278">
        <v>24.922999999999998</v>
      </c>
      <c r="X410" s="278">
        <v>15.98</v>
      </c>
      <c r="Y410" s="278">
        <v>19.460999999999999</v>
      </c>
      <c r="Z410" s="278"/>
      <c r="AB410" s="278">
        <v>26.349</v>
      </c>
      <c r="AC410" s="278">
        <v>10.862</v>
      </c>
      <c r="AD410" s="279">
        <v>108.68</v>
      </c>
      <c r="AE410" s="278">
        <f t="shared" si="96"/>
        <v>108.678</v>
      </c>
      <c r="AF410" s="278">
        <f t="shared" si="97"/>
        <v>-2.0000000000095497E-3</v>
      </c>
      <c r="AG410" s="278">
        <f t="shared" si="95"/>
        <v>-2.0000000000095497E-3</v>
      </c>
      <c r="AH410" s="202">
        <f t="shared" si="92"/>
        <v>-1.8219999999999992</v>
      </c>
      <c r="AI410" s="202">
        <f t="shared" si="93"/>
        <v>59.43</v>
      </c>
      <c r="AJ410" s="275"/>
      <c r="AK410" s="275"/>
      <c r="AL410" s="275"/>
      <c r="AM410" s="275"/>
      <c r="AN410" s="275"/>
      <c r="AO410" s="275"/>
      <c r="AP410" s="275"/>
      <c r="AQ410" s="275"/>
      <c r="AR410" s="275"/>
      <c r="AS410" s="275"/>
      <c r="AT410" s="275"/>
      <c r="AU410" s="275"/>
      <c r="AV410" s="275"/>
      <c r="AW410" s="275"/>
      <c r="AX410" s="275"/>
      <c r="AY410" s="275"/>
      <c r="AZ410" s="275"/>
      <c r="BA410" s="275"/>
      <c r="BB410" s="294">
        <v>1.0482858350225406</v>
      </c>
      <c r="BC410" s="275"/>
      <c r="BE410" s="274">
        <f>G410/30</f>
        <v>3.6226666666666669</v>
      </c>
      <c r="BF410" s="280">
        <f t="shared" ref="BF410:BF425" si="102">MAX(G398,G386,G374,G362,G350,G338,G326,G314,G302,G290,G278,G266,G254,G242,G230,G218,G206,G194,G182,G170,G158,G146,G134)</f>
        <v>139.82900000000001</v>
      </c>
      <c r="BG410" s="154" t="str">
        <f t="shared" ref="BG410:BG425" si="103">IF(G410&gt;BF410,"RECORD","")</f>
        <v/>
      </c>
      <c r="BH410" s="270">
        <f t="shared" si="101"/>
        <v>2.1999999999999888E-2</v>
      </c>
      <c r="BI410" s="270">
        <f t="shared" si="94"/>
        <v>-1.9999999999999574E-2</v>
      </c>
    </row>
    <row r="411" spans="1:61">
      <c r="A411" s="266">
        <v>41548</v>
      </c>
      <c r="B411" s="266"/>
      <c r="C411" s="292">
        <v>0.24464251955307389</v>
      </c>
      <c r="D411" s="293">
        <v>7.5839181061452905</v>
      </c>
      <c r="E411" s="290">
        <v>5.4541612903225811</v>
      </c>
      <c r="F411" s="277">
        <f t="shared" si="89"/>
        <v>169.07900000000001</v>
      </c>
      <c r="G411" s="277">
        <v>157.06299999999999</v>
      </c>
      <c r="H411" s="281">
        <f t="shared" ref="H411:H457" si="104">G411/F411</f>
        <v>0.9289326291260297</v>
      </c>
      <c r="I411" s="202">
        <v>3687.6689999999999</v>
      </c>
      <c r="J411" s="270">
        <v>46.96</v>
      </c>
      <c r="K411" s="270">
        <v>0</v>
      </c>
      <c r="L411" s="202">
        <v>701.80200000000002</v>
      </c>
      <c r="M411" s="277">
        <v>200.45487562290009</v>
      </c>
      <c r="N411" s="202">
        <v>1827.6</v>
      </c>
      <c r="O411" s="270">
        <v>11.64</v>
      </c>
      <c r="P411" s="270">
        <v>-7.0000000000000284E-2</v>
      </c>
      <c r="Q411" s="202">
        <v>1377.34</v>
      </c>
      <c r="R411" s="199">
        <v>0.79984901277584197</v>
      </c>
      <c r="S411" s="202">
        <v>344.66000000000008</v>
      </c>
      <c r="T411" s="286">
        <v>485.31500000000023</v>
      </c>
      <c r="U411" s="275"/>
      <c r="V411" s="278">
        <v>19.010000000000002</v>
      </c>
      <c r="W411" s="278">
        <v>36.548000000000002</v>
      </c>
      <c r="X411" s="278">
        <v>20.190000000000001</v>
      </c>
      <c r="Y411" s="278">
        <v>29.74</v>
      </c>
      <c r="Z411" s="278"/>
      <c r="AB411" s="278">
        <v>36.362000000000002</v>
      </c>
      <c r="AC411" s="278">
        <v>15.214</v>
      </c>
      <c r="AD411" s="279">
        <v>157.06299999999999</v>
      </c>
      <c r="AE411" s="278">
        <f t="shared" si="96"/>
        <v>157.06399999999999</v>
      </c>
      <c r="AF411" s="278">
        <f t="shared" si="97"/>
        <v>1.0000000000047748E-3</v>
      </c>
      <c r="AG411" s="278">
        <f t="shared" si="95"/>
        <v>1.0000000000047748E-3</v>
      </c>
      <c r="AH411" s="202">
        <f t="shared" si="92"/>
        <v>10.013000000000002</v>
      </c>
      <c r="AI411" s="202">
        <f t="shared" si="93"/>
        <v>58.6</v>
      </c>
      <c r="AJ411" s="285">
        <v>24.238</v>
      </c>
      <c r="AK411" s="285">
        <v>32.332000000000001</v>
      </c>
      <c r="AL411" s="285">
        <v>24.754999999999999</v>
      </c>
      <c r="AM411" s="285">
        <v>9.7520000000000007</v>
      </c>
      <c r="AN411" s="285">
        <v>21.391999999999999</v>
      </c>
      <c r="AO411" s="285">
        <v>36.665999999999997</v>
      </c>
      <c r="AP411" s="285">
        <v>21.478000000000002</v>
      </c>
      <c r="AQ411" s="285">
        <v>170.613</v>
      </c>
      <c r="AR411" s="275"/>
      <c r="AS411" s="275"/>
      <c r="AT411" s="275"/>
      <c r="AU411" s="275"/>
      <c r="AV411" s="275"/>
      <c r="AW411" s="275"/>
      <c r="AX411" s="275"/>
      <c r="AY411" s="275"/>
      <c r="AZ411" s="275"/>
      <c r="BA411" s="275"/>
      <c r="BB411" s="294">
        <v>1.0482858350225406</v>
      </c>
      <c r="BC411" s="275"/>
      <c r="BE411" s="274">
        <f t="shared" si="98"/>
        <v>5.0665483870967742</v>
      </c>
      <c r="BF411" s="280">
        <f t="shared" si="102"/>
        <v>155.262</v>
      </c>
      <c r="BG411" s="154" t="str">
        <f t="shared" si="103"/>
        <v>RECORD</v>
      </c>
      <c r="BH411" s="270">
        <f t="shared" si="101"/>
        <v>-8.7999999999999551E-2</v>
      </c>
      <c r="BI411" s="270">
        <f t="shared" si="94"/>
        <v>-0.25999999999999979</v>
      </c>
    </row>
    <row r="412" spans="1:61">
      <c r="A412" s="266">
        <v>41579</v>
      </c>
      <c r="B412" s="266"/>
      <c r="C412" s="292">
        <v>0.25775783498949162</v>
      </c>
      <c r="D412" s="293">
        <v>7.7327350496847487</v>
      </c>
      <c r="E412" s="290">
        <v>5.4541612903225811</v>
      </c>
      <c r="F412" s="277">
        <f t="shared" ref="F412:F475" si="105">(A413-A412)*E412</f>
        <v>163.62483870967742</v>
      </c>
      <c r="G412" s="277">
        <v>160.14500000000001</v>
      </c>
      <c r="H412" s="281">
        <f t="shared" si="104"/>
        <v>0.97873282114672244</v>
      </c>
      <c r="I412" s="202">
        <v>3781.5189999999998</v>
      </c>
      <c r="J412" s="270">
        <v>47.23</v>
      </c>
      <c r="K412" s="270">
        <v>0</v>
      </c>
      <c r="L412" s="202">
        <v>813.32299999999998</v>
      </c>
      <c r="M412" s="277">
        <v>572.79670623699997</v>
      </c>
      <c r="N412" s="202">
        <v>1847</v>
      </c>
      <c r="O412" s="270">
        <v>11.53</v>
      </c>
      <c r="P412" s="270">
        <v>-7.0000000000000284E-2</v>
      </c>
      <c r="Q412" s="202">
        <v>1485.6130000000001</v>
      </c>
      <c r="R412" s="199">
        <v>0.80000700053850304</v>
      </c>
      <c r="S412" s="202">
        <v>371.38699999999994</v>
      </c>
      <c r="T412" s="286">
        <v>525.06233333333341</v>
      </c>
      <c r="U412" s="275"/>
      <c r="V412" s="278">
        <v>20.068999999999999</v>
      </c>
      <c r="W412" s="278">
        <v>35.826999999999998</v>
      </c>
      <c r="X412" s="278">
        <v>22.3</v>
      </c>
      <c r="Y412" s="278">
        <v>31.984999999999999</v>
      </c>
      <c r="Z412" s="278"/>
      <c r="AB412" s="278">
        <v>35.600999999999999</v>
      </c>
      <c r="AC412" s="278">
        <v>14.363</v>
      </c>
      <c r="AD412" s="279">
        <v>160.14500000000001</v>
      </c>
      <c r="AE412" s="278">
        <f t="shared" si="96"/>
        <v>160.14499999999998</v>
      </c>
      <c r="AF412" s="278">
        <f t="shared" si="97"/>
        <v>0</v>
      </c>
      <c r="AG412" s="278">
        <f t="shared" si="95"/>
        <v>0</v>
      </c>
      <c r="AH412" s="202">
        <f t="shared" si="92"/>
        <v>-0.76100000000000279</v>
      </c>
      <c r="AI412" s="202">
        <f t="shared" si="93"/>
        <v>58.76</v>
      </c>
      <c r="AJ412" s="275"/>
      <c r="AK412" s="285">
        <v>4.166666666666667</v>
      </c>
      <c r="AL412" s="295" t="s">
        <v>42</v>
      </c>
      <c r="AM412" s="275"/>
      <c r="AN412" s="275"/>
      <c r="AO412" s="275"/>
      <c r="AP412" s="275"/>
      <c r="AQ412" s="275"/>
      <c r="AR412" s="275"/>
      <c r="AS412" s="275"/>
      <c r="AT412" s="275"/>
      <c r="AU412" s="275"/>
      <c r="AV412" s="275"/>
      <c r="AW412" s="275"/>
      <c r="AX412" s="275"/>
      <c r="AY412" s="275"/>
      <c r="AZ412" s="275"/>
      <c r="BA412" s="275"/>
      <c r="BB412" s="275"/>
      <c r="BC412" s="275"/>
      <c r="BE412" s="274">
        <f>G412/30</f>
        <v>5.3381666666666669</v>
      </c>
      <c r="BF412" s="280">
        <f t="shared" si="102"/>
        <v>160.25899999999999</v>
      </c>
      <c r="BG412" s="154" t="str">
        <f t="shared" si="103"/>
        <v/>
      </c>
      <c r="BH412" s="270">
        <f t="shared" si="101"/>
        <v>-0.16400000000000006</v>
      </c>
      <c r="BI412" s="270">
        <f t="shared" si="94"/>
        <v>-0.11000000000000121</v>
      </c>
    </row>
    <row r="413" spans="1:61">
      <c r="A413" s="266">
        <v>41609</v>
      </c>
      <c r="B413" s="266"/>
      <c r="C413" s="292">
        <v>0.25760337223767243</v>
      </c>
      <c r="D413" s="293">
        <v>7.9857045393678447</v>
      </c>
      <c r="E413" s="290">
        <v>5.4541612903225811</v>
      </c>
      <c r="F413" s="277">
        <f t="shared" si="105"/>
        <v>169.07900000000001</v>
      </c>
      <c r="G413" s="277">
        <v>165.38399999999999</v>
      </c>
      <c r="H413" s="281">
        <f t="shared" si="104"/>
        <v>0.97814631030465038</v>
      </c>
      <c r="I413" s="202">
        <v>3879.6190000000001</v>
      </c>
      <c r="J413" s="270">
        <v>46.92</v>
      </c>
      <c r="K413" s="270">
        <v>0</v>
      </c>
      <c r="L413" s="202">
        <v>1005.302</v>
      </c>
      <c r="M413" s="277">
        <v>416.45685387129981</v>
      </c>
      <c r="N413" s="202">
        <v>1897.2</v>
      </c>
      <c r="O413" s="270">
        <v>11.47</v>
      </c>
      <c r="P413" s="270">
        <v>-7.0000000000000284E-2</v>
      </c>
      <c r="Q413" s="202">
        <v>1681.223</v>
      </c>
      <c r="R413" s="199">
        <v>0.79982064700285438</v>
      </c>
      <c r="S413" s="202">
        <v>420.77700000000004</v>
      </c>
      <c r="T413" s="286">
        <v>517.57000000000005</v>
      </c>
      <c r="U413" s="275"/>
      <c r="V413" s="278">
        <v>20.818000000000001</v>
      </c>
      <c r="W413" s="278">
        <v>37.253</v>
      </c>
      <c r="X413" s="278">
        <v>23.077000000000002</v>
      </c>
      <c r="Y413" s="278">
        <v>32.704000000000001</v>
      </c>
      <c r="Z413" s="278"/>
      <c r="AB413" s="278">
        <v>36.167000000000002</v>
      </c>
      <c r="AC413" s="278">
        <v>15.364000000000001</v>
      </c>
      <c r="AD413" s="279">
        <v>165.38399999999999</v>
      </c>
      <c r="AE413" s="278">
        <f t="shared" si="96"/>
        <v>165.38300000000001</v>
      </c>
      <c r="AF413" s="278">
        <f t="shared" si="97"/>
        <v>-9.9999999997635314E-4</v>
      </c>
      <c r="AG413" s="278">
        <f t="shared" si="95"/>
        <v>-9.9999999997635314E-4</v>
      </c>
      <c r="AH413" s="202">
        <f t="shared" si="92"/>
        <v>0.5660000000000025</v>
      </c>
      <c r="AI413" s="202">
        <f t="shared" si="93"/>
        <v>58.39</v>
      </c>
      <c r="AJ413" s="275"/>
      <c r="AK413" s="275"/>
      <c r="AL413" s="295"/>
      <c r="AM413" s="275"/>
      <c r="AN413" s="275"/>
      <c r="AO413" s="275"/>
      <c r="AP413" s="275"/>
      <c r="AQ413" s="275"/>
      <c r="AR413" s="275"/>
      <c r="AS413" s="275"/>
      <c r="AT413" s="275"/>
      <c r="AU413" s="275"/>
      <c r="AV413" s="275"/>
      <c r="AW413" s="275"/>
      <c r="AX413" s="275"/>
      <c r="AY413" s="275"/>
      <c r="AZ413" s="275"/>
      <c r="BA413" s="275"/>
      <c r="BB413" s="275"/>
      <c r="BC413" s="275"/>
      <c r="BE413" s="274">
        <f t="shared" si="98"/>
        <v>5.3349677419354835</v>
      </c>
      <c r="BF413" s="280">
        <f t="shared" si="102"/>
        <v>164.37700000000001</v>
      </c>
      <c r="BG413" s="154" t="str">
        <f t="shared" si="103"/>
        <v>RECORD</v>
      </c>
      <c r="BH413" s="270">
        <f t="shared" si="101"/>
        <v>4.3999999999999415E-2</v>
      </c>
      <c r="BI413" s="270">
        <f t="shared" si="94"/>
        <v>-5.9999999999998721E-2</v>
      </c>
    </row>
    <row r="414" spans="1:61">
      <c r="A414" s="266">
        <v>41640</v>
      </c>
      <c r="B414" s="266"/>
      <c r="C414" s="292">
        <v>0.24445560664330954</v>
      </c>
      <c r="D414" s="293">
        <v>7.5781238059425959</v>
      </c>
      <c r="E414" s="290">
        <v>5.4541612903225811</v>
      </c>
      <c r="F414" s="277">
        <f t="shared" si="105"/>
        <v>169.07900000000001</v>
      </c>
      <c r="G414" s="277">
        <v>156.94300000000001</v>
      </c>
      <c r="H414" s="281">
        <f t="shared" si="104"/>
        <v>0.9282229017204976</v>
      </c>
      <c r="I414" s="202">
        <v>3708.703</v>
      </c>
      <c r="J414" s="270">
        <v>47.26</v>
      </c>
      <c r="K414" s="270">
        <v>0</v>
      </c>
      <c r="L414" s="202">
        <v>787.96100000000001</v>
      </c>
      <c r="M414" s="277">
        <v>725.045725447</v>
      </c>
      <c r="N414" s="202">
        <v>1813.7</v>
      </c>
      <c r="O414" s="270">
        <v>11.56</v>
      </c>
      <c r="P414" s="270">
        <v>-7.0000000000000284E-2</v>
      </c>
      <c r="Q414" s="202">
        <v>1794.11</v>
      </c>
      <c r="R414" s="199">
        <v>0.79987070887204637</v>
      </c>
      <c r="S414" s="202">
        <v>448.8900000000001</v>
      </c>
      <c r="T414" s="286">
        <v>550.17233333333331</v>
      </c>
      <c r="U414" s="275"/>
      <c r="V414" s="278">
        <v>19.835999999999999</v>
      </c>
      <c r="W414" s="278">
        <v>33.222000000000001</v>
      </c>
      <c r="X414" s="278">
        <v>22.024000000000001</v>
      </c>
      <c r="Y414" s="278">
        <v>31.806999999999999</v>
      </c>
      <c r="Z414" s="278"/>
      <c r="AB414" s="278">
        <v>35.707999999999998</v>
      </c>
      <c r="AC414" s="278">
        <v>14.346</v>
      </c>
      <c r="AD414" s="279">
        <v>156.94300000000001</v>
      </c>
      <c r="AE414" s="278">
        <f t="shared" si="96"/>
        <v>156.94299999999998</v>
      </c>
      <c r="AF414" s="278">
        <f t="shared" si="97"/>
        <v>0</v>
      </c>
      <c r="AG414" s="278">
        <f t="shared" si="95"/>
        <v>0</v>
      </c>
      <c r="AH414" s="202">
        <f t="shared" si="92"/>
        <v>-0.45900000000000318</v>
      </c>
      <c r="AI414" s="202">
        <f t="shared" si="93"/>
        <v>58.82</v>
      </c>
      <c r="AJ414" s="275"/>
      <c r="AK414" s="275"/>
      <c r="AL414" s="295"/>
      <c r="AM414" s="275"/>
      <c r="AN414" s="275"/>
      <c r="AO414" s="275"/>
      <c r="AP414" s="275"/>
      <c r="AQ414" s="275"/>
      <c r="AR414" s="275"/>
      <c r="AS414" s="275"/>
      <c r="AT414" s="275"/>
      <c r="AU414" s="275"/>
      <c r="AV414" s="275"/>
      <c r="AW414" s="275"/>
      <c r="AX414" s="275"/>
      <c r="AY414" s="275"/>
      <c r="AZ414" s="275"/>
      <c r="BA414" s="275"/>
      <c r="BB414" s="275"/>
      <c r="BC414" s="275"/>
      <c r="BE414" s="274">
        <f t="shared" si="98"/>
        <v>5.0626774193548387</v>
      </c>
      <c r="BF414" s="280">
        <f t="shared" si="102"/>
        <v>162.39699999999999</v>
      </c>
      <c r="BG414" s="154" t="str">
        <f t="shared" si="103"/>
        <v/>
      </c>
      <c r="BH414" s="270">
        <f t="shared" si="101"/>
        <v>4.2000000000000523E-2</v>
      </c>
      <c r="BI414" s="270">
        <f t="shared" si="94"/>
        <v>8.9999999999999858E-2</v>
      </c>
    </row>
    <row r="415" spans="1:61">
      <c r="A415" s="266">
        <v>41671</v>
      </c>
      <c r="B415" s="266"/>
      <c r="C415" s="292">
        <v>0.24420905961471512</v>
      </c>
      <c r="D415" s="293">
        <v>6.8378536692120235</v>
      </c>
      <c r="E415" s="290">
        <v>5.4541612903225811</v>
      </c>
      <c r="F415" s="277">
        <f t="shared" si="105"/>
        <v>152.71651612903227</v>
      </c>
      <c r="G415" s="277">
        <v>141.61199999999999</v>
      </c>
      <c r="H415" s="281">
        <f t="shared" si="104"/>
        <v>0.92728673747605717</v>
      </c>
      <c r="I415" s="202">
        <v>3348.18</v>
      </c>
      <c r="J415" s="270">
        <v>47.29</v>
      </c>
      <c r="K415" s="270">
        <v>0</v>
      </c>
      <c r="L415" s="202">
        <v>714.23099999999999</v>
      </c>
      <c r="M415" s="277">
        <v>451.6264654524</v>
      </c>
      <c r="N415" s="202">
        <v>1646.1</v>
      </c>
      <c r="O415" s="270">
        <v>11.62</v>
      </c>
      <c r="P415" s="270">
        <v>-7.0000000000000284E-2</v>
      </c>
      <c r="Q415" s="202">
        <v>1892.943</v>
      </c>
      <c r="R415" s="199">
        <v>0.8000604395604396</v>
      </c>
      <c r="S415" s="202">
        <v>473.05700000000002</v>
      </c>
      <c r="T415" s="286">
        <v>542.55333333333328</v>
      </c>
      <c r="U415" s="275"/>
      <c r="V415" s="278">
        <v>17.535</v>
      </c>
      <c r="W415" s="278">
        <v>31.053999999999998</v>
      </c>
      <c r="X415" s="278">
        <v>20.106000000000002</v>
      </c>
      <c r="Y415" s="278">
        <v>28.428999999999998</v>
      </c>
      <c r="Z415" s="278"/>
      <c r="AB415" s="278">
        <v>32.168999999999997</v>
      </c>
      <c r="AC415" s="278">
        <v>12.319000000000001</v>
      </c>
      <c r="AD415" s="279">
        <v>141.61199999999999</v>
      </c>
      <c r="AE415" s="278">
        <f t="shared" si="96"/>
        <v>141.61199999999999</v>
      </c>
      <c r="AF415" s="278">
        <f t="shared" si="97"/>
        <v>0</v>
      </c>
      <c r="AG415" s="278">
        <f t="shared" si="95"/>
        <v>0</v>
      </c>
      <c r="AH415" s="202">
        <f t="shared" si="92"/>
        <v>-3.5390000000000015</v>
      </c>
      <c r="AI415" s="202">
        <f t="shared" si="93"/>
        <v>58.91</v>
      </c>
      <c r="AJ415" s="275"/>
      <c r="AK415" s="275"/>
      <c r="AL415" s="295"/>
      <c r="AM415" s="275"/>
      <c r="AN415" s="275"/>
      <c r="AO415" s="275"/>
      <c r="AP415" s="275"/>
      <c r="AQ415" s="275"/>
      <c r="AR415" s="275"/>
      <c r="AS415" s="275"/>
      <c r="AT415" s="275"/>
      <c r="AU415" s="275"/>
      <c r="AV415" s="275"/>
      <c r="AW415" s="275"/>
      <c r="AX415" s="275"/>
      <c r="AY415" s="275"/>
      <c r="AZ415" s="275"/>
      <c r="BA415" s="275"/>
      <c r="BB415" s="275"/>
      <c r="BC415" s="275"/>
      <c r="BE415" s="274">
        <f>G415/28</f>
        <v>5.0575714285714284</v>
      </c>
      <c r="BF415" s="280">
        <f t="shared" si="102"/>
        <v>148.351</v>
      </c>
      <c r="BG415" s="154" t="str">
        <f t="shared" si="103"/>
        <v/>
      </c>
      <c r="BH415" s="270">
        <f t="shared" si="101"/>
        <v>4.8000000000000043E-2</v>
      </c>
      <c r="BI415" s="270">
        <f t="shared" si="94"/>
        <v>5.9999999999998721E-2</v>
      </c>
    </row>
    <row r="416" spans="1:61">
      <c r="A416" s="266">
        <v>41699</v>
      </c>
      <c r="B416" s="266"/>
      <c r="C416" s="292">
        <v>0.23962235031831094</v>
      </c>
      <c r="D416" s="293">
        <v>7.4282928598676392</v>
      </c>
      <c r="E416" s="290">
        <v>5.4541612903225811</v>
      </c>
      <c r="F416" s="277">
        <f t="shared" si="105"/>
        <v>169.07900000000001</v>
      </c>
      <c r="G416" s="277">
        <v>153.84</v>
      </c>
      <c r="H416" s="281">
        <f t="shared" si="104"/>
        <v>0.90987053389244077</v>
      </c>
      <c r="I416" s="202">
        <v>3636.2750000000001</v>
      </c>
      <c r="J416" s="270">
        <v>47.27</v>
      </c>
      <c r="K416" s="270">
        <v>0</v>
      </c>
      <c r="L416" s="202">
        <v>798.88300000000004</v>
      </c>
      <c r="M416" s="277">
        <v>638.75387220859989</v>
      </c>
      <c r="N416" s="202">
        <v>1791.2</v>
      </c>
      <c r="O416" s="270">
        <v>11.64</v>
      </c>
      <c r="P416" s="270">
        <v>-7.0000000000000284E-2</v>
      </c>
      <c r="Q416" s="202">
        <v>2022.5650000000001</v>
      </c>
      <c r="R416" s="199">
        <v>0.80006526898734176</v>
      </c>
      <c r="S416" s="202">
        <v>505.43499999999995</v>
      </c>
      <c r="T416" s="286">
        <v>589.72966666666662</v>
      </c>
      <c r="U416" s="275"/>
      <c r="V416" s="278">
        <v>18.977</v>
      </c>
      <c r="W416" s="278">
        <v>34.08</v>
      </c>
      <c r="X416" s="278">
        <v>20.190000000000001</v>
      </c>
      <c r="Y416" s="278">
        <v>30.835000000000001</v>
      </c>
      <c r="Z416" s="278"/>
      <c r="AB416" s="278">
        <v>35.844000000000001</v>
      </c>
      <c r="AC416" s="278">
        <v>13.914</v>
      </c>
      <c r="AD416" s="279">
        <v>153.84</v>
      </c>
      <c r="AE416" s="278">
        <f t="shared" si="96"/>
        <v>153.83999999999997</v>
      </c>
      <c r="AF416" s="278">
        <f t="shared" si="97"/>
        <v>0</v>
      </c>
      <c r="AG416" s="278">
        <f t="shared" si="95"/>
        <v>0</v>
      </c>
      <c r="AH416" s="202">
        <f t="shared" si="92"/>
        <v>3.6750000000000043</v>
      </c>
      <c r="AI416" s="202">
        <f t="shared" si="93"/>
        <v>58.910000000000004</v>
      </c>
      <c r="AJ416" s="275"/>
      <c r="AK416" s="275"/>
      <c r="AL416" s="295"/>
      <c r="AM416" s="275"/>
      <c r="AN416" s="275"/>
      <c r="AO416" s="275"/>
      <c r="AP416" s="275"/>
      <c r="AQ416" s="275"/>
      <c r="AR416" s="275"/>
      <c r="AS416" s="275"/>
      <c r="AT416" s="275"/>
      <c r="AU416" s="275"/>
      <c r="AV416" s="275"/>
      <c r="AW416" s="275"/>
      <c r="AX416" s="275"/>
      <c r="AY416" s="275"/>
      <c r="AZ416" s="275"/>
      <c r="BA416" s="275"/>
      <c r="BB416" s="275"/>
      <c r="BC416" s="275"/>
      <c r="BE416" s="274">
        <f t="shared" si="98"/>
        <v>4.9625806451612906</v>
      </c>
      <c r="BF416" s="280">
        <f t="shared" si="102"/>
        <v>149.62700000000001</v>
      </c>
      <c r="BG416" s="154" t="str">
        <f t="shared" si="103"/>
        <v>RECORD</v>
      </c>
      <c r="BH416" s="270">
        <f t="shared" si="101"/>
        <v>6.2000000000000097E-2</v>
      </c>
      <c r="BI416" s="270">
        <f t="shared" si="94"/>
        <v>2.000000000000135E-2</v>
      </c>
    </row>
    <row r="417" spans="1:63">
      <c r="A417" s="266">
        <v>41730</v>
      </c>
      <c r="B417" s="266"/>
      <c r="C417" s="292">
        <v>0.21353122916451259</v>
      </c>
      <c r="D417" s="293">
        <v>6.405936874935378</v>
      </c>
      <c r="E417" s="290">
        <v>5.4541612903225811</v>
      </c>
      <c r="F417" s="277">
        <f t="shared" si="105"/>
        <v>163.62483870967742</v>
      </c>
      <c r="G417" s="277">
        <v>132.667</v>
      </c>
      <c r="H417" s="281">
        <f t="shared" si="104"/>
        <v>0.81079988250068513</v>
      </c>
      <c r="I417" s="202">
        <v>3152.0239999999999</v>
      </c>
      <c r="J417" s="270">
        <v>47.52</v>
      </c>
      <c r="K417" s="270">
        <v>0</v>
      </c>
      <c r="L417" s="202">
        <v>670.45500000000004</v>
      </c>
      <c r="M417" s="277">
        <v>260.0530042419</v>
      </c>
      <c r="N417" s="202">
        <v>1555.5</v>
      </c>
      <c r="O417" s="270">
        <v>11.72</v>
      </c>
      <c r="P417" s="270">
        <v>-7.0000000000000284E-2</v>
      </c>
      <c r="Q417" s="202">
        <v>2057.6350000000002</v>
      </c>
      <c r="R417" s="199">
        <v>0.80001360808709188</v>
      </c>
      <c r="S417" s="202">
        <v>514.36499999999978</v>
      </c>
      <c r="T417" s="286">
        <v>615.66</v>
      </c>
      <c r="U417" s="275"/>
      <c r="V417" s="278">
        <v>16.148</v>
      </c>
      <c r="W417" s="278">
        <v>29.712</v>
      </c>
      <c r="X417" s="278">
        <v>16.081</v>
      </c>
      <c r="Y417" s="278">
        <v>27.302</v>
      </c>
      <c r="Z417" s="278"/>
      <c r="AB417" s="278">
        <v>32.116</v>
      </c>
      <c r="AC417" s="278">
        <v>11.308</v>
      </c>
      <c r="AD417" s="279">
        <v>132.667</v>
      </c>
      <c r="AE417" s="278">
        <f t="shared" si="96"/>
        <v>132.667</v>
      </c>
      <c r="AF417" s="278">
        <f t="shared" si="97"/>
        <v>0</v>
      </c>
      <c r="AG417" s="278">
        <f t="shared" si="95"/>
        <v>0</v>
      </c>
      <c r="AH417" s="202">
        <f t="shared" si="92"/>
        <v>-3.7280000000000015</v>
      </c>
      <c r="AI417" s="202">
        <f t="shared" si="93"/>
        <v>59.24</v>
      </c>
      <c r="AJ417" s="275"/>
      <c r="AK417" s="275"/>
      <c r="AL417" s="295"/>
      <c r="AM417" s="275"/>
      <c r="AN417" s="275"/>
      <c r="AO417" s="275"/>
      <c r="AP417" s="275"/>
      <c r="AQ417" s="275"/>
      <c r="AR417" s="275"/>
      <c r="AS417" s="275"/>
      <c r="AT417" s="275"/>
      <c r="AU417" s="275"/>
      <c r="AV417" s="275"/>
      <c r="AW417" s="275"/>
      <c r="AX417" s="275"/>
      <c r="AY417" s="275"/>
      <c r="AZ417" s="275"/>
      <c r="BA417" s="275"/>
      <c r="BB417" s="275"/>
      <c r="BC417" s="275"/>
      <c r="BE417" s="274">
        <f>G417/30</f>
        <v>4.4222333333333337</v>
      </c>
      <c r="BF417" s="280">
        <f t="shared" si="102"/>
        <v>139.96600000000001</v>
      </c>
      <c r="BG417" s="154" t="str">
        <f t="shared" si="103"/>
        <v/>
      </c>
      <c r="BH417" s="270">
        <f t="shared" si="101"/>
        <v>-1.3308543186632349E-2</v>
      </c>
      <c r="BI417" s="270">
        <f t="shared" si="94"/>
        <v>8.0000000000000071E-2</v>
      </c>
    </row>
    <row r="418" spans="1:63">
      <c r="A418" s="266">
        <v>41760</v>
      </c>
      <c r="B418" s="266"/>
      <c r="C418" s="292">
        <v>0.20065723906270247</v>
      </c>
      <c r="D418" s="293">
        <v>6.2203744109437764</v>
      </c>
      <c r="E418" s="290">
        <v>5.4541612903225811</v>
      </c>
      <c r="F418" s="277">
        <f t="shared" si="105"/>
        <v>169.07900000000001</v>
      </c>
      <c r="G418" s="277">
        <v>128.82400000000001</v>
      </c>
      <c r="H418" s="281">
        <f t="shared" si="104"/>
        <v>0.76191602741913544</v>
      </c>
      <c r="I418" s="202">
        <v>3043.732</v>
      </c>
      <c r="J418" s="270">
        <v>47.25</v>
      </c>
      <c r="K418" s="270">
        <v>0</v>
      </c>
      <c r="L418" s="202">
        <v>465.30099999999999</v>
      </c>
      <c r="M418" s="277">
        <v>282.47415399439996</v>
      </c>
      <c r="N418" s="202">
        <v>1520.8</v>
      </c>
      <c r="O418" s="270">
        <v>11.81</v>
      </c>
      <c r="P418" s="270">
        <v>-7.0000000000000284E-2</v>
      </c>
      <c r="Q418" s="202">
        <v>1970.136</v>
      </c>
      <c r="R418" s="199">
        <v>0.79989281364190012</v>
      </c>
      <c r="S418" s="202">
        <v>492.86400000000003</v>
      </c>
      <c r="T418" s="286">
        <v>603.66533333333348</v>
      </c>
      <c r="U418" s="275"/>
      <c r="V418" s="278">
        <v>14.388999999999999</v>
      </c>
      <c r="W418" s="278">
        <v>24.748000000000001</v>
      </c>
      <c r="X418" s="278">
        <v>17.943999999999999</v>
      </c>
      <c r="Y418" s="278">
        <v>26.821000000000002</v>
      </c>
      <c r="Z418" s="278"/>
      <c r="AB418" s="278">
        <v>31.742999999999999</v>
      </c>
      <c r="AC418" s="278">
        <v>13.18</v>
      </c>
      <c r="AD418" s="279">
        <v>128.82400000000001</v>
      </c>
      <c r="AE418" s="278">
        <f t="shared" si="96"/>
        <v>128.82499999999999</v>
      </c>
      <c r="AF418" s="278">
        <f t="shared" si="97"/>
        <v>9.9999999997635314E-4</v>
      </c>
      <c r="AG418" s="278">
        <f t="shared" si="95"/>
        <v>9.9999999997635314E-4</v>
      </c>
      <c r="AH418" s="202">
        <f t="shared" si="92"/>
        <v>-0.37300000000000111</v>
      </c>
      <c r="AI418" s="202">
        <f t="shared" si="93"/>
        <v>59.06</v>
      </c>
      <c r="AJ418" s="275"/>
      <c r="AK418" s="275"/>
      <c r="AL418" s="295"/>
      <c r="AM418" s="275"/>
      <c r="AN418" s="275"/>
      <c r="AO418" s="275"/>
      <c r="AP418" s="275"/>
      <c r="AQ418" s="275"/>
      <c r="AR418" s="275"/>
      <c r="AS418" s="275"/>
      <c r="AT418" s="275"/>
      <c r="AU418" s="275"/>
      <c r="AV418" s="275"/>
      <c r="AW418" s="275"/>
      <c r="AX418" s="275"/>
      <c r="AY418" s="275"/>
      <c r="AZ418" s="275"/>
      <c r="BA418" s="275"/>
      <c r="BB418" s="275"/>
      <c r="BC418" s="275"/>
      <c r="BE418" s="274">
        <f t="shared" si="98"/>
        <v>4.1556129032258067</v>
      </c>
      <c r="BF418" s="280">
        <f t="shared" si="102"/>
        <v>144.00200000000001</v>
      </c>
      <c r="BG418" s="154" t="str">
        <f t="shared" si="103"/>
        <v/>
      </c>
      <c r="BH418" s="270">
        <f t="shared" si="101"/>
        <v>2.9308543186632362E-2</v>
      </c>
      <c r="BI418" s="270">
        <f t="shared" si="94"/>
        <v>8.9999999999999858E-2</v>
      </c>
    </row>
    <row r="419" spans="1:63">
      <c r="A419" s="266">
        <v>41791</v>
      </c>
      <c r="B419" s="266"/>
      <c r="C419" s="292">
        <v>0.19107992540686591</v>
      </c>
      <c r="D419" s="293">
        <v>5.7323977622059772</v>
      </c>
      <c r="E419" s="290">
        <v>5.4541612903225811</v>
      </c>
      <c r="F419" s="277">
        <f t="shared" si="105"/>
        <v>163.62483870967742</v>
      </c>
      <c r="G419" s="277">
        <v>118.718</v>
      </c>
      <c r="H419" s="281">
        <f t="shared" si="104"/>
        <v>0.72554998945266214</v>
      </c>
      <c r="I419" s="202">
        <v>2805.4119999999998</v>
      </c>
      <c r="J419" s="270">
        <v>47.26</v>
      </c>
      <c r="K419" s="270">
        <v>0</v>
      </c>
      <c r="L419" s="202">
        <v>388.11200000000002</v>
      </c>
      <c r="M419" s="277">
        <v>227.53541759709998</v>
      </c>
      <c r="N419" s="202">
        <v>1401.1</v>
      </c>
      <c r="O419" s="270">
        <v>11.8</v>
      </c>
      <c r="P419" s="270">
        <v>-7.0000000000000284E-2</v>
      </c>
      <c r="Q419" s="202">
        <v>1847.0409999999999</v>
      </c>
      <c r="R419" s="199">
        <v>0.79993113902122126</v>
      </c>
      <c r="S419" s="202">
        <v>461.95900000000006</v>
      </c>
      <c r="T419" s="286">
        <v>572.24199999999985</v>
      </c>
      <c r="U419" s="275"/>
      <c r="V419" s="278">
        <v>12.785</v>
      </c>
      <c r="W419" s="278">
        <v>22.911999999999999</v>
      </c>
      <c r="X419" s="278">
        <v>16.474</v>
      </c>
      <c r="Y419" s="278">
        <v>23.292000000000002</v>
      </c>
      <c r="Z419" s="278"/>
      <c r="AB419" s="278">
        <v>30.995999999999999</v>
      </c>
      <c r="AC419" s="278">
        <v>12.257999999999999</v>
      </c>
      <c r="AD419" s="279">
        <v>118.718</v>
      </c>
      <c r="AE419" s="278">
        <f t="shared" si="96"/>
        <v>118.717</v>
      </c>
      <c r="AF419" s="278">
        <f t="shared" si="97"/>
        <v>-1.0000000000047748E-3</v>
      </c>
      <c r="AG419" s="278">
        <f t="shared" si="95"/>
        <v>-1.0000000000047748E-3</v>
      </c>
      <c r="AH419" s="202">
        <f t="shared" si="92"/>
        <v>-0.74699999999999989</v>
      </c>
      <c r="AI419" s="202">
        <f t="shared" si="93"/>
        <v>59.06</v>
      </c>
      <c r="AJ419" s="275"/>
      <c r="AK419" s="275"/>
      <c r="AL419" s="295"/>
      <c r="AM419" s="275"/>
      <c r="AN419" s="275"/>
      <c r="AO419" s="275"/>
      <c r="AP419" s="275"/>
      <c r="AQ419" s="275"/>
      <c r="AR419" s="275"/>
      <c r="AS419" s="275"/>
      <c r="AT419" s="275"/>
      <c r="AU419" s="275"/>
      <c r="AV419" s="275"/>
      <c r="AW419" s="275"/>
      <c r="AX419" s="275"/>
      <c r="AY419" s="275"/>
      <c r="AZ419" s="275"/>
      <c r="BA419" s="275"/>
      <c r="BB419" s="275"/>
      <c r="BC419" s="275"/>
      <c r="BE419" s="274">
        <f>G419/30</f>
        <v>3.9572666666666669</v>
      </c>
      <c r="BF419" s="280">
        <f t="shared" si="102"/>
        <v>141.583</v>
      </c>
      <c r="BG419" s="154" t="str">
        <f t="shared" si="103"/>
        <v/>
      </c>
      <c r="BH419" s="270">
        <f t="shared" si="101"/>
        <v>1.1999999999999744E-2</v>
      </c>
      <c r="BI419" s="270">
        <f t="shared" si="94"/>
        <v>-9.9999999999997868E-3</v>
      </c>
    </row>
    <row r="420" spans="1:63">
      <c r="A420" s="266">
        <v>41821</v>
      </c>
      <c r="B420" s="266"/>
      <c r="C420" s="292">
        <v>0.1863210188837516</v>
      </c>
      <c r="D420" s="293">
        <v>5.7759515853962995</v>
      </c>
      <c r="E420" s="290">
        <v>5.4541612903225811</v>
      </c>
      <c r="F420" s="277">
        <f t="shared" si="105"/>
        <v>169.07900000000001</v>
      </c>
      <c r="G420" s="277">
        <v>119.62</v>
      </c>
      <c r="H420" s="281">
        <f t="shared" si="104"/>
        <v>0.70747993541480614</v>
      </c>
      <c r="I420" s="202">
        <v>2818.018</v>
      </c>
      <c r="J420" s="270">
        <v>47.12</v>
      </c>
      <c r="K420" s="270">
        <v>0</v>
      </c>
      <c r="L420" s="202">
        <v>391.78100000000001</v>
      </c>
      <c r="M420" s="277">
        <v>154.1000520961</v>
      </c>
      <c r="N420" s="202">
        <v>1422</v>
      </c>
      <c r="O420" s="270">
        <v>11.89</v>
      </c>
      <c r="P420" s="270">
        <v>-7.0000000000000284E-2</v>
      </c>
      <c r="Q420" s="202">
        <v>1589.079</v>
      </c>
      <c r="R420" s="199">
        <v>0.80014048338368582</v>
      </c>
      <c r="S420" s="202">
        <v>396.92100000000005</v>
      </c>
      <c r="T420" s="286">
        <v>584.49533333333341</v>
      </c>
      <c r="U420" s="275"/>
      <c r="V420" s="278">
        <v>14.112</v>
      </c>
      <c r="W420" s="278">
        <v>25.425000000000001</v>
      </c>
      <c r="X420" s="278">
        <v>15.368</v>
      </c>
      <c r="Y420" s="278">
        <v>24.059000000000001</v>
      </c>
      <c r="Z420" s="278"/>
      <c r="AB420" s="278">
        <v>28.26</v>
      </c>
      <c r="AC420" s="278">
        <v>12.396000000000001</v>
      </c>
      <c r="AD420" s="279">
        <v>119.62</v>
      </c>
      <c r="AE420" s="278">
        <f t="shared" si="96"/>
        <v>119.62</v>
      </c>
      <c r="AF420" s="278">
        <f t="shared" si="97"/>
        <v>0</v>
      </c>
      <c r="AG420" s="278">
        <f t="shared" si="95"/>
        <v>0</v>
      </c>
      <c r="AH420" s="202">
        <f t="shared" si="92"/>
        <v>-2.7359999999999971</v>
      </c>
      <c r="AI420" s="202">
        <f t="shared" si="93"/>
        <v>59.01</v>
      </c>
      <c r="AJ420" s="275"/>
      <c r="AK420" s="275"/>
      <c r="AL420" s="295"/>
      <c r="AM420" s="275"/>
      <c r="AN420" s="275"/>
      <c r="AO420" s="275"/>
      <c r="AP420" s="275"/>
      <c r="AQ420" s="275"/>
      <c r="AR420" s="275"/>
      <c r="AS420" s="275"/>
      <c r="AT420" s="275"/>
      <c r="AU420" s="275"/>
      <c r="AV420" s="275"/>
      <c r="AW420" s="275"/>
      <c r="AX420" s="275"/>
      <c r="AY420" s="275"/>
      <c r="AZ420" s="275"/>
      <c r="BA420" s="275"/>
      <c r="BB420" s="275"/>
      <c r="BC420" s="275"/>
      <c r="BE420" s="274">
        <f t="shared" si="98"/>
        <v>3.858709677419355</v>
      </c>
      <c r="BF420" s="280">
        <f t="shared" si="102"/>
        <v>142.626</v>
      </c>
      <c r="BG420" s="154" t="str">
        <f t="shared" si="103"/>
        <v/>
      </c>
      <c r="BH420" s="270">
        <f t="shared" si="101"/>
        <v>1.7999999999999617E-2</v>
      </c>
      <c r="BI420" s="270">
        <f t="shared" si="94"/>
        <v>8.9999999999999858E-2</v>
      </c>
    </row>
    <row r="421" spans="1:63">
      <c r="A421" s="266">
        <v>41852</v>
      </c>
      <c r="B421" s="266"/>
      <c r="C421" s="292">
        <v>0.17232279954995897</v>
      </c>
      <c r="D421" s="293">
        <v>5.3420067860487279</v>
      </c>
      <c r="E421" s="290">
        <v>5.4541612903225811</v>
      </c>
      <c r="F421" s="277">
        <f t="shared" si="105"/>
        <v>169.07900000000001</v>
      </c>
      <c r="G421" s="277">
        <v>110.633</v>
      </c>
      <c r="H421" s="281">
        <f t="shared" si="104"/>
        <v>0.65432726713548095</v>
      </c>
      <c r="I421" s="202">
        <v>2604.1770000000001</v>
      </c>
      <c r="J421" s="270">
        <v>47.08</v>
      </c>
      <c r="K421" s="270">
        <v>0</v>
      </c>
      <c r="L421" s="202">
        <v>263.44</v>
      </c>
      <c r="M421" s="277">
        <v>184.33845956689999</v>
      </c>
      <c r="N421" s="202">
        <v>1304.3</v>
      </c>
      <c r="O421" s="270">
        <v>11.79</v>
      </c>
      <c r="P421" s="270">
        <v>-7.0000000000000284E-2</v>
      </c>
      <c r="Q421" s="202">
        <v>1213.5029999999999</v>
      </c>
      <c r="R421" s="199">
        <v>0.79993605800922873</v>
      </c>
      <c r="S421" s="202">
        <v>303.49700000000007</v>
      </c>
      <c r="T421" s="286">
        <v>523.37133333333338</v>
      </c>
      <c r="U421" s="275"/>
      <c r="V421" s="278">
        <v>12.244999999999999</v>
      </c>
      <c r="W421" s="278">
        <v>23.832999999999998</v>
      </c>
      <c r="X421" s="278">
        <v>15.223000000000001</v>
      </c>
      <c r="Y421" s="278">
        <v>20.029</v>
      </c>
      <c r="Z421" s="278"/>
      <c r="AB421" s="278">
        <v>26.827999999999999</v>
      </c>
      <c r="AC421" s="278">
        <v>12.475</v>
      </c>
      <c r="AD421" s="279">
        <v>110.633</v>
      </c>
      <c r="AE421" s="278">
        <f t="shared" si="96"/>
        <v>110.633</v>
      </c>
      <c r="AF421" s="278">
        <f t="shared" si="97"/>
        <v>0</v>
      </c>
      <c r="AG421" s="278">
        <f t="shared" si="95"/>
        <v>0</v>
      </c>
      <c r="AH421" s="202">
        <f t="shared" si="92"/>
        <v>-1.4320000000000022</v>
      </c>
      <c r="AI421" s="202">
        <f t="shared" si="93"/>
        <v>58.87</v>
      </c>
      <c r="AJ421" s="275"/>
      <c r="AK421" s="275"/>
      <c r="AL421" s="295"/>
      <c r="AM421" s="275"/>
      <c r="AN421" s="275"/>
      <c r="AO421" s="275"/>
      <c r="AP421" s="275"/>
      <c r="AQ421" s="275"/>
      <c r="AR421" s="275"/>
      <c r="AS421" s="275"/>
      <c r="AT421" s="275"/>
      <c r="AU421" s="275"/>
      <c r="AV421" s="275"/>
      <c r="AW421" s="275"/>
      <c r="AX421" s="275"/>
      <c r="AY421" s="275"/>
      <c r="AZ421" s="275"/>
      <c r="BA421" s="275"/>
      <c r="BB421" s="275"/>
      <c r="BC421" s="275"/>
      <c r="BE421" s="274">
        <f t="shared" si="98"/>
        <v>3.568806451612903</v>
      </c>
      <c r="BF421" s="280">
        <f t="shared" si="102"/>
        <v>137.56399999999999</v>
      </c>
      <c r="BG421" s="154" t="str">
        <f t="shared" si="103"/>
        <v/>
      </c>
      <c r="BH421" s="270">
        <f t="shared" si="101"/>
        <v>1.8000000000000328E-2</v>
      </c>
      <c r="BI421" s="270">
        <f t="shared" si="94"/>
        <v>-0.10000000000000142</v>
      </c>
    </row>
    <row r="422" spans="1:63">
      <c r="A422" s="266">
        <v>41883</v>
      </c>
      <c r="B422" s="266"/>
      <c r="C422" s="292">
        <v>0.14795559999999977</v>
      </c>
      <c r="D422" s="293">
        <v>4.4386679999999927</v>
      </c>
      <c r="E422" s="290">
        <v>5.4541612903225811</v>
      </c>
      <c r="F422" s="277">
        <f t="shared" si="105"/>
        <v>163.62483870967742</v>
      </c>
      <c r="G422" s="277">
        <v>99.97</v>
      </c>
      <c r="H422" s="281">
        <f t="shared" si="104"/>
        <v>0.61097080851751739</v>
      </c>
      <c r="I422" s="202">
        <v>2345.6880000000001</v>
      </c>
      <c r="J422" s="270">
        <v>46.93</v>
      </c>
      <c r="K422" s="270">
        <v>0</v>
      </c>
      <c r="L422" s="202">
        <v>308.51499999999999</v>
      </c>
      <c r="M422" s="277">
        <v>122.99456174900001</v>
      </c>
      <c r="N422" s="202">
        <v>1174.4000000000001</v>
      </c>
      <c r="O422" s="270">
        <v>11.75</v>
      </c>
      <c r="P422" s="270">
        <v>-7.0000000000000284E-2</v>
      </c>
      <c r="Q422" s="202">
        <v>936.88</v>
      </c>
      <c r="R422" s="199">
        <v>0.80418884120171674</v>
      </c>
      <c r="S422" s="202">
        <v>228.12</v>
      </c>
      <c r="T422" s="286">
        <v>512.71500000000003</v>
      </c>
      <c r="U422" s="275"/>
      <c r="V422" s="278">
        <v>11.798999999999999</v>
      </c>
      <c r="W422" s="278">
        <v>25.32</v>
      </c>
      <c r="X422" s="278">
        <v>12.038</v>
      </c>
      <c r="Y422" s="278">
        <v>18.283000000000001</v>
      </c>
      <c r="Z422" s="278"/>
      <c r="AB422" s="278">
        <v>20.774999999999999</v>
      </c>
      <c r="AC422" s="278">
        <v>11.754</v>
      </c>
      <c r="AD422" s="279">
        <v>99.97</v>
      </c>
      <c r="AE422" s="278">
        <f t="shared" si="96"/>
        <v>99.969000000000008</v>
      </c>
      <c r="AF422" s="278">
        <f t="shared" si="97"/>
        <v>-9.9999999999056399E-4</v>
      </c>
      <c r="AG422" s="278">
        <f t="shared" si="95"/>
        <v>-9.9999999999056399E-4</v>
      </c>
      <c r="AH422" s="202">
        <f t="shared" si="92"/>
        <v>-6.0530000000000008</v>
      </c>
      <c r="AI422" s="202">
        <f t="shared" si="93"/>
        <v>58.68</v>
      </c>
      <c r="AJ422" s="275"/>
      <c r="AK422" s="275"/>
      <c r="AL422" s="295"/>
      <c r="AM422" s="275"/>
      <c r="AN422" s="275"/>
      <c r="AO422" s="275"/>
      <c r="AP422" s="275"/>
      <c r="AQ422" s="275"/>
      <c r="BE422" s="274">
        <f>G422/30</f>
        <v>3.3323333333333331</v>
      </c>
      <c r="BF422" s="280">
        <f t="shared" si="102"/>
        <v>139.82900000000001</v>
      </c>
      <c r="BG422" s="154" t="str">
        <f t="shared" si="103"/>
        <v/>
      </c>
      <c r="BH422" s="270">
        <f t="shared" si="101"/>
        <v>4.8000000000000043E-2</v>
      </c>
      <c r="BI422" s="270">
        <f t="shared" si="94"/>
        <v>-3.9999999999999147E-2</v>
      </c>
    </row>
    <row r="423" spans="1:63">
      <c r="A423" s="266">
        <v>41913</v>
      </c>
      <c r="B423" s="290"/>
      <c r="C423" s="292">
        <v>0.24458322580645223</v>
      </c>
      <c r="D423" s="293">
        <v>7.582080000000019</v>
      </c>
      <c r="E423" s="290">
        <v>5.4541612903225811</v>
      </c>
      <c r="F423" s="277">
        <f t="shared" si="105"/>
        <v>169.07900000000001</v>
      </c>
      <c r="G423" s="277">
        <v>157.96</v>
      </c>
      <c r="H423" s="281">
        <f t="shared" si="104"/>
        <v>0.93423784148238398</v>
      </c>
      <c r="I423" s="202">
        <v>3719.4870000000001</v>
      </c>
      <c r="J423" s="270">
        <v>47.09</v>
      </c>
      <c r="K423" s="270">
        <v>-4.9999999999997158E-2</v>
      </c>
      <c r="L423" s="202">
        <v>707.93399999999997</v>
      </c>
      <c r="M423" s="277">
        <v>185.66428060509998</v>
      </c>
      <c r="N423" s="202">
        <v>1803.9</v>
      </c>
      <c r="O423" s="270">
        <v>11.42</v>
      </c>
      <c r="P423" s="270">
        <v>-8.0000000000000071E-2</v>
      </c>
      <c r="Q423" s="202">
        <v>966.06200000000001</v>
      </c>
      <c r="R423" s="199">
        <v>0.7500481366459627</v>
      </c>
      <c r="S423" s="202">
        <v>321.93799999999999</v>
      </c>
      <c r="T423" s="286">
        <v>485.31500000000011</v>
      </c>
      <c r="U423" s="275"/>
      <c r="V423" s="278">
        <v>20.446000000000002</v>
      </c>
      <c r="W423" s="278">
        <v>36.826000000000001</v>
      </c>
      <c r="X423" s="278">
        <v>20.189</v>
      </c>
      <c r="Y423" s="278">
        <v>30.911999999999999</v>
      </c>
      <c r="Z423" s="278"/>
      <c r="AB423" s="278">
        <v>34.381</v>
      </c>
      <c r="AC423" s="278">
        <v>15.205</v>
      </c>
      <c r="AD423" s="279">
        <v>157.96</v>
      </c>
      <c r="AE423" s="278">
        <f t="shared" si="96"/>
        <v>157.95900000000003</v>
      </c>
      <c r="AF423" s="278">
        <f t="shared" si="97"/>
        <v>-9.9999999997635314E-4</v>
      </c>
      <c r="AG423" s="278">
        <f t="shared" si="95"/>
        <v>-9.9999999997635314E-4</v>
      </c>
      <c r="AH423" s="202">
        <f t="shared" si="92"/>
        <v>13.606000000000002</v>
      </c>
      <c r="AI423" s="202">
        <f t="shared" si="93"/>
        <v>58.510000000000005</v>
      </c>
      <c r="AJ423" s="275"/>
      <c r="AK423" s="275"/>
      <c r="AL423" s="295"/>
      <c r="AM423" s="275"/>
      <c r="AN423" s="275"/>
      <c r="AO423" s="275"/>
      <c r="AP423" s="275"/>
      <c r="AQ423" s="275"/>
      <c r="BE423" s="274">
        <f t="shared" si="98"/>
        <v>5.0954838709677421</v>
      </c>
      <c r="BF423" s="280">
        <f t="shared" si="102"/>
        <v>157.06299999999999</v>
      </c>
      <c r="BG423" s="154" t="str">
        <f t="shared" si="103"/>
        <v>RECORD</v>
      </c>
      <c r="BH423" s="270">
        <f t="shared" si="101"/>
        <v>-0.12599999999999981</v>
      </c>
      <c r="BI423" s="270">
        <f t="shared" si="94"/>
        <v>-0.33000000000000007</v>
      </c>
    </row>
    <row r="424" spans="1:63">
      <c r="A424" s="266">
        <v>41944</v>
      </c>
      <c r="B424" s="290"/>
      <c r="C424" s="292">
        <v>0.2579376000000006</v>
      </c>
      <c r="D424" s="293">
        <v>7.7381280000000174</v>
      </c>
      <c r="E424" s="290">
        <v>5.4541612903225811</v>
      </c>
      <c r="F424" s="277">
        <f t="shared" si="105"/>
        <v>163.62483870967742</v>
      </c>
      <c r="G424" s="277">
        <v>161.21100000000001</v>
      </c>
      <c r="H424" s="281">
        <f t="shared" si="104"/>
        <v>0.9852477244365061</v>
      </c>
      <c r="I424" s="202">
        <v>3796.4250000000002</v>
      </c>
      <c r="J424" s="270">
        <v>47.1</v>
      </c>
      <c r="K424" s="270">
        <v>-4.9999999999997158E-2</v>
      </c>
      <c r="L424" s="202">
        <v>834.98699999999997</v>
      </c>
      <c r="M424" s="277">
        <v>473.87432144949992</v>
      </c>
      <c r="N424" s="202">
        <v>1790.2</v>
      </c>
      <c r="O424" s="270">
        <v>11.1</v>
      </c>
      <c r="P424" s="270">
        <v>-8.0000000000000071E-2</v>
      </c>
      <c r="Q424" s="202">
        <v>1004.582</v>
      </c>
      <c r="R424" s="199">
        <v>0.75024794622852875</v>
      </c>
      <c r="S424" s="202">
        <v>334.41800000000001</v>
      </c>
      <c r="T424" s="286">
        <v>520.77033333333327</v>
      </c>
      <c r="U424" s="275"/>
      <c r="V424" s="278">
        <v>19.620999999999999</v>
      </c>
      <c r="W424" s="278">
        <v>36.482999999999997</v>
      </c>
      <c r="X424" s="278">
        <v>20.908999999999999</v>
      </c>
      <c r="Y424" s="278">
        <v>32.542999999999999</v>
      </c>
      <c r="Z424" s="278"/>
      <c r="AB424" s="278">
        <v>35.779000000000003</v>
      </c>
      <c r="AC424" s="278">
        <v>15.877000000000001</v>
      </c>
      <c r="AD424" s="279">
        <v>161.21100000000001</v>
      </c>
      <c r="AE424" s="278">
        <f t="shared" si="96"/>
        <v>161.21200000000002</v>
      </c>
      <c r="AF424" s="278">
        <f t="shared" si="97"/>
        <v>1.0000000000047748E-3</v>
      </c>
      <c r="AG424" s="278">
        <f t="shared" si="95"/>
        <v>1.0000000000047748E-3</v>
      </c>
      <c r="AH424" s="202">
        <f t="shared" si="92"/>
        <v>1.3980000000000032</v>
      </c>
      <c r="AI424" s="202">
        <f t="shared" si="93"/>
        <v>58.2</v>
      </c>
      <c r="AJ424" s="275"/>
      <c r="AK424" s="275"/>
      <c r="AL424" s="295"/>
      <c r="AM424" s="275"/>
      <c r="AN424" s="275"/>
      <c r="AO424" s="275"/>
      <c r="AP424" s="275"/>
      <c r="AQ424" s="275"/>
      <c r="BE424" s="274">
        <f>G424/30</f>
        <v>5.3737000000000004</v>
      </c>
      <c r="BF424" s="280">
        <f t="shared" si="102"/>
        <v>160.25899999999999</v>
      </c>
      <c r="BG424" s="154" t="str">
        <f t="shared" si="103"/>
        <v>RECORD</v>
      </c>
      <c r="BH424" s="270">
        <f t="shared" si="101"/>
        <v>-0.12800000000000011</v>
      </c>
      <c r="BI424" s="270">
        <f t="shared" si="94"/>
        <v>-0.32000000000000028</v>
      </c>
    </row>
    <row r="425" spans="1:63">
      <c r="A425" s="266">
        <v>41974</v>
      </c>
      <c r="B425" s="290"/>
      <c r="C425" s="292">
        <v>0.2560769032258069</v>
      </c>
      <c r="D425" s="293">
        <v>7.9383840000000134</v>
      </c>
      <c r="E425" s="290">
        <v>5.4541612903225811</v>
      </c>
      <c r="F425" s="277">
        <f t="shared" si="105"/>
        <v>169.07900000000001</v>
      </c>
      <c r="G425" s="277">
        <v>165.38300000000001</v>
      </c>
      <c r="H425" s="281">
        <f t="shared" si="104"/>
        <v>0.97814039590960444</v>
      </c>
      <c r="I425" s="202">
        <v>3906.0039999999999</v>
      </c>
      <c r="J425" s="270">
        <v>47.24</v>
      </c>
      <c r="K425" s="270">
        <v>-4.9999999999997158E-2</v>
      </c>
      <c r="L425" s="202">
        <v>1004.548</v>
      </c>
      <c r="M425" s="277">
        <v>361.62665912130001</v>
      </c>
      <c r="N425" s="202">
        <v>1849.4</v>
      </c>
      <c r="O425" s="270">
        <v>11.18</v>
      </c>
      <c r="P425" s="270">
        <v>-8.0000000000000071E-2</v>
      </c>
      <c r="Q425" s="202">
        <v>1067.5640000000001</v>
      </c>
      <c r="R425" s="199">
        <v>0.75022066057624737</v>
      </c>
      <c r="S425" s="202">
        <v>355.43599999999992</v>
      </c>
      <c r="T425" s="286">
        <v>517.57000000000005</v>
      </c>
      <c r="U425" s="275"/>
      <c r="V425" s="278">
        <v>20.827000000000002</v>
      </c>
      <c r="W425" s="278">
        <v>37.448999999999998</v>
      </c>
      <c r="X425" s="278">
        <v>21.824999999999999</v>
      </c>
      <c r="Y425" s="278">
        <v>32.357999999999997</v>
      </c>
      <c r="Z425" s="278"/>
      <c r="AB425" s="278">
        <v>36.845999999999997</v>
      </c>
      <c r="AC425" s="278">
        <v>16.077999999999999</v>
      </c>
      <c r="AD425" s="279">
        <v>165.38300000000001</v>
      </c>
      <c r="AE425" s="278">
        <f t="shared" si="96"/>
        <v>165.38300000000001</v>
      </c>
      <c r="AF425" s="278">
        <f t="shared" si="97"/>
        <v>0</v>
      </c>
      <c r="AG425" s="278">
        <f t="shared" si="95"/>
        <v>0</v>
      </c>
      <c r="AH425" s="202">
        <f t="shared" si="92"/>
        <v>1.0669999999999931</v>
      </c>
      <c r="AI425" s="202">
        <f t="shared" si="93"/>
        <v>58.42</v>
      </c>
      <c r="AJ425" s="275"/>
      <c r="AK425" s="275"/>
      <c r="AL425" s="295"/>
      <c r="AM425" s="275"/>
      <c r="AN425" s="275"/>
      <c r="AO425" s="275"/>
      <c r="AP425" s="275"/>
      <c r="AQ425" s="275"/>
      <c r="BE425" s="274">
        <f t="shared" si="98"/>
        <v>5.3349354838709679</v>
      </c>
      <c r="BF425" s="280">
        <f t="shared" si="102"/>
        <v>165.38399999999999</v>
      </c>
      <c r="BG425" s="154" t="str">
        <f t="shared" si="103"/>
        <v/>
      </c>
      <c r="BH425" s="270">
        <f t="shared" si="101"/>
        <v>1.1999999999999744E-2</v>
      </c>
      <c r="BI425" s="270">
        <f t="shared" si="94"/>
        <v>8.0000000000000071E-2</v>
      </c>
    </row>
    <row r="426" spans="1:63">
      <c r="A426" s="266">
        <v>42005</v>
      </c>
      <c r="B426" s="290"/>
      <c r="C426" s="292">
        <v>0.25188387096774212</v>
      </c>
      <c r="D426" s="293">
        <v>7.808400000000006</v>
      </c>
      <c r="E426" s="290">
        <v>5.4541612903225811</v>
      </c>
      <c r="F426" s="277">
        <f t="shared" si="105"/>
        <v>169.07900000000001</v>
      </c>
      <c r="G426" s="277">
        <v>162.67500000000001</v>
      </c>
      <c r="H426" s="281">
        <f t="shared" si="104"/>
        <v>0.96212421412475824</v>
      </c>
      <c r="I426" s="202">
        <v>3850.2730000000001</v>
      </c>
      <c r="J426" s="270">
        <v>47.34</v>
      </c>
      <c r="K426" s="270">
        <v>-4.9999999999997158E-2</v>
      </c>
      <c r="L426" s="202">
        <v>1012.383</v>
      </c>
      <c r="M426" s="277">
        <v>514.10107854459989</v>
      </c>
      <c r="N426" s="202">
        <v>1823.9</v>
      </c>
      <c r="O426" s="270">
        <v>11.21</v>
      </c>
      <c r="P426" s="270">
        <v>-8.0000000000000071E-2</v>
      </c>
      <c r="Q426" s="202">
        <v>1228.0650000000001</v>
      </c>
      <c r="R426" s="199">
        <v>0.75019242516799023</v>
      </c>
      <c r="S426" s="202">
        <v>408.93499999999995</v>
      </c>
      <c r="T426" s="286">
        <v>500.21033333333344</v>
      </c>
      <c r="U426" s="275"/>
      <c r="V426" s="278">
        <v>20.175999999999998</v>
      </c>
      <c r="W426" s="278">
        <v>36.325000000000003</v>
      </c>
      <c r="X426" s="278">
        <v>22.084</v>
      </c>
      <c r="Y426" s="278">
        <v>32.661999999999999</v>
      </c>
      <c r="Z426" s="278"/>
      <c r="AB426" s="278">
        <v>36.192999999999998</v>
      </c>
      <c r="AC426" s="278">
        <v>15.234999999999999</v>
      </c>
      <c r="AD426" s="279">
        <v>162.67500000000001</v>
      </c>
      <c r="AE426" s="278">
        <f t="shared" si="96"/>
        <v>162.67500000000001</v>
      </c>
      <c r="AF426" s="278">
        <f t="shared" si="97"/>
        <v>0</v>
      </c>
      <c r="AG426" s="278">
        <f t="shared" si="95"/>
        <v>0</v>
      </c>
      <c r="AH426" s="202">
        <f t="shared" si="92"/>
        <v>-0.65299999999999869</v>
      </c>
      <c r="AI426" s="202">
        <f t="shared" si="93"/>
        <v>58.550000000000004</v>
      </c>
      <c r="AJ426" s="275"/>
      <c r="AK426" s="275"/>
      <c r="AL426" s="295"/>
      <c r="AM426" s="275"/>
      <c r="AN426" s="275"/>
      <c r="AO426" s="275"/>
      <c r="AP426" s="275"/>
      <c r="AQ426" s="275"/>
      <c r="BE426" s="274">
        <f t="shared" si="98"/>
        <v>5.2475806451612907</v>
      </c>
      <c r="BF426" s="280">
        <f t="shared" ref="BF426:BF459" si="106">MAX(G414,G402,G390,G378,G366,G354,G342,G330,G318,G306,G294,G282,G270,G258,G246,G234,G222,G210,G198,G186,G174,G162,G150)</f>
        <v>162.39699999999999</v>
      </c>
      <c r="BG426" s="154" t="str">
        <f t="shared" ref="BG426:BG459" si="107">IF(G426&gt;BF426,"RECORD","")</f>
        <v>RECORD</v>
      </c>
      <c r="BH426" s="270">
        <f t="shared" si="101"/>
        <v>7.2000000000000244E-2</v>
      </c>
      <c r="BI426" s="270">
        <f t="shared" si="94"/>
        <v>3.0000000000001137E-2</v>
      </c>
    </row>
    <row r="427" spans="1:63">
      <c r="A427" s="266">
        <v>42036</v>
      </c>
      <c r="B427" s="290"/>
      <c r="C427" s="296">
        <v>0.25194857142857174</v>
      </c>
      <c r="D427" s="297">
        <v>7.0545600000000093</v>
      </c>
      <c r="E427" s="290">
        <v>5.4541612903225811</v>
      </c>
      <c r="F427" s="277">
        <f t="shared" si="105"/>
        <v>152.71651612903227</v>
      </c>
      <c r="G427" s="277">
        <v>146.97</v>
      </c>
      <c r="H427" s="281">
        <f t="shared" si="104"/>
        <v>0.96237135134632745</v>
      </c>
      <c r="I427" s="202">
        <v>3477.9250000000002</v>
      </c>
      <c r="J427" s="270">
        <v>47.33</v>
      </c>
      <c r="K427" s="270">
        <v>-4.9999999999997158E-2</v>
      </c>
      <c r="L427" s="202">
        <v>791.53200000000004</v>
      </c>
      <c r="M427" s="277">
        <v>464.41177958349988</v>
      </c>
      <c r="N427" s="202">
        <v>1653.4</v>
      </c>
      <c r="O427" s="270">
        <v>11.25</v>
      </c>
      <c r="P427" s="270">
        <v>-8.0000000000000071E-2</v>
      </c>
      <c r="Q427" s="202">
        <v>1322.0550000000001</v>
      </c>
      <c r="R427" s="199">
        <v>0.74988939307997737</v>
      </c>
      <c r="S427" s="202">
        <v>440.94499999999994</v>
      </c>
      <c r="T427" s="286">
        <v>492.50933333333325</v>
      </c>
      <c r="U427" s="275"/>
      <c r="V427" s="278">
        <v>18.670999999999999</v>
      </c>
      <c r="W427" s="278">
        <v>32.735999999999997</v>
      </c>
      <c r="X427" s="278">
        <v>19.04</v>
      </c>
      <c r="Y427" s="278">
        <v>29.47</v>
      </c>
      <c r="Z427" s="278"/>
      <c r="AB427" s="278">
        <v>32.542999999999999</v>
      </c>
      <c r="AC427" s="278">
        <v>14.51</v>
      </c>
      <c r="AD427" s="279">
        <v>146.97</v>
      </c>
      <c r="AE427" s="278">
        <f t="shared" si="96"/>
        <v>146.97</v>
      </c>
      <c r="AF427" s="278">
        <f t="shared" si="97"/>
        <v>0</v>
      </c>
      <c r="AG427" s="278">
        <f t="shared" si="95"/>
        <v>0</v>
      </c>
      <c r="AH427" s="202">
        <f t="shared" si="92"/>
        <v>-3.6499999999999986</v>
      </c>
      <c r="AI427" s="202">
        <f t="shared" si="93"/>
        <v>58.58</v>
      </c>
      <c r="AJ427" s="275"/>
      <c r="AK427" s="285">
        <v>4.2</v>
      </c>
      <c r="AL427" s="295" t="s">
        <v>42</v>
      </c>
      <c r="AM427" s="275"/>
      <c r="AN427" s="275"/>
      <c r="AO427" s="275"/>
      <c r="AP427" s="275"/>
      <c r="AQ427" s="275"/>
      <c r="BE427" s="274">
        <f>G427/28</f>
        <v>5.2489285714285714</v>
      </c>
      <c r="BF427" s="280">
        <f t="shared" si="106"/>
        <v>148.351</v>
      </c>
      <c r="BG427" s="154" t="str">
        <f t="shared" si="107"/>
        <v/>
      </c>
      <c r="BH427" s="270">
        <f t="shared" si="101"/>
        <v>3.7999999999999902E-2</v>
      </c>
      <c r="BI427" s="270">
        <f t="shared" si="94"/>
        <v>3.9999999999999147E-2</v>
      </c>
    </row>
    <row r="428" spans="1:63">
      <c r="A428" s="266">
        <v>42064</v>
      </c>
      <c r="B428" s="290"/>
      <c r="C428" s="296">
        <v>0.2521114838709681</v>
      </c>
      <c r="D428" s="297">
        <v>7.8154560000000117</v>
      </c>
      <c r="E428" s="290">
        <v>5.4541612903225811</v>
      </c>
      <c r="F428" s="277">
        <f t="shared" si="105"/>
        <v>169.07900000000001</v>
      </c>
      <c r="G428" s="277">
        <v>162.822</v>
      </c>
      <c r="H428" s="281">
        <f t="shared" si="104"/>
        <v>0.96299363019653528</v>
      </c>
      <c r="I428" s="202">
        <v>3858.52</v>
      </c>
      <c r="J428" s="270">
        <v>47.4</v>
      </c>
      <c r="K428" s="270">
        <v>-4.9999999999997158E-2</v>
      </c>
      <c r="L428" s="202">
        <v>757.16499999999996</v>
      </c>
      <c r="M428" s="277">
        <v>512.98150566300001</v>
      </c>
      <c r="N428" s="202">
        <v>1822.6</v>
      </c>
      <c r="O428" s="270">
        <v>11.19</v>
      </c>
      <c r="P428" s="270">
        <v>-8.0000000000000071E-2</v>
      </c>
      <c r="Q428" s="202">
        <v>1419.5429999999999</v>
      </c>
      <c r="R428" s="199">
        <v>0.74989064976228204</v>
      </c>
      <c r="S428" s="202">
        <v>473.45700000000011</v>
      </c>
      <c r="T428" s="286">
        <v>558.5093333333333</v>
      </c>
      <c r="U428" s="275"/>
      <c r="V428" s="278">
        <v>20.56</v>
      </c>
      <c r="W428" s="278">
        <v>35.975999999999999</v>
      </c>
      <c r="X428" s="278">
        <v>20.914000000000001</v>
      </c>
      <c r="Y428" s="278">
        <v>32.732999999999997</v>
      </c>
      <c r="Z428" s="278"/>
      <c r="AB428" s="278">
        <v>36.747</v>
      </c>
      <c r="AC428" s="278">
        <v>15.894</v>
      </c>
      <c r="AD428" s="279">
        <v>162.822</v>
      </c>
      <c r="AE428" s="278">
        <f t="shared" si="96"/>
        <v>162.82400000000001</v>
      </c>
      <c r="AF428" s="278">
        <f t="shared" si="97"/>
        <v>2.0000000000095497E-3</v>
      </c>
      <c r="AG428" s="278">
        <f t="shared" si="95"/>
        <v>2.0000000000095497E-3</v>
      </c>
      <c r="AH428" s="202">
        <f t="shared" si="92"/>
        <v>4.2040000000000006</v>
      </c>
      <c r="AI428" s="202">
        <f t="shared" si="93"/>
        <v>58.589999999999996</v>
      </c>
      <c r="AJ428" s="275"/>
      <c r="AK428" s="275"/>
      <c r="AL428" s="275"/>
      <c r="AM428" s="275"/>
      <c r="AN428" s="275"/>
      <c r="AO428" s="275"/>
      <c r="AP428" s="275"/>
      <c r="AQ428" s="275"/>
      <c r="BE428" s="274">
        <f t="shared" si="98"/>
        <v>5.2523225806451617</v>
      </c>
      <c r="BF428" s="280">
        <f t="shared" si="106"/>
        <v>153.84</v>
      </c>
      <c r="BG428" s="154" t="str">
        <f t="shared" si="107"/>
        <v>RECORD</v>
      </c>
      <c r="BH428" s="270">
        <f t="shared" si="101"/>
        <v>6.4000000000000418E-2</v>
      </c>
      <c r="BI428" s="270">
        <f t="shared" si="94"/>
        <v>-6.0000000000000497E-2</v>
      </c>
    </row>
    <row r="429" spans="1:63">
      <c r="A429" s="266">
        <v>42095</v>
      </c>
      <c r="B429" s="290"/>
      <c r="C429" s="296">
        <v>0.24058079999999979</v>
      </c>
      <c r="D429" s="297">
        <v>7.2174239999999941</v>
      </c>
      <c r="E429" s="290">
        <v>5.4541612903225811</v>
      </c>
      <c r="F429" s="277">
        <f t="shared" si="105"/>
        <v>163.62483870967742</v>
      </c>
      <c r="G429" s="277">
        <v>150.363</v>
      </c>
      <c r="H429" s="281">
        <f t="shared" si="104"/>
        <v>0.91894972172771305</v>
      </c>
      <c r="I429" s="202">
        <v>3581.7719999999999</v>
      </c>
      <c r="J429" s="270">
        <v>47.64</v>
      </c>
      <c r="K429" s="270">
        <v>-4.9999999999997158E-2</v>
      </c>
      <c r="L429" s="202">
        <v>799.31500000000005</v>
      </c>
      <c r="M429" s="277">
        <v>447.88767381569983</v>
      </c>
      <c r="N429" s="202">
        <v>1698.4</v>
      </c>
      <c r="O429" s="270">
        <v>11.3</v>
      </c>
      <c r="P429" s="270">
        <v>-8.0000000000000071E-2</v>
      </c>
      <c r="Q429" s="202">
        <v>1440.9849999999999</v>
      </c>
      <c r="R429" s="199">
        <v>0.75012233211868817</v>
      </c>
      <c r="S429" s="202">
        <v>480.0150000000001</v>
      </c>
      <c r="T429" s="286">
        <v>615.66</v>
      </c>
      <c r="U429" s="275"/>
      <c r="V429" s="278">
        <v>19.536999999999999</v>
      </c>
      <c r="W429" s="278">
        <v>32.758000000000003</v>
      </c>
      <c r="X429" s="278">
        <v>20.151</v>
      </c>
      <c r="Y429" s="278">
        <v>30.553999999999998</v>
      </c>
      <c r="Z429" s="278"/>
      <c r="AB429" s="278">
        <v>33.295000000000002</v>
      </c>
      <c r="AC429" s="278">
        <v>14.068</v>
      </c>
      <c r="AD429" s="279">
        <v>150.363</v>
      </c>
      <c r="AE429" s="278">
        <f t="shared" si="96"/>
        <v>150.36300000000003</v>
      </c>
      <c r="AF429" s="278">
        <f t="shared" si="97"/>
        <v>0</v>
      </c>
      <c r="AG429" s="278">
        <f t="shared" si="95"/>
        <v>0</v>
      </c>
      <c r="AH429" s="202">
        <f t="shared" si="92"/>
        <v>-3.4519999999999982</v>
      </c>
      <c r="AI429" s="202">
        <f t="shared" si="93"/>
        <v>58.94</v>
      </c>
      <c r="AJ429" s="285">
        <v>23.381733072066186</v>
      </c>
      <c r="AK429" s="285">
        <v>28.58997387328543</v>
      </c>
      <c r="AL429" s="285">
        <v>19.458959285869803</v>
      </c>
      <c r="AM429" s="285">
        <v>4.4251562937389197</v>
      </c>
      <c r="AN429" s="285">
        <v>19.925579795340738</v>
      </c>
      <c r="AO429" s="285">
        <v>32.477356847376441</v>
      </c>
      <c r="AP429" s="285">
        <v>16.499430437622468</v>
      </c>
      <c r="AQ429" s="285">
        <v>144.75818960529998</v>
      </c>
      <c r="BE429" s="274">
        <f>G429/30</f>
        <v>5.0121000000000002</v>
      </c>
      <c r="BF429" s="280">
        <f t="shared" si="106"/>
        <v>139.96600000000001</v>
      </c>
      <c r="BG429" s="154" t="str">
        <f t="shared" si="107"/>
        <v>RECORD</v>
      </c>
      <c r="BH429" s="270">
        <f t="shared" si="101"/>
        <v>1.8691456813367681E-2</v>
      </c>
      <c r="BI429" s="270">
        <f t="shared" si="94"/>
        <v>0.11000000000000121</v>
      </c>
    </row>
    <row r="430" spans="1:63">
      <c r="A430" s="266">
        <v>42125</v>
      </c>
      <c r="B430" s="290">
        <f>E430/(1-'NASS Crush'!E5)</f>
        <v>5.7510362152605756</v>
      </c>
      <c r="C430" s="277">
        <f t="shared" ref="C430:C453" si="108">D430/(A430-A429)</f>
        <v>0.2553800000000005</v>
      </c>
      <c r="D430" s="276">
        <f>'NASS Crush'!C5-'NOPA Crush'!G430</f>
        <v>7.6614000000000146</v>
      </c>
      <c r="E430" s="290">
        <v>5.4541612903225811</v>
      </c>
      <c r="F430" s="277">
        <f t="shared" si="105"/>
        <v>169.07900000000001</v>
      </c>
      <c r="G430" s="277">
        <v>148.416</v>
      </c>
      <c r="H430" s="281">
        <f t="shared" si="104"/>
        <v>0.87779085516237965</v>
      </c>
      <c r="I430" s="202">
        <v>3536.5929999999998</v>
      </c>
      <c r="J430" s="270">
        <v>47.66</v>
      </c>
      <c r="K430" s="270">
        <v>-0.14142267874785119</v>
      </c>
      <c r="L430" s="202">
        <v>551.14599999999996</v>
      </c>
      <c r="M430" s="277">
        <v>431.03013447659998</v>
      </c>
      <c r="N430" s="202">
        <v>1682.3</v>
      </c>
      <c r="O430" s="270">
        <v>11.34</v>
      </c>
      <c r="P430" s="270">
        <v>-0.10083917338448778</v>
      </c>
      <c r="Q430" s="202">
        <v>1577.8030000000001</v>
      </c>
      <c r="R430" s="199">
        <v>0.72068044748059223</v>
      </c>
      <c r="S430" s="202">
        <v>611.52099999999996</v>
      </c>
      <c r="T430" s="286">
        <v>562.28566666666677</v>
      </c>
      <c r="U430" s="275"/>
      <c r="V430" s="278">
        <v>16.672999999999998</v>
      </c>
      <c r="W430" s="278">
        <v>33.576999999999998</v>
      </c>
      <c r="X430" s="278">
        <v>19.724</v>
      </c>
      <c r="Y430" s="278">
        <v>31.699000000000002</v>
      </c>
      <c r="Z430" s="278"/>
      <c r="AB430" s="278">
        <v>31.87</v>
      </c>
      <c r="AC430" s="278">
        <v>14.872999999999999</v>
      </c>
      <c r="AD430" s="279">
        <v>148.416</v>
      </c>
      <c r="AE430" s="278">
        <f t="shared" si="96"/>
        <v>148.416</v>
      </c>
      <c r="AF430" s="278">
        <f t="shared" si="97"/>
        <v>0</v>
      </c>
      <c r="AG430" s="278">
        <f t="shared" si="95"/>
        <v>0</v>
      </c>
      <c r="AH430" s="202">
        <f t="shared" si="92"/>
        <v>-1.4250000000000007</v>
      </c>
      <c r="AI430" s="202">
        <f t="shared" si="93"/>
        <v>59</v>
      </c>
      <c r="AJ430" s="285">
        <v>-0.85626692793381309</v>
      </c>
      <c r="AK430" s="285">
        <v>-3.7420261267145705</v>
      </c>
      <c r="AL430" s="285">
        <v>-5.2960407141301964</v>
      </c>
      <c r="AM430" s="285">
        <v>-5.3268437062610809</v>
      </c>
      <c r="AN430" s="285">
        <v>-1.4664202046592614</v>
      </c>
      <c r="AO430" s="285">
        <v>-4.1886431526235555</v>
      </c>
      <c r="AP430" s="285">
        <v>-4.9785695623775332</v>
      </c>
      <c r="AQ430" s="285">
        <v>-25.854810394700024</v>
      </c>
      <c r="BB430" s="203">
        <f>'NASS Crush'!C5/'NOPA Crush'!G430</f>
        <v>1.0516211190168177</v>
      </c>
      <c r="BE430" s="274">
        <f t="shared" si="98"/>
        <v>4.7876129032258063</v>
      </c>
      <c r="BF430" s="280">
        <f t="shared" si="106"/>
        <v>144.00200000000001</v>
      </c>
      <c r="BG430" s="154" t="str">
        <f t="shared" si="107"/>
        <v>RECORD</v>
      </c>
      <c r="BH430" s="270">
        <f t="shared" si="101"/>
        <v>2.3308543186632134E-2</v>
      </c>
      <c r="BI430" s="270">
        <f t="shared" si="94"/>
        <v>3.9999999999999147E-2</v>
      </c>
      <c r="BK430" s="274">
        <f>MROUND(B430*365,5)</f>
        <v>2100</v>
      </c>
    </row>
    <row r="431" spans="1:63">
      <c r="A431" s="266">
        <v>42156</v>
      </c>
      <c r="B431" s="290">
        <f>E431/(1-'NASS Crush'!E6)</f>
        <v>5.8290840183072765</v>
      </c>
      <c r="C431" s="277">
        <f t="shared" si="108"/>
        <v>0.29560537634408535</v>
      </c>
      <c r="D431" s="276">
        <f>'NASS Crush'!C6-'NOPA Crush'!G431</f>
        <v>9.1637666666666462</v>
      </c>
      <c r="E431" s="290">
        <v>5.4541612903225811</v>
      </c>
      <c r="F431" s="277">
        <f t="shared" si="105"/>
        <v>163.62483870967742</v>
      </c>
      <c r="G431" s="277">
        <v>142.47300000000001</v>
      </c>
      <c r="H431" s="281">
        <f t="shared" si="104"/>
        <v>0.87072965891683773</v>
      </c>
      <c r="I431" s="202">
        <v>3387.5749999999998</v>
      </c>
      <c r="J431" s="270">
        <v>47.55</v>
      </c>
      <c r="K431" s="270">
        <v>2.135197862084226E-2</v>
      </c>
      <c r="L431" s="202">
        <v>596.57299999999998</v>
      </c>
      <c r="M431" s="277">
        <v>413.64350123240001</v>
      </c>
      <c r="N431" s="202">
        <v>1614.3</v>
      </c>
      <c r="O431" s="270">
        <v>11.33</v>
      </c>
      <c r="P431" s="270">
        <v>-6.4354882709842798E-2</v>
      </c>
      <c r="Q431" s="202">
        <v>1573.9259999999999</v>
      </c>
      <c r="R431" s="199">
        <v>0.73095469307515581</v>
      </c>
      <c r="S431" s="202">
        <v>579.32099999999991</v>
      </c>
      <c r="T431" s="286">
        <v>567.08466666666652</v>
      </c>
      <c r="U431" s="275"/>
      <c r="V431" s="278">
        <v>19.146000000000001</v>
      </c>
      <c r="W431" s="278">
        <v>32.585000000000001</v>
      </c>
      <c r="X431" s="278">
        <v>18.433</v>
      </c>
      <c r="Y431" s="278">
        <v>28.72</v>
      </c>
      <c r="Z431" s="278"/>
      <c r="AB431" s="278">
        <v>33.084000000000003</v>
      </c>
      <c r="AC431" s="278">
        <v>10.505000000000001</v>
      </c>
      <c r="AD431" s="279">
        <v>142.47300000000001</v>
      </c>
      <c r="AE431" s="278">
        <f t="shared" si="96"/>
        <v>142.47300000000001</v>
      </c>
      <c r="AF431" s="278">
        <f t="shared" si="97"/>
        <v>0</v>
      </c>
      <c r="AG431" s="278">
        <f t="shared" si="95"/>
        <v>0</v>
      </c>
      <c r="AH431" s="202">
        <f t="shared" si="92"/>
        <v>1.2140000000000022</v>
      </c>
      <c r="AI431" s="202">
        <f t="shared" si="93"/>
        <v>58.879999999999995</v>
      </c>
      <c r="AJ431" s="275"/>
      <c r="AK431" s="275"/>
      <c r="AL431" s="275"/>
      <c r="AM431" s="275"/>
      <c r="AN431" s="275"/>
      <c r="AO431" s="275"/>
      <c r="AP431" s="275"/>
      <c r="AQ431" s="275"/>
      <c r="BB431" s="203">
        <f>'NASS Crush'!C6/'NOPA Crush'!G431</f>
        <v>1.0643193213217006</v>
      </c>
      <c r="BE431" s="274">
        <f>G431/30</f>
        <v>4.7491000000000003</v>
      </c>
      <c r="BF431" s="280">
        <f t="shared" si="106"/>
        <v>141.583</v>
      </c>
      <c r="BG431" s="154" t="str">
        <f t="shared" si="107"/>
        <v>RECORD</v>
      </c>
      <c r="BH431" s="270">
        <f t="shared" si="101"/>
        <v>3.9999999999999151E-3</v>
      </c>
      <c r="BI431" s="270">
        <f t="shared" si="94"/>
        <v>-9.9999999999997868E-3</v>
      </c>
      <c r="BK431" s="274">
        <f t="shared" ref="BK431:BK494" si="109">MROUND(B431*365,5)</f>
        <v>2130</v>
      </c>
    </row>
    <row r="432" spans="1:63">
      <c r="A432" s="266">
        <v>42186</v>
      </c>
      <c r="B432" s="290">
        <f>E432/(1-'NASS Crush'!E7)</f>
        <v>5.8808499349469798</v>
      </c>
      <c r="C432" s="277">
        <f t="shared" si="108"/>
        <v>0.35123444444444468</v>
      </c>
      <c r="D432" s="276">
        <f>'NASS Crush'!C7-'NOPA Crush'!G432</f>
        <v>10.537033333333341</v>
      </c>
      <c r="E432" s="290">
        <v>5.4541612903225811</v>
      </c>
      <c r="F432" s="277">
        <f t="shared" si="105"/>
        <v>169.07900000000001</v>
      </c>
      <c r="G432" s="277">
        <v>145.227</v>
      </c>
      <c r="H432" s="281">
        <f t="shared" si="104"/>
        <v>0.85892984936035821</v>
      </c>
      <c r="I432" s="202">
        <v>3448.9279999999999</v>
      </c>
      <c r="J432" s="270">
        <v>47.5</v>
      </c>
      <c r="K432" s="270">
        <v>6.8593605584169381E-2</v>
      </c>
      <c r="L432" s="202">
        <v>590.58199999999999</v>
      </c>
      <c r="M432" s="277">
        <v>191.46869057780009</v>
      </c>
      <c r="N432" s="202">
        <v>1631.8</v>
      </c>
      <c r="O432" s="270">
        <v>11.24</v>
      </c>
      <c r="P432" s="270">
        <v>-8.1756580091981945E-2</v>
      </c>
      <c r="Q432" s="202">
        <v>1624.3119999999999</v>
      </c>
      <c r="R432" s="199">
        <v>0.75674240246583546</v>
      </c>
      <c r="S432" s="202">
        <v>522.14100000000008</v>
      </c>
      <c r="T432" s="286">
        <v>555.5826666666668</v>
      </c>
      <c r="U432" s="275"/>
      <c r="V432" s="278">
        <v>17.661999999999999</v>
      </c>
      <c r="W432" s="278">
        <v>33.487000000000002</v>
      </c>
      <c r="X432" s="278">
        <v>18.119</v>
      </c>
      <c r="Y432" s="278">
        <v>30.516999999999999</v>
      </c>
      <c r="Z432" s="278"/>
      <c r="AB432" s="278">
        <v>30.452999999999999</v>
      </c>
      <c r="AC432" s="278">
        <v>14.989000000000001</v>
      </c>
      <c r="AD432" s="279">
        <v>145.227</v>
      </c>
      <c r="AE432" s="278">
        <f t="shared" si="96"/>
        <v>145.227</v>
      </c>
      <c r="AF432" s="278">
        <f t="shared" si="97"/>
        <v>0</v>
      </c>
      <c r="AG432" s="278">
        <f t="shared" si="95"/>
        <v>0</v>
      </c>
      <c r="AH432" s="202">
        <f t="shared" si="92"/>
        <v>-2.6310000000000038</v>
      </c>
      <c r="AI432" s="202">
        <f t="shared" si="93"/>
        <v>58.74</v>
      </c>
      <c r="AJ432" s="275"/>
      <c r="AK432" s="275"/>
      <c r="AL432" s="275"/>
      <c r="AM432" s="275"/>
      <c r="AN432" s="275"/>
      <c r="AO432" s="275"/>
      <c r="AP432" s="275"/>
      <c r="AQ432" s="275"/>
      <c r="BB432" s="203">
        <f>'NASS Crush'!C7/'NOPA Crush'!G432</f>
        <v>1.0725556083464738</v>
      </c>
      <c r="BE432" s="274">
        <f t="shared" si="98"/>
        <v>4.6847419354838715</v>
      </c>
      <c r="BF432" s="280">
        <f t="shared" si="106"/>
        <v>142.626</v>
      </c>
      <c r="BG432" s="154" t="str">
        <f t="shared" si="107"/>
        <v>RECORD</v>
      </c>
      <c r="BH432" s="270">
        <f t="shared" si="101"/>
        <v>2.7999999999999758E-2</v>
      </c>
      <c r="BI432" s="270">
        <f t="shared" si="94"/>
        <v>-8.9999999999999858E-2</v>
      </c>
      <c r="BK432" s="274">
        <f t="shared" si="109"/>
        <v>2145</v>
      </c>
    </row>
    <row r="433" spans="1:63">
      <c r="A433" s="266">
        <v>42217</v>
      </c>
      <c r="B433" s="290">
        <f>E433/(1-'NASS Crush'!E8)</f>
        <v>5.8555093170340911</v>
      </c>
      <c r="C433" s="277">
        <f t="shared" si="108"/>
        <v>0.29916129032258065</v>
      </c>
      <c r="D433" s="276">
        <f>'NASS Crush'!C8-'NOPA Crush'!G433</f>
        <v>9.2740000000000009</v>
      </c>
      <c r="E433" s="290">
        <v>5.4541612903225811</v>
      </c>
      <c r="F433" s="277">
        <f t="shared" si="105"/>
        <v>169.07900000000001</v>
      </c>
      <c r="G433" s="277">
        <v>135.304</v>
      </c>
      <c r="H433" s="281">
        <f t="shared" si="104"/>
        <v>0.80024130731788101</v>
      </c>
      <c r="I433" s="202">
        <v>3209.125</v>
      </c>
      <c r="J433" s="270">
        <v>47.44</v>
      </c>
      <c r="K433" s="270">
        <v>-0.17621159512511753</v>
      </c>
      <c r="L433" s="202">
        <v>491.51</v>
      </c>
      <c r="M433" s="277">
        <v>361.18515702140007</v>
      </c>
      <c r="N433" s="202">
        <v>1532.72</v>
      </c>
      <c r="O433" s="270">
        <v>11.33</v>
      </c>
      <c r="P433" s="270">
        <v>-7.8945206047947636E-2</v>
      </c>
      <c r="Q433" s="202">
        <v>1480.17</v>
      </c>
      <c r="R433" s="199">
        <v>0.74018788611617015</v>
      </c>
      <c r="S433" s="202">
        <v>519.55200000000013</v>
      </c>
      <c r="T433" s="286">
        <v>481.68399999999997</v>
      </c>
      <c r="U433" s="275"/>
      <c r="V433" s="278">
        <v>18.577999999999999</v>
      </c>
      <c r="W433" s="278">
        <v>29.504000000000001</v>
      </c>
      <c r="X433" s="278">
        <v>16.103000000000002</v>
      </c>
      <c r="Y433" s="278">
        <v>26.57</v>
      </c>
      <c r="Z433" s="278"/>
      <c r="AB433" s="278">
        <v>29.295000000000002</v>
      </c>
      <c r="AC433" s="278">
        <v>15.253</v>
      </c>
      <c r="AD433" s="279">
        <v>135.304</v>
      </c>
      <c r="AE433" s="278">
        <f t="shared" si="96"/>
        <v>135.303</v>
      </c>
      <c r="AF433" s="278">
        <f t="shared" si="97"/>
        <v>-1.0000000000047748E-3</v>
      </c>
      <c r="AG433" s="278">
        <f t="shared" si="95"/>
        <v>-1.0000000000047748E-3</v>
      </c>
      <c r="AH433" s="202">
        <f t="shared" si="92"/>
        <v>-1.1579999999999977</v>
      </c>
      <c r="AI433" s="202">
        <f t="shared" si="93"/>
        <v>58.769999999999996</v>
      </c>
      <c r="AJ433" s="275"/>
      <c r="AK433" s="275"/>
      <c r="AL433" s="275"/>
      <c r="AM433" s="275"/>
      <c r="AN433" s="275"/>
      <c r="AO433" s="275"/>
      <c r="AP433" s="275"/>
      <c r="AQ433" s="275"/>
      <c r="BB433" s="203">
        <f>'NASS Crush'!C8/'NOPA Crush'!G433</f>
        <v>1.0685419499793058</v>
      </c>
      <c r="BE433" s="274">
        <f t="shared" si="98"/>
        <v>4.3646451612903228</v>
      </c>
      <c r="BF433" s="280">
        <f t="shared" si="106"/>
        <v>137.56399999999999</v>
      </c>
      <c r="BG433" s="154" t="str">
        <f t="shared" si="107"/>
        <v/>
      </c>
      <c r="BH433" s="270">
        <f t="shared" si="101"/>
        <v>-1.9999999999999575E-3</v>
      </c>
      <c r="BI433" s="270">
        <f t="shared" si="94"/>
        <v>8.9999999999999858E-2</v>
      </c>
      <c r="BK433" s="274">
        <f t="shared" si="109"/>
        <v>2135</v>
      </c>
    </row>
    <row r="434" spans="1:63">
      <c r="A434" s="266">
        <v>42248</v>
      </c>
      <c r="B434" s="290">
        <f>E434/(1-'NASS Crush'!E9)</f>
        <v>5.8148446724554406</v>
      </c>
      <c r="C434" s="277">
        <f t="shared" si="108"/>
        <v>0.25352258064516131</v>
      </c>
      <c r="D434" s="276">
        <f>'NASS Crush'!C9-'NOPA Crush'!G434</f>
        <v>7.8592000000000013</v>
      </c>
      <c r="E434" s="290">
        <v>5.4541612903225811</v>
      </c>
      <c r="F434" s="277">
        <f t="shared" si="105"/>
        <v>163.62483870967742</v>
      </c>
      <c r="G434" s="277">
        <v>126.70399999999999</v>
      </c>
      <c r="H434" s="281">
        <f t="shared" si="104"/>
        <v>0.77435676025211087</v>
      </c>
      <c r="I434" s="202">
        <v>2996.9969999999998</v>
      </c>
      <c r="J434" s="270">
        <v>47.31</v>
      </c>
      <c r="K434" s="270">
        <v>-0.11800397136809693</v>
      </c>
      <c r="L434" s="202">
        <v>502.32</v>
      </c>
      <c r="M434" s="277">
        <v>109.71200563539998</v>
      </c>
      <c r="N434" s="202">
        <v>1451.01</v>
      </c>
      <c r="O434" s="270">
        <v>11.45</v>
      </c>
      <c r="P434" s="270">
        <v>-7.0350883451046897E-2</v>
      </c>
      <c r="Q434" s="202">
        <v>1354.702</v>
      </c>
      <c r="R434" s="199">
        <v>0.73036923299213186</v>
      </c>
      <c r="S434" s="202">
        <v>500.11599999999999</v>
      </c>
      <c r="T434" s="286">
        <v>427.43566666666675</v>
      </c>
      <c r="U434" s="275"/>
      <c r="V434" s="278">
        <v>15.867000000000001</v>
      </c>
      <c r="W434" s="278">
        <v>30.643999999999998</v>
      </c>
      <c r="X434" s="278">
        <v>15.395</v>
      </c>
      <c r="Y434" s="278">
        <v>23.184000000000001</v>
      </c>
      <c r="Z434" s="278"/>
      <c r="AB434" s="278">
        <v>27.713999999999999</v>
      </c>
      <c r="AC434" s="278">
        <v>13.901</v>
      </c>
      <c r="AD434" s="279">
        <v>126.70399999999999</v>
      </c>
      <c r="AE434" s="278">
        <f t="shared" si="96"/>
        <v>126.70499999999998</v>
      </c>
      <c r="AF434" s="278">
        <f t="shared" si="97"/>
        <v>9.9999999999056399E-4</v>
      </c>
      <c r="AG434" s="278">
        <f t="shared" si="95"/>
        <v>9.9999999999056399E-4</v>
      </c>
      <c r="AH434" s="202">
        <f t="shared" si="92"/>
        <v>-1.5810000000000031</v>
      </c>
      <c r="AI434" s="202">
        <f t="shared" si="93"/>
        <v>58.760000000000005</v>
      </c>
      <c r="AJ434" s="275"/>
      <c r="AK434" s="275"/>
      <c r="AL434" s="275"/>
      <c r="AM434" s="275"/>
      <c r="AN434" s="275"/>
      <c r="AO434" s="275"/>
      <c r="AP434" s="275"/>
      <c r="AQ434" s="275"/>
      <c r="BB434" s="203">
        <f>'NASS Crush'!C9/'NOPA Crush'!G434</f>
        <v>1.0620280338426569</v>
      </c>
      <c r="BE434" s="274">
        <f>G434/30</f>
        <v>4.223466666666666</v>
      </c>
      <c r="BF434" s="280">
        <f t="shared" si="106"/>
        <v>139.82900000000001</v>
      </c>
      <c r="BG434" s="154" t="str">
        <f t="shared" si="107"/>
        <v/>
      </c>
      <c r="BH434" s="270">
        <f t="shared" si="101"/>
        <v>3.5999999999999942E-2</v>
      </c>
      <c r="BI434" s="270">
        <f t="shared" si="94"/>
        <v>0.11999999999999922</v>
      </c>
      <c r="BK434" s="274">
        <f t="shared" si="109"/>
        <v>2120</v>
      </c>
    </row>
    <row r="435" spans="1:63">
      <c r="A435" s="266">
        <v>42278</v>
      </c>
      <c r="B435" s="290">
        <f>E435/(1-'NASS Crush'!E10)</f>
        <v>5.8692975686276458</v>
      </c>
      <c r="C435" s="277">
        <f t="shared" si="108"/>
        <v>0.37462222222222202</v>
      </c>
      <c r="D435" s="276">
        <f>'NASS Crush'!C10-'NOPA Crush'!G435</f>
        <v>11.23866666666666</v>
      </c>
      <c r="E435" s="290">
        <v>5.4541612903225811</v>
      </c>
      <c r="F435" s="277">
        <f t="shared" si="105"/>
        <v>169.07900000000001</v>
      </c>
      <c r="G435" s="277">
        <v>158.89500000000001</v>
      </c>
      <c r="H435" s="281">
        <f t="shared" si="104"/>
        <v>0.93976780085049005</v>
      </c>
      <c r="I435" s="202">
        <v>3730.2379999999998</v>
      </c>
      <c r="J435" s="270">
        <v>46.95</v>
      </c>
      <c r="K435" s="270">
        <v>8.7380412655924999E-2</v>
      </c>
      <c r="L435" s="202">
        <v>644.06899999999996</v>
      </c>
      <c r="M435" s="277">
        <v>248.86788517210005</v>
      </c>
      <c r="N435" s="202">
        <v>1843.51</v>
      </c>
      <c r="O435" s="270">
        <v>11.6</v>
      </c>
      <c r="P435" s="270">
        <v>-6.2383498464932075E-2</v>
      </c>
      <c r="Q435" s="202">
        <v>1407.8150000000001</v>
      </c>
      <c r="R435" s="199">
        <v>0.72553983288745594</v>
      </c>
      <c r="S435" s="202">
        <v>532.55400000000009</v>
      </c>
      <c r="T435" s="286">
        <v>425.75633333333343</v>
      </c>
      <c r="U435" s="275"/>
      <c r="V435" s="278">
        <v>17.416</v>
      </c>
      <c r="W435" s="278">
        <v>37.209000000000003</v>
      </c>
      <c r="X435" s="278">
        <v>20.032</v>
      </c>
      <c r="Y435" s="278">
        <v>32.122</v>
      </c>
      <c r="Z435" s="278"/>
      <c r="AB435" s="278">
        <v>34.53</v>
      </c>
      <c r="AC435" s="278">
        <v>17.587</v>
      </c>
      <c r="AD435" s="279">
        <v>158.89500000000001</v>
      </c>
      <c r="AE435" s="278">
        <f t="shared" si="96"/>
        <v>158.89599999999999</v>
      </c>
      <c r="AF435" s="278">
        <f t="shared" si="97"/>
        <v>9.9999999997635314E-4</v>
      </c>
      <c r="AG435" s="278">
        <f t="shared" si="95"/>
        <v>9.9999999997635314E-4</v>
      </c>
      <c r="AH435" s="202">
        <f t="shared" si="92"/>
        <v>6.8160000000000025</v>
      </c>
      <c r="AI435" s="202">
        <f t="shared" si="93"/>
        <v>58.550000000000004</v>
      </c>
      <c r="AJ435" s="275"/>
      <c r="AK435" s="275"/>
      <c r="AL435" s="275"/>
      <c r="AM435" s="275"/>
      <c r="AN435" s="275"/>
      <c r="AO435" s="275"/>
      <c r="AP435" s="275"/>
      <c r="AQ435" s="275"/>
      <c r="BB435" s="203">
        <f>'NASS Crush'!C10/'NOPA Crush'!G435</f>
        <v>1.0707301467426078</v>
      </c>
      <c r="BE435" s="274">
        <f t="shared" si="98"/>
        <v>5.1256451612903229</v>
      </c>
      <c r="BF435" s="280">
        <f t="shared" si="106"/>
        <v>157.96</v>
      </c>
      <c r="BG435" s="154" t="str">
        <f t="shared" si="107"/>
        <v>RECORD</v>
      </c>
      <c r="BH435" s="270">
        <f t="shared" si="101"/>
        <v>-0.12799999999999975</v>
      </c>
      <c r="BI435" s="270">
        <f t="shared" si="94"/>
        <v>0.15000000000000036</v>
      </c>
      <c r="BK435" s="274">
        <f t="shared" si="109"/>
        <v>2140</v>
      </c>
    </row>
    <row r="436" spans="1:63">
      <c r="A436" s="266">
        <v>42309</v>
      </c>
      <c r="B436" s="290">
        <f>E436/(1-'NASS Crush'!E11)</f>
        <v>5.8134863320465993</v>
      </c>
      <c r="C436" s="277">
        <f t="shared" si="108"/>
        <v>0.31130537634408578</v>
      </c>
      <c r="D436" s="276">
        <f>'NASS Crush'!C11-'NOPA Crush'!G436</f>
        <v>9.6504666666666594</v>
      </c>
      <c r="E436" s="290">
        <v>5.4541612903225811</v>
      </c>
      <c r="F436" s="277">
        <f t="shared" si="105"/>
        <v>163.62483870967742</v>
      </c>
      <c r="G436" s="277">
        <v>156.13399999999999</v>
      </c>
      <c r="H436" s="281">
        <f t="shared" si="104"/>
        <v>0.95421942799914039</v>
      </c>
      <c r="I436" s="202">
        <v>3688.8850000000002</v>
      </c>
      <c r="J436" s="270">
        <v>47.25</v>
      </c>
      <c r="K436" s="270">
        <v>-0.10788736942382826</v>
      </c>
      <c r="L436" s="202">
        <v>848.44100000000003</v>
      </c>
      <c r="M436" s="277">
        <v>335.83535969889999</v>
      </c>
      <c r="N436" s="202">
        <v>1801.65</v>
      </c>
      <c r="O436" s="270">
        <v>11.54</v>
      </c>
      <c r="P436" s="270">
        <v>-6.815925255562405E-2</v>
      </c>
      <c r="Q436" s="202">
        <v>1476.989</v>
      </c>
      <c r="R436" s="199">
        <v>0.75132028864750144</v>
      </c>
      <c r="S436" s="202">
        <v>488.86900000000014</v>
      </c>
      <c r="T436" s="286">
        <v>451.35333333333318</v>
      </c>
      <c r="U436" s="275"/>
      <c r="V436" s="278">
        <v>18.167999999999999</v>
      </c>
      <c r="W436" s="278">
        <v>36.270000000000003</v>
      </c>
      <c r="X436" s="278">
        <v>20.254000000000001</v>
      </c>
      <c r="Y436" s="278">
        <v>30.154</v>
      </c>
      <c r="Z436" s="278"/>
      <c r="AB436" s="278">
        <v>35.540999999999997</v>
      </c>
      <c r="AC436" s="278">
        <v>15.746</v>
      </c>
      <c r="AD436" s="279">
        <v>156.13399999999999</v>
      </c>
      <c r="AE436" s="278">
        <f t="shared" si="96"/>
        <v>156.13300000000001</v>
      </c>
      <c r="AF436" s="278">
        <f t="shared" si="97"/>
        <v>-9.9999999997635314E-4</v>
      </c>
      <c r="AG436" s="278">
        <f t="shared" si="95"/>
        <v>-9.9999999997635314E-4</v>
      </c>
      <c r="AH436" s="202">
        <f t="shared" si="92"/>
        <v>1.0109999999999957</v>
      </c>
      <c r="AI436" s="202">
        <f t="shared" si="93"/>
        <v>58.79</v>
      </c>
      <c r="AJ436" s="275"/>
      <c r="AK436" s="275"/>
      <c r="AL436" s="275"/>
      <c r="AM436" s="275"/>
      <c r="AN436" s="275"/>
      <c r="AO436" s="275"/>
      <c r="AP436" s="275"/>
      <c r="AQ436" s="275"/>
      <c r="BB436" s="203">
        <f>'NASS Crush'!C11/'NOPA Crush'!G436</f>
        <v>1.0618088735744082</v>
      </c>
      <c r="BE436" s="274">
        <f>G436/30</f>
        <v>5.2044666666666659</v>
      </c>
      <c r="BF436" s="280">
        <f t="shared" si="106"/>
        <v>161.21100000000001</v>
      </c>
      <c r="BG436" s="154" t="str">
        <f t="shared" si="107"/>
        <v/>
      </c>
      <c r="BH436" s="270">
        <f t="shared" si="101"/>
        <v>-0.15399999999999991</v>
      </c>
      <c r="BI436" s="270">
        <f t="shared" si="94"/>
        <v>-6.0000000000000497E-2</v>
      </c>
      <c r="BK436" s="274">
        <f t="shared" si="109"/>
        <v>2120</v>
      </c>
    </row>
    <row r="437" spans="1:63">
      <c r="A437" s="266">
        <v>42339</v>
      </c>
      <c r="B437" s="290">
        <f>E437/(1-'NASS Crush'!E12)</f>
        <v>5.7972341197658261</v>
      </c>
      <c r="C437" s="277">
        <f t="shared" si="108"/>
        <v>0.31110444444444357</v>
      </c>
      <c r="D437" s="276">
        <f>'NASS Crush'!C12-'NOPA Crush'!G437</f>
        <v>9.3331333333333077</v>
      </c>
      <c r="E437" s="290">
        <v>5.4541612903225811</v>
      </c>
      <c r="F437" s="277">
        <f t="shared" si="105"/>
        <v>169.07900000000001</v>
      </c>
      <c r="G437" s="277">
        <v>157.71100000000001</v>
      </c>
      <c r="H437" s="281">
        <f t="shared" si="104"/>
        <v>0.93276515711590446</v>
      </c>
      <c r="I437" s="202">
        <v>3719.2040000000002</v>
      </c>
      <c r="J437" s="270">
        <v>47.16</v>
      </c>
      <c r="K437" s="270">
        <v>-8.8858720769188437E-2</v>
      </c>
      <c r="L437" s="202">
        <v>839.87400000000002</v>
      </c>
      <c r="M437" s="277">
        <v>229.6024010660999</v>
      </c>
      <c r="N437" s="202">
        <v>1834.03</v>
      </c>
      <c r="O437" s="270">
        <v>11.63</v>
      </c>
      <c r="P437" s="270">
        <v>-8.1991928679926218E-2</v>
      </c>
      <c r="Q437" s="202">
        <v>1481.085</v>
      </c>
      <c r="R437" s="199">
        <v>0.75086311349498869</v>
      </c>
      <c r="S437" s="202">
        <v>491.42499999999995</v>
      </c>
      <c r="T437" s="286">
        <v>472.46000000000009</v>
      </c>
      <c r="U437" s="275"/>
      <c r="V437" s="278">
        <v>18.425000000000001</v>
      </c>
      <c r="W437" s="278">
        <v>33.500999999999998</v>
      </c>
      <c r="X437" s="278">
        <v>21.170999999999999</v>
      </c>
      <c r="Y437" s="278">
        <v>32.267000000000003</v>
      </c>
      <c r="Z437" s="278"/>
      <c r="AB437" s="278">
        <v>35.74</v>
      </c>
      <c r="AC437" s="278">
        <v>16.606000000000002</v>
      </c>
      <c r="AD437" s="279">
        <v>157.71100000000001</v>
      </c>
      <c r="AE437" s="278">
        <f t="shared" si="96"/>
        <v>157.71</v>
      </c>
      <c r="AF437" s="278">
        <f t="shared" si="97"/>
        <v>-1.0000000000047748E-3</v>
      </c>
      <c r="AG437" s="278">
        <f t="shared" si="95"/>
        <v>-1.0000000000047748E-3</v>
      </c>
      <c r="AH437" s="202">
        <f t="shared" si="92"/>
        <v>0.19900000000000517</v>
      </c>
      <c r="AI437" s="202">
        <f t="shared" si="93"/>
        <v>58.79</v>
      </c>
      <c r="AJ437" s="275"/>
      <c r="AK437" s="275"/>
      <c r="AL437" s="275"/>
      <c r="AM437" s="275"/>
      <c r="AN437" s="275"/>
      <c r="AO437" s="275"/>
      <c r="AP437" s="275"/>
      <c r="AQ437" s="275"/>
      <c r="BB437" s="203">
        <f>'NASS Crush'!C12/'NOPA Crush'!G437</f>
        <v>1.0591787087351758</v>
      </c>
      <c r="BE437" s="274">
        <f t="shared" si="98"/>
        <v>5.0874516129032266</v>
      </c>
      <c r="BF437" s="280">
        <f t="shared" si="106"/>
        <v>165.38399999999999</v>
      </c>
      <c r="BG437" s="154" t="str">
        <f t="shared" si="107"/>
        <v/>
      </c>
      <c r="BH437" s="270">
        <f t="shared" si="101"/>
        <v>2.7999999999999758E-2</v>
      </c>
      <c r="BI437" s="270">
        <f t="shared" si="94"/>
        <v>9.0000000000001634E-2</v>
      </c>
      <c r="BK437" s="274">
        <f t="shared" si="109"/>
        <v>2115</v>
      </c>
    </row>
    <row r="438" spans="1:63">
      <c r="A438" s="266">
        <v>42370</v>
      </c>
      <c r="B438" s="290">
        <f>E438/(1-'NASS Crush'!E13)</f>
        <v>5.8431173022629928</v>
      </c>
      <c r="C438" s="277">
        <f t="shared" si="108"/>
        <v>0.32306881720430075</v>
      </c>
      <c r="D438" s="276">
        <f>'NASS Crush'!C13-'NOPA Crush'!G438</f>
        <v>10.015133333333324</v>
      </c>
      <c r="E438" s="290">
        <v>5.4541612903225811</v>
      </c>
      <c r="F438" s="277">
        <f t="shared" si="105"/>
        <v>169.07900000000001</v>
      </c>
      <c r="G438" s="277">
        <v>150.453</v>
      </c>
      <c r="H438" s="281">
        <f t="shared" si="104"/>
        <v>0.88983847787129089</v>
      </c>
      <c r="I438" s="202">
        <v>3560.9870000000001</v>
      </c>
      <c r="J438" s="270">
        <v>47.34</v>
      </c>
      <c r="K438" s="270">
        <v>-2.0012895602945946E-2</v>
      </c>
      <c r="L438" s="202">
        <v>686.49300000000005</v>
      </c>
      <c r="M438" s="277">
        <v>415.44811348259975</v>
      </c>
      <c r="N438" s="202">
        <v>1758.38</v>
      </c>
      <c r="O438" s="270">
        <v>11.69</v>
      </c>
      <c r="P438" s="270">
        <v>-6.8458942211579554E-2</v>
      </c>
      <c r="Q438" s="202">
        <v>1581.636</v>
      </c>
      <c r="R438" s="199">
        <v>0.7493074890669259</v>
      </c>
      <c r="S438" s="202">
        <v>529.16100000000006</v>
      </c>
      <c r="T438" s="286">
        <v>460.86633333333339</v>
      </c>
      <c r="U438" s="275"/>
      <c r="V438" s="278">
        <v>16.279</v>
      </c>
      <c r="W438" s="278">
        <v>33.015000000000001</v>
      </c>
      <c r="X438" s="278">
        <v>21.047000000000001</v>
      </c>
      <c r="Y438" s="278">
        <v>30.891999999999999</v>
      </c>
      <c r="Z438" s="278"/>
      <c r="AB438" s="278">
        <v>33.823999999999998</v>
      </c>
      <c r="AC438" s="278">
        <v>15.396000000000001</v>
      </c>
      <c r="AD438" s="279">
        <v>150.453</v>
      </c>
      <c r="AE438" s="278">
        <f t="shared" si="96"/>
        <v>150.45299999999997</v>
      </c>
      <c r="AF438" s="278">
        <f t="shared" si="97"/>
        <v>0</v>
      </c>
      <c r="AG438" s="278">
        <f t="shared" si="95"/>
        <v>0</v>
      </c>
      <c r="AH438" s="202">
        <f t="shared" si="92"/>
        <v>-1.9160000000000039</v>
      </c>
      <c r="AI438" s="202">
        <f t="shared" si="93"/>
        <v>59.03</v>
      </c>
      <c r="BB438" s="203">
        <f>'NASS Crush'!C13/'NOPA Crush'!G438</f>
        <v>1.0665665246511091</v>
      </c>
      <c r="BE438" s="274">
        <f t="shared" si="98"/>
        <v>4.8533225806451616</v>
      </c>
      <c r="BF438" s="280">
        <f t="shared" si="106"/>
        <v>162.67500000000001</v>
      </c>
      <c r="BG438" s="154" t="str">
        <f t="shared" si="107"/>
        <v/>
      </c>
      <c r="BH438" s="270">
        <f t="shared" si="101"/>
        <v>6.4000000000000418E-2</v>
      </c>
      <c r="BI438" s="270">
        <f t="shared" si="94"/>
        <v>5.9999999999998721E-2</v>
      </c>
      <c r="BK438" s="274">
        <f t="shared" si="109"/>
        <v>2135</v>
      </c>
    </row>
    <row r="439" spans="1:63">
      <c r="A439" s="266">
        <v>42401</v>
      </c>
      <c r="B439" s="290">
        <f>E439/(1-'NASS Crush'!E14)</f>
        <v>5.7884080907612478</v>
      </c>
      <c r="C439" s="277">
        <f t="shared" si="108"/>
        <v>0.27229354838709602</v>
      </c>
      <c r="D439" s="276">
        <f>'NASS Crush'!C14-'NOPA Crush'!G439</f>
        <v>8.4410999999999774</v>
      </c>
      <c r="E439" s="290">
        <v>5.4541612903225811</v>
      </c>
      <c r="F439" s="277">
        <f t="shared" si="105"/>
        <v>158.17067741935486</v>
      </c>
      <c r="G439" s="277">
        <v>146.18100000000001</v>
      </c>
      <c r="H439" s="281">
        <f t="shared" si="104"/>
        <v>0.92419784997463938</v>
      </c>
      <c r="I439" s="202">
        <v>3473.7460000000001</v>
      </c>
      <c r="J439" s="270">
        <v>47.53</v>
      </c>
      <c r="K439" s="270">
        <v>-0.1071024969910539</v>
      </c>
      <c r="L439" s="202">
        <v>686.99900000000002</v>
      </c>
      <c r="M439" s="277">
        <v>523.68884148999996</v>
      </c>
      <c r="N439" s="202">
        <v>1708.04</v>
      </c>
      <c r="O439" s="270">
        <v>11.68</v>
      </c>
      <c r="P439" s="270">
        <v>-6.545072146866282E-2</v>
      </c>
      <c r="Q439" s="202">
        <v>1792.0519999999999</v>
      </c>
      <c r="R439" s="199">
        <v>0.78592670656707786</v>
      </c>
      <c r="S439" s="202">
        <v>488.12500000000023</v>
      </c>
      <c r="T439" s="286">
        <v>491.58133333333336</v>
      </c>
      <c r="U439" s="275"/>
      <c r="V439" s="278">
        <v>17.327999999999999</v>
      </c>
      <c r="W439" s="278">
        <v>32.985999999999997</v>
      </c>
      <c r="X439" s="278">
        <v>19.443999999999999</v>
      </c>
      <c r="Y439" s="278">
        <v>29.056999999999999</v>
      </c>
      <c r="Z439" s="278"/>
      <c r="AB439" s="278">
        <v>32.982999999999997</v>
      </c>
      <c r="AC439" s="278">
        <v>14.382999999999999</v>
      </c>
      <c r="AD439" s="279">
        <v>146.18100000000001</v>
      </c>
      <c r="AE439" s="278">
        <f t="shared" si="96"/>
        <v>146.18100000000001</v>
      </c>
      <c r="AF439" s="278">
        <f t="shared" si="97"/>
        <v>0</v>
      </c>
      <c r="AG439" s="278">
        <f t="shared" si="95"/>
        <v>0</v>
      </c>
      <c r="AH439" s="202">
        <f t="shared" si="92"/>
        <v>-0.84100000000000108</v>
      </c>
      <c r="AI439" s="202">
        <f t="shared" si="93"/>
        <v>59.21</v>
      </c>
      <c r="BB439" s="203">
        <f>'NASS Crush'!C14/'NOPA Crush'!G439</f>
        <v>1.0577441664785436</v>
      </c>
      <c r="BE439" s="274">
        <f>G439/29</f>
        <v>5.0407241379310346</v>
      </c>
      <c r="BF439" s="280">
        <f t="shared" si="106"/>
        <v>148.351</v>
      </c>
      <c r="BG439" s="154" t="str">
        <f t="shared" si="107"/>
        <v/>
      </c>
      <c r="BH439" s="270">
        <f t="shared" si="101"/>
        <v>4.5999999999999729E-2</v>
      </c>
      <c r="BI439" s="270">
        <f t="shared" si="94"/>
        <v>-9.9999999999997868E-3</v>
      </c>
      <c r="BK439" s="274">
        <f t="shared" si="109"/>
        <v>2115</v>
      </c>
    </row>
    <row r="440" spans="1:63">
      <c r="A440" s="266">
        <v>42430</v>
      </c>
      <c r="B440" s="290">
        <f>E440/(1-'NASS Crush'!E15)</f>
        <v>5.8139886482661831</v>
      </c>
      <c r="C440" s="277">
        <f t="shared" si="108"/>
        <v>0.33439770114942602</v>
      </c>
      <c r="D440" s="276">
        <f>'NASS Crush'!C15-'NOPA Crush'!G440</f>
        <v>9.6975333333333538</v>
      </c>
      <c r="E440" s="290">
        <v>5.4541612903225811</v>
      </c>
      <c r="F440" s="277">
        <f t="shared" si="105"/>
        <v>169.07900000000001</v>
      </c>
      <c r="G440" s="277">
        <v>156.69</v>
      </c>
      <c r="H440" s="281">
        <f t="shared" si="104"/>
        <v>0.92672655977383345</v>
      </c>
      <c r="I440" s="202">
        <v>3713.4690000000001</v>
      </c>
      <c r="J440" s="270">
        <v>47.4</v>
      </c>
      <c r="K440" s="270">
        <v>-7.0180017493299829E-2</v>
      </c>
      <c r="L440" s="202">
        <v>779.1</v>
      </c>
      <c r="M440" s="277">
        <v>225.36749960999998</v>
      </c>
      <c r="N440" s="202">
        <v>1840.53</v>
      </c>
      <c r="O440" s="270">
        <v>11.75</v>
      </c>
      <c r="P440" s="270">
        <v>-6.9215021317704739E-2</v>
      </c>
      <c r="Q440" s="202">
        <v>1858.8140000000001</v>
      </c>
      <c r="R440" s="199">
        <v>0.79951533941295339</v>
      </c>
      <c r="S440" s="202">
        <v>466.11199999999985</v>
      </c>
      <c r="T440" s="286">
        <v>523.2299999999999</v>
      </c>
      <c r="U440" s="275"/>
      <c r="V440" s="278">
        <v>19.22</v>
      </c>
      <c r="W440" s="278">
        <v>33.898000000000003</v>
      </c>
      <c r="X440" s="278">
        <v>20.981999999999999</v>
      </c>
      <c r="Y440" s="278">
        <v>31.556999999999999</v>
      </c>
      <c r="Z440" s="278"/>
      <c r="AB440" s="278">
        <v>35.552</v>
      </c>
      <c r="AC440" s="278">
        <v>15.48</v>
      </c>
      <c r="AD440" s="279">
        <v>156.69</v>
      </c>
      <c r="AE440" s="278">
        <f t="shared" si="96"/>
        <v>156.68899999999999</v>
      </c>
      <c r="AF440" s="278">
        <f t="shared" si="97"/>
        <v>-1.0000000000047748E-3</v>
      </c>
      <c r="AG440" s="278">
        <f t="shared" si="95"/>
        <v>-1.0000000000047748E-3</v>
      </c>
      <c r="AH440" s="202">
        <f t="shared" si="92"/>
        <v>2.5690000000000026</v>
      </c>
      <c r="AI440" s="202">
        <f t="shared" si="93"/>
        <v>59.15</v>
      </c>
      <c r="BB440" s="203">
        <f>'NASS Crush'!C15/'NOPA Crush'!G440</f>
        <v>1.0618899312868297</v>
      </c>
      <c r="BE440" s="274">
        <f t="shared" si="98"/>
        <v>5.0545161290322582</v>
      </c>
      <c r="BF440" s="280">
        <f t="shared" si="106"/>
        <v>162.822</v>
      </c>
      <c r="BG440" s="154" t="str">
        <f t="shared" si="107"/>
        <v/>
      </c>
      <c r="BH440" s="270">
        <f t="shared" si="101"/>
        <v>4.4000000000000129E-2</v>
      </c>
      <c r="BI440" s="270">
        <f t="shared" si="94"/>
        <v>7.0000000000000284E-2</v>
      </c>
      <c r="BK440" s="274">
        <f t="shared" si="109"/>
        <v>2120</v>
      </c>
    </row>
    <row r="441" spans="1:63">
      <c r="A441" s="266">
        <v>42461</v>
      </c>
      <c r="B441" s="290">
        <f>E441/(1-'NASS Crush'!E16)</f>
        <v>5.8742182626108894</v>
      </c>
      <c r="C441" s="277">
        <f t="shared" si="108"/>
        <v>0.34050537634408606</v>
      </c>
      <c r="D441" s="276">
        <f>'NASS Crush'!C16-'NOPA Crush'!G441</f>
        <v>10.555666666666667</v>
      </c>
      <c r="E441" s="290">
        <v>5.4541612903225811</v>
      </c>
      <c r="F441" s="277">
        <f t="shared" si="105"/>
        <v>163.62483870967742</v>
      </c>
      <c r="G441" s="277">
        <v>147.614</v>
      </c>
      <c r="H441" s="281">
        <f t="shared" si="104"/>
        <v>0.90214909401325216</v>
      </c>
      <c r="I441" s="202">
        <v>3506.181</v>
      </c>
      <c r="J441" s="270">
        <v>47.5</v>
      </c>
      <c r="K441" s="270">
        <v>-0.12464568638318951</v>
      </c>
      <c r="L441" s="202">
        <v>769.03499999999997</v>
      </c>
      <c r="M441" s="277">
        <v>294.22668187919987</v>
      </c>
      <c r="N441" s="202">
        <v>1729.81</v>
      </c>
      <c r="O441" s="270">
        <v>11.72</v>
      </c>
      <c r="P441" s="270">
        <v>-8.5259668415142542E-2</v>
      </c>
      <c r="Q441" s="202">
        <v>1942.7280000000001</v>
      </c>
      <c r="R441" s="199">
        <v>0.8027741942415304</v>
      </c>
      <c r="S441" s="202">
        <v>477.28999999999996</v>
      </c>
      <c r="T441" s="286">
        <v>586.01966666666669</v>
      </c>
      <c r="U441" s="275"/>
      <c r="V441" s="278">
        <v>18.131</v>
      </c>
      <c r="W441" s="278">
        <v>31.512</v>
      </c>
      <c r="X441" s="278">
        <v>20.311</v>
      </c>
      <c r="Y441" s="278">
        <v>31.452999999999999</v>
      </c>
      <c r="Z441" s="278"/>
      <c r="AB441" s="278">
        <v>31.576000000000001</v>
      </c>
      <c r="AC441" s="278">
        <v>14.631</v>
      </c>
      <c r="AD441" s="279">
        <v>147.614</v>
      </c>
      <c r="AE441" s="278">
        <f t="shared" si="96"/>
        <v>147.614</v>
      </c>
      <c r="AF441" s="278">
        <f t="shared" si="97"/>
        <v>0</v>
      </c>
      <c r="AG441" s="278">
        <f t="shared" si="95"/>
        <v>0</v>
      </c>
      <c r="AH441" s="202">
        <f t="shared" si="92"/>
        <v>-3.9759999999999991</v>
      </c>
      <c r="AI441" s="202">
        <f t="shared" si="93"/>
        <v>59.22</v>
      </c>
      <c r="BB441" s="203">
        <f>'NASS Crush'!C16/'NOPA Crush'!G441</f>
        <v>1.0715085741641488</v>
      </c>
      <c r="BE441" s="274">
        <f>G441/30</f>
        <v>4.920466666666667</v>
      </c>
      <c r="BF441" s="280">
        <f t="shared" si="106"/>
        <v>150.363</v>
      </c>
      <c r="BG441" s="154" t="str">
        <f t="shared" si="107"/>
        <v/>
      </c>
      <c r="BH441" s="270">
        <f t="shared" si="101"/>
        <v>3.2000000000000028E-2</v>
      </c>
      <c r="BI441" s="270">
        <f t="shared" si="94"/>
        <v>-2.9999999999999361E-2</v>
      </c>
      <c r="BK441" s="274">
        <f t="shared" si="109"/>
        <v>2145</v>
      </c>
    </row>
    <row r="442" spans="1:63">
      <c r="A442" s="266">
        <v>42491</v>
      </c>
      <c r="B442" s="290">
        <f>E442/(1-'NASS Crush'!E17)</f>
        <v>5.7798610935109638</v>
      </c>
      <c r="C442" s="277">
        <f t="shared" si="108"/>
        <v>0.28603666666666638</v>
      </c>
      <c r="D442" s="276">
        <f>'NASS Crush'!C17-'NOPA Crush'!G442</f>
        <v>8.5810999999999922</v>
      </c>
      <c r="E442" s="290">
        <v>5.4541612903225811</v>
      </c>
      <c r="F442" s="277">
        <f t="shared" si="105"/>
        <v>169.07900000000001</v>
      </c>
      <c r="G442" s="277">
        <v>152.28</v>
      </c>
      <c r="H442" s="281">
        <f t="shared" si="104"/>
        <v>0.90064407762052057</v>
      </c>
      <c r="I442" s="202">
        <v>3615.5810000000001</v>
      </c>
      <c r="J442" s="270">
        <v>47.49</v>
      </c>
      <c r="K442" s="270">
        <v>-0.15053756936885065</v>
      </c>
      <c r="L442" s="202">
        <v>682.5</v>
      </c>
      <c r="M442" s="277">
        <v>368.857604928</v>
      </c>
      <c r="N442" s="202">
        <v>1786.13</v>
      </c>
      <c r="O442" s="270">
        <v>11.73</v>
      </c>
      <c r="P442" s="270">
        <v>-6.6620848670064348E-2</v>
      </c>
      <c r="Q442" s="202">
        <v>1993.5630000000001</v>
      </c>
      <c r="R442" s="199">
        <v>0.80837447052841327</v>
      </c>
      <c r="S442" s="202">
        <v>472.57499999999982</v>
      </c>
      <c r="T442" s="286">
        <v>560.67566666666653</v>
      </c>
      <c r="U442" s="275"/>
      <c r="V442" s="278">
        <v>18.641999999999999</v>
      </c>
      <c r="W442" s="278">
        <v>33.728000000000002</v>
      </c>
      <c r="X442" s="278">
        <v>19.545000000000002</v>
      </c>
      <c r="Y442" s="278">
        <v>31.768000000000001</v>
      </c>
      <c r="Z442" s="278"/>
      <c r="AB442" s="278">
        <v>32.756999999999998</v>
      </c>
      <c r="AC442" s="278">
        <v>15.84</v>
      </c>
      <c r="AD442" s="279">
        <v>152.28</v>
      </c>
      <c r="AE442" s="278">
        <f t="shared" si="96"/>
        <v>152.28</v>
      </c>
      <c r="AF442" s="278">
        <f t="shared" si="97"/>
        <v>0</v>
      </c>
      <c r="AG442" s="278">
        <f t="shared" si="95"/>
        <v>0</v>
      </c>
      <c r="AH442" s="202">
        <f t="shared" si="92"/>
        <v>1.1809999999999974</v>
      </c>
      <c r="AI442" s="202">
        <f t="shared" si="93"/>
        <v>59.22</v>
      </c>
      <c r="BB442" s="203">
        <f>'NASS Crush'!C17/'NOPA Crush'!G442</f>
        <v>1.0563508011557656</v>
      </c>
      <c r="BE442" s="274">
        <f t="shared" si="98"/>
        <v>4.9122580645161289</v>
      </c>
      <c r="BF442" s="280">
        <f t="shared" si="106"/>
        <v>148.416</v>
      </c>
      <c r="BG442" s="154" t="str">
        <f t="shared" si="107"/>
        <v>RECORD</v>
      </c>
      <c r="BH442" s="270">
        <f t="shared" si="101"/>
        <v>3.2000000000000028E-2</v>
      </c>
      <c r="BI442" s="270">
        <f t="shared" si="94"/>
        <v>9.9999999999997868E-3</v>
      </c>
      <c r="BK442" s="274">
        <f t="shared" si="109"/>
        <v>2110</v>
      </c>
    </row>
    <row r="443" spans="1:63">
      <c r="A443" s="266">
        <v>42522</v>
      </c>
      <c r="B443" s="290">
        <f>E443/(1-'NASS Crush'!E18)</f>
        <v>5.8181760105879103</v>
      </c>
      <c r="C443" s="277">
        <f t="shared" si="108"/>
        <v>0.29274408602150509</v>
      </c>
      <c r="D443" s="276">
        <f>'NASS Crush'!C18-'NOPA Crush'!G443</f>
        <v>9.0750666666666575</v>
      </c>
      <c r="E443" s="290">
        <v>5.4541612903225811</v>
      </c>
      <c r="F443" s="277">
        <f t="shared" si="105"/>
        <v>163.62483870967742</v>
      </c>
      <c r="G443" s="277">
        <v>145.05000000000001</v>
      </c>
      <c r="H443" s="281">
        <f t="shared" si="104"/>
        <v>0.88647910148510467</v>
      </c>
      <c r="I443" s="202">
        <v>3436.9070000000002</v>
      </c>
      <c r="J443" s="270">
        <v>47.39</v>
      </c>
      <c r="K443" s="270">
        <v>-7.2674157264493999E-2</v>
      </c>
      <c r="L443" s="202">
        <v>594.71</v>
      </c>
      <c r="M443" s="277">
        <v>166.72669442710003</v>
      </c>
      <c r="N443" s="202">
        <v>1691.66</v>
      </c>
      <c r="O443" s="270">
        <v>11.66</v>
      </c>
      <c r="P443" s="270">
        <v>-6.4001771721320821E-2</v>
      </c>
      <c r="Q443" s="202">
        <v>1984.9760000000001</v>
      </c>
      <c r="R443" s="199">
        <v>0.81883922258423014</v>
      </c>
      <c r="S443" s="202">
        <v>439.1579999999999</v>
      </c>
      <c r="T443" s="286">
        <v>572.24199999999996</v>
      </c>
      <c r="U443" s="275"/>
      <c r="V443" s="278">
        <v>16.347000000000001</v>
      </c>
      <c r="W443" s="278">
        <v>33.607999999999997</v>
      </c>
      <c r="X443" s="278">
        <v>20.175999999999998</v>
      </c>
      <c r="Y443" s="278">
        <v>30.268999999999998</v>
      </c>
      <c r="Z443" s="278"/>
      <c r="AB443" s="278">
        <v>30.795000000000002</v>
      </c>
      <c r="AC443" s="278">
        <v>13.856</v>
      </c>
      <c r="AD443" s="279">
        <v>145.05000000000001</v>
      </c>
      <c r="AE443" s="278">
        <f t="shared" si="96"/>
        <v>145.05099999999999</v>
      </c>
      <c r="AF443" s="278">
        <f t="shared" si="97"/>
        <v>9.9999999997635314E-4</v>
      </c>
      <c r="AG443" s="278">
        <f t="shared" si="95"/>
        <v>9.9999999997635314E-4</v>
      </c>
      <c r="AH443" s="202">
        <f t="shared" si="92"/>
        <v>-1.9619999999999962</v>
      </c>
      <c r="AI443" s="202">
        <f t="shared" si="93"/>
        <v>59.05</v>
      </c>
      <c r="BB443" s="203">
        <f>'NASS Crush'!C18/'NOPA Crush'!G443</f>
        <v>1.0625650924968402</v>
      </c>
      <c r="BE443" s="274">
        <f>G443/30</f>
        <v>4.835</v>
      </c>
      <c r="BF443" s="280">
        <f t="shared" si="106"/>
        <v>142.47300000000001</v>
      </c>
      <c r="BG443" s="154" t="str">
        <f t="shared" si="107"/>
        <v>RECORD</v>
      </c>
      <c r="BH443" s="270">
        <f t="shared" si="101"/>
        <v>0</v>
      </c>
      <c r="BI443" s="270">
        <f t="shared" si="94"/>
        <v>-7.0000000000000284E-2</v>
      </c>
      <c r="BK443" s="274">
        <f t="shared" si="109"/>
        <v>2125</v>
      </c>
    </row>
    <row r="444" spans="1:63">
      <c r="A444" s="266">
        <v>42552</v>
      </c>
      <c r="B444" s="290">
        <f>E444/(1-'NASS Crush'!E19)</f>
        <v>5.8505237766043887</v>
      </c>
      <c r="C444" s="277">
        <f t="shared" si="108"/>
        <v>0.32454777777777699</v>
      </c>
      <c r="D444" s="276">
        <f>'NASS Crush'!C19-'NOPA Crush'!G444</f>
        <v>9.7364333333333093</v>
      </c>
      <c r="E444" s="290">
        <v>5.4541612903225811</v>
      </c>
      <c r="F444" s="277">
        <f t="shared" si="105"/>
        <v>169.07900000000001</v>
      </c>
      <c r="G444" s="277">
        <v>143.715</v>
      </c>
      <c r="H444" s="281">
        <f t="shared" si="104"/>
        <v>0.84998728405065083</v>
      </c>
      <c r="I444" s="202">
        <v>3425.4169999999999</v>
      </c>
      <c r="J444" s="270">
        <v>47.67</v>
      </c>
      <c r="K444" s="270">
        <v>-0.17365642288993399</v>
      </c>
      <c r="L444" s="202">
        <v>579.41700000000003</v>
      </c>
      <c r="M444" s="277">
        <v>400.58128980089998</v>
      </c>
      <c r="N444" s="202">
        <v>1686.83</v>
      </c>
      <c r="O444" s="270">
        <v>11.741</v>
      </c>
      <c r="P444" s="270">
        <v>-8.0268254907142733E-2</v>
      </c>
      <c r="Q444" s="202">
        <v>1743.184</v>
      </c>
      <c r="R444" s="199">
        <v>0.78724712976419386</v>
      </c>
      <c r="S444" s="202">
        <v>471.09400000000028</v>
      </c>
      <c r="T444" s="286">
        <v>540.33900000000017</v>
      </c>
      <c r="U444" s="275"/>
      <c r="V444" s="278">
        <v>13.994999999999999</v>
      </c>
      <c r="W444" s="278">
        <v>32.073999999999998</v>
      </c>
      <c r="X444" s="278">
        <v>18.25</v>
      </c>
      <c r="Y444" s="278">
        <v>29.664999999999999</v>
      </c>
      <c r="Z444" s="278"/>
      <c r="AB444" s="278">
        <v>33.567999999999998</v>
      </c>
      <c r="AC444" s="278">
        <v>16.163</v>
      </c>
      <c r="AD444" s="279">
        <v>143.715</v>
      </c>
      <c r="AE444" s="278">
        <f t="shared" si="96"/>
        <v>143.71499999999997</v>
      </c>
      <c r="AF444" s="278">
        <f t="shared" si="97"/>
        <v>0</v>
      </c>
      <c r="AG444" s="278">
        <f t="shared" si="95"/>
        <v>0</v>
      </c>
      <c r="AH444" s="202">
        <f t="shared" si="92"/>
        <v>2.7729999999999961</v>
      </c>
      <c r="AI444" s="202">
        <f t="shared" si="93"/>
        <v>59.411000000000001</v>
      </c>
      <c r="BB444" s="203">
        <f>'NASS Crush'!C19/'NOPA Crush'!G444</f>
        <v>1.0677482053601455</v>
      </c>
      <c r="BE444" s="274">
        <f t="shared" si="98"/>
        <v>4.6359677419354837</v>
      </c>
      <c r="BF444" s="280">
        <f t="shared" si="106"/>
        <v>145.227</v>
      </c>
      <c r="BG444" s="154" t="str">
        <f t="shared" si="107"/>
        <v/>
      </c>
      <c r="BH444" s="270">
        <f t="shared" si="101"/>
        <v>9.9999999999997868E-3</v>
      </c>
      <c r="BI444" s="270">
        <f t="shared" si="94"/>
        <v>8.0999999999999517E-2</v>
      </c>
      <c r="BK444" s="274">
        <f t="shared" si="109"/>
        <v>2135</v>
      </c>
    </row>
    <row r="445" spans="1:63">
      <c r="A445" s="266">
        <v>42583</v>
      </c>
      <c r="B445" s="290">
        <f>E445/(1-'NASS Crush'!E20)</f>
        <v>5.844512209323562</v>
      </c>
      <c r="C445" s="277">
        <f t="shared" si="108"/>
        <v>0.28400967741935429</v>
      </c>
      <c r="D445" s="276">
        <f>'NASS Crush'!C20-'NOPA Crush'!G445</f>
        <v>8.8042999999999836</v>
      </c>
      <c r="E445" s="290">
        <v>5.4541612903225811</v>
      </c>
      <c r="F445" s="277">
        <f t="shared" si="105"/>
        <v>169.07900000000001</v>
      </c>
      <c r="G445" s="277">
        <v>131.822</v>
      </c>
      <c r="H445" s="281">
        <f t="shared" si="104"/>
        <v>0.77964738376735132</v>
      </c>
      <c r="I445" s="202">
        <v>3133.2620000000002</v>
      </c>
      <c r="J445" s="270">
        <v>47.54</v>
      </c>
      <c r="K445" s="270">
        <v>-0.20377626375719871</v>
      </c>
      <c r="L445" s="202">
        <v>574.80200000000002</v>
      </c>
      <c r="M445" s="277">
        <v>183.68711481310015</v>
      </c>
      <c r="N445" s="202">
        <v>1557.12</v>
      </c>
      <c r="O445" s="270">
        <v>11.81</v>
      </c>
      <c r="P445" s="270">
        <v>-0.13026441711116554</v>
      </c>
      <c r="Q445" s="202">
        <v>1620.279</v>
      </c>
      <c r="R445" s="199">
        <v>0.81595604265003074</v>
      </c>
      <c r="S445" s="202">
        <v>365.46399999999994</v>
      </c>
      <c r="T445" s="286">
        <v>481.68633333333332</v>
      </c>
      <c r="U445" s="275"/>
      <c r="V445" s="278">
        <v>14.356999999999999</v>
      </c>
      <c r="W445" s="278">
        <v>28.329000000000001</v>
      </c>
      <c r="X445" s="278">
        <v>17.010999999999999</v>
      </c>
      <c r="Y445" s="278">
        <v>22.164999999999999</v>
      </c>
      <c r="Z445" s="278"/>
      <c r="AB445" s="278">
        <v>34.668999999999997</v>
      </c>
      <c r="AC445" s="278">
        <v>15.291</v>
      </c>
      <c r="AD445" s="279">
        <v>131.822</v>
      </c>
      <c r="AE445" s="278">
        <f t="shared" si="96"/>
        <v>131.822</v>
      </c>
      <c r="AF445" s="278">
        <f t="shared" si="97"/>
        <v>0</v>
      </c>
      <c r="AG445" s="278">
        <f t="shared" si="95"/>
        <v>0</v>
      </c>
      <c r="AH445" s="202">
        <f t="shared" si="92"/>
        <v>1.1009999999999991</v>
      </c>
      <c r="AI445" s="202">
        <f t="shared" si="93"/>
        <v>59.35</v>
      </c>
      <c r="BB445" s="203">
        <f>'NASS Crush'!C20/'NOPA Crush'!G445</f>
        <v>1.0667893067924927</v>
      </c>
      <c r="BE445" s="274">
        <f t="shared" si="98"/>
        <v>4.2523225806451617</v>
      </c>
      <c r="BF445" s="280">
        <f t="shared" si="106"/>
        <v>137.56399999999999</v>
      </c>
      <c r="BG445" s="154" t="str">
        <f t="shared" si="107"/>
        <v/>
      </c>
      <c r="BH445" s="270">
        <f t="shared" si="101"/>
        <v>1.3999999999999702E-2</v>
      </c>
      <c r="BI445" s="270">
        <f t="shared" si="94"/>
        <v>6.9000000000000838E-2</v>
      </c>
      <c r="BK445" s="274">
        <f t="shared" si="109"/>
        <v>2135</v>
      </c>
    </row>
    <row r="446" spans="1:63">
      <c r="A446" s="266">
        <v>42614</v>
      </c>
      <c r="B446" s="290">
        <f>E446/(1-'NASS Crush'!E21)</f>
        <v>5.8126421457385238</v>
      </c>
      <c r="C446" s="277">
        <f t="shared" si="108"/>
        <v>0.25909462365591335</v>
      </c>
      <c r="D446" s="276">
        <f>'NASS Crush'!C21-'NOPA Crush'!G446</f>
        <v>8.0319333333333134</v>
      </c>
      <c r="E446" s="290">
        <v>5.4541612903225811</v>
      </c>
      <c r="F446" s="277">
        <f t="shared" si="105"/>
        <v>163.62483870967742</v>
      </c>
      <c r="G446" s="277">
        <v>130.23500000000001</v>
      </c>
      <c r="H446" s="281">
        <f t="shared" si="104"/>
        <v>0.79593661345682598</v>
      </c>
      <c r="I446" s="202">
        <v>3078.587</v>
      </c>
      <c r="J446" s="270">
        <v>47.28</v>
      </c>
      <c r="K446" s="270">
        <v>-0.16160485707838035</v>
      </c>
      <c r="L446" s="202">
        <v>439.60500000000002</v>
      </c>
      <c r="M446" s="277">
        <v>445.2735508377001</v>
      </c>
      <c r="N446" s="202">
        <v>1531.09</v>
      </c>
      <c r="O446" s="270">
        <v>11.76</v>
      </c>
      <c r="P446" s="270">
        <v>-6.8057747236744959E-2</v>
      </c>
      <c r="Q446" s="202">
        <v>1375.953</v>
      </c>
      <c r="R446" s="199">
        <v>0.8157116408279993</v>
      </c>
      <c r="S446" s="202">
        <v>310.86000000000013</v>
      </c>
      <c r="T446" s="286">
        <v>423.80466666666672</v>
      </c>
      <c r="U446" s="275"/>
      <c r="V446" s="278">
        <v>14.656000000000001</v>
      </c>
      <c r="W446" s="278">
        <v>29.805</v>
      </c>
      <c r="X446" s="278">
        <v>15.586</v>
      </c>
      <c r="Y446" s="278">
        <v>26.123999999999999</v>
      </c>
      <c r="Z446" s="278"/>
      <c r="AB446" s="278">
        <v>30.82</v>
      </c>
      <c r="AC446" s="278">
        <v>13.244</v>
      </c>
      <c r="AD446" s="279">
        <v>130.23500000000001</v>
      </c>
      <c r="AE446" s="278">
        <f t="shared" si="96"/>
        <v>130.23499999999999</v>
      </c>
      <c r="AF446" s="278">
        <f t="shared" si="97"/>
        <v>0</v>
      </c>
      <c r="AG446" s="278">
        <f t="shared" si="95"/>
        <v>0</v>
      </c>
      <c r="AH446" s="202">
        <f t="shared" si="92"/>
        <v>-3.8489999999999966</v>
      </c>
      <c r="AI446" s="202">
        <f t="shared" si="93"/>
        <v>59.04</v>
      </c>
      <c r="BB446" s="203">
        <f>'NASS Crush'!C21/'NOPA Crush'!G446</f>
        <v>1.0616726174479465</v>
      </c>
      <c r="BE446" s="274">
        <f>G446/30</f>
        <v>4.3411666666666671</v>
      </c>
      <c r="BF446" s="280">
        <f t="shared" si="106"/>
        <v>139.82900000000001</v>
      </c>
      <c r="BG446" s="154" t="str">
        <f t="shared" si="107"/>
        <v/>
      </c>
      <c r="BH446" s="270">
        <f t="shared" si="101"/>
        <v>1.6000000000000014E-2</v>
      </c>
      <c r="BI446" s="270">
        <f t="shared" si="94"/>
        <v>-5.0000000000000711E-2</v>
      </c>
      <c r="BK446" s="274">
        <f t="shared" si="109"/>
        <v>2120</v>
      </c>
    </row>
    <row r="447" spans="1:63">
      <c r="A447" s="266">
        <v>42644</v>
      </c>
      <c r="B447" s="290">
        <f>E447/(1-'NASS Crush'!E22)</f>
        <v>5.8723471302431864</v>
      </c>
      <c r="C447" s="277">
        <f t="shared" si="108"/>
        <v>0.3746500000000007</v>
      </c>
      <c r="D447" s="276">
        <f>'NASS Crush'!C22-'NOPA Crush'!G447</f>
        <v>11.239500000000021</v>
      </c>
      <c r="E447" s="298">
        <v>5.4714612903225808</v>
      </c>
      <c r="F447" s="277">
        <f t="shared" si="105"/>
        <v>169.61529999999999</v>
      </c>
      <c r="G447" s="277">
        <v>164.64099999999999</v>
      </c>
      <c r="H447" s="281">
        <f t="shared" si="104"/>
        <v>0.97067304659426357</v>
      </c>
      <c r="I447" s="202">
        <v>3840.864</v>
      </c>
      <c r="J447" s="270">
        <v>46.66</v>
      </c>
      <c r="K447" s="270">
        <v>8.5277788043640612E-3</v>
      </c>
      <c r="L447" s="202">
        <v>562.17999999999995</v>
      </c>
      <c r="M447" s="277">
        <v>371.18717851370013</v>
      </c>
      <c r="N447" s="202">
        <v>1911.92</v>
      </c>
      <c r="O447" s="270">
        <v>11.61</v>
      </c>
      <c r="P447" s="270">
        <v>-7.6498560101887492E-2</v>
      </c>
      <c r="Q447" s="202">
        <v>1343.069</v>
      </c>
      <c r="R447" s="199">
        <v>0.74809824036058381</v>
      </c>
      <c r="S447" s="202">
        <v>452.24199999999996</v>
      </c>
      <c r="T447" s="286">
        <v>448.70799999999991</v>
      </c>
      <c r="U447" s="275"/>
      <c r="V447" s="278">
        <v>19.922000000000001</v>
      </c>
      <c r="W447" s="278">
        <v>37.369999999999997</v>
      </c>
      <c r="X447" s="278">
        <v>20.309999999999999</v>
      </c>
      <c r="Y447" s="278">
        <v>34.408000000000001</v>
      </c>
      <c r="Z447" s="278"/>
      <c r="AB447" s="278">
        <v>36.185000000000002</v>
      </c>
      <c r="AC447" s="278">
        <v>16.445</v>
      </c>
      <c r="AD447" s="279">
        <v>164.64099999999999</v>
      </c>
      <c r="AE447" s="278">
        <f t="shared" si="96"/>
        <v>164.64</v>
      </c>
      <c r="AF447" s="278">
        <f t="shared" si="97"/>
        <v>-1.0000000000047748E-3</v>
      </c>
      <c r="AG447" s="278">
        <f t="shared" si="95"/>
        <v>-1.0000000000047748E-3</v>
      </c>
      <c r="AH447" s="202">
        <f t="shared" si="92"/>
        <v>5.365000000000002</v>
      </c>
      <c r="AI447" s="202">
        <f t="shared" si="93"/>
        <v>58.269999999999996</v>
      </c>
      <c r="BB447" s="203">
        <f>'NASS Crush'!C22/'NOPA Crush'!G447</f>
        <v>1.068266713637551</v>
      </c>
      <c r="BE447" s="274">
        <f t="shared" si="98"/>
        <v>5.3109999999999999</v>
      </c>
      <c r="BF447" s="280">
        <f t="shared" si="106"/>
        <v>158.89500000000001</v>
      </c>
      <c r="BG447" s="154" t="str">
        <f t="shared" si="107"/>
        <v>RECORD</v>
      </c>
      <c r="BH447" s="270">
        <f t="shared" si="101"/>
        <v>-0.1019999999999996</v>
      </c>
      <c r="BI447" s="270">
        <f t="shared" si="94"/>
        <v>-0.15000000000000036</v>
      </c>
      <c r="BK447" s="274">
        <f t="shared" si="109"/>
        <v>2145</v>
      </c>
    </row>
    <row r="448" spans="1:63">
      <c r="A448" s="266">
        <v>42675</v>
      </c>
      <c r="B448" s="290">
        <f>E448/(1-'NASS Crush'!E23)</f>
        <v>5.8337324771600549</v>
      </c>
      <c r="C448" s="277">
        <f t="shared" si="108"/>
        <v>0.32201935483870847</v>
      </c>
      <c r="D448" s="276">
        <f>'NASS Crush'!C23-'NOPA Crush'!G448</f>
        <v>9.9825999999999624</v>
      </c>
      <c r="E448" s="290">
        <v>5.4714612903225808</v>
      </c>
      <c r="F448" s="277">
        <f t="shared" si="105"/>
        <v>164.14383870967742</v>
      </c>
      <c r="G448" s="277">
        <v>160.75200000000001</v>
      </c>
      <c r="H448" s="281">
        <f t="shared" si="104"/>
        <v>0.97933618016770896</v>
      </c>
      <c r="I448" s="202">
        <v>3766.462</v>
      </c>
      <c r="J448" s="270">
        <v>46.86</v>
      </c>
      <c r="K448" s="270">
        <v>0.14285706587885727</v>
      </c>
      <c r="L448" s="202">
        <v>804.33199999999999</v>
      </c>
      <c r="M448" s="277">
        <v>205.91222158240009</v>
      </c>
      <c r="N448" s="202">
        <v>1855.97</v>
      </c>
      <c r="O448" s="270">
        <v>11.55</v>
      </c>
      <c r="P448" s="270">
        <v>-6.2838053915255543E-2</v>
      </c>
      <c r="Q448" s="202">
        <v>1338.6410000000001</v>
      </c>
      <c r="R448" s="199">
        <v>0.75174522985481651</v>
      </c>
      <c r="S448" s="202">
        <v>442.06999999999994</v>
      </c>
      <c r="T448" s="286">
        <v>441.32166666666672</v>
      </c>
      <c r="U448" s="275"/>
      <c r="V448" s="278">
        <v>20.699000000000002</v>
      </c>
      <c r="W448" s="278">
        <v>35.786000000000001</v>
      </c>
      <c r="X448" s="278">
        <v>20.661000000000001</v>
      </c>
      <c r="Y448" s="278">
        <v>34.048999999999999</v>
      </c>
      <c r="Z448" s="278"/>
      <c r="AB448" s="278">
        <v>34.878</v>
      </c>
      <c r="AC448" s="278">
        <v>14.679</v>
      </c>
      <c r="AD448" s="279">
        <v>160.75200000000001</v>
      </c>
      <c r="AE448" s="278">
        <f t="shared" si="96"/>
        <v>160.75199999999998</v>
      </c>
      <c r="AF448" s="278">
        <f t="shared" si="97"/>
        <v>0</v>
      </c>
      <c r="AG448" s="278">
        <f t="shared" si="95"/>
        <v>0</v>
      </c>
      <c r="AH448" s="202">
        <f t="shared" si="92"/>
        <v>-1.3070000000000022</v>
      </c>
      <c r="AI448" s="202">
        <f t="shared" si="93"/>
        <v>58.41</v>
      </c>
      <c r="BB448" s="203">
        <f>'NASS Crush'!C23/'NOPA Crush'!G448</f>
        <v>1.062099382900368</v>
      </c>
      <c r="BE448" s="274">
        <f>G448/30</f>
        <v>5.3584000000000005</v>
      </c>
      <c r="BF448" s="280">
        <f t="shared" si="106"/>
        <v>161.21100000000001</v>
      </c>
      <c r="BG448" s="154" t="str">
        <f t="shared" si="107"/>
        <v/>
      </c>
      <c r="BH448" s="270">
        <f t="shared" si="101"/>
        <v>-0.17200000000000024</v>
      </c>
      <c r="BI448" s="270">
        <f t="shared" si="94"/>
        <v>-5.9999999999998721E-2</v>
      </c>
      <c r="BK448" s="274">
        <f t="shared" si="109"/>
        <v>2130</v>
      </c>
    </row>
    <row r="449" spans="1:63">
      <c r="A449" s="266">
        <v>42705</v>
      </c>
      <c r="B449" s="290">
        <f>E449/(1-'NASS Crush'!E24)</f>
        <v>5.7923585417799064</v>
      </c>
      <c r="C449" s="277">
        <f t="shared" si="108"/>
        <v>0.29579222222222273</v>
      </c>
      <c r="D449" s="276">
        <f>'NASS Crush'!C24-'NOPA Crush'!G449</f>
        <v>8.8737666666666826</v>
      </c>
      <c r="E449" s="290">
        <v>5.4714612903225808</v>
      </c>
      <c r="F449" s="277">
        <f t="shared" si="105"/>
        <v>169.61529999999999</v>
      </c>
      <c r="G449" s="277">
        <v>160.17599999999999</v>
      </c>
      <c r="H449" s="281">
        <f t="shared" si="104"/>
        <v>0.94434877042342291</v>
      </c>
      <c r="I449" s="202">
        <v>3751.2379999999998</v>
      </c>
      <c r="J449" s="270">
        <v>46.84</v>
      </c>
      <c r="K449" s="270">
        <v>5.917150630001089E-2</v>
      </c>
      <c r="L449" s="202">
        <v>949.61500000000001</v>
      </c>
      <c r="M449" s="277">
        <v>-24.064088325099988</v>
      </c>
      <c r="N449" s="202">
        <v>1860.69</v>
      </c>
      <c r="O449" s="270">
        <v>11.62</v>
      </c>
      <c r="P449" s="270">
        <v>-8.3894162922042881E-2</v>
      </c>
      <c r="Q449" s="202">
        <v>1433.9469999999999</v>
      </c>
      <c r="R449" s="199">
        <v>0.76588686460820288</v>
      </c>
      <c r="S449" s="202">
        <v>438.32300000000009</v>
      </c>
      <c r="T449" s="286">
        <v>465.7236666666667</v>
      </c>
      <c r="U449" s="275"/>
      <c r="V449" s="278">
        <v>20.577999999999999</v>
      </c>
      <c r="W449" s="278">
        <v>33.905999999999999</v>
      </c>
      <c r="X449" s="278">
        <v>20.684000000000001</v>
      </c>
      <c r="Y449" s="278">
        <v>34.387</v>
      </c>
      <c r="Z449" s="278"/>
      <c r="AB449" s="278">
        <v>34.601999999999997</v>
      </c>
      <c r="AC449" s="278">
        <v>16.018999999999998</v>
      </c>
      <c r="AD449" s="279">
        <v>160.17599999999999</v>
      </c>
      <c r="AE449" s="278">
        <f t="shared" si="96"/>
        <v>160.17599999999999</v>
      </c>
      <c r="AF449" s="278">
        <f t="shared" si="97"/>
        <v>0</v>
      </c>
      <c r="AG449" s="278">
        <f t="shared" si="95"/>
        <v>0</v>
      </c>
      <c r="AH449" s="202">
        <f t="shared" si="92"/>
        <v>-0.27600000000000335</v>
      </c>
      <c r="AI449" s="202">
        <f t="shared" si="93"/>
        <v>58.46</v>
      </c>
      <c r="BB449" s="203">
        <f>'NASS Crush'!C24/'NOPA Crush'!G449</f>
        <v>1.0554001015549563</v>
      </c>
      <c r="BE449" s="274">
        <f t="shared" si="98"/>
        <v>5.1669677419354834</v>
      </c>
      <c r="BF449" s="280">
        <f t="shared" si="106"/>
        <v>165.38399999999999</v>
      </c>
      <c r="BG449" s="154" t="str">
        <f t="shared" si="107"/>
        <v/>
      </c>
      <c r="BH449" s="270">
        <f t="shared" si="101"/>
        <v>3.6000000000000296E-2</v>
      </c>
      <c r="BI449" s="270">
        <f t="shared" si="94"/>
        <v>6.9999999999998508E-2</v>
      </c>
      <c r="BK449" s="274">
        <f t="shared" si="109"/>
        <v>2115</v>
      </c>
    </row>
    <row r="450" spans="1:63">
      <c r="A450" s="266">
        <v>42736</v>
      </c>
      <c r="B450" s="290">
        <f>E450/(1-'NASS Crush'!E25)</f>
        <v>5.8620635833137511</v>
      </c>
      <c r="C450" s="277">
        <f t="shared" si="108"/>
        <v>0.34524301075268776</v>
      </c>
      <c r="D450" s="276">
        <f>'NASS Crush'!C25-'NOPA Crush'!G450</f>
        <v>10.702533333333321</v>
      </c>
      <c r="E450" s="290">
        <v>5.4714612903225808</v>
      </c>
      <c r="F450" s="277">
        <f t="shared" si="105"/>
        <v>169.61529999999999</v>
      </c>
      <c r="G450" s="277">
        <v>160.62100000000001</v>
      </c>
      <c r="H450" s="281">
        <f t="shared" si="104"/>
        <v>0.94697235449868034</v>
      </c>
      <c r="I450" s="202">
        <v>3770.0340000000001</v>
      </c>
      <c r="J450" s="270">
        <v>46.94</v>
      </c>
      <c r="K450" s="270">
        <v>4.641974441299368E-2</v>
      </c>
      <c r="L450" s="202">
        <v>891.14300000000003</v>
      </c>
      <c r="M450" s="277">
        <v>416.04462477100014</v>
      </c>
      <c r="N450" s="202">
        <v>1870.54</v>
      </c>
      <c r="O450" s="270">
        <v>11.65</v>
      </c>
      <c r="P450" s="270">
        <v>-7.4295754033210315E-2</v>
      </c>
      <c r="Q450" s="202">
        <v>1628.7940000000001</v>
      </c>
      <c r="R450" s="199">
        <v>0.77098331502272788</v>
      </c>
      <c r="S450" s="202">
        <v>483.82499999999959</v>
      </c>
      <c r="T450" s="286">
        <v>500.94166666666661</v>
      </c>
      <c r="U450" s="275"/>
      <c r="V450" s="278">
        <v>20.396999999999998</v>
      </c>
      <c r="W450" s="278">
        <v>34.927</v>
      </c>
      <c r="X450" s="278">
        <v>21.268999999999998</v>
      </c>
      <c r="Y450" s="278">
        <v>33.604999999999997</v>
      </c>
      <c r="Z450" s="278"/>
      <c r="AB450" s="278">
        <v>34.389000000000003</v>
      </c>
      <c r="AC450" s="278">
        <v>16.033999999999999</v>
      </c>
      <c r="AD450" s="279">
        <v>160.62100000000001</v>
      </c>
      <c r="AE450" s="278">
        <f t="shared" si="96"/>
        <v>160.62099999999998</v>
      </c>
      <c r="AF450" s="278">
        <f t="shared" si="97"/>
        <v>0</v>
      </c>
      <c r="AG450" s="278">
        <f t="shared" si="95"/>
        <v>0</v>
      </c>
      <c r="AH450" s="202">
        <f t="shared" ref="AH450:AH477" si="110">AB450-AB449</f>
        <v>-0.21299999999999386</v>
      </c>
      <c r="AI450" s="202">
        <f t="shared" si="93"/>
        <v>58.589999999999996</v>
      </c>
      <c r="BB450" s="203">
        <f>'NASS Crush'!C25/'NOPA Crush'!G450</f>
        <v>1.066632217040943</v>
      </c>
      <c r="BE450" s="274">
        <f t="shared" si="98"/>
        <v>5.1813225806451619</v>
      </c>
      <c r="BF450" s="280">
        <f t="shared" si="106"/>
        <v>162.67500000000001</v>
      </c>
      <c r="BG450" s="154" t="str">
        <f t="shared" si="107"/>
        <v/>
      </c>
      <c r="BH450" s="270">
        <f t="shared" si="101"/>
        <v>7.1999999999999884E-2</v>
      </c>
      <c r="BI450" s="270">
        <f t="shared" si="94"/>
        <v>3.0000000000001137E-2</v>
      </c>
      <c r="BK450" s="274">
        <f t="shared" si="109"/>
        <v>2140</v>
      </c>
    </row>
    <row r="451" spans="1:63">
      <c r="A451" s="266">
        <v>42767</v>
      </c>
      <c r="B451" s="290">
        <f>E451/(1-'NASS Crush'!E26)</f>
        <v>5.8229454894564476</v>
      </c>
      <c r="C451" s="277">
        <f t="shared" si="108"/>
        <v>0.27803870967741956</v>
      </c>
      <c r="D451" s="276">
        <f>'NASS Crush'!C26-'NOPA Crush'!G451</f>
        <v>8.6192000000000064</v>
      </c>
      <c r="E451" s="290">
        <v>5.4714612903225808</v>
      </c>
      <c r="F451" s="277">
        <f t="shared" si="105"/>
        <v>153.20091612903227</v>
      </c>
      <c r="G451" s="277">
        <v>142.792</v>
      </c>
      <c r="H451" s="281">
        <f t="shared" si="104"/>
        <v>0.93205708952637445</v>
      </c>
      <c r="I451" s="202">
        <v>3355.6889999999999</v>
      </c>
      <c r="J451" s="270">
        <v>47</v>
      </c>
      <c r="K451" s="270">
        <v>1.0914578259850316E-2</v>
      </c>
      <c r="L451" s="202">
        <v>738.82500000000005</v>
      </c>
      <c r="M451" s="277">
        <v>317.98987717260002</v>
      </c>
      <c r="N451" s="202">
        <v>1667.68</v>
      </c>
      <c r="O451" s="270">
        <v>11.68</v>
      </c>
      <c r="P451" s="270">
        <v>-7.4006915538946672E-2</v>
      </c>
      <c r="Q451" s="202">
        <v>1770.06</v>
      </c>
      <c r="R451" s="199">
        <v>0.80242296320675421</v>
      </c>
      <c r="S451" s="202">
        <v>435.83400000000029</v>
      </c>
      <c r="T451" s="286">
        <v>507.30800000000005</v>
      </c>
      <c r="U451" s="275"/>
      <c r="V451" s="278">
        <v>18.233000000000001</v>
      </c>
      <c r="W451" s="278">
        <v>30.78</v>
      </c>
      <c r="X451" s="278">
        <v>19.350999999999999</v>
      </c>
      <c r="Y451" s="278">
        <v>29.834</v>
      </c>
      <c r="Z451" s="278"/>
      <c r="AB451" s="278">
        <v>30.518999999999998</v>
      </c>
      <c r="AC451" s="278">
        <v>14.074</v>
      </c>
      <c r="AD451" s="279">
        <v>142.792</v>
      </c>
      <c r="AE451" s="278">
        <f t="shared" si="96"/>
        <v>142.79100000000003</v>
      </c>
      <c r="AF451" s="278">
        <f t="shared" si="97"/>
        <v>-9.9999999997635314E-4</v>
      </c>
      <c r="AG451" s="278">
        <f t="shared" si="95"/>
        <v>-9.9999999997635314E-4</v>
      </c>
      <c r="AH451" s="202">
        <f t="shared" si="110"/>
        <v>-3.8700000000000045</v>
      </c>
      <c r="AI451" s="202">
        <f t="shared" ref="AI451:AI514" si="111">J451+O451</f>
        <v>58.68</v>
      </c>
      <c r="BB451" s="203">
        <f>'NASS Crush'!C26/'NOPA Crush'!G451</f>
        <v>1.0603619250378173</v>
      </c>
      <c r="BE451" s="274">
        <f>G451/28</f>
        <v>5.0997142857142856</v>
      </c>
      <c r="BF451" s="280">
        <f t="shared" si="106"/>
        <v>148.351</v>
      </c>
      <c r="BG451" s="154" t="str">
        <f t="shared" si="107"/>
        <v/>
      </c>
      <c r="BH451" s="270">
        <f t="shared" si="101"/>
        <v>2.7999999999999758E-2</v>
      </c>
      <c r="BI451" s="270">
        <f t="shared" si="94"/>
        <v>2.9999999999999361E-2</v>
      </c>
      <c r="BK451" s="274">
        <f t="shared" si="109"/>
        <v>2125</v>
      </c>
    </row>
    <row r="452" spans="1:63">
      <c r="A452" s="266">
        <v>42795</v>
      </c>
      <c r="B452" s="290">
        <f>E452/(1-'NASS Crush'!E27)</f>
        <v>5.7615078782956406</v>
      </c>
      <c r="C452" s="277">
        <f t="shared" si="108"/>
        <v>0.27519166666666656</v>
      </c>
      <c r="D452" s="276">
        <f>'NASS Crush'!C27-'NOPA Crush'!G452</f>
        <v>7.7053666666666629</v>
      </c>
      <c r="E452" s="290">
        <v>5.4714612903225808</v>
      </c>
      <c r="F452" s="277">
        <f t="shared" si="105"/>
        <v>169.61529999999999</v>
      </c>
      <c r="G452" s="277">
        <v>153.06</v>
      </c>
      <c r="H452" s="281">
        <f t="shared" si="104"/>
        <v>0.90239500799750971</v>
      </c>
      <c r="I452" s="202">
        <v>3600.6089999999999</v>
      </c>
      <c r="J452" s="270">
        <v>47.05</v>
      </c>
      <c r="K452" s="270">
        <v>-0.10878352984509121</v>
      </c>
      <c r="L452" s="202">
        <v>1056.771</v>
      </c>
      <c r="M452" s="277">
        <v>400.63493814480012</v>
      </c>
      <c r="N452" s="202">
        <v>1789.72</v>
      </c>
      <c r="O452" s="270">
        <v>11.69</v>
      </c>
      <c r="P452" s="270">
        <v>-8.3463237481593566E-2</v>
      </c>
      <c r="Q452" s="202">
        <v>1815.16</v>
      </c>
      <c r="R452" s="199">
        <v>0.77678461768233897</v>
      </c>
      <c r="S452" s="202">
        <v>521.60099999999989</v>
      </c>
      <c r="T452" s="286">
        <v>523.2299999999999</v>
      </c>
      <c r="U452" s="275"/>
      <c r="V452" s="278">
        <v>20.550999999999998</v>
      </c>
      <c r="W452" s="278">
        <v>33.279000000000003</v>
      </c>
      <c r="X452" s="278">
        <v>20.515000000000001</v>
      </c>
      <c r="Y452" s="278">
        <v>31.78</v>
      </c>
      <c r="Z452" s="278"/>
      <c r="AB452" s="278">
        <v>31.419</v>
      </c>
      <c r="AC452" s="278">
        <v>15.516</v>
      </c>
      <c r="AD452" s="279">
        <v>153.06</v>
      </c>
      <c r="AE452" s="278">
        <f t="shared" si="96"/>
        <v>153.06</v>
      </c>
      <c r="AF452" s="278">
        <f t="shared" si="97"/>
        <v>0</v>
      </c>
      <c r="AG452" s="278">
        <f t="shared" si="95"/>
        <v>0</v>
      </c>
      <c r="AH452" s="202">
        <f t="shared" si="110"/>
        <v>0.90000000000000213</v>
      </c>
      <c r="AI452" s="202">
        <f t="shared" si="111"/>
        <v>58.739999999999995</v>
      </c>
      <c r="BB452" s="203">
        <f>'NASS Crush'!C27/'NOPA Crush'!G452</f>
        <v>1.0503421316259418</v>
      </c>
      <c r="BE452" s="274">
        <f t="shared" si="98"/>
        <v>4.9374193548387098</v>
      </c>
      <c r="BF452" s="280">
        <f t="shared" si="106"/>
        <v>162.822</v>
      </c>
      <c r="BG452" s="154" t="str">
        <f t="shared" si="107"/>
        <v/>
      </c>
      <c r="BH452" s="270">
        <f t="shared" si="101"/>
        <v>5.400000000000027E-2</v>
      </c>
      <c r="BI452" s="270">
        <f t="shared" ref="BI452:BI515" si="112">O452-O451</f>
        <v>9.9999999999997868E-3</v>
      </c>
      <c r="BK452" s="274">
        <f t="shared" si="109"/>
        <v>2105</v>
      </c>
    </row>
    <row r="453" spans="1:63">
      <c r="A453" s="266">
        <v>42826</v>
      </c>
      <c r="B453" s="290">
        <f>E453/(1-'NASS Crush'!E28)</f>
        <v>5.949597690767245</v>
      </c>
      <c r="C453" s="277">
        <f t="shared" si="108"/>
        <v>0.3606913978494623</v>
      </c>
      <c r="D453" s="276">
        <f>'NASS Crush'!C28-'NOPA Crush'!G453</f>
        <v>11.181433333333331</v>
      </c>
      <c r="E453" s="290">
        <v>5.4714612903225808</v>
      </c>
      <c r="F453" s="277">
        <f t="shared" si="105"/>
        <v>164.14383870967742</v>
      </c>
      <c r="G453" s="277">
        <v>139.13399999999999</v>
      </c>
      <c r="H453" s="281">
        <f t="shared" si="104"/>
        <v>0.84763461786760974</v>
      </c>
      <c r="I453" s="202">
        <v>3266.8209999999999</v>
      </c>
      <c r="J453" s="270">
        <v>46.96</v>
      </c>
      <c r="K453" s="270">
        <v>-8.272725046995788E-2</v>
      </c>
      <c r="L453" s="202">
        <v>595.46799999999996</v>
      </c>
      <c r="M453" s="277">
        <v>314.16487944829998</v>
      </c>
      <c r="N453" s="202">
        <v>1626.8</v>
      </c>
      <c r="O453" s="270">
        <v>11.69</v>
      </c>
      <c r="P453" s="270">
        <v>-0.12707836309061449</v>
      </c>
      <c r="Q453" s="202">
        <v>1725.403</v>
      </c>
      <c r="R453" s="199">
        <v>0.77239915606563281</v>
      </c>
      <c r="S453" s="202">
        <v>508.41999999999985</v>
      </c>
      <c r="T453" s="286">
        <v>530.14599999999984</v>
      </c>
      <c r="U453" s="275"/>
      <c r="V453" s="278">
        <v>18.370999999999999</v>
      </c>
      <c r="W453" s="278">
        <v>30.015999999999998</v>
      </c>
      <c r="X453" s="278">
        <v>18.812000000000001</v>
      </c>
      <c r="Y453" s="278">
        <v>27.975999999999999</v>
      </c>
      <c r="Z453" s="278"/>
      <c r="AB453" s="278">
        <v>29.922999999999998</v>
      </c>
      <c r="AC453" s="278">
        <v>14.037000000000001</v>
      </c>
      <c r="AD453" s="279">
        <v>139.13399999999999</v>
      </c>
      <c r="AE453" s="278">
        <f t="shared" si="96"/>
        <v>139.13499999999999</v>
      </c>
      <c r="AF453" s="278">
        <f t="shared" si="97"/>
        <v>1.0000000000047748E-3</v>
      </c>
      <c r="AG453" s="278">
        <f t="shared" si="95"/>
        <v>1.0000000000047748E-3</v>
      </c>
      <c r="AH453" s="202">
        <f t="shared" si="110"/>
        <v>-1.4960000000000022</v>
      </c>
      <c r="AI453" s="202">
        <f t="shared" si="111"/>
        <v>58.65</v>
      </c>
      <c r="BB453" s="203">
        <f>'NASS Crush'!C28/'NOPA Crush'!G453</f>
        <v>1.0803644927432068</v>
      </c>
      <c r="BE453" s="274">
        <f>G453/30</f>
        <v>4.6377999999999995</v>
      </c>
      <c r="BF453" s="280">
        <f t="shared" si="106"/>
        <v>150.363</v>
      </c>
      <c r="BG453" s="154" t="str">
        <f t="shared" si="107"/>
        <v/>
      </c>
      <c r="BH453" s="270">
        <f t="shared" si="101"/>
        <v>1.2000000000000099E-2</v>
      </c>
      <c r="BI453" s="270">
        <f t="shared" si="112"/>
        <v>0</v>
      </c>
      <c r="BK453" s="274">
        <f t="shared" si="109"/>
        <v>2170</v>
      </c>
    </row>
    <row r="454" spans="1:63">
      <c r="A454" s="266">
        <v>42856</v>
      </c>
      <c r="B454" s="290">
        <f>E454/(1-'NASS Crush'!E29)</f>
        <v>5.8678348255455726</v>
      </c>
      <c r="C454" s="277">
        <f>D454/(A454-A453)</f>
        <v>0.2911188888888887</v>
      </c>
      <c r="D454" s="276">
        <f>'NASS Crush'!C29-'NOPA Crush'!G454</f>
        <v>8.7335666666666611</v>
      </c>
      <c r="E454" s="298">
        <f>E453+0.053</f>
        <v>5.5244612903225807</v>
      </c>
      <c r="F454" s="277">
        <f t="shared" si="105"/>
        <v>171.25829999999999</v>
      </c>
      <c r="G454" s="277">
        <v>149.24600000000001</v>
      </c>
      <c r="H454" s="281">
        <f t="shared" si="104"/>
        <v>0.87146725151423332</v>
      </c>
      <c r="I454" s="202">
        <v>3513.5889999999999</v>
      </c>
      <c r="J454" s="270">
        <v>47.08</v>
      </c>
      <c r="K454" s="270">
        <v>0.16699628876055073</v>
      </c>
      <c r="L454" s="202">
        <v>592.92399999999998</v>
      </c>
      <c r="M454" s="277">
        <v>205.65225874039993</v>
      </c>
      <c r="N454" s="202">
        <v>1751.96</v>
      </c>
      <c r="O454" s="270">
        <v>11.74</v>
      </c>
      <c r="P454" s="270">
        <v>-9.7089218500197916E-2</v>
      </c>
      <c r="Q454" s="202">
        <v>1749.096</v>
      </c>
      <c r="R454" s="199">
        <v>0.77077983743563416</v>
      </c>
      <c r="S454" s="202">
        <v>520.15900000000011</v>
      </c>
      <c r="T454" s="286">
        <v>560.67566666666653</v>
      </c>
      <c r="U454" s="275"/>
      <c r="V454" s="278">
        <v>17.613</v>
      </c>
      <c r="W454" s="278">
        <v>33.878</v>
      </c>
      <c r="X454" s="278">
        <v>18.387</v>
      </c>
      <c r="Y454" s="278">
        <v>32.206000000000003</v>
      </c>
      <c r="Z454" s="278"/>
      <c r="AB454" s="278">
        <v>33.042999999999999</v>
      </c>
      <c r="AC454" s="278">
        <v>14.118</v>
      </c>
      <c r="AD454" s="279">
        <v>149.24600000000001</v>
      </c>
      <c r="AE454" s="278">
        <f t="shared" si="96"/>
        <v>149.245</v>
      </c>
      <c r="AF454" s="278">
        <f t="shared" si="97"/>
        <v>-1.0000000000047748E-3</v>
      </c>
      <c r="AG454" s="278">
        <f t="shared" ref="AG454:AG465" si="113">AE454-G454</f>
        <v>-1.0000000000047748E-3</v>
      </c>
      <c r="AH454" s="202">
        <f t="shared" si="110"/>
        <v>3.120000000000001</v>
      </c>
      <c r="AI454" s="202">
        <f t="shared" si="111"/>
        <v>58.82</v>
      </c>
      <c r="BB454" s="203">
        <f>'NASS Crush'!C29/'NOPA Crush'!G454</f>
        <v>1.0585179278953316</v>
      </c>
      <c r="BE454" s="274">
        <f t="shared" si="98"/>
        <v>4.814387096774194</v>
      </c>
      <c r="BF454" s="280">
        <f t="shared" si="106"/>
        <v>152.28</v>
      </c>
      <c r="BG454" s="154" t="str">
        <f t="shared" si="107"/>
        <v/>
      </c>
      <c r="BH454" s="270">
        <f t="shared" si="101"/>
        <v>4.4000000000000129E-2</v>
      </c>
      <c r="BI454" s="270">
        <f t="shared" si="112"/>
        <v>5.0000000000000711E-2</v>
      </c>
      <c r="BK454" s="274">
        <f t="shared" si="109"/>
        <v>2140</v>
      </c>
    </row>
    <row r="455" spans="1:63">
      <c r="A455" s="266">
        <v>42887</v>
      </c>
      <c r="B455" s="290">
        <f>E455/(1-'NASS Crush'!E30)</f>
        <v>5.9630162589571487</v>
      </c>
      <c r="C455" s="277">
        <f>D455/(A455-A454)</f>
        <v>0.3275731182795697</v>
      </c>
      <c r="D455" s="276">
        <f>'NASS Crush'!C30-'NOPA Crush'!G455</f>
        <v>10.15476666666666</v>
      </c>
      <c r="E455" s="290">
        <f>E454</f>
        <v>5.5244612903225807</v>
      </c>
      <c r="F455" s="277">
        <f t="shared" si="105"/>
        <v>165.73383870967743</v>
      </c>
      <c r="G455" s="277">
        <v>138.07400000000001</v>
      </c>
      <c r="H455" s="281">
        <f t="shared" si="104"/>
        <v>0.83310687228979075</v>
      </c>
      <c r="I455" s="202">
        <v>3233.8649999999998</v>
      </c>
      <c r="J455" s="270">
        <v>46.84</v>
      </c>
      <c r="K455" s="270">
        <v>0.24299311222315367</v>
      </c>
      <c r="L455" s="202">
        <v>562.68399999999997</v>
      </c>
      <c r="M455" s="277">
        <v>127.61445383240005</v>
      </c>
      <c r="N455" s="202">
        <v>1621.5129999999999</v>
      </c>
      <c r="O455" s="270">
        <v>11.74</v>
      </c>
      <c r="P455" s="270">
        <v>-3.101773542382702E-2</v>
      </c>
      <c r="Q455" s="202">
        <v>1703.405</v>
      </c>
      <c r="R455" s="199">
        <v>0.79489085565544937</v>
      </c>
      <c r="S455" s="202">
        <v>439.53700000000003</v>
      </c>
      <c r="T455" s="286">
        <v>537.72966666666673</v>
      </c>
      <c r="U455" s="275"/>
      <c r="V455" s="278">
        <v>15.489000000000001</v>
      </c>
      <c r="W455" s="278">
        <v>31.757000000000001</v>
      </c>
      <c r="X455" s="278">
        <v>17.863</v>
      </c>
      <c r="Y455" s="278">
        <v>29.917999999999999</v>
      </c>
      <c r="Z455" s="278"/>
      <c r="AB455" s="278">
        <v>29.428999999999998</v>
      </c>
      <c r="AC455" s="278">
        <v>13.619</v>
      </c>
      <c r="AD455" s="279">
        <v>138.07400000000001</v>
      </c>
      <c r="AE455" s="278">
        <f t="shared" ref="AE455:AE464" si="114">SUM(V455:AC455)</f>
        <v>138.07500000000002</v>
      </c>
      <c r="AF455" s="278">
        <f t="shared" ref="AF455:AF465" si="115">AE455-AD455</f>
        <v>1.0000000000047748E-3</v>
      </c>
      <c r="AG455" s="278">
        <f t="shared" si="113"/>
        <v>1.0000000000047748E-3</v>
      </c>
      <c r="AH455" s="202">
        <f t="shared" si="110"/>
        <v>-3.6140000000000008</v>
      </c>
      <c r="AI455" s="202">
        <f t="shared" si="111"/>
        <v>58.580000000000005</v>
      </c>
      <c r="BB455" s="203">
        <f>'NASS Crush'!C30/'NOPA Crush'!G455</f>
        <v>1.0735458280825256</v>
      </c>
      <c r="BE455" s="274">
        <f>G455/30</f>
        <v>4.6024666666666674</v>
      </c>
      <c r="BF455" s="280">
        <f t="shared" si="106"/>
        <v>145.05000000000001</v>
      </c>
      <c r="BG455" s="154" t="str">
        <f t="shared" si="107"/>
        <v/>
      </c>
      <c r="BH455" s="270">
        <f t="shared" si="101"/>
        <v>-2.2000000000000242E-2</v>
      </c>
      <c r="BI455" s="270">
        <f t="shared" si="112"/>
        <v>0</v>
      </c>
      <c r="BK455" s="274">
        <f t="shared" si="109"/>
        <v>2175</v>
      </c>
    </row>
    <row r="456" spans="1:63">
      <c r="A456" s="266">
        <v>42917</v>
      </c>
      <c r="B456" s="290">
        <f>E456/(1-'NASS Crush'!E31)</f>
        <v>5.9746586464694849</v>
      </c>
      <c r="C456" s="277">
        <f t="shared" ref="C456:C518" si="116">D456/(A456-A455)</f>
        <v>0.36348888888888953</v>
      </c>
      <c r="D456" s="276">
        <f>'NASS Crush'!C31-'NOPA Crush'!G456</f>
        <v>10.904666666666685</v>
      </c>
      <c r="E456" s="290">
        <f t="shared" ref="E456:E475" si="117">E455</f>
        <v>5.5244612903225807</v>
      </c>
      <c r="F456" s="277">
        <f t="shared" si="105"/>
        <v>171.25829999999999</v>
      </c>
      <c r="G456" s="277">
        <v>144.71799999999999</v>
      </c>
      <c r="H456" s="281">
        <f t="shared" si="104"/>
        <v>0.84502765705370186</v>
      </c>
      <c r="I456" s="202">
        <v>3359.3139999999999</v>
      </c>
      <c r="J456" s="270">
        <v>46.43</v>
      </c>
      <c r="K456" s="270">
        <v>0.32519418765046737</v>
      </c>
      <c r="L456" s="202">
        <v>596.76700000000005</v>
      </c>
      <c r="M456" s="277">
        <v>176.01540180259985</v>
      </c>
      <c r="N456" s="202">
        <v>1687.068</v>
      </c>
      <c r="O456" s="270">
        <v>11.66</v>
      </c>
      <c r="P456" s="270">
        <v>-8.4719620963527476E-2</v>
      </c>
      <c r="Q456" s="202">
        <v>1557.8530000000001</v>
      </c>
      <c r="R456" s="199">
        <v>0.77869795215104376</v>
      </c>
      <c r="S456" s="202">
        <v>442.73399999999992</v>
      </c>
      <c r="T456" s="286">
        <v>501.77933333333345</v>
      </c>
      <c r="U456" s="275"/>
      <c r="V456" s="278">
        <v>17.768999999999998</v>
      </c>
      <c r="W456" s="278">
        <v>30.657</v>
      </c>
      <c r="X456" s="278">
        <v>17.149999999999999</v>
      </c>
      <c r="Y456" s="278">
        <v>31.864999999999998</v>
      </c>
      <c r="Z456" s="278"/>
      <c r="AB456" s="278">
        <v>33.066000000000003</v>
      </c>
      <c r="AC456" s="278">
        <v>14.211</v>
      </c>
      <c r="AD456" s="279">
        <v>144.71799999999999</v>
      </c>
      <c r="AE456" s="278">
        <f t="shared" si="114"/>
        <v>144.71800000000002</v>
      </c>
      <c r="AF456" s="278">
        <f t="shared" si="115"/>
        <v>0</v>
      </c>
      <c r="AG456" s="278">
        <f t="shared" si="113"/>
        <v>0</v>
      </c>
      <c r="AH456" s="202">
        <f t="shared" si="110"/>
        <v>3.637000000000004</v>
      </c>
      <c r="AI456" s="202">
        <f t="shared" si="111"/>
        <v>58.09</v>
      </c>
      <c r="BB456" s="203">
        <f>'NASS Crush'!C31/'NOPA Crush'!G456</f>
        <v>1.0753511426820899</v>
      </c>
      <c r="BE456" s="274">
        <f t="shared" si="98"/>
        <v>4.6683225806451611</v>
      </c>
      <c r="BF456" s="280">
        <f t="shared" si="106"/>
        <v>145.227</v>
      </c>
      <c r="BG456" s="154" t="str">
        <f t="shared" si="107"/>
        <v/>
      </c>
      <c r="BH456" s="270">
        <f t="shared" si="101"/>
        <v>3.2199999999999916E-2</v>
      </c>
      <c r="BI456" s="270">
        <f t="shared" si="112"/>
        <v>-8.0000000000000071E-2</v>
      </c>
      <c r="BK456" s="274">
        <f t="shared" si="109"/>
        <v>2180</v>
      </c>
    </row>
    <row r="457" spans="1:63">
      <c r="A457" s="266">
        <v>42948</v>
      </c>
      <c r="B457" s="290">
        <f>E457/(1-'NASS Crush'!E32)</f>
        <v>5.9057728100711095</v>
      </c>
      <c r="C457" s="277">
        <f t="shared" si="116"/>
        <v>0.29663655913978459</v>
      </c>
      <c r="D457" s="276">
        <f>'NASS Crush'!C32-'NOPA Crush'!G457</f>
        <v>9.1957333333333224</v>
      </c>
      <c r="E457" s="290">
        <f t="shared" si="117"/>
        <v>5.5244612903225807</v>
      </c>
      <c r="F457" s="277">
        <f t="shared" si="105"/>
        <v>171.25829999999999</v>
      </c>
      <c r="G457" s="277">
        <v>142.42400000000001</v>
      </c>
      <c r="H457" s="281">
        <f t="shared" si="104"/>
        <v>0.83163268583186922</v>
      </c>
      <c r="I457" s="202">
        <v>3337.5189999999998</v>
      </c>
      <c r="J457" s="270">
        <v>46.87</v>
      </c>
      <c r="K457" s="270">
        <f>'NASS Crush'!K32-'NOPA Crush'!J457</f>
        <v>4.3141473229525218E-2</v>
      </c>
      <c r="L457" s="202">
        <v>426.89600000000002</v>
      </c>
      <c r="M457" s="277">
        <f>'[1]Soy Complex'!$BF222-L457</f>
        <v>455.02467199999995</v>
      </c>
      <c r="N457" s="202">
        <v>1669.0650000000001</v>
      </c>
      <c r="O457" s="270">
        <v>11.72</v>
      </c>
      <c r="P457" s="270">
        <f>'NASS Crush'!W32-'NOPA Crush'!O457</f>
        <v>-9.7456144670701406E-2</v>
      </c>
      <c r="Q457" s="202">
        <v>1417.0160000000001</v>
      </c>
      <c r="R457" s="199">
        <f>Q457/('NASS Crush'!P32+'NASS Crush'!T32)</f>
        <v>0.78273430254300169</v>
      </c>
      <c r="S457" s="202">
        <f>'NASS Crush'!P32+'NASS Crush'!T32-'NOPA Crush'!Q457</f>
        <v>393.32499999999982</v>
      </c>
      <c r="T457" s="275"/>
      <c r="U457" s="275"/>
      <c r="V457" s="278">
        <v>17.613</v>
      </c>
      <c r="W457" s="278">
        <v>29.728000000000002</v>
      </c>
      <c r="X457" s="278">
        <v>18.795000000000002</v>
      </c>
      <c r="Y457" s="278">
        <v>31.213000000000001</v>
      </c>
      <c r="Z457" s="278"/>
      <c r="AB457" s="278">
        <v>31.722999999999999</v>
      </c>
      <c r="AC457" s="278">
        <v>13.351000000000001</v>
      </c>
      <c r="AD457" s="279">
        <v>142.42400000000001</v>
      </c>
      <c r="AE457" s="278">
        <f t="shared" si="114"/>
        <v>142.423</v>
      </c>
      <c r="AF457" s="278">
        <f t="shared" si="115"/>
        <v>-1.0000000000047748E-3</v>
      </c>
      <c r="AG457" s="278">
        <f t="shared" si="113"/>
        <v>-1.0000000000047748E-3</v>
      </c>
      <c r="AH457" s="202">
        <f t="shared" si="110"/>
        <v>-1.3430000000000035</v>
      </c>
      <c r="AI457" s="202">
        <f t="shared" si="111"/>
        <v>58.589999999999996</v>
      </c>
      <c r="BB457" s="203">
        <f>'NASS Crush'!C32/'NOPA Crush'!G457</f>
        <v>1.0645658971334417</v>
      </c>
      <c r="BE457" s="274">
        <f t="shared" si="98"/>
        <v>4.5943225806451613</v>
      </c>
      <c r="BF457" s="280">
        <f t="shared" si="106"/>
        <v>137.56399999999999</v>
      </c>
      <c r="BG457" s="154" t="str">
        <f t="shared" si="107"/>
        <v>RECORD</v>
      </c>
      <c r="BH457" s="270">
        <f t="shared" si="101"/>
        <v>2.9799999999999827E-2</v>
      </c>
      <c r="BI457" s="270">
        <f t="shared" si="112"/>
        <v>6.0000000000000497E-2</v>
      </c>
      <c r="BK457" s="274">
        <f t="shared" si="109"/>
        <v>2155</v>
      </c>
    </row>
    <row r="458" spans="1:63">
      <c r="A458" s="266">
        <v>42979</v>
      </c>
      <c r="B458" s="290">
        <f>E458/(1-'NASS Crush'!E33)</f>
        <v>5.9125629405472022</v>
      </c>
      <c r="C458" s="277">
        <f t="shared" si="116"/>
        <v>0.28885698924731179</v>
      </c>
      <c r="D458" s="276">
        <f>'NASS Crush'!C33-'NOPA Crush'!G458</f>
        <v>8.9545666666666648</v>
      </c>
      <c r="E458" s="290">
        <f t="shared" si="117"/>
        <v>5.5244612903225807</v>
      </c>
      <c r="F458" s="277">
        <f t="shared" si="105"/>
        <v>165.73383870967743</v>
      </c>
      <c r="G458" s="277">
        <v>136.41900000000001</v>
      </c>
      <c r="H458" s="281">
        <f>G458/F458</f>
        <v>0.82312098158162261</v>
      </c>
      <c r="I458" s="202">
        <v>3202.09</v>
      </c>
      <c r="J458" s="270">
        <v>46.94</v>
      </c>
      <c r="K458" s="270">
        <f>'NASS Crush'!K33-'NOPA Crush'!J458</f>
        <v>-4.5037206443076627E-2</v>
      </c>
      <c r="L458" s="202">
        <v>487.39699999999999</v>
      </c>
      <c r="M458" s="277">
        <f>'[1]Soy Complex'!$BF223-L458</f>
        <v>207.58280000000008</v>
      </c>
      <c r="N458" s="202">
        <v>1606.8679999999999</v>
      </c>
      <c r="O458" s="270">
        <v>11.78</v>
      </c>
      <c r="P458" s="270">
        <f>'NASS Crush'!W33-'NOPA Crush'!O458</f>
        <v>-7.3869105502215149E-2</v>
      </c>
      <c r="Q458" s="202">
        <v>1301.912</v>
      </c>
      <c r="R458" s="199">
        <f>Q458/('NASS Crush'!P33+'NASS Crush'!T33)</f>
        <v>0.76092752931989993</v>
      </c>
      <c r="S458" s="202">
        <f>'NASS Crush'!P33+'NASS Crush'!T33-'NOPA Crush'!Q458</f>
        <v>409.04199999999992</v>
      </c>
      <c r="T458" s="275"/>
      <c r="U458" s="275"/>
      <c r="V458" s="278">
        <v>17.068000000000001</v>
      </c>
      <c r="W458" s="278">
        <v>32.097000000000001</v>
      </c>
      <c r="X458" s="278">
        <v>17.172000000000001</v>
      </c>
      <c r="Y458" s="278">
        <v>27.254000000000001</v>
      </c>
      <c r="AB458" s="278">
        <v>28.890999999999998</v>
      </c>
      <c r="AC458" s="278">
        <v>13.936</v>
      </c>
      <c r="AD458" s="279">
        <v>136.41900000000001</v>
      </c>
      <c r="AE458" s="278">
        <f t="shared" si="114"/>
        <v>136.41800000000001</v>
      </c>
      <c r="AF458" s="278">
        <f t="shared" si="115"/>
        <v>-1.0000000000047748E-3</v>
      </c>
      <c r="AG458" s="278">
        <f t="shared" si="113"/>
        <v>-1.0000000000047748E-3</v>
      </c>
      <c r="AH458" s="202">
        <f t="shared" si="110"/>
        <v>-2.8320000000000007</v>
      </c>
      <c r="AI458" s="202">
        <f t="shared" si="111"/>
        <v>58.72</v>
      </c>
      <c r="BB458" s="203">
        <f>'NASS Crush'!C33/'NOPA Crush'!G458</f>
        <v>1.0656401723122635</v>
      </c>
      <c r="BE458" s="274">
        <f>G458/30</f>
        <v>4.5473000000000008</v>
      </c>
      <c r="BF458" s="280">
        <f t="shared" si="106"/>
        <v>139.82900000000001</v>
      </c>
      <c r="BG458" s="154" t="str">
        <f t="shared" si="107"/>
        <v/>
      </c>
      <c r="BH458" s="270">
        <f t="shared" si="101"/>
        <v>0</v>
      </c>
      <c r="BI458" s="270">
        <f t="shared" si="112"/>
        <v>5.9999999999998721E-2</v>
      </c>
      <c r="BK458" s="274">
        <f t="shared" si="109"/>
        <v>2160</v>
      </c>
    </row>
    <row r="459" spans="1:63">
      <c r="A459" s="266">
        <v>43009</v>
      </c>
      <c r="B459" s="290">
        <f>E459/(1-'NASS Crush'!E34)</f>
        <v>5.9470669976216151</v>
      </c>
      <c r="C459" s="277">
        <f t="shared" si="116"/>
        <v>0.38904111111111112</v>
      </c>
      <c r="D459" s="276">
        <f>'NASS Crush'!C34-'NOPA Crush'!G459</f>
        <v>11.671233333333333</v>
      </c>
      <c r="E459" s="290">
        <f t="shared" si="117"/>
        <v>5.5244612903225807</v>
      </c>
      <c r="F459" s="277">
        <f t="shared" si="105"/>
        <v>171.25829999999999</v>
      </c>
      <c r="G459" s="277">
        <v>164.24199999999999</v>
      </c>
      <c r="H459" s="281">
        <f t="shared" ref="H459:H507" si="118">G459/F459</f>
        <v>0.95903089076558623</v>
      </c>
      <c r="I459" s="202">
        <v>3849.998</v>
      </c>
      <c r="J459" s="270">
        <v>46.88</v>
      </c>
      <c r="K459" s="270">
        <f>'NASS Crush'!K34-'NOPA Crush'!J459</f>
        <v>4.761559533989157E-3</v>
      </c>
      <c r="L459" s="202">
        <v>643.19899999999996</v>
      </c>
      <c r="M459" s="277">
        <f>'[1]Soy Complex'!$BG212-L459</f>
        <v>154.18059600000004</v>
      </c>
      <c r="N459" s="202">
        <v>1895.8879999999999</v>
      </c>
      <c r="O459" s="270">
        <v>11.54</v>
      </c>
      <c r="P459" s="270">
        <f>'NASS Crush'!W34-'NOPA Crush'!O459</f>
        <v>-7.4756812875740764E-2</v>
      </c>
      <c r="Q459" s="202">
        <v>1224.066</v>
      </c>
      <c r="R459" s="199">
        <f>Q459/('NASS Crush'!P34+'NASS Crush'!T34)</f>
        <v>0.75270488733709962</v>
      </c>
      <c r="S459" s="202">
        <f>'NASS Crush'!P34+'NASS Crush'!T34-'NOPA Crush'!Q459</f>
        <v>402.15699999999993</v>
      </c>
      <c r="T459" s="299">
        <f t="shared" ref="T459:T466" si="119">L459/(L459+M459)</f>
        <v>0.80664090632186169</v>
      </c>
      <c r="U459" s="300">
        <f t="shared" ref="U459:U468" si="120">O459+J459</f>
        <v>58.42</v>
      </c>
      <c r="V459" s="278">
        <v>19.145</v>
      </c>
      <c r="W459" s="278">
        <v>37.197000000000003</v>
      </c>
      <c r="X459" s="278">
        <v>21.64</v>
      </c>
      <c r="Y459" s="278">
        <v>35.308</v>
      </c>
      <c r="AB459" s="278">
        <v>35.299999999999997</v>
      </c>
      <c r="AC459" s="278">
        <v>15.653</v>
      </c>
      <c r="AD459" s="279">
        <v>164.24199999999999</v>
      </c>
      <c r="AE459" s="278">
        <f t="shared" si="114"/>
        <v>164.24299999999997</v>
      </c>
      <c r="AF459" s="278">
        <f t="shared" si="115"/>
        <v>9.9999999997635314E-4</v>
      </c>
      <c r="AG459" s="278">
        <f t="shared" si="113"/>
        <v>9.9999999997635314E-4</v>
      </c>
      <c r="AH459" s="202">
        <f t="shared" si="110"/>
        <v>6.4089999999999989</v>
      </c>
      <c r="AI459" s="202">
        <f t="shared" si="111"/>
        <v>58.42</v>
      </c>
      <c r="BB459" s="203">
        <f>'NASS Crush'!C34/'NOPA Crush'!G459</f>
        <v>1.0710611983130585</v>
      </c>
      <c r="BE459" s="274">
        <f t="shared" ref="BE459:BE522" si="121">G459/31</f>
        <v>5.2981290322580641</v>
      </c>
      <c r="BF459" s="280">
        <f t="shared" si="106"/>
        <v>164.64099999999999</v>
      </c>
      <c r="BG459" s="154" t="str">
        <f t="shared" si="107"/>
        <v/>
      </c>
      <c r="BH459" s="270">
        <f t="shared" si="101"/>
        <v>-0.10399999999999991</v>
      </c>
      <c r="BI459" s="270">
        <f t="shared" si="112"/>
        <v>-0.24000000000000021</v>
      </c>
      <c r="BK459" s="274">
        <f t="shared" si="109"/>
        <v>2170</v>
      </c>
    </row>
    <row r="460" spans="1:63">
      <c r="A460" s="266">
        <v>43040</v>
      </c>
      <c r="B460" s="290">
        <f>E460/(1-'NASS Crush'!E35)</f>
        <v>5.8767031934217835</v>
      </c>
      <c r="C460" s="277">
        <f t="shared" si="116"/>
        <v>0.3162172043010758</v>
      </c>
      <c r="D460" s="276">
        <f>'NASS Crush'!C35-'NOPA Crush'!G460</f>
        <v>9.8027333333333502</v>
      </c>
      <c r="E460" s="290">
        <f t="shared" si="117"/>
        <v>5.5244612903225807</v>
      </c>
      <c r="F460" s="277">
        <f t="shared" si="105"/>
        <v>165.73383870967743</v>
      </c>
      <c r="G460" s="277">
        <v>163.54599999999999</v>
      </c>
      <c r="H460" s="281">
        <f t="shared" si="118"/>
        <v>0.98679908263326988</v>
      </c>
      <c r="I460" s="202">
        <v>3874.5129999999999</v>
      </c>
      <c r="J460" s="270">
        <v>47.38</v>
      </c>
      <c r="K460" s="270">
        <f>'NASS Crush'!K35-'NOPA Crush'!J460</f>
        <v>-5.6989082893025511E-2</v>
      </c>
      <c r="L460" s="202">
        <v>896.14499999999998</v>
      </c>
      <c r="M460" s="277">
        <f>'[1]Soy Complex'!$BG213-L460</f>
        <v>231.91134099999999</v>
      </c>
      <c r="N460" s="202">
        <v>1874.0119999999999</v>
      </c>
      <c r="O460" s="270">
        <v>11.46</v>
      </c>
      <c r="P460" s="270">
        <f>'NASS Crush'!W35-'NOPA Crush'!O460</f>
        <v>-5.5215194342348894E-2</v>
      </c>
      <c r="Q460" s="202">
        <v>1326.3030000000001</v>
      </c>
      <c r="R460" s="199">
        <f>Q460/('NASS Crush'!P35+'NASS Crush'!T35)</f>
        <v>0.78452496508596758</v>
      </c>
      <c r="S460" s="202">
        <f>'NASS Crush'!P35+'NASS Crush'!T35-'NOPA Crush'!Q460</f>
        <v>364.27799999999979</v>
      </c>
      <c r="T460" s="299">
        <f t="shared" si="119"/>
        <v>0.79441510803049509</v>
      </c>
      <c r="U460" s="300">
        <f t="shared" si="120"/>
        <v>58.84</v>
      </c>
      <c r="V460" s="278">
        <v>19.922000000000001</v>
      </c>
      <c r="W460" s="278">
        <v>35.86</v>
      </c>
      <c r="X460" s="278">
        <v>22.047999999999998</v>
      </c>
      <c r="Y460" s="278">
        <v>35.155999999999999</v>
      </c>
      <c r="Z460" s="278"/>
      <c r="AB460" s="278">
        <v>35.307000000000002</v>
      </c>
      <c r="AC460" s="278">
        <v>15.253</v>
      </c>
      <c r="AD460" s="279">
        <v>163.54599999999999</v>
      </c>
      <c r="AE460" s="278">
        <f t="shared" si="114"/>
        <v>163.54599999999999</v>
      </c>
      <c r="AF460" s="278">
        <f t="shared" si="115"/>
        <v>0</v>
      </c>
      <c r="AG460" s="278">
        <f t="shared" si="113"/>
        <v>0</v>
      </c>
      <c r="AH460" s="202">
        <f t="shared" si="110"/>
        <v>7.0000000000050022E-3</v>
      </c>
      <c r="AI460" s="202">
        <f t="shared" si="111"/>
        <v>58.84</v>
      </c>
      <c r="BB460" s="203">
        <f>'NASS Crush'!C35/'NOPA Crush'!G460</f>
        <v>1.0599386920703249</v>
      </c>
      <c r="BE460" s="274">
        <f>G460/30</f>
        <v>5.4515333333333329</v>
      </c>
      <c r="BF460" s="280">
        <f t="shared" ref="BF460:BF490" si="122">MAX(G448,G436,G424,G412,G400,G388,G376,G364,G352,G340,G328,G316,G304,G292,G280,G268,G256,G244,G232,G220,G208,G196,G184)</f>
        <v>161.21100000000001</v>
      </c>
      <c r="BG460" s="154" t="str">
        <f t="shared" ref="BG460:BG490" si="123">IF(G460&gt;BF460,"RECORD","")</f>
        <v>RECORD</v>
      </c>
      <c r="BH460" s="270">
        <f t="shared" si="101"/>
        <v>-0.13399999999999998</v>
      </c>
      <c r="BI460" s="270">
        <f t="shared" si="112"/>
        <v>-7.9999999999998295E-2</v>
      </c>
      <c r="BK460" s="274">
        <f t="shared" si="109"/>
        <v>2145</v>
      </c>
    </row>
    <row r="461" spans="1:63">
      <c r="A461" s="266">
        <v>43070</v>
      </c>
      <c r="B461" s="290">
        <f>E461/(1-'NASS Crush'!E36)</f>
        <v>5.8761689797661569</v>
      </c>
      <c r="C461" s="277">
        <f t="shared" si="116"/>
        <v>0.33194999999999958</v>
      </c>
      <c r="D461" s="276">
        <f>'NASS Crush'!C36-'NOPA Crush'!G461</f>
        <v>9.9584999999999866</v>
      </c>
      <c r="E461" s="290">
        <f t="shared" si="117"/>
        <v>5.5244612903225807</v>
      </c>
      <c r="F461" s="277">
        <f t="shared" si="105"/>
        <v>171.25829999999999</v>
      </c>
      <c r="G461" s="277">
        <v>166.38200000000001</v>
      </c>
      <c r="H461" s="281">
        <f t="shared" si="118"/>
        <v>0.9715266354973745</v>
      </c>
      <c r="I461" s="202">
        <v>3937.9879999999998</v>
      </c>
      <c r="J461" s="270">
        <v>47.34</v>
      </c>
      <c r="K461" s="270">
        <f>'NASS Crush'!K36-'NOPA Crush'!J461</f>
        <v>-1.0917911653876899E-2</v>
      </c>
      <c r="L461" s="202">
        <v>926.17399999999998</v>
      </c>
      <c r="M461" s="277">
        <f>'[1]Soy Complex'!$BG214-L461</f>
        <v>263.57809300000008</v>
      </c>
      <c r="N461" s="202">
        <v>1920.904</v>
      </c>
      <c r="O461" s="270">
        <v>11.55</v>
      </c>
      <c r="P461" s="270">
        <f>'NASS Crush'!W36-'NOPA Crush'!O461</f>
        <v>-0.12179150563823882</v>
      </c>
      <c r="Q461" s="202">
        <v>1538.491</v>
      </c>
      <c r="R461" s="199">
        <f>Q461/('NASS Crush'!P36+'NASS Crush'!T36)</f>
        <v>0.78869713750221715</v>
      </c>
      <c r="S461" s="202">
        <f>'NASS Crush'!P36+'NASS Crush'!T36-'NOPA Crush'!Q461</f>
        <v>412.18299999999999</v>
      </c>
      <c r="T461" s="299">
        <f t="shared" si="119"/>
        <v>0.77845965176209186</v>
      </c>
      <c r="U461" s="300">
        <f t="shared" si="120"/>
        <v>58.89</v>
      </c>
      <c r="V461" s="278">
        <v>20.529</v>
      </c>
      <c r="W461" s="278">
        <v>37.073</v>
      </c>
      <c r="X461" s="278">
        <v>22.468</v>
      </c>
      <c r="Y461" s="278">
        <v>35.624000000000002</v>
      </c>
      <c r="Z461" s="278"/>
      <c r="AB461" s="278">
        <v>35.140999999999998</v>
      </c>
      <c r="AC461" s="278">
        <v>15.548</v>
      </c>
      <c r="AD461" s="279">
        <v>166.38200000000001</v>
      </c>
      <c r="AE461" s="278">
        <f t="shared" si="114"/>
        <v>166.38300000000001</v>
      </c>
      <c r="AF461" s="278">
        <f t="shared" si="115"/>
        <v>1.0000000000047748E-3</v>
      </c>
      <c r="AG461" s="278">
        <f t="shared" si="113"/>
        <v>1.0000000000047748E-3</v>
      </c>
      <c r="AH461" s="202">
        <f t="shared" si="110"/>
        <v>-0.16600000000000392</v>
      </c>
      <c r="AI461" s="202">
        <f t="shared" si="111"/>
        <v>58.89</v>
      </c>
      <c r="BB461" s="203">
        <f>'NASS Crush'!C36/'NOPA Crush'!G461</f>
        <v>1.0598532293156711</v>
      </c>
      <c r="BE461" s="274">
        <f t="shared" si="121"/>
        <v>5.3671612903225805</v>
      </c>
      <c r="BF461" s="280">
        <f t="shared" si="122"/>
        <v>165.38399999999999</v>
      </c>
      <c r="BG461" s="154" t="str">
        <f t="shared" si="123"/>
        <v>RECORD</v>
      </c>
      <c r="BH461" s="270">
        <f t="shared" si="101"/>
        <v>4.0000000000000216E-2</v>
      </c>
      <c r="BI461" s="270">
        <f t="shared" si="112"/>
        <v>8.9999999999999858E-2</v>
      </c>
      <c r="BK461" s="274">
        <f t="shared" si="109"/>
        <v>2145</v>
      </c>
    </row>
    <row r="462" spans="1:63">
      <c r="A462" s="266">
        <v>43101</v>
      </c>
      <c r="B462" s="290">
        <f>E462/(1-'NASS Crush'!E37)</f>
        <v>5.94545965637493</v>
      </c>
      <c r="C462" s="277">
        <f t="shared" si="116"/>
        <v>0.37257741935483896</v>
      </c>
      <c r="D462" s="276">
        <f>'NASS Crush'!C37-'NOPA Crush'!G462</f>
        <v>11.549900000000008</v>
      </c>
      <c r="E462" s="290">
        <f t="shared" si="117"/>
        <v>5.5244612903225807</v>
      </c>
      <c r="F462" s="277">
        <f t="shared" si="105"/>
        <v>171.25829999999999</v>
      </c>
      <c r="G462" s="277">
        <v>163.11099999999999</v>
      </c>
      <c r="H462" s="281">
        <f t="shared" si="118"/>
        <v>0.95242683128350569</v>
      </c>
      <c r="I462" s="202">
        <v>3857.0650000000001</v>
      </c>
      <c r="J462" s="270">
        <v>47.29</v>
      </c>
      <c r="K462" s="270">
        <f>'NASS Crush'!K37-'NOPA Crush'!J462</f>
        <v>-1.7656848212730836E-2</v>
      </c>
      <c r="L462" s="202">
        <v>860.41600000000005</v>
      </c>
      <c r="M462" s="277">
        <f>'[1]Soy Complex'!$BG215-L462</f>
        <v>329.90109300000006</v>
      </c>
      <c r="N462" s="202">
        <v>1877.5119999999999</v>
      </c>
      <c r="O462" s="270">
        <v>11.51</v>
      </c>
      <c r="P462" s="270">
        <f>'NASS Crush'!W37-'NOPA Crush'!O462</f>
        <v>-8.4494921301791592E-2</v>
      </c>
      <c r="Q462" s="202">
        <v>1728.414</v>
      </c>
      <c r="R462" s="199">
        <f>Q462/('NASS Crush'!P37+'NASS Crush'!T37)</f>
        <v>0.77168780560982664</v>
      </c>
      <c r="S462" s="202">
        <f>'NASS Crush'!P37+'NASS Crush'!T37-'NOPA Crush'!Q462</f>
        <v>511.37000000000012</v>
      </c>
      <c r="T462" s="299">
        <f t="shared" si="119"/>
        <v>0.72284604250407081</v>
      </c>
      <c r="U462" s="300">
        <f t="shared" si="120"/>
        <v>58.8</v>
      </c>
      <c r="V462" s="278">
        <v>19.280999999999999</v>
      </c>
      <c r="W462" s="278">
        <v>36.148000000000003</v>
      </c>
      <c r="X462" s="278">
        <v>21.611999999999998</v>
      </c>
      <c r="Y462" s="278">
        <v>35.700000000000003</v>
      </c>
      <c r="Z462" s="278"/>
      <c r="AB462" s="278">
        <v>34.460999999999999</v>
      </c>
      <c r="AC462" s="278">
        <v>15.91</v>
      </c>
      <c r="AD462" s="279">
        <v>163.11099999999999</v>
      </c>
      <c r="AE462" s="278">
        <f t="shared" si="114"/>
        <v>163.11199999999999</v>
      </c>
      <c r="AF462" s="278">
        <f t="shared" si="115"/>
        <v>1.0000000000047748E-3</v>
      </c>
      <c r="AG462" s="278">
        <f t="shared" si="113"/>
        <v>1.0000000000047748E-3</v>
      </c>
      <c r="AH462" s="202">
        <f t="shared" si="110"/>
        <v>-0.67999999999999972</v>
      </c>
      <c r="AI462" s="202">
        <f t="shared" si="111"/>
        <v>58.8</v>
      </c>
      <c r="BB462" s="203">
        <f>'NASS Crush'!C37/'NOPA Crush'!G462</f>
        <v>1.0708100618597152</v>
      </c>
      <c r="BE462" s="274">
        <f t="shared" si="121"/>
        <v>5.2616451612903221</v>
      </c>
      <c r="BF462" s="280">
        <f t="shared" si="122"/>
        <v>162.67500000000001</v>
      </c>
      <c r="BG462" s="154" t="str">
        <f t="shared" si="123"/>
        <v>RECORD</v>
      </c>
      <c r="BH462" s="270">
        <f t="shared" si="101"/>
        <v>6.2000000000000097E-2</v>
      </c>
      <c r="BI462" s="270">
        <f t="shared" si="112"/>
        <v>-4.0000000000000924E-2</v>
      </c>
      <c r="BK462" s="274">
        <f t="shared" si="109"/>
        <v>2170</v>
      </c>
    </row>
    <row r="463" spans="1:63">
      <c r="A463" s="266">
        <v>43132</v>
      </c>
      <c r="B463" s="290">
        <f>E463/(1-'NASS Crush'!E38)</f>
        <v>5.960282304334326</v>
      </c>
      <c r="C463" s="277">
        <f t="shared" si="116"/>
        <v>0.3625827956989251</v>
      </c>
      <c r="D463" s="276">
        <f>'NASS Crush'!C38-'NOPA Crush'!G463</f>
        <v>11.240066666666678</v>
      </c>
      <c r="E463" s="290">
        <f t="shared" si="117"/>
        <v>5.5244612903225807</v>
      </c>
      <c r="F463" s="277">
        <f t="shared" si="105"/>
        <v>154.68491612903227</v>
      </c>
      <c r="G463" s="277">
        <v>153.71899999999999</v>
      </c>
      <c r="H463" s="281">
        <f t="shared" si="118"/>
        <v>0.99375558940584385</v>
      </c>
      <c r="I463" s="202">
        <v>3642.489</v>
      </c>
      <c r="J463" s="270">
        <v>47.39</v>
      </c>
      <c r="K463" s="270">
        <f>'NASS Crush'!K38-'NOPA Crush'!J463</f>
        <v>-0.11073152693234078</v>
      </c>
      <c r="L463" s="202">
        <v>755.10299999999995</v>
      </c>
      <c r="M463" s="277">
        <f>'[1]Soy Complex'!$BG216-L463</f>
        <v>502.17263200000014</v>
      </c>
      <c r="N463" s="202">
        <v>1767.9259999999999</v>
      </c>
      <c r="O463" s="270">
        <v>11.5</v>
      </c>
      <c r="P463" s="270">
        <f>'NASS Crush'!W38-'NOPA Crush'!O463</f>
        <v>-4.3576062910153368E-2</v>
      </c>
      <c r="Q463" s="202">
        <v>1855.6980000000001</v>
      </c>
      <c r="R463" s="199">
        <f>Q463/('NASS Crush'!P38+'NASS Crush'!T38)</f>
        <v>0.76511576320761032</v>
      </c>
      <c r="S463" s="202">
        <f>'NASS Crush'!P38+'NASS Crush'!T38-'NOPA Crush'!Q463</f>
        <v>569.68399999999951</v>
      </c>
      <c r="T463" s="299">
        <f t="shared" si="119"/>
        <v>0.60058668185497766</v>
      </c>
      <c r="U463" s="300">
        <f t="shared" si="120"/>
        <v>58.89</v>
      </c>
      <c r="V463" s="278">
        <v>18.402999999999999</v>
      </c>
      <c r="W463" s="278">
        <v>33.854999999999997</v>
      </c>
      <c r="X463" s="278">
        <v>20.533999999999999</v>
      </c>
      <c r="Y463" s="278">
        <v>33.530999999999999</v>
      </c>
      <c r="Z463" s="278"/>
      <c r="AB463" s="278">
        <v>32.308</v>
      </c>
      <c r="AC463" s="278">
        <v>15.087999999999999</v>
      </c>
      <c r="AD463" s="279">
        <v>153.71899999999999</v>
      </c>
      <c r="AE463" s="278">
        <f t="shared" si="114"/>
        <v>153.71899999999999</v>
      </c>
      <c r="AF463" s="278">
        <f t="shared" si="115"/>
        <v>0</v>
      </c>
      <c r="AG463" s="278">
        <f t="shared" si="113"/>
        <v>0</v>
      </c>
      <c r="AH463" s="202">
        <f t="shared" si="110"/>
        <v>-2.1529999999999987</v>
      </c>
      <c r="AI463" s="202">
        <f t="shared" si="111"/>
        <v>58.89</v>
      </c>
      <c r="BB463" s="203">
        <f>'NASS Crush'!C38/'NOPA Crush'!G463</f>
        <v>1.0731208677305126</v>
      </c>
      <c r="BE463" s="274">
        <f>G463/28</f>
        <v>5.4899642857142856</v>
      </c>
      <c r="BF463" s="280">
        <f t="shared" si="122"/>
        <v>148.351</v>
      </c>
      <c r="BG463" s="154" t="str">
        <f t="shared" si="123"/>
        <v>RECORD</v>
      </c>
      <c r="BH463" s="270">
        <f t="shared" ref="BH463:BH521" si="124">AVERAGE(O451-O450,O439-O438,O427-O426,O415-O414,O403-O402)</f>
        <v>1.9999999999999574E-2</v>
      </c>
      <c r="BI463" s="270">
        <f t="shared" si="112"/>
        <v>-9.9999999999997868E-3</v>
      </c>
      <c r="BK463" s="274">
        <f t="shared" si="109"/>
        <v>2175</v>
      </c>
    </row>
    <row r="464" spans="1:63">
      <c r="A464" s="266">
        <v>43160</v>
      </c>
      <c r="B464" s="290">
        <f>E464/(1-'NASS Crush'!E39)</f>
        <v>5.8772751768314704</v>
      </c>
      <c r="C464" s="277">
        <f t="shared" si="116"/>
        <v>0.36845238095238081</v>
      </c>
      <c r="D464" s="276">
        <f>'NASS Crush'!C39-'NOPA Crush'!G464</f>
        <v>10.316666666666663</v>
      </c>
      <c r="E464" s="290">
        <f t="shared" si="117"/>
        <v>5.5244612903225807</v>
      </c>
      <c r="F464" s="277">
        <f t="shared" si="105"/>
        <v>171.25829999999999</v>
      </c>
      <c r="G464" s="277">
        <v>171.858</v>
      </c>
      <c r="H464" s="281">
        <f t="shared" si="118"/>
        <v>1.0035017280914269</v>
      </c>
      <c r="I464" s="202">
        <v>4083.0210000000002</v>
      </c>
      <c r="J464" s="270">
        <v>47.52</v>
      </c>
      <c r="K464" s="270">
        <f>'NASS Crush'!K39-'NOPA Crush'!J464</f>
        <v>-0.24066002590920732</v>
      </c>
      <c r="L464" s="202">
        <v>878.58199999999999</v>
      </c>
      <c r="M464" s="277">
        <f>'[1]Soy Complex'!$BG217-L464</f>
        <v>465.93586900000003</v>
      </c>
      <c r="N464" s="202">
        <v>1977.3810000000001</v>
      </c>
      <c r="O464" s="270">
        <v>11.51</v>
      </c>
      <c r="P464" s="270">
        <f>'NASS Crush'!W39-'NOPA Crush'!O464</f>
        <v>-9.7200196148751417E-2</v>
      </c>
      <c r="Q464" s="202">
        <v>1946.123</v>
      </c>
      <c r="R464" s="199">
        <f>Q464/('NASS Crush'!P39+'NASS Crush'!T39)</f>
        <v>0.79612899583633667</v>
      </c>
      <c r="S464" s="202">
        <f>'NASS Crush'!P39+'NASS Crush'!T39-'NOPA Crush'!Q464</f>
        <v>498.35899999999992</v>
      </c>
      <c r="T464" s="299">
        <f t="shared" si="119"/>
        <v>0.65345505646083757</v>
      </c>
      <c r="U464" s="300">
        <f t="shared" si="120"/>
        <v>59.03</v>
      </c>
      <c r="V464" s="278">
        <v>19.562000000000001</v>
      </c>
      <c r="W464" s="278">
        <v>38.454999999999998</v>
      </c>
      <c r="X464" s="278">
        <v>22.937000000000001</v>
      </c>
      <c r="Y464" s="278">
        <v>36.451000000000001</v>
      </c>
      <c r="Z464" s="278"/>
      <c r="AB464" s="278">
        <v>36.840000000000003</v>
      </c>
      <c r="AC464" s="278">
        <v>17.613</v>
      </c>
      <c r="AD464" s="279">
        <v>171.858</v>
      </c>
      <c r="AE464" s="278">
        <f t="shared" si="114"/>
        <v>171.858</v>
      </c>
      <c r="AF464" s="278">
        <f t="shared" si="115"/>
        <v>0</v>
      </c>
      <c r="AG464" s="278">
        <f t="shared" si="113"/>
        <v>0</v>
      </c>
      <c r="AH464" s="202">
        <f t="shared" si="110"/>
        <v>4.5320000000000036</v>
      </c>
      <c r="AI464" s="202">
        <f t="shared" si="111"/>
        <v>59.03</v>
      </c>
      <c r="BB464" s="203">
        <f>'NASS Crush'!C39/'NOPA Crush'!G464</f>
        <v>1.0600301799547689</v>
      </c>
      <c r="BE464" s="274">
        <f t="shared" si="121"/>
        <v>5.5438064516129035</v>
      </c>
      <c r="BF464" s="280">
        <f t="shared" si="122"/>
        <v>162.822</v>
      </c>
      <c r="BG464" s="154" t="str">
        <f t="shared" si="123"/>
        <v>RECORD</v>
      </c>
      <c r="BH464" s="270">
        <f t="shared" si="124"/>
        <v>4.8000000000000043E-2</v>
      </c>
      <c r="BI464" s="270">
        <f t="shared" si="112"/>
        <v>9.9999999999997868E-3</v>
      </c>
      <c r="BK464" s="274">
        <f t="shared" si="109"/>
        <v>2145</v>
      </c>
    </row>
    <row r="465" spans="1:63">
      <c r="A465" s="266">
        <v>43191</v>
      </c>
      <c r="B465" s="290">
        <f>E465/(1-'NASS Crush'!E40)</f>
        <v>5.914651111133689</v>
      </c>
      <c r="C465" s="277">
        <f t="shared" si="116"/>
        <v>0.34265268817204281</v>
      </c>
      <c r="D465" s="276">
        <f>'NASS Crush'!C40-'NOPA Crush'!G465</f>
        <v>10.622233333333327</v>
      </c>
      <c r="E465" s="290">
        <f t="shared" si="117"/>
        <v>5.5244612903225807</v>
      </c>
      <c r="F465" s="277">
        <f t="shared" si="105"/>
        <v>165.73383870967743</v>
      </c>
      <c r="G465" s="277">
        <v>161.01599999999999</v>
      </c>
      <c r="H465" s="281">
        <f t="shared" si="118"/>
        <v>0.97153364245703699</v>
      </c>
      <c r="I465" s="202">
        <v>3833.1779999999999</v>
      </c>
      <c r="J465" s="270">
        <v>47.61</v>
      </c>
      <c r="K465" s="270">
        <f>'NASS Crush'!K40-'NOPA Crush'!J465</f>
        <v>-6.9042245249548273E-2</v>
      </c>
      <c r="L465" s="202">
        <v>946.29100000000005</v>
      </c>
      <c r="M465" s="277">
        <f>'[1]Soy Complex'!$BG218-L465</f>
        <v>289.87316999999996</v>
      </c>
      <c r="N465" s="202">
        <v>1857.3340000000001</v>
      </c>
      <c r="O465" s="270">
        <v>11.54</v>
      </c>
      <c r="P465" s="270">
        <f>'NASS Crush'!W40-'NOPA Crush'!O465</f>
        <v>-9.1956275476304583E-2</v>
      </c>
      <c r="Q465" s="202">
        <v>2092.4470000000001</v>
      </c>
      <c r="R465" s="199">
        <f>Q465/('NASS Crush'!P40+'NASS Crush'!T40)</f>
        <v>0.7782154407804891</v>
      </c>
      <c r="S465" s="202">
        <f>'NASS Crush'!P40+'NASS Crush'!T40-'NOPA Crush'!Q465</f>
        <v>596.32899999999972</v>
      </c>
      <c r="T465" s="299">
        <f t="shared" si="119"/>
        <v>0.76550592790599981</v>
      </c>
      <c r="U465" s="300">
        <f t="shared" si="120"/>
        <v>59.15</v>
      </c>
      <c r="V465" s="278">
        <v>19.212</v>
      </c>
      <c r="W465" s="278">
        <v>35.881999999999998</v>
      </c>
      <c r="X465" s="278">
        <v>21.236999999999998</v>
      </c>
      <c r="Y465" s="278">
        <v>34.262999999999998</v>
      </c>
      <c r="Z465" s="278"/>
      <c r="AB465" s="278">
        <v>34.036000000000001</v>
      </c>
      <c r="AC465" s="278">
        <v>16.387</v>
      </c>
      <c r="AD465" s="279">
        <v>161.01599999999999</v>
      </c>
      <c r="AE465" s="278">
        <f t="shared" ref="AE465:AE474" si="125">SUM(V465:AC465)</f>
        <v>161.017</v>
      </c>
      <c r="AF465" s="278">
        <f t="shared" si="115"/>
        <v>1.0000000000047748E-3</v>
      </c>
      <c r="AG465" s="278">
        <f t="shared" si="113"/>
        <v>1.0000000000047748E-3</v>
      </c>
      <c r="AH465" s="202">
        <f t="shared" si="110"/>
        <v>-2.804000000000002</v>
      </c>
      <c r="AI465" s="202">
        <f t="shared" si="111"/>
        <v>59.15</v>
      </c>
      <c r="BB465" s="203">
        <f>'NASS Crush'!C40/'NOPA Crush'!G465</f>
        <v>1.0659700485251984</v>
      </c>
      <c r="BE465" s="274">
        <f>G465/30</f>
        <v>5.3671999999999995</v>
      </c>
      <c r="BF465" s="280">
        <f t="shared" si="122"/>
        <v>150.363</v>
      </c>
      <c r="BG465" s="154" t="str">
        <f t="shared" si="123"/>
        <v>RECORD</v>
      </c>
      <c r="BH465" s="270">
        <f t="shared" si="124"/>
        <v>1.4000000000000411E-2</v>
      </c>
      <c r="BI465" s="270">
        <f t="shared" si="112"/>
        <v>2.9999999999999361E-2</v>
      </c>
      <c r="BK465" s="274">
        <f t="shared" si="109"/>
        <v>2160</v>
      </c>
    </row>
    <row r="466" spans="1:63">
      <c r="A466" s="266">
        <v>43221</v>
      </c>
      <c r="B466" s="290">
        <f>E466/(1-'NASS Crush'!E41)</f>
        <v>5.8421938903297539</v>
      </c>
      <c r="C466" s="277">
        <f t="shared" si="116"/>
        <v>0.29653333333333287</v>
      </c>
      <c r="D466" s="276">
        <f>'NASS Crush'!C41-'NOPA Crush'!G466</f>
        <v>8.8959999999999866</v>
      </c>
      <c r="E466" s="290">
        <f t="shared" si="117"/>
        <v>5.5244612903225807</v>
      </c>
      <c r="F466" s="277">
        <f t="shared" si="105"/>
        <v>171.25829999999999</v>
      </c>
      <c r="G466" s="277">
        <v>163.572</v>
      </c>
      <c r="H466" s="281">
        <f t="shared" si="118"/>
        <v>0.95511867162058717</v>
      </c>
      <c r="I466" s="202">
        <v>3891.723</v>
      </c>
      <c r="J466" s="270">
        <v>47.58</v>
      </c>
      <c r="K466" s="270">
        <f>'NASS Crush'!K41-'NOPA Crush'!J466</f>
        <v>7.2445671081013074E-2</v>
      </c>
      <c r="L466" s="202">
        <v>904.94100000000003</v>
      </c>
      <c r="M466" s="277">
        <f>'[1]Soy Complex'!$BG219-L466</f>
        <v>396.33975499999997</v>
      </c>
      <c r="N466" s="202">
        <v>1885.049</v>
      </c>
      <c r="O466" s="270">
        <v>11.52</v>
      </c>
      <c r="P466" s="270">
        <f>'NASS Crush'!W41-'NOPA Crush'!O466</f>
        <v>-0.11782104506343138</v>
      </c>
      <c r="Q466" s="202">
        <v>1856.06</v>
      </c>
      <c r="R466" s="199">
        <f>Q466/('NASS Crush'!P41+'NASS Crush'!T41)</f>
        <v>0.78180804958255068</v>
      </c>
      <c r="S466" s="202">
        <f>'NASS Crush'!P41+'NASS Crush'!T41-'NOPA Crush'!Q466</f>
        <v>518.0010000000002</v>
      </c>
      <c r="T466" s="299">
        <f t="shared" si="119"/>
        <v>0.69542333314535187</v>
      </c>
      <c r="U466" s="300">
        <f t="shared" si="120"/>
        <v>59.099999999999994</v>
      </c>
      <c r="V466" s="278">
        <v>19.622</v>
      </c>
      <c r="W466" s="278">
        <v>36.543999999999997</v>
      </c>
      <c r="X466" s="278">
        <v>18.84</v>
      </c>
      <c r="Y466" s="278">
        <v>34.664000000000001</v>
      </c>
      <c r="Z466" s="278"/>
      <c r="AB466" s="278">
        <v>36.034999999999997</v>
      </c>
      <c r="AC466" s="278">
        <v>17.867000000000001</v>
      </c>
      <c r="AD466" s="279">
        <v>163.572</v>
      </c>
      <c r="AE466" s="278">
        <f t="shared" si="125"/>
        <v>163.57199999999997</v>
      </c>
      <c r="AF466" s="278">
        <f t="shared" ref="AF466:AF474" si="126">AE466-AD466</f>
        <v>0</v>
      </c>
      <c r="AG466" s="278">
        <f t="shared" ref="AG466:AG469" si="127">AE466-G466</f>
        <v>0</v>
      </c>
      <c r="AH466" s="202">
        <f t="shared" si="110"/>
        <v>1.9989999999999952</v>
      </c>
      <c r="AI466" s="202">
        <f t="shared" si="111"/>
        <v>59.099999999999994</v>
      </c>
      <c r="BB466" s="203">
        <f>'NASS Crush'!C41/'NOPA Crush'!G466</f>
        <v>1.0543858362066856</v>
      </c>
      <c r="BE466" s="274">
        <f t="shared" si="121"/>
        <v>5.2765161290322578</v>
      </c>
      <c r="BF466" s="280">
        <f t="shared" si="122"/>
        <v>152.28</v>
      </c>
      <c r="BG466" s="154" t="str">
        <f t="shared" si="123"/>
        <v>RECORD</v>
      </c>
      <c r="BH466" s="270">
        <f t="shared" si="124"/>
        <v>5.1999999999999956E-2</v>
      </c>
      <c r="BI466" s="270">
        <f t="shared" si="112"/>
        <v>-1.9999999999999574E-2</v>
      </c>
      <c r="BK466" s="274">
        <f t="shared" si="109"/>
        <v>2130</v>
      </c>
    </row>
    <row r="467" spans="1:63">
      <c r="A467" s="266">
        <v>43252</v>
      </c>
      <c r="B467" s="290">
        <f>E467/(1-'NASS Crush'!E42)</f>
        <v>5.9079941026472591</v>
      </c>
      <c r="C467" s="277">
        <f t="shared" si="116"/>
        <v>0.3334419354838703</v>
      </c>
      <c r="D467" s="276">
        <f>'NASS Crush'!C42-'NOPA Crush'!G467</f>
        <v>10.336699999999979</v>
      </c>
      <c r="E467" s="290">
        <f t="shared" si="117"/>
        <v>5.5244612903225807</v>
      </c>
      <c r="F467" s="277">
        <f t="shared" si="105"/>
        <v>165.73383870967743</v>
      </c>
      <c r="G467" s="277">
        <v>159.22800000000001</v>
      </c>
      <c r="H467" s="281">
        <f t="shared" si="118"/>
        <v>0.96074526022972317</v>
      </c>
      <c r="I467" s="202">
        <v>3786.665</v>
      </c>
      <c r="J467" s="270">
        <v>47.56</v>
      </c>
      <c r="K467" s="270">
        <f>'NASS Crush'!K42-'NOPA Crush'!J467</f>
        <v>8.3076253488911789E-4</v>
      </c>
      <c r="L467" s="202">
        <v>857.27499999999998</v>
      </c>
      <c r="M467" s="277">
        <f>'[1]Soy Complex'!$BG220-L467</f>
        <v>545.03251799999987</v>
      </c>
      <c r="N467" s="202">
        <v>1834.51</v>
      </c>
      <c r="O467" s="270">
        <v>11.52</v>
      </c>
      <c r="P467" s="270">
        <f>'NASS Crush'!W42-'NOPA Crush'!O467</f>
        <v>-9.7180273960322694E-2</v>
      </c>
      <c r="Q467" s="202">
        <v>1765.9449999999999</v>
      </c>
      <c r="R467" s="199">
        <f>Q467/('NASS Crush'!P42+'NASS Crush'!T42)</f>
        <v>0.76620048177548838</v>
      </c>
      <c r="S467" s="202">
        <f>'NASS Crush'!P42+'NASS Crush'!T42-'NOPA Crush'!Q467</f>
        <v>538.86300000000006</v>
      </c>
      <c r="T467" s="299">
        <f>L467/(L467+M467)</f>
        <v>0.6113316722587806</v>
      </c>
      <c r="U467" s="300">
        <f t="shared" si="120"/>
        <v>59.08</v>
      </c>
      <c r="V467" s="278">
        <v>18.66</v>
      </c>
      <c r="W467" s="278">
        <v>33.866999999999997</v>
      </c>
      <c r="X467" s="278">
        <v>20.384</v>
      </c>
      <c r="Y467" s="278">
        <v>34.441000000000003</v>
      </c>
      <c r="Z467" s="278"/>
      <c r="AB467" s="278">
        <v>35.158999999999999</v>
      </c>
      <c r="AC467" s="278">
        <v>16.718</v>
      </c>
      <c r="AD467" s="279">
        <v>159.22800000000001</v>
      </c>
      <c r="AE467" s="278">
        <f t="shared" si="125"/>
        <v>159.22899999999998</v>
      </c>
      <c r="AF467" s="278">
        <f t="shared" si="126"/>
        <v>9.9999999997635314E-4</v>
      </c>
      <c r="AG467" s="278">
        <f t="shared" si="127"/>
        <v>9.9999999997635314E-4</v>
      </c>
      <c r="AH467" s="202">
        <f t="shared" si="110"/>
        <v>-0.87599999999999767</v>
      </c>
      <c r="AI467" s="202">
        <f t="shared" si="111"/>
        <v>59.08</v>
      </c>
      <c r="BB467" s="203">
        <f>'NASS Crush'!C42/'NOPA Crush'!G467</f>
        <v>1.0649176024317331</v>
      </c>
      <c r="BE467" s="274">
        <f>G467/30</f>
        <v>5.3075999999999999</v>
      </c>
      <c r="BF467" s="280">
        <f t="shared" si="122"/>
        <v>145.05000000000001</v>
      </c>
      <c r="BG467" s="154" t="str">
        <f t="shared" si="123"/>
        <v>RECORD</v>
      </c>
      <c r="BH467" s="270">
        <f t="shared" si="124"/>
        <v>-1.7999999999999971E-2</v>
      </c>
      <c r="BI467" s="270">
        <f t="shared" si="112"/>
        <v>0</v>
      </c>
      <c r="BK467" s="274">
        <f t="shared" si="109"/>
        <v>2155</v>
      </c>
    </row>
    <row r="468" spans="1:63">
      <c r="A468" s="266">
        <v>43282</v>
      </c>
      <c r="B468" s="290">
        <f>E468/(1-'NASS Crush'!E43)</f>
        <v>5.9170145981420612</v>
      </c>
      <c r="C468" s="277">
        <f t="shared" si="116"/>
        <v>0.37093111111111149</v>
      </c>
      <c r="D468" s="276">
        <f>'NASS Crush'!C43-'NOPA Crush'!G468</f>
        <v>11.127933333333345</v>
      </c>
      <c r="E468" s="290">
        <f t="shared" si="117"/>
        <v>5.5244612903225807</v>
      </c>
      <c r="F468" s="277">
        <f t="shared" si="105"/>
        <v>171.25829999999999</v>
      </c>
      <c r="G468" s="277">
        <v>167.733</v>
      </c>
      <c r="H468" s="281">
        <f t="shared" si="118"/>
        <v>0.97941530425094736</v>
      </c>
      <c r="I468" s="202">
        <v>3981.0390000000002</v>
      </c>
      <c r="J468" s="270">
        <v>47.47</v>
      </c>
      <c r="K468" s="270">
        <f>'NASS Crush'!K43-'NOPA Crush'!J468</f>
        <v>-6.5106745874103922E-3</v>
      </c>
      <c r="L468" s="202">
        <v>737.46500000000003</v>
      </c>
      <c r="M468" s="277">
        <f>'[1]Soy Complex'!$BG221-L468</f>
        <v>357.22352600000011</v>
      </c>
      <c r="N468" s="202">
        <v>1929.4169999999999</v>
      </c>
      <c r="O468" s="270">
        <v>11.5</v>
      </c>
      <c r="P468" s="270">
        <f>'NASS Crush'!W43-'NOPA Crush'!O468</f>
        <v>-7.5912235725782651E-2</v>
      </c>
      <c r="Q468" s="202">
        <v>1763.508</v>
      </c>
      <c r="R468" s="199">
        <f>Q468/('NASS Crush'!P43+'NASS Crush'!T43)</f>
        <v>0.7398363683197926</v>
      </c>
      <c r="S468" s="202">
        <f>'NASS Crush'!P43+'NASS Crush'!T43-'NOPA Crush'!Q468</f>
        <v>620.13799999999969</v>
      </c>
      <c r="T468" s="275"/>
      <c r="U468" s="300">
        <f t="shared" si="120"/>
        <v>58.97</v>
      </c>
      <c r="V468" s="278">
        <v>20.472000000000001</v>
      </c>
      <c r="W468" s="278">
        <v>39.18</v>
      </c>
      <c r="X468" s="278">
        <v>22.818000000000001</v>
      </c>
      <c r="Y468" s="278">
        <v>35.862000000000002</v>
      </c>
      <c r="Z468" s="278"/>
      <c r="AB468" s="278">
        <v>32.173000000000002</v>
      </c>
      <c r="AC468" s="278">
        <v>17.228000000000002</v>
      </c>
      <c r="AD468" s="279">
        <v>167.733</v>
      </c>
      <c r="AE468" s="278">
        <f t="shared" si="125"/>
        <v>167.733</v>
      </c>
      <c r="AF468" s="278">
        <f t="shared" si="126"/>
        <v>0</v>
      </c>
      <c r="AG468" s="278">
        <f t="shared" si="127"/>
        <v>0</v>
      </c>
      <c r="AH468" s="202">
        <f t="shared" si="110"/>
        <v>-2.9859999999999971</v>
      </c>
      <c r="AI468" s="202">
        <f t="shared" si="111"/>
        <v>58.97</v>
      </c>
      <c r="BB468" s="203">
        <f>'NASS Crush'!C43/'NOPA Crush'!G468</f>
        <v>1.0663431366119567</v>
      </c>
      <c r="BE468" s="274">
        <f t="shared" si="121"/>
        <v>5.4107419354838715</v>
      </c>
      <c r="BF468" s="280">
        <f t="shared" si="122"/>
        <v>145.227</v>
      </c>
      <c r="BG468" s="154" t="str">
        <f t="shared" si="123"/>
        <v>RECORD</v>
      </c>
      <c r="BH468" s="270">
        <f t="shared" si="124"/>
        <v>2.1999999999998466E-3</v>
      </c>
      <c r="BI468" s="270">
        <f t="shared" si="112"/>
        <v>-1.9999999999999574E-2</v>
      </c>
      <c r="BK468" s="274">
        <f t="shared" si="109"/>
        <v>2160</v>
      </c>
    </row>
    <row r="469" spans="1:63">
      <c r="A469" s="266">
        <v>43313</v>
      </c>
      <c r="B469" s="290">
        <f>E469/(1-'NASS Crush'!E44)</f>
        <v>5.9251442691775331</v>
      </c>
      <c r="C469" s="277">
        <f t="shared" si="116"/>
        <v>0.34659569892473169</v>
      </c>
      <c r="D469" s="276">
        <f>'NASS Crush'!C44-'NOPA Crush'!G469</f>
        <v>10.744466666666682</v>
      </c>
      <c r="E469" s="290">
        <f t="shared" si="117"/>
        <v>5.5244612903225807</v>
      </c>
      <c r="F469" s="277">
        <f t="shared" si="105"/>
        <v>171.25829999999999</v>
      </c>
      <c r="G469" s="277">
        <v>158.88499999999999</v>
      </c>
      <c r="H469" s="281">
        <f t="shared" si="118"/>
        <v>0.92775065500475018</v>
      </c>
      <c r="I469" s="202">
        <v>3780.7719999999999</v>
      </c>
      <c r="J469" s="270">
        <v>47.59</v>
      </c>
      <c r="K469" s="270">
        <f>'NASS Crush'!K44-'NOPA Crush'!J469</f>
        <v>-6.5179233796648361E-2</v>
      </c>
      <c r="L469" s="202">
        <v>761.899</v>
      </c>
      <c r="M469" s="277">
        <f>'[1]Soy Complex'!$BG222-L469</f>
        <v>461.31258100000002</v>
      </c>
      <c r="N469" s="202">
        <v>1837.2380000000001</v>
      </c>
      <c r="O469" s="270">
        <v>11.56</v>
      </c>
      <c r="P469" s="270">
        <f>'NASS Crush'!W44-'NOPA Crush'!O469</f>
        <v>-9.4032216100821131E-2</v>
      </c>
      <c r="Q469" s="202">
        <v>1623.1279999999999</v>
      </c>
      <c r="R469" s="199">
        <f>Q469/('NASS Crush'!P44+'NASS Crush'!T44)</f>
        <v>0.73285566771521926</v>
      </c>
      <c r="S469" s="202">
        <f>'NASS Crush'!P44+'NASS Crush'!T44-'NOPA Crush'!Q469</f>
        <v>591.67100000000005</v>
      </c>
      <c r="T469" s="275"/>
      <c r="U469" s="300">
        <f>O469+J469</f>
        <v>59.150000000000006</v>
      </c>
      <c r="V469" s="278">
        <v>19.577000000000002</v>
      </c>
      <c r="W469" s="278">
        <v>34.417999999999999</v>
      </c>
      <c r="X469" s="278">
        <v>19.789000000000001</v>
      </c>
      <c r="Y469" s="278">
        <v>33.664000000000001</v>
      </c>
      <c r="Z469" s="278"/>
      <c r="AB469" s="278">
        <v>35.441000000000003</v>
      </c>
      <c r="AC469" s="278">
        <v>15.996</v>
      </c>
      <c r="AD469" s="279">
        <v>158.88499999999999</v>
      </c>
      <c r="AE469" s="278">
        <f t="shared" si="125"/>
        <v>158.88500000000002</v>
      </c>
      <c r="AF469" s="278">
        <f t="shared" si="126"/>
        <v>0</v>
      </c>
      <c r="AG469" s="278">
        <f t="shared" si="127"/>
        <v>0</v>
      </c>
      <c r="AH469" s="202">
        <f t="shared" si="110"/>
        <v>3.2680000000000007</v>
      </c>
      <c r="AI469" s="202">
        <f t="shared" si="111"/>
        <v>59.150000000000006</v>
      </c>
      <c r="BB469" s="203">
        <f>'NASS Crush'!C44/'NOPA Crush'!G469</f>
        <v>1.0676241726196096</v>
      </c>
      <c r="BE469" s="274">
        <f t="shared" si="121"/>
        <v>5.125322580645161</v>
      </c>
      <c r="BF469" s="280">
        <f t="shared" si="122"/>
        <v>142.42400000000001</v>
      </c>
      <c r="BG469" s="154" t="str">
        <f t="shared" si="123"/>
        <v>RECORD</v>
      </c>
      <c r="BH469" s="270">
        <f t="shared" si="124"/>
        <v>2.1799999999999996E-2</v>
      </c>
      <c r="BI469" s="270">
        <f t="shared" si="112"/>
        <v>6.0000000000000497E-2</v>
      </c>
      <c r="BK469" s="274">
        <f t="shared" si="109"/>
        <v>2165</v>
      </c>
    </row>
    <row r="470" spans="1:63">
      <c r="A470" s="266">
        <v>43344</v>
      </c>
      <c r="B470" s="290">
        <f>E470/(1-'NASS Crush'!E45)</f>
        <v>5.8470486331486953</v>
      </c>
      <c r="C470" s="277">
        <f t="shared" si="116"/>
        <v>0.28613978494623615</v>
      </c>
      <c r="D470" s="276">
        <f>'NASS Crush'!C45-'NOPA Crush'!G470</f>
        <v>8.8703333333333205</v>
      </c>
      <c r="E470" s="290">
        <f t="shared" si="117"/>
        <v>5.5244612903225807</v>
      </c>
      <c r="F470" s="277">
        <f t="shared" si="105"/>
        <v>165.73383870967743</v>
      </c>
      <c r="G470" s="277">
        <v>160.779</v>
      </c>
      <c r="H470" s="281">
        <f t="shared" si="118"/>
        <v>0.97010363877254413</v>
      </c>
      <c r="I470" s="202">
        <v>3788.87</v>
      </c>
      <c r="J470" s="270">
        <v>47.13</v>
      </c>
      <c r="K470" s="270">
        <f>'NASS Crush'!K45-'NOPA Crush'!J470</f>
        <v>-2.5234876647509452E-2</v>
      </c>
      <c r="L470" s="202">
        <v>785.26700000000005</v>
      </c>
      <c r="M470" s="277">
        <f>'[1]Soy Complex'!$BG223-L470</f>
        <v>275.78139800000008</v>
      </c>
      <c r="N470" s="202">
        <v>1849.402</v>
      </c>
      <c r="O470" s="270">
        <v>11.5</v>
      </c>
      <c r="P470" s="270">
        <f>'NASS Crush'!W45-'NOPA Crush'!O470</f>
        <v>-5.2286284649904147E-2</v>
      </c>
      <c r="Q470" s="202">
        <v>1531.3920000000001</v>
      </c>
      <c r="R470" s="199">
        <f>Q470/('NASS Crush'!P45+'NASS Crush'!T45)</f>
        <v>0.76744808397571662</v>
      </c>
      <c r="S470" s="202">
        <f>'NASS Crush'!P45+'NASS Crush'!T45-'NOPA Crush'!Q470</f>
        <v>464.04199999999992</v>
      </c>
      <c r="T470" s="275"/>
      <c r="U470" s="300"/>
      <c r="V470" s="278">
        <v>19.126999999999999</v>
      </c>
      <c r="W470" s="278">
        <v>37.691000000000003</v>
      </c>
      <c r="X470" s="278">
        <v>18.977</v>
      </c>
      <c r="Y470" s="278">
        <v>32.936999999999998</v>
      </c>
      <c r="Z470" s="278"/>
      <c r="AB470" s="278">
        <v>35.51</v>
      </c>
      <c r="AC470" s="278">
        <v>16.536000000000001</v>
      </c>
      <c r="AD470" s="279">
        <v>160.779</v>
      </c>
      <c r="AE470" s="278">
        <f t="shared" si="125"/>
        <v>160.77799999999999</v>
      </c>
      <c r="AF470" s="278">
        <f t="shared" si="126"/>
        <v>-1.0000000000047748E-3</v>
      </c>
      <c r="AG470" s="278">
        <f t="shared" ref="AG470:AG474" si="128">AE470-G470</f>
        <v>-1.0000000000047748E-3</v>
      </c>
      <c r="AH470" s="202">
        <f t="shared" si="110"/>
        <v>6.8999999999995509E-2</v>
      </c>
      <c r="AI470" s="202">
        <f t="shared" si="111"/>
        <v>58.63</v>
      </c>
      <c r="BB470" s="203">
        <f>'NASS Crush'!C45/'NOPA Crush'!G470</f>
        <v>1.0551709696747293</v>
      </c>
      <c r="BE470" s="274">
        <f>G470/30</f>
        <v>5.3593000000000002</v>
      </c>
      <c r="BF470" s="280">
        <f t="shared" si="122"/>
        <v>139.82900000000001</v>
      </c>
      <c r="BG470" s="154" t="str">
        <f t="shared" si="123"/>
        <v>RECORD</v>
      </c>
      <c r="BH470" s="270">
        <f t="shared" si="124"/>
        <v>1.3999999999999702E-2</v>
      </c>
      <c r="BI470" s="270">
        <f t="shared" si="112"/>
        <v>-6.0000000000000497E-2</v>
      </c>
      <c r="BK470" s="274">
        <f t="shared" si="109"/>
        <v>2135</v>
      </c>
    </row>
    <row r="471" spans="1:63">
      <c r="A471" s="266">
        <v>43374</v>
      </c>
      <c r="B471" s="290">
        <f>E471/(1-'NASS Crush'!E46)</f>
        <v>5.908879355420475</v>
      </c>
      <c r="C471" s="277">
        <f t="shared" si="116"/>
        <v>0.37374777777777696</v>
      </c>
      <c r="D471" s="276">
        <f>'NASS Crush'!C46-'NOPA Crush'!G471</f>
        <v>11.212433333333308</v>
      </c>
      <c r="E471" s="290">
        <f t="shared" si="117"/>
        <v>5.5244612903225807</v>
      </c>
      <c r="F471" s="277">
        <f t="shared" si="105"/>
        <v>171.25829999999999</v>
      </c>
      <c r="G471" s="277">
        <v>172.346</v>
      </c>
      <c r="H471" s="281">
        <f t="shared" si="118"/>
        <v>1.0063512250209188</v>
      </c>
      <c r="I471" s="202">
        <v>4033.3090000000002</v>
      </c>
      <c r="J471" s="270">
        <v>46.8</v>
      </c>
      <c r="K471" s="270">
        <f>'NASS Crush'!K46-'NOPA Crush'!J471</f>
        <v>-4.6234214608851687E-2</v>
      </c>
      <c r="L471" s="202">
        <v>967.17399999999998</v>
      </c>
      <c r="M471" s="277">
        <f>'[1]Soy Complex'!$BH212-L471</f>
        <v>141.088663</v>
      </c>
      <c r="N471" s="202">
        <v>2017.376</v>
      </c>
      <c r="O471" s="270">
        <v>11.71</v>
      </c>
      <c r="P471" s="270">
        <f>'NASS Crush'!W46-'NOPA Crush'!O471</f>
        <v>-8.1261612787063342E-2</v>
      </c>
      <c r="Q471" s="202">
        <v>1502.6990000000001</v>
      </c>
      <c r="R471" s="199">
        <f>Q471/('NASS Crush'!P46+'NASS Crush'!T46)</f>
        <v>0.73390064520981413</v>
      </c>
      <c r="S471" s="202">
        <f>'NASS Crush'!P46+'NASS Crush'!T46-'NOPA Crush'!Q471</f>
        <v>544.85199999999986</v>
      </c>
      <c r="T471" s="301">
        <f>R471+'NASS Crush'!V46</f>
        <v>1.0964829055294123</v>
      </c>
      <c r="U471" s="300"/>
      <c r="V471" s="278">
        <v>19.672000000000001</v>
      </c>
      <c r="W471" s="278">
        <v>40.267000000000003</v>
      </c>
      <c r="X471" s="278">
        <v>21.715</v>
      </c>
      <c r="Y471" s="278">
        <v>35.420999999999999</v>
      </c>
      <c r="Z471" s="278"/>
      <c r="AB471" s="278">
        <v>37.350999999999999</v>
      </c>
      <c r="AC471" s="278">
        <v>17.920000000000002</v>
      </c>
      <c r="AD471" s="279">
        <v>172.346</v>
      </c>
      <c r="AE471" s="278">
        <f t="shared" si="125"/>
        <v>172.346</v>
      </c>
      <c r="AF471" s="278">
        <f t="shared" si="126"/>
        <v>0</v>
      </c>
      <c r="AG471" s="278">
        <f t="shared" si="128"/>
        <v>0</v>
      </c>
      <c r="AH471" s="202">
        <f t="shared" si="110"/>
        <v>1.8410000000000011</v>
      </c>
      <c r="AI471" s="202">
        <f t="shared" si="111"/>
        <v>58.51</v>
      </c>
      <c r="BB471" s="203">
        <f>'NASS Crush'!C46/'NOPA Crush'!G471</f>
        <v>1.0650576940186214</v>
      </c>
      <c r="BE471" s="274">
        <f t="shared" si="121"/>
        <v>5.5595483870967746</v>
      </c>
      <c r="BF471" s="280">
        <f t="shared" si="122"/>
        <v>164.64099999999999</v>
      </c>
      <c r="BG471" s="154" t="str">
        <f t="shared" si="123"/>
        <v>RECORD</v>
      </c>
      <c r="BH471" s="270">
        <f t="shared" si="124"/>
        <v>-0.16600000000000001</v>
      </c>
      <c r="BI471" s="270">
        <f t="shared" si="112"/>
        <v>0.21000000000000085</v>
      </c>
      <c r="BK471" s="274">
        <f t="shared" si="109"/>
        <v>2155</v>
      </c>
    </row>
    <row r="472" spans="1:63">
      <c r="A472" s="266">
        <v>43405</v>
      </c>
      <c r="B472" s="290">
        <f>E472/(1-'NASS Crush'!E47)</f>
        <v>5.9195278491798202</v>
      </c>
      <c r="C472" s="277">
        <f t="shared" si="116"/>
        <v>0.35944408602150513</v>
      </c>
      <c r="D472" s="276">
        <f>'NASS Crush'!C47-'NOPA Crush'!G472</f>
        <v>11.14276666666666</v>
      </c>
      <c r="E472" s="290">
        <f t="shared" si="117"/>
        <v>5.5244612903225807</v>
      </c>
      <c r="F472" s="277">
        <f t="shared" si="105"/>
        <v>165.73383870967743</v>
      </c>
      <c r="G472" s="277">
        <v>166.959</v>
      </c>
      <c r="H472" s="281">
        <f t="shared" si="118"/>
        <v>1.0073923424441327</v>
      </c>
      <c r="I472" s="202">
        <v>3902.3130000000001</v>
      </c>
      <c r="J472" s="270">
        <v>46.75</v>
      </c>
      <c r="K472" s="270">
        <f>'NASS Crush'!K47-'NOPA Crush'!J472</f>
        <v>-9.0159642810952789E-2</v>
      </c>
      <c r="L472" s="202">
        <v>901.44899999999996</v>
      </c>
      <c r="M472" s="277">
        <f>'[1]Soy Complex'!$BH213-L472</f>
        <v>266.18758500000001</v>
      </c>
      <c r="N472" s="202">
        <v>1943.4190000000001</v>
      </c>
      <c r="O472" s="270">
        <v>11.64</v>
      </c>
      <c r="P472" s="270">
        <f>'NASS Crush'!W47-'NOPA Crush'!O472</f>
        <v>-7.0417965159618845E-2</v>
      </c>
      <c r="Q472" s="202">
        <v>1484.173</v>
      </c>
      <c r="R472" s="199">
        <f>Q472/('NASS Crush'!P47+'NASS Crush'!T47)</f>
        <v>0.78103146232146636</v>
      </c>
      <c r="S472" s="202">
        <f>'NASS Crush'!P47+'NASS Crush'!T47-'NOPA Crush'!Q472</f>
        <v>416.10000000000014</v>
      </c>
      <c r="T472" s="301">
        <f>R472+'NASS Crush'!V47</f>
        <v>1.0613896146392894</v>
      </c>
      <c r="U472" s="300"/>
      <c r="V472" s="278">
        <v>20.312999999999999</v>
      </c>
      <c r="W472" s="278">
        <v>37.710999999999999</v>
      </c>
      <c r="X472" s="278">
        <v>21.733000000000001</v>
      </c>
      <c r="Y472" s="278">
        <v>35.439</v>
      </c>
      <c r="Z472" s="278"/>
      <c r="AB472" s="278">
        <v>35.012</v>
      </c>
      <c r="AC472" s="278">
        <v>16.751999999999999</v>
      </c>
      <c r="AD472" s="279">
        <v>166.959</v>
      </c>
      <c r="AE472" s="278">
        <f t="shared" si="125"/>
        <v>166.96</v>
      </c>
      <c r="AF472" s="278">
        <f t="shared" si="126"/>
        <v>1.0000000000047748E-3</v>
      </c>
      <c r="AG472" s="278">
        <f t="shared" si="128"/>
        <v>1.0000000000047748E-3</v>
      </c>
      <c r="AH472" s="202">
        <f t="shared" si="110"/>
        <v>-2.3389999999999986</v>
      </c>
      <c r="AI472" s="202">
        <f t="shared" si="111"/>
        <v>58.39</v>
      </c>
      <c r="BB472" s="203">
        <f>'NASS Crush'!C47/'NOPA Crush'!G472</f>
        <v>1.066739538848859</v>
      </c>
      <c r="BE472" s="274">
        <f>G472/30</f>
        <v>5.5652999999999997</v>
      </c>
      <c r="BF472" s="280">
        <f t="shared" si="122"/>
        <v>163.54599999999999</v>
      </c>
      <c r="BG472" s="154" t="str">
        <f t="shared" si="123"/>
        <v>RECORD</v>
      </c>
      <c r="BH472" s="270">
        <f t="shared" si="124"/>
        <v>-0.12599999999999981</v>
      </c>
      <c r="BI472" s="270">
        <f t="shared" si="112"/>
        <v>-7.0000000000000284E-2</v>
      </c>
      <c r="BK472" s="274">
        <f t="shared" si="109"/>
        <v>2160</v>
      </c>
    </row>
    <row r="473" spans="1:63">
      <c r="A473" s="266">
        <v>43435</v>
      </c>
      <c r="B473" s="290">
        <f>E473/(1-'NASS Crush'!E48)</f>
        <v>5.9400356496593245</v>
      </c>
      <c r="C473" s="277">
        <f t="shared" si="116"/>
        <v>0.40055111111111141</v>
      </c>
      <c r="D473" s="276">
        <f>'NASS Crush'!C48-'NOPA Crush'!G473</f>
        <v>12.016533333333342</v>
      </c>
      <c r="E473" s="290">
        <f t="shared" si="117"/>
        <v>5.5244612903225807</v>
      </c>
      <c r="F473" s="277">
        <f t="shared" si="105"/>
        <v>171.25829999999999</v>
      </c>
      <c r="G473" s="277">
        <v>171.75899999999999</v>
      </c>
      <c r="H473" s="281">
        <f t="shared" si="118"/>
        <v>1.0029236539192552</v>
      </c>
      <c r="I473" s="202">
        <v>4017.7759999999998</v>
      </c>
      <c r="J473" s="270">
        <v>46.78</v>
      </c>
      <c r="K473" s="270">
        <f>'NASS Crush'!K48-'NOPA Crush'!J473</f>
        <v>-3.0708382291003034E-2</v>
      </c>
      <c r="L473" s="202">
        <v>826.404</v>
      </c>
      <c r="M473" s="277">
        <f>'[1]Soy Complex'!$BH214-L473</f>
        <v>341.78746987599993</v>
      </c>
      <c r="N473" s="202">
        <v>2008.297</v>
      </c>
      <c r="O473" s="270">
        <v>11.69</v>
      </c>
      <c r="P473" s="270">
        <f>'NASS Crush'!W48-'NOPA Crush'!O473</f>
        <v>-7.0553377979585719E-2</v>
      </c>
      <c r="Q473" s="202">
        <v>1498.06</v>
      </c>
      <c r="R473" s="199">
        <f>Q473/('NASS Crush'!P48+'NASS Crush'!T48)</f>
        <v>0.7698751392708989</v>
      </c>
      <c r="S473" s="202">
        <f>'NASS Crush'!P48+'NASS Crush'!T48-'NOPA Crush'!Q473</f>
        <v>447.78800000000001</v>
      </c>
      <c r="T473" s="301">
        <f>R473+'NASS Crush'!V48</f>
        <v>1.0687870653619767</v>
      </c>
      <c r="U473" s="300"/>
      <c r="V473" s="278">
        <v>21.516999999999999</v>
      </c>
      <c r="W473" s="278">
        <v>38.387999999999998</v>
      </c>
      <c r="X473" s="278">
        <v>20.631</v>
      </c>
      <c r="Y473" s="278">
        <v>36.171999999999997</v>
      </c>
      <c r="Z473" s="278"/>
      <c r="AB473" s="278">
        <v>37.277999999999999</v>
      </c>
      <c r="AC473" s="278">
        <v>17.773</v>
      </c>
      <c r="AD473" s="279">
        <v>171.75899999999999</v>
      </c>
      <c r="AE473" s="278">
        <f t="shared" si="125"/>
        <v>171.75899999999999</v>
      </c>
      <c r="AF473" s="278">
        <f t="shared" si="126"/>
        <v>0</v>
      </c>
      <c r="AG473" s="278">
        <f t="shared" si="128"/>
        <v>0</v>
      </c>
      <c r="AH473" s="202">
        <f t="shared" si="110"/>
        <v>2.2659999999999982</v>
      </c>
      <c r="AI473" s="202">
        <f t="shared" si="111"/>
        <v>58.47</v>
      </c>
      <c r="BB473" s="203">
        <f>'NASS Crush'!C48/'NOPA Crush'!G473</f>
        <v>1.0699615934730253</v>
      </c>
      <c r="BE473" s="274">
        <f t="shared" si="121"/>
        <v>5.5406129032258056</v>
      </c>
      <c r="BF473" s="280">
        <f t="shared" si="122"/>
        <v>166.38200000000001</v>
      </c>
      <c r="BG473" s="154" t="str">
        <f t="shared" si="123"/>
        <v>RECORD</v>
      </c>
      <c r="BH473" s="270">
        <f t="shared" si="124"/>
        <v>5.400000000000027E-2</v>
      </c>
      <c r="BI473" s="270">
        <f t="shared" si="112"/>
        <v>4.9999999999998934E-2</v>
      </c>
      <c r="BK473" s="274">
        <f t="shared" si="109"/>
        <v>2170</v>
      </c>
    </row>
    <row r="474" spans="1:63">
      <c r="A474" s="266">
        <v>43466</v>
      </c>
      <c r="B474" s="290">
        <f>E474/(1-'NASS Crush'!E49)</f>
        <v>5.9190250226642434</v>
      </c>
      <c r="C474" s="277">
        <f t="shared" si="116"/>
        <v>0.36906129032258156</v>
      </c>
      <c r="D474" s="276">
        <f>'NASS Crush'!C49-'NOPA Crush'!G474</f>
        <v>11.440900000000028</v>
      </c>
      <c r="E474" s="290">
        <f t="shared" si="117"/>
        <v>5.5244612903225807</v>
      </c>
      <c r="F474" s="277">
        <f t="shared" si="105"/>
        <v>171.25829999999999</v>
      </c>
      <c r="G474" s="277">
        <v>171.63</v>
      </c>
      <c r="H474" s="281">
        <f t="shared" si="118"/>
        <v>1.0021704057555167</v>
      </c>
      <c r="I474" s="202">
        <v>4006.2809999999999</v>
      </c>
      <c r="J474" s="270">
        <v>46.69</v>
      </c>
      <c r="K474" s="270">
        <f>'NASS Crush'!K49-'NOPA Crush'!J474</f>
        <v>-4.683606733784984E-2</v>
      </c>
      <c r="L474" s="202">
        <v>905.923</v>
      </c>
      <c r="M474" s="277">
        <f>'[1]Soy Complex'!$BH215-L474</f>
        <v>660.3575289700002</v>
      </c>
      <c r="N474" s="202">
        <v>1993.3820000000001</v>
      </c>
      <c r="O474" s="270">
        <v>11.61</v>
      </c>
      <c r="P474" s="270">
        <f>'NASS Crush'!W49-'NOPA Crush'!O474</f>
        <v>-5.2734481558784907E-2</v>
      </c>
      <c r="Q474" s="202">
        <v>1549.1690000000001</v>
      </c>
      <c r="R474" s="199">
        <f>Q474/('NASS Crush'!P49+'NASS Crush'!T49)</f>
        <v>0.77275770079531991</v>
      </c>
      <c r="S474" s="202">
        <f>'NASS Crush'!P49+'NASS Crush'!T49-'NOPA Crush'!Q474</f>
        <v>455.55899999999997</v>
      </c>
      <c r="T474" s="301">
        <f>R474+'NASS Crush'!V49</f>
        <v>1.0668243907432855</v>
      </c>
      <c r="U474" s="300"/>
      <c r="V474" s="278">
        <v>21.940999999999999</v>
      </c>
      <c r="W474" s="278">
        <v>38.546999999999997</v>
      </c>
      <c r="X474" s="278">
        <v>21.757000000000001</v>
      </c>
      <c r="Y474" s="278">
        <v>35.981000000000002</v>
      </c>
      <c r="Z474" s="278"/>
      <c r="AB474" s="278">
        <v>35.933</v>
      </c>
      <c r="AC474" s="278">
        <v>17.47</v>
      </c>
      <c r="AD474" s="279">
        <v>171.63</v>
      </c>
      <c r="AE474" s="278">
        <f t="shared" si="125"/>
        <v>171.62899999999999</v>
      </c>
      <c r="AF474" s="278">
        <f t="shared" si="126"/>
        <v>-1.0000000000047748E-3</v>
      </c>
      <c r="AG474" s="278">
        <f t="shared" si="128"/>
        <v>-1.0000000000047748E-3</v>
      </c>
      <c r="AH474" s="202">
        <f t="shared" si="110"/>
        <v>-1.3449999999999989</v>
      </c>
      <c r="AI474" s="202">
        <f t="shared" si="111"/>
        <v>58.3</v>
      </c>
      <c r="BB474" s="203">
        <f>'NASS Crush'!C49/'NOPA Crush'!G474</f>
        <v>1.0666602575307349</v>
      </c>
      <c r="BE474" s="274">
        <f t="shared" si="121"/>
        <v>5.5364516129032255</v>
      </c>
      <c r="BF474" s="280">
        <f t="shared" si="122"/>
        <v>163.11099999999999</v>
      </c>
      <c r="BG474" s="154" t="str">
        <f t="shared" si="123"/>
        <v>RECORD</v>
      </c>
      <c r="BH474" s="270">
        <f t="shared" si="124"/>
        <v>3.3999999999999989E-2</v>
      </c>
      <c r="BI474" s="270">
        <f t="shared" si="112"/>
        <v>-8.0000000000000071E-2</v>
      </c>
      <c r="BK474" s="274">
        <f t="shared" si="109"/>
        <v>2160</v>
      </c>
    </row>
    <row r="475" spans="1:63">
      <c r="A475" s="266">
        <v>43497</v>
      </c>
      <c r="B475" s="290">
        <f>E475/(1-'NASS Crush'!E50)</f>
        <v>5.8374243323564787</v>
      </c>
      <c r="C475" s="277">
        <f t="shared" si="116"/>
        <v>0.26719784946236624</v>
      </c>
      <c r="D475" s="276">
        <f>'NASS Crush'!C50-'NOPA Crush'!G475</f>
        <v>8.2831333333333532</v>
      </c>
      <c r="E475" s="290">
        <f t="shared" si="117"/>
        <v>5.5244612903225807</v>
      </c>
      <c r="F475" s="277">
        <f t="shared" si="105"/>
        <v>154.68491612903227</v>
      </c>
      <c r="G475" s="277">
        <v>154.49799999999999</v>
      </c>
      <c r="H475" s="281">
        <f t="shared" si="118"/>
        <v>0.99879163312293251</v>
      </c>
      <c r="I475" s="202">
        <v>3628.3020000000001</v>
      </c>
      <c r="J475" s="270">
        <v>46.97</v>
      </c>
      <c r="K475" s="270">
        <f>'NASS Crush'!K50-'NOPA Crush'!J475</f>
        <v>0.16834977599778966</v>
      </c>
      <c r="L475" s="202">
        <v>784.66</v>
      </c>
      <c r="M475" s="277">
        <f>'[1]Soy Complex'!$BH216-L475</f>
        <v>300.70570443999998</v>
      </c>
      <c r="N475" s="202">
        <v>1806.633</v>
      </c>
      <c r="O475" s="270">
        <v>11.69</v>
      </c>
      <c r="P475" s="270">
        <f>'NASS Crush'!W50-'NOPA Crush'!O475</f>
        <v>-2.2824811392966993E-2</v>
      </c>
      <c r="Q475" s="202">
        <v>1751.865</v>
      </c>
      <c r="R475" s="199">
        <f>Q475/('NASS Crush'!P50+'NASS Crush'!T50)</f>
        <v>0.81515078194432167</v>
      </c>
      <c r="S475" s="202">
        <f>'NASS Crush'!P50+'NASS Crush'!T50-'NOPA Crush'!Q475</f>
        <v>397.2650000000001</v>
      </c>
      <c r="T475" s="301">
        <f>R475+'NASS Crush'!V50</f>
        <v>1.0419176846451577</v>
      </c>
      <c r="U475" s="300"/>
      <c r="V475" s="278">
        <v>18.975000000000001</v>
      </c>
      <c r="W475" s="278">
        <v>34.932000000000002</v>
      </c>
      <c r="X475" s="278">
        <v>20.282</v>
      </c>
      <c r="Y475" s="278">
        <v>32.944000000000003</v>
      </c>
      <c r="Z475" s="278"/>
      <c r="AB475" s="278">
        <v>32.198</v>
      </c>
      <c r="AC475" s="278">
        <v>15.167</v>
      </c>
      <c r="AD475" s="279">
        <v>154.49799999999999</v>
      </c>
      <c r="AE475" s="278">
        <f t="shared" ref="AE475:AE477" si="129">SUM(V475:AC475)</f>
        <v>154.49800000000002</v>
      </c>
      <c r="AF475" s="278">
        <f t="shared" ref="AF475:AF477" si="130">AE475-AD475</f>
        <v>0</v>
      </c>
      <c r="AG475" s="278">
        <f t="shared" ref="AG475:AG477" si="131">AE475-G475</f>
        <v>0</v>
      </c>
      <c r="AH475" s="202">
        <f t="shared" si="110"/>
        <v>-3.7349999999999994</v>
      </c>
      <c r="AI475" s="202">
        <f t="shared" si="111"/>
        <v>58.66</v>
      </c>
      <c r="AJ475" s="280"/>
      <c r="BB475" s="203">
        <f>'NASS Crush'!C50/'NOPA Crush'!G475</f>
        <v>1.0536132075064619</v>
      </c>
      <c r="BE475" s="274">
        <f>G475/28</f>
        <v>5.5177857142857141</v>
      </c>
      <c r="BF475" s="280">
        <f t="shared" si="122"/>
        <v>153.71899999999999</v>
      </c>
      <c r="BG475" s="154" t="str">
        <f t="shared" si="123"/>
        <v>RECORD</v>
      </c>
      <c r="BH475" s="270">
        <f t="shared" si="124"/>
        <v>2.199999999999953E-2</v>
      </c>
      <c r="BI475" s="270">
        <f t="shared" si="112"/>
        <v>8.0000000000000071E-2</v>
      </c>
      <c r="BK475" s="274">
        <f t="shared" si="109"/>
        <v>2130</v>
      </c>
    </row>
    <row r="476" spans="1:63">
      <c r="A476" s="266">
        <v>43525</v>
      </c>
      <c r="B476" s="290">
        <f>E476/(1-'NASS Crush'!E51)</f>
        <v>6.0412905940219366</v>
      </c>
      <c r="C476" s="277">
        <f t="shared" si="116"/>
        <v>0.33652142857142814</v>
      </c>
      <c r="D476" s="276">
        <f>'NASS Crush'!C51-'NOPA Crush'!G476</f>
        <v>9.4225999999999885</v>
      </c>
      <c r="E476" s="298">
        <f>E475+0.182</f>
        <v>5.7064612903225811</v>
      </c>
      <c r="F476" s="277">
        <f t="shared" ref="F476:F505" si="132">(A477-A476)*E476</f>
        <v>176.90030000000002</v>
      </c>
      <c r="G476" s="277">
        <v>170.011</v>
      </c>
      <c r="H476" s="281">
        <f t="shared" si="118"/>
        <v>0.96105546457524371</v>
      </c>
      <c r="I476" s="202">
        <v>3988.2440000000001</v>
      </c>
      <c r="J476" s="270">
        <v>46.92</v>
      </c>
      <c r="K476" s="270">
        <f>'NASS Crush'!K51-'NOPA Crush'!J476</f>
        <v>-9.690778092842578E-2</v>
      </c>
      <c r="L476" s="202">
        <v>844.29399999999998</v>
      </c>
      <c r="M476" s="277">
        <f>'[1]Soy Complex'!$BH217-L476</f>
        <v>326.92672467999989</v>
      </c>
      <c r="N476" s="202">
        <v>2000.049</v>
      </c>
      <c r="O476" s="270">
        <v>11.76</v>
      </c>
      <c r="P476" s="270">
        <f>'NASS Crush'!W51-'NOPA Crush'!O476</f>
        <v>-8.761534071656385E-2</v>
      </c>
      <c r="Q476" s="202">
        <v>1760.598</v>
      </c>
      <c r="R476" s="199">
        <f>Q476/('NASS Crush'!P51+'NASS Crush'!T51)</f>
        <v>0.7884702110994124</v>
      </c>
      <c r="S476" s="202">
        <f>'NASS Crush'!P51+'NASS Crush'!T51-'NOPA Crush'!Q476</f>
        <v>472.33100000000013</v>
      </c>
      <c r="T476" s="301">
        <f>R476+'NASS Crush'!V51</f>
        <v>1.0567489436664153</v>
      </c>
      <c r="U476" s="300"/>
      <c r="V476" s="278">
        <v>22.173999999999999</v>
      </c>
      <c r="W476" s="278">
        <v>39.713000000000001</v>
      </c>
      <c r="X476" s="278">
        <v>20.765999999999998</v>
      </c>
      <c r="Y476" s="278">
        <v>34.331000000000003</v>
      </c>
      <c r="Z476" s="278"/>
      <c r="AB476" s="278">
        <v>35.691000000000003</v>
      </c>
      <c r="AC476" s="278">
        <v>17.337</v>
      </c>
      <c r="AD476" s="279">
        <v>170.011</v>
      </c>
      <c r="AE476" s="278">
        <f t="shared" si="129"/>
        <v>170.012</v>
      </c>
      <c r="AF476" s="278">
        <f t="shared" si="130"/>
        <v>1.0000000000047748E-3</v>
      </c>
      <c r="AG476" s="278">
        <f t="shared" si="131"/>
        <v>1.0000000000047748E-3</v>
      </c>
      <c r="AH476" s="202">
        <f t="shared" si="110"/>
        <v>3.4930000000000021</v>
      </c>
      <c r="AI476" s="202">
        <f t="shared" si="111"/>
        <v>58.68</v>
      </c>
      <c r="AJ476" s="280"/>
      <c r="BB476" s="203">
        <f>'NASS Crush'!C51/'NOPA Crush'!G476</f>
        <v>1.0554234725988318</v>
      </c>
      <c r="BE476" s="274">
        <f t="shared" si="121"/>
        <v>5.4842258064516125</v>
      </c>
      <c r="BF476" s="280">
        <f t="shared" si="122"/>
        <v>171.858</v>
      </c>
      <c r="BG476" s="154" t="str">
        <f t="shared" si="123"/>
        <v/>
      </c>
      <c r="BH476" s="270">
        <f t="shared" si="124"/>
        <v>1.0000000000000142E-2</v>
      </c>
      <c r="BI476" s="270">
        <f t="shared" si="112"/>
        <v>7.0000000000000284E-2</v>
      </c>
      <c r="BK476" s="274">
        <f t="shared" si="109"/>
        <v>2205</v>
      </c>
    </row>
    <row r="477" spans="1:63">
      <c r="A477" s="266">
        <v>43556</v>
      </c>
      <c r="B477" s="290">
        <f>E477/(1-'NASS Crush'!E52)</f>
        <v>6.1507569520395569</v>
      </c>
      <c r="C477" s="277">
        <f t="shared" si="116"/>
        <v>0.37279892473118309</v>
      </c>
      <c r="D477" s="276">
        <f>'NASS Crush'!C52-'NOPA Crush'!G477</f>
        <v>11.556766666666675</v>
      </c>
      <c r="E477" s="290">
        <f>E476</f>
        <v>5.7064612903225811</v>
      </c>
      <c r="F477" s="277">
        <f t="shared" si="132"/>
        <v>171.19383870967744</v>
      </c>
      <c r="G477" s="277">
        <v>159.99</v>
      </c>
      <c r="H477" s="281">
        <f t="shared" si="118"/>
        <v>0.93455466158056255</v>
      </c>
      <c r="I477" s="202">
        <v>3745.3119999999999</v>
      </c>
      <c r="J477" s="270">
        <v>46.82</v>
      </c>
      <c r="K477" s="270">
        <f>'NASS Crush'!K52-'NOPA Crush'!J477</f>
        <v>7.7392217438081445E-2</v>
      </c>
      <c r="L477" s="202">
        <v>763.20299999999997</v>
      </c>
      <c r="M477" s="277">
        <f>'[1]Soy Complex'!$BH218-L477</f>
        <v>619.36224774000016</v>
      </c>
      <c r="N477" s="202">
        <v>1870.855</v>
      </c>
      <c r="O477" s="270">
        <v>11.69</v>
      </c>
      <c r="P477" s="270">
        <f>'NASS Crush'!W52-'NOPA Crush'!O477</f>
        <v>-9.4905329023008633E-2</v>
      </c>
      <c r="Q477" s="202">
        <v>1786.8679999999999</v>
      </c>
      <c r="R477" s="199">
        <f>Q477/('NASS Crush'!P52+'NASS Crush'!T52)</f>
        <v>0.79148797442955054</v>
      </c>
      <c r="S477" s="202">
        <f>'NASS Crush'!P52+'NASS Crush'!T52-'NOPA Crush'!Q477</f>
        <v>470.73800000000028</v>
      </c>
      <c r="T477" s="301">
        <f>R477+'NASS Crush'!V52</f>
        <v>1.0549310491278496</v>
      </c>
      <c r="U477" s="300"/>
      <c r="V477" s="278">
        <v>19.146000000000001</v>
      </c>
      <c r="W477" s="278">
        <v>36.500999999999998</v>
      </c>
      <c r="X477" s="278">
        <v>20.501999999999999</v>
      </c>
      <c r="Y477" s="278">
        <v>31.837</v>
      </c>
      <c r="Z477" s="278"/>
      <c r="AB477" s="278">
        <v>35.744999999999997</v>
      </c>
      <c r="AC477" s="278">
        <v>16.259</v>
      </c>
      <c r="AD477" s="279">
        <v>159.99</v>
      </c>
      <c r="AE477" s="278">
        <f t="shared" si="129"/>
        <v>159.99</v>
      </c>
      <c r="AF477" s="278">
        <f t="shared" si="130"/>
        <v>0</v>
      </c>
      <c r="AG477" s="278">
        <f t="shared" si="131"/>
        <v>0</v>
      </c>
      <c r="AH477" s="202">
        <f t="shared" si="110"/>
        <v>5.3999999999994941E-2</v>
      </c>
      <c r="AI477" s="202">
        <f t="shared" si="111"/>
        <v>58.51</v>
      </c>
      <c r="AJ477" s="280"/>
      <c r="BB477" s="203">
        <f>'NASS Crush'!C52/'NOPA Crush'!G477</f>
        <v>1.0722343063108111</v>
      </c>
      <c r="BE477" s="274">
        <f>G477/30</f>
        <v>5.3330000000000002</v>
      </c>
      <c r="BF477" s="280">
        <f t="shared" si="122"/>
        <v>161.01599999999999</v>
      </c>
      <c r="BG477" s="154" t="str">
        <f t="shared" si="123"/>
        <v/>
      </c>
      <c r="BH477" s="270">
        <f t="shared" si="124"/>
        <v>3.8000000000000256E-2</v>
      </c>
      <c r="BI477" s="270">
        <f t="shared" si="112"/>
        <v>-7.0000000000000284E-2</v>
      </c>
      <c r="BK477" s="274">
        <f t="shared" si="109"/>
        <v>2245</v>
      </c>
    </row>
    <row r="478" spans="1:63">
      <c r="A478" s="266">
        <v>43586</v>
      </c>
      <c r="B478" s="290">
        <f>E478/(1-'NASS Crush'!E53)</f>
        <v>6.2578563471668511</v>
      </c>
      <c r="C478" s="277">
        <f t="shared" si="116"/>
        <v>0.35487888888888885</v>
      </c>
      <c r="D478" s="276">
        <f>'NASS Crush'!C53-'NOPA Crush'!G478</f>
        <v>10.646366666666665</v>
      </c>
      <c r="E478" s="298">
        <f>E477+0.121</f>
        <v>5.8274612903225815</v>
      </c>
      <c r="F478" s="277">
        <f t="shared" si="132"/>
        <v>180.65130000000002</v>
      </c>
      <c r="G478" s="277">
        <v>154.79599999999999</v>
      </c>
      <c r="H478" s="281">
        <f t="shared" si="118"/>
        <v>0.85687731004426748</v>
      </c>
      <c r="I478" s="202">
        <v>3665.7469999999998</v>
      </c>
      <c r="J478" s="270">
        <v>47.36</v>
      </c>
      <c r="K478" s="270">
        <f>'NASS Crush'!K53-'NOPA Crush'!J478</f>
        <v>-9.8200271554787832E-2</v>
      </c>
      <c r="L478" s="202">
        <v>617.31799999999998</v>
      </c>
      <c r="M478" s="277">
        <f>'[1]Soy Complex'!$BH219-L478</f>
        <v>449.14158139999995</v>
      </c>
      <c r="N478" s="202">
        <v>1822.096</v>
      </c>
      <c r="O478" s="270">
        <v>11.77</v>
      </c>
      <c r="P478" s="270">
        <f>'NASS Crush'!W53-'NOPA Crush'!O478</f>
        <v>-0.18896402594176287</v>
      </c>
      <c r="Q478" s="202">
        <v>1581.3820000000001</v>
      </c>
      <c r="R478" s="199">
        <f>Q478/('NASS Crush'!P53+'NASS Crush'!T53)</f>
        <v>0.78330172319424707</v>
      </c>
      <c r="S478" s="202">
        <f>'NASS Crush'!P53+'NASS Crush'!T53-'NOPA Crush'!Q478</f>
        <v>437.4849999999999</v>
      </c>
      <c r="T478" s="301">
        <f>R478+'NASS Crush'!V53</f>
        <v>1.0599489848931913</v>
      </c>
      <c r="U478" s="300"/>
      <c r="V478" s="278">
        <v>14.677</v>
      </c>
      <c r="W478" s="278">
        <v>36.155999999999999</v>
      </c>
      <c r="X478" s="278">
        <v>20.157</v>
      </c>
      <c r="Y478" s="278">
        <v>32.85</v>
      </c>
      <c r="Z478" s="278"/>
      <c r="AB478" s="278">
        <v>35.444000000000003</v>
      </c>
      <c r="AC478" s="278">
        <v>15.512</v>
      </c>
      <c r="AD478" s="279">
        <v>154.79599999999999</v>
      </c>
      <c r="AE478" s="278">
        <f t="shared" ref="AE478:AE487" si="133">SUM(V478:AC478)</f>
        <v>154.79599999999999</v>
      </c>
      <c r="AF478" s="278">
        <f>AE478-AD478</f>
        <v>0</v>
      </c>
      <c r="AG478" s="278">
        <f t="shared" ref="AG478:AG483" si="134">AE478-G478</f>
        <v>0</v>
      </c>
      <c r="AH478" s="202">
        <f>AB478-AB476</f>
        <v>-0.24699999999999989</v>
      </c>
      <c r="AI478" s="202">
        <f t="shared" si="111"/>
        <v>59.129999999999995</v>
      </c>
      <c r="AJ478" s="280"/>
      <c r="BB478" s="203">
        <f>'NASS Crush'!C53/'NOPA Crush'!G478</f>
        <v>1.0687767556439873</v>
      </c>
      <c r="BE478" s="274">
        <f t="shared" si="121"/>
        <v>4.9934193548387098</v>
      </c>
      <c r="BF478" s="280">
        <f t="shared" si="122"/>
        <v>163.572</v>
      </c>
      <c r="BG478" s="154" t="str">
        <f t="shared" si="123"/>
        <v/>
      </c>
      <c r="BH478" s="270">
        <f t="shared" si="124"/>
        <v>3.3999999999999989E-2</v>
      </c>
      <c r="BI478" s="270">
        <f t="shared" si="112"/>
        <v>8.0000000000000071E-2</v>
      </c>
      <c r="BK478" s="274">
        <f t="shared" si="109"/>
        <v>2285</v>
      </c>
    </row>
    <row r="479" spans="1:63">
      <c r="A479" s="266">
        <v>43617</v>
      </c>
      <c r="B479" s="290">
        <f>E479/(1-'NASS Crush'!E54)</f>
        <v>6.2540003886913444</v>
      </c>
      <c r="C479" s="277">
        <f t="shared" si="116"/>
        <v>0.28370645161290364</v>
      </c>
      <c r="D479" s="276">
        <f>'NASS Crush'!C54-'NOPA Crush'!G479</f>
        <v>8.7949000000000126</v>
      </c>
      <c r="E479" s="290">
        <f>E478+0.057</f>
        <v>5.8844612903225819</v>
      </c>
      <c r="F479" s="277">
        <f t="shared" si="132"/>
        <v>176.53383870967747</v>
      </c>
      <c r="G479" s="277">
        <v>148.84299999999999</v>
      </c>
      <c r="H479" s="281">
        <f t="shared" si="118"/>
        <v>0.84314146844550841</v>
      </c>
      <c r="I479" s="202">
        <v>3493.9850000000001</v>
      </c>
      <c r="J479" s="270">
        <v>46.95</v>
      </c>
      <c r="K479" s="270">
        <f>'NASS Crush'!K54-'NOPA Crush'!J479</f>
        <v>-5.3625460628445865E-2</v>
      </c>
      <c r="L479" s="202">
        <v>554.86400000000003</v>
      </c>
      <c r="M479" s="277">
        <f>'[1]Soy Complex'!$BH220-L479</f>
        <v>262.53032807</v>
      </c>
      <c r="N479" s="202">
        <v>1736.684</v>
      </c>
      <c r="O479" s="270">
        <v>11.67</v>
      </c>
      <c r="P479" s="270">
        <f>'NASS Crush'!W54-'NOPA Crush'!O479</f>
        <v>-0.1785946970874388</v>
      </c>
      <c r="Q479" s="202">
        <v>1535.4670000000001</v>
      </c>
      <c r="R479" s="199">
        <f>Q479/('NASS Crush'!P54+'NASS Crush'!T54)</f>
        <v>0.76223776570923651</v>
      </c>
      <c r="S479" s="202">
        <f>'NASS Crush'!P54+'NASS Crush'!T54-'NOPA Crush'!Q479</f>
        <v>478.95299999999975</v>
      </c>
      <c r="T479" s="301">
        <f>R479+'NASS Crush'!V54</f>
        <v>1.0741643652388908</v>
      </c>
      <c r="U479" s="300"/>
      <c r="V479" s="278">
        <v>16.035</v>
      </c>
      <c r="W479" s="278">
        <v>36.694000000000003</v>
      </c>
      <c r="X479" s="278">
        <v>18.702999999999999</v>
      </c>
      <c r="Y479" s="278">
        <v>30.675000000000001</v>
      </c>
      <c r="Z479" s="278"/>
      <c r="AB479" s="278">
        <v>28.812999999999999</v>
      </c>
      <c r="AC479" s="278">
        <v>17.922999999999998</v>
      </c>
      <c r="AD479" s="279">
        <v>148.84299999999999</v>
      </c>
      <c r="AE479" s="278">
        <f t="shared" si="133"/>
        <v>148.84299999999999</v>
      </c>
      <c r="AF479" s="278">
        <f t="shared" ref="AF479:AF481" si="135">AE479-AD479</f>
        <v>0</v>
      </c>
      <c r="AG479" s="278">
        <f t="shared" si="134"/>
        <v>0</v>
      </c>
      <c r="AH479" s="202">
        <f t="shared" ref="AH479:AH486" si="136">AB479-AB478</f>
        <v>-6.6310000000000038</v>
      </c>
      <c r="AI479" s="202">
        <f t="shared" si="111"/>
        <v>58.620000000000005</v>
      </c>
      <c r="AJ479" s="280"/>
      <c r="BB479" s="203">
        <f>'NASS Crush'!C54/'NOPA Crush'!G479</f>
        <v>1.0590884354655579</v>
      </c>
      <c r="BE479" s="274">
        <f>G479/30</f>
        <v>4.9614333333333329</v>
      </c>
      <c r="BF479" s="280">
        <f t="shared" si="122"/>
        <v>159.22800000000001</v>
      </c>
      <c r="BG479" s="154" t="str">
        <f t="shared" si="123"/>
        <v/>
      </c>
      <c r="BH479" s="270">
        <f t="shared" si="124"/>
        <v>-1.7999999999999971E-2</v>
      </c>
      <c r="BI479" s="270">
        <f t="shared" si="112"/>
        <v>-9.9999999999999645E-2</v>
      </c>
      <c r="BK479" s="274">
        <f t="shared" si="109"/>
        <v>2285</v>
      </c>
    </row>
    <row r="480" spans="1:63">
      <c r="A480" s="266">
        <v>43647</v>
      </c>
      <c r="B480" s="290">
        <f>E480/(1-'NASS Crush'!E55)</f>
        <v>6.3113774873483237</v>
      </c>
      <c r="C480" s="277">
        <f t="shared" si="116"/>
        <v>0.37900666666666705</v>
      </c>
      <c r="D480" s="276">
        <f>'NASS Crush'!C55-'NOPA Crush'!G480</f>
        <v>11.370200000000011</v>
      </c>
      <c r="E480" s="290">
        <f t="shared" ref="E480:E529" si="137">E479</f>
        <v>5.8844612903225819</v>
      </c>
      <c r="F480" s="277">
        <f t="shared" si="132"/>
        <v>182.41830000000004</v>
      </c>
      <c r="G480" s="277">
        <v>168.09299999999999</v>
      </c>
      <c r="H480" s="281">
        <f t="shared" si="118"/>
        <v>0.9214700498798637</v>
      </c>
      <c r="I480" s="202">
        <v>3930.6190000000001</v>
      </c>
      <c r="J480" s="270">
        <v>46.77</v>
      </c>
      <c r="K480" s="270">
        <f>'NASS Crush'!K55-'NOPA Crush'!J480</f>
        <v>-0.11671397813033479</v>
      </c>
      <c r="L480" s="202">
        <v>879.31899999999996</v>
      </c>
      <c r="M480" s="277">
        <f>'[1]Soy Complex'!$BH221-L480</f>
        <v>24.799120300000027</v>
      </c>
      <c r="N480" s="202">
        <v>1971.0989999999999</v>
      </c>
      <c r="O480" s="270">
        <v>11.73</v>
      </c>
      <c r="P480" s="270">
        <f>'NASS Crush'!W55-'NOPA Crush'!O480</f>
        <v>-8.3222276210387136E-2</v>
      </c>
      <c r="Q480" s="202">
        <v>1467.1310000000001</v>
      </c>
      <c r="R480" s="199">
        <f>Q480/('NASS Crush'!P55+'NASS Crush'!T55)</f>
        <v>0.71935782331070208</v>
      </c>
      <c r="S480" s="202">
        <f>'NASS Crush'!P55+'NASS Crush'!T55-'NOPA Crush'!Q480</f>
        <v>572.36999999999989</v>
      </c>
      <c r="T480" s="301">
        <f>R480+'NASS Crush'!V55</f>
        <v>1.1094865848187063</v>
      </c>
      <c r="U480" s="300"/>
      <c r="V480" s="278">
        <v>21.925999999999998</v>
      </c>
      <c r="W480" s="278">
        <v>37.542999999999999</v>
      </c>
      <c r="X480" s="278">
        <v>20.693000000000001</v>
      </c>
      <c r="Y480" s="278">
        <v>34.695</v>
      </c>
      <c r="Z480" s="278"/>
      <c r="AB480" s="278">
        <v>34.860999999999997</v>
      </c>
      <c r="AC480" s="278">
        <v>18.375</v>
      </c>
      <c r="AD480" s="279">
        <v>168.09299999999999</v>
      </c>
      <c r="AE480" s="278">
        <f t="shared" si="133"/>
        <v>168.09299999999999</v>
      </c>
      <c r="AF480" s="278">
        <f t="shared" si="135"/>
        <v>0</v>
      </c>
      <c r="AG480" s="278">
        <f t="shared" si="134"/>
        <v>0</v>
      </c>
      <c r="AH480" s="202">
        <f t="shared" si="136"/>
        <v>6.0479999999999983</v>
      </c>
      <c r="AI480" s="202">
        <f t="shared" si="111"/>
        <v>58.5</v>
      </c>
      <c r="AJ480" s="280"/>
      <c r="BB480" s="203">
        <f>'NASS Crush'!C55/'NOPA Crush'!G480</f>
        <v>1.0676423170506804</v>
      </c>
      <c r="BE480" s="274">
        <f t="shared" si="121"/>
        <v>5.4223548387096772</v>
      </c>
      <c r="BF480" s="280">
        <f t="shared" si="122"/>
        <v>167.733</v>
      </c>
      <c r="BG480" s="154" t="str">
        <f t="shared" si="123"/>
        <v>RECORD</v>
      </c>
      <c r="BH480" s="270">
        <f t="shared" si="124"/>
        <v>-3.8000000000000256E-3</v>
      </c>
      <c r="BI480" s="270">
        <f t="shared" si="112"/>
        <v>6.0000000000000497E-2</v>
      </c>
      <c r="BK480" s="274">
        <f t="shared" si="109"/>
        <v>2305</v>
      </c>
    </row>
    <row r="481" spans="1:63">
      <c r="A481" s="266">
        <v>43678</v>
      </c>
      <c r="B481" s="290">
        <f>E481/(1-'NASS Crush'!E56)</f>
        <v>6.234780127734405</v>
      </c>
      <c r="C481" s="277">
        <f t="shared" si="116"/>
        <v>0.30465591397849462</v>
      </c>
      <c r="D481" s="276">
        <f>'NASS Crush'!C56-'NOPA Crush'!G481</f>
        <v>9.4443333333333328</v>
      </c>
      <c r="E481" s="290">
        <f t="shared" si="137"/>
        <v>5.8844612903225819</v>
      </c>
      <c r="F481" s="277">
        <f t="shared" si="132"/>
        <v>182.41830000000004</v>
      </c>
      <c r="G481" s="277">
        <v>168.08500000000001</v>
      </c>
      <c r="H481" s="281">
        <f t="shared" si="118"/>
        <v>0.92142619463069197</v>
      </c>
      <c r="I481" s="202">
        <v>3939.7739999999999</v>
      </c>
      <c r="J481" s="270">
        <v>46.88</v>
      </c>
      <c r="K481" s="270">
        <f>'NASS Crush'!K56-'NOPA Crush'!J481</f>
        <v>-0.11855588184488397</v>
      </c>
      <c r="L481" s="202">
        <v>699.21199999999999</v>
      </c>
      <c r="M481" s="277">
        <f>'[1]Soy Complex'!$BH222-L481</f>
        <v>338.69720252000002</v>
      </c>
      <c r="N481" s="202">
        <v>1965.0409999999999</v>
      </c>
      <c r="O481" s="270">
        <v>11.69</v>
      </c>
      <c r="P481" s="270">
        <f>'NASS Crush'!W56-'NOPA Crush'!O481</f>
        <v>-0.143243407662208</v>
      </c>
      <c r="Q481" s="202">
        <v>1400.646</v>
      </c>
      <c r="R481" s="199">
        <f>Q481/('NASS Crush'!P56+'NASS Crush'!T56)</f>
        <v>0.77548837386990099</v>
      </c>
      <c r="S481" s="202">
        <f>'NASS Crush'!P56+'NASS Crush'!T56-'NOPA Crush'!Q481</f>
        <v>405.50099999999998</v>
      </c>
      <c r="T481" s="301">
        <f>R481+'NASS Crush'!V56</f>
        <v>1.0649983571204868</v>
      </c>
      <c r="U481" s="300"/>
      <c r="V481" s="278">
        <v>21.81</v>
      </c>
      <c r="W481" s="278">
        <v>36.478000000000002</v>
      </c>
      <c r="X481" s="278">
        <v>21.367000000000001</v>
      </c>
      <c r="Y481" s="278">
        <v>34.340000000000003</v>
      </c>
      <c r="Z481" s="278"/>
      <c r="AB481" s="278">
        <v>31.779</v>
      </c>
      <c r="AC481" s="278">
        <v>22.311</v>
      </c>
      <c r="AD481" s="279">
        <v>168.08500000000001</v>
      </c>
      <c r="AE481" s="278">
        <f t="shared" si="133"/>
        <v>168.08500000000001</v>
      </c>
      <c r="AF481" s="278">
        <f t="shared" si="135"/>
        <v>0</v>
      </c>
      <c r="AG481" s="278">
        <f t="shared" si="134"/>
        <v>0</v>
      </c>
      <c r="AH481" s="202">
        <f t="shared" si="136"/>
        <v>-3.0819999999999972</v>
      </c>
      <c r="AI481" s="202">
        <f t="shared" si="111"/>
        <v>58.57</v>
      </c>
      <c r="AJ481" s="280"/>
      <c r="BB481" s="203">
        <f>'NASS Crush'!C56/'NOPA Crush'!G481</f>
        <v>1.0561878414690979</v>
      </c>
      <c r="BE481" s="274">
        <f t="shared" si="121"/>
        <v>5.4220967741935491</v>
      </c>
      <c r="BF481" s="280">
        <f t="shared" si="122"/>
        <v>158.88499999999999</v>
      </c>
      <c r="BG481" s="154" t="str">
        <f t="shared" si="123"/>
        <v>RECORD</v>
      </c>
      <c r="BH481" s="270">
        <f t="shared" si="124"/>
        <v>3.5800000000000054E-2</v>
      </c>
      <c r="BI481" s="270">
        <f t="shared" si="112"/>
        <v>-4.0000000000000924E-2</v>
      </c>
      <c r="BK481" s="274">
        <f t="shared" si="109"/>
        <v>2275</v>
      </c>
    </row>
    <row r="482" spans="1:63">
      <c r="A482" s="266">
        <v>43709</v>
      </c>
      <c r="B482" s="290">
        <f>E482/(1-'NASS Crush'!E57)</f>
        <v>6.2870044059072558</v>
      </c>
      <c r="C482" s="277">
        <f>D482/(A482-A481)</f>
        <v>0.31511182795698883</v>
      </c>
      <c r="D482" s="276">
        <f>'NASS Crush'!C57-'NOPA Crush'!G482</f>
        <v>9.7684666666666544</v>
      </c>
      <c r="E482" s="290">
        <f t="shared" si="137"/>
        <v>5.8844612903225819</v>
      </c>
      <c r="F482" s="277">
        <f t="shared" si="132"/>
        <v>176.53383870967747</v>
      </c>
      <c r="G482" s="277">
        <v>152.566</v>
      </c>
      <c r="H482" s="281">
        <f t="shared" si="118"/>
        <v>0.86423090958162252</v>
      </c>
      <c r="I482" s="202">
        <v>3576.1410000000001</v>
      </c>
      <c r="J482" s="270">
        <v>46.88</v>
      </c>
      <c r="K482" s="270">
        <f>'NASS Crush'!K57-'NOPA Crush'!J482</f>
        <v>-6.8634822672699158E-2</v>
      </c>
      <c r="L482" s="202">
        <v>844.58399999999995</v>
      </c>
      <c r="M482" s="277">
        <f>'[1]Soy Complex'!$BH223-L482</f>
        <v>107.17959696000003</v>
      </c>
      <c r="N482" s="202">
        <v>1808.854</v>
      </c>
      <c r="O482" s="270">
        <v>11.86</v>
      </c>
      <c r="P482" s="270">
        <f>'NASS Crush'!W57-'NOPA Crush'!O482</f>
        <v>-0.15165463731875306</v>
      </c>
      <c r="Q482" s="202">
        <v>1441.8050000000001</v>
      </c>
      <c r="R482" s="199">
        <f>Q482/('NASS Crush'!P57+'NASS Crush'!T57)</f>
        <v>0.81213992325873252</v>
      </c>
      <c r="S482" s="202">
        <f>'NASS Crush'!P57+'NASS Crush'!T57-'NOPA Crush'!Q482</f>
        <v>333.51099999999997</v>
      </c>
      <c r="T482" s="301">
        <f>R482+'NASS Crush'!V57</f>
        <v>1.0434548375501935</v>
      </c>
      <c r="U482" s="302"/>
      <c r="V482" s="278">
        <v>17.155999999999999</v>
      </c>
      <c r="W482" s="278">
        <v>37.069000000000003</v>
      </c>
      <c r="X482" s="278">
        <v>17.32</v>
      </c>
      <c r="Y482" s="278">
        <v>28.693999999999999</v>
      </c>
      <c r="Z482" s="278"/>
      <c r="AB482" s="278">
        <v>34.473999999999997</v>
      </c>
      <c r="AC482" s="278">
        <v>17.853000000000002</v>
      </c>
      <c r="AD482" s="279">
        <v>152.566</v>
      </c>
      <c r="AE482" s="278">
        <f t="shared" si="133"/>
        <v>152.566</v>
      </c>
      <c r="AF482" s="278">
        <f t="shared" ref="AF482:AF483" si="138">AE482-AD482</f>
        <v>0</v>
      </c>
      <c r="AG482" s="278">
        <f t="shared" si="134"/>
        <v>0</v>
      </c>
      <c r="AH482" s="202">
        <f t="shared" si="136"/>
        <v>2.6949999999999967</v>
      </c>
      <c r="AI482" s="202">
        <f t="shared" si="111"/>
        <v>58.74</v>
      </c>
      <c r="AJ482" s="280"/>
      <c r="BB482" s="203">
        <f>'NASS Crush'!C57/'NOPA Crush'!G482</f>
        <v>1.0640278087297736</v>
      </c>
      <c r="BE482" s="274">
        <f>G482/30</f>
        <v>5.0855333333333332</v>
      </c>
      <c r="BF482" s="280">
        <f t="shared" si="122"/>
        <v>160.779</v>
      </c>
      <c r="BG482" s="154" t="str">
        <f t="shared" si="123"/>
        <v/>
      </c>
      <c r="BH482" s="270">
        <f t="shared" si="124"/>
        <v>5.999999999999517E-3</v>
      </c>
      <c r="BI482" s="270">
        <f t="shared" si="112"/>
        <v>0.16999999999999993</v>
      </c>
      <c r="BK482" s="274">
        <f t="shared" si="109"/>
        <v>2295</v>
      </c>
    </row>
    <row r="483" spans="1:63">
      <c r="A483" s="266">
        <v>43739</v>
      </c>
      <c r="B483" s="290">
        <f>E483/(1-'NASS Crush'!E58)</f>
        <v>6.3085205317793021</v>
      </c>
      <c r="C483" s="277">
        <f t="shared" si="116"/>
        <v>0.39300666666666662</v>
      </c>
      <c r="D483" s="276">
        <f>'NASS Crush'!C58-'NOPA Crush'!G483</f>
        <v>11.790199999999999</v>
      </c>
      <c r="E483" s="290">
        <f t="shared" si="137"/>
        <v>5.8844612903225819</v>
      </c>
      <c r="F483" s="277">
        <f t="shared" si="132"/>
        <v>182.41830000000004</v>
      </c>
      <c r="G483" s="277">
        <v>175.39699999999999</v>
      </c>
      <c r="H483" s="281">
        <f t="shared" si="118"/>
        <v>0.9615098923737363</v>
      </c>
      <c r="I483" s="202">
        <v>4115.076</v>
      </c>
      <c r="J483" s="270">
        <v>46.92</v>
      </c>
      <c r="K483" s="270">
        <f>'NASS Crush'!K58-'NOPA Crush'!J483</f>
        <v>-0.10235434901531448</v>
      </c>
      <c r="L483" s="202">
        <v>894.81700000000001</v>
      </c>
      <c r="M483" s="277">
        <f>'[1]Soy Complex'!$BI212-L483</f>
        <v>235.51854782999999</v>
      </c>
      <c r="N483" s="202">
        <v>2029.9960000000001</v>
      </c>
      <c r="O483" s="270">
        <v>11.57</v>
      </c>
      <c r="P483" s="270">
        <f>'NASS Crush'!W58-'NOPA Crush'!O483</f>
        <v>-8.4337518804703748E-2</v>
      </c>
      <c r="Q483" s="202">
        <v>1423.0889999999999</v>
      </c>
      <c r="R483" s="199">
        <f>Q483/('NASS Crush'!P58+'NASS Crush'!T58)</f>
        <v>0.78150566899401297</v>
      </c>
      <c r="S483" s="202">
        <f>'NASS Crush'!P58+'NASS Crush'!T58-'NOPA Crush'!Q483</f>
        <v>397.86900000000014</v>
      </c>
      <c r="T483" s="301">
        <f>R483+'NASS Crush'!V58</f>
        <v>1.0610869179531435</v>
      </c>
      <c r="U483" s="302">
        <f>'[1]Soy Complex'!$BI483-Q483</f>
        <v>397.86900000000014</v>
      </c>
      <c r="V483" s="278">
        <v>20.634</v>
      </c>
      <c r="W483" s="278">
        <v>39.601999999999997</v>
      </c>
      <c r="X483" s="278">
        <v>20.128</v>
      </c>
      <c r="Y483" s="278">
        <v>36.095999999999997</v>
      </c>
      <c r="Z483" s="278"/>
      <c r="AB483" s="278">
        <v>37.076000000000001</v>
      </c>
      <c r="AC483" s="278">
        <v>21.861999999999998</v>
      </c>
      <c r="AD483" s="279">
        <v>175.39699999999999</v>
      </c>
      <c r="AE483" s="278">
        <f t="shared" si="133"/>
        <v>175.398</v>
      </c>
      <c r="AF483" s="278">
        <f t="shared" si="138"/>
        <v>1.0000000000047748E-3</v>
      </c>
      <c r="AG483" s="278">
        <f t="shared" si="134"/>
        <v>1.0000000000047748E-3</v>
      </c>
      <c r="AH483" s="202">
        <f t="shared" si="136"/>
        <v>2.6020000000000039</v>
      </c>
      <c r="AI483" s="202">
        <f t="shared" si="111"/>
        <v>58.49</v>
      </c>
      <c r="AJ483" s="280"/>
      <c r="BB483" s="203">
        <f>'NASS Crush'!C58/'NOPA Crush'!G483</f>
        <v>1.0672200778804655</v>
      </c>
      <c r="BE483" s="274">
        <f t="shared" si="121"/>
        <v>5.6579677419354839</v>
      </c>
      <c r="BF483" s="280">
        <f t="shared" si="122"/>
        <v>172.346</v>
      </c>
      <c r="BG483" s="154" t="str">
        <f t="shared" si="123"/>
        <v>RECORD</v>
      </c>
      <c r="BH483" s="270">
        <f t="shared" si="124"/>
        <v>-7.1999999999999884E-2</v>
      </c>
      <c r="BI483" s="270">
        <f t="shared" si="112"/>
        <v>-0.28999999999999915</v>
      </c>
      <c r="BK483" s="274">
        <f t="shared" si="109"/>
        <v>2305</v>
      </c>
    </row>
    <row r="484" spans="1:63">
      <c r="A484" s="266">
        <v>43770</v>
      </c>
      <c r="B484" s="290">
        <f>E484/(1-'NASS Crush'!E59)</f>
        <v>6.253806331432231</v>
      </c>
      <c r="C484" s="277">
        <f t="shared" si="116"/>
        <v>0.31417419354838766</v>
      </c>
      <c r="D484" s="276">
        <f>'NASS Crush'!C59-'NOPA Crush'!G484</f>
        <v>9.7394000000000176</v>
      </c>
      <c r="E484" s="290">
        <f t="shared" si="137"/>
        <v>5.8844612903225819</v>
      </c>
      <c r="F484" s="277">
        <f t="shared" si="132"/>
        <v>176.53383870967747</v>
      </c>
      <c r="G484" s="277">
        <v>164.90899999999999</v>
      </c>
      <c r="H484" s="281">
        <f t="shared" si="118"/>
        <v>0.93414951606646157</v>
      </c>
      <c r="I484" s="202">
        <v>3893.2739999999999</v>
      </c>
      <c r="J484" s="270">
        <v>47.22</v>
      </c>
      <c r="K484" s="270">
        <f>'NASS Crush'!K59-'NOPA Crush'!J484</f>
        <v>-0.13371693070191526</v>
      </c>
      <c r="L484" s="202">
        <v>868.76900000000001</v>
      </c>
      <c r="M484" s="277">
        <f>'[1]Soy Complex'!$BI213-L484</f>
        <v>369.10278798000013</v>
      </c>
      <c r="N484" s="202">
        <v>1901.4929999999999</v>
      </c>
      <c r="O484" s="270">
        <v>11.53</v>
      </c>
      <c r="P484" s="270">
        <f>'NASS Crush'!W59-'NOPA Crush'!O484</f>
        <v>-8.0436190655053252E-2</v>
      </c>
      <c r="Q484" s="202">
        <v>1448.0930000000001</v>
      </c>
      <c r="R484" s="199">
        <f>Q484/('NASS Crush'!P59+'NASS Crush'!T59)</f>
        <v>0.77011558437276317</v>
      </c>
      <c r="S484" s="202">
        <f>'NASS Crush'!P59+'NASS Crush'!T59-'NOPA Crush'!Q484</f>
        <v>432.26499999999987</v>
      </c>
      <c r="T484" s="301">
        <f>R484+'NASS Crush'!V59</f>
        <v>1.0686219648331341</v>
      </c>
      <c r="U484" s="302">
        <f>'[1]Soy Complex'!$BI484-Q484</f>
        <v>432.26499999999987</v>
      </c>
      <c r="V484" s="278">
        <v>19.388000000000002</v>
      </c>
      <c r="W484" s="278">
        <v>37.728000000000002</v>
      </c>
      <c r="X484" s="278">
        <v>20.684000000000001</v>
      </c>
      <c r="Y484" s="278">
        <v>35.158000000000001</v>
      </c>
      <c r="Z484" s="278"/>
      <c r="AB484" s="278">
        <v>32.765999999999998</v>
      </c>
      <c r="AC484" s="278">
        <v>19.186</v>
      </c>
      <c r="AD484" s="279">
        <v>164.90899999999999</v>
      </c>
      <c r="AE484" s="278">
        <f t="shared" si="133"/>
        <v>164.91</v>
      </c>
      <c r="AF484" s="278">
        <f t="shared" ref="AF484:AF486" si="139">AE484-AD484</f>
        <v>1.0000000000047748E-3</v>
      </c>
      <c r="AG484" s="278">
        <f t="shared" ref="AG484:AG486" si="140">AE484-G484</f>
        <v>1.0000000000047748E-3</v>
      </c>
      <c r="AH484" s="202">
        <f t="shared" si="136"/>
        <v>-4.3100000000000023</v>
      </c>
      <c r="AI484" s="202">
        <f t="shared" si="111"/>
        <v>58.75</v>
      </c>
      <c r="AJ484" s="280"/>
      <c r="BB484" s="203">
        <f>'NASS Crush'!C59/'NOPA Crush'!G484</f>
        <v>1.0590592387316642</v>
      </c>
      <c r="BE484" s="274">
        <f>G484/30</f>
        <v>5.4969666666666663</v>
      </c>
      <c r="BF484" s="280">
        <f t="shared" si="122"/>
        <v>166.959</v>
      </c>
      <c r="BG484" s="154" t="str">
        <f t="shared" si="123"/>
        <v/>
      </c>
      <c r="BH484" s="270">
        <f t="shared" si="124"/>
        <v>-0.11799999999999962</v>
      </c>
      <c r="BI484" s="270">
        <f t="shared" si="112"/>
        <v>-4.0000000000000924E-2</v>
      </c>
      <c r="BK484" s="274">
        <f t="shared" si="109"/>
        <v>2285</v>
      </c>
    </row>
    <row r="485" spans="1:63">
      <c r="A485" s="266">
        <v>43800</v>
      </c>
      <c r="B485" s="290">
        <f>E485/(1-'NASS Crush'!E60)</f>
        <v>6.2388699709884898</v>
      </c>
      <c r="C485" s="277">
        <f t="shared" si="116"/>
        <v>0.33101555555555534</v>
      </c>
      <c r="D485" s="276">
        <f>'NASS Crush'!C60-'NOPA Crush'!G485</f>
        <v>9.9304666666666606</v>
      </c>
      <c r="E485" s="290">
        <f t="shared" si="137"/>
        <v>5.8844612903225819</v>
      </c>
      <c r="F485" s="277">
        <f t="shared" si="132"/>
        <v>182.41830000000004</v>
      </c>
      <c r="G485" s="277">
        <v>174.81200000000001</v>
      </c>
      <c r="H485" s="281">
        <f t="shared" si="118"/>
        <v>0.95830297727804703</v>
      </c>
      <c r="I485" s="202">
        <v>4111.4650000000001</v>
      </c>
      <c r="J485" s="270">
        <v>47.04</v>
      </c>
      <c r="K485" s="270">
        <f>'NASS Crush'!K60-'NOPA Crush'!J485</f>
        <v>-8.1960754737131936E-2</v>
      </c>
      <c r="L485" s="202">
        <v>902.53399999999999</v>
      </c>
      <c r="M485" s="277">
        <f>'[1]Soy Complex'!$BI214-L485</f>
        <v>183.28555551000011</v>
      </c>
      <c r="N485" s="202">
        <v>2012.2349999999999</v>
      </c>
      <c r="O485" s="270">
        <v>11.51</v>
      </c>
      <c r="P485" s="270">
        <f>'NASS Crush'!W60-'NOPA Crush'!O485</f>
        <v>-8.3628802906531519E-2</v>
      </c>
      <c r="Q485" s="202">
        <v>1757.069</v>
      </c>
      <c r="R485" s="199">
        <f>Q485/('NASS Crush'!P60+'NASS Crush'!T60)</f>
        <v>0.8233440983962993</v>
      </c>
      <c r="S485" s="202">
        <f>'NASS Crush'!P60+'NASS Crush'!T60-'NOPA Crush'!Q485</f>
        <v>376.99499999999989</v>
      </c>
      <c r="T485" s="301">
        <f>R485+'NASS Crush'!V60</f>
        <v>1.0379031168526036</v>
      </c>
      <c r="U485" s="302">
        <f>'[1]Soy Complex'!$BI485-Q485</f>
        <v>376.99499999999989</v>
      </c>
      <c r="V485" s="278">
        <v>21.417000000000002</v>
      </c>
      <c r="W485" s="278">
        <v>40.326999999999998</v>
      </c>
      <c r="X485" s="278">
        <v>21.536999999999999</v>
      </c>
      <c r="Y485" s="278">
        <v>35.546999999999997</v>
      </c>
      <c r="Z485" s="278"/>
      <c r="AB485" s="278">
        <v>35.636000000000003</v>
      </c>
      <c r="AC485" s="278">
        <v>20.347000000000001</v>
      </c>
      <c r="AD485" s="279">
        <v>174.81200000000001</v>
      </c>
      <c r="AE485" s="278">
        <f t="shared" si="133"/>
        <v>174.81100000000001</v>
      </c>
      <c r="AF485" s="278">
        <f t="shared" si="139"/>
        <v>-1.0000000000047748E-3</v>
      </c>
      <c r="AG485" s="278">
        <f t="shared" si="140"/>
        <v>-1.0000000000047748E-3</v>
      </c>
      <c r="AH485" s="202">
        <f t="shared" si="136"/>
        <v>2.8700000000000045</v>
      </c>
      <c r="AI485" s="202">
        <f t="shared" si="111"/>
        <v>58.55</v>
      </c>
      <c r="AJ485" s="280"/>
      <c r="BB485" s="203">
        <f>'NASS Crush'!C60/'NOPA Crush'!G485</f>
        <v>1.056806550274962</v>
      </c>
      <c r="BE485" s="274">
        <f t="shared" si="121"/>
        <v>5.6390967741935487</v>
      </c>
      <c r="BF485" s="280">
        <f t="shared" si="122"/>
        <v>171.75899999999999</v>
      </c>
      <c r="BG485" s="154" t="str">
        <f t="shared" si="123"/>
        <v>RECORD</v>
      </c>
      <c r="BH485" s="270">
        <f t="shared" si="124"/>
        <v>7.5999999999999804E-2</v>
      </c>
      <c r="BI485" s="270">
        <f t="shared" si="112"/>
        <v>-1.9999999999999574E-2</v>
      </c>
      <c r="BK485" s="274">
        <f t="shared" si="109"/>
        <v>2275</v>
      </c>
    </row>
    <row r="486" spans="1:63">
      <c r="A486" s="266">
        <v>43831</v>
      </c>
      <c r="B486" s="290">
        <f>E486/(1-'NASS Crush'!E61)</f>
        <v>6.3064640300186587</v>
      </c>
      <c r="C486" s="277">
        <f t="shared" si="116"/>
        <v>0.38193870967741955</v>
      </c>
      <c r="D486" s="276">
        <f>'NASS Crush'!C61-'NOPA Crush'!G486</f>
        <v>11.840100000000007</v>
      </c>
      <c r="E486" s="290">
        <f t="shared" si="137"/>
        <v>5.8844612903225819</v>
      </c>
      <c r="F486" s="277">
        <f t="shared" si="132"/>
        <v>182.41830000000004</v>
      </c>
      <c r="G486" s="277">
        <v>176.94</v>
      </c>
      <c r="H486" s="281">
        <f t="shared" si="118"/>
        <v>0.9699684735577514</v>
      </c>
      <c r="I486" s="202">
        <v>4150.723</v>
      </c>
      <c r="J486" s="270">
        <v>46.92</v>
      </c>
      <c r="K486" s="270">
        <f>'NASS Crush'!K61-'NOPA Crush'!J486</f>
        <v>-3.2123576584609737E-2</v>
      </c>
      <c r="L486" s="202">
        <v>931.06100000000004</v>
      </c>
      <c r="M486" s="277">
        <f>'[1]Soy Complex'!$BI215-L486</f>
        <v>44.179799999999886</v>
      </c>
      <c r="N486" s="202">
        <v>2034.5540000000001</v>
      </c>
      <c r="O486" s="270">
        <v>11.5</v>
      </c>
      <c r="P486" s="270">
        <f>'NASS Crush'!W61-'NOPA Crush'!O486</f>
        <v>-8.7637150314042955E-2</v>
      </c>
      <c r="Q486" s="202">
        <v>2012.7280000000001</v>
      </c>
      <c r="R486" s="199">
        <f>Q486/('NASS Crush'!P61+'NASS Crush'!T61)</f>
        <v>0.85433616155545</v>
      </c>
      <c r="S486" s="202">
        <f>'NASS Crush'!P61+'NASS Crush'!T61-'NOPA Crush'!Q486</f>
        <v>343.16899999999987</v>
      </c>
      <c r="T486" s="301">
        <f>R486+'NASS Crush'!V61</f>
        <v>1.0248356031094006</v>
      </c>
      <c r="U486" s="302">
        <f>'[1]Soy Complex'!$BI486-Q486</f>
        <v>343.16899999999987</v>
      </c>
      <c r="V486" s="278">
        <v>21.75</v>
      </c>
      <c r="W486" s="278">
        <v>39.86</v>
      </c>
      <c r="X486" s="278">
        <v>21.699000000000002</v>
      </c>
      <c r="Y486" s="278">
        <v>37.28</v>
      </c>
      <c r="Z486" s="278"/>
      <c r="AB486" s="278">
        <v>36.015000000000001</v>
      </c>
      <c r="AC486" s="278">
        <v>20.337</v>
      </c>
      <c r="AD486" s="279">
        <v>176.94</v>
      </c>
      <c r="AE486" s="278">
        <f t="shared" si="133"/>
        <v>176.94099999999997</v>
      </c>
      <c r="AF486" s="278">
        <f t="shared" si="139"/>
        <v>9.9999999997635314E-4</v>
      </c>
      <c r="AG486" s="278">
        <f t="shared" si="140"/>
        <v>9.9999999997635314E-4</v>
      </c>
      <c r="AH486" s="202">
        <f t="shared" si="136"/>
        <v>0.37899999999999778</v>
      </c>
      <c r="AI486" s="202">
        <f t="shared" si="111"/>
        <v>58.42</v>
      </c>
      <c r="AJ486" s="280"/>
      <c r="BB486" s="203">
        <f>'NASS Crush'!C61/'NOPA Crush'!G486</f>
        <v>1.0669159036961682</v>
      </c>
      <c r="BE486" s="274">
        <f t="shared" si="121"/>
        <v>5.7077419354838712</v>
      </c>
      <c r="BF486" s="280">
        <f t="shared" si="122"/>
        <v>171.63</v>
      </c>
      <c r="BG486" s="154" t="str">
        <f t="shared" si="123"/>
        <v>RECORD</v>
      </c>
      <c r="BH486" s="270">
        <f t="shared" si="124"/>
        <v>0</v>
      </c>
      <c r="BI486" s="270">
        <f t="shared" si="112"/>
        <v>-9.9999999999997868E-3</v>
      </c>
      <c r="BK486" s="274">
        <f t="shared" si="109"/>
        <v>2300</v>
      </c>
    </row>
    <row r="487" spans="1:63">
      <c r="A487" s="266">
        <v>43862</v>
      </c>
      <c r="B487" s="290">
        <f>E487/(1-'NASS Crush'!E62)</f>
        <v>6.3556208931847324</v>
      </c>
      <c r="C487" s="277">
        <f t="shared" si="116"/>
        <v>0.29046989247311766</v>
      </c>
      <c r="D487" s="276">
        <f>'NASS Crush'!C62-'NOPA Crush'!G487</f>
        <v>9.0045666666666477</v>
      </c>
      <c r="E487" s="298">
        <f>E486+0.127</f>
        <v>6.0114612903225817</v>
      </c>
      <c r="F487" s="277">
        <f t="shared" si="132"/>
        <v>174.33237741935486</v>
      </c>
      <c r="G487" s="277">
        <v>166.28800000000001</v>
      </c>
      <c r="H487" s="281">
        <f t="shared" si="118"/>
        <v>0.95385609065604504</v>
      </c>
      <c r="I487" s="202">
        <v>3911.2460000000001</v>
      </c>
      <c r="J487" s="270">
        <v>47.04</v>
      </c>
      <c r="K487" s="270">
        <f>'NASS Crush'!K62-'NOPA Crush'!J487</f>
        <v>-2.8885195169934264E-3</v>
      </c>
      <c r="L487" s="202">
        <v>762.745</v>
      </c>
      <c r="M487" s="277">
        <f>'[1]Soy Complex'!$BI216-L487</f>
        <v>454.96839999999986</v>
      </c>
      <c r="N487" s="202">
        <v>1910.1420000000001</v>
      </c>
      <c r="O487" s="270">
        <v>11.49</v>
      </c>
      <c r="P487" s="270">
        <f>'NASS Crush'!W62-'NOPA Crush'!O487</f>
        <v>-8.3218537313904051E-2</v>
      </c>
      <c r="Q487" s="202">
        <v>1922.12</v>
      </c>
      <c r="R487" s="199">
        <f>Q487/('NASS Crush'!P62+'NASS Crush'!T62)</f>
        <v>0.80870145464612464</v>
      </c>
      <c r="S487" s="202">
        <f>'NASS Crush'!P62+'NASS Crush'!T62-'NOPA Crush'!Q487</f>
        <v>454.67800000000034</v>
      </c>
      <c r="T487" s="301">
        <f>R487+'NASS Crush'!V62</f>
        <v>1.0452517220591895</v>
      </c>
      <c r="U487" s="302">
        <f>'[1]Soy Complex'!$BI487-Q487</f>
        <v>454.67800000000034</v>
      </c>
      <c r="V487" s="278">
        <v>20.338000000000001</v>
      </c>
      <c r="W487" s="278">
        <v>37.11</v>
      </c>
      <c r="X487" s="278">
        <v>20.128</v>
      </c>
      <c r="Y487" s="278">
        <v>35.204999999999998</v>
      </c>
      <c r="Z487" s="278"/>
      <c r="AB487" s="278">
        <v>34.097999999999999</v>
      </c>
      <c r="AC487" s="278">
        <v>19.408999999999999</v>
      </c>
      <c r="AD487" s="279">
        <v>166.28800000000001</v>
      </c>
      <c r="AE487" s="278">
        <f t="shared" si="133"/>
        <v>166.28799999999998</v>
      </c>
      <c r="AF487" s="278">
        <f t="shared" ref="AF487:AF489" si="141">AE487-AD487</f>
        <v>0</v>
      </c>
      <c r="AG487" s="278">
        <f t="shared" ref="AG487:AG489" si="142">AE487-G487</f>
        <v>0</v>
      </c>
      <c r="AH487" s="202">
        <f t="shared" ref="AH487:AH489" si="143">AB487-AB486</f>
        <v>-1.9170000000000016</v>
      </c>
      <c r="AI487" s="202">
        <f t="shared" si="111"/>
        <v>58.53</v>
      </c>
      <c r="AJ487" s="280"/>
      <c r="BB487" s="203">
        <f>'NASS Crush'!C62/'NOPA Crush'!G487</f>
        <v>1.0541504297764519</v>
      </c>
      <c r="BE487" s="274">
        <f>G487/29</f>
        <v>5.7340689655172419</v>
      </c>
      <c r="BF487" s="280">
        <f t="shared" si="122"/>
        <v>154.49799999999999</v>
      </c>
      <c r="BG487" s="154" t="str">
        <f t="shared" si="123"/>
        <v>RECORD</v>
      </c>
      <c r="BH487" s="270">
        <f t="shared" si="124"/>
        <v>2.5999999999999801E-2</v>
      </c>
      <c r="BI487" s="270">
        <f t="shared" si="112"/>
        <v>-9.9999999999997868E-3</v>
      </c>
      <c r="BK487" s="274">
        <f t="shared" si="109"/>
        <v>2320</v>
      </c>
    </row>
    <row r="488" spans="1:63">
      <c r="A488" s="266">
        <v>43891</v>
      </c>
      <c r="B488" s="290">
        <f>E488/(1-'NASS Crush'!E63)</f>
        <v>6.3916398265601764</v>
      </c>
      <c r="C488" s="277">
        <f t="shared" si="116"/>
        <v>0.37200804597701215</v>
      </c>
      <c r="D488" s="276">
        <f>'NASS Crush'!C63-'NOPA Crush'!G488</f>
        <v>10.788233333333352</v>
      </c>
      <c r="E488" s="290">
        <f t="shared" si="137"/>
        <v>6.0114612903225817</v>
      </c>
      <c r="F488" s="277">
        <f t="shared" si="132"/>
        <v>186.35530000000003</v>
      </c>
      <c r="G488" s="277">
        <v>181.374</v>
      </c>
      <c r="H488" s="281">
        <f t="shared" si="118"/>
        <v>0.97326987748671467</v>
      </c>
      <c r="I488" s="202">
        <v>4269.0119999999997</v>
      </c>
      <c r="J488" s="270">
        <v>47.07</v>
      </c>
      <c r="K488" s="270">
        <f>'NASS Crush'!K63-'NOPA Crush'!J488</f>
        <v>-4.8138090609903372E-2</v>
      </c>
      <c r="L488" s="202">
        <v>973.74099999999999</v>
      </c>
      <c r="M488" s="277">
        <f>'[1]Soy Complex'!$BI217-L488</f>
        <v>265.52850000000012</v>
      </c>
      <c r="N488" s="202">
        <v>2096.0219999999999</v>
      </c>
      <c r="O488" s="270">
        <v>11.56</v>
      </c>
      <c r="P488" s="270">
        <f>'NASS Crush'!W63-'NOPA Crush'!O488</f>
        <v>-0.10578258266842866</v>
      </c>
      <c r="Q488" s="202">
        <v>1898.8620000000001</v>
      </c>
      <c r="R488" s="199">
        <f>Q488/('NASS Crush'!P63+'NASS Crush'!T63)</f>
        <v>0.8161552896637746</v>
      </c>
      <c r="S488" s="202">
        <f>'NASS Crush'!P63+'NASS Crush'!T63-'NOPA Crush'!Q488</f>
        <v>427.73199999999997</v>
      </c>
      <c r="T488" s="301">
        <f>R488+'NASS Crush'!V63</f>
        <v>1.0414123120276959</v>
      </c>
      <c r="U488" s="302">
        <f>'[1]Soy Complex'!$BI488-Q488</f>
        <v>427.73199999999997</v>
      </c>
      <c r="V488" s="278">
        <v>20.097000000000001</v>
      </c>
      <c r="W488" s="278">
        <v>42.695999999999998</v>
      </c>
      <c r="X488" s="278">
        <v>22.498999999999999</v>
      </c>
      <c r="Y488" s="278">
        <v>37.710999999999999</v>
      </c>
      <c r="Z488" s="278"/>
      <c r="AB488" s="278">
        <v>37.643000000000001</v>
      </c>
      <c r="AC488" s="278">
        <v>20.727</v>
      </c>
      <c r="AD488" s="279">
        <v>181.374</v>
      </c>
      <c r="AE488" s="278">
        <f t="shared" ref="AE488:AE494" si="144">SUM(V488:AC488)</f>
        <v>181.37300000000002</v>
      </c>
      <c r="AF488" s="278">
        <f t="shared" si="141"/>
        <v>-9.9999999997635314E-4</v>
      </c>
      <c r="AG488" s="278">
        <f t="shared" si="142"/>
        <v>-9.9999999997635314E-4</v>
      </c>
      <c r="AH488" s="202">
        <f t="shared" si="143"/>
        <v>3.5450000000000017</v>
      </c>
      <c r="AI488" s="202">
        <f t="shared" si="111"/>
        <v>58.63</v>
      </c>
      <c r="AJ488" s="280"/>
      <c r="BB488" s="203">
        <f>'NASS Crush'!C63/'NOPA Crush'!G488</f>
        <v>1.059480594425515</v>
      </c>
      <c r="BE488" s="274">
        <f t="shared" si="121"/>
        <v>5.8507741935483866</v>
      </c>
      <c r="BF488" s="280">
        <f t="shared" si="122"/>
        <v>171.858</v>
      </c>
      <c r="BG488" s="154" t="str">
        <f t="shared" si="123"/>
        <v>RECORD</v>
      </c>
      <c r="BH488" s="270">
        <f t="shared" si="124"/>
        <v>1.9999999999999928E-2</v>
      </c>
      <c r="BI488" s="270">
        <f t="shared" si="112"/>
        <v>7.0000000000000284E-2</v>
      </c>
      <c r="BK488" s="274">
        <f t="shared" si="109"/>
        <v>2335</v>
      </c>
    </row>
    <row r="489" spans="1:63">
      <c r="A489" s="266">
        <v>43922</v>
      </c>
      <c r="B489" s="290">
        <f>E489/(1-'NASS Crush'!E64)</f>
        <v>6.4484904331068496</v>
      </c>
      <c r="C489" s="277">
        <f t="shared" si="116"/>
        <v>0.3754892473118277</v>
      </c>
      <c r="D489" s="276">
        <f>'NASS Crush'!C64-'NOPA Crush'!G489</f>
        <v>11.640166666666659</v>
      </c>
      <c r="E489" s="290">
        <f t="shared" si="137"/>
        <v>6.0114612903225817</v>
      </c>
      <c r="F489" s="277">
        <f t="shared" si="132"/>
        <v>180.34383870967744</v>
      </c>
      <c r="G489" s="277">
        <v>171.75399999999999</v>
      </c>
      <c r="H489" s="281">
        <f t="shared" si="118"/>
        <v>0.95236965803136964</v>
      </c>
      <c r="I489" s="202">
        <v>4045.2370000000001</v>
      </c>
      <c r="J489" s="270">
        <v>47.11</v>
      </c>
      <c r="K489" s="270">
        <f>'NASS Crush'!K64-'NOPA Crush'!J489</f>
        <v>-8.3673281138530342E-2</v>
      </c>
      <c r="L489" s="202">
        <v>890.93100000000004</v>
      </c>
      <c r="M489" s="277">
        <f>'[1]Soy Complex'!$BI218-L489</f>
        <v>207.03230000000008</v>
      </c>
      <c r="N489" s="202">
        <v>1986.0730000000001</v>
      </c>
      <c r="O489" s="270">
        <v>11.56</v>
      </c>
      <c r="P489" s="270">
        <f>'NASS Crush'!W64-'NOPA Crush'!O489</f>
        <v>-0.11217132496943982</v>
      </c>
      <c r="Q489" s="202">
        <v>2110.8319999999999</v>
      </c>
      <c r="R489" s="199">
        <f>Q489/('NASS Crush'!P64+'NASS Crush'!T64)</f>
        <v>0.81167084070182227</v>
      </c>
      <c r="S489" s="202">
        <f>'NASS Crush'!P64+'NASS Crush'!T64-'NOPA Crush'!Q489</f>
        <v>489.76900000000023</v>
      </c>
      <c r="T489" s="301">
        <f>R489+'NASS Crush'!V64</f>
        <v>1.0436973591552094</v>
      </c>
      <c r="U489" s="302">
        <f>'[1]Soy Complex'!$BI489-Q489</f>
        <v>489.76900000000023</v>
      </c>
      <c r="V489" s="278">
        <v>21.332999999999998</v>
      </c>
      <c r="W489" s="278">
        <v>40.506999999999998</v>
      </c>
      <c r="X489" s="278">
        <v>20.167000000000002</v>
      </c>
      <c r="Y489" s="278">
        <v>35.377000000000002</v>
      </c>
      <c r="Z489" s="278"/>
      <c r="AB489" s="278">
        <v>34.869999999999997</v>
      </c>
      <c r="AC489" s="278">
        <v>19.501000000000001</v>
      </c>
      <c r="AD489" s="279">
        <v>171.75399999999999</v>
      </c>
      <c r="AE489" s="278">
        <f t="shared" si="144"/>
        <v>171.75500000000002</v>
      </c>
      <c r="AF489" s="278">
        <f t="shared" si="141"/>
        <v>1.0000000000331966E-3</v>
      </c>
      <c r="AG489" s="278">
        <f t="shared" si="142"/>
        <v>1.0000000000331966E-3</v>
      </c>
      <c r="AH489" s="202">
        <f t="shared" si="143"/>
        <v>-2.7730000000000032</v>
      </c>
      <c r="AI489" s="202">
        <f t="shared" si="111"/>
        <v>58.67</v>
      </c>
      <c r="AJ489" s="280"/>
      <c r="BB489" s="203">
        <f>'NASS Crush'!C64/'NOPA Crush'!G489</f>
        <v>1.0677723177723177</v>
      </c>
      <c r="BE489" s="274">
        <f>G489/30</f>
        <v>5.725133333333333</v>
      </c>
      <c r="BF489" s="280">
        <f t="shared" si="122"/>
        <v>161.01599999999999</v>
      </c>
      <c r="BG489" s="154" t="str">
        <f t="shared" si="123"/>
        <v>RECORD</v>
      </c>
      <c r="BH489" s="270">
        <f t="shared" si="124"/>
        <v>8.000000000000184E-3</v>
      </c>
      <c r="BI489" s="270">
        <f t="shared" si="112"/>
        <v>0</v>
      </c>
      <c r="BK489" s="274">
        <f t="shared" si="109"/>
        <v>2355</v>
      </c>
    </row>
    <row r="490" spans="1:63">
      <c r="A490" s="266">
        <v>43952</v>
      </c>
      <c r="B490" s="290">
        <f>E490/(1-'NASS Crush'!E65)</f>
        <v>6.5153973835977101</v>
      </c>
      <c r="C490" s="277">
        <f t="shared" si="116"/>
        <v>0.33223777777777741</v>
      </c>
      <c r="D490" s="276">
        <f>'NASS Crush'!C65-'NOPA Crush'!G490</f>
        <v>9.9671333333333223</v>
      </c>
      <c r="E490" s="298">
        <f>E489+0.121</f>
        <v>6.1324612903225812</v>
      </c>
      <c r="F490" s="277">
        <f t="shared" si="132"/>
        <v>190.10630000000003</v>
      </c>
      <c r="G490" s="277">
        <v>169.584</v>
      </c>
      <c r="H490" s="281">
        <f t="shared" si="118"/>
        <v>0.89204829087726167</v>
      </c>
      <c r="I490" s="202">
        <v>3994.5970000000002</v>
      </c>
      <c r="J490" s="270">
        <v>47.11</v>
      </c>
      <c r="K490" s="270">
        <f>'NASS Crush'!K65-'NOPA Crush'!J490</f>
        <v>0.12980206938264871</v>
      </c>
      <c r="L490" s="202">
        <v>776.67700000000002</v>
      </c>
      <c r="M490" s="277">
        <f>'[1]Soy Complex'!$BI219-L490</f>
        <v>205.79429999999991</v>
      </c>
      <c r="N490" s="202">
        <v>1957.5840000000001</v>
      </c>
      <c r="O490" s="270">
        <v>11.54</v>
      </c>
      <c r="P490" s="270">
        <f>'NASS Crush'!W65-'NOPA Crush'!O490</f>
        <v>-8.02171414865267E-2</v>
      </c>
      <c r="Q490" s="202">
        <v>1880.2249999999999</v>
      </c>
      <c r="R490" s="199">
        <f>Q490/('NASS Crush'!P65+'NASS Crush'!T65)</f>
        <v>0.76887767515943095</v>
      </c>
      <c r="S490" s="202">
        <f>'NASS Crush'!P65+'NASS Crush'!T65-'NOPA Crush'!Q490</f>
        <v>565.19000000000005</v>
      </c>
      <c r="T490" s="301">
        <f>R490+'NASS Crush'!V65</f>
        <v>1.0694746781776869</v>
      </c>
      <c r="U490" s="302">
        <f>'[1]Soy Complex'!$BI490-Q490</f>
        <v>565.19000000000005</v>
      </c>
      <c r="V490" s="278">
        <v>18.213999999999999</v>
      </c>
      <c r="W490" s="278">
        <v>40.567</v>
      </c>
      <c r="X490" s="278">
        <v>19.728000000000002</v>
      </c>
      <c r="Y490" s="278">
        <v>37.728000000000002</v>
      </c>
      <c r="Z490" s="278"/>
      <c r="AB490" s="278">
        <v>34.478999999999999</v>
      </c>
      <c r="AC490" s="278">
        <v>18.869</v>
      </c>
      <c r="AD490" s="279">
        <v>169.584</v>
      </c>
      <c r="AE490" s="278">
        <f t="shared" si="144"/>
        <v>169.58500000000001</v>
      </c>
      <c r="AF490" s="278">
        <f t="shared" ref="AF490" si="145">AE490-AD490</f>
        <v>1.0000000000047748E-3</v>
      </c>
      <c r="AG490" s="278">
        <f t="shared" ref="AG490" si="146">AE490-G490</f>
        <v>1.0000000000047748E-3</v>
      </c>
      <c r="AH490" s="202">
        <f t="shared" ref="AH490" si="147">AB490-AB489</f>
        <v>-0.39099999999999824</v>
      </c>
      <c r="AI490" s="202">
        <f t="shared" si="111"/>
        <v>58.65</v>
      </c>
      <c r="AJ490" s="280"/>
      <c r="BB490" s="203">
        <f>'NASS Crush'!C65/'NOPA Crush'!G490</f>
        <v>1.0587740195615938</v>
      </c>
      <c r="BE490" s="274">
        <f t="shared" si="121"/>
        <v>5.4704516129032257</v>
      </c>
      <c r="BF490" s="280">
        <f t="shared" si="122"/>
        <v>163.572</v>
      </c>
      <c r="BG490" s="154" t="str">
        <f t="shared" si="123"/>
        <v>RECORD</v>
      </c>
      <c r="BH490" s="270">
        <f t="shared" si="124"/>
        <v>3.2000000000000028E-2</v>
      </c>
      <c r="BI490" s="270">
        <f t="shared" si="112"/>
        <v>-2.000000000000135E-2</v>
      </c>
      <c r="BK490" s="274">
        <f t="shared" si="109"/>
        <v>2380</v>
      </c>
    </row>
    <row r="491" spans="1:63">
      <c r="A491" s="266">
        <v>43983</v>
      </c>
      <c r="B491" s="290">
        <f>E491/(1-'NASS Crush'!E66)</f>
        <v>6.5231421093481661</v>
      </c>
      <c r="C491" s="277">
        <f t="shared" si="116"/>
        <v>0.323149462365591</v>
      </c>
      <c r="D491" s="276">
        <f>'NASS Crush'!C66-'NOPA Crush'!G491</f>
        <v>10.017633333333322</v>
      </c>
      <c r="E491" s="290">
        <f t="shared" si="137"/>
        <v>6.1324612903225812</v>
      </c>
      <c r="F491" s="277">
        <f t="shared" si="132"/>
        <v>183.97383870967744</v>
      </c>
      <c r="G491" s="277">
        <v>167.26300000000001</v>
      </c>
      <c r="H491" s="281">
        <f t="shared" si="118"/>
        <v>0.90916730972794335</v>
      </c>
      <c r="I491" s="202">
        <v>3935.835</v>
      </c>
      <c r="J491" s="270">
        <v>47.06</v>
      </c>
      <c r="K491" s="270">
        <f>'NASS Crush'!K66-'NOPA Crush'!J491</f>
        <v>-4.4418865832128063E-2</v>
      </c>
      <c r="L491" s="202">
        <v>835.40300000000002</v>
      </c>
      <c r="M491" s="277">
        <f>'[1]Soy Complex'!$BI220-L491</f>
        <v>156.50490000000002</v>
      </c>
      <c r="N491" s="202">
        <v>1933.4110000000001</v>
      </c>
      <c r="O491" s="270">
        <v>11.56</v>
      </c>
      <c r="P491" s="270">
        <f>'NASS Crush'!W66-'NOPA Crush'!O491</f>
        <v>-7.9507394960796063E-2</v>
      </c>
      <c r="Q491" s="202">
        <v>1777.6959999999999</v>
      </c>
      <c r="R491" s="199">
        <f>Q491/('NASS Crush'!P66+'NASS Crush'!T66)</f>
        <v>0.78284630469026251</v>
      </c>
      <c r="S491" s="202">
        <f>'NASS Crush'!P66+'NASS Crush'!T66-'NOPA Crush'!Q491</f>
        <v>493.11500000000024</v>
      </c>
      <c r="T491" s="301">
        <f>R491+'NASS Crush'!V66</f>
        <v>1.0602362521278448</v>
      </c>
      <c r="U491" s="302">
        <f>'[1]Soy Complex'!$BI491-Q491</f>
        <v>493.11500000000024</v>
      </c>
      <c r="V491" s="278">
        <v>21.334</v>
      </c>
      <c r="W491" s="278">
        <v>38.984000000000002</v>
      </c>
      <c r="X491" s="278">
        <v>20.247</v>
      </c>
      <c r="Y491" s="278">
        <v>36.412999999999997</v>
      </c>
      <c r="Z491" s="278"/>
      <c r="AB491" s="278">
        <v>30.568000000000001</v>
      </c>
      <c r="AC491" s="278">
        <v>19.716000000000001</v>
      </c>
      <c r="AD491" s="279">
        <v>167.26300000000001</v>
      </c>
      <c r="AE491" s="278">
        <f t="shared" si="144"/>
        <v>167.262</v>
      </c>
      <c r="AF491" s="278">
        <f t="shared" ref="AF491:AF494" si="148">AE491-AD491</f>
        <v>-1.0000000000047748E-3</v>
      </c>
      <c r="AG491" s="278">
        <f t="shared" ref="AG491:AG494" si="149">AE491-G491</f>
        <v>-1.0000000000047748E-3</v>
      </c>
      <c r="AH491" s="202">
        <f t="shared" ref="AH491:AH494" si="150">AB491-AB490</f>
        <v>-3.9109999999999978</v>
      </c>
      <c r="AI491" s="202">
        <f t="shared" si="111"/>
        <v>58.620000000000005</v>
      </c>
      <c r="AJ491" s="280"/>
      <c r="BB491" s="203">
        <f>'NASS Crush'!C66/'NOPA Crush'!G491</f>
        <v>1.0598915081837186</v>
      </c>
      <c r="BE491" s="274">
        <f>G491/30</f>
        <v>5.5754333333333337</v>
      </c>
      <c r="BF491" s="280">
        <f t="shared" ref="BF491:BF529" si="151">MAX(G479,G467,G455,G443,G431,G419,G407,G395,G383,G371,G359,G347,G335,G323,G311,G299,G287,G275,G263,G251,G239,G227,G215)</f>
        <v>159.22800000000001</v>
      </c>
      <c r="BG491" s="154" t="str">
        <f t="shared" ref="BG491:BG529" si="152">IF(G491&gt;BF491,"RECORD","")</f>
        <v>RECORD</v>
      </c>
      <c r="BH491" s="270">
        <f t="shared" si="124"/>
        <v>-3.5999999999999942E-2</v>
      </c>
      <c r="BI491" s="270">
        <f t="shared" si="112"/>
        <v>2.000000000000135E-2</v>
      </c>
      <c r="BK491" s="274">
        <f t="shared" si="109"/>
        <v>2380</v>
      </c>
    </row>
    <row r="492" spans="1:63">
      <c r="A492" s="266">
        <v>44013</v>
      </c>
      <c r="B492" s="290">
        <f>E492/(1-'NASS Crush'!E67)</f>
        <v>6.5783639677976602</v>
      </c>
      <c r="C492" s="277">
        <f t="shared" si="116"/>
        <v>0.39041777777777703</v>
      </c>
      <c r="D492" s="276">
        <f>'NASS Crush'!C67-'NOPA Crush'!G492</f>
        <v>11.712533333333312</v>
      </c>
      <c r="E492" s="290">
        <f t="shared" si="137"/>
        <v>6.1324612903225812</v>
      </c>
      <c r="F492" s="277">
        <f t="shared" si="132"/>
        <v>190.10630000000003</v>
      </c>
      <c r="G492" s="277">
        <v>172.79400000000001</v>
      </c>
      <c r="H492" s="281">
        <f t="shared" si="118"/>
        <v>0.90893358084398035</v>
      </c>
      <c r="I492" s="202">
        <v>4079.5030000000002</v>
      </c>
      <c r="J492" s="270">
        <v>47.22</v>
      </c>
      <c r="K492" s="270">
        <f>'NASS Crush'!K67-'NOPA Crush'!J492</f>
        <v>5.3881539154176039E-2</v>
      </c>
      <c r="L492" s="202">
        <v>876.15899999999999</v>
      </c>
      <c r="M492" s="277">
        <f>'[1]Soy Complex'!$BI221-L492</f>
        <v>122.77680000000009</v>
      </c>
      <c r="N492" s="202">
        <v>2004.9059999999999</v>
      </c>
      <c r="O492" s="270">
        <v>11.6</v>
      </c>
      <c r="P492" s="270">
        <f>'NASS Crush'!W67-'NOPA Crush'!O492</f>
        <v>-9.4943991143223272E-2</v>
      </c>
      <c r="Q492" s="202">
        <v>1618.954</v>
      </c>
      <c r="R492" s="199">
        <f>Q492/('NASS Crush'!P67+'NASS Crush'!T67)</f>
        <v>0.76249797477797909</v>
      </c>
      <c r="S492" s="202">
        <f>'NASS Crush'!P67+'NASS Crush'!T67-'NOPA Crush'!Q492</f>
        <v>504.27000000000021</v>
      </c>
      <c r="T492" s="301">
        <f>R492+'NASS Crush'!V67</f>
        <v>1.0739768679398605</v>
      </c>
      <c r="U492" s="302">
        <f>'[1]Soy Complex'!$BI492-Q492</f>
        <v>504.27000000000021</v>
      </c>
      <c r="V492" s="278">
        <v>22.163</v>
      </c>
      <c r="W492" s="278">
        <v>39.088000000000001</v>
      </c>
      <c r="X492" s="278">
        <v>20.984999999999999</v>
      </c>
      <c r="Y492" s="278">
        <v>37.546999999999997</v>
      </c>
      <c r="Z492" s="278"/>
      <c r="AB492" s="278">
        <v>34.896999999999998</v>
      </c>
      <c r="AC492" s="278">
        <v>18.113</v>
      </c>
      <c r="AD492" s="279">
        <v>172.79400000000001</v>
      </c>
      <c r="AE492" s="278">
        <f t="shared" si="144"/>
        <v>172.79300000000001</v>
      </c>
      <c r="AF492" s="278">
        <f t="shared" si="148"/>
        <v>-1.0000000000047748E-3</v>
      </c>
      <c r="AG492" s="278">
        <f t="shared" si="149"/>
        <v>-1.0000000000047748E-3</v>
      </c>
      <c r="AH492" s="202">
        <f t="shared" si="150"/>
        <v>4.3289999999999971</v>
      </c>
      <c r="AI492" s="202">
        <f t="shared" si="111"/>
        <v>58.82</v>
      </c>
      <c r="AJ492" s="280"/>
      <c r="BB492" s="203">
        <f>'NASS Crush'!C67/'NOPA Crush'!G492</f>
        <v>1.0677832177814814</v>
      </c>
      <c r="BE492" s="274">
        <f t="shared" si="121"/>
        <v>5.5740000000000007</v>
      </c>
      <c r="BF492" s="280">
        <f t="shared" si="151"/>
        <v>168.09299999999999</v>
      </c>
      <c r="BG492" s="154" t="str">
        <f t="shared" si="152"/>
        <v>RECORD</v>
      </c>
      <c r="BH492" s="270">
        <f t="shared" si="124"/>
        <v>-9.7999999999998973E-3</v>
      </c>
      <c r="BI492" s="270">
        <f t="shared" si="112"/>
        <v>3.9999999999999147E-2</v>
      </c>
      <c r="BK492" s="274">
        <f t="shared" si="109"/>
        <v>2400</v>
      </c>
    </row>
    <row r="493" spans="1:63">
      <c r="A493" s="266">
        <v>44044</v>
      </c>
      <c r="B493" s="290">
        <f>E493/(1-'NASS Crush'!E68)</f>
        <v>6.5119764335997115</v>
      </c>
      <c r="C493" s="277">
        <f t="shared" si="116"/>
        <v>0.31030107526881662</v>
      </c>
      <c r="D493" s="276">
        <f>'NASS Crush'!C68-'NOPA Crush'!G493</f>
        <v>9.6193333333333157</v>
      </c>
      <c r="E493" s="290">
        <f t="shared" si="137"/>
        <v>6.1324612903225812</v>
      </c>
      <c r="F493" s="277">
        <f t="shared" si="132"/>
        <v>190.10630000000003</v>
      </c>
      <c r="G493" s="277">
        <v>165.05500000000001</v>
      </c>
      <c r="H493" s="281">
        <f t="shared" si="118"/>
        <v>0.86822477740085402</v>
      </c>
      <c r="I493" s="202">
        <v>3884.0129999999999</v>
      </c>
      <c r="J493" s="270">
        <v>47.06</v>
      </c>
      <c r="K493" s="270">
        <f>'NASS Crush'!K68-'NOPA Crush'!J493</f>
        <v>1.8983174402649183E-2</v>
      </c>
      <c r="L493" s="202">
        <v>754.63400000000001</v>
      </c>
      <c r="M493" s="277">
        <f>'[1]Soy Complex'!$BI222-L493</f>
        <v>258.86470000000008</v>
      </c>
      <c r="N493" s="202">
        <v>1914.848</v>
      </c>
      <c r="O493" s="270">
        <v>11.6</v>
      </c>
      <c r="P493" s="270">
        <f>'NASS Crush'!W68-'NOPA Crush'!O493</f>
        <v>-7.6709991737002881E-2</v>
      </c>
      <c r="Q493" s="202">
        <v>1518.51</v>
      </c>
      <c r="R493" s="199">
        <f>Q493/('NASS Crush'!P68+'NASS Crush'!T68)</f>
        <v>0.78068198818882462</v>
      </c>
      <c r="S493" s="202">
        <f>'NASS Crush'!P68+'NASS Crush'!T68-'NOPA Crush'!Q493</f>
        <v>426.59699999999998</v>
      </c>
      <c r="T493" s="301">
        <f>R493+'NASS Crush'!V68</f>
        <v>1.0616132958522577</v>
      </c>
      <c r="U493" s="302">
        <f>'[1]Soy Complex'!$BI493-Q493</f>
        <v>426.59699999999998</v>
      </c>
      <c r="V493" s="278">
        <v>21.721</v>
      </c>
      <c r="W493" s="278">
        <v>39.715000000000003</v>
      </c>
      <c r="X493" s="278">
        <v>16.901</v>
      </c>
      <c r="Y493" s="278">
        <v>34.090000000000003</v>
      </c>
      <c r="Z493" s="278"/>
      <c r="AB493" s="278">
        <v>34.414999999999999</v>
      </c>
      <c r="AC493" s="278">
        <v>18.212</v>
      </c>
      <c r="AD493" s="279">
        <v>165.05500000000001</v>
      </c>
      <c r="AE493" s="278">
        <f t="shared" si="144"/>
        <v>165.054</v>
      </c>
      <c r="AF493" s="278">
        <f t="shared" si="148"/>
        <v>-1.0000000000047748E-3</v>
      </c>
      <c r="AG493" s="278">
        <f t="shared" si="149"/>
        <v>-1.0000000000047748E-3</v>
      </c>
      <c r="AH493" s="202">
        <f t="shared" si="150"/>
        <v>-0.48199999999999932</v>
      </c>
      <c r="AI493" s="202">
        <f t="shared" si="111"/>
        <v>58.660000000000004</v>
      </c>
      <c r="AJ493" s="280"/>
      <c r="BB493" s="203">
        <f>'NASS Crush'!C68/'NOPA Crush'!G493</f>
        <v>1.0582795633778639</v>
      </c>
      <c r="BE493" s="274">
        <f t="shared" si="121"/>
        <v>5.3243548387096773</v>
      </c>
      <c r="BF493" s="280">
        <f t="shared" si="151"/>
        <v>168.08500000000001</v>
      </c>
      <c r="BG493" s="154" t="str">
        <f t="shared" si="152"/>
        <v/>
      </c>
      <c r="BH493" s="270">
        <f t="shared" si="124"/>
        <v>4.7800000000000155E-2</v>
      </c>
      <c r="BI493" s="270">
        <f t="shared" si="112"/>
        <v>0</v>
      </c>
      <c r="BK493" s="274">
        <f t="shared" si="109"/>
        <v>2375</v>
      </c>
    </row>
    <row r="494" spans="1:63">
      <c r="A494" s="266">
        <v>44075</v>
      </c>
      <c r="B494" s="290">
        <f>E494/(1-'NASS Crush'!E69)</f>
        <v>6.5185290665913049</v>
      </c>
      <c r="C494" s="277">
        <f t="shared" si="116"/>
        <v>0.30853225806451551</v>
      </c>
      <c r="D494" s="276">
        <f>'NASS Crush'!C69-'NOPA Crush'!G494</f>
        <v>9.5644999999999811</v>
      </c>
      <c r="E494" s="290">
        <f t="shared" si="137"/>
        <v>6.1324612903225812</v>
      </c>
      <c r="F494" s="277">
        <f t="shared" si="132"/>
        <v>183.97383870967744</v>
      </c>
      <c r="G494" s="277">
        <v>161.49100000000001</v>
      </c>
      <c r="H494" s="281">
        <f t="shared" si="118"/>
        <v>0.87779328372249277</v>
      </c>
      <c r="I494" s="202">
        <v>3788.3530000000001</v>
      </c>
      <c r="J494" s="270">
        <v>46.92</v>
      </c>
      <c r="K494" s="270">
        <f>'NASS Crush'!K69-'NOPA Crush'!J494</f>
        <v>-4.1460578584143093E-2</v>
      </c>
      <c r="L494" s="202">
        <v>991.13400000000001</v>
      </c>
      <c r="M494" s="277">
        <f>'[1]Soy Complex'!$BI223-L494</f>
        <v>-96.379299999999944</v>
      </c>
      <c r="N494" s="202">
        <v>1873.2449999999999</v>
      </c>
      <c r="O494" s="270">
        <v>11.6</v>
      </c>
      <c r="P494" s="270">
        <f>'NASS Crush'!W69-'NOPA Crush'!O494</f>
        <v>-9.7177816556612839E-2</v>
      </c>
      <c r="Q494" s="202">
        <v>1433.2940000000001</v>
      </c>
      <c r="R494" s="199">
        <f>Q494/('NASS Crush'!P69+'NASS Crush'!T69)</f>
        <v>0.77363487929615293</v>
      </c>
      <c r="S494" s="202">
        <f>'NASS Crush'!P69+'NASS Crush'!T69-'NOPA Crush'!Q494</f>
        <v>419.38099999999986</v>
      </c>
      <c r="T494" s="301">
        <f>R494+'NASS Crush'!V69</f>
        <v>1.0662343041175781</v>
      </c>
      <c r="U494" s="302">
        <f>'[1]Soy Complex'!$BI494-Q494</f>
        <v>419.38099999999986</v>
      </c>
      <c r="V494" s="278">
        <v>18.986999999999998</v>
      </c>
      <c r="W494" s="278">
        <v>40.351999999999997</v>
      </c>
      <c r="X494" s="278">
        <v>17.98</v>
      </c>
      <c r="Y494" s="278">
        <v>32.137</v>
      </c>
      <c r="Z494" s="278"/>
      <c r="AB494" s="278">
        <v>35.575000000000003</v>
      </c>
      <c r="AC494" s="278">
        <v>16.459</v>
      </c>
      <c r="AD494" s="279">
        <v>161.49100000000001</v>
      </c>
      <c r="AE494" s="278">
        <f t="shared" si="144"/>
        <v>161.49</v>
      </c>
      <c r="AF494" s="278">
        <f t="shared" si="148"/>
        <v>-1.0000000000047748E-3</v>
      </c>
      <c r="AG494" s="278">
        <f t="shared" si="149"/>
        <v>-1.0000000000047748E-3</v>
      </c>
      <c r="AH494" s="202">
        <f t="shared" si="150"/>
        <v>1.1600000000000037</v>
      </c>
      <c r="AI494" s="202">
        <f t="shared" si="111"/>
        <v>58.52</v>
      </c>
      <c r="AJ494" s="280"/>
      <c r="BB494" s="203">
        <f>'NASS Crush'!C69/'NOPA Crush'!G494</f>
        <v>1.0592262107485866</v>
      </c>
      <c r="BE494" s="274">
        <f>G494/30</f>
        <v>5.3830333333333336</v>
      </c>
      <c r="BF494" s="280">
        <f t="shared" si="151"/>
        <v>160.779</v>
      </c>
      <c r="BG494" s="154" t="str">
        <f t="shared" si="152"/>
        <v>RECORD</v>
      </c>
      <c r="BH494" s="270">
        <f t="shared" si="124"/>
        <v>4.7999999999999335E-2</v>
      </c>
      <c r="BI494" s="270">
        <f t="shared" si="112"/>
        <v>0</v>
      </c>
      <c r="BK494" s="274">
        <f t="shared" si="109"/>
        <v>2380</v>
      </c>
    </row>
    <row r="495" spans="1:63">
      <c r="A495" s="266">
        <v>44105</v>
      </c>
      <c r="B495" s="290">
        <f>E495/(1-'NASS Crush'!E70)</f>
        <v>6.5317572418108165</v>
      </c>
      <c r="C495" s="277">
        <f t="shared" si="116"/>
        <v>0.37747666666666646</v>
      </c>
      <c r="D495" s="276">
        <f>'NASS Crush'!C70-'NOPA Crush'!G495</f>
        <v>11.324299999999994</v>
      </c>
      <c r="E495" s="290">
        <f t="shared" si="137"/>
        <v>6.1324612903225812</v>
      </c>
      <c r="F495" s="277">
        <f t="shared" si="132"/>
        <v>190.10630000000003</v>
      </c>
      <c r="G495" s="277">
        <v>185.245</v>
      </c>
      <c r="H495" s="281">
        <f t="shared" si="118"/>
        <v>0.97442851709806555</v>
      </c>
      <c r="I495" s="202">
        <v>4348.71</v>
      </c>
      <c r="J495" s="270">
        <v>46.95</v>
      </c>
      <c r="K495" s="270">
        <f>'NASS Crush'!K70-'NOPA Crush'!J495</f>
        <v>1.1473638050297552E-2</v>
      </c>
      <c r="L495" s="202">
        <v>945.83500000000004</v>
      </c>
      <c r="M495" s="277">
        <f>'[1]Soy Complex'!$BJ212-L495</f>
        <v>59.255100000000084</v>
      </c>
      <c r="N495" s="202">
        <v>2161.8510000000001</v>
      </c>
      <c r="O495" s="270">
        <v>11.67</v>
      </c>
      <c r="P495" s="270">
        <f>'NASS Crush'!W70-'NOPA Crush'!O495</f>
        <v>-5.846656115680382E-2</v>
      </c>
      <c r="Q495" s="202">
        <v>1487.3320000000001</v>
      </c>
      <c r="R495" s="199">
        <f>Q495/('NASS Crush'!P70+'NASS Crush'!T70)</f>
        <v>0.75575390584707103</v>
      </c>
      <c r="S495" s="202">
        <f>'NASS Crush'!P70+'NASS Crush'!T70-'NOPA Crush'!Q495</f>
        <v>480.67899999999986</v>
      </c>
      <c r="T495" s="301">
        <f>R495+'NASS Crush'!V70</f>
        <v>1.0789359526261357</v>
      </c>
      <c r="U495" s="302">
        <f>'[1]Soy Complex'!$BJ483-Q495</f>
        <v>480.67899999999986</v>
      </c>
      <c r="V495" s="278">
        <v>22.553999999999998</v>
      </c>
      <c r="W495" s="278">
        <v>44.378999999999998</v>
      </c>
      <c r="X495" s="278">
        <v>22.814</v>
      </c>
      <c r="Y495" s="278">
        <v>37.576999999999998</v>
      </c>
      <c r="Z495" s="278"/>
      <c r="AB495" s="278">
        <v>37.014000000000003</v>
      </c>
      <c r="AC495" s="278">
        <v>20.907</v>
      </c>
      <c r="AD495" s="279">
        <v>185.245</v>
      </c>
      <c r="AE495" s="278">
        <f t="shared" ref="AE495" si="153">SUM(V495:AC495)</f>
        <v>185.245</v>
      </c>
      <c r="AF495" s="278">
        <f t="shared" ref="AF495" si="154">AE495-AD495</f>
        <v>0</v>
      </c>
      <c r="AG495" s="278">
        <f t="shared" ref="AG495" si="155">AE495-G495</f>
        <v>0</v>
      </c>
      <c r="AH495" s="202">
        <f t="shared" ref="AH495" si="156">AB495-AB494</f>
        <v>1.4390000000000001</v>
      </c>
      <c r="AI495" s="202">
        <f t="shared" si="111"/>
        <v>58.620000000000005</v>
      </c>
      <c r="AJ495" s="280"/>
      <c r="BB495" s="203">
        <f>'NASS Crush'!C70/'NOPA Crush'!G495</f>
        <v>1.0611314745337255</v>
      </c>
      <c r="BE495" s="274">
        <f t="shared" si="121"/>
        <v>5.9756451612903225</v>
      </c>
      <c r="BF495" s="280">
        <f t="shared" si="151"/>
        <v>175.39699999999999</v>
      </c>
      <c r="BG495" s="154" t="str">
        <f t="shared" si="152"/>
        <v>RECORD</v>
      </c>
      <c r="BH495" s="270">
        <f t="shared" si="124"/>
        <v>-6.3999999999999696E-2</v>
      </c>
      <c r="BI495" s="270">
        <f t="shared" si="112"/>
        <v>7.0000000000000284E-2</v>
      </c>
      <c r="BK495" s="274">
        <f t="shared" ref="BK495:BK506" si="157">MROUND(B495*365,5)</f>
        <v>2385</v>
      </c>
    </row>
    <row r="496" spans="1:63">
      <c r="A496" s="266">
        <v>44136</v>
      </c>
      <c r="B496" s="290">
        <f>E496/(1-'NASS Crush'!E71)</f>
        <v>6.4918909952640913</v>
      </c>
      <c r="C496" s="277">
        <f t="shared" si="116"/>
        <v>0.32329784946236556</v>
      </c>
      <c r="D496" s="276">
        <f>'NASS Crush'!C71-'NOPA Crush'!G496</f>
        <v>10.022233333333332</v>
      </c>
      <c r="E496" s="290">
        <f t="shared" si="137"/>
        <v>6.1324612903225812</v>
      </c>
      <c r="F496" s="277">
        <f t="shared" si="132"/>
        <v>183.97383870967744</v>
      </c>
      <c r="G496" s="277">
        <v>181.018</v>
      </c>
      <c r="H496" s="281">
        <f t="shared" si="118"/>
        <v>0.98393337481889509</v>
      </c>
      <c r="I496" s="202">
        <v>4281.8540000000003</v>
      </c>
      <c r="J496" s="270">
        <v>47.31</v>
      </c>
      <c r="K496" s="270">
        <f>'NASS Crush'!K71-'NOPA Crush'!J496</f>
        <v>-2.8922907513205587E-2</v>
      </c>
      <c r="L496" s="202">
        <v>1081.653</v>
      </c>
      <c r="M496" s="277">
        <f>'[1]Soy Complex'!$BJ213-L496</f>
        <v>76.997800000000097</v>
      </c>
      <c r="N496" s="202">
        <v>2104.9749999999999</v>
      </c>
      <c r="O496" s="270">
        <v>11.63</v>
      </c>
      <c r="P496" s="270">
        <f>'NASS Crush'!W71-'NOPA Crush'!O496</f>
        <v>-7.8548447124664023E-2</v>
      </c>
      <c r="Q496" s="202">
        <v>1557.83</v>
      </c>
      <c r="R496" s="199">
        <f>Q496/('NASS Crush'!P71+'NASS Crush'!T71)</f>
        <v>0.73583307708621748</v>
      </c>
      <c r="S496" s="202">
        <f>'NASS Crush'!P71+'NASS Crush'!T71-'NOPA Crush'!Q496</f>
        <v>559.26700000000028</v>
      </c>
      <c r="T496" s="301">
        <f>R496+'NASS Crush'!V71</f>
        <v>1.094836947855172</v>
      </c>
      <c r="U496" s="302">
        <f>'[1]Soy Complex'!$BJ484-Q496</f>
        <v>559.26700000000028</v>
      </c>
      <c r="V496" s="278">
        <v>22.297999999999998</v>
      </c>
      <c r="W496" s="278">
        <v>43.12</v>
      </c>
      <c r="X496" s="278">
        <v>22.21</v>
      </c>
      <c r="Y496" s="278">
        <v>36.725999999999999</v>
      </c>
      <c r="Z496" s="278"/>
      <c r="AB496" s="278">
        <v>36.369</v>
      </c>
      <c r="AC496" s="278">
        <v>20.294</v>
      </c>
      <c r="AD496" s="279">
        <v>181.018</v>
      </c>
      <c r="AE496" s="278">
        <f t="shared" ref="AE496" si="158">SUM(V496:AC496)</f>
        <v>181.017</v>
      </c>
      <c r="AF496" s="278">
        <f t="shared" ref="AF496" si="159">AE496-AD496</f>
        <v>-1.0000000000047748E-3</v>
      </c>
      <c r="AG496" s="278">
        <f t="shared" ref="AG496" si="160">AE496-G496</f>
        <v>-1.0000000000047748E-3</v>
      </c>
      <c r="AH496" s="202">
        <f t="shared" ref="AH496" si="161">AB496-AB495</f>
        <v>-0.64500000000000313</v>
      </c>
      <c r="AI496" s="202">
        <f t="shared" si="111"/>
        <v>58.940000000000005</v>
      </c>
      <c r="AJ496" s="280"/>
      <c r="BB496" s="203">
        <f>'NASS Crush'!C71/'NOPA Crush'!G496</f>
        <v>1.0553659488743292</v>
      </c>
      <c r="BE496" s="274">
        <f>G496/30</f>
        <v>6.0339333333333336</v>
      </c>
      <c r="BF496" s="280">
        <f t="shared" si="151"/>
        <v>166.959</v>
      </c>
      <c r="BG496" s="154" t="str">
        <f t="shared" si="152"/>
        <v>RECORD</v>
      </c>
      <c r="BH496" s="270">
        <f t="shared" si="124"/>
        <v>-6.1999999999999743E-2</v>
      </c>
      <c r="BI496" s="270">
        <f t="shared" si="112"/>
        <v>-3.9999999999999147E-2</v>
      </c>
      <c r="BK496" s="274">
        <f t="shared" si="157"/>
        <v>2370</v>
      </c>
    </row>
    <row r="497" spans="1:63">
      <c r="A497" s="266">
        <v>44166</v>
      </c>
      <c r="B497" s="290">
        <f>E497/(1-'NASS Crush'!E72)</f>
        <v>6.485942856548383</v>
      </c>
      <c r="C497" s="277">
        <f t="shared" si="116"/>
        <v>0.33273666666666674</v>
      </c>
      <c r="D497" s="276">
        <f>'NASS Crush'!C72-'NOPA Crush'!G497</f>
        <v>9.9821000000000026</v>
      </c>
      <c r="E497" s="290">
        <f t="shared" si="137"/>
        <v>6.1324612903225812</v>
      </c>
      <c r="F497" s="277">
        <f t="shared" si="132"/>
        <v>190.10630000000003</v>
      </c>
      <c r="G497" s="277">
        <v>183.15899999999999</v>
      </c>
      <c r="H497" s="281">
        <f t="shared" si="118"/>
        <v>0.96345570872716979</v>
      </c>
      <c r="I497" s="202">
        <v>4303.7539999999999</v>
      </c>
      <c r="J497" s="270">
        <v>46.99</v>
      </c>
      <c r="K497" s="270">
        <f>'NASS Crush'!K72-'NOPA Crush'!J497</f>
        <v>3.1902640090592627E-2</v>
      </c>
      <c r="L497" s="202">
        <v>1037.3030000000001</v>
      </c>
      <c r="M497" s="277">
        <f>'[1]Soy Complex'!$BJ214-L497</f>
        <v>277.44149999999991</v>
      </c>
      <c r="N497" s="202">
        <v>2122.3649999999998</v>
      </c>
      <c r="O497" s="270">
        <v>11.59</v>
      </c>
      <c r="P497" s="270">
        <f>'NASS Crush'!W72-'NOPA Crush'!O497</f>
        <v>-2.5987990127426031E-2</v>
      </c>
      <c r="Q497" s="202">
        <v>1698.752</v>
      </c>
      <c r="R497" s="199">
        <f>Q497/('NASS Crush'!P72+'NASS Crush'!T72)</f>
        <v>0.80479593857454046</v>
      </c>
      <c r="S497" s="202">
        <f>'NASS Crush'!P72+'NASS Crush'!T72-'NOPA Crush'!Q497</f>
        <v>412.03400000000011</v>
      </c>
      <c r="T497" s="301">
        <f>R497+'NASS Crush'!V72</f>
        <v>1.0473469407219993</v>
      </c>
      <c r="U497" s="302">
        <f>'[1]Soy Complex'!$BJ485-Q497</f>
        <v>412.03400000000011</v>
      </c>
      <c r="V497" s="278"/>
      <c r="W497" s="278"/>
      <c r="X497" s="278"/>
      <c r="Y497" s="278"/>
      <c r="Z497" s="278"/>
      <c r="AB497" s="278"/>
      <c r="AC497" s="278"/>
      <c r="AD497" s="279"/>
      <c r="AE497" s="278"/>
      <c r="AF497" s="278"/>
      <c r="AG497" s="278"/>
      <c r="AI497" s="202">
        <f t="shared" si="111"/>
        <v>58.58</v>
      </c>
      <c r="AJ497" s="280"/>
      <c r="BB497" s="203">
        <f>'NASS Crush'!C72/'NOPA Crush'!G497</f>
        <v>1.0544996423872155</v>
      </c>
      <c r="BE497" s="274">
        <f t="shared" si="121"/>
        <v>5.9083548387096769</v>
      </c>
      <c r="BF497" s="280">
        <f t="shared" si="151"/>
        <v>174.81200000000001</v>
      </c>
      <c r="BG497" s="154" t="str">
        <f t="shared" si="152"/>
        <v>RECORD</v>
      </c>
      <c r="BH497" s="270">
        <f t="shared" si="124"/>
        <v>5.5999999999999869E-2</v>
      </c>
      <c r="BI497" s="270">
        <f t="shared" si="112"/>
        <v>-4.0000000000000924E-2</v>
      </c>
      <c r="BK497" s="274">
        <f t="shared" si="157"/>
        <v>2365</v>
      </c>
    </row>
    <row r="498" spans="1:63">
      <c r="A498" s="266">
        <v>44197</v>
      </c>
      <c r="B498" s="290">
        <f>E498/(1-'NASS Crush'!E73)</f>
        <v>6.5532969924259001</v>
      </c>
      <c r="C498" s="277">
        <f t="shared" si="116"/>
        <v>0.38251612903225818</v>
      </c>
      <c r="D498" s="276">
        <f>'NASS Crush'!C73-'NOPA Crush'!G498</f>
        <v>11.858000000000004</v>
      </c>
      <c r="E498" s="290">
        <f t="shared" si="137"/>
        <v>6.1324612903225812</v>
      </c>
      <c r="F498" s="277">
        <f t="shared" si="132"/>
        <v>190.10630000000003</v>
      </c>
      <c r="G498" s="277">
        <v>184.654</v>
      </c>
      <c r="H498" s="281">
        <f t="shared" si="118"/>
        <v>0.97131973006680983</v>
      </c>
      <c r="I498" s="202">
        <v>4379.1099999999997</v>
      </c>
      <c r="J498" s="270">
        <v>47.43</v>
      </c>
      <c r="K498" s="270">
        <f>'NASS Crush'!K73-'NOPA Crush'!J498</f>
        <v>5.4672691744023894E-2</v>
      </c>
      <c r="L498" s="202">
        <v>969.35299999999995</v>
      </c>
      <c r="M498" s="277">
        <f>'[1]Soy Complex'!$BJ215-L498</f>
        <v>309.57460000000003</v>
      </c>
      <c r="N498" s="202">
        <v>2173.4070000000002</v>
      </c>
      <c r="O498" s="270">
        <v>11.77</v>
      </c>
      <c r="P498" s="270">
        <f>'NASS Crush'!W73-'NOPA Crush'!O498</f>
        <v>-2.1343429408890557E-2</v>
      </c>
      <c r="Q498" s="202">
        <v>1798.886</v>
      </c>
      <c r="R498" s="199">
        <f>Q498/('NASS Crush'!P73+'NASS Crush'!T73)</f>
        <v>0.78009237676990062</v>
      </c>
      <c r="S498" s="202">
        <f>'NASS Crush'!P73+'NASS Crush'!T73-'NOPA Crush'!Q498</f>
        <v>507.10500000000002</v>
      </c>
      <c r="T498" s="301">
        <f>R498+'NASS Crush'!V73</f>
        <v>1.0619918412162301</v>
      </c>
      <c r="U498" s="302">
        <f>'[1]Soy Complex'!$BJ486-Q498</f>
        <v>507.10500000000002</v>
      </c>
      <c r="V498" s="278"/>
      <c r="W498" s="278"/>
      <c r="X498" s="278"/>
      <c r="Y498" s="278"/>
      <c r="Z498" s="278"/>
      <c r="AB498" s="278"/>
      <c r="AC498" s="278"/>
      <c r="AD498" s="279"/>
      <c r="AE498" s="278"/>
      <c r="AF498" s="278"/>
      <c r="AG498" s="278"/>
      <c r="AI498" s="202">
        <f t="shared" si="111"/>
        <v>59.2</v>
      </c>
      <c r="AJ498" s="280"/>
      <c r="BB498" s="203">
        <f>'NASS Crush'!C73/'NOPA Crush'!G498</f>
        <v>1.0642174011935837</v>
      </c>
      <c r="BE498" s="274">
        <f t="shared" si="121"/>
        <v>5.9565806451612904</v>
      </c>
      <c r="BF498" s="280">
        <f t="shared" si="151"/>
        <v>176.94</v>
      </c>
      <c r="BG498" s="154" t="str">
        <f t="shared" si="152"/>
        <v>RECORD</v>
      </c>
      <c r="BH498" s="270">
        <f t="shared" si="124"/>
        <v>-8.000000000000184E-3</v>
      </c>
      <c r="BI498" s="270">
        <f t="shared" si="112"/>
        <v>0.17999999999999972</v>
      </c>
      <c r="BK498" s="274">
        <f t="shared" si="157"/>
        <v>2390</v>
      </c>
    </row>
    <row r="499" spans="1:63">
      <c r="A499" s="266">
        <v>44228</v>
      </c>
      <c r="B499" s="290">
        <f>E499/(1-'NASS Crush'!E74)</f>
        <v>6.5186427770561535</v>
      </c>
      <c r="C499" s="277">
        <f t="shared" si="116"/>
        <v>0.29651505376344106</v>
      </c>
      <c r="D499" s="276">
        <f>'NASS Crush'!C74-'NOPA Crush'!G499</f>
        <v>9.1919666666666728</v>
      </c>
      <c r="E499" s="290">
        <f t="shared" si="137"/>
        <v>6.1324612903225812</v>
      </c>
      <c r="F499" s="277">
        <f t="shared" si="132"/>
        <v>171.70891612903227</v>
      </c>
      <c r="G499" s="277">
        <v>155.15799999999999</v>
      </c>
      <c r="H499" s="281">
        <f t="shared" si="118"/>
        <v>0.90361061905140128</v>
      </c>
      <c r="I499" s="202">
        <v>3696.1840000000002</v>
      </c>
      <c r="J499" s="270">
        <v>47.64</v>
      </c>
      <c r="K499" s="270">
        <f>'NASS Crush'!K74-'NOPA Crush'!J499</f>
        <v>4.6909580551584895E-2</v>
      </c>
      <c r="L499" s="202">
        <v>837.81500000000005</v>
      </c>
      <c r="M499" s="277">
        <f>'[1]Soy Complex'!$BJ216-L499</f>
        <v>327.5764999999999</v>
      </c>
      <c r="N499" s="202">
        <v>1815.569</v>
      </c>
      <c r="O499" s="270">
        <v>11.7</v>
      </c>
      <c r="P499" s="270">
        <f>'NASS Crush'!W74-'NOPA Crush'!O499</f>
        <v>1.1283178436910291E-2</v>
      </c>
      <c r="Q499" s="202">
        <v>1757.3209999999999</v>
      </c>
      <c r="R499" s="199">
        <f>Q499/('NASS Crush'!P74+'NASS Crush'!T74)</f>
        <v>0.76206857971507214</v>
      </c>
      <c r="S499" s="202">
        <f>'NASS Crush'!P74+'NASS Crush'!T74-'NOPA Crush'!Q499</f>
        <v>548.66700000000037</v>
      </c>
      <c r="T499" s="301">
        <f>R499+'NASS Crush'!V74</f>
        <v>1.0742864386036874</v>
      </c>
      <c r="U499" s="302">
        <f>'[1]Soy Complex'!$BJ487-Q499</f>
        <v>548.66700000000037</v>
      </c>
      <c r="V499" s="278"/>
      <c r="W499" s="278"/>
      <c r="X499" s="278"/>
      <c r="Y499" s="278"/>
      <c r="Z499" s="278"/>
      <c r="AB499" s="278"/>
      <c r="AC499" s="278"/>
      <c r="AD499" s="279"/>
      <c r="AE499" s="278"/>
      <c r="AF499" s="278"/>
      <c r="AG499" s="278"/>
      <c r="AI499" s="202">
        <f t="shared" si="111"/>
        <v>59.34</v>
      </c>
      <c r="AJ499" s="280"/>
      <c r="BB499" s="203">
        <f>'NASS Crush'!C74/'NOPA Crush'!G499</f>
        <v>1.0592426214998045</v>
      </c>
      <c r="BE499" s="274">
        <f>G499/28</f>
        <v>5.5413571428571426</v>
      </c>
      <c r="BF499" s="280">
        <f t="shared" si="151"/>
        <v>166.28800000000001</v>
      </c>
      <c r="BG499" s="154" t="str">
        <f t="shared" si="152"/>
        <v/>
      </c>
      <c r="BH499" s="270">
        <f t="shared" si="124"/>
        <v>1.6000000000000014E-2</v>
      </c>
      <c r="BI499" s="270">
        <f t="shared" si="112"/>
        <v>-7.0000000000000284E-2</v>
      </c>
      <c r="BK499" s="274">
        <f t="shared" si="157"/>
        <v>2380</v>
      </c>
    </row>
    <row r="500" spans="1:63">
      <c r="A500" s="266">
        <v>44256</v>
      </c>
      <c r="B500" s="290">
        <f>E500/(1-'NASS Crush'!E75)</f>
        <v>6.6097517699425685</v>
      </c>
      <c r="C500" s="277">
        <f t="shared" si="116"/>
        <v>0.36572380952380917</v>
      </c>
      <c r="D500" s="276">
        <f>'NASS Crush'!C75-'NOPA Crush'!G500</f>
        <v>10.240266666666656</v>
      </c>
      <c r="E500" s="298">
        <f>E499+0.097</f>
        <v>6.2294612903225817</v>
      </c>
      <c r="F500" s="277">
        <f t="shared" si="132"/>
        <v>193.11330000000004</v>
      </c>
      <c r="G500" s="277">
        <v>177.98400000000001</v>
      </c>
      <c r="H500" s="281">
        <f t="shared" si="118"/>
        <v>0.92165583623706904</v>
      </c>
      <c r="I500" s="202">
        <v>4233.0810000000001</v>
      </c>
      <c r="J500" s="270">
        <v>47.57</v>
      </c>
      <c r="K500" s="270">
        <f>'NASS Crush'!K75-'NOPA Crush'!J500</f>
        <v>-3.476519499429287E-3</v>
      </c>
      <c r="L500" s="202">
        <v>937.02300000000002</v>
      </c>
      <c r="M500" s="277">
        <f>'[1]Soy Complex'!$BJ217-L500</f>
        <v>255.09180000000003</v>
      </c>
      <c r="N500" s="202">
        <v>2106.7739999999999</v>
      </c>
      <c r="O500" s="270">
        <v>11.84</v>
      </c>
      <c r="P500" s="270">
        <f>'NASS Crush'!W75-'NOPA Crush'!O500</f>
        <v>-3.4279944066723189E-2</v>
      </c>
      <c r="Q500" s="202">
        <v>1771.0809999999999</v>
      </c>
      <c r="R500" s="199">
        <f t="shared" ref="R500:R504" si="162">Q500/(Q500+S500)</f>
        <v>0.78880254471829325</v>
      </c>
      <c r="S500" s="202">
        <f>'NASS Crush'!P75+'NASS Crush'!T75-'NOPA Crush'!Q500</f>
        <v>474.19699999999989</v>
      </c>
      <c r="T500" s="301">
        <f>R500+'NASS Crush'!V75</f>
        <v>1.0565469335971756</v>
      </c>
      <c r="U500" s="302">
        <f>'[1]Soy Complex'!$BJ488-Q500</f>
        <v>474.19699999999989</v>
      </c>
      <c r="V500" s="278">
        <v>20.844999999999999</v>
      </c>
      <c r="W500" s="278">
        <v>41.707999999999998</v>
      </c>
      <c r="X500" s="278">
        <v>21.931999999999999</v>
      </c>
      <c r="Y500" s="278">
        <v>35.393999999999998</v>
      </c>
      <c r="Z500" s="278"/>
      <c r="AB500" s="278">
        <v>37.076999999999998</v>
      </c>
      <c r="AC500" s="278">
        <v>21.029</v>
      </c>
      <c r="AD500" s="279">
        <v>177.98400000000001</v>
      </c>
      <c r="AE500" s="278">
        <f t="shared" ref="AE500" si="163">SUM(V500:AC500)</f>
        <v>177.98499999999999</v>
      </c>
      <c r="AF500" s="278">
        <f t="shared" ref="AF500" si="164">AE500-AD500</f>
        <v>9.9999999997635314E-4</v>
      </c>
      <c r="AG500" s="278">
        <f t="shared" ref="AG500" si="165">AE500-G500</f>
        <v>9.9999999997635314E-4</v>
      </c>
      <c r="AH500" s="202">
        <f t="shared" ref="AH500" si="166">AB500-AB499</f>
        <v>37.076999999999998</v>
      </c>
      <c r="AI500" s="202">
        <f t="shared" si="111"/>
        <v>59.41</v>
      </c>
      <c r="BB500" s="203">
        <f>'NASS Crush'!C75/'NOPA Crush'!G500</f>
        <v>1.0575347596787725</v>
      </c>
      <c r="BE500" s="274">
        <f t="shared" si="121"/>
        <v>5.74141935483871</v>
      </c>
      <c r="BF500" s="280">
        <f t="shared" si="151"/>
        <v>181.374</v>
      </c>
      <c r="BG500" s="154" t="str">
        <f t="shared" si="152"/>
        <v/>
      </c>
      <c r="BH500" s="270">
        <f t="shared" si="124"/>
        <v>4.6000000000000082E-2</v>
      </c>
      <c r="BI500" s="270">
        <f t="shared" si="112"/>
        <v>0.14000000000000057</v>
      </c>
      <c r="BK500" s="274">
        <f t="shared" si="157"/>
        <v>2415</v>
      </c>
    </row>
    <row r="501" spans="1:63">
      <c r="A501" s="266">
        <v>44287</v>
      </c>
      <c r="B501" s="290">
        <f>E501/(1-'NASS Crush'!E76)</f>
        <v>6.6238234627627088</v>
      </c>
      <c r="C501" s="277">
        <f t="shared" si="116"/>
        <v>0.30788279569892457</v>
      </c>
      <c r="D501" s="276">
        <f>'NASS Crush'!C76-'NOPA Crush'!G501</f>
        <v>9.5443666666666616</v>
      </c>
      <c r="E501" s="290">
        <f t="shared" si="137"/>
        <v>6.2294612903225817</v>
      </c>
      <c r="F501" s="277">
        <f t="shared" si="132"/>
        <v>186.88383870967746</v>
      </c>
      <c r="G501" s="277">
        <v>160.31</v>
      </c>
      <c r="H501" s="281">
        <f t="shared" si="118"/>
        <v>0.85780558183546463</v>
      </c>
      <c r="I501" s="202">
        <v>3818.779</v>
      </c>
      <c r="J501" s="270">
        <v>47.54</v>
      </c>
      <c r="K501" s="270">
        <f>'NASS Crush'!K76-'NOPA Crush'!J501</f>
        <v>8.5611038161914621E-2</v>
      </c>
      <c r="L501" s="202">
        <v>689.44100000000003</v>
      </c>
      <c r="M501" s="277">
        <f>'[1]Soy Complex'!$BJ218-L501</f>
        <v>267.83810000000005</v>
      </c>
      <c r="N501" s="202">
        <v>1890.421</v>
      </c>
      <c r="O501" s="270">
        <v>11.79</v>
      </c>
      <c r="P501" s="270">
        <f>'NASS Crush'!W76-'NOPA Crush'!O501</f>
        <v>-6.303036660229111E-2</v>
      </c>
      <c r="Q501" s="202">
        <v>1702.2650000000001</v>
      </c>
      <c r="R501" s="199">
        <f t="shared" si="162"/>
        <v>0.7817204172690152</v>
      </c>
      <c r="S501" s="202">
        <f>'NASS Crush'!P76+'NASS Crush'!T76-'NOPA Crush'!Q501</f>
        <v>475.32299999999964</v>
      </c>
      <c r="T501" s="301">
        <f>R501+'NASS Crush'!V76</f>
        <v>1.0609501494200022</v>
      </c>
      <c r="U501" s="302">
        <f>'[1]Soy Complex'!$BJ489-Q501</f>
        <v>475.32299999999964</v>
      </c>
      <c r="V501" s="278">
        <v>19.559999999999999</v>
      </c>
      <c r="W501" s="278">
        <v>38.235999999999997</v>
      </c>
      <c r="X501" s="278">
        <v>18.123999999999999</v>
      </c>
      <c r="Y501" s="278">
        <v>34.665999999999997</v>
      </c>
      <c r="Z501" s="278"/>
      <c r="AB501" s="278">
        <v>33.627000000000002</v>
      </c>
      <c r="AC501" s="278">
        <v>16.096</v>
      </c>
      <c r="AD501" s="279">
        <v>160.309</v>
      </c>
      <c r="AE501" s="278">
        <f t="shared" ref="AE501" si="167">SUM(V501:AC501)</f>
        <v>160.309</v>
      </c>
      <c r="AF501" s="278">
        <f t="shared" ref="AF501" si="168">AE501-AD501</f>
        <v>0</v>
      </c>
      <c r="AG501" s="278">
        <f t="shared" ref="AG501" si="169">AE501-G501</f>
        <v>-1.0000000000047748E-3</v>
      </c>
      <c r="AH501" s="202">
        <f t="shared" ref="AH501" si="170">AB501-AB500</f>
        <v>-3.4499999999999957</v>
      </c>
      <c r="AI501" s="202">
        <f t="shared" si="111"/>
        <v>59.33</v>
      </c>
      <c r="BB501" s="203">
        <f>'NASS Crush'!C76/'NOPA Crush'!G501</f>
        <v>1.0595369388476492</v>
      </c>
      <c r="BE501" s="274">
        <f>G501/30</f>
        <v>5.3436666666666666</v>
      </c>
      <c r="BF501" s="280">
        <f t="shared" si="151"/>
        <v>171.75399999999999</v>
      </c>
      <c r="BG501" s="154" t="str">
        <f t="shared" si="152"/>
        <v/>
      </c>
      <c r="BH501" s="270">
        <f t="shared" si="124"/>
        <v>-1.4000000000000058E-2</v>
      </c>
      <c r="BI501" s="270">
        <f t="shared" si="112"/>
        <v>-5.0000000000000711E-2</v>
      </c>
      <c r="BK501" s="274">
        <f t="shared" si="157"/>
        <v>2420</v>
      </c>
    </row>
    <row r="502" spans="1:63">
      <c r="A502" s="266">
        <v>44317</v>
      </c>
      <c r="B502" s="290">
        <f>E502/(1-'NASS Crush'!E77)</f>
        <v>6.6343724604264418</v>
      </c>
      <c r="C502" s="277">
        <f t="shared" si="116"/>
        <v>0.33266888888888957</v>
      </c>
      <c r="D502" s="276">
        <f>'NASS Crush'!C77-'NOPA Crush'!G502</f>
        <v>9.9800666666666871</v>
      </c>
      <c r="E502" s="290">
        <f>E501</f>
        <v>6.2294612903225817</v>
      </c>
      <c r="F502" s="277">
        <f t="shared" si="132"/>
        <v>193.11330000000004</v>
      </c>
      <c r="G502" s="277">
        <v>163.52099999999999</v>
      </c>
      <c r="H502" s="281">
        <f t="shared" si="118"/>
        <v>0.84676197858977065</v>
      </c>
      <c r="I502" s="202">
        <v>3894.3470000000002</v>
      </c>
      <c r="J502" s="270">
        <v>47.63</v>
      </c>
      <c r="K502" s="270">
        <f>'NASS Crush'!K77-'NOPA Crush'!J502</f>
        <v>-0.10425183937390159</v>
      </c>
      <c r="L502" s="202">
        <v>714.37699999999995</v>
      </c>
      <c r="M502" s="277">
        <f>'[1]Soy Complex'!$BJ219-L502</f>
        <v>241.60519999999997</v>
      </c>
      <c r="N502" s="202">
        <v>1932.056</v>
      </c>
      <c r="O502" s="270">
        <v>11.82</v>
      </c>
      <c r="P502" s="270">
        <f>'NASS Crush'!W77-'NOPA Crush'!O502</f>
        <v>-4.407816128700226E-2</v>
      </c>
      <c r="Q502" s="202">
        <v>1670.55</v>
      </c>
      <c r="R502" s="199">
        <f t="shared" si="162"/>
        <v>0.77809004987452191</v>
      </c>
      <c r="S502" s="202">
        <f>'NASS Crush'!P77+'NASS Crush'!T77-'NOPA Crush'!Q502</f>
        <v>476.43799999999987</v>
      </c>
      <c r="T502" s="301">
        <f>R502+'NASS Crush'!V77</f>
        <v>1.0632883378635074</v>
      </c>
      <c r="U502" s="302">
        <f>'[1]Soy Complex'!$BJ490-Q502</f>
        <v>476.43799999999987</v>
      </c>
      <c r="V502" s="278">
        <v>18.317</v>
      </c>
      <c r="W502" s="278">
        <v>39.674999999999997</v>
      </c>
      <c r="X502" s="278">
        <v>20.707000000000001</v>
      </c>
      <c r="Y502" s="278">
        <v>33.899000000000001</v>
      </c>
      <c r="Z502" s="278"/>
      <c r="AB502" s="278">
        <v>32.709000000000003</v>
      </c>
      <c r="AC502" s="278">
        <v>18.213000000000001</v>
      </c>
      <c r="AD502" s="279">
        <v>163.52000000000001</v>
      </c>
      <c r="AE502" s="278">
        <f>SUM(V502:AC502)</f>
        <v>163.52000000000001</v>
      </c>
      <c r="AF502" s="278">
        <f t="shared" ref="AF502" si="171">AE502-AD502</f>
        <v>0</v>
      </c>
      <c r="AG502" s="278">
        <f t="shared" ref="AG502" si="172">AE502-G502</f>
        <v>-9.9999999997635314E-4</v>
      </c>
      <c r="AH502" s="202">
        <f t="shared" ref="AH502" si="173">AB502-AB501</f>
        <v>-0.91799999999999926</v>
      </c>
      <c r="AI502" s="202">
        <f t="shared" si="111"/>
        <v>59.45</v>
      </c>
      <c r="BB502" s="203">
        <f>'NASS Crush'!C77/'NOPA Crush'!G502</f>
        <v>1.0610323240847761</v>
      </c>
      <c r="BE502" s="274">
        <f t="shared" si="121"/>
        <v>5.2748709677419354</v>
      </c>
      <c r="BF502" s="280">
        <f t="shared" si="151"/>
        <v>169.584</v>
      </c>
      <c r="BG502" s="154" t="str">
        <f t="shared" si="152"/>
        <v/>
      </c>
      <c r="BH502" s="270">
        <f t="shared" si="124"/>
        <v>1.9999999999999928E-2</v>
      </c>
      <c r="BI502" s="270">
        <f t="shared" si="112"/>
        <v>3.0000000000001137E-2</v>
      </c>
      <c r="BK502" s="274">
        <f t="shared" si="157"/>
        <v>2420</v>
      </c>
    </row>
    <row r="503" spans="1:63">
      <c r="A503" s="266">
        <v>44348</v>
      </c>
      <c r="B503" s="290">
        <f>E503/(1-'NASS Crush'!E78)</f>
        <v>6.6358808745175484</v>
      </c>
      <c r="C503" s="277">
        <f t="shared" ref="C503:C509" si="174">D503/(A503-A502)</f>
        <v>0.30111182795698893</v>
      </c>
      <c r="D503" s="276">
        <f>'NASS Crush'!C78-'NOPA Crush'!G503</f>
        <v>9.3344666666666569</v>
      </c>
      <c r="E503" s="290">
        <f t="shared" si="137"/>
        <v>6.2294612903225817</v>
      </c>
      <c r="F503" s="277">
        <f t="shared" si="132"/>
        <v>186.88383870967746</v>
      </c>
      <c r="G503" s="277">
        <v>152.41</v>
      </c>
      <c r="H503" s="281">
        <f t="shared" si="118"/>
        <v>0.81553333371307568</v>
      </c>
      <c r="I503" s="202">
        <v>3616.5360000000001</v>
      </c>
      <c r="J503" s="270">
        <v>47.46</v>
      </c>
      <c r="K503" s="270">
        <f>'NASS Crush'!K78-'NOPA Crush'!J503</f>
        <v>-5.2492602529007115E-2</v>
      </c>
      <c r="L503" s="202">
        <v>714.72900000000004</v>
      </c>
      <c r="M503" s="277">
        <f>'[1]Soy Complex'!$BJ220-L503</f>
        <v>75.015199999999936</v>
      </c>
      <c r="N503" s="202">
        <v>1797.9069999999999</v>
      </c>
      <c r="O503" s="270">
        <v>11.8</v>
      </c>
      <c r="P503" s="270">
        <f>'NASS Crush'!W78-'NOPA Crush'!O503</f>
        <v>3.9749943017142186E-4</v>
      </c>
      <c r="Q503" s="202">
        <v>1537.2850000000001</v>
      </c>
      <c r="R503" s="199">
        <f>Q503/(Q503+S503)</f>
        <v>0.73181256884760659</v>
      </c>
      <c r="S503" s="202">
        <f>'NASS Crush'!P78+'NASS Crush'!T78-'NOPA Crush'!Q503</f>
        <v>563.36899999999991</v>
      </c>
      <c r="T503" s="301">
        <f>R503+'NASS Crush'!V78</f>
        <v>1.098282676862711</v>
      </c>
      <c r="U503" s="302">
        <f>'[1]Soy Complex'!$BJ491-Q503</f>
        <v>563.36899999999991</v>
      </c>
      <c r="AD503" s="303"/>
      <c r="AF503" s="278">
        <f t="shared" ref="AF503:AF507" si="175">AE503-AD503</f>
        <v>0</v>
      </c>
      <c r="AG503" s="278">
        <f t="shared" ref="AG503:AG504" si="176">AE503-G503</f>
        <v>-152.41</v>
      </c>
      <c r="AH503" s="202">
        <f t="shared" ref="AH503:AH504" si="177">AB503-AB502</f>
        <v>-32.709000000000003</v>
      </c>
      <c r="AI503" s="202">
        <f t="shared" si="111"/>
        <v>59.260000000000005</v>
      </c>
      <c r="BB503" s="203">
        <f>'NASS Crush'!C78/'NOPA Crush'!G503</f>
        <v>1.0612457625265184</v>
      </c>
      <c r="BE503" s="274">
        <f>G503/30</f>
        <v>5.0803333333333329</v>
      </c>
      <c r="BF503" s="280">
        <f t="shared" si="151"/>
        <v>167.26300000000001</v>
      </c>
      <c r="BG503" s="154" t="str">
        <f t="shared" si="152"/>
        <v/>
      </c>
      <c r="BH503" s="270">
        <f t="shared" si="124"/>
        <v>-2.9999999999999714E-2</v>
      </c>
      <c r="BI503" s="270">
        <f t="shared" si="112"/>
        <v>-1.9999999999999574E-2</v>
      </c>
      <c r="BK503" s="274">
        <f t="shared" si="157"/>
        <v>2420</v>
      </c>
    </row>
    <row r="504" spans="1:63">
      <c r="A504" s="266">
        <v>44378</v>
      </c>
      <c r="B504" s="290">
        <f>E504/(1-'NASS Crush'!E79)</f>
        <v>6.7156108103285872</v>
      </c>
      <c r="C504" s="277">
        <f t="shared" si="174"/>
        <v>0.37427333333333385</v>
      </c>
      <c r="D504" s="276">
        <f>'NASS Crush'!C79-'NOPA Crush'!G504</f>
        <v>11.228200000000015</v>
      </c>
      <c r="E504" s="290">
        <f t="shared" si="137"/>
        <v>6.2294612903225817</v>
      </c>
      <c r="F504" s="277">
        <f t="shared" si="132"/>
        <v>193.11330000000004</v>
      </c>
      <c r="G504" s="277">
        <v>155.10499999999999</v>
      </c>
      <c r="H504" s="281">
        <f t="shared" si="118"/>
        <v>0.80318134483746051</v>
      </c>
      <c r="I504" s="202">
        <v>3699.33</v>
      </c>
      <c r="J504" s="270">
        <v>47.7</v>
      </c>
      <c r="K504" s="270">
        <f>'NASS Crush'!K79-'NOPA Crush'!J504</f>
        <v>-6.5870193082417927E-3</v>
      </c>
      <c r="L504" s="202">
        <v>719.50800000000004</v>
      </c>
      <c r="M504" s="277">
        <f>'[1]Soy Complex'!$BJ221-L504</f>
        <v>260.09819999999991</v>
      </c>
      <c r="N504" s="202">
        <v>1835.01</v>
      </c>
      <c r="O504" s="270">
        <v>11.83</v>
      </c>
      <c r="P504" s="270">
        <f>'NASS Crush'!W79-'NOPA Crush'!O504</f>
        <v>2.9857202290342499E-2</v>
      </c>
      <c r="Q504" s="202">
        <v>1616.8030000000001</v>
      </c>
      <c r="R504" s="199">
        <f t="shared" si="162"/>
        <v>0.78102237029801791</v>
      </c>
      <c r="S504" s="202">
        <f>'NASS Crush'!P79+'NASS Crush'!T79-'NOPA Crush'!Q504</f>
        <v>453.30799999999977</v>
      </c>
      <c r="T504" s="301">
        <f>R504+'NASS Crush'!V79</f>
        <v>1.0613954274979363</v>
      </c>
      <c r="U504" s="302">
        <f>'[1]Soy Complex'!$BJ492-Q504</f>
        <v>453.30799999999977</v>
      </c>
      <c r="V504" s="202">
        <v>17.108000000000001</v>
      </c>
      <c r="W504" s="202">
        <v>35.243000000000002</v>
      </c>
      <c r="X504" s="202">
        <v>20.742999999999999</v>
      </c>
      <c r="Y504" s="202">
        <v>33.670999999999999</v>
      </c>
      <c r="AB504" s="202">
        <v>31.666</v>
      </c>
      <c r="AC504" s="202">
        <v>16.675000000000001</v>
      </c>
      <c r="AD504" s="303">
        <v>155.10499999999999</v>
      </c>
      <c r="AE504" s="278">
        <f t="shared" ref="AE504:AE509" si="178">SUM(V504:AC504)</f>
        <v>155.10599999999999</v>
      </c>
      <c r="AF504" s="278">
        <f t="shared" si="175"/>
        <v>1.0000000000047748E-3</v>
      </c>
      <c r="AG504" s="278">
        <f t="shared" si="176"/>
        <v>1.0000000000047748E-3</v>
      </c>
      <c r="AH504" s="202">
        <f t="shared" si="177"/>
        <v>31.666</v>
      </c>
      <c r="AI504" s="202">
        <f t="shared" si="111"/>
        <v>59.53</v>
      </c>
      <c r="BB504" s="203">
        <f>'NASS Crush'!C79/'NOPA Crush'!G504</f>
        <v>1.0723909609619291</v>
      </c>
      <c r="BE504" s="274">
        <f t="shared" si="121"/>
        <v>5.0033870967741931</v>
      </c>
      <c r="BF504" s="280">
        <f t="shared" si="151"/>
        <v>172.79400000000001</v>
      </c>
      <c r="BG504" s="154" t="str">
        <f t="shared" si="152"/>
        <v/>
      </c>
      <c r="BH504" s="270">
        <f t="shared" si="124"/>
        <v>1.6199999999999902E-2</v>
      </c>
      <c r="BI504" s="270">
        <f t="shared" si="112"/>
        <v>2.9999999999999361E-2</v>
      </c>
      <c r="BK504" s="274">
        <f t="shared" si="157"/>
        <v>2450</v>
      </c>
    </row>
    <row r="505" spans="1:63">
      <c r="A505" s="266">
        <v>44409</v>
      </c>
      <c r="B505" s="290">
        <f>E505/(1-'NASS Crush'!E80)</f>
        <v>6.6220137200201687</v>
      </c>
      <c r="C505" s="277">
        <f t="shared" si="174"/>
        <v>0.30374838709677432</v>
      </c>
      <c r="D505" s="276">
        <f>'NASS Crush'!C80-'NOPA Crush'!G505</f>
        <v>9.4162000000000035</v>
      </c>
      <c r="E505" s="290">
        <f t="shared" si="137"/>
        <v>6.2294612903225817</v>
      </c>
      <c r="F505" s="277">
        <f t="shared" si="132"/>
        <v>193.11330000000004</v>
      </c>
      <c r="G505" s="277">
        <v>158.84299999999999</v>
      </c>
      <c r="H505" s="281">
        <f t="shared" si="118"/>
        <v>0.82253785730967244</v>
      </c>
      <c r="I505" s="202">
        <v>3775.3270000000002</v>
      </c>
      <c r="J505" s="270">
        <v>47.54</v>
      </c>
      <c r="K505" s="270">
        <f>'NASS Crush'!K80-'NOPA Crush'!J505</f>
        <v>-5.0246096498732129E-2</v>
      </c>
      <c r="L505" s="202">
        <v>856.61900000000003</v>
      </c>
      <c r="M505" s="277">
        <f>'[1]Soy Complex'!$BJ222-L505</f>
        <v>-9.8969000000000733</v>
      </c>
      <c r="N505" s="202">
        <v>1873.366</v>
      </c>
      <c r="O505" s="270">
        <v>11.79</v>
      </c>
      <c r="P505" s="270">
        <f>'NASS Crush'!W80-'NOPA Crush'!O505</f>
        <v>3.5403900648525166E-2</v>
      </c>
      <c r="Q505" s="202">
        <v>1667.828</v>
      </c>
      <c r="R505" s="199">
        <f t="shared" ref="R505:R506" si="179">Q505/(Q505+S505)</f>
        <v>0.76385301915645998</v>
      </c>
      <c r="S505" s="202">
        <f>'NASS Crush'!P80+'NASS Crush'!T80-'NOPA Crush'!Q505</f>
        <v>515.61299999999983</v>
      </c>
      <c r="T505" s="301">
        <f>R505+'NASS Crush'!V80</f>
        <v>1.0730054017762503</v>
      </c>
      <c r="U505" s="302">
        <f>'[1]Soy Complex'!$BJ493-Q505</f>
        <v>515.61299999999983</v>
      </c>
      <c r="V505" s="202">
        <v>16.63</v>
      </c>
      <c r="W505" s="202">
        <v>38.189</v>
      </c>
      <c r="X505" s="202">
        <v>20.7</v>
      </c>
      <c r="Y505" s="202">
        <v>28.524000000000001</v>
      </c>
      <c r="AB505" s="202">
        <v>35.179000000000002</v>
      </c>
      <c r="AC505" s="202">
        <v>19.619</v>
      </c>
      <c r="AD505" s="303">
        <v>158.84299999999999</v>
      </c>
      <c r="AE505" s="278">
        <f t="shared" si="178"/>
        <v>158.84100000000001</v>
      </c>
      <c r="AF505" s="278">
        <f t="shared" si="175"/>
        <v>-1.999999999981128E-3</v>
      </c>
      <c r="AG505" s="278">
        <f t="shared" ref="AG505:AG507" si="180">AE505-G505</f>
        <v>-1.999999999981128E-3</v>
      </c>
      <c r="AH505" s="202">
        <f t="shared" ref="AH505:AH507" si="181">AB505-AB504</f>
        <v>3.5130000000000017</v>
      </c>
      <c r="AI505" s="202">
        <f t="shared" si="111"/>
        <v>59.33</v>
      </c>
      <c r="BB505" s="203">
        <f>'NASS Crush'!C80/'NOPA Crush'!G505</f>
        <v>1.0592799179063603</v>
      </c>
      <c r="BE505" s="274">
        <f t="shared" si="121"/>
        <v>5.1239677419354832</v>
      </c>
      <c r="BF505" s="280">
        <f t="shared" si="151"/>
        <v>168.08500000000001</v>
      </c>
      <c r="BG505" s="154" t="str">
        <f t="shared" si="152"/>
        <v/>
      </c>
      <c r="BH505" s="270">
        <f t="shared" si="124"/>
        <v>2.9800000000000181E-2</v>
      </c>
      <c r="BI505" s="270">
        <f t="shared" si="112"/>
        <v>-4.0000000000000924E-2</v>
      </c>
      <c r="BK505" s="274">
        <f t="shared" si="157"/>
        <v>2415</v>
      </c>
    </row>
    <row r="506" spans="1:63">
      <c r="A506" s="266">
        <v>44440</v>
      </c>
      <c r="B506" s="290">
        <f>E506/(1-'NASS Crush'!E81)</f>
        <v>6.6972622263165187</v>
      </c>
      <c r="C506" s="277">
        <f t="shared" si="174"/>
        <v>0.33395053763440741</v>
      </c>
      <c r="D506" s="276">
        <f>'NASS Crush'!C81-'NOPA Crush'!G506</f>
        <v>10.352466666666629</v>
      </c>
      <c r="E506" s="290">
        <f>E505+0.017</f>
        <v>6.246461290322582</v>
      </c>
      <c r="F506" s="277">
        <f>(A507-A506)*E506</f>
        <v>187.39383870967745</v>
      </c>
      <c r="G506" s="277">
        <v>153.80000000000001</v>
      </c>
      <c r="H506" s="281">
        <f t="shared" si="118"/>
        <v>0.82073135946735598</v>
      </c>
      <c r="I506" s="202">
        <v>3618.7539999999999</v>
      </c>
      <c r="J506" s="270">
        <v>47.06</v>
      </c>
      <c r="K506" s="270">
        <f>'NASS Crush'!K81-'NOPA Crush'!J506</f>
        <v>6.2666854026360852E-2</v>
      </c>
      <c r="L506" s="202">
        <v>603.54499999999996</v>
      </c>
      <c r="M506" s="277">
        <f>'[1]Soy Complex'!$BJ223-L506</f>
        <v>158.28280000000007</v>
      </c>
      <c r="N506" s="202">
        <v>1813.78</v>
      </c>
      <c r="O506" s="270">
        <v>11.79</v>
      </c>
      <c r="P506" s="270">
        <f>'NASS Crush'!W81-'NOPA Crush'!O506</f>
        <v>1.7388821855456982E-2</v>
      </c>
      <c r="Q506" s="202">
        <v>1684.1469999999999</v>
      </c>
      <c r="R506" s="199">
        <f t="shared" si="179"/>
        <v>0.79022190440932538</v>
      </c>
      <c r="S506" s="202">
        <f>'NASS Crush'!P81+'NASS Crush'!T81-'NOPA Crush'!Q506</f>
        <v>447.08600000000024</v>
      </c>
      <c r="T506" s="301">
        <f>R506+'NASS Crush'!V81</f>
        <v>1.0556892300050129</v>
      </c>
      <c r="U506" s="302">
        <f>'[1]Soy Complex'!$BJ494-Q506</f>
        <v>447.08600000000024</v>
      </c>
      <c r="V506" s="202">
        <v>18.385999999999999</v>
      </c>
      <c r="W506" s="202">
        <v>39.787999999999997</v>
      </c>
      <c r="X506" s="202">
        <v>18.64</v>
      </c>
      <c r="Y506" s="202">
        <v>28.145</v>
      </c>
      <c r="AB506" s="202">
        <v>33.082999999999998</v>
      </c>
      <c r="AC506" s="202">
        <v>15.757</v>
      </c>
      <c r="AD506" s="303">
        <v>153.80000000000001</v>
      </c>
      <c r="AE506" s="278">
        <f t="shared" si="178"/>
        <v>153.79899999999998</v>
      </c>
      <c r="AF506" s="278">
        <f t="shared" si="175"/>
        <v>-1.0000000000331966E-3</v>
      </c>
      <c r="AG506" s="278">
        <f t="shared" si="180"/>
        <v>-1.0000000000331966E-3</v>
      </c>
      <c r="AH506" s="202">
        <f t="shared" si="181"/>
        <v>-2.0960000000000036</v>
      </c>
      <c r="AI506" s="202">
        <f t="shared" si="111"/>
        <v>58.85</v>
      </c>
      <c r="BB506" s="203">
        <f>'NASS Crush'!C81/'NOPA Crush'!G506</f>
        <v>1.0673112267013436</v>
      </c>
      <c r="BE506" s="274">
        <f>G506/30</f>
        <v>5.1266666666666669</v>
      </c>
      <c r="BF506" s="280">
        <f t="shared" si="151"/>
        <v>161.49100000000001</v>
      </c>
      <c r="BG506" s="154" t="str">
        <f t="shared" si="152"/>
        <v/>
      </c>
      <c r="BH506" s="270">
        <f t="shared" si="124"/>
        <v>2.3999999999999487E-2</v>
      </c>
      <c r="BI506" s="270">
        <f t="shared" si="112"/>
        <v>0</v>
      </c>
      <c r="BK506" s="274">
        <f t="shared" si="157"/>
        <v>2445</v>
      </c>
    </row>
    <row r="507" spans="1:63">
      <c r="A507" s="266">
        <v>44470</v>
      </c>
      <c r="B507" s="290">
        <f>E507/(1-'NASS Crush'!E82)</f>
        <v>6.7891383960569387</v>
      </c>
      <c r="C507" s="277">
        <f t="shared" si="174"/>
        <v>0.43151888888888928</v>
      </c>
      <c r="D507" s="276">
        <f>'NASS Crush'!C82-'NOPA Crush'!G507</f>
        <v>12.945566666666679</v>
      </c>
      <c r="E507" s="290">
        <f>E506+0.018+0.047</f>
        <v>6.3114612903225815</v>
      </c>
      <c r="F507" s="277">
        <f>(A508-A507)*E507</f>
        <v>195.65530000000004</v>
      </c>
      <c r="G507" s="277">
        <v>183.99299999999999</v>
      </c>
      <c r="H507" s="281">
        <f t="shared" si="118"/>
        <v>0.94039364126604263</v>
      </c>
      <c r="I507" s="202">
        <v>4288.9279999999999</v>
      </c>
      <c r="J507" s="270">
        <v>46.62</v>
      </c>
      <c r="K507" s="270">
        <f>'NASS Crush'!K82-'NOPA Crush'!J507</f>
        <v>1.0165718344993024E-2</v>
      </c>
      <c r="L507" s="202"/>
      <c r="M507" s="277"/>
      <c r="N507" s="202">
        <v>2187.337</v>
      </c>
      <c r="O507" s="270">
        <v>11.89</v>
      </c>
      <c r="P507" s="270">
        <f>'NASS Crush'!W82-'NOPA Crush'!O507</f>
        <v>3.0367045086986622E-2</v>
      </c>
      <c r="Q507" s="202">
        <v>1834.4939999999999</v>
      </c>
      <c r="R507" s="199">
        <f t="shared" ref="R507" si="182">Q507/(Q507+S507)</f>
        <v>0.76874892355941338</v>
      </c>
      <c r="S507" s="202">
        <f>'NASS Crush'!P82+'NASS Crush'!T82-'NOPA Crush'!Q507</f>
        <v>551.84300000000007</v>
      </c>
      <c r="T507" s="301">
        <f>R507+'NASS Crush'!V82</f>
        <v>1.0695637531527509</v>
      </c>
      <c r="U507" s="302">
        <f>'[1]Soy Complex'!$BK483-Q507</f>
        <v>551.84300000000007</v>
      </c>
      <c r="V507" s="202">
        <v>21.436</v>
      </c>
      <c r="W507" s="202">
        <v>44.997</v>
      </c>
      <c r="X507" s="202">
        <v>22.027999999999999</v>
      </c>
      <c r="Y507" s="202">
        <v>36.238999999999997</v>
      </c>
      <c r="AB507" s="202">
        <v>38.145000000000003</v>
      </c>
      <c r="AC507" s="202">
        <v>21.149000000000001</v>
      </c>
      <c r="AD507" s="303">
        <v>183.99299999999999</v>
      </c>
      <c r="AE507" s="278">
        <f t="shared" si="178"/>
        <v>183.994</v>
      </c>
      <c r="AF507" s="278">
        <f t="shared" si="175"/>
        <v>1.0000000000047748E-3</v>
      </c>
      <c r="AG507" s="278">
        <f t="shared" si="180"/>
        <v>1.0000000000047748E-3</v>
      </c>
      <c r="AH507" s="202">
        <f t="shared" si="181"/>
        <v>5.0620000000000047</v>
      </c>
      <c r="AI507" s="202">
        <f t="shared" si="111"/>
        <v>58.51</v>
      </c>
      <c r="BB507" s="203">
        <f>'NASS Crush'!C82/'NOPA Crush'!G507</f>
        <v>1.0703590172814546</v>
      </c>
      <c r="BE507" s="274">
        <f t="shared" si="121"/>
        <v>5.9352580645161286</v>
      </c>
      <c r="BF507" s="280">
        <f t="shared" si="151"/>
        <v>185.245</v>
      </c>
      <c r="BG507" s="154" t="str">
        <f t="shared" si="152"/>
        <v/>
      </c>
      <c r="BH507" s="270">
        <f t="shared" si="124"/>
        <v>-7.999999999999971E-2</v>
      </c>
      <c r="BI507" s="270">
        <f t="shared" si="112"/>
        <v>0.10000000000000142</v>
      </c>
      <c r="BK507" s="274">
        <f>MROUND(B507*365,5)</f>
        <v>2480</v>
      </c>
    </row>
    <row r="508" spans="1:63">
      <c r="A508" s="266">
        <v>44501</v>
      </c>
      <c r="B508" s="290">
        <f>E508/(1-'NASS Crush'!E83)</f>
        <v>6.7290147629323309</v>
      </c>
      <c r="C508" s="277">
        <f>D508/(A508-A507)</f>
        <v>0.35922903225806541</v>
      </c>
      <c r="D508" s="276">
        <f>'NASS Crush'!C83-'NOPA Crush'!G508</f>
        <v>11.136100000000027</v>
      </c>
      <c r="E508" s="290">
        <f t="shared" si="137"/>
        <v>6.3114612903225815</v>
      </c>
      <c r="F508" s="277">
        <f t="shared" ref="F508:F525" si="183">(A509-A508)*E508</f>
        <v>189.34383870967744</v>
      </c>
      <c r="G508" s="277">
        <v>179.46199999999999</v>
      </c>
      <c r="H508" s="281">
        <f t="shared" ref="H508:H530" si="184">G508/F508</f>
        <v>0.94781008573070413</v>
      </c>
      <c r="I508" s="202">
        <v>4201.9110000000001</v>
      </c>
      <c r="J508" s="270">
        <v>46.83</v>
      </c>
      <c r="K508" s="270">
        <f>'NASS Crush'!K83-'NOPA Crush'!J508</f>
        <v>-6.3846507389115459E-2</v>
      </c>
      <c r="L508" s="202"/>
      <c r="M508" s="277"/>
      <c r="N508" s="202">
        <v>2110.0140000000001</v>
      </c>
      <c r="O508" s="270">
        <v>11.76</v>
      </c>
      <c r="P508" s="270">
        <f>'NASS Crush'!W83-'NOPA Crush'!O508</f>
        <v>-3.1813832351950566E-2</v>
      </c>
      <c r="Q508" s="202">
        <v>1832.2</v>
      </c>
      <c r="R508" s="199">
        <f t="shared" ref="R508" si="185">Q508/(Q508+S508)</f>
        <v>0.76152459534913886</v>
      </c>
      <c r="S508" s="202">
        <f>'NASS Crush'!P83+'NASS Crush'!T83-'NOPA Crush'!Q508</f>
        <v>573.76299999999969</v>
      </c>
      <c r="T508" s="301">
        <f>R508+'NASS Crush'!V83</f>
        <v>1.0746798185780437</v>
      </c>
      <c r="U508" s="302">
        <f>'[1]Soy Complex'!$BK484-Q508</f>
        <v>573.76299999999969</v>
      </c>
      <c r="V508" s="202">
        <v>21.234000000000002</v>
      </c>
      <c r="W508" s="202">
        <v>42.911000000000001</v>
      </c>
      <c r="X508" s="202">
        <v>21.806000000000001</v>
      </c>
      <c r="Y508" s="202">
        <v>35.582000000000001</v>
      </c>
      <c r="AB508" s="202">
        <v>37.723999999999997</v>
      </c>
      <c r="AC508" s="202">
        <v>20.655000000000001</v>
      </c>
      <c r="AD508" s="303">
        <v>179.46199999999999</v>
      </c>
      <c r="AE508" s="278">
        <f t="shared" si="178"/>
        <v>179.91200000000001</v>
      </c>
      <c r="AF508" s="278">
        <f t="shared" ref="AF508" si="186">AE508-AD508</f>
        <v>0.45000000000001705</v>
      </c>
      <c r="AG508" s="278">
        <f t="shared" ref="AG508" si="187">AE508-G508</f>
        <v>0.45000000000001705</v>
      </c>
      <c r="AH508" s="202">
        <f t="shared" ref="AH508" si="188">AB508-AB507</f>
        <v>-0.42100000000000648</v>
      </c>
      <c r="AI508" s="202">
        <f t="shared" si="111"/>
        <v>58.589999999999996</v>
      </c>
      <c r="BB508" s="203">
        <f>'NASS Crush'!C83/'NOPA Crush'!G508</f>
        <v>1.0620526908203409</v>
      </c>
      <c r="BE508" s="274">
        <f>G508/30</f>
        <v>5.9820666666666664</v>
      </c>
      <c r="BF508" s="280">
        <f t="shared" si="151"/>
        <v>181.018</v>
      </c>
      <c r="BG508" s="154" t="str">
        <f t="shared" si="152"/>
        <v/>
      </c>
      <c r="BH508" s="270">
        <f t="shared" si="124"/>
        <v>-5.7999999999999476E-2</v>
      </c>
      <c r="BI508" s="270">
        <f t="shared" si="112"/>
        <v>-0.13000000000000078</v>
      </c>
      <c r="BK508" s="274">
        <f t="shared" ref="BK508:BK548" si="189">MROUND(B508*365,5)</f>
        <v>2455</v>
      </c>
    </row>
    <row r="509" spans="1:63">
      <c r="A509" s="266">
        <v>44531</v>
      </c>
      <c r="B509" s="290">
        <f>E509/(1-'NASS Crush'!E84)</f>
        <v>6.7380217209572493</v>
      </c>
      <c r="C509" s="277">
        <f t="shared" si="174"/>
        <v>0.39342444444444502</v>
      </c>
      <c r="D509" s="276">
        <f>'NASS Crush'!C84-'NOPA Crush'!G509</f>
        <v>11.80273333333335</v>
      </c>
      <c r="E509" s="290">
        <f t="shared" si="137"/>
        <v>6.3114612903225815</v>
      </c>
      <c r="F509" s="277">
        <f t="shared" si="183"/>
        <v>195.65530000000004</v>
      </c>
      <c r="G509" s="277">
        <v>186.43799999999999</v>
      </c>
      <c r="H509" s="281">
        <f t="shared" si="184"/>
        <v>0.95289010826693654</v>
      </c>
      <c r="I509" s="202">
        <v>4357.42</v>
      </c>
      <c r="J509" s="270">
        <v>46.74</v>
      </c>
      <c r="K509" s="270">
        <f>'NASS Crush'!K84-'NOPA Crush'!J509</f>
        <v>-3.363524684298369E-2</v>
      </c>
      <c r="L509" s="202"/>
      <c r="M509" s="277"/>
      <c r="N509" s="202">
        <v>2191.5529999999999</v>
      </c>
      <c r="O509" s="270">
        <v>11.75</v>
      </c>
      <c r="P509" s="270">
        <f>'NASS Crush'!W84-'NOPA Crush'!O509</f>
        <v>-2.5956404519623888E-2</v>
      </c>
      <c r="Q509" s="202">
        <v>2031.413</v>
      </c>
      <c r="R509" s="199">
        <f t="shared" ref="R509" si="190">Q509/(Q509+S509)</f>
        <v>0.82380486404305786</v>
      </c>
      <c r="S509" s="202">
        <f>'NASS Crush'!P84+'NASS Crush'!T84-'NOPA Crush'!Q509</f>
        <v>434.47800000000007</v>
      </c>
      <c r="T509" s="301">
        <f>R509+'NASS Crush'!V84</f>
        <v>1.037684562558328</v>
      </c>
      <c r="U509" s="302">
        <f>'[1]Soy Complex'!$BK485-Q509</f>
        <v>434.47800000000007</v>
      </c>
      <c r="V509" s="202">
        <v>21.966000000000001</v>
      </c>
      <c r="W509" s="202">
        <v>44.798000000000002</v>
      </c>
      <c r="X509" s="202">
        <v>21.536999999999999</v>
      </c>
      <c r="Y509" s="202">
        <v>37.869999999999997</v>
      </c>
      <c r="AB509" s="202">
        <v>38.302</v>
      </c>
      <c r="AC509" s="202">
        <v>21.963999999999999</v>
      </c>
      <c r="AD509" s="303">
        <v>186.43799999999999</v>
      </c>
      <c r="AE509" s="278">
        <f t="shared" si="178"/>
        <v>186.43700000000001</v>
      </c>
      <c r="AF509" s="278">
        <f t="shared" ref="AF509" si="191">AE509-AD509</f>
        <v>-9.9999999997635314E-4</v>
      </c>
      <c r="AG509" s="278">
        <f t="shared" ref="AG509" si="192">AE509-G509</f>
        <v>-9.9999999997635314E-4</v>
      </c>
      <c r="AH509" s="202">
        <f t="shared" ref="AH509" si="193">AB509-AB508</f>
        <v>0.57800000000000296</v>
      </c>
      <c r="AI509" s="202">
        <f t="shared" si="111"/>
        <v>58.49</v>
      </c>
      <c r="BB509" s="203">
        <f>'NASS Crush'!C84/'NOPA Crush'!G509</f>
        <v>1.0633064790082136</v>
      </c>
      <c r="BE509" s="274">
        <f t="shared" si="121"/>
        <v>6.0141290322580643</v>
      </c>
      <c r="BF509" s="280">
        <f t="shared" si="151"/>
        <v>183.15899999999999</v>
      </c>
      <c r="BG509" s="154" t="str">
        <f t="shared" si="152"/>
        <v>RECORD</v>
      </c>
      <c r="BH509" s="270">
        <f t="shared" si="124"/>
        <v>2.9999999999999361E-2</v>
      </c>
      <c r="BI509" s="270">
        <f t="shared" si="112"/>
        <v>-9.9999999999997868E-3</v>
      </c>
      <c r="BK509" s="274">
        <f t="shared" si="189"/>
        <v>2460</v>
      </c>
    </row>
    <row r="510" spans="1:63">
      <c r="A510" s="266">
        <v>44562</v>
      </c>
      <c r="B510" s="290">
        <f>E510/(1-'NASS Crush'!E85)</f>
        <v>6.7597122943367367</v>
      </c>
      <c r="C510" s="277">
        <f>D510/(A510-A509)</f>
        <v>0.38977849462365599</v>
      </c>
      <c r="D510" s="276">
        <f>'NASS Crush'!C85-'NOPA Crush'!G510</f>
        <v>12.083133333333336</v>
      </c>
      <c r="E510" s="290">
        <f t="shared" si="137"/>
        <v>6.3114612903225815</v>
      </c>
      <c r="F510" s="277">
        <f t="shared" si="183"/>
        <v>195.65530000000004</v>
      </c>
      <c r="G510" s="277">
        <v>182.21600000000001</v>
      </c>
      <c r="H510" s="281">
        <f t="shared" si="184"/>
        <v>0.93131134193655873</v>
      </c>
      <c r="I510" s="202">
        <v>4270.7060000000001</v>
      </c>
      <c r="J510" s="270">
        <v>46.88</v>
      </c>
      <c r="K510" s="270">
        <f>'NASS Crush'!K85-'NOPA Crush'!J510</f>
        <v>-0.21841255768168111</v>
      </c>
      <c r="L510" s="202"/>
      <c r="M510" s="277"/>
      <c r="N510" s="202">
        <v>2151.4229999999998</v>
      </c>
      <c r="O510" s="270">
        <v>11.81</v>
      </c>
      <c r="P510" s="270">
        <f>'NASS Crush'!W85-'NOPA Crush'!O510</f>
        <v>-8.912939738623038E-2</v>
      </c>
      <c r="Q510" s="202">
        <v>2026.057</v>
      </c>
      <c r="R510" s="199">
        <f t="shared" ref="R510" si="194">Q510/(Q510+S510)</f>
        <v>0.81044743760210314</v>
      </c>
      <c r="S510" s="202">
        <f>'NASS Crush'!P85+'NASS Crush'!T85-'NOPA Crush'!Q510</f>
        <v>473.86699999999996</v>
      </c>
      <c r="T510" s="301">
        <f>R510+'NASS Crush'!V85</f>
        <v>1.0443337497838434</v>
      </c>
      <c r="U510" s="302">
        <f>'[1]Soy Complex'!$BK486-Q510</f>
        <v>473.86699999999996</v>
      </c>
      <c r="V510" s="202">
        <v>21.696000000000002</v>
      </c>
      <c r="W510" s="202">
        <v>44.881</v>
      </c>
      <c r="X510" s="202">
        <v>21.061</v>
      </c>
      <c r="Y510" s="202">
        <v>38.152999999999999</v>
      </c>
      <c r="AB510" s="202">
        <v>35.731999999999999</v>
      </c>
      <c r="AC510" s="202">
        <v>20.693999999999999</v>
      </c>
      <c r="AD510" s="303">
        <v>182.21600000000001</v>
      </c>
      <c r="AE510" s="278">
        <f t="shared" ref="AE510" si="195">SUM(V510:AC510)</f>
        <v>182.21699999999998</v>
      </c>
      <c r="AF510" s="278">
        <f t="shared" ref="AF510" si="196">AE510-AD510</f>
        <v>9.9999999997635314E-4</v>
      </c>
      <c r="AG510" s="278">
        <f t="shared" ref="AG510" si="197">AE510-G510</f>
        <v>9.9999999997635314E-4</v>
      </c>
      <c r="AH510" s="202">
        <f t="shared" ref="AH510" si="198">AB510-AB509</f>
        <v>-2.5700000000000003</v>
      </c>
      <c r="AI510" s="202">
        <f t="shared" si="111"/>
        <v>58.690000000000005</v>
      </c>
      <c r="BB510" s="203">
        <f>'NASS Crush'!C85/'NOPA Crush'!G510</f>
        <v>1.0663121423658368</v>
      </c>
      <c r="BE510" s="274">
        <f t="shared" si="121"/>
        <v>5.8779354838709681</v>
      </c>
      <c r="BF510" s="280">
        <f t="shared" si="151"/>
        <v>184.654</v>
      </c>
      <c r="BG510" s="154" t="str">
        <f t="shared" si="152"/>
        <v/>
      </c>
      <c r="BH510" s="270">
        <f t="shared" si="124"/>
        <v>1.6000000000000014E-2</v>
      </c>
      <c r="BI510" s="270">
        <f t="shared" si="112"/>
        <v>6.0000000000000497E-2</v>
      </c>
      <c r="BK510" s="274">
        <f t="shared" si="189"/>
        <v>2465</v>
      </c>
    </row>
    <row r="511" spans="1:63">
      <c r="A511" s="266">
        <v>44593</v>
      </c>
      <c r="B511" s="290">
        <f>E511/(1-'NASS Crush'!E86)</f>
        <v>6.6908042779799635</v>
      </c>
      <c r="C511" s="277">
        <f t="shared" ref="C511" si="199">D511/(A511-A510)</f>
        <v>0.30187419354838824</v>
      </c>
      <c r="D511" s="276">
        <f>'NASS Crush'!C86-'NOPA Crush'!G511</f>
        <v>9.3581000000000358</v>
      </c>
      <c r="E511" s="290">
        <f t="shared" si="137"/>
        <v>6.3114612903225815</v>
      </c>
      <c r="F511" s="277">
        <f t="shared" si="183"/>
        <v>176.72091612903228</v>
      </c>
      <c r="G511" s="277">
        <v>165.05699999999999</v>
      </c>
      <c r="H511" s="281">
        <f t="shared" si="184"/>
        <v>0.93399810059542743</v>
      </c>
      <c r="I511" s="202">
        <v>3877.7959999999998</v>
      </c>
      <c r="J511" s="270">
        <v>46.99</v>
      </c>
      <c r="K511" s="270">
        <f>'NASS Crush'!K86-'NOPA Crush'!J511</f>
        <v>-9.0906974224147064E-2</v>
      </c>
      <c r="L511" s="202"/>
      <c r="M511" s="277"/>
      <c r="N511" s="202">
        <v>1969.884</v>
      </c>
      <c r="O511" s="270">
        <v>11.93</v>
      </c>
      <c r="P511" s="270">
        <f>'NASS Crush'!W86-'NOPA Crush'!O511</f>
        <v>-9.5021262493901304E-2</v>
      </c>
      <c r="Q511" s="202">
        <v>2059.3330000000001</v>
      </c>
      <c r="R511" s="199">
        <f t="shared" ref="R511" si="200">Q511/(Q511+S511)</f>
        <v>0.80251252188626587</v>
      </c>
      <c r="S511" s="202">
        <f>'NASS Crush'!P86+'NASS Crush'!T86-'NOPA Crush'!Q511</f>
        <v>506.77399999999989</v>
      </c>
      <c r="T511" s="301">
        <f>R511+'NASS Crush'!V86</f>
        <v>1.0485989974586962</v>
      </c>
      <c r="U511" s="302">
        <f>'[1]Soy Complex'!$BK487-Q511</f>
        <v>506.77399999999989</v>
      </c>
      <c r="V511" s="202">
        <v>19.164000000000001</v>
      </c>
      <c r="W511" s="202">
        <v>39.201000000000001</v>
      </c>
      <c r="X511" s="202">
        <v>20.533999999999999</v>
      </c>
      <c r="Y511" s="202">
        <v>33.334000000000003</v>
      </c>
      <c r="AB511" s="202">
        <v>32.932000000000002</v>
      </c>
      <c r="AC511" s="202">
        <v>19.891999999999999</v>
      </c>
      <c r="AD511" s="303">
        <v>165.05699999999999</v>
      </c>
      <c r="AE511" s="278">
        <f t="shared" ref="AE511" si="201">SUM(V511:AC511)</f>
        <v>165.05700000000002</v>
      </c>
      <c r="AF511" s="278">
        <f t="shared" ref="AF511" si="202">AE511-AD511</f>
        <v>0</v>
      </c>
      <c r="AG511" s="278">
        <f t="shared" ref="AG511" si="203">AE511-G511</f>
        <v>0</v>
      </c>
      <c r="AH511" s="202">
        <f t="shared" ref="AH511" si="204">AB511-AB510</f>
        <v>-2.7999999999999972</v>
      </c>
      <c r="AI511" s="202">
        <f t="shared" si="111"/>
        <v>58.92</v>
      </c>
      <c r="BB511" s="203">
        <f>'NASS Crush'!C86/'NOPA Crush'!G511</f>
        <v>1.0566961716255598</v>
      </c>
      <c r="BE511" s="274">
        <f>G511/28</f>
        <v>5.8948928571428567</v>
      </c>
      <c r="BF511" s="280">
        <f t="shared" si="151"/>
        <v>166.28800000000001</v>
      </c>
      <c r="BG511" s="154" t="str">
        <f t="shared" si="152"/>
        <v/>
      </c>
      <c r="BH511" s="270">
        <f t="shared" si="124"/>
        <v>3.9999999999999151E-3</v>
      </c>
      <c r="BI511" s="270">
        <f t="shared" si="112"/>
        <v>0.11999999999999922</v>
      </c>
      <c r="BK511" s="274">
        <f t="shared" si="189"/>
        <v>2440</v>
      </c>
    </row>
    <row r="512" spans="1:63">
      <c r="A512" s="266">
        <v>44621</v>
      </c>
      <c r="B512" s="290">
        <f>E512/(1-'NASS Crush'!E87)</f>
        <v>6.7181327686068126</v>
      </c>
      <c r="C512" s="277">
        <f t="shared" si="116"/>
        <v>0.37167738095238029</v>
      </c>
      <c r="D512" s="276">
        <f>'NASS Crush'!C87-'NOPA Crush'!G512</f>
        <v>10.406966666666648</v>
      </c>
      <c r="E512" s="290">
        <f>E511+0.0235</f>
        <v>6.3349612903225818</v>
      </c>
      <c r="F512" s="277">
        <f t="shared" si="183"/>
        <v>196.38380000000004</v>
      </c>
      <c r="G512" s="277">
        <v>182.465</v>
      </c>
      <c r="H512" s="281">
        <f t="shared" si="184"/>
        <v>0.92912450008605585</v>
      </c>
      <c r="I512" s="202">
        <v>4310.1360000000004</v>
      </c>
      <c r="J512" s="270">
        <v>47.24</v>
      </c>
      <c r="K512" s="270">
        <f>'NASS Crush'!K87-'NOPA Crush'!J512</f>
        <v>-6.2267760011430084E-2</v>
      </c>
      <c r="L512" s="202"/>
      <c r="M512" s="277"/>
      <c r="N512" s="202">
        <v>2157.4639269999998</v>
      </c>
      <c r="O512" s="270">
        <v>11.82</v>
      </c>
      <c r="P512" s="270">
        <f>'NASS Crush'!W87-'NOPA Crush'!O512</f>
        <v>-1.1435803959066959E-2</v>
      </c>
      <c r="Q512" s="202">
        <v>1907.623</v>
      </c>
      <c r="R512" s="199">
        <f t="shared" ref="R512" si="205">Q512/(Q512+S512)</f>
        <v>0.78383074785164086</v>
      </c>
      <c r="S512" s="202">
        <f>'NASS Crush'!P87+'NASS Crush'!T87-'NOPA Crush'!Q512</f>
        <v>526.09500000000025</v>
      </c>
      <c r="T512" s="301">
        <f>R512+'NASS Crush'!V87</f>
        <v>1.059616372160008</v>
      </c>
      <c r="U512" s="302">
        <f>'[1]Soy Complex'!$BK488-Q512</f>
        <v>526.09500000000025</v>
      </c>
      <c r="V512" s="202">
        <v>21.419</v>
      </c>
      <c r="W512" s="202">
        <v>43.624000000000002</v>
      </c>
      <c r="X512" s="202">
        <v>20.907</v>
      </c>
      <c r="Y512" s="202">
        <v>36.883000000000003</v>
      </c>
      <c r="AB512" s="202">
        <v>37.637999999999998</v>
      </c>
      <c r="AC512" s="202">
        <v>21.288</v>
      </c>
      <c r="AD512" s="303">
        <v>181.75899999999999</v>
      </c>
      <c r="AE512" s="278">
        <f t="shared" ref="AE512" si="206">SUM(V512:AC512)</f>
        <v>181.75900000000001</v>
      </c>
      <c r="AF512" s="278">
        <f t="shared" ref="AF512" si="207">AE512-AD512</f>
        <v>0</v>
      </c>
      <c r="AG512" s="278">
        <f t="shared" ref="AG512" si="208">AE512-G512</f>
        <v>-0.70599999999998886</v>
      </c>
      <c r="AH512" s="202">
        <f t="shared" ref="AH512" si="209">AB512-AB511</f>
        <v>4.705999999999996</v>
      </c>
      <c r="AI512" s="202">
        <f t="shared" si="111"/>
        <v>59.06</v>
      </c>
      <c r="BB512" s="203">
        <f>'NASS Crush'!C87/'NOPA Crush'!G512</f>
        <v>1.0570354131842636</v>
      </c>
      <c r="BE512" s="274">
        <f t="shared" si="121"/>
        <v>5.8859677419354837</v>
      </c>
      <c r="BF512" s="280">
        <f t="shared" si="151"/>
        <v>181.374</v>
      </c>
      <c r="BG512" s="154" t="str">
        <f t="shared" si="152"/>
        <v>RECORD</v>
      </c>
      <c r="BH512" s="270">
        <f t="shared" si="124"/>
        <v>6.0000000000000143E-2</v>
      </c>
      <c r="BI512" s="270">
        <f t="shared" si="112"/>
        <v>-0.10999999999999943</v>
      </c>
      <c r="BK512" s="274">
        <f t="shared" si="189"/>
        <v>2450</v>
      </c>
    </row>
    <row r="513" spans="1:64">
      <c r="A513" s="266">
        <v>44652</v>
      </c>
      <c r="B513" s="290">
        <f>E513/(1-'NASS Crush'!E88)</f>
        <v>6.7781853398247272</v>
      </c>
      <c r="C513" s="277">
        <f t="shared" si="116"/>
        <v>0.35814193548387152</v>
      </c>
      <c r="D513" s="276">
        <f>'NASS Crush'!C88-'NOPA Crush'!G513</f>
        <v>11.102400000000017</v>
      </c>
      <c r="E513" s="290">
        <f t="shared" si="137"/>
        <v>6.3349612903225818</v>
      </c>
      <c r="F513" s="277">
        <f t="shared" si="183"/>
        <v>190.04883870967745</v>
      </c>
      <c r="G513" s="277">
        <v>169.78800000000001</v>
      </c>
      <c r="H513" s="281">
        <f t="shared" si="184"/>
        <v>0.89339141008576051</v>
      </c>
      <c r="I513" s="202">
        <v>3995.596</v>
      </c>
      <c r="J513" s="270">
        <v>47.07</v>
      </c>
      <c r="K513" s="270">
        <f>'NASS Crush'!K88-'NOPA Crush'!J513</f>
        <v>-2.9969130479017281E-2</v>
      </c>
      <c r="L513" s="202"/>
      <c r="M513" s="277"/>
      <c r="N513" s="202">
        <v>2017.394</v>
      </c>
      <c r="O513" s="270">
        <v>11.88</v>
      </c>
      <c r="P513" s="270">
        <f>'NASS Crush'!W88-'NOPA Crush'!O513</f>
        <v>-3.2395041417347059E-2</v>
      </c>
      <c r="Q513" s="202">
        <v>1814.1980000000001</v>
      </c>
      <c r="R513" s="199">
        <f t="shared" ref="R513:R515" si="210">Q513/(Q513+S513)</f>
        <v>0.7483722411426158</v>
      </c>
      <c r="S513" s="202">
        <f>'NASS Crush'!P88+'NASS Crush'!T88-'NOPA Crush'!Q513</f>
        <v>609.99399999999991</v>
      </c>
      <c r="T513" s="301">
        <f>R513+'NASS Crush'!V88</f>
        <v>1.0846056621914757</v>
      </c>
      <c r="U513" s="302">
        <f>'[1]Soy Complex'!$BK489-Q513</f>
        <v>609.99399999999991</v>
      </c>
      <c r="V513" s="202">
        <v>20.911000000000001</v>
      </c>
      <c r="W513" s="202">
        <v>41.902000000000001</v>
      </c>
      <c r="X513" s="202">
        <v>17.602</v>
      </c>
      <c r="Y513" s="202">
        <v>34.668999999999997</v>
      </c>
      <c r="AB513" s="202">
        <v>34.625</v>
      </c>
      <c r="AC513" s="202">
        <v>20.077999999999999</v>
      </c>
      <c r="AD513" s="303">
        <v>169.78800000000001</v>
      </c>
      <c r="AE513" s="278">
        <f t="shared" ref="AE513" si="211">SUM(V513:AC513)</f>
        <v>169.78700000000001</v>
      </c>
      <c r="AF513" s="278">
        <f t="shared" ref="AF513" si="212">AE513-AD513</f>
        <v>-1.0000000000047748E-3</v>
      </c>
      <c r="AG513" s="278">
        <f t="shared" ref="AG513" si="213">AE513-G513</f>
        <v>-1.0000000000047748E-3</v>
      </c>
      <c r="AH513" s="202">
        <f t="shared" ref="AH513" si="214">AB513-AB512</f>
        <v>-3.0129999999999981</v>
      </c>
      <c r="AI513" s="202">
        <f t="shared" si="111"/>
        <v>58.95</v>
      </c>
      <c r="BB513" s="203">
        <f>'NASS Crush'!C88/'NOPA Crush'!G513</f>
        <v>1.0653897801964805</v>
      </c>
      <c r="BE513" s="274">
        <f>G513/30</f>
        <v>5.6596000000000002</v>
      </c>
      <c r="BF513" s="280">
        <f t="shared" si="151"/>
        <v>171.75399999999999</v>
      </c>
      <c r="BG513" s="154" t="str">
        <f t="shared" si="152"/>
        <v/>
      </c>
      <c r="BH513" s="270">
        <f t="shared" si="124"/>
        <v>-1.8000000000000328E-2</v>
      </c>
      <c r="BI513" s="270">
        <f t="shared" si="112"/>
        <v>6.0000000000000497E-2</v>
      </c>
      <c r="BK513" s="274">
        <f t="shared" si="189"/>
        <v>2475</v>
      </c>
    </row>
    <row r="514" spans="1:64">
      <c r="A514" s="266">
        <v>44682</v>
      </c>
      <c r="B514" s="290">
        <f>E514/(1-'NASS Crush'!E89)</f>
        <v>6.7210861030242093</v>
      </c>
      <c r="C514" s="277">
        <f t="shared" si="116"/>
        <v>0.32761111111111063</v>
      </c>
      <c r="D514" s="276">
        <f>'NASS Crush'!C89-'NOPA Crush'!G514</f>
        <v>9.8283333333333189</v>
      </c>
      <c r="E514" s="290">
        <f t="shared" si="137"/>
        <v>6.3349612903225818</v>
      </c>
      <c r="F514" s="277">
        <f t="shared" si="183"/>
        <v>196.38380000000004</v>
      </c>
      <c r="G514" s="277">
        <v>171.077</v>
      </c>
      <c r="H514" s="281">
        <f t="shared" si="184"/>
        <v>0.87113601020043385</v>
      </c>
      <c r="I514" s="202">
        <v>4031.3380000000002</v>
      </c>
      <c r="J514" s="270">
        <v>47.33</v>
      </c>
      <c r="K514" s="270">
        <f>'NASS Crush'!K89-'NOPA Crush'!J514</f>
        <v>-0.23256045519202928</v>
      </c>
      <c r="L514" s="202"/>
      <c r="M514" s="277"/>
      <c r="N514" s="202">
        <v>2053.4029999999998</v>
      </c>
      <c r="O514" s="270">
        <v>12</v>
      </c>
      <c r="P514" s="270">
        <f>'NASS Crush'!W89-'NOPA Crush'!O514</f>
        <v>-6.6830533833533323E-2</v>
      </c>
      <c r="Q514" s="202">
        <v>1908</v>
      </c>
      <c r="R514" s="199">
        <f t="shared" si="210"/>
        <v>0.80021036977016602</v>
      </c>
      <c r="S514" s="202">
        <f>'NASS Crush'!P89+'NASS Crush'!T89-'NOPA Crush'!Q514</f>
        <v>476.37300000000005</v>
      </c>
      <c r="T514" s="301">
        <f>R514+'NASS Crush'!V89</f>
        <v>1.049881753417965</v>
      </c>
      <c r="U514" s="302">
        <f>'[1]Soy Complex'!$BK490-Q514</f>
        <v>476.37300000000005</v>
      </c>
      <c r="V514" s="202">
        <v>19.888000000000002</v>
      </c>
      <c r="W514" s="202">
        <v>38.613</v>
      </c>
      <c r="X514" s="202">
        <v>21.526</v>
      </c>
      <c r="Y514" s="202">
        <v>35.817</v>
      </c>
      <c r="AB514" s="202">
        <v>33.631</v>
      </c>
      <c r="AC514" s="202">
        <v>21.603000000000002</v>
      </c>
      <c r="AD514" s="303">
        <v>171.077</v>
      </c>
      <c r="AE514" s="278">
        <f t="shared" ref="AE514" si="215">SUM(V514:AC514)</f>
        <v>171.078</v>
      </c>
      <c r="AF514" s="278">
        <f t="shared" ref="AF514" si="216">AE514-AD514</f>
        <v>1.0000000000047748E-3</v>
      </c>
      <c r="AG514" s="278">
        <f t="shared" ref="AG514" si="217">AE514-G514</f>
        <v>1.0000000000047748E-3</v>
      </c>
      <c r="AH514" s="202">
        <f t="shared" ref="AH514" si="218">AB514-AB513</f>
        <v>-0.99399999999999977</v>
      </c>
      <c r="AI514" s="202">
        <f t="shared" si="111"/>
        <v>59.33</v>
      </c>
      <c r="BB514" s="203">
        <f>'NASS Crush'!C89/'NOPA Crush'!G514</f>
        <v>1.0574497643361371</v>
      </c>
      <c r="BE514" s="274">
        <f t="shared" si="121"/>
        <v>5.5186129032258062</v>
      </c>
      <c r="BF514" s="280">
        <f t="shared" si="151"/>
        <v>169.584</v>
      </c>
      <c r="BG514" s="154" t="str">
        <f t="shared" si="152"/>
        <v>RECORD</v>
      </c>
      <c r="BH514" s="270">
        <f t="shared" si="124"/>
        <v>2.4000000000000198E-2</v>
      </c>
      <c r="BI514" s="270">
        <f t="shared" si="112"/>
        <v>0.11999999999999922</v>
      </c>
      <c r="BK514" s="274">
        <f t="shared" si="189"/>
        <v>2455</v>
      </c>
    </row>
    <row r="515" spans="1:64">
      <c r="A515" s="266">
        <v>44713</v>
      </c>
      <c r="B515" s="290">
        <f>E515/(1-'NASS Crush'!E90)</f>
        <v>6.7186078020117517</v>
      </c>
      <c r="C515" s="277">
        <f t="shared" si="116"/>
        <v>0.30333548387096793</v>
      </c>
      <c r="D515" s="276">
        <f>'NASS Crush'!C90-'NOPA Crush'!G515</f>
        <v>9.4034000000000049</v>
      </c>
      <c r="E515" s="290">
        <f t="shared" si="137"/>
        <v>6.3349612903225818</v>
      </c>
      <c r="F515" s="277">
        <f t="shared" si="183"/>
        <v>190.04883870967745</v>
      </c>
      <c r="G515" s="277">
        <v>164.67699999999999</v>
      </c>
      <c r="H515" s="281">
        <f t="shared" si="184"/>
        <v>0.86649832284197215</v>
      </c>
      <c r="I515" s="202">
        <v>3874.11</v>
      </c>
      <c r="J515" s="270">
        <v>47.05</v>
      </c>
      <c r="K515" s="270">
        <f>'NASS Crush'!K90-'NOPA Crush'!J515</f>
        <v>0.13009609352920393</v>
      </c>
      <c r="L515" s="202"/>
      <c r="M515" s="277"/>
      <c r="N515" s="202">
        <v>1969.675</v>
      </c>
      <c r="O515" s="270">
        <v>11.96</v>
      </c>
      <c r="P515" s="270">
        <f>'NASS Crush'!W90-'NOPA Crush'!O515</f>
        <v>-7.7111403696223491E-2</v>
      </c>
      <c r="Q515" s="202">
        <v>1766.8320000000001</v>
      </c>
      <c r="R515" s="199">
        <f t="shared" si="210"/>
        <v>0.76304424436321427</v>
      </c>
      <c r="S515" s="202">
        <f>'NASS Crush'!P90+'NASS Crush'!T90-'NOPA Crush'!Q515</f>
        <v>548.6719999999998</v>
      </c>
      <c r="T515" s="301">
        <f>R515+'NASS Crush'!V90</f>
        <v>1.0735842391108754</v>
      </c>
      <c r="U515" s="302">
        <f>'[1]Soy Complex'!$BK491-Q515</f>
        <v>548.6719999999998</v>
      </c>
      <c r="V515" s="202">
        <v>17.266999999999999</v>
      </c>
      <c r="W515" s="202">
        <v>39.807000000000002</v>
      </c>
      <c r="X515" s="202">
        <v>19.170999999999999</v>
      </c>
      <c r="Y515" s="202">
        <v>33.843000000000004</v>
      </c>
      <c r="AB515" s="202">
        <v>32.64</v>
      </c>
      <c r="AC515" s="202">
        <v>21.948</v>
      </c>
      <c r="AD515" s="303">
        <v>164.67699999999999</v>
      </c>
      <c r="AE515" s="278">
        <f t="shared" ref="AE515" si="219">SUM(V515:AC515)</f>
        <v>164.67600000000002</v>
      </c>
      <c r="AF515" s="278">
        <f t="shared" ref="AF515" si="220">AE515-AD515</f>
        <v>-9.9999999997635314E-4</v>
      </c>
      <c r="AG515" s="278">
        <f t="shared" ref="AG515" si="221">AE515-G515</f>
        <v>-9.9999999997635314E-4</v>
      </c>
      <c r="AH515" s="202">
        <f t="shared" ref="AH515" si="222">AB515-AB514</f>
        <v>-0.99099999999999966</v>
      </c>
      <c r="AI515" s="202">
        <f t="shared" ref="AI515:AI526" si="223">J515+O515</f>
        <v>59.01</v>
      </c>
      <c r="BB515" s="203">
        <f>'NASS Crush'!C90/'NOPA Crush'!G515</f>
        <v>1.0571020846869934</v>
      </c>
      <c r="BE515" s="274">
        <f>G515/30</f>
        <v>5.489233333333333</v>
      </c>
      <c r="BF515" s="280">
        <f t="shared" si="151"/>
        <v>167.26300000000001</v>
      </c>
      <c r="BG515" s="154" t="str">
        <f t="shared" si="152"/>
        <v/>
      </c>
      <c r="BH515" s="270">
        <f t="shared" si="124"/>
        <v>-1.9999999999999574E-2</v>
      </c>
      <c r="BI515" s="270">
        <f t="shared" si="112"/>
        <v>-3.9999999999999147E-2</v>
      </c>
      <c r="BK515" s="274">
        <f t="shared" si="189"/>
        <v>2450</v>
      </c>
    </row>
    <row r="516" spans="1:64">
      <c r="A516" s="266">
        <v>44743</v>
      </c>
      <c r="B516" s="290">
        <f>E516/(1-'NASS Crush'!E91)</f>
        <v>6.7799760501404807</v>
      </c>
      <c r="C516" s="277">
        <f t="shared" si="116"/>
        <v>0.37242222222222193</v>
      </c>
      <c r="D516" s="276">
        <f>'NASS Crush'!C91-'NOPA Crush'!G516</f>
        <v>11.172666666666657</v>
      </c>
      <c r="E516" s="290">
        <f t="shared" si="137"/>
        <v>6.3349612903225818</v>
      </c>
      <c r="F516" s="277">
        <f t="shared" si="183"/>
        <v>196.38380000000004</v>
      </c>
      <c r="G516" s="277">
        <v>170.22</v>
      </c>
      <c r="H516" s="281">
        <f t="shared" si="184"/>
        <v>0.8667721064568461</v>
      </c>
      <c r="I516" s="202">
        <v>3996.35</v>
      </c>
      <c r="J516" s="270">
        <v>46.96</v>
      </c>
      <c r="K516" s="270">
        <f>'NASS Crush'!K91-'NOPA Crush'!J516</f>
        <v>0.12327054750467425</v>
      </c>
      <c r="L516" s="202"/>
      <c r="M516" s="277"/>
      <c r="N516" s="202">
        <v>2036.6079999999999</v>
      </c>
      <c r="O516" s="270">
        <v>11.96</v>
      </c>
      <c r="P516" s="270">
        <f>'NASS Crush'!W91-'NOPA Crush'!O516</f>
        <v>2.6114984435228195E-3</v>
      </c>
      <c r="Q516" s="202">
        <v>1683.585</v>
      </c>
      <c r="R516" s="199">
        <f t="shared" ref="R516" si="224">Q516/(Q516+S516)</f>
        <v>0.74271636505125749</v>
      </c>
      <c r="S516" s="202">
        <f>'NASS Crush'!P91+'NASS Crush'!T91-'NOPA Crush'!Q516</f>
        <v>583.20899999999983</v>
      </c>
      <c r="T516" s="301">
        <f>R516+'NASS Crush'!V91</f>
        <v>1.0891253672697374</v>
      </c>
      <c r="U516" s="302">
        <f>'[1]Soy Complex'!$BK492-Q516</f>
        <v>583.20899999999983</v>
      </c>
      <c r="V516" s="202">
        <v>19.84</v>
      </c>
      <c r="W516" s="202">
        <v>38.405000000000001</v>
      </c>
      <c r="X516" s="202">
        <v>20.934000000000001</v>
      </c>
      <c r="Y516" s="202">
        <v>37.366999999999997</v>
      </c>
      <c r="AB516" s="202">
        <v>32.654000000000003</v>
      </c>
      <c r="AC516" s="202">
        <v>21.02</v>
      </c>
      <c r="AD516" s="303">
        <v>170.22</v>
      </c>
      <c r="AE516" s="278">
        <f t="shared" ref="AE516" si="225">SUM(V516:AC516)</f>
        <v>170.22</v>
      </c>
      <c r="AF516" s="278">
        <f t="shared" ref="AF516" si="226">AE516-AD516</f>
        <v>0</v>
      </c>
      <c r="AG516" s="278">
        <f t="shared" ref="AG516" si="227">AE516-G516</f>
        <v>0</v>
      </c>
      <c r="AH516" s="202">
        <f t="shared" ref="AH516" si="228">AB516-AB515</f>
        <v>1.4000000000002899E-2</v>
      </c>
      <c r="AI516" s="202">
        <f t="shared" si="223"/>
        <v>58.92</v>
      </c>
      <c r="BB516" s="203">
        <f>'NASS Crush'!C91/'NOPA Crush'!G516</f>
        <v>1.0656366271100144</v>
      </c>
      <c r="BE516" s="274">
        <f t="shared" si="121"/>
        <v>5.4909677419354841</v>
      </c>
      <c r="BF516" s="280">
        <f t="shared" si="151"/>
        <v>172.79400000000001</v>
      </c>
      <c r="BG516" s="154" t="str">
        <f t="shared" si="152"/>
        <v/>
      </c>
      <c r="BH516" s="270">
        <f t="shared" si="124"/>
        <v>5.9999999999998718E-3</v>
      </c>
      <c r="BI516" s="270">
        <f t="shared" ref="BI516:BI521" si="229">O516-O515</f>
        <v>0</v>
      </c>
      <c r="BK516" s="274">
        <f t="shared" si="189"/>
        <v>2475</v>
      </c>
    </row>
    <row r="517" spans="1:64">
      <c r="A517" s="266">
        <v>44774</v>
      </c>
      <c r="B517" s="290">
        <f>E517/(1-'NASS Crush'!E92)</f>
        <v>6.7227742911981414</v>
      </c>
      <c r="C517" s="277">
        <f t="shared" si="116"/>
        <v>0.3080419354838706</v>
      </c>
      <c r="D517" s="276">
        <f>'NASS Crush'!C92-'NOPA Crush'!G517</f>
        <v>9.5492999999999881</v>
      </c>
      <c r="E517" s="290">
        <f t="shared" si="137"/>
        <v>6.3349612903225818</v>
      </c>
      <c r="F517" s="277">
        <f t="shared" si="183"/>
        <v>196.38380000000004</v>
      </c>
      <c r="G517" s="277">
        <v>165.53800000000001</v>
      </c>
      <c r="H517" s="281">
        <f t="shared" si="184"/>
        <v>0.84293103606305597</v>
      </c>
      <c r="I517" s="202">
        <v>3917.8670000000002</v>
      </c>
      <c r="J517" s="270">
        <v>47.33</v>
      </c>
      <c r="K517" s="270">
        <f>'NASS Crush'!K92-'NOPA Crush'!J517</f>
        <v>4.3361745826224762E-2</v>
      </c>
      <c r="L517" s="202"/>
      <c r="M517" s="277"/>
      <c r="N517" s="202">
        <v>1983.4670000000001</v>
      </c>
      <c r="O517" s="270">
        <v>11.98</v>
      </c>
      <c r="P517" s="270">
        <f>'NASS Crush'!W92-'NOPA Crush'!O517</f>
        <v>-1.1222138898709488E-2</v>
      </c>
      <c r="Q517" s="202">
        <v>1564.73</v>
      </c>
      <c r="R517" s="199">
        <f t="shared" ref="R517" si="230">Q517/(Q517+S517)</f>
        <v>0.74379442442956822</v>
      </c>
      <c r="S517" s="202">
        <f>'NASS Crush'!P92+'NASS Crush'!T92-'NOPA Crush'!Q517</f>
        <v>538.98299999999972</v>
      </c>
      <c r="T517" s="301">
        <f>R517+'NASS Crush'!V92</f>
        <v>1.0882519346709516</v>
      </c>
      <c r="U517" s="302">
        <f>'[1]Soy Complex'!$BK493-Q517</f>
        <v>538.98299999999972</v>
      </c>
      <c r="V517" s="202">
        <v>16.670000000000002</v>
      </c>
      <c r="W517" s="202">
        <v>37.777999999999999</v>
      </c>
      <c r="X517" s="202">
        <v>20.396999999999998</v>
      </c>
      <c r="Y517" s="202">
        <v>35.213000000000001</v>
      </c>
      <c r="AB517" s="202">
        <v>37.488</v>
      </c>
      <c r="AC517" s="202">
        <v>17.991</v>
      </c>
      <c r="AD517" s="303">
        <v>165.53800000000001</v>
      </c>
      <c r="AE517" s="278">
        <f t="shared" ref="AE517" si="231">SUM(V517:AC517)</f>
        <v>165.53699999999998</v>
      </c>
      <c r="AF517" s="278">
        <f t="shared" ref="AF517" si="232">AE517-AD517</f>
        <v>-1.0000000000331966E-3</v>
      </c>
      <c r="AG517" s="278">
        <f t="shared" ref="AG517" si="233">AE517-G517</f>
        <v>-1.0000000000331966E-3</v>
      </c>
      <c r="AH517" s="202">
        <f t="shared" ref="AH517" si="234">AB517-AB516</f>
        <v>4.8339999999999961</v>
      </c>
      <c r="AI517" s="202">
        <f t="shared" si="223"/>
        <v>59.31</v>
      </c>
      <c r="BB517" s="203">
        <f>'NASS Crush'!C92/'NOPA Crush'!G517</f>
        <v>1.0576864526573959</v>
      </c>
      <c r="BE517" s="274">
        <f t="shared" si="121"/>
        <v>5.3399354838709678</v>
      </c>
      <c r="BF517" s="280">
        <f t="shared" si="151"/>
        <v>168.08500000000001</v>
      </c>
      <c r="BG517" s="154" t="str">
        <f t="shared" si="152"/>
        <v/>
      </c>
      <c r="BH517" s="270">
        <f t="shared" si="124"/>
        <v>7.9999999999998302E-3</v>
      </c>
      <c r="BI517" s="270">
        <f t="shared" si="229"/>
        <v>1.9999999999999574E-2</v>
      </c>
      <c r="BK517" s="274">
        <f t="shared" si="189"/>
        <v>2455</v>
      </c>
    </row>
    <row r="518" spans="1:64">
      <c r="A518" s="266">
        <v>44805</v>
      </c>
      <c r="B518" s="290">
        <f>E518/(1-'NASS Crush'!E93)</f>
        <v>6.8277308655539262</v>
      </c>
      <c r="C518" s="277">
        <f t="shared" si="116"/>
        <v>0.30646989247311796</v>
      </c>
      <c r="D518" s="276">
        <f>'NASS Crush'!C93-'NOPA Crush'!G518</f>
        <v>9.5005666666666571</v>
      </c>
      <c r="E518" s="290">
        <f>E517+0.0825</f>
        <v>6.4174612903225814</v>
      </c>
      <c r="F518" s="277">
        <f t="shared" si="183"/>
        <v>192.52383870967745</v>
      </c>
      <c r="G518" s="277">
        <v>158.10900000000001</v>
      </c>
      <c r="H518" s="281">
        <f t="shared" si="184"/>
        <v>0.82124375381079739</v>
      </c>
      <c r="I518" s="202">
        <v>3703.2</v>
      </c>
      <c r="J518" s="270">
        <v>46.84</v>
      </c>
      <c r="K518" s="270">
        <f>'NASS Crush'!K93-'NOPA Crush'!J518</f>
        <v>-4.4991624384280726E-3</v>
      </c>
      <c r="L518" s="202"/>
      <c r="M518" s="277"/>
      <c r="N518" s="202">
        <v>1877.154</v>
      </c>
      <c r="O518" s="270">
        <v>11.87</v>
      </c>
      <c r="P518" s="270">
        <f>'NASS Crush'!W93-'NOPA Crush'!O518</f>
        <v>2.0514602686759531E-2</v>
      </c>
      <c r="Q518" s="202">
        <v>1459.259</v>
      </c>
      <c r="R518" s="199">
        <f t="shared" ref="R518" si="235">Q518/(Q518+S518)</f>
        <v>0.73287319676889906</v>
      </c>
      <c r="S518" s="202">
        <f>'NASS Crush'!P93+'NASS Crush'!T93-'NOPA Crush'!Q518</f>
        <v>531.88900000000012</v>
      </c>
      <c r="T518" s="301">
        <f>R518+'NASS Crush'!V93</f>
        <v>1.0973657234553886</v>
      </c>
      <c r="U518" s="302">
        <f>'[1]Soy Complex'!$BK494-Q518</f>
        <v>531.88900000000012</v>
      </c>
      <c r="V518" s="202">
        <v>14.772</v>
      </c>
      <c r="W518" s="202">
        <v>40.142000000000003</v>
      </c>
      <c r="X518" s="202">
        <v>18.847999999999999</v>
      </c>
      <c r="Y518" s="202">
        <v>29.227</v>
      </c>
      <c r="AB518" s="202">
        <v>34.963999999999999</v>
      </c>
      <c r="AC518" s="202">
        <v>20.155999999999999</v>
      </c>
      <c r="AD518" s="303">
        <v>158.10900000000001</v>
      </c>
      <c r="AE518" s="278">
        <f t="shared" ref="AE518" si="236">SUM(V518:AC518)</f>
        <v>158.10900000000001</v>
      </c>
      <c r="AF518" s="278">
        <f t="shared" ref="AF518" si="237">AE518-AD518</f>
        <v>0</v>
      </c>
      <c r="AG518" s="278">
        <f t="shared" ref="AG518" si="238">AE518-G518</f>
        <v>0</v>
      </c>
      <c r="AH518" s="202">
        <f t="shared" ref="AH518" si="239">AB518-AB517</f>
        <v>-2.5240000000000009</v>
      </c>
      <c r="AI518" s="202">
        <f t="shared" si="223"/>
        <v>58.71</v>
      </c>
      <c r="BB518" s="203">
        <f>'NASS Crush'!C93/'NOPA Crush'!G518</f>
        <v>1.060088715169071</v>
      </c>
      <c r="BE518" s="274">
        <f>G518/30</f>
        <v>5.2703000000000007</v>
      </c>
      <c r="BF518" s="280">
        <f t="shared" si="151"/>
        <v>161.49100000000001</v>
      </c>
      <c r="BG518" s="154" t="str">
        <f t="shared" si="152"/>
        <v/>
      </c>
      <c r="BH518" s="270">
        <f t="shared" si="124"/>
        <v>3.3999999999999628E-2</v>
      </c>
      <c r="BI518" s="270">
        <f t="shared" si="229"/>
        <v>-0.11000000000000121</v>
      </c>
      <c r="BK518" s="274">
        <f t="shared" si="189"/>
        <v>2490</v>
      </c>
      <c r="BL518" s="280">
        <f t="shared" ref="BL518:BL529" si="240">AVERAGE(G506,G494,G482,G470,G458)</f>
        <v>153.01100000000002</v>
      </c>
    </row>
    <row r="519" spans="1:64">
      <c r="A519" s="266">
        <v>44835</v>
      </c>
      <c r="B519" s="290">
        <f>E519/(1-'NASS Crush'!E94)</f>
        <v>6.9198400710316506</v>
      </c>
      <c r="C519" s="277">
        <f t="shared" ref="C519" si="241">D519/(A519-A518)</f>
        <v>0.40641555555555631</v>
      </c>
      <c r="D519" s="276">
        <f>'NASS Crush'!C94-'NOPA Crush'!G519</f>
        <v>12.192466666666689</v>
      </c>
      <c r="E519" s="290">
        <f>E518+0.01+0.035</f>
        <v>6.4624612903225813</v>
      </c>
      <c r="F519" s="277">
        <f t="shared" si="183"/>
        <v>200.33630000000002</v>
      </c>
      <c r="G519" s="277">
        <v>184.464</v>
      </c>
      <c r="H519" s="281">
        <f t="shared" si="184"/>
        <v>0.92077172234887028</v>
      </c>
      <c r="I519" s="202">
        <v>4304.7820000000002</v>
      </c>
      <c r="J519" s="270">
        <v>46.67</v>
      </c>
      <c r="K519" s="270">
        <f>'NASS Crush'!K94-'NOPA Crush'!J519</f>
        <v>0.14662472663835757</v>
      </c>
      <c r="L519" s="202"/>
      <c r="M519" s="277"/>
      <c r="N519" s="202">
        <v>2198.13</v>
      </c>
      <c r="O519" s="270">
        <v>11.92</v>
      </c>
      <c r="P519" s="270">
        <f>'NASS Crush'!W94-'NOPA Crush'!O519</f>
        <v>-3.0815577892685297E-2</v>
      </c>
      <c r="Q519" s="202">
        <v>1527.722</v>
      </c>
      <c r="R519" s="199">
        <f t="shared" ref="R519:R523" si="242">Q519/(Q519+S519)</f>
        <v>0.72970253001614904</v>
      </c>
      <c r="S519" s="202">
        <f>'NASS Crush'!P94+'NASS Crush'!T94-'NOPA Crush'!Q519</f>
        <v>565.90100000000007</v>
      </c>
      <c r="T519" s="301">
        <f>R519+'NASS Crush'!V94</f>
        <v>1.1001239810393064</v>
      </c>
      <c r="U519" s="302">
        <f>'[1]Soy Complex'!$BL483-Q519</f>
        <v>565.90100000000007</v>
      </c>
      <c r="V519" s="202">
        <v>21.693999999999999</v>
      </c>
      <c r="W519" s="202">
        <v>44.468000000000004</v>
      </c>
      <c r="X519" s="202">
        <v>21.13</v>
      </c>
      <c r="Y519" s="202">
        <v>37.427</v>
      </c>
      <c r="AB519" s="202">
        <v>37.887999999999998</v>
      </c>
      <c r="AC519" s="202">
        <v>21.856999999999999</v>
      </c>
      <c r="AD519" s="303">
        <v>184.464</v>
      </c>
      <c r="AE519" s="278">
        <f t="shared" ref="AE519" si="243">SUM(V519:AC519)</f>
        <v>184.464</v>
      </c>
      <c r="AF519" s="278">
        <f t="shared" ref="AF519" si="244">AE519-AD519</f>
        <v>0</v>
      </c>
      <c r="AG519" s="278">
        <f t="shared" ref="AG519" si="245">AE519-G519</f>
        <v>0</v>
      </c>
      <c r="AH519" s="202">
        <f t="shared" ref="AH519" si="246">AB519-AB518</f>
        <v>2.9239999999999995</v>
      </c>
      <c r="AI519" s="202">
        <f t="shared" si="223"/>
        <v>58.59</v>
      </c>
      <c r="BB519" s="203">
        <f>'NASS Crush'!C94/'NOPA Crush'!G519</f>
        <v>1.0660967270939949</v>
      </c>
      <c r="BE519" s="274">
        <f t="shared" si="121"/>
        <v>5.9504516129032261</v>
      </c>
      <c r="BF519" s="280">
        <f t="shared" si="151"/>
        <v>185.245</v>
      </c>
      <c r="BG519" s="154" t="str">
        <f t="shared" si="152"/>
        <v/>
      </c>
      <c r="BH519" s="270">
        <f t="shared" si="124"/>
        <v>-2.9999999999999361E-2</v>
      </c>
      <c r="BI519" s="270">
        <f t="shared" si="229"/>
        <v>5.0000000000000711E-2</v>
      </c>
      <c r="BK519" s="274">
        <f t="shared" si="189"/>
        <v>2525</v>
      </c>
      <c r="BL519" s="280">
        <f t="shared" si="240"/>
        <v>176.24459999999999</v>
      </c>
    </row>
    <row r="520" spans="1:64">
      <c r="A520" s="266">
        <v>44866</v>
      </c>
      <c r="B520" s="290">
        <f>E520+C520</f>
        <v>6.907491397849463</v>
      </c>
      <c r="C520" s="277">
        <f t="shared" ref="C520:C523" si="247">D520/(A520-A519)</f>
        <v>0.3350301075268815</v>
      </c>
      <c r="D520" s="276">
        <f>'NASS Crush'!C95-'NOPA Crush'!G520</f>
        <v>10.385933333333327</v>
      </c>
      <c r="E520" s="290">
        <f>E519+0.11</f>
        <v>6.5724612903225816</v>
      </c>
      <c r="F520" s="277">
        <f t="shared" si="183"/>
        <v>197.17383870967745</v>
      </c>
      <c r="G520" s="277">
        <v>179.184</v>
      </c>
      <c r="H520" s="281">
        <f t="shared" si="184"/>
        <v>0.90876153333827392</v>
      </c>
      <c r="I520" s="202">
        <v>4215.4390000000003</v>
      </c>
      <c r="J520" s="270">
        <v>47.05</v>
      </c>
      <c r="K520" s="270">
        <f>'NASS Crush'!K95-'NOPA Crush'!J520</f>
        <v>0.10600118021529426</v>
      </c>
      <c r="L520" s="202"/>
      <c r="M520" s="277"/>
      <c r="N520" s="202">
        <v>2084.527</v>
      </c>
      <c r="O520" s="270">
        <v>11.63</v>
      </c>
      <c r="P520" s="270">
        <f>'NASS Crush'!W95-'NOPA Crush'!O520</f>
        <v>-2.4984577371446548E-2</v>
      </c>
      <c r="Q520" s="202">
        <v>1630.202</v>
      </c>
      <c r="R520" s="199">
        <f t="shared" si="242"/>
        <v>0.77177326312171535</v>
      </c>
      <c r="S520" s="202">
        <f>'NASS Crush'!P95+'NASS Crush'!T95-'NOPA Crush'!Q520</f>
        <v>482.07899999999995</v>
      </c>
      <c r="T520" s="301">
        <f>R520+'NASS Crush'!V95</f>
        <v>1.0674906036721501</v>
      </c>
      <c r="U520" s="302">
        <f>'[1]Soy Complex'!$BL484-Q520</f>
        <v>482.07899999999995</v>
      </c>
      <c r="V520" s="202">
        <v>21.018999999999998</v>
      </c>
      <c r="W520" s="202">
        <v>42.914999999999999</v>
      </c>
      <c r="X520" s="202">
        <v>21.954000000000001</v>
      </c>
      <c r="Y520" s="202">
        <v>36.182000000000002</v>
      </c>
      <c r="AB520" s="202">
        <v>35.871000000000002</v>
      </c>
      <c r="AC520" s="202">
        <v>21.242000000000001</v>
      </c>
      <c r="AD520" s="303">
        <v>179.184</v>
      </c>
      <c r="AE520" s="278">
        <f t="shared" ref="AE520" si="248">SUM(V520:AC520)</f>
        <v>179.18299999999999</v>
      </c>
      <c r="AF520" s="278">
        <f t="shared" ref="AF520" si="249">AE520-AD520</f>
        <v>-1.0000000000047748E-3</v>
      </c>
      <c r="AG520" s="278">
        <f t="shared" ref="AG520" si="250">AE520-G520</f>
        <v>-1.0000000000047748E-3</v>
      </c>
      <c r="AH520" s="202">
        <f t="shared" ref="AH520" si="251">AB520-AB519</f>
        <v>-2.0169999999999959</v>
      </c>
      <c r="AI520" s="202">
        <f t="shared" si="223"/>
        <v>58.68</v>
      </c>
      <c r="BB520" s="203">
        <f>'NASS Crush'!C95/'NOPA Crush'!G520</f>
        <v>1.0579623924755186</v>
      </c>
      <c r="BE520" s="274">
        <f>G520/30</f>
        <v>5.9728000000000003</v>
      </c>
      <c r="BF520" s="280">
        <f t="shared" si="151"/>
        <v>181.018</v>
      </c>
      <c r="BG520" s="154" t="str">
        <f t="shared" si="152"/>
        <v/>
      </c>
      <c r="BH520" s="270">
        <f t="shared" si="124"/>
        <v>-7.1999999999999884E-2</v>
      </c>
      <c r="BI520" s="270">
        <f t="shared" si="229"/>
        <v>-0.28999999999999915</v>
      </c>
      <c r="BK520" s="274">
        <f t="shared" si="189"/>
        <v>2520</v>
      </c>
      <c r="BL520" s="280">
        <f t="shared" si="240"/>
        <v>171.1788</v>
      </c>
    </row>
    <row r="521" spans="1:64">
      <c r="A521" s="266">
        <v>44896</v>
      </c>
      <c r="B521" s="290">
        <f t="shared" ref="B521:B584" si="252">E521+C521</f>
        <v>6.9029179569892483</v>
      </c>
      <c r="C521" s="277">
        <f t="shared" si="247"/>
        <v>0.33045666666666684</v>
      </c>
      <c r="D521" s="276">
        <f>'NASS Crush'!C96-'NOPA Crush'!G521</f>
        <v>9.9137000000000057</v>
      </c>
      <c r="E521" s="290">
        <f t="shared" si="137"/>
        <v>6.5724612903225816</v>
      </c>
      <c r="F521" s="277">
        <f t="shared" si="183"/>
        <v>203.74630000000002</v>
      </c>
      <c r="G521" s="277">
        <v>177.505</v>
      </c>
      <c r="H521" s="281">
        <f t="shared" si="184"/>
        <v>0.87120600472253962</v>
      </c>
      <c r="I521" s="202">
        <v>4217.5680000000002</v>
      </c>
      <c r="J521" s="270">
        <v>47.52</v>
      </c>
      <c r="K521" s="270">
        <f>'NASS Crush'!K96-'NOPA Crush'!J521</f>
        <v>-0.16710511811255202</v>
      </c>
      <c r="L521" s="202"/>
      <c r="M521" s="277"/>
      <c r="N521" s="202">
        <v>2084.268</v>
      </c>
      <c r="O521" s="270">
        <v>11.74</v>
      </c>
      <c r="P521" s="270">
        <f>'NASS Crush'!W96-'NOPA Crush'!O521</f>
        <v>-2.6344959174297244E-2</v>
      </c>
      <c r="Q521" s="202">
        <v>1790.569</v>
      </c>
      <c r="R521" s="199">
        <f t="shared" si="242"/>
        <v>0.77643315885760966</v>
      </c>
      <c r="S521" s="202">
        <f>'NASS Crush'!P96+'NASS Crush'!T96-'NOPA Crush'!Q521</f>
        <v>515.57799999999997</v>
      </c>
      <c r="T521" s="301">
        <f>R521+'NASS Crush'!V96</f>
        <v>1.0643740312841958</v>
      </c>
      <c r="U521" s="302">
        <f>'[1]Soy Complex'!$BL485-Q521</f>
        <v>515.57799999999997</v>
      </c>
      <c r="V521" s="202">
        <v>22.11</v>
      </c>
      <c r="W521" s="202">
        <v>43.53</v>
      </c>
      <c r="X521" s="202">
        <v>19.587</v>
      </c>
      <c r="Y521" s="202">
        <v>36.145000000000003</v>
      </c>
      <c r="AB521" s="202">
        <v>35.432000000000002</v>
      </c>
      <c r="AC521" s="202">
        <v>20.7</v>
      </c>
      <c r="AD521" s="303">
        <v>177.505</v>
      </c>
      <c r="AE521" s="278">
        <f t="shared" ref="AE521" si="253">SUM(V521:AC521)</f>
        <v>177.50400000000002</v>
      </c>
      <c r="AF521" s="278">
        <f t="shared" ref="AF521" si="254">AE521-AD521</f>
        <v>-9.9999999997635314E-4</v>
      </c>
      <c r="AG521" s="278">
        <f t="shared" ref="AG521" si="255">AE521-G521</f>
        <v>-9.9999999997635314E-4</v>
      </c>
      <c r="AH521" s="202">
        <f t="shared" ref="AH521" si="256">AB521-AB520</f>
        <v>-0.43900000000000006</v>
      </c>
      <c r="AI521" s="202">
        <f t="shared" si="223"/>
        <v>59.260000000000005</v>
      </c>
      <c r="BB521" s="203"/>
      <c r="BE521" s="274">
        <f t="shared" si="121"/>
        <v>5.7259677419354835</v>
      </c>
      <c r="BF521" s="280">
        <f t="shared" si="151"/>
        <v>186.43799999999999</v>
      </c>
      <c r="BG521" s="154" t="str">
        <f t="shared" si="152"/>
        <v/>
      </c>
      <c r="BH521" s="270">
        <f t="shared" si="124"/>
        <v>1.3999999999999702E-2</v>
      </c>
      <c r="BI521" s="270">
        <f t="shared" si="229"/>
        <v>0.10999999999999943</v>
      </c>
      <c r="BK521" s="274">
        <f t="shared" si="189"/>
        <v>2520</v>
      </c>
      <c r="BL521" s="280">
        <f t="shared" si="240"/>
        <v>176.51</v>
      </c>
    </row>
    <row r="522" spans="1:64">
      <c r="A522" s="266">
        <v>44927</v>
      </c>
      <c r="B522" s="290">
        <f t="shared" si="252"/>
        <v>6.964061290322582</v>
      </c>
      <c r="C522" s="277">
        <f t="shared" si="247"/>
        <v>0.39160000000000006</v>
      </c>
      <c r="D522" s="276">
        <f>'NASS Crush'!C97-'NOPA Crush'!G522</f>
        <v>12.139600000000002</v>
      </c>
      <c r="E522" s="290">
        <f t="shared" si="137"/>
        <v>6.5724612903225816</v>
      </c>
      <c r="F522" s="277">
        <f t="shared" si="183"/>
        <v>203.74630000000002</v>
      </c>
      <c r="G522" s="277">
        <v>179.00700000000001</v>
      </c>
      <c r="H522" s="281">
        <f t="shared" si="184"/>
        <v>0.87857791773396621</v>
      </c>
      <c r="I522" s="202">
        <v>4235.2870000000003</v>
      </c>
      <c r="J522" s="270">
        <v>47.32</v>
      </c>
      <c r="K522" s="270">
        <f>'NASS Crush'!K97-'NOPA Crush'!J522</f>
        <v>0.1923177707581516</v>
      </c>
      <c r="L522" s="202"/>
      <c r="M522" s="277"/>
      <c r="N522" s="202">
        <v>2111.8829999999998</v>
      </c>
      <c r="O522" s="270">
        <v>11.8</v>
      </c>
      <c r="P522" s="270">
        <f>'NASS Crush'!W97-'NOPA Crush'!O522</f>
        <v>-1.6834618036629223E-2</v>
      </c>
      <c r="Q522" s="202">
        <v>1828.6010000000001</v>
      </c>
      <c r="R522" s="199">
        <f t="shared" si="242"/>
        <v>0.77601435409338237</v>
      </c>
      <c r="S522" s="202">
        <f>'NASS Crush'!P97+'NASS Crush'!T97-'NOPA Crush'!Q522</f>
        <v>527.79999999999973</v>
      </c>
      <c r="T522" s="301">
        <f>R522+'NASS Crush'!V97</f>
        <v>1.0646503113087615</v>
      </c>
      <c r="U522" s="302">
        <f>'[1]Soy Complex'!$BL486-Q522</f>
        <v>527.79999999999973</v>
      </c>
      <c r="V522" s="202">
        <v>22.1</v>
      </c>
      <c r="W522" s="202">
        <v>44.034999999999997</v>
      </c>
      <c r="X522" s="202">
        <v>21.777000000000001</v>
      </c>
      <c r="Y522" s="202">
        <v>36.18</v>
      </c>
      <c r="AB522" s="202">
        <v>34.768999999999998</v>
      </c>
      <c r="AC522" s="202">
        <v>20.146000000000001</v>
      </c>
      <c r="AD522" s="303">
        <v>179.00700000000001</v>
      </c>
      <c r="AE522" s="278">
        <f t="shared" ref="AE522:AE527" si="257">SUM(V522:AC522)</f>
        <v>179.00700000000001</v>
      </c>
      <c r="AF522" s="278">
        <f t="shared" ref="AF522" si="258">AE522-AD522</f>
        <v>0</v>
      </c>
      <c r="AG522" s="278">
        <f t="shared" ref="AG522" si="259">AE522-G522</f>
        <v>0</v>
      </c>
      <c r="AH522" s="202">
        <f t="shared" ref="AH522" si="260">AB522-AB521</f>
        <v>-0.66300000000000381</v>
      </c>
      <c r="AI522" s="202">
        <f t="shared" si="223"/>
        <v>59.120000000000005</v>
      </c>
      <c r="BB522" s="203"/>
      <c r="BE522" s="274">
        <f t="shared" si="121"/>
        <v>5.7744193548387095</v>
      </c>
      <c r="BF522" s="280">
        <f t="shared" si="151"/>
        <v>184.654</v>
      </c>
      <c r="BG522" s="154" t="str">
        <f t="shared" si="152"/>
        <v/>
      </c>
      <c r="BH522" s="270">
        <f t="shared" ref="BH522:BH529" si="261">AVERAGE(O510-O509,O498-O497,O486-O485,O474-O473,O462-O461)</f>
        <v>2.1999999999999888E-2</v>
      </c>
      <c r="BI522" s="270">
        <f t="shared" ref="BI522:BI529" si="262">O522-O521</f>
        <v>6.0000000000000497E-2</v>
      </c>
      <c r="BK522" s="274">
        <f t="shared" si="189"/>
        <v>2540</v>
      </c>
      <c r="BL522" s="280">
        <f t="shared" si="240"/>
        <v>175.71019999999999</v>
      </c>
    </row>
    <row r="523" spans="1:64">
      <c r="A523" s="266">
        <v>44958</v>
      </c>
      <c r="B523" s="290">
        <f t="shared" si="252"/>
        <v>6.9429720430107542</v>
      </c>
      <c r="C523" s="277">
        <f t="shared" si="247"/>
        <v>0.37051075268817246</v>
      </c>
      <c r="D523" s="276">
        <f>'NASS Crush'!C98-'NOPA Crush'!G523</f>
        <v>11.485833333333346</v>
      </c>
      <c r="E523" s="290">
        <f t="shared" si="137"/>
        <v>6.5724612903225816</v>
      </c>
      <c r="F523" s="277">
        <f t="shared" si="183"/>
        <v>184.0289161290323</v>
      </c>
      <c r="G523" s="277">
        <v>165.41399999999999</v>
      </c>
      <c r="H523" s="281">
        <f t="shared" si="184"/>
        <v>0.89884787390705267</v>
      </c>
      <c r="I523" s="202">
        <v>3929.1</v>
      </c>
      <c r="J523" s="270">
        <v>47.51</v>
      </c>
      <c r="K523" s="270">
        <f>'NASS Crush'!K98-'NOPA Crush'!J523</f>
        <v>-5.2815661216939702E-2</v>
      </c>
      <c r="L523" s="202"/>
      <c r="M523" s="277"/>
      <c r="N523" s="202">
        <v>1960.0920000000001</v>
      </c>
      <c r="O523" s="270">
        <v>11.85</v>
      </c>
      <c r="P523" s="270">
        <f>'NASS Crush'!W98-'NOPA Crush'!O523</f>
        <v>-2.8519105444795301E-2</v>
      </c>
      <c r="Q523" s="202">
        <v>1808.816</v>
      </c>
      <c r="R523" s="199">
        <f t="shared" si="242"/>
        <v>0.76521630241513972</v>
      </c>
      <c r="S523" s="202">
        <f>'NASS Crush'!P98+'NASS Crush'!T98-'NOPA Crush'!Q523</f>
        <v>554.98099999999999</v>
      </c>
      <c r="T523" s="301">
        <f>R523+'NASS Crush'!V98</f>
        <v>1.0720363438123852</v>
      </c>
      <c r="U523" s="302">
        <f>'[1]Soy Complex'!$BL487-Q523</f>
        <v>554.98099999999999</v>
      </c>
      <c r="V523" s="202">
        <v>20.129000000000001</v>
      </c>
      <c r="W523" s="202">
        <v>40.759</v>
      </c>
      <c r="X523" s="202">
        <v>19.071000000000002</v>
      </c>
      <c r="Y523" s="202">
        <v>32.554000000000002</v>
      </c>
      <c r="AB523" s="202">
        <v>33.67</v>
      </c>
      <c r="AC523" s="202">
        <v>19.231999999999999</v>
      </c>
      <c r="AD523" s="303">
        <v>165.41399999999999</v>
      </c>
      <c r="AE523" s="278">
        <f t="shared" si="257"/>
        <v>165.41499999999999</v>
      </c>
      <c r="AF523" s="278">
        <f t="shared" ref="AF523:AF524" si="263">AE523-AD523</f>
        <v>1.0000000000047748E-3</v>
      </c>
      <c r="AG523" s="278">
        <f t="shared" ref="AG523:AG524" si="264">AE523-G523</f>
        <v>1.0000000000047748E-3</v>
      </c>
      <c r="AH523" s="202">
        <f t="shared" ref="AH523:AH526" si="265">AB523-AB522</f>
        <v>-1.0989999999999966</v>
      </c>
      <c r="AI523" s="202">
        <f t="shared" si="223"/>
        <v>59.36</v>
      </c>
      <c r="BB523" s="203"/>
      <c r="BE523" s="274">
        <f>G523/28</f>
        <v>5.9076428571428563</v>
      </c>
      <c r="BF523" s="280">
        <f t="shared" si="151"/>
        <v>166.28800000000001</v>
      </c>
      <c r="BG523" s="154" t="str">
        <f t="shared" si="152"/>
        <v/>
      </c>
      <c r="BH523" s="270">
        <f t="shared" si="261"/>
        <v>2.1999999999999888E-2</v>
      </c>
      <c r="BI523" s="270">
        <f t="shared" si="262"/>
        <v>4.9999999999998934E-2</v>
      </c>
      <c r="BK523" s="274">
        <f t="shared" si="189"/>
        <v>2535</v>
      </c>
      <c r="BL523" s="280">
        <f t="shared" si="240"/>
        <v>158.94400000000002</v>
      </c>
    </row>
    <row r="524" spans="1:64">
      <c r="A524" s="266">
        <v>44986</v>
      </c>
      <c r="B524" s="290">
        <f t="shared" si="252"/>
        <v>7.0066422427035331</v>
      </c>
      <c r="C524" s="277">
        <f t="shared" ref="C524:C525" si="266">D524/(A524-A523)</f>
        <v>0.43418095238095183</v>
      </c>
      <c r="D524" s="276">
        <f>'NASS Crush'!C99-'NOPA Crush'!G524</f>
        <v>12.157066666666651</v>
      </c>
      <c r="E524" s="290">
        <f t="shared" si="137"/>
        <v>6.5724612903225816</v>
      </c>
      <c r="F524" s="277">
        <f t="shared" si="183"/>
        <v>203.74630000000002</v>
      </c>
      <c r="G524" s="277">
        <v>185.81</v>
      </c>
      <c r="H524" s="281">
        <f t="shared" si="184"/>
        <v>0.91196748112726456</v>
      </c>
      <c r="I524" s="202">
        <v>4431.8739999999998</v>
      </c>
      <c r="J524" s="270">
        <v>47.7</v>
      </c>
      <c r="K524" s="270">
        <f>'NASS Crush'!K99-'NOPA Crush'!J524</f>
        <v>-0.23593358625980443</v>
      </c>
      <c r="L524" s="202"/>
      <c r="M524" s="277"/>
      <c r="N524" s="202">
        <v>2201.7539999999999</v>
      </c>
      <c r="O524" s="270">
        <v>11.85</v>
      </c>
      <c r="P524" s="270">
        <f>'NASS Crush'!W99-'NOPA Crush'!O524</f>
        <v>-3.1968650677923094E-2</v>
      </c>
      <c r="Q524" s="202">
        <v>1851.1110000000001</v>
      </c>
      <c r="R524" s="199">
        <f t="shared" ref="R524" si="267">Q524/(Q524+S524)</f>
        <v>0.77533022856838907</v>
      </c>
      <c r="S524" s="202">
        <f>'NASS Crush'!P99+'NASS Crush'!T99-'NOPA Crush'!Q524</f>
        <v>536.40199999999982</v>
      </c>
      <c r="T524" s="301">
        <f>R524+'NASS Crush'!V99</f>
        <v>1.0651032351574048</v>
      </c>
      <c r="U524" s="302">
        <f>'[1]Soy Complex'!$BL488-Q524</f>
        <v>536.40199999999982</v>
      </c>
      <c r="V524" s="202">
        <v>22.76</v>
      </c>
      <c r="W524" s="202">
        <v>44.963000000000001</v>
      </c>
      <c r="X524" s="202">
        <v>22.151</v>
      </c>
      <c r="Y524" s="202">
        <v>36.548999999999999</v>
      </c>
      <c r="AB524" s="202">
        <v>37.564</v>
      </c>
      <c r="AC524" s="202">
        <v>21.815000000000001</v>
      </c>
      <c r="AD524" s="303">
        <v>185.81</v>
      </c>
      <c r="AE524" s="278">
        <f t="shared" si="257"/>
        <v>185.80199999999999</v>
      </c>
      <c r="AF524" s="278">
        <f t="shared" si="263"/>
        <v>-8.0000000000097771E-3</v>
      </c>
      <c r="AG524" s="278">
        <f t="shared" si="264"/>
        <v>-8.0000000000097771E-3</v>
      </c>
      <c r="AH524" s="202">
        <f t="shared" si="265"/>
        <v>3.8939999999999984</v>
      </c>
      <c r="AI524" s="202">
        <f t="shared" si="223"/>
        <v>59.550000000000004</v>
      </c>
      <c r="BB524" s="203"/>
      <c r="BE524" s="274">
        <f t="shared" ref="BE524:BE586" si="268">G524/31</f>
        <v>5.9938709677419357</v>
      </c>
      <c r="BF524" s="280">
        <f t="shared" si="151"/>
        <v>182.465</v>
      </c>
      <c r="BG524" s="154" t="str">
        <f t="shared" si="152"/>
        <v>RECORD</v>
      </c>
      <c r="BH524" s="270">
        <f t="shared" si="261"/>
        <v>3.6000000000000296E-2</v>
      </c>
      <c r="BI524" s="270">
        <f t="shared" si="262"/>
        <v>0</v>
      </c>
      <c r="BK524" s="274">
        <f t="shared" si="189"/>
        <v>2555</v>
      </c>
      <c r="BL524" s="280">
        <f t="shared" si="240"/>
        <v>176.73840000000001</v>
      </c>
    </row>
    <row r="525" spans="1:64">
      <c r="A525" s="266">
        <v>45017</v>
      </c>
      <c r="B525" s="290">
        <f t="shared" si="252"/>
        <v>7.0161677419354849</v>
      </c>
      <c r="C525" s="277">
        <f t="shared" si="266"/>
        <v>0.44370645161290295</v>
      </c>
      <c r="D525" s="276">
        <f>'NASS Crush'!C100-'NOPA Crush'!G525</f>
        <v>13.754899999999992</v>
      </c>
      <c r="E525" s="290">
        <f t="shared" si="137"/>
        <v>6.5724612903225816</v>
      </c>
      <c r="F525" s="277">
        <f t="shared" si="183"/>
        <v>197.17383870967745</v>
      </c>
      <c r="G525" s="277">
        <v>173.232</v>
      </c>
      <c r="H525" s="281">
        <f t="shared" si="184"/>
        <v>0.87857497289521314</v>
      </c>
      <c r="I525" s="202">
        <v>4122.8819999999996</v>
      </c>
      <c r="J525" s="270">
        <v>47.6</v>
      </c>
      <c r="K525" s="270">
        <f>'NASS Crush'!K100-'NOPA Crush'!J525</f>
        <v>-0.17812178286285985</v>
      </c>
      <c r="L525" s="202"/>
      <c r="M525" s="277"/>
      <c r="N525" s="202">
        <v>2068.2370000000001</v>
      </c>
      <c r="O525" s="270">
        <v>11.94</v>
      </c>
      <c r="P525" s="270">
        <f>'NASS Crush'!W100-'NOPA Crush'!O525</f>
        <v>1.9666693228243659E-2</v>
      </c>
      <c r="Q525" s="202">
        <v>1957.0429999999999</v>
      </c>
      <c r="R525" s="199">
        <f t="shared" ref="R525" si="269">Q525/(Q525+S525)</f>
        <v>0.77058675525529008</v>
      </c>
      <c r="S525" s="202">
        <f>'NASS Crush'!P100+'NASS Crush'!T100-'NOPA Crush'!Q525</f>
        <v>582.63600000000019</v>
      </c>
      <c r="T525" s="301">
        <f>R525+'NASS Crush'!V100</f>
        <v>1.0682991713851351</v>
      </c>
      <c r="U525" s="302">
        <f>'[1]Soy Complex'!$BL489-Q525</f>
        <v>582.63600000000019</v>
      </c>
      <c r="V525" s="202">
        <v>21.329000000000001</v>
      </c>
      <c r="W525" s="202">
        <v>42.914000000000001</v>
      </c>
      <c r="X525" s="202">
        <v>19.879000000000001</v>
      </c>
      <c r="Y525" s="202">
        <v>33.783000000000001</v>
      </c>
      <c r="AB525" s="202">
        <v>35.982999999999997</v>
      </c>
      <c r="AC525" s="202">
        <v>19.343</v>
      </c>
      <c r="AD525" s="303">
        <v>173.21199999999999</v>
      </c>
      <c r="AE525" s="278">
        <f t="shared" si="257"/>
        <v>173.23099999999999</v>
      </c>
      <c r="AF525" s="278">
        <f>AE525-AD525</f>
        <v>1.9000000000005457E-2</v>
      </c>
      <c r="AG525" s="278">
        <f t="shared" ref="AG525:AG534" si="270">AE525-G525</f>
        <v>-1.0000000000047748E-3</v>
      </c>
      <c r="AH525" s="202">
        <f t="shared" si="265"/>
        <v>-1.5810000000000031</v>
      </c>
      <c r="AI525" s="202">
        <f t="shared" si="223"/>
        <v>59.54</v>
      </c>
      <c r="BB525" s="203"/>
      <c r="BE525" s="274">
        <f>G525/30</f>
        <v>5.7744</v>
      </c>
      <c r="BF525" s="280">
        <f t="shared" si="151"/>
        <v>171.75399999999999</v>
      </c>
      <c r="BG525" s="154" t="str">
        <f t="shared" si="152"/>
        <v>RECORD</v>
      </c>
      <c r="BH525" s="270">
        <f t="shared" si="261"/>
        <v>-6.0000000000002274E-3</v>
      </c>
      <c r="BI525" s="270">
        <f t="shared" si="262"/>
        <v>8.9999999999999858E-2</v>
      </c>
      <c r="BK525" s="274">
        <f t="shared" si="189"/>
        <v>2560</v>
      </c>
      <c r="BL525" s="280">
        <f t="shared" si="240"/>
        <v>164.57159999999999</v>
      </c>
    </row>
    <row r="526" spans="1:64">
      <c r="A526" s="266">
        <v>45047</v>
      </c>
      <c r="B526" s="290">
        <f t="shared" si="252"/>
        <v>6.9520679569892474</v>
      </c>
      <c r="C526" s="277">
        <f t="shared" ref="C526:C527" si="271">D526/(A526-A525)</f>
        <v>0.37960666666666609</v>
      </c>
      <c r="D526" s="276">
        <f>'NASS Crush'!C101-'NOPA Crush'!G526</f>
        <v>11.388199999999983</v>
      </c>
      <c r="E526" s="290">
        <f t="shared" si="137"/>
        <v>6.5724612903225816</v>
      </c>
      <c r="F526" s="277">
        <f t="shared" ref="F526:F530" si="272">(A527-A526)*E526</f>
        <v>203.74630000000002</v>
      </c>
      <c r="G526" s="277">
        <v>177.91499999999999</v>
      </c>
      <c r="H526" s="281">
        <f t="shared" si="184"/>
        <v>0.87321831120368798</v>
      </c>
      <c r="I526" s="202">
        <v>4228.38</v>
      </c>
      <c r="J526" s="270">
        <v>47.53</v>
      </c>
      <c r="K526" s="270">
        <f>'NASS Crush'!K101-'NOPA Crush'!J526</f>
        <v>-0.39642803713829977</v>
      </c>
      <c r="L526" s="202"/>
      <c r="M526" s="277"/>
      <c r="N526" s="202">
        <v>2110.3919999999998</v>
      </c>
      <c r="O526" s="270">
        <v>11.86</v>
      </c>
      <c r="P526" s="270">
        <f>'NASS Crush'!W101-'NOPA Crush'!O526</f>
        <v>-8.8556094138924735E-2</v>
      </c>
      <c r="Q526" s="202">
        <v>1871.5450000000001</v>
      </c>
      <c r="R526" s="199">
        <f t="shared" ref="R526" si="273">Q526/(Q526+S526)</f>
        <v>0.78431302703604266</v>
      </c>
      <c r="S526" s="202">
        <f>'NASS Crush'!P101+'NASS Crush'!T101-'NOPA Crush'!Q526</f>
        <v>514.67700000000013</v>
      </c>
      <c r="T526" s="301">
        <f>R526+'NASS Crush'!V101</f>
        <v>1.0593141624615869</v>
      </c>
      <c r="U526" s="302">
        <f>'[1]Soy Complex'!$BL490-Q526</f>
        <v>514.67700000000013</v>
      </c>
      <c r="V526" s="202">
        <v>21.401</v>
      </c>
      <c r="W526" s="202">
        <v>43.481000000000002</v>
      </c>
      <c r="X526" s="202">
        <v>20.501999999999999</v>
      </c>
      <c r="Y526" s="202">
        <v>36.601999999999997</v>
      </c>
      <c r="AB526" s="202">
        <v>34.472999999999999</v>
      </c>
      <c r="AC526" s="202">
        <v>21.456</v>
      </c>
      <c r="AD526" s="303">
        <v>177.91499999999999</v>
      </c>
      <c r="AE526" s="278">
        <f t="shared" si="257"/>
        <v>177.91499999999999</v>
      </c>
      <c r="AF526" s="278">
        <f t="shared" ref="AF526:AF534" si="274">AE526-AD526</f>
        <v>0</v>
      </c>
      <c r="AG526" s="278">
        <f t="shared" si="270"/>
        <v>0</v>
      </c>
      <c r="AH526" s="202">
        <f t="shared" si="265"/>
        <v>-1.509999999999998</v>
      </c>
      <c r="AI526" s="202">
        <f t="shared" si="223"/>
        <v>59.39</v>
      </c>
      <c r="BB526" s="203"/>
      <c r="BE526" s="274">
        <f t="shared" si="268"/>
        <v>5.7391935483870968</v>
      </c>
      <c r="BF526" s="280">
        <f t="shared" si="151"/>
        <v>171.077</v>
      </c>
      <c r="BG526" s="154" t="str">
        <f t="shared" si="152"/>
        <v>RECORD</v>
      </c>
      <c r="BH526" s="270">
        <f t="shared" si="261"/>
        <v>3.7999999999999902E-2</v>
      </c>
      <c r="BI526" s="270">
        <f t="shared" si="262"/>
        <v>-8.0000000000000071E-2</v>
      </c>
      <c r="BK526" s="274">
        <f t="shared" si="189"/>
        <v>2540</v>
      </c>
      <c r="BL526" s="280">
        <f t="shared" si="240"/>
        <v>164.51</v>
      </c>
    </row>
    <row r="527" spans="1:64">
      <c r="A527" s="266">
        <v>45078</v>
      </c>
      <c r="B527" s="290">
        <f t="shared" si="252"/>
        <v>6.8798010752688183</v>
      </c>
      <c r="C527" s="277">
        <f t="shared" si="271"/>
        <v>0.3073397849462367</v>
      </c>
      <c r="D527" s="276">
        <f>'NASS Crush'!C102-'NOPA Crush'!G527</f>
        <v>9.5275333333333379</v>
      </c>
      <c r="E527" s="290">
        <f t="shared" si="137"/>
        <v>6.5724612903225816</v>
      </c>
      <c r="F527" s="277">
        <f t="shared" si="272"/>
        <v>197.17383870967745</v>
      </c>
      <c r="G527" s="277">
        <v>165.023</v>
      </c>
      <c r="H527" s="281">
        <f t="shared" si="184"/>
        <v>0.83694166061747688</v>
      </c>
      <c r="I527" s="202">
        <v>3934.54</v>
      </c>
      <c r="J527" s="270">
        <v>47.68</v>
      </c>
      <c r="K527" s="270">
        <f>'NASS Crush'!K102-'NOPA Crush'!J527</f>
        <v>-0.10262603608963872</v>
      </c>
      <c r="L527" s="202"/>
      <c r="M527" s="277"/>
      <c r="N527" s="202">
        <v>1974.6510000000001</v>
      </c>
      <c r="O527" s="270">
        <v>11.97</v>
      </c>
      <c r="P527" s="270">
        <f>'NASS Crush'!W102-'NOPA Crush'!O527</f>
        <v>-8.314431198147787E-2</v>
      </c>
      <c r="Q527" s="202">
        <v>1689.9010000000001</v>
      </c>
      <c r="R527" s="199">
        <f t="shared" ref="R527" si="275">Q527/(Q527+S527)</f>
        <v>0.76707859838813286</v>
      </c>
      <c r="S527" s="202">
        <f>'NASS Crush'!P102+'NASS Crush'!T102-'NOPA Crush'!Q527</f>
        <v>513.13399999999979</v>
      </c>
      <c r="T527" s="301">
        <f>R527+'NASS Crush'!V102</f>
        <v>1.07072597181415</v>
      </c>
      <c r="U527" s="302">
        <f>'[1]Soy Complex'!$BL491-Q527</f>
        <v>513.13399999999979</v>
      </c>
      <c r="V527" s="202">
        <v>20.597999999999999</v>
      </c>
      <c r="W527" s="202">
        <v>38.503999999999998</v>
      </c>
      <c r="X527" s="202">
        <v>20.795000000000002</v>
      </c>
      <c r="Y527" s="202">
        <v>33.411000000000001</v>
      </c>
      <c r="AB527" s="202">
        <v>32.972000000000001</v>
      </c>
      <c r="AC527" s="202">
        <v>18.742000000000001</v>
      </c>
      <c r="AD527" s="303">
        <v>165.023</v>
      </c>
      <c r="AE527" s="278">
        <f t="shared" si="257"/>
        <v>165.02199999999999</v>
      </c>
      <c r="AF527" s="278">
        <f t="shared" si="274"/>
        <v>-1.0000000000047748E-3</v>
      </c>
      <c r="AG527" s="278">
        <f t="shared" si="270"/>
        <v>-1.0000000000047748E-3</v>
      </c>
      <c r="AH527" s="202">
        <f t="shared" ref="AH527" si="276">AB527-AB526</f>
        <v>-1.5009999999999977</v>
      </c>
      <c r="AI527" s="202">
        <f t="shared" ref="AI527" si="277">J527+O527</f>
        <v>59.65</v>
      </c>
      <c r="BB527" s="203"/>
      <c r="BE527" s="274">
        <f>G527/30</f>
        <v>5.5007666666666664</v>
      </c>
      <c r="BF527" s="280">
        <f t="shared" si="151"/>
        <v>167.26300000000001</v>
      </c>
      <c r="BG527" s="154" t="str">
        <f t="shared" si="152"/>
        <v/>
      </c>
      <c r="BH527" s="270">
        <f t="shared" si="261"/>
        <v>-2.7999999999999404E-2</v>
      </c>
      <c r="BI527" s="270">
        <f t="shared" si="262"/>
        <v>0.11000000000000121</v>
      </c>
      <c r="BK527" s="274">
        <f t="shared" si="189"/>
        <v>2510</v>
      </c>
      <c r="BL527" s="280">
        <f t="shared" si="240"/>
        <v>158.48420000000002</v>
      </c>
    </row>
    <row r="528" spans="1:64">
      <c r="A528" s="266">
        <v>45108</v>
      </c>
      <c r="B528" s="290">
        <f t="shared" si="252"/>
        <v>6.9568068458781376</v>
      </c>
      <c r="C528" s="277">
        <f t="shared" ref="C528" si="278">D528/(A528-A527)</f>
        <v>0.384345555555556</v>
      </c>
      <c r="D528" s="276">
        <f>'NASS Crush'!C103-'NOPA Crush'!G528</f>
        <v>11.53036666666668</v>
      </c>
      <c r="E528" s="290">
        <f t="shared" si="137"/>
        <v>6.5724612903225816</v>
      </c>
      <c r="F528" s="277">
        <f t="shared" si="272"/>
        <v>203.74630000000002</v>
      </c>
      <c r="G528" s="277">
        <v>173.303</v>
      </c>
      <c r="H528" s="281">
        <f t="shared" si="184"/>
        <v>0.850582317323063</v>
      </c>
      <c r="I528" s="202">
        <v>4102.5929999999998</v>
      </c>
      <c r="J528" s="270">
        <v>47.35</v>
      </c>
      <c r="K528" s="270">
        <f>'NASS Crush'!K103-'NOPA Crush'!J528</f>
        <v>-0.14066676453259674</v>
      </c>
      <c r="L528" s="202"/>
      <c r="M528" s="277"/>
      <c r="N528" s="202">
        <v>2063.5639999999999</v>
      </c>
      <c r="O528" s="270">
        <v>11.91</v>
      </c>
      <c r="P528" s="270">
        <f>'NASS Crush'!W103-'NOPA Crush'!O528</f>
        <v>-0.11539797918882222</v>
      </c>
      <c r="Q528" s="202">
        <v>1526.992</v>
      </c>
      <c r="R528" s="199">
        <f t="shared" ref="R528" si="279">Q528/(Q528+S528)</f>
        <v>0.71481629546269509</v>
      </c>
      <c r="S528" s="202">
        <f>'NASS Crush'!P103+'NASS Crush'!T103-'NOPA Crush'!Q528</f>
        <v>609.20999999999981</v>
      </c>
      <c r="T528" s="301">
        <f>R528+'NASS Crush'!V103</f>
        <v>1.1137771282633908</v>
      </c>
      <c r="U528" s="302">
        <f>'[1]Soy Complex'!$BL492-Q528</f>
        <v>609.20999999999981</v>
      </c>
      <c r="V528" s="202">
        <v>21.681000000000001</v>
      </c>
      <c r="W528" s="202">
        <v>41.744</v>
      </c>
      <c r="X528" s="202">
        <v>18.739999999999998</v>
      </c>
      <c r="Y528" s="202">
        <v>34.694000000000003</v>
      </c>
      <c r="AB528" s="202">
        <v>37.542999999999999</v>
      </c>
      <c r="AC528" s="202">
        <v>18.901</v>
      </c>
      <c r="AD528" s="303">
        <v>173.303</v>
      </c>
      <c r="AE528" s="278">
        <f t="shared" ref="AE528" si="280">SUM(V528:AC528)</f>
        <v>173.303</v>
      </c>
      <c r="AF528" s="278">
        <f t="shared" si="274"/>
        <v>0</v>
      </c>
      <c r="AG528" s="278">
        <f t="shared" si="270"/>
        <v>0</v>
      </c>
      <c r="AH528" s="202">
        <f t="shared" ref="AH528" si="281">AB528-AB527</f>
        <v>4.570999999999998</v>
      </c>
      <c r="AI528" s="202">
        <f t="shared" ref="AI528" si="282">J528+O528</f>
        <v>59.260000000000005</v>
      </c>
      <c r="BB528" s="203"/>
      <c r="BE528" s="274">
        <f t="shared" si="268"/>
        <v>5.5904193548387093</v>
      </c>
      <c r="BF528" s="280">
        <f t="shared" si="151"/>
        <v>172.79400000000001</v>
      </c>
      <c r="BG528" s="154" t="str">
        <f t="shared" si="152"/>
        <v>RECORD</v>
      </c>
      <c r="BH528" s="270">
        <f t="shared" si="261"/>
        <v>2.1999999999999888E-2</v>
      </c>
      <c r="BI528" s="270">
        <f t="shared" si="262"/>
        <v>-6.0000000000000497E-2</v>
      </c>
      <c r="BK528" s="274">
        <f t="shared" si="189"/>
        <v>2540</v>
      </c>
      <c r="BL528" s="280">
        <f t="shared" si="240"/>
        <v>166.78899999999999</v>
      </c>
    </row>
    <row r="529" spans="1:64">
      <c r="A529" s="266">
        <v>45139</v>
      </c>
      <c r="B529" s="290">
        <f t="shared" si="252"/>
        <v>6.8157731182795711</v>
      </c>
      <c r="C529" s="277">
        <f t="shared" ref="C529" si="283">D529/(A529-A528)</f>
        <v>0.24331182795698911</v>
      </c>
      <c r="D529" s="276">
        <f>'NASS Crush'!C104-'NOPA Crush'!G529</f>
        <v>7.542666666666662</v>
      </c>
      <c r="E529" s="290">
        <f t="shared" si="137"/>
        <v>6.5724612903225816</v>
      </c>
      <c r="F529" s="277">
        <f t="shared" si="272"/>
        <v>203.74630000000002</v>
      </c>
      <c r="G529" s="277">
        <v>161.453</v>
      </c>
      <c r="H529" s="281">
        <f t="shared" si="184"/>
        <v>0.7924217519532869</v>
      </c>
      <c r="I529" s="202">
        <v>3846.8180000000002</v>
      </c>
      <c r="J529" s="270">
        <v>47.65</v>
      </c>
      <c r="K529" s="270">
        <f>'NASS Crush'!K104-'NOPA Crush'!J529</f>
        <v>4.2252464067125572E-2</v>
      </c>
      <c r="L529" s="202"/>
      <c r="M529" s="277"/>
      <c r="N529" s="202">
        <v>1927.8150000000001</v>
      </c>
      <c r="O529" s="270">
        <v>11.94</v>
      </c>
      <c r="P529" s="270">
        <f>'NASS Crush'!W104-'NOPA Crush'!O529</f>
        <v>-2.1629311994193046E-2</v>
      </c>
      <c r="Q529" s="202">
        <v>1249.7619999999999</v>
      </c>
      <c r="R529" s="199">
        <f t="shared" ref="R529" si="284">Q529/(Q529+S529)</f>
        <v>0.70513088875260022</v>
      </c>
      <c r="S529" s="202">
        <f>'NASS Crush'!P104+'NASS Crush'!T104-'NOPA Crush'!Q529</f>
        <v>522.62100000000009</v>
      </c>
      <c r="T529" s="301">
        <f>R529+'NASS Crush'!V104</f>
        <v>1.1233073095431187</v>
      </c>
      <c r="U529" s="302">
        <f>'[1]Soy Complex'!$BL493-Q529</f>
        <v>522.62100000000009</v>
      </c>
      <c r="V529" s="202">
        <v>18.744</v>
      </c>
      <c r="W529" s="202">
        <v>37.097999999999999</v>
      </c>
      <c r="X529" s="202">
        <v>20.074999999999999</v>
      </c>
      <c r="Y529" s="202">
        <v>33.137</v>
      </c>
      <c r="AB529" s="202">
        <v>32.566000000000003</v>
      </c>
      <c r="AC529" s="202">
        <v>19.832999999999998</v>
      </c>
      <c r="AD529" s="303">
        <v>161.453</v>
      </c>
      <c r="AE529" s="278">
        <f t="shared" ref="AE529" si="285">SUM(V529:AC529)</f>
        <v>161.453</v>
      </c>
      <c r="AF529" s="278">
        <f t="shared" si="274"/>
        <v>0</v>
      </c>
      <c r="AG529" s="278">
        <f t="shared" si="270"/>
        <v>0</v>
      </c>
      <c r="AH529" s="202">
        <f t="shared" ref="AH529" si="286">AB529-AB528</f>
        <v>-4.9769999999999968</v>
      </c>
      <c r="AI529" s="202">
        <f t="shared" ref="AI529" si="287">J529+O529</f>
        <v>59.589999999999996</v>
      </c>
      <c r="BB529" s="203"/>
      <c r="BE529" s="274">
        <f t="shared" si="268"/>
        <v>5.2081612903225807</v>
      </c>
      <c r="BF529" s="280">
        <f t="shared" si="151"/>
        <v>168.08500000000001</v>
      </c>
      <c r="BG529" s="154" t="str">
        <f t="shared" si="152"/>
        <v/>
      </c>
      <c r="BH529" s="270">
        <f t="shared" si="261"/>
        <v>-3.5527136788005011E-16</v>
      </c>
      <c r="BI529" s="270">
        <f t="shared" si="262"/>
        <v>2.9999999999999361E-2</v>
      </c>
      <c r="BK529" s="274">
        <f t="shared" si="189"/>
        <v>2490</v>
      </c>
      <c r="BL529" s="280">
        <f t="shared" si="240"/>
        <v>163.28119999999998</v>
      </c>
    </row>
    <row r="530" spans="1:64">
      <c r="A530" s="266">
        <v>45170</v>
      </c>
      <c r="B530" s="290">
        <f t="shared" si="252"/>
        <v>7.0227311827957006</v>
      </c>
      <c r="C530" s="277">
        <f t="shared" ref="C530" si="288">D530/(A530-A529)</f>
        <v>0.30026989247311842</v>
      </c>
      <c r="D530" s="276">
        <f>'NASS Crush'!C105-'NOPA Crush'!G530</f>
        <v>9.3083666666666716</v>
      </c>
      <c r="E530" s="290">
        <f>E529+0.15</f>
        <v>6.722461290322582</v>
      </c>
      <c r="F530" s="277">
        <f t="shared" si="272"/>
        <v>201.67383870967745</v>
      </c>
      <c r="G530" s="277">
        <v>165.45599999999999</v>
      </c>
      <c r="H530" s="281">
        <f t="shared" si="184"/>
        <v>0.82041379813365189</v>
      </c>
      <c r="I530" s="202">
        <v>3899.3980000000001</v>
      </c>
      <c r="J530" s="270">
        <v>47.14</v>
      </c>
      <c r="K530" s="270">
        <f>'NASS Crush'!K105-'NOPA Crush'!J530</f>
        <v>-0.15536487891982631</v>
      </c>
      <c r="L530" s="202"/>
      <c r="M530" s="277"/>
      <c r="N530" s="202">
        <v>1974.0139999999999</v>
      </c>
      <c r="O530" s="270">
        <v>11.93</v>
      </c>
      <c r="P530" s="270">
        <f>'NASS Crush'!W105-'NOPA Crush'!O530</f>
        <v>-4.5002848597471612E-2</v>
      </c>
      <c r="Q530" s="202">
        <v>1107.6369999999999</v>
      </c>
      <c r="R530" s="199">
        <f t="shared" ref="R530" si="289">Q530/(Q530+S530)</f>
        <v>0.68922674279683793</v>
      </c>
      <c r="S530" s="202">
        <f>'NASS Crush'!P105+'NASS Crush'!T105-'NOPA Crush'!Q530</f>
        <v>499.43500000000017</v>
      </c>
      <c r="T530" s="301">
        <f>R530+'NASS Crush'!V105</f>
        <v>1.1401280759953498</v>
      </c>
      <c r="U530" s="302">
        <f>'[1]Soy Complex'!$BL494-Q530</f>
        <v>499.43500000000017</v>
      </c>
      <c r="V530" s="202">
        <v>16.52</v>
      </c>
      <c r="W530" s="202">
        <v>40.957999999999998</v>
      </c>
      <c r="X530" s="202">
        <v>17.63</v>
      </c>
      <c r="Y530" s="202">
        <v>33.119999999999997</v>
      </c>
      <c r="AB530" s="202">
        <v>36.198</v>
      </c>
      <c r="AC530" s="202">
        <v>21.03</v>
      </c>
      <c r="AD530" s="303">
        <v>165.45599999999999</v>
      </c>
      <c r="AE530" s="278">
        <f t="shared" ref="AE530:AE532" si="290">SUM(V530:AC530)</f>
        <v>165.45599999999999</v>
      </c>
      <c r="AF530" s="278">
        <f t="shared" si="274"/>
        <v>0</v>
      </c>
      <c r="AG530" s="278">
        <f t="shared" si="270"/>
        <v>0</v>
      </c>
      <c r="AH530" s="202">
        <f t="shared" ref="AH530:AH532" si="291">AB530-AB529</f>
        <v>3.6319999999999979</v>
      </c>
      <c r="AI530" s="202">
        <f t="shared" ref="AI530:AI532" si="292">J530+O530</f>
        <v>59.07</v>
      </c>
      <c r="BB530" s="203"/>
      <c r="BE530" s="274">
        <f>G530/30</f>
        <v>5.5151999999999992</v>
      </c>
      <c r="BF530" s="280"/>
      <c r="BH530" s="270"/>
      <c r="BI530" s="270"/>
      <c r="BK530" s="274">
        <f t="shared" si="189"/>
        <v>2565</v>
      </c>
      <c r="BL530" s="280">
        <f t="shared" ref="BL530:BL532" si="293">AVERAGE(G518,G506,G494,G482,G470)</f>
        <v>157.34899999999999</v>
      </c>
    </row>
    <row r="531" spans="1:64">
      <c r="A531" s="266">
        <v>45200</v>
      </c>
      <c r="B531" s="290">
        <f t="shared" ref="B531" si="294">E531+C531</f>
        <v>7.1326446236559162</v>
      </c>
      <c r="C531" s="277">
        <f t="shared" ref="C531" si="295">D531/(A531-A530)</f>
        <v>0.38718333333333421</v>
      </c>
      <c r="D531" s="276">
        <f>'NASS Crush'!C106-'NOPA Crush'!G531</f>
        <v>11.615500000000026</v>
      </c>
      <c r="E531" s="290">
        <f>E530+0.023</f>
        <v>6.7454612903225817</v>
      </c>
      <c r="F531" s="277">
        <f t="shared" ref="F531:F562" si="296">(A532-A531)*E531</f>
        <v>209.10930000000002</v>
      </c>
      <c r="G531" s="277">
        <v>189.774</v>
      </c>
      <c r="H531" s="281">
        <f t="shared" ref="H531:H562" si="297">G531/F531</f>
        <v>0.90753495899034609</v>
      </c>
      <c r="I531" s="202">
        <v>4456.6880000000001</v>
      </c>
      <c r="J531" s="270">
        <v>46.97</v>
      </c>
      <c r="K531" s="270">
        <f>'NASS Crush'!K106-'NOPA Crush'!J531</f>
        <v>8.7895272593655704E-2</v>
      </c>
      <c r="L531" s="202"/>
      <c r="M531" s="277"/>
      <c r="N531" s="202">
        <v>2245.9110000000001</v>
      </c>
      <c r="O531" s="270">
        <v>11.83</v>
      </c>
      <c r="P531" s="270">
        <f>'NASS Crush'!W106-'NOPA Crush'!O531</f>
        <v>-3.3684899163066717E-2</v>
      </c>
      <c r="Q531" s="202">
        <v>1099.086</v>
      </c>
      <c r="R531" s="199">
        <f t="shared" ref="R531:R533" si="298">Q531/(Q531+S531)</f>
        <v>0.73194326052210967</v>
      </c>
      <c r="S531" s="202">
        <f>'NASS Crush'!P106+'NASS Crush'!T106-'NOPA Crush'!Q531</f>
        <v>402.51400000000012</v>
      </c>
      <c r="T531" s="301">
        <f>R531+'NASS Crush'!V129</f>
        <v>0.73194326052210967</v>
      </c>
      <c r="U531" s="302">
        <f>'[1]Soy Complex'!$BM483-Q531</f>
        <v>402.51400000000012</v>
      </c>
      <c r="V531" s="202">
        <v>20.922000000000001</v>
      </c>
      <c r="W531" s="202">
        <v>46.566000000000003</v>
      </c>
      <c r="X531" s="202">
        <v>21.145</v>
      </c>
      <c r="Y531" s="202">
        <v>37.472000000000001</v>
      </c>
      <c r="AB531" s="202">
        <v>41.323</v>
      </c>
      <c r="AC531" s="202">
        <v>22.346</v>
      </c>
      <c r="AD531" s="303">
        <v>189.774</v>
      </c>
      <c r="AE531" s="278">
        <f t="shared" si="290"/>
        <v>189.774</v>
      </c>
      <c r="AF531" s="278">
        <f t="shared" si="274"/>
        <v>0</v>
      </c>
      <c r="AG531" s="278">
        <f t="shared" si="270"/>
        <v>0</v>
      </c>
      <c r="AH531" s="202">
        <f t="shared" si="291"/>
        <v>5.125</v>
      </c>
      <c r="AI531" s="202">
        <f t="shared" si="292"/>
        <v>58.8</v>
      </c>
      <c r="BB531" s="203"/>
      <c r="BE531" s="274">
        <f t="shared" si="268"/>
        <v>6.1217419354838709</v>
      </c>
      <c r="BF531" s="280"/>
      <c r="BH531" s="270"/>
      <c r="BI531" s="270"/>
      <c r="BK531" s="274">
        <f t="shared" si="189"/>
        <v>2605</v>
      </c>
      <c r="BL531" s="280">
        <f t="shared" si="293"/>
        <v>180.28899999999999</v>
      </c>
    </row>
    <row r="532" spans="1:64">
      <c r="A532" s="266">
        <v>45231</v>
      </c>
      <c r="B532" s="290">
        <f t="shared" si="252"/>
        <v>7.1019860215053763</v>
      </c>
      <c r="C532" s="277">
        <f t="shared" ref="C532:C562" si="299">D532/(A532-A531)</f>
        <v>0.35652473118279482</v>
      </c>
      <c r="D532" s="276">
        <f>'NASS Crush'!C107-'NOPA Crush'!G532</f>
        <v>11.05226666666664</v>
      </c>
      <c r="E532" s="290">
        <f>E531</f>
        <v>6.7454612903225817</v>
      </c>
      <c r="F532" s="277">
        <f t="shared" si="296"/>
        <v>202.36383870967745</v>
      </c>
      <c r="G532" s="277">
        <v>189.03800000000001</v>
      </c>
      <c r="H532" s="281">
        <f t="shared" si="297"/>
        <v>0.93414911085574215</v>
      </c>
      <c r="I532" s="202">
        <v>4433.2290000000003</v>
      </c>
      <c r="J532" s="270">
        <v>46.9</v>
      </c>
      <c r="K532" s="270">
        <f>'NASS Crush'!K107-'NOPA Crush'!J532</f>
        <v>0.14084889686454716</v>
      </c>
      <c r="L532" s="202"/>
      <c r="M532" s="277"/>
      <c r="N532" s="202">
        <v>2206.6729999999998</v>
      </c>
      <c r="O532" s="270">
        <v>11.67</v>
      </c>
      <c r="P532" s="270">
        <f>'NASS Crush'!W107-'NOPA Crush'!O532</f>
        <v>-5.1903634159780054E-2</v>
      </c>
      <c r="Q532" s="202">
        <v>1213.51</v>
      </c>
      <c r="R532" s="199">
        <f t="shared" si="298"/>
        <v>0.75887251296982794</v>
      </c>
      <c r="S532" s="202">
        <f>'NASS Crush'!P107+'NASS Crush'!T107-'NOPA Crush'!Q532</f>
        <v>385.58600000000001</v>
      </c>
      <c r="T532" s="301">
        <f>R532+'NASS Crush'!V130</f>
        <v>1.0335839240084199</v>
      </c>
      <c r="U532" s="302">
        <f>'[1]Soy Complex'!$BM484-Q532</f>
        <v>385.58600000000001</v>
      </c>
      <c r="V532" s="202">
        <v>21.106000000000002</v>
      </c>
      <c r="W532" s="202">
        <v>45.252000000000002</v>
      </c>
      <c r="X532" s="202">
        <v>22.302</v>
      </c>
      <c r="Y532" s="202">
        <v>36.098999999999997</v>
      </c>
      <c r="AB532" s="202">
        <v>40.313000000000002</v>
      </c>
      <c r="AC532" s="202">
        <v>23.966000000000001</v>
      </c>
      <c r="AD532" s="303">
        <v>189.03800000000001</v>
      </c>
      <c r="AE532" s="278">
        <f t="shared" si="290"/>
        <v>189.03800000000001</v>
      </c>
      <c r="AF532" s="278">
        <f t="shared" si="274"/>
        <v>0</v>
      </c>
      <c r="AG532" s="278">
        <f t="shared" si="270"/>
        <v>0</v>
      </c>
      <c r="AH532" s="202">
        <f t="shared" si="291"/>
        <v>-1.009999999999998</v>
      </c>
      <c r="AI532" s="202">
        <f t="shared" si="292"/>
        <v>58.57</v>
      </c>
      <c r="AR532" s="154">
        <v>1220.7559532409377</v>
      </c>
      <c r="AS532" s="154">
        <f>Q532-AR532</f>
        <v>-7.2459532409377516</v>
      </c>
      <c r="BB532" s="203"/>
      <c r="BE532" s="274">
        <f>G532/30</f>
        <v>6.3012666666666668</v>
      </c>
      <c r="BF532" s="280"/>
      <c r="BH532" s="270"/>
      <c r="BI532" s="270"/>
      <c r="BK532" s="274">
        <f t="shared" si="189"/>
        <v>2590</v>
      </c>
      <c r="BL532" s="280">
        <f t="shared" si="293"/>
        <v>174.3064</v>
      </c>
    </row>
    <row r="533" spans="1:64">
      <c r="A533" s="266">
        <v>45261</v>
      </c>
      <c r="B533" s="290">
        <f t="shared" si="252"/>
        <v>7.0440368458781375</v>
      </c>
      <c r="C533" s="277">
        <f t="shared" si="299"/>
        <v>0.29857555555555565</v>
      </c>
      <c r="D533" s="276">
        <f>'NASS Crush'!C108-'NOPA Crush'!G533</f>
        <v>8.9572666666666692</v>
      </c>
      <c r="E533" s="290">
        <f>E532</f>
        <v>6.7454612903225817</v>
      </c>
      <c r="F533" s="277">
        <f t="shared" si="296"/>
        <v>209.10930000000002</v>
      </c>
      <c r="G533" s="277">
        <v>195.328</v>
      </c>
      <c r="H533" s="281">
        <f t="shared" si="297"/>
        <v>0.93409523153680862</v>
      </c>
      <c r="I533" s="202">
        <v>4609.6660000000002</v>
      </c>
      <c r="J533" s="270">
        <v>47.2</v>
      </c>
      <c r="K533" s="270">
        <f>'NASS Crush'!K108-'NOPA Crush'!J533</f>
        <v>-2.7317616966350045E-2</v>
      </c>
      <c r="L533" s="202"/>
      <c r="M533" s="277"/>
      <c r="N533" s="202">
        <v>2286.41</v>
      </c>
      <c r="O533" s="270">
        <v>11.71</v>
      </c>
      <c r="P533" s="270">
        <f>'NASS Crush'!W108-'NOPA Crush'!O533</f>
        <v>-7.8045142103576381E-2</v>
      </c>
      <c r="Q533" s="202">
        <v>1359.97</v>
      </c>
      <c r="R533" s="199">
        <f t="shared" si="298"/>
        <v>0.74566544981615646</v>
      </c>
      <c r="S533" s="202">
        <f>'NASS Crush'!P108+'NASS Crush'!T108-'NOPA Crush'!Q533</f>
        <v>463.86400000000003</v>
      </c>
      <c r="T533" s="301">
        <f>R533+'NASS Crush'!V131</f>
        <v>0.74566544981615646</v>
      </c>
      <c r="U533" s="302">
        <f>'[1]Soy Complex'!$BM485-Q533</f>
        <v>463.86400000000003</v>
      </c>
      <c r="V533" s="202">
        <v>22.22</v>
      </c>
      <c r="W533" s="202">
        <v>45.408999999999999</v>
      </c>
      <c r="X533" s="202">
        <v>22.609000000000002</v>
      </c>
      <c r="Y533" s="202">
        <v>36.49</v>
      </c>
      <c r="AB533" s="202">
        <v>42.383000000000003</v>
      </c>
      <c r="AC533" s="202">
        <v>25.747</v>
      </c>
      <c r="AD533" s="303">
        <v>194.858</v>
      </c>
      <c r="AE533" s="278">
        <f t="shared" ref="AE533:AE548" si="300">SUM(V533:AC533)</f>
        <v>194.858</v>
      </c>
      <c r="AF533" s="278">
        <f t="shared" si="274"/>
        <v>0</v>
      </c>
      <c r="AG533" s="278">
        <f>AE533-G533</f>
        <v>-0.46999999999999886</v>
      </c>
      <c r="AH533" s="202">
        <f t="shared" ref="AH533:AH538" si="301">AB533-AB532</f>
        <v>2.0700000000000003</v>
      </c>
      <c r="AI533" s="202">
        <f>J533+O533</f>
        <v>58.910000000000004</v>
      </c>
      <c r="AR533" s="154">
        <v>1220.7559532409377</v>
      </c>
      <c r="AS533" s="154">
        <f>Q533-AR533</f>
        <v>139.21404675906228</v>
      </c>
      <c r="BB533" s="203"/>
      <c r="BE533" s="274">
        <f t="shared" si="268"/>
        <v>6.3009032258064517</v>
      </c>
      <c r="BF533" s="280"/>
      <c r="BH533" s="270"/>
      <c r="BI533" s="270"/>
      <c r="BK533" s="274">
        <f t="shared" si="189"/>
        <v>2570</v>
      </c>
      <c r="BL533" s="280">
        <f t="shared" ref="BL533:BL544" si="302">AVERAGE(G521,G509,G497,G485,G473)</f>
        <v>178.7346</v>
      </c>
    </row>
    <row r="534" spans="1:64">
      <c r="A534" s="266">
        <v>45292</v>
      </c>
      <c r="B534" s="290">
        <f t="shared" si="252"/>
        <v>7.0196440860215068</v>
      </c>
      <c r="C534" s="277">
        <f t="shared" si="299"/>
        <v>0.27418279569892529</v>
      </c>
      <c r="D534" s="276">
        <f>'NASS Crush'!C109-'NOPA Crush'!G534</f>
        <v>8.499666666666684</v>
      </c>
      <c r="E534" s="290">
        <f>E533</f>
        <v>6.7454612903225817</v>
      </c>
      <c r="F534" s="277">
        <f t="shared" si="296"/>
        <v>209.10930000000002</v>
      </c>
      <c r="G534" s="277">
        <v>185.78</v>
      </c>
      <c r="H534" s="281">
        <f t="shared" si="297"/>
        <v>0.88843489983467971</v>
      </c>
      <c r="I534" s="202">
        <v>4389.2420000000002</v>
      </c>
      <c r="J534" s="270">
        <v>47.25</v>
      </c>
      <c r="K534" s="270">
        <f>'NASS Crush'!K109-'NOPA Crush'!J534</f>
        <v>-6.4845952312737154E-2</v>
      </c>
      <c r="L534" s="202"/>
      <c r="M534" s="277"/>
      <c r="N534" s="202">
        <v>2192.7420000000002</v>
      </c>
      <c r="O534" s="270">
        <v>11.8</v>
      </c>
      <c r="P534" s="270">
        <f>'NASS Crush'!W109-'NOPA Crush'!O534</f>
        <v>-5.2378444132944679E-2</v>
      </c>
      <c r="Q534" s="202">
        <v>1506.5450000000001</v>
      </c>
      <c r="R534" s="199">
        <f t="shared" ref="R534:R538" si="303">Q534/(Q534+S534)</f>
        <v>0.74285433931823153</v>
      </c>
      <c r="S534" s="202">
        <f>'NASS Crush'!P109+'NASS Crush'!T109-'NOPA Crush'!Q534</f>
        <v>521.50399999999991</v>
      </c>
      <c r="T534" s="301">
        <f>R534+'NASS Crush'!V132</f>
        <v>0.74285433931823153</v>
      </c>
      <c r="U534" s="302">
        <f>'[1]Soy Complex'!$BM486-Q534</f>
        <v>521.50399999999991</v>
      </c>
      <c r="V534" s="202">
        <v>19.968</v>
      </c>
      <c r="W534" s="202">
        <v>44.088999999999999</v>
      </c>
      <c r="X534" s="202">
        <v>22.353999999999999</v>
      </c>
      <c r="Y534" s="202">
        <v>34.658000000000001</v>
      </c>
      <c r="AB534" s="202">
        <v>38.395000000000003</v>
      </c>
      <c r="AC534" s="202">
        <v>26.315999999999999</v>
      </c>
      <c r="AD534" s="303">
        <v>185.78</v>
      </c>
      <c r="AE534" s="278">
        <f t="shared" si="300"/>
        <v>185.78</v>
      </c>
      <c r="AF534" s="278">
        <f t="shared" si="274"/>
        <v>0</v>
      </c>
      <c r="AG534" s="278">
        <f t="shared" si="270"/>
        <v>0</v>
      </c>
      <c r="AH534" s="202">
        <f t="shared" si="301"/>
        <v>-3.9879999999999995</v>
      </c>
      <c r="AI534" s="202">
        <f>J534+O534</f>
        <v>59.05</v>
      </c>
      <c r="BB534" s="203"/>
      <c r="BE534" s="274">
        <f t="shared" si="268"/>
        <v>5.9929032258064519</v>
      </c>
      <c r="BF534" s="280"/>
      <c r="BH534" s="270"/>
      <c r="BI534" s="270"/>
      <c r="BK534" s="274">
        <f t="shared" si="189"/>
        <v>2560</v>
      </c>
      <c r="BL534" s="280">
        <f t="shared" si="302"/>
        <v>178.88939999999999</v>
      </c>
    </row>
    <row r="535" spans="1:64">
      <c r="A535" s="266">
        <v>45323</v>
      </c>
      <c r="B535" s="290">
        <f t="shared" si="252"/>
        <v>6.979260215053765</v>
      </c>
      <c r="C535" s="277">
        <f t="shared" si="299"/>
        <v>0.23379892473118316</v>
      </c>
      <c r="D535" s="276">
        <f>'NASS Crush'!C110-'NOPA Crush'!G535</f>
        <v>7.2477666666666778</v>
      </c>
      <c r="E535" s="290">
        <f>E534</f>
        <v>6.7454612903225817</v>
      </c>
      <c r="F535" s="277">
        <f t="shared" si="296"/>
        <v>195.61837741935486</v>
      </c>
      <c r="G535" s="277">
        <v>186.19399999999999</v>
      </c>
      <c r="H535" s="281">
        <f t="shared" si="297"/>
        <v>0.95182263781305443</v>
      </c>
      <c r="I535" s="304">
        <f>J535*G535/2</f>
        <v>4383.0067599999993</v>
      </c>
      <c r="J535" s="270">
        <v>47.08</v>
      </c>
      <c r="K535" s="270">
        <f>'NASS Crush'!K110-'NOPA Crush'!J535</f>
        <v>-7.3016158351187244E-2</v>
      </c>
      <c r="L535" s="202"/>
      <c r="M535" s="277"/>
      <c r="N535" s="202">
        <v>2209.6120000000001</v>
      </c>
      <c r="O535" s="270">
        <v>11.87</v>
      </c>
      <c r="P535" s="270">
        <f>'NASS Crush'!W110-'NOPA Crush'!O535</f>
        <v>-4.1024079081163123E-2</v>
      </c>
      <c r="Q535" s="202">
        <v>1689.8409999999999</v>
      </c>
      <c r="R535" s="199">
        <f t="shared" si="303"/>
        <v>0.78714082156353904</v>
      </c>
      <c r="S535" s="202">
        <f>'NASS Crush'!P110+'NASS Crush'!T110-'NOPA Crush'!Q535</f>
        <v>456.9680000000003</v>
      </c>
      <c r="T535" s="301">
        <f>R535+'NASS Crush'!V133</f>
        <v>0.78714082156353904</v>
      </c>
      <c r="U535" s="302">
        <f>'[1]Soy Complex'!$BM487-Q535</f>
        <v>456.9680000000003</v>
      </c>
      <c r="V535" s="202">
        <v>20.22</v>
      </c>
      <c r="W535" s="202">
        <v>43.38</v>
      </c>
      <c r="X535" s="202">
        <v>21.247</v>
      </c>
      <c r="Y535" s="202">
        <v>34.966999999999999</v>
      </c>
      <c r="AB535" s="202">
        <v>40.134999999999998</v>
      </c>
      <c r="AC535" s="202">
        <v>26.245999999999999</v>
      </c>
      <c r="AD535" s="303">
        <v>186.19500000000002</v>
      </c>
      <c r="AE535" s="278">
        <f t="shared" si="300"/>
        <v>186.19500000000002</v>
      </c>
      <c r="AF535" s="278">
        <f t="shared" ref="AF535:AF538" si="304">AE535-AD535</f>
        <v>0</v>
      </c>
      <c r="AG535" s="278">
        <f t="shared" ref="AG535:AG541" si="305">AE535-G535</f>
        <v>1.0000000000331966E-3</v>
      </c>
      <c r="AH535" s="202">
        <f t="shared" si="301"/>
        <v>1.7399999999999949</v>
      </c>
      <c r="AI535" s="202">
        <f>J536+O535</f>
        <v>59.089999999999996</v>
      </c>
      <c r="BB535" s="203"/>
      <c r="BE535" s="274">
        <f>G535/29</f>
        <v>6.4204827586206896</v>
      </c>
      <c r="BF535" s="280"/>
      <c r="BH535" s="270"/>
      <c r="BI535" s="270"/>
      <c r="BK535" s="274">
        <f t="shared" si="189"/>
        <v>2545</v>
      </c>
      <c r="BL535" s="280">
        <f t="shared" si="302"/>
        <v>161.28299999999999</v>
      </c>
    </row>
    <row r="536" spans="1:64">
      <c r="A536" s="266">
        <v>45352</v>
      </c>
      <c r="B536" s="290">
        <f t="shared" si="252"/>
        <v>7.0072957730812009</v>
      </c>
      <c r="C536" s="277">
        <f t="shared" si="299"/>
        <v>0.2458344827586196</v>
      </c>
      <c r="D536" s="276">
        <f>'NASS Crush'!C111-'NOPA Crush'!G536</f>
        <v>7.1291999999999689</v>
      </c>
      <c r="E536" s="290">
        <f>E535+0.016</f>
        <v>6.7614612903225817</v>
      </c>
      <c r="F536" s="277">
        <f t="shared" si="296"/>
        <v>209.60530000000003</v>
      </c>
      <c r="G536" s="277">
        <v>196.40600000000001</v>
      </c>
      <c r="H536" s="281">
        <f t="shared" si="297"/>
        <v>0.93702783278857915</v>
      </c>
      <c r="I536" s="202">
        <v>4637.5590000000002</v>
      </c>
      <c r="J536" s="270">
        <v>47.22</v>
      </c>
      <c r="K536" s="270">
        <f>'NASS Crush'!K111-'NOPA Crush'!J536</f>
        <v>-0.12215156886867362</v>
      </c>
      <c r="L536" s="202"/>
      <c r="M536" s="277"/>
      <c r="N536" s="202">
        <v>2326.0111470000002</v>
      </c>
      <c r="O536" s="270">
        <v>11.84</v>
      </c>
      <c r="P536" s="270">
        <f>'NASS Crush'!W111-'NOPA Crush'!O536</f>
        <v>-2.977749303314603E-2</v>
      </c>
      <c r="Q536" s="202">
        <v>1850.874</v>
      </c>
      <c r="R536" s="199">
        <f t="shared" si="303"/>
        <v>0.78143197975822509</v>
      </c>
      <c r="S536" s="202">
        <f>'NASS Crush'!P111+'NASS Crush'!T111-'NOPA Crush'!Q536</f>
        <v>517.69299999999998</v>
      </c>
      <c r="T536" s="301">
        <f>R536+'NASS Crush'!V134</f>
        <v>1.0746390531381085</v>
      </c>
      <c r="U536" s="302">
        <f>'[1]Soy Complex'!$BM488-Q536</f>
        <v>517.69299999999998</v>
      </c>
      <c r="V536" s="202">
        <v>21.387</v>
      </c>
      <c r="W536" s="202">
        <v>47.44</v>
      </c>
      <c r="X536" s="202">
        <v>22.379000000000001</v>
      </c>
      <c r="Y536" s="202">
        <v>35.680999999999997</v>
      </c>
      <c r="AB536" s="202">
        <v>41.390999999999998</v>
      </c>
      <c r="AC536" s="202">
        <v>28.128</v>
      </c>
      <c r="AD536" s="303">
        <v>196.40600000000001</v>
      </c>
      <c r="AE536" s="278">
        <f t="shared" si="300"/>
        <v>196.40600000000001</v>
      </c>
      <c r="AF536" s="278">
        <f t="shared" si="304"/>
        <v>0</v>
      </c>
      <c r="AG536" s="278">
        <f t="shared" si="305"/>
        <v>0</v>
      </c>
      <c r="AH536" s="202">
        <f t="shared" si="301"/>
        <v>1.2560000000000002</v>
      </c>
      <c r="AI536" s="202">
        <f>J537+O536</f>
        <v>59.3</v>
      </c>
      <c r="BB536" s="203"/>
      <c r="BE536" s="274">
        <f t="shared" si="268"/>
        <v>6.3356774193548393</v>
      </c>
      <c r="BF536" s="280"/>
      <c r="BH536" s="270"/>
      <c r="BI536" s="270"/>
      <c r="BK536" s="274">
        <f t="shared" si="189"/>
        <v>2560</v>
      </c>
      <c r="BL536" s="280">
        <f t="shared" si="302"/>
        <v>179.52879999999999</v>
      </c>
    </row>
    <row r="537" spans="1:64">
      <c r="A537" s="266">
        <v>45383</v>
      </c>
      <c r="B537" s="290">
        <f t="shared" si="252"/>
        <v>7.1335645161290335</v>
      </c>
      <c r="C537" s="277">
        <f t="shared" si="299"/>
        <v>0.37210322580645172</v>
      </c>
      <c r="D537" s="276">
        <f>'NASS Crush'!C112-'NOPA Crush'!G537</f>
        <v>11.535200000000003</v>
      </c>
      <c r="E537" s="290">
        <f>E536</f>
        <v>6.7614612903225817</v>
      </c>
      <c r="F537" s="277">
        <f t="shared" si="296"/>
        <v>202.84383870967744</v>
      </c>
      <c r="G537" s="277">
        <v>166.03399999999999</v>
      </c>
      <c r="H537" s="281">
        <f t="shared" si="297"/>
        <v>0.81853114719268372</v>
      </c>
      <c r="I537" s="202">
        <v>3939.6819999999998</v>
      </c>
      <c r="J537" s="270">
        <v>47.46</v>
      </c>
      <c r="K537" s="270">
        <f>'NASS Crush'!K112-'NOPA Crush'!J537</f>
        <v>-0.13448408845678017</v>
      </c>
      <c r="L537" s="202"/>
      <c r="M537" s="277"/>
      <c r="N537" s="202">
        <v>1974.0719999999999</v>
      </c>
      <c r="O537" s="270">
        <v>11.89</v>
      </c>
      <c r="P537" s="270">
        <f>'NASS Crush'!W112-'NOPA Crush'!O537</f>
        <v>-8.4979760003424332E-2</v>
      </c>
      <c r="Q537" s="202">
        <v>1754.704</v>
      </c>
      <c r="R537" s="199">
        <f t="shared" si="303"/>
        <v>0.7593340274514182</v>
      </c>
      <c r="S537" s="202">
        <f>'NASS Crush'!P112+'NASS Crush'!T112-'NOPA Crush'!Q537</f>
        <v>556.14200000000005</v>
      </c>
      <c r="T537" s="301">
        <f>R537+'NASS Crush'!V135</f>
        <v>0.83490301862381111</v>
      </c>
      <c r="U537" s="302">
        <f>'[1]Soy Complex'!$BM489-Q537</f>
        <v>556.14200000000005</v>
      </c>
      <c r="V537" s="202">
        <v>18.341000000000001</v>
      </c>
      <c r="W537" s="202">
        <v>42.914000000000001</v>
      </c>
      <c r="X537" s="202">
        <v>19.37</v>
      </c>
      <c r="Y537" s="202">
        <v>28.145</v>
      </c>
      <c r="AB537" s="202">
        <v>38.332000000000001</v>
      </c>
      <c r="AC537" s="202">
        <v>24.050999999999998</v>
      </c>
      <c r="AD537" s="305">
        <v>185</v>
      </c>
      <c r="AE537" s="278">
        <f t="shared" si="300"/>
        <v>171.15299999999999</v>
      </c>
      <c r="AF537" s="278">
        <f t="shared" si="304"/>
        <v>-13.847000000000008</v>
      </c>
      <c r="AG537" s="278">
        <f t="shared" si="305"/>
        <v>5.1189999999999998</v>
      </c>
      <c r="AH537" s="202">
        <f t="shared" si="301"/>
        <v>-3.0589999999999975</v>
      </c>
      <c r="AI537" s="202">
        <f>J538+O537</f>
        <v>58.980000000000004</v>
      </c>
      <c r="BB537" s="203"/>
      <c r="BE537" s="274">
        <f>G537/30</f>
        <v>5.534466666666666</v>
      </c>
      <c r="BF537" s="280"/>
      <c r="BH537" s="270"/>
      <c r="BI537" s="270"/>
      <c r="BK537" s="274">
        <f t="shared" si="189"/>
        <v>2605</v>
      </c>
      <c r="BL537" s="280">
        <f t="shared" si="302"/>
        <v>167.01479999999998</v>
      </c>
    </row>
    <row r="538" spans="1:64">
      <c r="A538" s="266">
        <v>45413</v>
      </c>
      <c r="B538" s="290">
        <f t="shared" si="252"/>
        <v>7.08316017921147</v>
      </c>
      <c r="C538" s="277">
        <f t="shared" si="299"/>
        <v>0.26669888888888899</v>
      </c>
      <c r="D538" s="276">
        <f>'NASS Crush'!C113-'NOPA Crush'!G538</f>
        <v>8.0009666666666703</v>
      </c>
      <c r="E538" s="290">
        <f>E537+0.055</f>
        <v>6.8164612903225814</v>
      </c>
      <c r="F538" s="277">
        <f t="shared" si="296"/>
        <v>211.31030000000001</v>
      </c>
      <c r="G538" s="277">
        <v>183.625</v>
      </c>
      <c r="H538" s="281">
        <f t="shared" si="297"/>
        <v>0.86898272351134798</v>
      </c>
      <c r="I538" s="202">
        <v>4323.4880000000003</v>
      </c>
      <c r="J538" s="270">
        <v>47.09</v>
      </c>
      <c r="K538" s="270">
        <f>'NASS Crush'!K113-'NOPA Crush'!J538</f>
        <v>-5.1562794464707906E-2</v>
      </c>
      <c r="L538" s="202"/>
      <c r="M538" s="277"/>
      <c r="N538" s="202">
        <v>2186.087</v>
      </c>
      <c r="O538" s="270">
        <v>11.91</v>
      </c>
      <c r="P538" s="270">
        <f>'NASS Crush'!W113-'NOPA Crush'!O538</f>
        <v>-7.8795495530441073E-2</v>
      </c>
      <c r="Q538" s="202">
        <v>1723.556</v>
      </c>
      <c r="R538" s="199">
        <f t="shared" si="303"/>
        <v>0.78777374648175724</v>
      </c>
      <c r="S538" s="202">
        <f>'NASS Crush'!P113+'NASS Crush'!T113-'NOPA Crush'!Q538</f>
        <v>464.32600000000002</v>
      </c>
      <c r="T538" s="301">
        <f>R538+'NASS Crush'!V136</f>
        <v>0.86205935171030956</v>
      </c>
      <c r="U538" s="302">
        <f>'[1]Soy Complex'!$BM490-Q538</f>
        <v>464.32600000000002</v>
      </c>
      <c r="V538" s="202">
        <v>18.076000000000001</v>
      </c>
      <c r="W538" s="202">
        <v>45.896999999999998</v>
      </c>
      <c r="X538" s="202">
        <v>19.541</v>
      </c>
      <c r="Y538" s="202">
        <v>31.988</v>
      </c>
      <c r="AB538" s="202">
        <v>39.584000000000003</v>
      </c>
      <c r="AC538" s="202">
        <v>28.539000000000001</v>
      </c>
      <c r="AD538" s="305">
        <v>178.36199999999999</v>
      </c>
      <c r="AE538" s="278">
        <f t="shared" si="300"/>
        <v>183.625</v>
      </c>
      <c r="AF538" s="278">
        <f t="shared" si="304"/>
        <v>5.2630000000000052</v>
      </c>
      <c r="AG538" s="278">
        <f t="shared" si="305"/>
        <v>0</v>
      </c>
      <c r="AH538" s="202">
        <f t="shared" si="301"/>
        <v>1.2520000000000024</v>
      </c>
      <c r="AI538" s="202">
        <f t="shared" ref="AI538:AI543" si="306">J538+O538</f>
        <v>59</v>
      </c>
      <c r="BB538" s="203"/>
      <c r="BE538" s="274">
        <f t="shared" si="268"/>
        <v>5.9233870967741939</v>
      </c>
      <c r="BF538" s="280"/>
      <c r="BH538" s="270"/>
      <c r="BI538" s="270"/>
      <c r="BK538" s="274">
        <f t="shared" si="189"/>
        <v>2585</v>
      </c>
      <c r="BL538" s="280">
        <f t="shared" si="302"/>
        <v>167.37860000000001</v>
      </c>
    </row>
    <row r="539" spans="1:64">
      <c r="A539" s="266">
        <v>45444</v>
      </c>
      <c r="B539" s="290">
        <f t="shared" si="252"/>
        <v>7.181092473118281</v>
      </c>
      <c r="C539" s="277">
        <f t="shared" ref="C539" si="307">D539/(A539-A538)</f>
        <v>0.25463118279569957</v>
      </c>
      <c r="D539" s="276">
        <f>'NASS Crush'!C114-'NOPA Crush'!G539</f>
        <v>7.8935666666666862</v>
      </c>
      <c r="E539" s="290">
        <f>E538+0.11</f>
        <v>6.9264612903225817</v>
      </c>
      <c r="F539" s="277">
        <f t="shared" si="296"/>
        <v>207.79383870967746</v>
      </c>
      <c r="G539" s="277">
        <v>175.59899999999999</v>
      </c>
      <c r="H539" s="281">
        <f t="shared" si="297"/>
        <v>0.84506355477334916</v>
      </c>
      <c r="I539" s="202">
        <v>4134.7389999999996</v>
      </c>
      <c r="J539" s="270">
        <v>47.09</v>
      </c>
      <c r="K539" s="270">
        <f>'NASS Crush'!K114-'NOPA Crush'!J539</f>
        <v>0.11278405464926067</v>
      </c>
      <c r="L539" s="202"/>
      <c r="M539" s="277"/>
      <c r="N539" s="202">
        <v>2077.712</v>
      </c>
      <c r="O539" s="270">
        <v>11.89</v>
      </c>
      <c r="P539" s="270">
        <f>'NASS Crush'!W114-'NOPA Crush'!O539</f>
        <v>2.8523353443734578E-3</v>
      </c>
      <c r="Q539" s="202">
        <v>1622.269</v>
      </c>
      <c r="R539" s="199">
        <f t="shared" ref="R539" si="308">Q539/(Q539+S539)</f>
        <v>0.76342393920727192</v>
      </c>
      <c r="S539" s="202">
        <f>'NASS Crush'!P114+'NASS Crush'!T114-'NOPA Crush'!Q539</f>
        <v>502.72199999999998</v>
      </c>
      <c r="T539" s="301">
        <f>R539+'NASS Crush'!V137</f>
        <v>0.78434450914180665</v>
      </c>
      <c r="U539" s="302">
        <f>'[1]Soy Complex'!$BM491-Q539</f>
        <v>502.72199999999998</v>
      </c>
      <c r="V539" s="202">
        <v>19.442</v>
      </c>
      <c r="W539" s="202">
        <v>42.853000000000002</v>
      </c>
      <c r="X539" s="202">
        <v>21.042999999999999</v>
      </c>
      <c r="Y539" s="202">
        <v>33.006999999999998</v>
      </c>
      <c r="AB539" s="202">
        <v>31.297999999999998</v>
      </c>
      <c r="AC539" s="202">
        <v>27.956</v>
      </c>
      <c r="AD539" s="305">
        <v>175.59899999999999</v>
      </c>
      <c r="AE539" s="278">
        <f t="shared" si="300"/>
        <v>175.59899999999999</v>
      </c>
      <c r="AF539" s="278">
        <f>AE539-AD539</f>
        <v>0</v>
      </c>
      <c r="AG539" s="278">
        <f t="shared" si="305"/>
        <v>0</v>
      </c>
      <c r="AH539" s="202">
        <f t="shared" ref="AH539" si="309">AB539-AB538</f>
        <v>-8.2860000000000049</v>
      </c>
      <c r="AI539" s="202">
        <f t="shared" si="306"/>
        <v>58.980000000000004</v>
      </c>
      <c r="BE539" s="274">
        <f>G539/30</f>
        <v>5.8532999999999999</v>
      </c>
      <c r="BK539" s="274">
        <f t="shared" si="189"/>
        <v>2620</v>
      </c>
      <c r="BL539" s="280">
        <f t="shared" si="302"/>
        <v>159.64320000000001</v>
      </c>
    </row>
    <row r="540" spans="1:64">
      <c r="A540" s="266">
        <v>45474</v>
      </c>
      <c r="B540" s="290">
        <f t="shared" si="252"/>
        <v>7.2607185418829179</v>
      </c>
      <c r="C540" s="277">
        <f>D540/(A540-A539)</f>
        <v>0.33425725156033592</v>
      </c>
      <c r="D540" s="276">
        <f>G540*AVERAGE('NASS Crush'!E$140,'NASS Crush'!E$79,'NASS Crush'!E$67,'NASS Crush'!E$55,'NASS Crush'!E$43)</f>
        <v>10.027717546810077</v>
      </c>
      <c r="E540" s="290">
        <f>E539</f>
        <v>6.9264612903225817</v>
      </c>
      <c r="F540" s="277">
        <f t="shared" si="296"/>
        <v>214.72030000000004</v>
      </c>
      <c r="G540" s="277">
        <v>182.881</v>
      </c>
      <c r="H540" s="281">
        <f t="shared" si="297"/>
        <v>0.85171732714605919</v>
      </c>
      <c r="I540" s="202">
        <v>4298.8940000000002</v>
      </c>
      <c r="J540" s="270">
        <v>47.01</v>
      </c>
      <c r="K540" s="270">
        <f>'NASS Crush'!K115-'NOPA Crush'!J540</f>
        <v>5.9383539884727554E-2</v>
      </c>
      <c r="L540" s="202"/>
      <c r="M540" s="277"/>
      <c r="N540" s="202">
        <v>2182.9349999999999</v>
      </c>
      <c r="O540" s="270">
        <v>11.94</v>
      </c>
      <c r="P540" s="270">
        <f>'NASS Crush'!W115-'NOPA Crush'!O540</f>
        <v>-2.3878643048901083E-2</v>
      </c>
      <c r="Q540" s="202">
        <v>1499.154</v>
      </c>
      <c r="R540" s="199">
        <f t="shared" ref="R540:R541" si="310">Q540/(Q540+S540)</f>
        <v>0.74639177310826055</v>
      </c>
      <c r="S540" s="202">
        <f>'NASS Crush'!P115+'NASS Crush'!T115-'NOPA Crush'!Q540</f>
        <v>509.38099999999986</v>
      </c>
      <c r="T540" s="301">
        <f>R540+'NASS Crush'!V138</f>
        <v>0.77236353664001878</v>
      </c>
      <c r="U540" s="302">
        <f>'[1]Soy Complex'!$BM492-Q540</f>
        <v>509.38099999999986</v>
      </c>
      <c r="V540" s="202">
        <v>18.710999999999999</v>
      </c>
      <c r="W540" s="202">
        <v>43.76</v>
      </c>
      <c r="X540" s="202">
        <v>19.754000000000001</v>
      </c>
      <c r="Y540" s="202">
        <v>35.750999999999998</v>
      </c>
      <c r="AB540" s="202">
        <v>37.021000000000001</v>
      </c>
      <c r="AC540" s="202">
        <v>27.882999999999999</v>
      </c>
      <c r="AD540" s="305">
        <v>182.881</v>
      </c>
      <c r="AE540" s="278">
        <f t="shared" si="300"/>
        <v>182.88000000000002</v>
      </c>
      <c r="AF540" s="278">
        <f>AE540-AD540</f>
        <v>-9.9999999997635314E-4</v>
      </c>
      <c r="AG540" s="278">
        <f t="shared" si="305"/>
        <v>-9.9999999997635314E-4</v>
      </c>
      <c r="AH540" s="202">
        <f t="shared" ref="AH540" si="311">AB540-AB539</f>
        <v>5.7230000000000025</v>
      </c>
      <c r="AI540" s="202">
        <f t="shared" si="306"/>
        <v>58.949999999999996</v>
      </c>
      <c r="BE540" s="274">
        <f t="shared" si="268"/>
        <v>5.8993870967741939</v>
      </c>
      <c r="BK540" s="274">
        <f t="shared" si="189"/>
        <v>2650</v>
      </c>
      <c r="BL540" s="280">
        <f t="shared" si="302"/>
        <v>167.90299999999999</v>
      </c>
    </row>
    <row r="541" spans="1:64">
      <c r="A541" s="266">
        <v>45505</v>
      </c>
      <c r="B541" s="306">
        <f t="shared" si="252"/>
        <v>7.280016949941202</v>
      </c>
      <c r="C541" s="307">
        <f t="shared" si="299"/>
        <v>0.24605565961862069</v>
      </c>
      <c r="D541" s="308">
        <f>G541*AVERAGE('NASS Crush'!E$141,'NASS Crush'!E$80,'NASS Crush'!E$68,'NASS Crush'!E$56,'NASS Crush'!E$44)</f>
        <v>7.6277254481772419</v>
      </c>
      <c r="E541" s="306">
        <f>E540+0.1075</f>
        <v>7.0339612903225817</v>
      </c>
      <c r="F541" s="307">
        <f t="shared" si="296"/>
        <v>218.05280000000002</v>
      </c>
      <c r="G541" s="307">
        <v>158.00800000000001</v>
      </c>
      <c r="H541" s="309">
        <f t="shared" si="297"/>
        <v>0.72463183229016093</v>
      </c>
      <c r="I541" s="202">
        <v>3730.759</v>
      </c>
      <c r="J541" s="154">
        <v>47.22</v>
      </c>
      <c r="K541" s="270">
        <f>'NASS Crush'!K116-'NOPA Crush'!J541</f>
        <v>8.4856039253196514E-2</v>
      </c>
      <c r="L541" s="202"/>
      <c r="N541" s="202">
        <v>1882.9477850000001</v>
      </c>
      <c r="O541" s="278">
        <v>11.92</v>
      </c>
      <c r="P541" s="270">
        <f>'NASS Crush'!W116-'NOPA Crush'!O541</f>
        <v>-3.2280788310620423E-2</v>
      </c>
      <c r="Q541" s="202">
        <v>1138.3910000000001</v>
      </c>
      <c r="R541" s="310">
        <f t="shared" si="310"/>
        <v>0.69864326872386739</v>
      </c>
      <c r="S541" s="202">
        <f>'NASS Crush'!P116+'NASS Crush'!T116-'NOPA Crush'!Q541</f>
        <v>491.03999999999996</v>
      </c>
      <c r="T541" s="301">
        <f>R541+'NASS Crush'!V139</f>
        <v>0.69864326872386739</v>
      </c>
      <c r="U541" s="302">
        <f>'[1]Soy Complex'!$BM493-Q541</f>
        <v>491.03999999999996</v>
      </c>
      <c r="V541" s="202">
        <v>15.587</v>
      </c>
      <c r="W541" s="202">
        <v>34.384</v>
      </c>
      <c r="X541" s="202">
        <v>21.071000000000002</v>
      </c>
      <c r="Y541" s="202">
        <v>28.498999999999999</v>
      </c>
      <c r="AB541" s="202">
        <v>31.744</v>
      </c>
      <c r="AC541" s="202">
        <v>26.722000000000001</v>
      </c>
      <c r="AD541" s="202">
        <v>180.1218333333336</v>
      </c>
      <c r="AE541" s="202">
        <f t="shared" si="300"/>
        <v>158.00700000000001</v>
      </c>
      <c r="AF541" s="278">
        <f>AE541-AD541</f>
        <v>-22.114833333333593</v>
      </c>
      <c r="AG541" s="202">
        <f t="shared" si="305"/>
        <v>-1.0000000000047748E-3</v>
      </c>
      <c r="AH541" s="202">
        <f t="shared" ref="AH541" si="312">AB541-AB540</f>
        <v>-5.277000000000001</v>
      </c>
      <c r="AI541" s="202">
        <f t="shared" si="306"/>
        <v>59.14</v>
      </c>
      <c r="BE541" s="274">
        <f t="shared" si="268"/>
        <v>5.0970322580645169</v>
      </c>
      <c r="BK541" s="274">
        <f t="shared" si="189"/>
        <v>2655</v>
      </c>
      <c r="BL541" s="280">
        <f t="shared" si="302"/>
        <v>163.79479999999998</v>
      </c>
    </row>
    <row r="542" spans="1:64">
      <c r="A542" s="266">
        <v>45536</v>
      </c>
      <c r="B542" s="290">
        <f t="shared" si="252"/>
        <v>7.4365835212600535</v>
      </c>
      <c r="C542" s="277">
        <f t="shared" si="299"/>
        <v>0.28112223093747152</v>
      </c>
      <c r="D542" s="276">
        <f>G542*AVERAGE('NASS Crush'!E$142,'NASS Crush'!E$81,'NASS Crush'!E$69,'NASS Crush'!E$57,'NASS Crush'!E$45)</f>
        <v>8.7147891590616169</v>
      </c>
      <c r="E542" s="290">
        <f>E541+0.1215</f>
        <v>7.1554612903225818</v>
      </c>
      <c r="F542" s="277">
        <f t="shared" si="296"/>
        <v>214.66383870967746</v>
      </c>
      <c r="G542" s="277">
        <v>177.32</v>
      </c>
      <c r="H542" s="281">
        <f t="shared" si="297"/>
        <v>0.82603572667782565</v>
      </c>
      <c r="I542" s="202">
        <v>4164.8370000000004</v>
      </c>
      <c r="J542" s="277">
        <v>46.98</v>
      </c>
      <c r="K542" s="270">
        <f>'NASS Crush'!K117-'NOPA Crush'!J542</f>
        <v>-0.12950327027512998</v>
      </c>
      <c r="N542" s="202">
        <v>2114.7386660000002</v>
      </c>
      <c r="O542" s="202">
        <v>11.93</v>
      </c>
      <c r="P542" s="270">
        <f>'NASS Crush'!W117-'NOPA Crush'!O542</f>
        <v>-0.12672052038437265</v>
      </c>
      <c r="Q542" s="202">
        <v>1066.2729999999999</v>
      </c>
      <c r="R542" s="310">
        <f t="shared" ref="R542:R546" si="313">Q542/(Q542+S542)</f>
        <v>0.68753747925341957</v>
      </c>
      <c r="S542" s="202">
        <f>'NASS Crush'!P117+'NASS Crush'!T117-'NOPA Crush'!Q542</f>
        <v>484.58500000000026</v>
      </c>
      <c r="T542" s="301">
        <f>R542+'NASS Crush'!V140</f>
        <v>0.68753747925341957</v>
      </c>
      <c r="U542" s="302">
        <f>'[1]Soy Complex'!$BM494-Q542</f>
        <v>484.58500000000026</v>
      </c>
      <c r="V542" s="202">
        <v>16.664999999999999</v>
      </c>
      <c r="W542" s="202">
        <v>46.093000000000004</v>
      </c>
      <c r="X542" s="202">
        <v>18.533000000000001</v>
      </c>
      <c r="Y542" s="202">
        <v>28.823</v>
      </c>
      <c r="AB542" s="202">
        <v>40.308999999999997</v>
      </c>
      <c r="AC542" s="202">
        <v>26.896999999999998</v>
      </c>
      <c r="AD542" s="202">
        <v>186.50316666666669</v>
      </c>
      <c r="AE542" s="202">
        <f t="shared" si="300"/>
        <v>177.32</v>
      </c>
      <c r="AF542" s="311">
        <f>AE542-AD542</f>
        <v>-9.1831666666666933</v>
      </c>
      <c r="AG542" s="312">
        <f t="shared" ref="AG542:AG543" si="314">AE542-G542</f>
        <v>0</v>
      </c>
      <c r="AH542" s="312">
        <f t="shared" ref="AH542:AH543" si="315">AB542-AB541</f>
        <v>8.5649999999999977</v>
      </c>
      <c r="AI542" s="312">
        <f t="shared" si="306"/>
        <v>58.91</v>
      </c>
      <c r="BE542" s="274">
        <f>G542/30</f>
        <v>5.9106666666666667</v>
      </c>
      <c r="BK542" s="274">
        <f t="shared" si="189"/>
        <v>2715</v>
      </c>
      <c r="BL542" s="280">
        <f t="shared" si="302"/>
        <v>158.28440000000001</v>
      </c>
    </row>
    <row r="543" spans="1:64">
      <c r="A543" s="266">
        <v>45566</v>
      </c>
      <c r="B543" s="290">
        <f t="shared" si="252"/>
        <v>7.7061550041637457</v>
      </c>
      <c r="C543" s="277">
        <f t="shared" si="299"/>
        <v>0.44069371384116318</v>
      </c>
      <c r="D543" s="276">
        <f>G543*AVERAGE('NASS Crush'!E$131,'NASS Crush'!E$70,'NASS Crush'!E$58,'NASS Crush'!E$46,'NASS Crush'!E$34)</f>
        <v>13.220811415234895</v>
      </c>
      <c r="E543" s="290">
        <f>E542+0.11</f>
        <v>7.2654612903225821</v>
      </c>
      <c r="F543" s="277">
        <f t="shared" si="296"/>
        <v>225.22930000000005</v>
      </c>
      <c r="G543" s="277">
        <v>199.959</v>
      </c>
      <c r="H543" s="281">
        <f t="shared" si="297"/>
        <v>0.88780189788806319</v>
      </c>
      <c r="I543" s="202">
        <v>4705.7550000000001</v>
      </c>
      <c r="J543" s="154">
        <v>47.07</v>
      </c>
      <c r="K543" s="270">
        <f>'NASS Crush'!K118-'NOPA Crush'!J543</f>
        <v>9.5328081978472312E-2</v>
      </c>
      <c r="N543" s="202">
        <v>2370.5045150000001</v>
      </c>
      <c r="O543" s="202">
        <v>11.85</v>
      </c>
      <c r="P543" s="270">
        <f>'NASS Crush'!W118-'NOPA Crush'!O543</f>
        <v>-6.2938464238223801E-2</v>
      </c>
      <c r="Q543" s="202">
        <v>1066.5609999999999</v>
      </c>
      <c r="R543" s="310">
        <f t="shared" si="313"/>
        <v>0.66989861964182407</v>
      </c>
      <c r="S543" s="202">
        <f>'NASS Crush'!P118+'NASS Crush'!T118-'NOPA Crush'!Q543</f>
        <v>525.56200000000013</v>
      </c>
      <c r="T543" s="301">
        <f>R543+'NASS Crush'!V141</f>
        <v>0.66989861964182407</v>
      </c>
      <c r="U543" s="302">
        <f>'[1]Soy Complex'!$BN483-Q543</f>
        <v>525.56200000000013</v>
      </c>
      <c r="V543" s="202">
        <v>21.244</v>
      </c>
      <c r="W543" s="202">
        <v>47.843000000000004</v>
      </c>
      <c r="X543" s="202">
        <v>21.271000000000001</v>
      </c>
      <c r="Y543" s="202">
        <v>36.112000000000002</v>
      </c>
      <c r="AB543" s="202">
        <v>40.588999999999999</v>
      </c>
      <c r="AC543" s="202">
        <v>32.902000000000001</v>
      </c>
      <c r="AD543" s="202">
        <v>201</v>
      </c>
      <c r="AE543" s="202">
        <f t="shared" si="300"/>
        <v>199.96100000000001</v>
      </c>
      <c r="AF543" s="311">
        <f>AE543-AD543</f>
        <v>-1.0389999999999873</v>
      </c>
      <c r="AG543" s="202">
        <f t="shared" si="314"/>
        <v>2.0000000000095497E-3</v>
      </c>
      <c r="AH543" s="312">
        <f t="shared" si="315"/>
        <v>0.28000000000000114</v>
      </c>
      <c r="AI543" s="278">
        <f t="shared" si="306"/>
        <v>58.92</v>
      </c>
      <c r="BE543" s="274">
        <f t="shared" si="268"/>
        <v>6.4502903225806456</v>
      </c>
      <c r="BK543" s="274">
        <f t="shared" si="189"/>
        <v>2815</v>
      </c>
      <c r="BL543" s="280">
        <f t="shared" si="302"/>
        <v>183.77460000000002</v>
      </c>
    </row>
    <row r="544" spans="1:64">
      <c r="A544" s="266">
        <v>45597</v>
      </c>
      <c r="B544" s="290">
        <f t="shared" si="252"/>
        <v>7.6375596520257547</v>
      </c>
      <c r="C544" s="290">
        <f t="shared" si="299"/>
        <v>0.37209836170317273</v>
      </c>
      <c r="D544" s="313">
        <f>G544*AVERAGE('NASS Crush'!E$132,'NASS Crush'!E$71,'NASS Crush'!E$59,'NASS Crush'!E$47,'NASS Crush'!E$35)</f>
        <v>11.535049212798354</v>
      </c>
      <c r="E544" s="290">
        <f>E543</f>
        <v>7.2654612903225821</v>
      </c>
      <c r="F544" s="277">
        <f t="shared" si="296"/>
        <v>217.96383870967747</v>
      </c>
      <c r="G544" s="277">
        <v>193.185</v>
      </c>
      <c r="H544" s="281">
        <f t="shared" si="297"/>
        <v>0.88631674475745359</v>
      </c>
      <c r="I544" s="202">
        <v>4582.8040000000001</v>
      </c>
      <c r="J544" s="154">
        <v>47.44</v>
      </c>
      <c r="K544" s="270">
        <f>'NASS Crush'!K119-'NOPA Crush'!J544</f>
        <v>-7.0058441017415873E-2</v>
      </c>
      <c r="N544" s="202">
        <v>2298.5496920000001</v>
      </c>
      <c r="O544" s="202">
        <v>11.9</v>
      </c>
      <c r="P544" s="270">
        <f>'NASS Crush'!W119-'NOPA Crush'!O544</f>
        <v>-4.5443147959327135E-2</v>
      </c>
      <c r="Q544" s="202">
        <v>1084.3050000000001</v>
      </c>
      <c r="R544" s="310">
        <f t="shared" si="313"/>
        <v>0.67008971361722569</v>
      </c>
      <c r="S544" s="202">
        <f>'NASS Crush'!P119+'NASS Crush'!T119-'NOPA Crush'!Q544</f>
        <v>533.84399999999982</v>
      </c>
      <c r="T544" s="301">
        <f>R544+'NASS Crush'!V142</f>
        <v>0.67008971361722569</v>
      </c>
      <c r="U544" s="302">
        <f>'[1]Soy Complex'!$BN484-Q544</f>
        <v>533.84399999999982</v>
      </c>
      <c r="V544" s="202">
        <v>21.257000000000001</v>
      </c>
      <c r="W544" s="202">
        <v>46.703000000000003</v>
      </c>
      <c r="X544" s="202">
        <v>21.532</v>
      </c>
      <c r="Y544" s="202">
        <v>35.692999999999998</v>
      </c>
      <c r="AB544" s="202">
        <v>37.265999999999998</v>
      </c>
      <c r="AC544" s="202">
        <v>30.774999999999999</v>
      </c>
      <c r="AD544" s="202">
        <v>201</v>
      </c>
      <c r="AE544" s="202">
        <f t="shared" si="300"/>
        <v>193.226</v>
      </c>
      <c r="AF544" s="311">
        <f t="shared" ref="AF544:AF546" si="316">AE544-AD544</f>
        <v>-7.7740000000000009</v>
      </c>
      <c r="AG544" s="202">
        <f t="shared" ref="AG544:AG548" si="317">AE544-G544</f>
        <v>4.0999999999996817E-2</v>
      </c>
      <c r="AH544" s="312">
        <f t="shared" ref="AH544:AH546" si="318">AB544-AB543</f>
        <v>-3.3230000000000004</v>
      </c>
      <c r="AI544" s="278">
        <f t="shared" ref="AI544:AI548" si="319">J544+O544</f>
        <v>59.339999999999996</v>
      </c>
      <c r="BE544" s="274">
        <f>G544/30</f>
        <v>6.4394999999999998</v>
      </c>
      <c r="BK544" s="274">
        <f t="shared" si="189"/>
        <v>2790</v>
      </c>
      <c r="BL544" s="280">
        <f t="shared" si="302"/>
        <v>178.72219999999999</v>
      </c>
    </row>
    <row r="545" spans="1:64">
      <c r="A545" s="266">
        <v>45627</v>
      </c>
      <c r="B545" s="290">
        <f t="shared" si="252"/>
        <v>7.680599342624352</v>
      </c>
      <c r="C545" s="290">
        <f t="shared" si="299"/>
        <v>0.41513805230176953</v>
      </c>
      <c r="D545" s="313">
        <f>G545*AVERAGE('NASS Crush'!E$133,'NASS Crush'!E$72,'NASS Crush'!E$60,'NASS Crush'!E$48,'NASS Crush'!E$36)</f>
        <v>12.454141569053085</v>
      </c>
      <c r="E545" s="290">
        <f t="shared" ref="E545:E555" si="320">E544</f>
        <v>7.2654612903225821</v>
      </c>
      <c r="F545" s="277">
        <f t="shared" si="296"/>
        <v>225.22930000000005</v>
      </c>
      <c r="G545" s="277">
        <v>206.60400000000001</v>
      </c>
      <c r="H545" s="281">
        <f t="shared" si="297"/>
        <v>0.91730516411497065</v>
      </c>
      <c r="I545" s="202">
        <v>4899.5150000000003</v>
      </c>
      <c r="J545" s="154">
        <v>47.43</v>
      </c>
      <c r="K545" s="270">
        <f>'NASS Crush'!K120-'NOPA Crush'!J545</f>
        <v>-5.9300620130571247E-3</v>
      </c>
      <c r="M545" s="154">
        <f>Q545/Q533-1</f>
        <v>-9.1052008500187465E-2</v>
      </c>
      <c r="N545" s="202">
        <v>2444.2066890000001</v>
      </c>
      <c r="O545" s="202">
        <v>11.83</v>
      </c>
      <c r="P545" s="270">
        <f>'NASS Crush'!W120-'NOPA Crush'!O545</f>
        <v>-1.2797142814708451E-2</v>
      </c>
      <c r="Q545" s="202">
        <v>1236.1420000000001</v>
      </c>
      <c r="R545" s="310">
        <f t="shared" si="313"/>
        <v>0.7326605800393079</v>
      </c>
      <c r="S545" s="202">
        <f>'NASS Crush'!P120+'NASS Crush'!T120-'NOPA Crush'!Q545</f>
        <v>451.05399999999986</v>
      </c>
      <c r="T545" s="301">
        <f>R545+'NASS Crush'!V143</f>
        <v>0.7326605800393079</v>
      </c>
      <c r="U545" s="302">
        <f>'[1]Soy Complex'!$BN485-Q545</f>
        <v>451.05399999999986</v>
      </c>
      <c r="V545" s="202">
        <v>21.257999999999999</v>
      </c>
      <c r="W545" s="202">
        <v>46.661999999999999</v>
      </c>
      <c r="X545" s="202">
        <v>20.928000000000001</v>
      </c>
      <c r="Y545" s="202">
        <v>41.87</v>
      </c>
      <c r="AB545" s="202">
        <v>41.167999999999999</v>
      </c>
      <c r="AC545" s="202">
        <v>34.718000000000004</v>
      </c>
      <c r="AD545" s="202">
        <v>201</v>
      </c>
      <c r="AE545" s="202">
        <f t="shared" si="300"/>
        <v>206.60399999999998</v>
      </c>
      <c r="AF545" s="311">
        <f t="shared" si="316"/>
        <v>5.603999999999985</v>
      </c>
      <c r="AG545" s="202">
        <f t="shared" si="317"/>
        <v>0</v>
      </c>
      <c r="AH545" s="312">
        <f t="shared" si="318"/>
        <v>3.902000000000001</v>
      </c>
      <c r="AI545" s="278">
        <f t="shared" si="319"/>
        <v>59.26</v>
      </c>
      <c r="BE545" s="274">
        <f t="shared" si="268"/>
        <v>6.6646451612903226</v>
      </c>
      <c r="BK545" s="274">
        <f t="shared" si="189"/>
        <v>2805</v>
      </c>
      <c r="BL545" s="280">
        <f>AVERAGE(G533,G521,G509,G497,G485)</f>
        <v>183.44839999999999</v>
      </c>
    </row>
    <row r="546" spans="1:64">
      <c r="A546" s="266">
        <v>45658</v>
      </c>
      <c r="B546" s="290">
        <f t="shared" si="252"/>
        <v>7.6127103228654187</v>
      </c>
      <c r="C546" s="290">
        <f t="shared" si="299"/>
        <v>0.34724903254283679</v>
      </c>
      <c r="D546" s="313">
        <f>G546*AVERAGE('NASS Crush'!E$134,'NASS Crush'!E$73,'NASS Crush'!E$61,'NASS Crush'!E$49,'NASS Crush'!E$37)</f>
        <v>10.76472000882794</v>
      </c>
      <c r="E546" s="290">
        <f t="shared" si="320"/>
        <v>7.2654612903225821</v>
      </c>
      <c r="F546" s="290">
        <f t="shared" si="296"/>
        <v>225.22930000000005</v>
      </c>
      <c r="G546" s="277">
        <v>200.38300000000001</v>
      </c>
      <c r="H546" s="281">
        <f t="shared" si="297"/>
        <v>0.88968442382940394</v>
      </c>
      <c r="I546" s="202">
        <v>4751.9179999999997</v>
      </c>
      <c r="J546" s="154">
        <v>47.43</v>
      </c>
      <c r="K546" s="270">
        <f>'NASS Crush'!K128-'NOPA Crush'!J546</f>
        <v>-47.43</v>
      </c>
      <c r="N546" s="202">
        <v>2400.52216</v>
      </c>
      <c r="O546" s="202">
        <v>11.83</v>
      </c>
      <c r="P546" s="270">
        <f>'NASS Crush'!W121-'NOPA Crush'!O546</f>
        <v>5.7101896219556636E-2</v>
      </c>
      <c r="Q546" s="314">
        <v>1503.0989999999999</v>
      </c>
      <c r="R546" s="310" t="e">
        <f t="shared" si="313"/>
        <v>#DIV/0!</v>
      </c>
      <c r="S546" s="202">
        <f>'NASS Crush'!P128+'NASS Crush'!T128-'NOPA Crush'!Q546</f>
        <v>-1503.0989999999999</v>
      </c>
      <c r="T546" s="301" t="e">
        <f>R546+'NASS Crush'!V144</f>
        <v>#DIV/0!</v>
      </c>
      <c r="U546" s="302">
        <f>'[1]Soy Complex'!$BN486-Q546</f>
        <v>587.12900000000013</v>
      </c>
      <c r="V546" s="202">
        <v>18.760000000000002</v>
      </c>
      <c r="W546" s="202">
        <v>45.834000000000003</v>
      </c>
      <c r="X546" s="202">
        <v>20.632999999999999</v>
      </c>
      <c r="Y546" s="202">
        <v>38.164999999999999</v>
      </c>
      <c r="AB546" s="202">
        <v>41.115000000000002</v>
      </c>
      <c r="AC546" s="202">
        <v>35.875999999999998</v>
      </c>
      <c r="AD546" s="202">
        <v>201</v>
      </c>
      <c r="AE546" s="202">
        <f t="shared" si="300"/>
        <v>200.38300000000001</v>
      </c>
      <c r="AF546" s="311">
        <f t="shared" si="316"/>
        <v>-0.61699999999999022</v>
      </c>
      <c r="AG546" s="202">
        <f t="shared" si="317"/>
        <v>0</v>
      </c>
      <c r="AH546" s="312">
        <f t="shared" si="318"/>
        <v>-5.2999999999997272E-2</v>
      </c>
      <c r="AI546" s="278">
        <f t="shared" si="319"/>
        <v>59.26</v>
      </c>
      <c r="BE546" s="274">
        <f t="shared" si="268"/>
        <v>6.463967741935484</v>
      </c>
      <c r="BK546" s="274">
        <f t="shared" si="189"/>
        <v>2780</v>
      </c>
    </row>
    <row r="547" spans="1:64">
      <c r="A547" s="266">
        <v>45689</v>
      </c>
      <c r="B547" s="290">
        <f t="shared" si="252"/>
        <v>7.5410187870510237</v>
      </c>
      <c r="C547" s="290">
        <f t="shared" si="299"/>
        <v>0.27555749672844126</v>
      </c>
      <c r="D547" s="313">
        <f>G547*AVERAGE('NASS Crush'!E$135,'NASS Crush'!E$74,'NASS Crush'!E$62,'NASS Crush'!E$50,'NASS Crush'!E$38)</f>
        <v>8.5422823985816798</v>
      </c>
      <c r="E547" s="290">
        <f t="shared" si="320"/>
        <v>7.2654612903225821</v>
      </c>
      <c r="F547" s="290">
        <f t="shared" si="296"/>
        <v>203.43291612903229</v>
      </c>
      <c r="G547" s="277">
        <v>177.87</v>
      </c>
      <c r="H547" s="281">
        <f t="shared" si="297"/>
        <v>0.87434228139944481</v>
      </c>
      <c r="I547" s="202">
        <v>4226.7960000000003</v>
      </c>
      <c r="J547" s="154">
        <v>47.53</v>
      </c>
      <c r="N547" s="202">
        <v>2120.833846</v>
      </c>
      <c r="O547" s="202">
        <v>11.92</v>
      </c>
      <c r="P547" s="270">
        <f>'NASS Crush'!W122-'NOPA Crush'!O547</f>
        <v>-7.6831426630262101E-2</v>
      </c>
      <c r="Q547" s="314">
        <v>1498.0170000000001</v>
      </c>
      <c r="V547" s="202">
        <v>16.094000000000001</v>
      </c>
      <c r="W547" s="202">
        <v>41.055</v>
      </c>
      <c r="X547" s="202">
        <v>17.638000000000002</v>
      </c>
      <c r="Y547" s="202">
        <v>34.018999999999998</v>
      </c>
      <c r="AB547" s="202">
        <v>37.826999999999998</v>
      </c>
      <c r="AC547" s="202">
        <v>31.236999999999998</v>
      </c>
      <c r="AE547" s="202">
        <f t="shared" si="300"/>
        <v>177.87</v>
      </c>
      <c r="AG547" s="202">
        <f t="shared" si="317"/>
        <v>0</v>
      </c>
      <c r="AH547" s="278"/>
      <c r="AI547" s="278">
        <f t="shared" si="319"/>
        <v>59.45</v>
      </c>
      <c r="BE547" s="274">
        <f>G547/28</f>
        <v>6.3525</v>
      </c>
      <c r="BK547" s="274">
        <f t="shared" si="189"/>
        <v>2750</v>
      </c>
    </row>
    <row r="548" spans="1:64">
      <c r="A548" s="266">
        <v>45717</v>
      </c>
      <c r="B548" s="290">
        <f t="shared" si="252"/>
        <v>7.5885118454247165</v>
      </c>
      <c r="C548" s="290">
        <f t="shared" si="299"/>
        <v>0.32305055510213443</v>
      </c>
      <c r="D548" s="313">
        <f>G548*AVERAGE('NASS Crush'!E$136,'NASS Crush'!E$75,'NASS Crush'!E$63,'NASS Crush'!E$51,'NASS Crush'!E$39)</f>
        <v>9.0454155428597645</v>
      </c>
      <c r="E548" s="290">
        <f t="shared" si="320"/>
        <v>7.2654612903225821</v>
      </c>
      <c r="F548" s="290">
        <f t="shared" si="296"/>
        <v>225.22930000000005</v>
      </c>
      <c r="G548" s="277">
        <v>194.55099999999999</v>
      </c>
      <c r="H548" s="281">
        <f t="shared" si="297"/>
        <v>0.86379081229662369</v>
      </c>
      <c r="I548" s="202">
        <v>4626.1580000000004</v>
      </c>
      <c r="J548" s="154">
        <v>47.56</v>
      </c>
      <c r="N548" s="202">
        <v>2346.77252</v>
      </c>
      <c r="O548" s="202">
        <v>12.06</v>
      </c>
      <c r="P548" s="270">
        <f>'NASS Crush'!W128-'NOPA Crush'!O548</f>
        <v>-12.06</v>
      </c>
      <c r="Q548" s="314">
        <f>'[1]Soy Complex'!$BN488*(1-'NASS Crush'!V$130)</f>
        <v>1508.3601945167823</v>
      </c>
      <c r="V548" s="202">
        <v>19.37</v>
      </c>
      <c r="W548" s="202">
        <v>45.097999999999999</v>
      </c>
      <c r="X548" s="202">
        <v>17.36</v>
      </c>
      <c r="Y548" s="202">
        <v>38.204000000000001</v>
      </c>
      <c r="AB548" s="202">
        <v>41.540999999999997</v>
      </c>
      <c r="AC548" s="202">
        <v>32.978999999999999</v>
      </c>
      <c r="AE548" s="202">
        <f t="shared" si="300"/>
        <v>194.55200000000002</v>
      </c>
      <c r="AG548" s="202">
        <f t="shared" si="317"/>
        <v>1.0000000000331966E-3</v>
      </c>
      <c r="AH548" s="278"/>
      <c r="AI548" s="278">
        <f t="shared" si="319"/>
        <v>59.620000000000005</v>
      </c>
      <c r="BE548" s="274">
        <f t="shared" si="268"/>
        <v>6.2758387096774193</v>
      </c>
      <c r="BK548" s="274">
        <f t="shared" si="189"/>
        <v>2770</v>
      </c>
    </row>
    <row r="549" spans="1:64">
      <c r="A549" s="266">
        <v>45748</v>
      </c>
      <c r="B549" s="290">
        <f t="shared" si="252"/>
        <v>7.5913167242117732</v>
      </c>
      <c r="C549" s="290">
        <f t="shared" si="299"/>
        <v>0.32585543388919075</v>
      </c>
      <c r="D549" s="313">
        <f>G549*AVERAGE('NASS Crush'!E$137,'NASS Crush'!E$76,'NASS Crush'!E$64,'NASS Crush'!E$52,'NASS Crush'!E$40)</f>
        <v>10.101518450564914</v>
      </c>
      <c r="E549" s="290">
        <f t="shared" si="320"/>
        <v>7.2654612903225821</v>
      </c>
      <c r="F549" s="290">
        <f t="shared" si="296"/>
        <v>217.96383870967747</v>
      </c>
      <c r="G549" s="277">
        <v>190.226</v>
      </c>
      <c r="H549" s="281">
        <f t="shared" si="297"/>
        <v>0.87274109836804814</v>
      </c>
      <c r="I549" s="202"/>
      <c r="N549" s="202"/>
      <c r="O549" s="202"/>
      <c r="Q549" s="314">
        <f>'[1]Soy Complex'!$BN489*(1-'NASS Crush'!V$130)</f>
        <v>1433.0542056135084</v>
      </c>
      <c r="R549" s="278">
        <f>Q540-Q528</f>
        <v>-27.837999999999965</v>
      </c>
      <c r="S549" s="315" t="s">
        <v>43</v>
      </c>
      <c r="T549" s="203">
        <f>R549/Q528</f>
        <v>-1.8230612865031359E-2</v>
      </c>
      <c r="AH549" s="278"/>
      <c r="AI549" s="278"/>
      <c r="BE549" s="274">
        <f>G549/30</f>
        <v>6.3408666666666669</v>
      </c>
    </row>
    <row r="550" spans="1:64">
      <c r="A550" s="266">
        <v>45778</v>
      </c>
      <c r="B550" s="290">
        <f t="shared" si="252"/>
        <v>7.5778043360756442</v>
      </c>
      <c r="C550" s="290">
        <f t="shared" si="299"/>
        <v>0.31234304575306177</v>
      </c>
      <c r="D550" s="313">
        <f>G550*AVERAGE('NASS Crush'!E$138,'NASS Crush'!E$77,'NASS Crush'!E$65,'NASS Crush'!E$53,'NASS Crush'!E$41)</f>
        <v>9.3702913725918524</v>
      </c>
      <c r="E550" s="290">
        <f t="shared" si="320"/>
        <v>7.2654612903225821</v>
      </c>
      <c r="F550" s="290">
        <f t="shared" si="296"/>
        <v>225.22930000000005</v>
      </c>
      <c r="G550" s="277">
        <v>192.82900000000001</v>
      </c>
      <c r="H550" s="281">
        <f t="shared" si="297"/>
        <v>0.85614527061976375</v>
      </c>
      <c r="N550" s="202"/>
      <c r="O550" s="202"/>
      <c r="Q550" s="314">
        <f>'[1]Soy Complex'!$BN490*(1-'NASS Crush'!V$130)</f>
        <v>1360.5877215360183</v>
      </c>
      <c r="R550" s="278">
        <f>Q540-Q539</f>
        <v>-123.11500000000001</v>
      </c>
      <c r="S550" s="315" t="s">
        <v>44</v>
      </c>
      <c r="T550" s="203">
        <f>R550/Q539</f>
        <v>-7.5890619866372355E-2</v>
      </c>
      <c r="AH550" s="278"/>
      <c r="AI550" s="278"/>
      <c r="BE550" s="274">
        <f t="shared" si="268"/>
        <v>6.2202903225806452</v>
      </c>
    </row>
    <row r="551" spans="1:64">
      <c r="A551" s="266">
        <v>45809</v>
      </c>
      <c r="B551" s="290">
        <f t="shared" si="252"/>
        <v>7.5591730238593264</v>
      </c>
      <c r="C551" s="290">
        <f t="shared" si="299"/>
        <v>0.29371173353674446</v>
      </c>
      <c r="D551" s="313">
        <f>G551*AVERAGE('NASS Crush'!E$139,'NASS Crush'!E$78,'NASS Crush'!E$66,'NASS Crush'!E$54,'NASS Crush'!E$42)</f>
        <v>9.1050637396390783</v>
      </c>
      <c r="E551" s="290">
        <f t="shared" si="320"/>
        <v>7.2654612903225821</v>
      </c>
      <c r="F551" s="290">
        <f t="shared" si="296"/>
        <v>217.96383870967747</v>
      </c>
      <c r="G551" s="277">
        <v>185.709</v>
      </c>
      <c r="H551" s="281">
        <f t="shared" si="297"/>
        <v>0.85201747729980049</v>
      </c>
      <c r="N551" s="202"/>
      <c r="O551" s="202"/>
      <c r="Q551" s="314">
        <f>'[1]Soy Complex'!$BN491*(1-'NASS Crush'!V$130)</f>
        <v>1374.1092767000257</v>
      </c>
      <c r="AH551" s="278"/>
      <c r="AI551" s="278"/>
      <c r="BE551" s="274">
        <f>G551/30</f>
        <v>6.1902999999999997</v>
      </c>
    </row>
    <row r="552" spans="1:64">
      <c r="A552" s="326">
        <v>45839</v>
      </c>
      <c r="B552" s="324">
        <f t="shared" si="252"/>
        <v>7.6151765512227261</v>
      </c>
      <c r="C552" s="324">
        <f t="shared" si="299"/>
        <v>0.34971526090014399</v>
      </c>
      <c r="D552" s="327">
        <f>G552*AVERAGE('NASS Crush'!E$140,'NASS Crush'!E$79,'NASS Crush'!E$67,'NASS Crush'!E$55,'NASS Crush'!E$43)</f>
        <v>10.49145782700432</v>
      </c>
      <c r="E552" s="324">
        <f t="shared" si="320"/>
        <v>7.2654612903225821</v>
      </c>
      <c r="F552" s="324">
        <f t="shared" si="296"/>
        <v>225.22930000000005</v>
      </c>
      <c r="G552" s="324">
        <f>'[1]Soy Complex'!$BN158*(1-'NASS Crush'!E$132)</f>
        <v>191.33848654031266</v>
      </c>
      <c r="H552" s="325">
        <f t="shared" si="297"/>
        <v>0.8495275105872665</v>
      </c>
      <c r="N552" s="202"/>
      <c r="O552" s="202"/>
      <c r="Q552" s="328">
        <f>'[1]Soy Complex'!$BN492*(1-'NASS Crush'!V$130)</f>
        <v>1647.6191777980443</v>
      </c>
      <c r="AH552" s="278"/>
      <c r="AI552" s="278"/>
      <c r="BE552" s="274">
        <f t="shared" si="268"/>
        <v>6.1722092432358924</v>
      </c>
    </row>
    <row r="553" spans="1:64">
      <c r="A553" s="326">
        <v>45870</v>
      </c>
      <c r="B553" s="324">
        <f t="shared" si="252"/>
        <v>7.5294549388484668</v>
      </c>
      <c r="C553" s="324">
        <f t="shared" si="299"/>
        <v>0.26399364852588453</v>
      </c>
      <c r="D553" s="327">
        <f>G553*AVERAGE('NASS Crush'!E$141,'NASS Crush'!E$80,'NASS Crush'!E$68,'NASS Crush'!E$56,'NASS Crush'!E$44)</f>
        <v>8.1838031043024202</v>
      </c>
      <c r="E553" s="324">
        <f t="shared" si="320"/>
        <v>7.2654612903225821</v>
      </c>
      <c r="F553" s="324">
        <f t="shared" si="296"/>
        <v>225.22930000000005</v>
      </c>
      <c r="G553" s="324">
        <f>'[1]Soy Complex'!$BN159*(1-'NASS Crush'!E$132)</f>
        <v>169.52712439507425</v>
      </c>
      <c r="H553" s="325">
        <f t="shared" si="297"/>
        <v>0.7526868147042779</v>
      </c>
      <c r="N553" s="202"/>
      <c r="O553" s="202"/>
      <c r="Q553" s="328">
        <f>'[1]Soy Complex'!$BN493*(1-'NASS Crush'!V$130)</f>
        <v>1575.4458024686796</v>
      </c>
      <c r="AH553" s="278"/>
      <c r="AI553" s="278"/>
      <c r="BE553" s="274">
        <f t="shared" si="268"/>
        <v>5.468616915970137</v>
      </c>
    </row>
    <row r="554" spans="1:64">
      <c r="A554" s="326">
        <v>45901</v>
      </c>
      <c r="B554" s="324">
        <f t="shared" si="252"/>
        <v>7.5404162687389329</v>
      </c>
      <c r="C554" s="324">
        <f t="shared" si="299"/>
        <v>0.27495497841635058</v>
      </c>
      <c r="D554" s="327">
        <f>G554*AVERAGE('NASS Crush'!E$142,'NASS Crush'!E$81,'NASS Crush'!E$69,'NASS Crush'!E$57,'NASS Crush'!E$45)</f>
        <v>8.5236043309068688</v>
      </c>
      <c r="E554" s="324">
        <f t="shared" si="320"/>
        <v>7.2654612903225821</v>
      </c>
      <c r="F554" s="324">
        <f t="shared" si="296"/>
        <v>217.96383870967747</v>
      </c>
      <c r="G554" s="324">
        <f>'[1]Soy Complex'!$BO148*(1-'NASS Crush'!E$132)</f>
        <v>173.42995824343612</v>
      </c>
      <c r="H554" s="325">
        <f t="shared" si="297"/>
        <v>0.79568225293756456</v>
      </c>
      <c r="Q554" s="328">
        <f>'[1]Soy Complex'!$BN494*(1-'NASS Crush'!V$130)</f>
        <v>1853.0333432426362</v>
      </c>
      <c r="AH554" s="278"/>
      <c r="AI554" s="278"/>
      <c r="BE554" s="274">
        <f>G554/30</f>
        <v>5.7809986081145377</v>
      </c>
    </row>
    <row r="555" spans="1:64">
      <c r="A555" s="326">
        <v>45931</v>
      </c>
      <c r="B555" s="324">
        <f t="shared" si="252"/>
        <v>7.712083849680071</v>
      </c>
      <c r="C555" s="324">
        <f t="shared" si="299"/>
        <v>0.44662255935748912</v>
      </c>
      <c r="D555" s="327">
        <f>G555*AVERAGE('NASS Crush'!E$131,'NASS Crush'!E$70,'NASS Crush'!E$58,'NASS Crush'!E$46,'NASS Crush'!E$34)</f>
        <v>13.398676780724674</v>
      </c>
      <c r="E555" s="324">
        <f t="shared" si="320"/>
        <v>7.2654612903225821</v>
      </c>
      <c r="F555" s="324">
        <f t="shared" si="296"/>
        <v>225.22930000000005</v>
      </c>
      <c r="G555" s="324">
        <f>'[1]Soy Complex'!$BO149*(1-'NASS Crush'!E$132)</f>
        <v>202.64913599097156</v>
      </c>
      <c r="H555" s="325">
        <f t="shared" si="297"/>
        <v>0.89974588559735125</v>
      </c>
      <c r="Q555" s="328">
        <f>'[1]Soy Complex'!$BO483*(1-'NASS Crush'!V$130)</f>
        <v>2099.2852851176503</v>
      </c>
      <c r="AH555" s="278"/>
      <c r="AI555" s="278"/>
      <c r="BE555" s="274">
        <f t="shared" si="268"/>
        <v>6.5370689029345668</v>
      </c>
    </row>
    <row r="556" spans="1:64">
      <c r="A556" s="326">
        <v>45962</v>
      </c>
      <c r="B556" s="324">
        <f t="shared" si="252"/>
        <v>7.7803720840385377</v>
      </c>
      <c r="C556" s="324">
        <f t="shared" si="299"/>
        <v>0.36491079371595481</v>
      </c>
      <c r="D556" s="327">
        <f>G556*AVERAGE('NASS Crush'!E$132,'NASS Crush'!E$71,'NASS Crush'!E$59,'NASS Crush'!E$47,'NASS Crush'!E$35)</f>
        <v>11.312234605194599</v>
      </c>
      <c r="E556" s="324">
        <f>E555+0.15</f>
        <v>7.4154612903225825</v>
      </c>
      <c r="F556" s="324">
        <f t="shared" si="296"/>
        <v>222.46383870967747</v>
      </c>
      <c r="G556" s="324">
        <f>'[1]Soy Complex'!$BO150*(1-'NASS Crush'!E$132)</f>
        <v>189.45337829853619</v>
      </c>
      <c r="H556" s="325">
        <f t="shared" si="297"/>
        <v>0.85161426413116514</v>
      </c>
      <c r="AH556" s="278"/>
      <c r="AI556" s="278"/>
      <c r="BE556" s="274">
        <f>G556/30</f>
        <v>6.315112609951206</v>
      </c>
    </row>
    <row r="557" spans="1:64">
      <c r="A557" s="326">
        <v>45992</v>
      </c>
      <c r="B557" s="324">
        <f t="shared" si="252"/>
        <v>7.8415918029712914</v>
      </c>
      <c r="C557" s="324">
        <f t="shared" si="299"/>
        <v>0.42613051264870883</v>
      </c>
      <c r="D557" s="327">
        <f>G557*AVERAGE('NASS Crush'!E$133,'NASS Crush'!E$72,'NASS Crush'!E$60,'NASS Crush'!E$48,'NASS Crush'!E$36)</f>
        <v>12.783915379461265</v>
      </c>
      <c r="E557" s="324">
        <f t="shared" ref="E557:E563" si="321">E556</f>
        <v>7.4154612903225825</v>
      </c>
      <c r="F557" s="324">
        <f t="shared" si="296"/>
        <v>229.87930000000006</v>
      </c>
      <c r="G557" s="324">
        <f>'[1]Soy Complex'!$BO151*(1-'NASS Crush'!E$132)</f>
        <v>212.07467719985394</v>
      </c>
      <c r="H557" s="325">
        <f t="shared" si="297"/>
        <v>0.92254795103279796</v>
      </c>
      <c r="AH557" s="278"/>
      <c r="AI557" s="278"/>
      <c r="BE557" s="274">
        <f t="shared" si="268"/>
        <v>6.8411186193501274</v>
      </c>
    </row>
    <row r="558" spans="1:64">
      <c r="A558" s="326">
        <v>46023</v>
      </c>
      <c r="B558" s="324">
        <f t="shared" si="252"/>
        <v>7.7797043871486018</v>
      </c>
      <c r="C558" s="324">
        <f t="shared" si="299"/>
        <v>0.36424309682601957</v>
      </c>
      <c r="D558" s="327">
        <f>G558*AVERAGE('NASS Crush'!E$134,'NASS Crush'!E$73,'NASS Crush'!E$61,'NASS Crush'!E$49,'NASS Crush'!E$37)</f>
        <v>11.291536001606607</v>
      </c>
      <c r="E558" s="324">
        <f t="shared" si="321"/>
        <v>7.4154612903225825</v>
      </c>
      <c r="F558" s="324">
        <f t="shared" si="296"/>
        <v>229.87930000000006</v>
      </c>
      <c r="G558" s="324">
        <f>'[1]Soy Complex'!$BO152*(1-'NASS Crush'!E$132)</f>
        <v>210.18956895807747</v>
      </c>
      <c r="H558" s="325">
        <f t="shared" si="297"/>
        <v>0.91434752480139547</v>
      </c>
      <c r="L558" s="350" t="s">
        <v>45</v>
      </c>
      <c r="M558" s="350"/>
      <c r="AH558" s="278"/>
      <c r="AI558" s="278"/>
      <c r="BE558" s="274">
        <f t="shared" si="268"/>
        <v>6.7803086760670155</v>
      </c>
    </row>
    <row r="559" spans="1:64">
      <c r="A559" s="326">
        <v>46054</v>
      </c>
      <c r="B559" s="324">
        <f t="shared" si="252"/>
        <v>7.71188426428591</v>
      </c>
      <c r="C559" s="324">
        <f t="shared" si="299"/>
        <v>0.29642297396332773</v>
      </c>
      <c r="D559" s="327">
        <f>G559*AVERAGE('NASS Crush'!E$135,'NASS Crush'!E$74,'NASS Crush'!E$62,'NASS Crush'!E$50,'NASS Crush'!E$38)</f>
        <v>9.1891121928631598</v>
      </c>
      <c r="E559" s="324">
        <f t="shared" si="321"/>
        <v>7.4154612903225825</v>
      </c>
      <c r="F559" s="324">
        <f t="shared" si="296"/>
        <v>207.63291612903231</v>
      </c>
      <c r="G559" s="324">
        <f>'[1]Soy Complex'!$BO153*(1-'NASS Crush'!E$132)</f>
        <v>191.33848654031266</v>
      </c>
      <c r="H559" s="325">
        <f t="shared" si="297"/>
        <v>0.92152289775387264</v>
      </c>
      <c r="J559" s="277">
        <f>G539-G527</f>
        <v>10.575999999999993</v>
      </c>
      <c r="K559" s="315" t="s">
        <v>43</v>
      </c>
      <c r="L559" s="317" t="s">
        <v>367</v>
      </c>
      <c r="M559" s="317" t="s">
        <v>368</v>
      </c>
      <c r="O559" s="278"/>
      <c r="P559" s="315"/>
      <c r="AH559" s="278"/>
      <c r="AI559" s="278"/>
      <c r="BE559" s="274">
        <f>G559/28</f>
        <v>6.8335173764397377</v>
      </c>
    </row>
    <row r="560" spans="1:64">
      <c r="A560" s="326">
        <v>46082</v>
      </c>
      <c r="B560" s="324">
        <f t="shared" si="252"/>
        <v>7.8916957269495835</v>
      </c>
      <c r="C560" s="324">
        <f t="shared" si="299"/>
        <v>0.36623443662700034</v>
      </c>
      <c r="D560" s="327">
        <f>G560*AVERAGE('NASS Crush'!E$136,'NASS Crush'!E$75,'NASS Crush'!E$63,'NASS Crush'!E$51,'NASS Crush'!E$39)</f>
        <v>10.25456422555601</v>
      </c>
      <c r="E560" s="324">
        <f>E559+0.11</f>
        <v>7.5254612903225828</v>
      </c>
      <c r="F560" s="324">
        <f t="shared" si="296"/>
        <v>233.28930000000005</v>
      </c>
      <c r="G560" s="324">
        <f>'[1]Soy Complex'!$BO154*(1-'NASS Crush'!E$132)</f>
        <v>220.5576642878481</v>
      </c>
      <c r="H560" s="325">
        <f t="shared" si="297"/>
        <v>0.94542554796918699</v>
      </c>
      <c r="J560" s="277">
        <f>G539-G538</f>
        <v>-8.0260000000000105</v>
      </c>
      <c r="K560" s="315" t="s">
        <v>44</v>
      </c>
      <c r="L560" s="318">
        <f>(J561/(1-'NASS Crush'!E$130))*330</f>
        <v>2081.2053450390081</v>
      </c>
      <c r="M560" s="277">
        <f>MAX(G5:G536)</f>
        <v>196.40600000000001</v>
      </c>
      <c r="N560" s="154" t="s">
        <v>382</v>
      </c>
      <c r="O560" s="278">
        <f>N540-N528</f>
        <v>119.37100000000009</v>
      </c>
      <c r="P560" s="315" t="s">
        <v>43</v>
      </c>
      <c r="AH560" s="278"/>
      <c r="AI560" s="278"/>
      <c r="BE560" s="274">
        <f t="shared" si="268"/>
        <v>7.1147633641241326</v>
      </c>
    </row>
    <row r="561" spans="1:57">
      <c r="A561" s="326">
        <v>46113</v>
      </c>
      <c r="B561" s="324">
        <f t="shared" si="252"/>
        <v>7.8564515772199934</v>
      </c>
      <c r="C561" s="324">
        <f t="shared" si="299"/>
        <v>0.33099028689741061</v>
      </c>
      <c r="D561" s="327">
        <f>G561*AVERAGE('NASS Crush'!E$137,'NASS Crush'!E$76,'NASS Crush'!E$64,'NASS Crush'!E$52,'NASS Crush'!E$40)</f>
        <v>10.260698893819729</v>
      </c>
      <c r="E561" s="324">
        <f t="shared" si="321"/>
        <v>7.5254612903225828</v>
      </c>
      <c r="F561" s="324">
        <f t="shared" si="296"/>
        <v>225.76383870967749</v>
      </c>
      <c r="G561" s="324">
        <f>'[1]Soy Complex'!$BO155*(1-'NASS Crush'!E$132)</f>
        <v>193.22359478208915</v>
      </c>
      <c r="H561" s="325">
        <f t="shared" si="297"/>
        <v>0.85586600531968415</v>
      </c>
      <c r="J561" s="286">
        <f>G539/30</f>
        <v>5.8532999999999999</v>
      </c>
      <c r="K561" s="275" t="s">
        <v>46</v>
      </c>
      <c r="L561" s="318">
        <f>(J561/(1-'NASS Crush'!E$130))*330</f>
        <v>2081.2053450390081</v>
      </c>
      <c r="O561" s="278">
        <f>N540-N539</f>
        <v>105.22299999999996</v>
      </c>
      <c r="P561" s="315" t="s">
        <v>44</v>
      </c>
      <c r="AH561" s="278"/>
      <c r="AI561" s="278"/>
      <c r="BE561" s="274">
        <f>G561/30</f>
        <v>6.4407864927363052</v>
      </c>
    </row>
    <row r="562" spans="1:57">
      <c r="A562" s="326">
        <v>46143</v>
      </c>
      <c r="B562" s="324">
        <f t="shared" si="252"/>
        <v>7.8460772102833758</v>
      </c>
      <c r="C562" s="324">
        <f t="shared" si="299"/>
        <v>0.32061591996079325</v>
      </c>
      <c r="D562" s="327">
        <f>G562*AVERAGE('NASS Crush'!E$138,'NASS Crush'!E$77,'NASS Crush'!E$65,'NASS Crush'!E$53,'NASS Crush'!E$41)</f>
        <v>9.618477598823798</v>
      </c>
      <c r="E562" s="324">
        <f t="shared" si="321"/>
        <v>7.5254612903225828</v>
      </c>
      <c r="F562" s="324">
        <f t="shared" si="296"/>
        <v>233.28930000000005</v>
      </c>
      <c r="G562" s="324">
        <f>'[1]Soy Complex'!$BO156*(1-'NASS Crush'!E$132)</f>
        <v>197.93636538653035</v>
      </c>
      <c r="H562" s="325">
        <f t="shared" si="297"/>
        <v>0.84845882510055248</v>
      </c>
      <c r="J562" s="286">
        <f>G538/31</f>
        <v>5.9233870967741939</v>
      </c>
      <c r="K562" s="275" t="s">
        <v>47</v>
      </c>
      <c r="M562" s="290">
        <f>G536+('NASS Crush'!E132*'NOPA Crush'!G536)</f>
        <v>207.68871533282439</v>
      </c>
      <c r="N562" s="154" t="s">
        <v>383</v>
      </c>
      <c r="AH562" s="278"/>
      <c r="AI562" s="278"/>
      <c r="BE562" s="274">
        <f t="shared" si="268"/>
        <v>6.3850440447267856</v>
      </c>
    </row>
    <row r="563" spans="1:57">
      <c r="A563" s="326">
        <v>46174</v>
      </c>
      <c r="B563" s="324">
        <f t="shared" si="252"/>
        <v>7.8221135891064817</v>
      </c>
      <c r="C563" s="324">
        <f t="shared" ref="C563:C594" si="322">D563/(A563-A562)</f>
        <v>0.29665229878389915</v>
      </c>
      <c r="D563" s="327">
        <f>G563*AVERAGE('NASS Crush'!E$139,'NASS Crush'!E$78,'NASS Crush'!E$66,'NASS Crush'!E$54,'NASS Crush'!E$42)</f>
        <v>9.1962212623008739</v>
      </c>
      <c r="E563" s="324">
        <f t="shared" si="321"/>
        <v>7.5254612903225828</v>
      </c>
      <c r="F563" s="324">
        <f t="shared" ref="F563:F594" si="323">(A564-A563)*E563</f>
        <v>225.76383870967749</v>
      </c>
      <c r="G563" s="324">
        <f>'[1]Soy Complex'!$BO157*(1-'NASS Crush'!E$132)</f>
        <v>187.5682700567597</v>
      </c>
      <c r="H563" s="325">
        <f t="shared" ref="H563:H594" si="324">G563/F563</f>
        <v>0.83081626857862023</v>
      </c>
      <c r="J563" s="286">
        <f>J561-J562</f>
        <v>-7.0087096774194002E-2</v>
      </c>
      <c r="M563" s="319">
        <f>G536/M562-1</f>
        <v>-5.4325124572818795E-2</v>
      </c>
      <c r="N563" s="154" t="s">
        <v>384</v>
      </c>
      <c r="AH563" s="278"/>
      <c r="AI563" s="278"/>
      <c r="BE563" s="274">
        <f>G563/30</f>
        <v>6.2522756685586565</v>
      </c>
    </row>
    <row r="564" spans="1:57">
      <c r="A564" s="326">
        <v>46204</v>
      </c>
      <c r="B564" s="324">
        <f t="shared" si="252"/>
        <v>7.982067492324207</v>
      </c>
      <c r="C564" s="324">
        <f t="shared" si="322"/>
        <v>0.35660620200162463</v>
      </c>
      <c r="D564" s="327">
        <f>G564*AVERAGE('NASS Crush'!E$140,'NASS Crush'!E$79,'NASS Crush'!E$67,'NASS Crush'!E$55,'NASS Crush'!E$43)</f>
        <v>10.698186060048739</v>
      </c>
      <c r="E564" s="324">
        <f>E563+0.1</f>
        <v>7.6254612903225825</v>
      </c>
      <c r="F564" s="324">
        <f t="shared" si="323"/>
        <v>236.38930000000005</v>
      </c>
      <c r="G564" s="324">
        <f>'[1]Soy Complex'!$BO158*(1-'NASS Crush'!E$132)</f>
        <v>195.10870302386562</v>
      </c>
      <c r="H564" s="325">
        <f t="shared" si="324"/>
        <v>0.8253702812431255</v>
      </c>
      <c r="AH564" s="278"/>
      <c r="AI564" s="278"/>
      <c r="BE564" s="274">
        <f t="shared" si="268"/>
        <v>6.2938291298021163</v>
      </c>
    </row>
    <row r="565" spans="1:57">
      <c r="A565" s="326">
        <v>46235</v>
      </c>
      <c r="B565" s="324">
        <f t="shared" si="252"/>
        <v>7.9395659309196454</v>
      </c>
      <c r="C565" s="324">
        <f t="shared" si="322"/>
        <v>0.31410464059706256</v>
      </c>
      <c r="D565" s="327">
        <f>G565*AVERAGE('NASS Crush'!E$141,'NASS Crush'!E$80,'NASS Crush'!E$68,'NASS Crush'!E$56,'NASS Crush'!E$44)</f>
        <v>9.7372438585089398</v>
      </c>
      <c r="E565" s="324">
        <f>E564</f>
        <v>7.6254612903225825</v>
      </c>
      <c r="F565" s="324">
        <f t="shared" si="323"/>
        <v>236.38930000000005</v>
      </c>
      <c r="G565" s="324">
        <f>'[1]Soy Complex'!$BO159*(1-'NASS Crush'!E$132)</f>
        <v>201.70658187008331</v>
      </c>
      <c r="H565" s="325">
        <f t="shared" si="324"/>
        <v>0.85328135355569512</v>
      </c>
      <c r="J565" s="316" t="s">
        <v>45</v>
      </c>
      <c r="K565" s="316"/>
      <c r="L565" s="316"/>
      <c r="M565" s="316"/>
      <c r="N565" s="316"/>
      <c r="AH565" s="278"/>
      <c r="AI565" s="278"/>
      <c r="BE565" s="274">
        <f t="shared" si="268"/>
        <v>6.5066639312930104</v>
      </c>
    </row>
    <row r="566" spans="1:57">
      <c r="A566" s="326">
        <v>46266</v>
      </c>
      <c r="B566" s="324">
        <f t="shared" si="252"/>
        <v>8.0938537946225182</v>
      </c>
      <c r="C566" s="324">
        <f t="shared" si="322"/>
        <v>0.29139250429993679</v>
      </c>
      <c r="D566" s="327">
        <f>G566*AVERAGE('NASS Crush'!E$142,'NASS Crush'!E$81,'NASS Crush'!E$69,'NASS Crush'!E$57,'NASS Crush'!E$45)</f>
        <v>9.0331676332980404</v>
      </c>
      <c r="E566" s="324">
        <f>E565+0.177</f>
        <v>7.8024612903225821</v>
      </c>
      <c r="F566" s="324">
        <f t="shared" si="323"/>
        <v>234.07383870967746</v>
      </c>
      <c r="G566" s="324">
        <f>'[1]Soy Complex'!$BP148*(1-'NASS Crush'!E$132)</f>
        <v>183.79805357320674</v>
      </c>
      <c r="H566" s="325">
        <f t="shared" si="324"/>
        <v>0.78521399309887019</v>
      </c>
      <c r="J566" s="320" t="s">
        <v>423</v>
      </c>
      <c r="K566" s="275" t="s">
        <v>424</v>
      </c>
      <c r="L566" s="275" t="s">
        <v>48</v>
      </c>
      <c r="M566" s="275" t="s">
        <v>49</v>
      </c>
      <c r="N566" s="299" t="s">
        <v>369</v>
      </c>
      <c r="AH566" s="278"/>
      <c r="AI566" s="278"/>
      <c r="BE566" s="274">
        <f>G566/30</f>
        <v>6.1266017857735582</v>
      </c>
    </row>
    <row r="567" spans="1:57">
      <c r="A567" s="326">
        <v>46296</v>
      </c>
      <c r="B567" s="324">
        <f t="shared" si="252"/>
        <v>8.2843981915827563</v>
      </c>
      <c r="C567" s="324">
        <f t="shared" si="322"/>
        <v>0.4819369012601743</v>
      </c>
      <c r="D567" s="327">
        <f>G567*AVERAGE('NASS Crush'!E$131,'NASS Crush'!E$70,'NASS Crush'!E$58,'NASS Crush'!E$46,'NASS Crush'!E$34)</f>
        <v>14.458107037805229</v>
      </c>
      <c r="E567" s="324">
        <f>E566</f>
        <v>7.8024612903225821</v>
      </c>
      <c r="F567" s="324">
        <f t="shared" si="323"/>
        <v>241.87630000000004</v>
      </c>
      <c r="G567" s="324">
        <f>'[1]Soy Complex'!$BP149*(1-'NASS Crush'!E$132)</f>
        <v>218.67255604607163</v>
      </c>
      <c r="H567" s="325">
        <f t="shared" si="324"/>
        <v>0.90406772406420799</v>
      </c>
      <c r="J567" s="299">
        <f>G536/31</f>
        <v>6.3356774193548393</v>
      </c>
      <c r="K567" s="299">
        <f>J567/(1-'NASS Crush'!E130)</f>
        <v>6.8264241045088996</v>
      </c>
      <c r="L567" s="321">
        <f>K567*330</f>
        <v>2252.7199544879368</v>
      </c>
      <c r="M567" s="299">
        <f>N567/330</f>
        <v>7.4615678178436085</v>
      </c>
      <c r="N567" s="321">
        <f>'[1]USDA Comp'!$M$13/(1-'NASS Crush'!E$130)</f>
        <v>2462.3173798883909</v>
      </c>
      <c r="AH567" s="278"/>
      <c r="AI567" s="278"/>
      <c r="BE567" s="274">
        <f t="shared" si="268"/>
        <v>7.0539534208410206</v>
      </c>
    </row>
    <row r="568" spans="1:57">
      <c r="A568" s="326">
        <v>46327</v>
      </c>
      <c r="B568" s="324">
        <f t="shared" si="252"/>
        <v>8.2127589986798242</v>
      </c>
      <c r="C568" s="324">
        <f t="shared" si="322"/>
        <v>0.41029770835724272</v>
      </c>
      <c r="D568" s="327">
        <f>G568*AVERAGE('NASS Crush'!E$132,'NASS Crush'!E$71,'NASS Crush'!E$59,'NASS Crush'!E$47,'NASS Crush'!E$35)</f>
        <v>12.719228959074524</v>
      </c>
      <c r="E568" s="324">
        <f t="shared" ref="E568:E601" si="325">E567</f>
        <v>7.8024612903225821</v>
      </c>
      <c r="F568" s="324">
        <f t="shared" si="323"/>
        <v>234.07383870967746</v>
      </c>
      <c r="G568" s="324">
        <f>'[1]Soy Complex'!$BP150*(1-'NASS Crush'!E$132)</f>
        <v>213.01723132074218</v>
      </c>
      <c r="H568" s="325">
        <f t="shared" si="324"/>
        <v>0.9100428843094599</v>
      </c>
      <c r="N568" s="299"/>
      <c r="AH568" s="278"/>
      <c r="AI568" s="278"/>
      <c r="BE568" s="274">
        <f>G568/30</f>
        <v>7.1005743773580727</v>
      </c>
    </row>
    <row r="569" spans="1:57">
      <c r="A569" s="326">
        <v>46357</v>
      </c>
      <c r="B569" s="324">
        <f t="shared" si="252"/>
        <v>8.2380613699190395</v>
      </c>
      <c r="C569" s="324">
        <f t="shared" si="322"/>
        <v>0.43560007959645797</v>
      </c>
      <c r="D569" s="327">
        <f>G569*AVERAGE('NASS Crush'!E$133,'NASS Crush'!E$72,'NASS Crush'!E$60,'NASS Crush'!E$48,'NASS Crush'!E$36)</f>
        <v>13.068002387893738</v>
      </c>
      <c r="E569" s="324">
        <f t="shared" si="325"/>
        <v>7.8024612903225821</v>
      </c>
      <c r="F569" s="324">
        <f t="shared" si="323"/>
        <v>241.87630000000004</v>
      </c>
      <c r="G569" s="324">
        <f>'[1]Soy Complex'!$BP151*(1-'NASS Crush'!E$132)</f>
        <v>216.78744780429514</v>
      </c>
      <c r="H569" s="325">
        <f t="shared" si="324"/>
        <v>0.89627403678779238</v>
      </c>
      <c r="J569" s="277" t="s">
        <v>50</v>
      </c>
      <c r="AH569" s="278"/>
      <c r="AI569" s="278"/>
      <c r="BE569" s="274">
        <f t="shared" si="268"/>
        <v>6.9931434775579078</v>
      </c>
    </row>
    <row r="570" spans="1:57">
      <c r="A570" s="326">
        <v>46388</v>
      </c>
      <c r="B570" s="324">
        <f t="shared" si="252"/>
        <v>8.1699711413802252</v>
      </c>
      <c r="C570" s="324">
        <f t="shared" si="322"/>
        <v>0.367509851057643</v>
      </c>
      <c r="D570" s="327">
        <f>G570*AVERAGE('NASS Crush'!E$134,'NASS Crush'!E$73,'NASS Crush'!E$61,'NASS Crush'!E$49,'NASS Crush'!E$37)</f>
        <v>11.392805382786934</v>
      </c>
      <c r="E570" s="324">
        <f t="shared" si="325"/>
        <v>7.8024612903225821</v>
      </c>
      <c r="F570" s="324">
        <f t="shared" si="323"/>
        <v>241.87630000000004</v>
      </c>
      <c r="G570" s="324">
        <f>'[1]Soy Complex'!$BP152*(1-'NASS Crush'!E$132)</f>
        <v>212.07467719985394</v>
      </c>
      <c r="H570" s="325">
        <f t="shared" si="324"/>
        <v>0.87678981859675342</v>
      </c>
      <c r="AH570" s="278"/>
      <c r="AI570" s="278"/>
      <c r="BE570" s="274">
        <f t="shared" si="268"/>
        <v>6.8411186193501274</v>
      </c>
    </row>
    <row r="571" spans="1:57">
      <c r="A571" s="326">
        <v>46419</v>
      </c>
      <c r="B571" s="324">
        <f t="shared" si="252"/>
        <v>8.1091057461467138</v>
      </c>
      <c r="C571" s="324">
        <f t="shared" si="322"/>
        <v>0.30664445582413219</v>
      </c>
      <c r="D571" s="327">
        <f>G571*AVERAGE('NASS Crush'!E$135,'NASS Crush'!E$74,'NASS Crush'!E$62,'NASS Crush'!E$50,'NASS Crush'!E$38)</f>
        <v>9.5059781305480975</v>
      </c>
      <c r="E571" s="324">
        <f t="shared" si="325"/>
        <v>7.8024612903225821</v>
      </c>
      <c r="F571" s="324">
        <f t="shared" si="323"/>
        <v>218.46891612903229</v>
      </c>
      <c r="G571" s="324">
        <f>'[1]Soy Complex'!$BP153*(1-'NASS Crush'!E$132)</f>
        <v>197.93636538653035</v>
      </c>
      <c r="H571" s="325">
        <f t="shared" si="324"/>
        <v>0.90601614588331192</v>
      </c>
      <c r="AH571" s="278"/>
      <c r="AI571" s="278"/>
      <c r="BE571" s="274">
        <f>G571/28</f>
        <v>7.0691559066617984</v>
      </c>
    </row>
    <row r="572" spans="1:57">
      <c r="A572" s="326">
        <v>46447</v>
      </c>
      <c r="B572" s="324">
        <f t="shared" si="252"/>
        <v>8.1593051003694033</v>
      </c>
      <c r="C572" s="324">
        <f t="shared" si="322"/>
        <v>0.35684381004682086</v>
      </c>
      <c r="D572" s="327">
        <f>G572*AVERAGE('NASS Crush'!E$136,'NASS Crush'!E$75,'NASS Crush'!E$63,'NASS Crush'!E$51,'NASS Crush'!E$39)</f>
        <v>9.9916266813109846</v>
      </c>
      <c r="E572" s="324">
        <f t="shared" si="325"/>
        <v>7.8024612903225821</v>
      </c>
      <c r="F572" s="324">
        <f t="shared" si="323"/>
        <v>241.87630000000004</v>
      </c>
      <c r="G572" s="324">
        <f>'[1]Soy Complex'!$BP154*(1-'NASS Crush'!E$132)</f>
        <v>214.90233956251868</v>
      </c>
      <c r="H572" s="325">
        <f t="shared" si="324"/>
        <v>0.88848034951137689</v>
      </c>
      <c r="AH572" s="278"/>
      <c r="AI572" s="278"/>
      <c r="BE572" s="274">
        <f t="shared" si="268"/>
        <v>6.9323335342747958</v>
      </c>
    </row>
    <row r="573" spans="1:57">
      <c r="A573" s="326">
        <v>46478</v>
      </c>
      <c r="B573" s="324">
        <f t="shared" si="252"/>
        <v>8.1479828581081719</v>
      </c>
      <c r="C573" s="324">
        <f t="shared" si="322"/>
        <v>0.34552156778558962</v>
      </c>
      <c r="D573" s="327">
        <f>G573*AVERAGE('NASS Crush'!E$137,'NASS Crush'!E$76,'NASS Crush'!E$64,'NASS Crush'!E$52,'NASS Crush'!E$40)</f>
        <v>10.711168601353279</v>
      </c>
      <c r="E573" s="324">
        <f t="shared" si="325"/>
        <v>7.8024612903225821</v>
      </c>
      <c r="F573" s="324">
        <f t="shared" si="323"/>
        <v>234.07383870967746</v>
      </c>
      <c r="G573" s="324">
        <f>'[1]Soy Complex'!$BP155*(1-'NASS Crush'!E$132)</f>
        <v>201.70658187008331</v>
      </c>
      <c r="H573" s="325">
        <f t="shared" si="324"/>
        <v>0.86172202319568325</v>
      </c>
      <c r="AH573" s="278"/>
      <c r="AI573" s="278"/>
      <c r="BE573" s="274">
        <f>G573/30</f>
        <v>6.723552729002777</v>
      </c>
    </row>
    <row r="574" spans="1:57">
      <c r="A574" s="326">
        <v>46508</v>
      </c>
      <c r="B574" s="324">
        <f t="shared" si="252"/>
        <v>8.1368178925674091</v>
      </c>
      <c r="C574" s="324">
        <f t="shared" si="322"/>
        <v>0.33435660224482722</v>
      </c>
      <c r="D574" s="327">
        <f>G574*AVERAGE('NASS Crush'!E$138,'NASS Crush'!E$77,'NASS Crush'!E$65,'NASS Crush'!E$53,'NASS Crush'!E$41)</f>
        <v>10.030698067344817</v>
      </c>
      <c r="E574" s="324">
        <f t="shared" si="325"/>
        <v>7.8024612903225821</v>
      </c>
      <c r="F574" s="324">
        <f t="shared" si="323"/>
        <v>241.87630000000004</v>
      </c>
      <c r="G574" s="324">
        <f>'[1]Soy Complex'!$BP156*(1-'NASS Crush'!E$132)</f>
        <v>206.41935247452452</v>
      </c>
      <c r="H574" s="325">
        <f t="shared" si="324"/>
        <v>0.85340875676750672</v>
      </c>
      <c r="AH574" s="278"/>
      <c r="AI574" s="278"/>
      <c r="BE574" s="274">
        <f t="shared" si="268"/>
        <v>6.6586887895007907</v>
      </c>
    </row>
    <row r="575" spans="1:57">
      <c r="A575" s="326">
        <v>46539</v>
      </c>
      <c r="B575" s="324">
        <f t="shared" si="252"/>
        <v>8.1140207397991393</v>
      </c>
      <c r="C575" s="324">
        <f t="shared" si="322"/>
        <v>0.31155944947655745</v>
      </c>
      <c r="D575" s="327">
        <f>G575*AVERAGE('NASS Crush'!E$139,'NASS Crush'!E$78,'NASS Crush'!E$66,'NASS Crush'!E$54,'NASS Crush'!E$42)</f>
        <v>9.6583429337732802</v>
      </c>
      <c r="E575" s="324">
        <f t="shared" si="325"/>
        <v>7.8024612903225821</v>
      </c>
      <c r="F575" s="324">
        <f t="shared" si="323"/>
        <v>234.07383870967746</v>
      </c>
      <c r="G575" s="324">
        <f>'[1]Soy Complex'!$BP157*(1-'NASS Crush'!E$132)</f>
        <v>196.99381126564211</v>
      </c>
      <c r="H575" s="325">
        <f t="shared" si="324"/>
        <v>0.84158833106494302</v>
      </c>
      <c r="J575" s="274">
        <f>G541*1.08</f>
        <v>170.64864000000003</v>
      </c>
      <c r="AH575" s="278"/>
      <c r="AI575" s="278"/>
      <c r="BE575" s="274">
        <f>G575/30</f>
        <v>6.5664603755214035</v>
      </c>
    </row>
    <row r="576" spans="1:57">
      <c r="A576" s="326">
        <v>46569</v>
      </c>
      <c r="B576" s="324">
        <f t="shared" si="252"/>
        <v>8.1745721098025381</v>
      </c>
      <c r="C576" s="324">
        <f t="shared" si="322"/>
        <v>0.37211081947995617</v>
      </c>
      <c r="D576" s="327">
        <f>G576*AVERAGE('NASS Crush'!E$140,'NASS Crush'!E$79,'NASS Crush'!E$67,'NASS Crush'!E$55,'NASS Crush'!E$43)</f>
        <v>11.163324584398685</v>
      </c>
      <c r="E576" s="324">
        <f t="shared" si="325"/>
        <v>7.8024612903225821</v>
      </c>
      <c r="F576" s="324">
        <f t="shared" si="323"/>
        <v>241.87630000000004</v>
      </c>
      <c r="G576" s="324">
        <f>'[1]Soy Complex'!$BP158*(1-'NASS Crush'!E$132)</f>
        <v>203.59169011185978</v>
      </c>
      <c r="H576" s="325">
        <f t="shared" si="324"/>
        <v>0.84171822585288325</v>
      </c>
      <c r="AH576" s="278"/>
      <c r="AI576" s="278"/>
      <c r="BE576" s="274">
        <f t="shared" si="268"/>
        <v>6.5674738745761214</v>
      </c>
    </row>
    <row r="577" spans="1:57">
      <c r="A577" s="326">
        <v>46600</v>
      </c>
      <c r="B577" s="324">
        <f t="shared" si="252"/>
        <v>8.0901459144208268</v>
      </c>
      <c r="C577" s="324">
        <f t="shared" si="322"/>
        <v>0.28768462409824419</v>
      </c>
      <c r="D577" s="327">
        <f>G577*AVERAGE('NASS Crush'!E$141,'NASS Crush'!E$80,'NASS Crush'!E$68,'NASS Crush'!E$56,'NASS Crush'!E$44)</f>
        <v>8.9182233470455703</v>
      </c>
      <c r="E577" s="324">
        <f t="shared" si="325"/>
        <v>7.8024612903225821</v>
      </c>
      <c r="F577" s="324">
        <f t="shared" si="323"/>
        <v>241.87630000000004</v>
      </c>
      <c r="G577" s="324">
        <f>'[1]Soy Complex'!$BP159*(1-'NASS Crush'!E$132)</f>
        <v>184.74060769409499</v>
      </c>
      <c r="H577" s="325">
        <f t="shared" si="324"/>
        <v>0.76378135308872741</v>
      </c>
      <c r="AH577" s="278"/>
      <c r="AI577" s="278"/>
      <c r="BE577" s="274">
        <f t="shared" si="268"/>
        <v>5.9593744417450001</v>
      </c>
    </row>
    <row r="578" spans="1:57">
      <c r="A578" s="326">
        <v>46631</v>
      </c>
      <c r="B578" s="324">
        <f t="shared" si="252"/>
        <v>8.0968424356922615</v>
      </c>
      <c r="C578" s="324">
        <f t="shared" si="322"/>
        <v>0.29438114536967974</v>
      </c>
      <c r="D578" s="327">
        <f>G578*AVERAGE('NASS Crush'!E$142,'NASS Crush'!E$81,'NASS Crush'!E$69,'NASS Crush'!E$57,'NASS Crush'!E$45)</f>
        <v>9.1258155064600714</v>
      </c>
      <c r="E578" s="324">
        <f t="shared" si="325"/>
        <v>7.8024612903225821</v>
      </c>
      <c r="F578" s="324">
        <f t="shared" si="323"/>
        <v>234.07383870967746</v>
      </c>
      <c r="G578" s="324">
        <f>'[1]Soy Complex'!$BQ148*(1-'NASS Crush'!E$132)</f>
        <v>185.68316181498324</v>
      </c>
      <c r="H578" s="325">
        <f t="shared" si="324"/>
        <v>0.79326746995116637</v>
      </c>
      <c r="AH578" s="278"/>
      <c r="AI578" s="278"/>
      <c r="BE578" s="274">
        <f>G578/30</f>
        <v>6.1894387271661078</v>
      </c>
    </row>
    <row r="579" spans="1:57">
      <c r="A579" s="326">
        <v>46661</v>
      </c>
      <c r="B579" s="324">
        <f t="shared" si="252"/>
        <v>8.2864755058123265</v>
      </c>
      <c r="C579" s="324">
        <f t="shared" si="322"/>
        <v>0.48401421548974405</v>
      </c>
      <c r="D579" s="327">
        <f>G579*AVERAGE('NASS Crush'!E$131,'NASS Crush'!E$70,'NASS Crush'!E$58,'NASS Crush'!E$46,'NASS Crush'!E$34)</f>
        <v>14.520426464692321</v>
      </c>
      <c r="E579" s="324">
        <f t="shared" si="325"/>
        <v>7.8024612903225821</v>
      </c>
      <c r="F579" s="324">
        <f t="shared" si="323"/>
        <v>241.87630000000004</v>
      </c>
      <c r="G579" s="324">
        <f>'[1]Soy Complex'!$BQ149*(1-'NASS Crush'!E$132)</f>
        <v>219.61511016695985</v>
      </c>
      <c r="H579" s="325">
        <f t="shared" si="324"/>
        <v>0.90796456770241574</v>
      </c>
      <c r="AH579" s="278"/>
      <c r="AI579" s="278"/>
      <c r="BE579" s="274">
        <f t="shared" si="268"/>
        <v>7.0843583924825761</v>
      </c>
    </row>
    <row r="580" spans="1:57">
      <c r="A580" s="326">
        <v>46692</v>
      </c>
      <c r="B580" s="324">
        <f t="shared" si="252"/>
        <v>8.2109435220941727</v>
      </c>
      <c r="C580" s="324">
        <f t="shared" si="322"/>
        <v>0.40848223177159121</v>
      </c>
      <c r="D580" s="327">
        <f>G580*AVERAGE('NASS Crush'!E$132,'NASS Crush'!E$71,'NASS Crush'!E$59,'NASS Crush'!E$47,'NASS Crush'!E$35)</f>
        <v>12.662949184919327</v>
      </c>
      <c r="E580" s="324">
        <f t="shared" si="325"/>
        <v>7.8024612903225821</v>
      </c>
      <c r="F580" s="324">
        <f t="shared" si="323"/>
        <v>234.07383870967746</v>
      </c>
      <c r="G580" s="324">
        <f>'[1]Soy Complex'!$BQ150*(1-'NASS Crush'!E$132)</f>
        <v>212.07467719985394</v>
      </c>
      <c r="H580" s="325">
        <f t="shared" si="324"/>
        <v>0.90601614588331181</v>
      </c>
      <c r="AH580" s="278"/>
      <c r="AI580" s="278"/>
      <c r="BE580" s="274">
        <f>G580/30</f>
        <v>7.0691559066617975</v>
      </c>
    </row>
    <row r="581" spans="1:57">
      <c r="A581" s="326">
        <v>46722</v>
      </c>
      <c r="B581" s="324">
        <f t="shared" si="252"/>
        <v>8.2418491966981389</v>
      </c>
      <c r="C581" s="324">
        <f t="shared" si="322"/>
        <v>0.43938790637555764</v>
      </c>
      <c r="D581" s="327">
        <f>G581*AVERAGE('NASS Crush'!E$133,'NASS Crush'!E$72,'NASS Crush'!E$60,'NASS Crush'!E$48,'NASS Crush'!E$36)</f>
        <v>13.181637191266729</v>
      </c>
      <c r="E581" s="324">
        <f t="shared" si="325"/>
        <v>7.8024612903225821</v>
      </c>
      <c r="F581" s="324">
        <f t="shared" si="323"/>
        <v>241.87630000000004</v>
      </c>
      <c r="G581" s="324">
        <f>'[1]Soy Complex'!$BQ151*(1-'NASS Crush'!E$132)</f>
        <v>218.67255604607163</v>
      </c>
      <c r="H581" s="325">
        <f t="shared" si="324"/>
        <v>0.90406772406420799</v>
      </c>
      <c r="AH581" s="278"/>
      <c r="AI581" s="278"/>
      <c r="BE581" s="274">
        <f t="shared" si="268"/>
        <v>7.0539534208410206</v>
      </c>
    </row>
    <row r="582" spans="1:57">
      <c r="A582" s="326">
        <v>46753</v>
      </c>
      <c r="B582" s="324">
        <f t="shared" si="252"/>
        <v>8.1781380269592834</v>
      </c>
      <c r="C582" s="324">
        <f t="shared" si="322"/>
        <v>0.37567673663670176</v>
      </c>
      <c r="D582" s="327">
        <f>G582*AVERAGE('NASS Crush'!E$134,'NASS Crush'!E$73,'NASS Crush'!E$61,'NASS Crush'!E$49,'NASS Crush'!E$37)</f>
        <v>11.645978835737754</v>
      </c>
      <c r="E582" s="324">
        <f t="shared" si="325"/>
        <v>7.8024612903225821</v>
      </c>
      <c r="F582" s="324">
        <f t="shared" si="323"/>
        <v>241.87630000000004</v>
      </c>
      <c r="G582" s="324">
        <f>'[1]Soy Complex'!$BQ152*(1-'NASS Crush'!E$132)</f>
        <v>216.78744780429514</v>
      </c>
      <c r="H582" s="325">
        <f t="shared" si="324"/>
        <v>0.89627403678779238</v>
      </c>
      <c r="AH582" s="278"/>
      <c r="AI582" s="278"/>
      <c r="BE582" s="274">
        <f t="shared" si="268"/>
        <v>6.9931434775579078</v>
      </c>
    </row>
    <row r="583" spans="1:57">
      <c r="A583" s="326">
        <v>46784</v>
      </c>
      <c r="B583" s="324">
        <f t="shared" si="252"/>
        <v>8.1120261695355147</v>
      </c>
      <c r="C583" s="324">
        <f t="shared" si="322"/>
        <v>0.30956487921293341</v>
      </c>
      <c r="D583" s="327">
        <f>G583*AVERAGE('NASS Crush'!E$135,'NASS Crush'!E$74,'NASS Crush'!E$62,'NASS Crush'!E$50,'NASS Crush'!E$38)</f>
        <v>9.5965112556009355</v>
      </c>
      <c r="E583" s="324">
        <f t="shared" si="325"/>
        <v>7.8024612903225821</v>
      </c>
      <c r="F583" s="324">
        <f t="shared" si="323"/>
        <v>226.27137741935488</v>
      </c>
      <c r="G583" s="324">
        <f>'[1]Soy Complex'!$BQ153*(1-'NASS Crush'!E$132)</f>
        <v>199.82147362830682</v>
      </c>
      <c r="H583" s="325">
        <f t="shared" si="324"/>
        <v>0.88310539276902122</v>
      </c>
      <c r="AH583" s="278"/>
      <c r="AI583" s="278"/>
      <c r="BE583" s="274">
        <f>G583/29</f>
        <v>6.8903956423554078</v>
      </c>
    </row>
    <row r="584" spans="1:57">
      <c r="A584" s="326">
        <v>46813</v>
      </c>
      <c r="B584" s="324">
        <f t="shared" si="252"/>
        <v>8.1530446826492842</v>
      </c>
      <c r="C584" s="324">
        <f t="shared" si="322"/>
        <v>0.35058339232670122</v>
      </c>
      <c r="D584" s="327">
        <f>G584*AVERAGE('NASS Crush'!E$136,'NASS Crush'!E$75,'NASS Crush'!E$63,'NASS Crush'!E$51,'NASS Crush'!E$39)</f>
        <v>10.166918377474335</v>
      </c>
      <c r="E584" s="324">
        <f t="shared" si="325"/>
        <v>7.8024612903225821</v>
      </c>
      <c r="F584" s="324">
        <f t="shared" si="323"/>
        <v>241.87630000000004</v>
      </c>
      <c r="G584" s="324">
        <f>'[1]Soy Complex'!$BQ154*(1-'NASS Crush'!E$132)</f>
        <v>218.67255604607163</v>
      </c>
      <c r="H584" s="325">
        <f t="shared" si="324"/>
        <v>0.90406772406420799</v>
      </c>
      <c r="AH584" s="278"/>
      <c r="AI584" s="278"/>
      <c r="BE584" s="274">
        <f t="shared" si="268"/>
        <v>7.0539534208410206</v>
      </c>
    </row>
    <row r="585" spans="1:57">
      <c r="A585" s="326">
        <v>46844</v>
      </c>
      <c r="B585" s="324">
        <f t="shared" ref="B585:B601" si="326">E585+C585</f>
        <v>8.1463682713428192</v>
      </c>
      <c r="C585" s="324">
        <f t="shared" si="322"/>
        <v>0.34390698102023642</v>
      </c>
      <c r="D585" s="327">
        <f>G585*AVERAGE('NASS Crush'!E$137,'NASS Crush'!E$76,'NASS Crush'!E$64,'NASS Crush'!E$52,'NASS Crush'!E$40)</f>
        <v>10.661116411627329</v>
      </c>
      <c r="E585" s="324">
        <f t="shared" si="325"/>
        <v>7.8024612903225821</v>
      </c>
      <c r="F585" s="324">
        <f t="shared" si="323"/>
        <v>234.07383870967746</v>
      </c>
      <c r="G585" s="324">
        <f>'[1]Soy Complex'!$BQ155*(1-'NASS Crush'!E$132)</f>
        <v>200.76402774919507</v>
      </c>
      <c r="H585" s="325">
        <f t="shared" si="324"/>
        <v>0.85769528476953527</v>
      </c>
      <c r="AH585" s="278"/>
      <c r="AI585" s="278"/>
      <c r="BE585" s="274">
        <f>G585/30</f>
        <v>6.6921342583065018</v>
      </c>
    </row>
    <row r="586" spans="1:57">
      <c r="A586" s="326">
        <v>46874</v>
      </c>
      <c r="B586" s="324">
        <f t="shared" si="326"/>
        <v>8.1383446350434134</v>
      </c>
      <c r="C586" s="324">
        <f t="shared" si="322"/>
        <v>0.33588334472083103</v>
      </c>
      <c r="D586" s="327">
        <f>G586*AVERAGE('NASS Crush'!E$138,'NASS Crush'!E$77,'NASS Crush'!E$65,'NASS Crush'!E$53,'NASS Crush'!E$41)</f>
        <v>10.07650034162493</v>
      </c>
      <c r="E586" s="324">
        <f t="shared" si="325"/>
        <v>7.8024612903225821</v>
      </c>
      <c r="F586" s="324">
        <f t="shared" si="323"/>
        <v>241.87630000000004</v>
      </c>
      <c r="G586" s="324">
        <f>'[1]Soy Complex'!$BQ156*(1-'NASS Crush'!E$132)</f>
        <v>207.36190659541273</v>
      </c>
      <c r="H586" s="325">
        <f t="shared" si="324"/>
        <v>0.85730560040571435</v>
      </c>
      <c r="AH586" s="278"/>
      <c r="AI586" s="278"/>
      <c r="BE586" s="274">
        <f t="shared" si="268"/>
        <v>6.6890937611423462</v>
      </c>
    </row>
    <row r="587" spans="1:57">
      <c r="A587" s="326">
        <v>46905</v>
      </c>
      <c r="B587" s="324">
        <f t="shared" si="326"/>
        <v>8.1140207397991393</v>
      </c>
      <c r="C587" s="324">
        <f t="shared" si="322"/>
        <v>0.31155944947655745</v>
      </c>
      <c r="D587" s="327">
        <f>G587*AVERAGE('NASS Crush'!E$139,'NASS Crush'!E$78,'NASS Crush'!E$66,'NASS Crush'!E$54,'NASS Crush'!E$42)</f>
        <v>9.6583429337732802</v>
      </c>
      <c r="E587" s="324">
        <f t="shared" si="325"/>
        <v>7.8024612903225821</v>
      </c>
      <c r="F587" s="324">
        <f t="shared" si="323"/>
        <v>234.07383870967746</v>
      </c>
      <c r="G587" s="324">
        <f>'[1]Soy Complex'!$BQ157*(1-'NASS Crush'!E$132)</f>
        <v>196.99381126564211</v>
      </c>
      <c r="H587" s="325">
        <f t="shared" si="324"/>
        <v>0.84158833106494302</v>
      </c>
      <c r="J587" s="322">
        <f t="shared" ref="J587:J595" si="327">D587/(A588-A587)</f>
        <v>0.32194476445910936</v>
      </c>
      <c r="AH587" s="278"/>
      <c r="AI587" s="278"/>
      <c r="BE587" s="274">
        <f>G587/30</f>
        <v>6.5664603755214035</v>
      </c>
    </row>
    <row r="588" spans="1:57">
      <c r="A588" s="326">
        <v>46935</v>
      </c>
      <c r="B588" s="324">
        <f t="shared" si="326"/>
        <v>8.1780175803532789</v>
      </c>
      <c r="C588" s="324">
        <f t="shared" si="322"/>
        <v>0.37555629003069652</v>
      </c>
      <c r="D588" s="327">
        <f>G588*AVERAGE('NASS Crush'!E$140,'NASS Crush'!E$79,'NASS Crush'!E$67,'NASS Crush'!E$55,'NASS Crush'!E$43)</f>
        <v>11.266688700920895</v>
      </c>
      <c r="E588" s="324">
        <f t="shared" si="325"/>
        <v>7.8024612903225821</v>
      </c>
      <c r="F588" s="324">
        <f t="shared" si="323"/>
        <v>241.87630000000004</v>
      </c>
      <c r="G588" s="324">
        <f>'[1]Soy Complex'!$BQ158*(1-'NASS Crush'!E$132)</f>
        <v>205.47679835363627</v>
      </c>
      <c r="H588" s="325">
        <f t="shared" si="324"/>
        <v>0.84951191312929886</v>
      </c>
      <c r="J588" s="322">
        <f t="shared" si="327"/>
        <v>0.36344157099744823</v>
      </c>
      <c r="AH588" s="278"/>
      <c r="AI588" s="278"/>
      <c r="BE588" s="274">
        <f t="shared" ref="BE588:BE601" si="328">G588/31</f>
        <v>6.6282838178592343</v>
      </c>
    </row>
    <row r="589" spans="1:57">
      <c r="A589" s="326">
        <v>46966</v>
      </c>
      <c r="B589" s="324">
        <f t="shared" si="326"/>
        <v>8.1018881439758559</v>
      </c>
      <c r="C589" s="324">
        <f t="shared" si="322"/>
        <v>0.29942685365327459</v>
      </c>
      <c r="D589" s="327">
        <f>G589*AVERAGE('NASS Crush'!E$141,'NASS Crush'!E$80,'NASS Crush'!E$68,'NASS Crush'!E$56,'NASS Crush'!E$44)</f>
        <v>9.2822324632515123</v>
      </c>
      <c r="E589" s="324">
        <f t="shared" si="325"/>
        <v>7.8024612903225821</v>
      </c>
      <c r="F589" s="324">
        <f t="shared" si="323"/>
        <v>241.87630000000004</v>
      </c>
      <c r="G589" s="324">
        <f>'[1]Soy Complex'!$BQ159*(1-'NASS Crush'!E$132)</f>
        <v>192.2810406612009</v>
      </c>
      <c r="H589" s="325">
        <f t="shared" si="324"/>
        <v>0.79495610219438972</v>
      </c>
      <c r="J589" s="322">
        <f t="shared" si="327"/>
        <v>0.29942685365327459</v>
      </c>
      <c r="AH589" s="278"/>
      <c r="AI589" s="278"/>
      <c r="BE589" s="274">
        <f t="shared" si="328"/>
        <v>6.2026142148774488</v>
      </c>
    </row>
    <row r="590" spans="1:57">
      <c r="A590" s="326">
        <v>46997</v>
      </c>
      <c r="B590" s="324">
        <f t="shared" si="326"/>
        <v>8.102819717831748</v>
      </c>
      <c r="C590" s="324">
        <f t="shared" si="322"/>
        <v>0.30035842750916564</v>
      </c>
      <c r="D590" s="327">
        <f>G590*AVERAGE('NASS Crush'!E$142,'NASS Crush'!E$81,'NASS Crush'!E$69,'NASS Crush'!E$57,'NASS Crush'!E$45)</f>
        <v>9.3111112527841353</v>
      </c>
      <c r="E590" s="324">
        <f t="shared" si="325"/>
        <v>7.8024612903225821</v>
      </c>
      <c r="F590" s="324">
        <f t="shared" si="323"/>
        <v>234.07383870967746</v>
      </c>
      <c r="G590" s="324">
        <f>'[1]Soy Complex'!$BR148*(1-'NASS Crush'!E$132)</f>
        <v>189.45337829853619</v>
      </c>
      <c r="H590" s="325">
        <f t="shared" si="324"/>
        <v>0.80937442365575862</v>
      </c>
      <c r="J590" s="322">
        <f t="shared" si="327"/>
        <v>0.31037037509280452</v>
      </c>
      <c r="BE590" s="274">
        <f>G590/30</f>
        <v>6.315112609951206</v>
      </c>
    </row>
    <row r="591" spans="1:57">
      <c r="A591" s="326">
        <v>47027</v>
      </c>
      <c r="B591" s="324">
        <f t="shared" si="326"/>
        <v>8.2927074485010355</v>
      </c>
      <c r="C591" s="324">
        <f t="shared" si="322"/>
        <v>0.49024615817845318</v>
      </c>
      <c r="D591" s="327">
        <f>G591*AVERAGE('NASS Crush'!E$131,'NASS Crush'!E$70,'NASS Crush'!E$58,'NASS Crush'!E$46,'NASS Crush'!E$34)</f>
        <v>14.707384745353595</v>
      </c>
      <c r="E591" s="324">
        <f t="shared" si="325"/>
        <v>7.8024612903225821</v>
      </c>
      <c r="F591" s="324">
        <f t="shared" si="323"/>
        <v>241.87630000000004</v>
      </c>
      <c r="G591" s="324">
        <f>'[1]Soy Complex'!$BR149*(1-'NASS Crush'!E$132)</f>
        <v>222.44277252962459</v>
      </c>
      <c r="H591" s="325">
        <f t="shared" si="324"/>
        <v>0.9196550986170392</v>
      </c>
      <c r="J591" s="322">
        <f t="shared" si="327"/>
        <v>0.47443176597914821</v>
      </c>
      <c r="BE591" s="274">
        <f t="shared" si="328"/>
        <v>7.1755733074072445</v>
      </c>
    </row>
    <row r="592" spans="1:57">
      <c r="A592" s="326">
        <v>47058</v>
      </c>
      <c r="B592" s="324">
        <f t="shared" si="326"/>
        <v>8.2200209050224302</v>
      </c>
      <c r="C592" s="324">
        <f t="shared" si="322"/>
        <v>0.41755961469984881</v>
      </c>
      <c r="D592" s="327">
        <f>G592*AVERAGE('NASS Crush'!E$132,'NASS Crush'!E$71,'NASS Crush'!E$59,'NASS Crush'!E$47,'NASS Crush'!E$35)</f>
        <v>12.944348055695313</v>
      </c>
      <c r="E592" s="324">
        <f t="shared" si="325"/>
        <v>7.8024612903225821</v>
      </c>
      <c r="F592" s="324">
        <f t="shared" si="323"/>
        <v>234.07383870967746</v>
      </c>
      <c r="G592" s="324">
        <f>'[1]Soy Complex'!$BR150*(1-'NASS Crush'!E$132)</f>
        <v>216.78744780429514</v>
      </c>
      <c r="H592" s="325">
        <f t="shared" si="324"/>
        <v>0.92614983801405215</v>
      </c>
      <c r="J592" s="322">
        <f t="shared" si="327"/>
        <v>0.43147826852317711</v>
      </c>
      <c r="BE592" s="274">
        <f>G592/30</f>
        <v>7.226248260143171</v>
      </c>
    </row>
    <row r="593" spans="1:57">
      <c r="A593" s="326">
        <v>47088</v>
      </c>
      <c r="B593" s="324">
        <f t="shared" si="326"/>
        <v>8.2551065904249885</v>
      </c>
      <c r="C593" s="324">
        <f t="shared" si="322"/>
        <v>0.45264530010240633</v>
      </c>
      <c r="D593" s="327">
        <f>G593*AVERAGE('NASS Crush'!E$133,'NASS Crush'!E$72,'NASS Crush'!E$60,'NASS Crush'!E$48,'NASS Crush'!E$36)</f>
        <v>13.57935900307219</v>
      </c>
      <c r="E593" s="324">
        <f t="shared" si="325"/>
        <v>7.8024612903225821</v>
      </c>
      <c r="F593" s="324">
        <f t="shared" si="323"/>
        <v>241.87630000000004</v>
      </c>
      <c r="G593" s="324">
        <f>'[1]Soy Complex'!$BR151*(1-'NASS Crush'!E$132)</f>
        <v>225.2704348922893</v>
      </c>
      <c r="H593" s="325">
        <f t="shared" si="324"/>
        <v>0.93134562953166256</v>
      </c>
      <c r="J593" s="322">
        <f t="shared" si="327"/>
        <v>0.43804383880878034</v>
      </c>
      <c r="BE593" s="274">
        <f t="shared" si="328"/>
        <v>7.2667882223319129</v>
      </c>
    </row>
    <row r="594" spans="1:57">
      <c r="A594" s="326">
        <v>47119</v>
      </c>
      <c r="B594" s="324">
        <f t="shared" si="326"/>
        <v>8.184671535422531</v>
      </c>
      <c r="C594" s="324">
        <f t="shared" si="322"/>
        <v>0.38221024509994872</v>
      </c>
      <c r="D594" s="327">
        <f>G594*AVERAGE('NASS Crush'!E$134,'NASS Crush'!E$73,'NASS Crush'!E$61,'NASS Crush'!E$49,'NASS Crush'!E$37)</f>
        <v>11.848517598098411</v>
      </c>
      <c r="E594" s="324">
        <f t="shared" si="325"/>
        <v>7.8024612903225821</v>
      </c>
      <c r="F594" s="324">
        <f t="shared" si="323"/>
        <v>241.87630000000004</v>
      </c>
      <c r="G594" s="324">
        <f>'[1]Soy Complex'!$BR152*(1-'NASS Crush'!E$132)</f>
        <v>220.5576642878481</v>
      </c>
      <c r="H594" s="325">
        <f t="shared" si="324"/>
        <v>0.91186141134062348</v>
      </c>
      <c r="J594" s="322">
        <f t="shared" si="327"/>
        <v>0.38221024509994872</v>
      </c>
      <c r="BE594" s="274">
        <f t="shared" si="328"/>
        <v>7.1147633641241326</v>
      </c>
    </row>
    <row r="595" spans="1:57">
      <c r="A595" s="326">
        <v>47150</v>
      </c>
      <c r="B595" s="324">
        <f t="shared" si="326"/>
        <v>8.1207874397019193</v>
      </c>
      <c r="C595" s="324">
        <f t="shared" ref="C595:C601" si="329">D595/(A595-A594)</f>
        <v>0.31832614937933718</v>
      </c>
      <c r="D595" s="327">
        <f>G595*AVERAGE('NASS Crush'!E$135,'NASS Crush'!E$74,'NASS Crush'!E$62,'NASS Crush'!E$50,'NASS Crush'!E$38)</f>
        <v>9.8681106307594533</v>
      </c>
      <c r="E595" s="324">
        <f t="shared" si="325"/>
        <v>7.8024612903225821</v>
      </c>
      <c r="F595" s="324">
        <f t="shared" ref="F595:F601" si="330">(A596-A595)*E595</f>
        <v>218.46891612903229</v>
      </c>
      <c r="G595" s="324">
        <f>'[1]Soy Complex'!$BR153*(1-'NASS Crush'!E$132)</f>
        <v>205.47679835363627</v>
      </c>
      <c r="H595" s="325">
        <f t="shared" ref="H595:H601" si="331">G595/F595</f>
        <v>0.94053104667886667</v>
      </c>
      <c r="J595" s="322">
        <f t="shared" si="327"/>
        <v>0.35243252252712332</v>
      </c>
      <c r="BE595" s="274">
        <f>G595/28</f>
        <v>7.3384570840584384</v>
      </c>
    </row>
    <row r="596" spans="1:57">
      <c r="A596" s="326">
        <v>47178</v>
      </c>
      <c r="B596" s="324">
        <f t="shared" si="326"/>
        <v>8.1780863535297623</v>
      </c>
      <c r="C596" s="324">
        <f t="shared" si="329"/>
        <v>0.37562506320717987</v>
      </c>
      <c r="D596" s="327">
        <f>G596*AVERAGE('NASS Crush'!E$136,'NASS Crush'!E$75,'NASS Crush'!E$63,'NASS Crush'!E$51,'NASS Crush'!E$39)</f>
        <v>10.517501769801036</v>
      </c>
      <c r="E596" s="324">
        <f t="shared" si="325"/>
        <v>7.8024612903225821</v>
      </c>
      <c r="F596" s="324">
        <f t="shared" si="330"/>
        <v>241.87630000000004</v>
      </c>
      <c r="G596" s="324">
        <f>'[1]Soy Complex'!$BR154*(1-'NASS Crush'!E$132)</f>
        <v>226.21298901317755</v>
      </c>
      <c r="H596" s="325">
        <f t="shared" si="331"/>
        <v>0.9352424731698703</v>
      </c>
      <c r="J596" s="322">
        <f t="shared" ref="J596:J600" si="332">D596/(A597-A596)</f>
        <v>0.33927425063874311</v>
      </c>
      <c r="BE596" s="274">
        <f t="shared" si="328"/>
        <v>7.2971931939734693</v>
      </c>
    </row>
    <row r="597" spans="1:57">
      <c r="A597" s="326">
        <v>47209</v>
      </c>
      <c r="B597" s="324">
        <f t="shared" si="326"/>
        <v>8.1576703787002902</v>
      </c>
      <c r="C597" s="324">
        <f t="shared" si="329"/>
        <v>0.35520908837770898</v>
      </c>
      <c r="D597" s="327">
        <f>G597*AVERAGE('NASS Crush'!E$137,'NASS Crush'!E$76,'NASS Crush'!E$64,'NASS Crush'!E$52,'NASS Crush'!E$40)</f>
        <v>11.011481739708978</v>
      </c>
      <c r="E597" s="324">
        <f t="shared" si="325"/>
        <v>7.8024612903225821</v>
      </c>
      <c r="F597" s="324">
        <f t="shared" si="330"/>
        <v>234.07383870967746</v>
      </c>
      <c r="G597" s="324">
        <f>'[1]Soy Complex'!$BR155*(1-'NASS Crush'!E$132)</f>
        <v>207.36190659541273</v>
      </c>
      <c r="H597" s="325">
        <f t="shared" si="331"/>
        <v>0.88588245375257157</v>
      </c>
      <c r="J597" s="322">
        <f t="shared" si="332"/>
        <v>0.36704939132363262</v>
      </c>
      <c r="BE597" s="274">
        <f>G597/30</f>
        <v>6.9120635531804249</v>
      </c>
    </row>
    <row r="598" spans="1:57">
      <c r="A598" s="326">
        <v>47239</v>
      </c>
      <c r="B598" s="324">
        <f t="shared" si="326"/>
        <v>8.1475050898994361</v>
      </c>
      <c r="C598" s="324">
        <f t="shared" si="329"/>
        <v>0.34504379957685372</v>
      </c>
      <c r="D598" s="327">
        <f>G598*AVERAGE('NASS Crush'!E$138,'NASS Crush'!E$77,'NASS Crush'!E$65,'NASS Crush'!E$53,'NASS Crush'!E$41)</f>
        <v>10.351313987305611</v>
      </c>
      <c r="E598" s="324">
        <f t="shared" si="325"/>
        <v>7.8024612903225821</v>
      </c>
      <c r="F598" s="324">
        <f t="shared" si="330"/>
        <v>241.87630000000004</v>
      </c>
      <c r="G598" s="324">
        <f>'[1]Soy Complex'!$BR156*(1-'NASS Crush'!E$132)</f>
        <v>213.01723132074218</v>
      </c>
      <c r="H598" s="325">
        <f t="shared" si="331"/>
        <v>0.88068666223496117</v>
      </c>
      <c r="J598" s="322">
        <f t="shared" si="332"/>
        <v>0.33391335442921327</v>
      </c>
      <c r="BE598" s="274">
        <f t="shared" si="328"/>
        <v>6.871523590991683</v>
      </c>
    </row>
    <row r="599" spans="1:57">
      <c r="A599" s="326">
        <v>47270</v>
      </c>
      <c r="B599" s="324">
        <f t="shared" si="326"/>
        <v>8.1274371754225321</v>
      </c>
      <c r="C599" s="324">
        <f t="shared" si="329"/>
        <v>0.32497588509994985</v>
      </c>
      <c r="D599" s="327">
        <f>G599*AVERAGE('NASS Crush'!E$139,'NASS Crush'!E$78,'NASS Crush'!E$66,'NASS Crush'!E$54,'NASS Crush'!E$42)</f>
        <v>10.074252438098446</v>
      </c>
      <c r="E599" s="324">
        <f t="shared" si="325"/>
        <v>7.8024612903225821</v>
      </c>
      <c r="F599" s="324">
        <f t="shared" si="330"/>
        <v>234.07383870967746</v>
      </c>
      <c r="G599" s="324">
        <f>'[1]Soy Complex'!$BR157*(1-'NASS Crush'!E$132)</f>
        <v>205.47679835363627</v>
      </c>
      <c r="H599" s="325">
        <f t="shared" si="331"/>
        <v>0.8778289769002755</v>
      </c>
      <c r="J599" s="322">
        <f t="shared" si="332"/>
        <v>0.33580841460328154</v>
      </c>
      <c r="BE599" s="274">
        <f>G599/30</f>
        <v>6.8492266117878753</v>
      </c>
    </row>
    <row r="600" spans="1:57">
      <c r="A600" s="326">
        <v>47300</v>
      </c>
      <c r="B600" s="324">
        <f t="shared" si="326"/>
        <v>8.1935221978316104</v>
      </c>
      <c r="C600" s="324">
        <f t="shared" si="329"/>
        <v>0.39106090750902806</v>
      </c>
      <c r="D600" s="327">
        <f>G600*AVERAGE('NASS Crush'!E$140,'NASS Crush'!E$79,'NASS Crush'!E$67,'NASS Crush'!E$55,'NASS Crush'!E$43)</f>
        <v>11.731827225270841</v>
      </c>
      <c r="E600" s="324">
        <f t="shared" si="325"/>
        <v>7.8024612903225821</v>
      </c>
      <c r="F600" s="324">
        <f t="shared" si="330"/>
        <v>241.87630000000004</v>
      </c>
      <c r="G600" s="324">
        <f>'[1]Soy Complex'!$BR158*(1-'NASS Crush'!E$132)</f>
        <v>213.95978544163043</v>
      </c>
      <c r="H600" s="325">
        <f t="shared" si="331"/>
        <v>0.88458350587316903</v>
      </c>
      <c r="J600" s="322">
        <f t="shared" si="332"/>
        <v>0.37844603952486583</v>
      </c>
      <c r="BE600" s="274">
        <f t="shared" si="328"/>
        <v>6.9019285626332394</v>
      </c>
    </row>
    <row r="601" spans="1:57">
      <c r="A601" s="326">
        <v>47331</v>
      </c>
      <c r="B601" s="324">
        <f t="shared" si="326"/>
        <v>8.1121625948365086</v>
      </c>
      <c r="C601" s="324">
        <f t="shared" si="329"/>
        <v>0.30970130451392619</v>
      </c>
      <c r="D601" s="327">
        <f>G601*AVERAGE('NASS Crush'!E$141,'NASS Crush'!E$80,'NASS Crush'!E$68,'NASS Crush'!E$56,'NASS Crush'!E$44)</f>
        <v>9.6007404399317124</v>
      </c>
      <c r="E601" s="324">
        <f t="shared" si="325"/>
        <v>7.8024612903225821</v>
      </c>
      <c r="F601" s="324">
        <f t="shared" si="330"/>
        <v>241.87630000000004</v>
      </c>
      <c r="G601" s="324">
        <f>'[1]Soy Complex'!$BR159*(1-'NASS Crush'!E$132)</f>
        <v>198.8789195074186</v>
      </c>
      <c r="H601" s="325">
        <f t="shared" si="331"/>
        <v>0.8222340076618444</v>
      </c>
      <c r="J601" s="322">
        <f>D601/(A602-A601)</f>
        <v>0.30970130451392619</v>
      </c>
      <c r="L601" s="274"/>
      <c r="M601" s="274"/>
      <c r="N601" s="274"/>
      <c r="BE601" s="274">
        <f t="shared" si="328"/>
        <v>6.415449016368342</v>
      </c>
    </row>
    <row r="602" spans="1:57">
      <c r="A602" s="266">
        <v>47362</v>
      </c>
      <c r="B602" s="266"/>
      <c r="D602" s="313"/>
      <c r="BE602" s="274"/>
    </row>
    <row r="603" spans="1:57">
      <c r="BE603" s="274"/>
    </row>
    <row r="604" spans="1:57">
      <c r="BE604" s="274"/>
    </row>
    <row r="605" spans="1:57">
      <c r="BE605" s="274"/>
    </row>
    <row r="650" spans="18:35" s="161" customFormat="1">
      <c r="R650" s="323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</row>
  </sheetData>
  <mergeCells count="1">
    <mergeCell ref="L558:M558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EO563"/>
  <sheetViews>
    <sheetView zoomScale="115" zoomScaleNormal="115" workbookViewId="0">
      <pane xSplit="1" ySplit="4" topLeftCell="CR114" activePane="bottomRight" state="frozen"/>
      <selection activeCell="C58" sqref="C58"/>
      <selection pane="topRight" activeCell="C58" sqref="C58"/>
      <selection pane="bottomLeft" activeCell="C58" sqref="C58"/>
      <selection pane="bottomRight" activeCell="CZ118" sqref="CZ118"/>
    </sheetView>
  </sheetViews>
  <sheetFormatPr defaultColWidth="8.85546875" defaultRowHeight="11.25"/>
  <cols>
    <col min="1" max="1" width="9.85546875" style="154" bestFit="1" customWidth="1"/>
    <col min="2" max="33" width="10.7109375" style="154" customWidth="1"/>
    <col min="34" max="34" width="8.85546875" style="154"/>
    <col min="35" max="100" width="10.7109375" style="154" customWidth="1"/>
    <col min="101" max="101" width="8.85546875" style="154"/>
    <col min="102" max="107" width="10.7109375" style="154" customWidth="1"/>
    <col min="108" max="108" width="8.85546875" style="154"/>
    <col min="109" max="122" width="10.7109375" style="154" customWidth="1"/>
    <col min="123" max="123" width="9" style="154" bestFit="1" customWidth="1"/>
    <col min="124" max="137" width="10.7109375" style="154" customWidth="1"/>
    <col min="138" max="139" width="8.85546875" style="154"/>
    <col min="140" max="143" width="10.85546875" style="154" bestFit="1" customWidth="1"/>
    <col min="144" max="144" width="16.42578125" style="154" bestFit="1" customWidth="1"/>
    <col min="145" max="145" width="10.85546875" style="154" bestFit="1" customWidth="1"/>
    <col min="146" max="16384" width="8.85546875" style="154"/>
  </cols>
  <sheetData>
    <row r="1" spans="1:145">
      <c r="A1" s="163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3"/>
      <c r="AI1" s="165" t="s">
        <v>52</v>
      </c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6" t="s">
        <v>53</v>
      </c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7" t="s">
        <v>54</v>
      </c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8" t="s">
        <v>55</v>
      </c>
      <c r="BQ1" s="168"/>
      <c r="BR1" s="168"/>
      <c r="BS1" s="168"/>
      <c r="BT1" s="168"/>
      <c r="BU1" s="168"/>
      <c r="BV1" s="168"/>
      <c r="BW1" s="168"/>
      <c r="BX1" s="168"/>
      <c r="BY1" s="168"/>
      <c r="BZ1" s="168"/>
      <c r="CA1" s="169" t="s">
        <v>56</v>
      </c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70" t="s">
        <v>57</v>
      </c>
      <c r="CM1" s="170"/>
      <c r="CN1" s="170"/>
      <c r="CO1" s="170"/>
      <c r="CP1" s="170"/>
      <c r="CQ1" s="170"/>
      <c r="CR1" s="170"/>
      <c r="CS1" s="170"/>
      <c r="CT1" s="170"/>
      <c r="CU1" s="170"/>
      <c r="CV1" s="170"/>
      <c r="CW1" s="163"/>
      <c r="CX1" s="171" t="s">
        <v>58</v>
      </c>
      <c r="CY1" s="171"/>
      <c r="CZ1" s="171"/>
      <c r="DA1" s="171"/>
      <c r="DB1" s="171"/>
      <c r="DC1" s="171"/>
      <c r="DD1" s="163"/>
      <c r="DE1" s="163" t="s">
        <v>59</v>
      </c>
      <c r="DF1" s="163"/>
      <c r="DG1" s="163"/>
      <c r="DH1" s="163"/>
      <c r="DI1" s="163"/>
      <c r="DJ1" s="163"/>
      <c r="DK1" s="163"/>
      <c r="DL1" s="163"/>
      <c r="DM1" s="163"/>
      <c r="DN1" s="163"/>
      <c r="DO1" s="163"/>
      <c r="DP1" s="163"/>
      <c r="DQ1" s="163"/>
      <c r="DR1" s="163"/>
      <c r="DS1" s="163"/>
      <c r="DT1" s="163" t="s">
        <v>60</v>
      </c>
      <c r="DU1" s="163"/>
      <c r="DV1" s="163"/>
      <c r="DW1" s="163"/>
      <c r="DX1" s="163"/>
      <c r="DY1" s="163"/>
      <c r="DZ1" s="163"/>
      <c r="EA1" s="163"/>
      <c r="EB1" s="163"/>
      <c r="EC1" s="163"/>
      <c r="ED1" s="163"/>
      <c r="EE1" s="163"/>
      <c r="EF1" s="163"/>
      <c r="EG1" s="163"/>
    </row>
    <row r="2" spans="1:145" s="179" customFormat="1">
      <c r="A2" s="172"/>
      <c r="B2" s="173" t="s">
        <v>61</v>
      </c>
      <c r="C2" s="173"/>
      <c r="D2" s="173"/>
      <c r="E2" s="173"/>
      <c r="F2" s="174" t="s">
        <v>62</v>
      </c>
      <c r="G2" s="174"/>
      <c r="H2" s="174"/>
      <c r="I2" s="174"/>
      <c r="J2" s="174"/>
      <c r="K2" s="174"/>
      <c r="L2" s="174"/>
      <c r="M2" s="173" t="s">
        <v>63</v>
      </c>
      <c r="N2" s="173"/>
      <c r="O2" s="174" t="s">
        <v>64</v>
      </c>
      <c r="P2" s="175"/>
      <c r="Q2" s="175"/>
      <c r="R2" s="175"/>
      <c r="S2" s="175"/>
      <c r="T2" s="175"/>
      <c r="U2" s="175"/>
      <c r="V2" s="175"/>
      <c r="W2" s="175"/>
      <c r="X2" s="175"/>
      <c r="Y2" s="176" t="s">
        <v>65</v>
      </c>
      <c r="Z2" s="175"/>
      <c r="AA2" s="175"/>
      <c r="AB2" s="175"/>
      <c r="AC2" s="175"/>
      <c r="AD2" s="175"/>
      <c r="AE2" s="175"/>
      <c r="AF2" s="175"/>
      <c r="AG2" s="175"/>
      <c r="AH2" s="172"/>
      <c r="AI2" s="173" t="s">
        <v>61</v>
      </c>
      <c r="AJ2" s="173"/>
      <c r="AK2" s="174" t="s">
        <v>62</v>
      </c>
      <c r="AL2" s="175"/>
      <c r="AM2" s="175"/>
      <c r="AN2" s="175"/>
      <c r="AO2" s="173" t="s">
        <v>64</v>
      </c>
      <c r="AP2" s="177"/>
      <c r="AQ2" s="177"/>
      <c r="AR2" s="177"/>
      <c r="AS2" s="178" t="s">
        <v>65</v>
      </c>
      <c r="AT2" s="173" t="s">
        <v>61</v>
      </c>
      <c r="AU2" s="177"/>
      <c r="AV2" s="174" t="s">
        <v>62</v>
      </c>
      <c r="AW2" s="175"/>
      <c r="AX2" s="175"/>
      <c r="AY2" s="175"/>
      <c r="AZ2" s="173" t="s">
        <v>64</v>
      </c>
      <c r="BA2" s="177"/>
      <c r="BB2" s="177"/>
      <c r="BC2" s="177"/>
      <c r="BD2" s="178" t="s">
        <v>65</v>
      </c>
      <c r="BE2" s="173" t="s">
        <v>61</v>
      </c>
      <c r="BF2" s="173"/>
      <c r="BG2" s="174" t="s">
        <v>62</v>
      </c>
      <c r="BH2" s="174"/>
      <c r="BI2" s="174"/>
      <c r="BJ2" s="174"/>
      <c r="BK2" s="173" t="s">
        <v>64</v>
      </c>
      <c r="BL2" s="177"/>
      <c r="BM2" s="177"/>
      <c r="BN2" s="177"/>
      <c r="BO2" s="178" t="s">
        <v>65</v>
      </c>
      <c r="BP2" s="173" t="s">
        <v>61</v>
      </c>
      <c r="BQ2" s="173"/>
      <c r="BR2" s="174" t="s">
        <v>62</v>
      </c>
      <c r="BS2" s="174"/>
      <c r="BT2" s="174"/>
      <c r="BU2" s="174"/>
      <c r="BV2" s="173" t="s">
        <v>64</v>
      </c>
      <c r="BW2" s="173"/>
      <c r="BX2" s="173"/>
      <c r="BY2" s="177"/>
      <c r="BZ2" s="178" t="s">
        <v>65</v>
      </c>
      <c r="CA2" s="173" t="s">
        <v>61</v>
      </c>
      <c r="CB2" s="173"/>
      <c r="CC2" s="174" t="s">
        <v>62</v>
      </c>
      <c r="CD2" s="174"/>
      <c r="CE2" s="174"/>
      <c r="CF2" s="174"/>
      <c r="CG2" s="173" t="s">
        <v>64</v>
      </c>
      <c r="CH2" s="173"/>
      <c r="CI2" s="173"/>
      <c r="CJ2" s="173"/>
      <c r="CK2" s="178" t="s">
        <v>65</v>
      </c>
      <c r="CL2" s="173" t="s">
        <v>61</v>
      </c>
      <c r="CM2" s="173"/>
      <c r="CN2" s="174" t="s">
        <v>62</v>
      </c>
      <c r="CO2" s="174"/>
      <c r="CP2" s="174"/>
      <c r="CQ2" s="174"/>
      <c r="CR2" s="173" t="s">
        <v>64</v>
      </c>
      <c r="CS2" s="173"/>
      <c r="CT2" s="173"/>
      <c r="CU2" s="173"/>
      <c r="CV2" s="178" t="s">
        <v>65</v>
      </c>
      <c r="CW2" s="172"/>
      <c r="CX2" s="173" t="s">
        <v>61</v>
      </c>
      <c r="CY2" s="174" t="s">
        <v>62</v>
      </c>
      <c r="CZ2" s="174"/>
      <c r="DA2" s="173" t="s">
        <v>64</v>
      </c>
      <c r="DB2" s="173"/>
      <c r="DC2" s="173"/>
      <c r="DD2" s="172"/>
      <c r="DE2" s="173" t="s">
        <v>66</v>
      </c>
      <c r="DF2" s="174" t="s">
        <v>67</v>
      </c>
      <c r="DG2" s="175"/>
      <c r="DH2" s="175"/>
      <c r="DI2" s="173" t="s">
        <v>68</v>
      </c>
      <c r="DJ2" s="177"/>
      <c r="DK2" s="177"/>
      <c r="DL2" s="177"/>
      <c r="DM2" s="177"/>
      <c r="DN2" s="177"/>
      <c r="DO2" s="177"/>
      <c r="DP2" s="177"/>
      <c r="DQ2" s="177"/>
      <c r="DR2" s="175" t="s">
        <v>65</v>
      </c>
      <c r="DS2" s="172"/>
      <c r="DT2" s="173" t="s">
        <v>69</v>
      </c>
      <c r="DU2" s="174" t="s">
        <v>70</v>
      </c>
      <c r="DV2" s="175"/>
      <c r="DW2" s="175"/>
      <c r="DX2" s="173" t="s">
        <v>71</v>
      </c>
      <c r="DY2" s="177"/>
      <c r="DZ2" s="177"/>
      <c r="EA2" s="177"/>
      <c r="EB2" s="177"/>
      <c r="EC2" s="177"/>
      <c r="ED2" s="177"/>
      <c r="EE2" s="177"/>
      <c r="EF2" s="177"/>
      <c r="EG2" s="175" t="s">
        <v>65</v>
      </c>
      <c r="EJ2" s="179" t="s">
        <v>418</v>
      </c>
    </row>
    <row r="3" spans="1:145" s="156" customFormat="1" ht="56.25">
      <c r="A3" s="180"/>
      <c r="B3" s="181" t="s">
        <v>72</v>
      </c>
      <c r="C3" s="180" t="s">
        <v>72</v>
      </c>
      <c r="D3" s="180" t="s">
        <v>73</v>
      </c>
      <c r="E3" s="180" t="s">
        <v>422</v>
      </c>
      <c r="F3" s="181" t="s">
        <v>401</v>
      </c>
      <c r="G3" s="181" t="s">
        <v>373</v>
      </c>
      <c r="H3" s="181" t="s">
        <v>374</v>
      </c>
      <c r="I3" s="181" t="s">
        <v>405</v>
      </c>
      <c r="J3" s="180" t="s">
        <v>76</v>
      </c>
      <c r="K3" s="180" t="s">
        <v>77</v>
      </c>
      <c r="L3" s="180" t="s">
        <v>78</v>
      </c>
      <c r="M3" s="181" t="s">
        <v>402</v>
      </c>
      <c r="N3" s="181" t="s">
        <v>404</v>
      </c>
      <c r="O3" s="181" t="s">
        <v>403</v>
      </c>
      <c r="P3" s="181" t="s">
        <v>406</v>
      </c>
      <c r="Q3" s="181" t="s">
        <v>407</v>
      </c>
      <c r="R3" s="181" t="s">
        <v>408</v>
      </c>
      <c r="S3" s="181" t="s">
        <v>409</v>
      </c>
      <c r="T3" s="181" t="s">
        <v>410</v>
      </c>
      <c r="U3" s="180" t="s">
        <v>73</v>
      </c>
      <c r="V3" s="180"/>
      <c r="W3" s="180" t="s">
        <v>76</v>
      </c>
      <c r="X3" s="180" t="s">
        <v>78</v>
      </c>
      <c r="Y3" s="180" t="s">
        <v>76</v>
      </c>
      <c r="Z3" s="181" t="s">
        <v>411</v>
      </c>
      <c r="AA3" s="181" t="s">
        <v>412</v>
      </c>
      <c r="AB3" s="180" t="s">
        <v>83</v>
      </c>
      <c r="AC3" s="181" t="s">
        <v>413</v>
      </c>
      <c r="AD3" s="181" t="s">
        <v>414</v>
      </c>
      <c r="AE3" s="181" t="s">
        <v>415</v>
      </c>
      <c r="AF3" s="181" t="s">
        <v>416</v>
      </c>
      <c r="AG3" s="180" t="s">
        <v>375</v>
      </c>
      <c r="AH3" s="180"/>
      <c r="AI3" s="181" t="s">
        <v>72</v>
      </c>
      <c r="AJ3" s="180" t="s">
        <v>72</v>
      </c>
      <c r="AK3" s="181" t="s">
        <v>74</v>
      </c>
      <c r="AL3" s="181" t="s">
        <v>75</v>
      </c>
      <c r="AM3" s="180" t="s">
        <v>76</v>
      </c>
      <c r="AN3" s="180" t="s">
        <v>84</v>
      </c>
      <c r="AO3" s="181" t="s">
        <v>74</v>
      </c>
      <c r="AP3" s="181" t="s">
        <v>79</v>
      </c>
      <c r="AQ3" s="180" t="s">
        <v>76</v>
      </c>
      <c r="AR3" s="180" t="s">
        <v>84</v>
      </c>
      <c r="AS3" s="180" t="s">
        <v>76</v>
      </c>
      <c r="AT3" s="181" t="s">
        <v>72</v>
      </c>
      <c r="AU3" s="180" t="s">
        <v>72</v>
      </c>
      <c r="AV3" s="181" t="s">
        <v>74</v>
      </c>
      <c r="AW3" s="181" t="s">
        <v>75</v>
      </c>
      <c r="AX3" s="180" t="s">
        <v>76</v>
      </c>
      <c r="AY3" s="180" t="s">
        <v>84</v>
      </c>
      <c r="AZ3" s="181" t="s">
        <v>74</v>
      </c>
      <c r="BA3" s="181" t="s">
        <v>79</v>
      </c>
      <c r="BB3" s="180" t="s">
        <v>76</v>
      </c>
      <c r="BC3" s="180" t="s">
        <v>84</v>
      </c>
      <c r="BD3" s="180" t="s">
        <v>76</v>
      </c>
      <c r="BE3" s="181" t="s">
        <v>72</v>
      </c>
      <c r="BF3" s="180" t="s">
        <v>72</v>
      </c>
      <c r="BG3" s="181" t="s">
        <v>74</v>
      </c>
      <c r="BH3" s="181" t="s">
        <v>75</v>
      </c>
      <c r="BI3" s="180" t="s">
        <v>76</v>
      </c>
      <c r="BJ3" s="180" t="s">
        <v>84</v>
      </c>
      <c r="BK3" s="181" t="s">
        <v>74</v>
      </c>
      <c r="BL3" s="181" t="s">
        <v>79</v>
      </c>
      <c r="BM3" s="180" t="s">
        <v>76</v>
      </c>
      <c r="BN3" s="180" t="s">
        <v>84</v>
      </c>
      <c r="BO3" s="180" t="s">
        <v>76</v>
      </c>
      <c r="BP3" s="181" t="s">
        <v>72</v>
      </c>
      <c r="BQ3" s="180" t="s">
        <v>72</v>
      </c>
      <c r="BR3" s="181" t="s">
        <v>74</v>
      </c>
      <c r="BS3" s="181" t="s">
        <v>75</v>
      </c>
      <c r="BT3" s="180" t="s">
        <v>76</v>
      </c>
      <c r="BU3" s="180" t="s">
        <v>84</v>
      </c>
      <c r="BV3" s="181" t="s">
        <v>74</v>
      </c>
      <c r="BW3" s="181" t="s">
        <v>79</v>
      </c>
      <c r="BX3" s="180" t="s">
        <v>76</v>
      </c>
      <c r="BY3" s="180" t="s">
        <v>84</v>
      </c>
      <c r="BZ3" s="180" t="s">
        <v>76</v>
      </c>
      <c r="CA3" s="181" t="s">
        <v>72</v>
      </c>
      <c r="CB3" s="180" t="s">
        <v>72</v>
      </c>
      <c r="CC3" s="181" t="s">
        <v>74</v>
      </c>
      <c r="CD3" s="181" t="s">
        <v>75</v>
      </c>
      <c r="CE3" s="180" t="s">
        <v>76</v>
      </c>
      <c r="CF3" s="180" t="s">
        <v>84</v>
      </c>
      <c r="CG3" s="181" t="s">
        <v>74</v>
      </c>
      <c r="CH3" s="181" t="s">
        <v>79</v>
      </c>
      <c r="CI3" s="180" t="s">
        <v>76</v>
      </c>
      <c r="CJ3" s="180" t="s">
        <v>84</v>
      </c>
      <c r="CK3" s="180" t="s">
        <v>76</v>
      </c>
      <c r="CL3" s="181" t="s">
        <v>72</v>
      </c>
      <c r="CM3" s="180" t="s">
        <v>72</v>
      </c>
      <c r="CN3" s="181" t="s">
        <v>74</v>
      </c>
      <c r="CO3" s="181" t="s">
        <v>75</v>
      </c>
      <c r="CP3" s="180" t="s">
        <v>76</v>
      </c>
      <c r="CQ3" s="180" t="s">
        <v>84</v>
      </c>
      <c r="CR3" s="181" t="s">
        <v>74</v>
      </c>
      <c r="CS3" s="181" t="s">
        <v>79</v>
      </c>
      <c r="CT3" s="180" t="s">
        <v>76</v>
      </c>
      <c r="CU3" s="180" t="s">
        <v>84</v>
      </c>
      <c r="CV3" s="180" t="s">
        <v>76</v>
      </c>
      <c r="CW3" s="180"/>
      <c r="CX3" s="181" t="s">
        <v>72</v>
      </c>
      <c r="CY3" s="181" t="s">
        <v>74</v>
      </c>
      <c r="CZ3" s="181" t="s">
        <v>75</v>
      </c>
      <c r="DA3" s="181" t="s">
        <v>74</v>
      </c>
      <c r="DB3" s="181" t="s">
        <v>79</v>
      </c>
      <c r="DC3" s="181" t="s">
        <v>85</v>
      </c>
      <c r="DD3" s="180"/>
      <c r="DE3" s="181" t="s">
        <v>72</v>
      </c>
      <c r="DF3" s="181" t="s">
        <v>74</v>
      </c>
      <c r="DG3" s="181" t="s">
        <v>75</v>
      </c>
      <c r="DH3" s="180" t="s">
        <v>76</v>
      </c>
      <c r="DI3" s="181" t="s">
        <v>86</v>
      </c>
      <c r="DJ3" s="180" t="s">
        <v>76</v>
      </c>
      <c r="DK3" s="181" t="s">
        <v>81</v>
      </c>
      <c r="DL3" s="181" t="s">
        <v>82</v>
      </c>
      <c r="DM3" s="180" t="s">
        <v>83</v>
      </c>
      <c r="DN3" s="181" t="s">
        <v>87</v>
      </c>
      <c r="DO3" s="181" t="s">
        <v>79</v>
      </c>
      <c r="DP3" s="181" t="s">
        <v>80</v>
      </c>
      <c r="DQ3" s="180" t="s">
        <v>85</v>
      </c>
      <c r="DR3" s="180" t="s">
        <v>76</v>
      </c>
      <c r="DS3" s="180" t="s">
        <v>425</v>
      </c>
      <c r="DT3" s="181" t="s">
        <v>72</v>
      </c>
      <c r="DU3" s="181" t="s">
        <v>74</v>
      </c>
      <c r="DV3" s="181" t="s">
        <v>75</v>
      </c>
      <c r="DW3" s="180" t="s">
        <v>76</v>
      </c>
      <c r="DX3" s="181" t="s">
        <v>86</v>
      </c>
      <c r="DY3" s="180" t="s">
        <v>76</v>
      </c>
      <c r="DZ3" s="181" t="s">
        <v>81</v>
      </c>
      <c r="EA3" s="181" t="s">
        <v>82</v>
      </c>
      <c r="EB3" s="180" t="s">
        <v>83</v>
      </c>
      <c r="EC3" s="181" t="s">
        <v>87</v>
      </c>
      <c r="ED3" s="181" t="s">
        <v>79</v>
      </c>
      <c r="EE3" s="181" t="s">
        <v>80</v>
      </c>
      <c r="EF3" s="180" t="s">
        <v>85</v>
      </c>
      <c r="EG3" s="180" t="s">
        <v>76</v>
      </c>
      <c r="EJ3" s="351" t="s">
        <v>431</v>
      </c>
      <c r="EK3" s="351" t="s">
        <v>430</v>
      </c>
      <c r="EL3" s="351" t="s">
        <v>432</v>
      </c>
      <c r="EM3" s="351" t="s">
        <v>433</v>
      </c>
      <c r="EN3" s="351" t="s">
        <v>434</v>
      </c>
      <c r="EO3" s="182" t="s">
        <v>435</v>
      </c>
    </row>
    <row r="4" spans="1:145">
      <c r="A4" s="183">
        <v>42095</v>
      </c>
      <c r="B4" s="184" t="s">
        <v>88</v>
      </c>
      <c r="C4" s="184" t="s">
        <v>89</v>
      </c>
      <c r="D4" s="184" t="s">
        <v>89</v>
      </c>
      <c r="E4" s="184" t="s">
        <v>90</v>
      </c>
      <c r="F4" s="184" t="s">
        <v>91</v>
      </c>
      <c r="G4" s="184"/>
      <c r="H4" s="184"/>
      <c r="I4" s="184" t="s">
        <v>91</v>
      </c>
      <c r="J4" s="184" t="s">
        <v>92</v>
      </c>
      <c r="K4" s="184" t="s">
        <v>92</v>
      </c>
      <c r="L4" s="184" t="s">
        <v>92</v>
      </c>
      <c r="M4" s="184" t="s">
        <v>93</v>
      </c>
      <c r="N4" s="184" t="s">
        <v>93</v>
      </c>
      <c r="O4" s="184" t="s">
        <v>94</v>
      </c>
      <c r="P4" s="184" t="s">
        <v>94</v>
      </c>
      <c r="Q4" s="184" t="s">
        <v>94</v>
      </c>
      <c r="R4" s="184" t="s">
        <v>94</v>
      </c>
      <c r="S4" s="184" t="s">
        <v>94</v>
      </c>
      <c r="T4" s="184" t="s">
        <v>94</v>
      </c>
      <c r="U4" s="184" t="s">
        <v>94</v>
      </c>
      <c r="V4" s="184" t="s">
        <v>90</v>
      </c>
      <c r="W4" s="184" t="s">
        <v>92</v>
      </c>
      <c r="X4" s="184" t="s">
        <v>92</v>
      </c>
      <c r="Y4" s="184" t="s">
        <v>92</v>
      </c>
      <c r="Z4" s="184" t="s">
        <v>94</v>
      </c>
      <c r="AA4" s="184" t="s">
        <v>94</v>
      </c>
      <c r="AB4" s="184" t="s">
        <v>90</v>
      </c>
      <c r="AC4" s="184" t="s">
        <v>94</v>
      </c>
      <c r="AD4" s="184" t="s">
        <v>94</v>
      </c>
      <c r="AE4" s="184" t="s">
        <v>94</v>
      </c>
      <c r="AF4" s="184" t="s">
        <v>94</v>
      </c>
      <c r="AG4" s="184"/>
      <c r="AH4" s="163"/>
      <c r="AI4" s="184" t="s">
        <v>88</v>
      </c>
      <c r="AJ4" s="184" t="s">
        <v>89</v>
      </c>
      <c r="AK4" s="184" t="s">
        <v>91</v>
      </c>
      <c r="AL4" s="184" t="s">
        <v>91</v>
      </c>
      <c r="AM4" s="184" t="s">
        <v>92</v>
      </c>
      <c r="AN4" s="184" t="s">
        <v>92</v>
      </c>
      <c r="AO4" s="184" t="s">
        <v>94</v>
      </c>
      <c r="AP4" s="184" t="s">
        <v>94</v>
      </c>
      <c r="AQ4" s="184" t="s">
        <v>92</v>
      </c>
      <c r="AR4" s="184" t="s">
        <v>92</v>
      </c>
      <c r="AS4" s="184" t="s">
        <v>92</v>
      </c>
      <c r="AT4" s="184" t="s">
        <v>88</v>
      </c>
      <c r="AU4" s="184" t="s">
        <v>89</v>
      </c>
      <c r="AV4" s="184" t="s">
        <v>91</v>
      </c>
      <c r="AW4" s="184" t="s">
        <v>91</v>
      </c>
      <c r="AX4" s="184" t="s">
        <v>92</v>
      </c>
      <c r="AY4" s="184" t="s">
        <v>92</v>
      </c>
      <c r="AZ4" s="184" t="s">
        <v>94</v>
      </c>
      <c r="BA4" s="184" t="s">
        <v>94</v>
      </c>
      <c r="BB4" s="184" t="s">
        <v>92</v>
      </c>
      <c r="BC4" s="184" t="s">
        <v>92</v>
      </c>
      <c r="BD4" s="184" t="s">
        <v>92</v>
      </c>
      <c r="BE4" s="184" t="s">
        <v>88</v>
      </c>
      <c r="BF4" s="184" t="s">
        <v>89</v>
      </c>
      <c r="BG4" s="184" t="s">
        <v>91</v>
      </c>
      <c r="BH4" s="184" t="s">
        <v>91</v>
      </c>
      <c r="BI4" s="184" t="s">
        <v>92</v>
      </c>
      <c r="BJ4" s="184" t="s">
        <v>92</v>
      </c>
      <c r="BK4" s="184" t="s">
        <v>94</v>
      </c>
      <c r="BL4" s="184" t="s">
        <v>94</v>
      </c>
      <c r="BM4" s="184" t="s">
        <v>92</v>
      </c>
      <c r="BN4" s="184" t="s">
        <v>92</v>
      </c>
      <c r="BO4" s="184" t="s">
        <v>92</v>
      </c>
      <c r="BP4" s="184" t="s">
        <v>88</v>
      </c>
      <c r="BQ4" s="184" t="s">
        <v>89</v>
      </c>
      <c r="BR4" s="184" t="s">
        <v>91</v>
      </c>
      <c r="BS4" s="184" t="s">
        <v>91</v>
      </c>
      <c r="BT4" s="184" t="s">
        <v>92</v>
      </c>
      <c r="BU4" s="184" t="s">
        <v>92</v>
      </c>
      <c r="BV4" s="184" t="s">
        <v>94</v>
      </c>
      <c r="BW4" s="184" t="s">
        <v>94</v>
      </c>
      <c r="BX4" s="184" t="s">
        <v>92</v>
      </c>
      <c r="BY4" s="184" t="s">
        <v>92</v>
      </c>
      <c r="BZ4" s="184" t="s">
        <v>92</v>
      </c>
      <c r="CA4" s="184" t="s">
        <v>88</v>
      </c>
      <c r="CB4" s="184" t="s">
        <v>89</v>
      </c>
      <c r="CC4" s="184" t="s">
        <v>91</v>
      </c>
      <c r="CD4" s="184" t="s">
        <v>91</v>
      </c>
      <c r="CE4" s="184" t="s">
        <v>92</v>
      </c>
      <c r="CF4" s="184" t="s">
        <v>92</v>
      </c>
      <c r="CG4" s="184" t="s">
        <v>94</v>
      </c>
      <c r="CH4" s="184" t="s">
        <v>94</v>
      </c>
      <c r="CI4" s="184" t="s">
        <v>92</v>
      </c>
      <c r="CJ4" s="184" t="s">
        <v>92</v>
      </c>
      <c r="CK4" s="184" t="s">
        <v>92</v>
      </c>
      <c r="CL4" s="184" t="s">
        <v>88</v>
      </c>
      <c r="CM4" s="184" t="s">
        <v>89</v>
      </c>
      <c r="CN4" s="184" t="s">
        <v>91</v>
      </c>
      <c r="CO4" s="184" t="s">
        <v>91</v>
      </c>
      <c r="CP4" s="184" t="s">
        <v>92</v>
      </c>
      <c r="CQ4" s="184" t="s">
        <v>92</v>
      </c>
      <c r="CR4" s="184" t="s">
        <v>94</v>
      </c>
      <c r="CS4" s="184" t="s">
        <v>94</v>
      </c>
      <c r="CT4" s="184" t="s">
        <v>92</v>
      </c>
      <c r="CU4" s="184" t="s">
        <v>92</v>
      </c>
      <c r="CV4" s="184" t="s">
        <v>92</v>
      </c>
      <c r="CW4" s="163"/>
      <c r="CX4" s="184" t="s">
        <v>89</v>
      </c>
      <c r="CY4" s="184" t="s">
        <v>91</v>
      </c>
      <c r="CZ4" s="184" t="s">
        <v>91</v>
      </c>
      <c r="DA4" s="184" t="s">
        <v>94</v>
      </c>
      <c r="DB4" s="184" t="s">
        <v>94</v>
      </c>
      <c r="DC4" s="184" t="s">
        <v>94</v>
      </c>
      <c r="DD4" s="163"/>
      <c r="DE4" s="184" t="s">
        <v>94</v>
      </c>
      <c r="DF4" s="184" t="s">
        <v>88</v>
      </c>
      <c r="DG4" s="184" t="s">
        <v>88</v>
      </c>
      <c r="DH4" s="184" t="s">
        <v>90</v>
      </c>
      <c r="DI4" s="184" t="s">
        <v>94</v>
      </c>
      <c r="DJ4" s="184" t="s">
        <v>90</v>
      </c>
      <c r="DK4" s="184" t="s">
        <v>94</v>
      </c>
      <c r="DL4" s="184" t="s">
        <v>94</v>
      </c>
      <c r="DM4" s="184" t="s">
        <v>90</v>
      </c>
      <c r="DN4" s="184" t="s">
        <v>94</v>
      </c>
      <c r="DO4" s="184" t="s">
        <v>94</v>
      </c>
      <c r="DP4" s="184" t="s">
        <v>94</v>
      </c>
      <c r="DQ4" s="184" t="s">
        <v>94</v>
      </c>
      <c r="DR4" s="184" t="s">
        <v>90</v>
      </c>
      <c r="DS4" s="163"/>
      <c r="DT4" s="184" t="s">
        <v>91</v>
      </c>
      <c r="DU4" s="184" t="s">
        <v>91</v>
      </c>
      <c r="DV4" s="184" t="s">
        <v>91</v>
      </c>
      <c r="DW4" s="184" t="s">
        <v>90</v>
      </c>
      <c r="DX4" s="184" t="s">
        <v>94</v>
      </c>
      <c r="DY4" s="184" t="s">
        <v>90</v>
      </c>
      <c r="DZ4" s="184" t="s">
        <v>94</v>
      </c>
      <c r="EA4" s="184" t="s">
        <v>94</v>
      </c>
      <c r="EB4" s="184" t="s">
        <v>90</v>
      </c>
      <c r="EC4" s="184" t="s">
        <v>94</v>
      </c>
      <c r="ED4" s="184" t="s">
        <v>94</v>
      </c>
      <c r="EE4" s="184" t="s">
        <v>94</v>
      </c>
      <c r="EF4" s="184" t="s">
        <v>94</v>
      </c>
      <c r="EG4" s="184" t="s">
        <v>90</v>
      </c>
      <c r="EJ4" s="351"/>
      <c r="EK4" s="351"/>
      <c r="EL4" s="351"/>
      <c r="EM4" s="351"/>
      <c r="EN4" s="351"/>
      <c r="EO4" s="185" t="s">
        <v>429</v>
      </c>
    </row>
    <row r="5" spans="1:145">
      <c r="A5" s="157">
        <v>42125</v>
      </c>
      <c r="B5" s="186">
        <v>4682.3220000000001</v>
      </c>
      <c r="C5" s="187">
        <f>B5/30</f>
        <v>156.07740000000001</v>
      </c>
      <c r="D5" s="247">
        <f>C5-'NOPA Crush'!G430</f>
        <v>7.6614000000000146</v>
      </c>
      <c r="E5" s="188">
        <f>C5/'NOPA Crush'!G430-1</f>
        <v>5.1621119016817651E-2</v>
      </c>
      <c r="F5" s="189">
        <v>3472.9580000000001</v>
      </c>
      <c r="G5" s="189">
        <v>3432.5520000000001</v>
      </c>
      <c r="H5" s="189">
        <v>40.405999999999999</v>
      </c>
      <c r="I5" s="189">
        <v>456.01600000000002</v>
      </c>
      <c r="J5" s="190">
        <f>F5*2/C5</f>
        <v>44.5030222184634</v>
      </c>
      <c r="K5" s="190">
        <f>(F5+M5)*2/C5</f>
        <v>47.518577321252145</v>
      </c>
      <c r="L5" s="190">
        <f>K5-'NOPA Crush'!J430</f>
        <v>-0.14142267874785119</v>
      </c>
      <c r="M5" s="189">
        <v>235.33</v>
      </c>
      <c r="N5" s="189">
        <v>51.723999999999997</v>
      </c>
      <c r="O5" s="189">
        <v>1754.1790000000001</v>
      </c>
      <c r="P5" s="189">
        <v>1812.875</v>
      </c>
      <c r="Q5" s="189">
        <v>1054.953</v>
      </c>
      <c r="R5" s="189">
        <v>254.72399999999999</v>
      </c>
      <c r="S5" s="189">
        <v>503.19799999999998</v>
      </c>
      <c r="T5" s="189">
        <v>376.44900000000001</v>
      </c>
      <c r="U5" s="189">
        <f>(P5+T5)-'NOPA Crush'!Q430</f>
        <v>611.52099999999996</v>
      </c>
      <c r="V5" s="191">
        <f>(P5+T5)/'NOPA Crush'!Q430-1</f>
        <v>0.38757753661261884</v>
      </c>
      <c r="W5" s="190">
        <f>O5/C5</f>
        <v>11.239160826615512</v>
      </c>
      <c r="X5" s="190">
        <f>W5-'NOPA Crush'!O430</f>
        <v>-0.10083917338448778</v>
      </c>
      <c r="Y5" s="190">
        <f t="shared" ref="Y5:Y36" si="0">K5+W5</f>
        <v>58.757738147867656</v>
      </c>
      <c r="Z5" s="211">
        <v>1439.683</v>
      </c>
      <c r="AA5" s="211">
        <v>1400.2070000000001</v>
      </c>
      <c r="AB5" s="191">
        <f>(Z5-AA5)/Z5</f>
        <v>2.7419925080729497E-2</v>
      </c>
      <c r="AC5" s="344">
        <f>FORECAST(S5,AC6:AC$87,S6:S$87)</f>
        <v>105.21720427114565</v>
      </c>
      <c r="AD5" s="211">
        <v>1348.2339999999999</v>
      </c>
      <c r="AE5" s="211">
        <v>1078.712</v>
      </c>
      <c r="AF5" s="211">
        <v>269.52199999999999</v>
      </c>
      <c r="AG5" s="191">
        <f t="shared" ref="AG5:AG36" si="1">AD5/AA5-1</f>
        <v>-3.7118083254833123E-2</v>
      </c>
      <c r="AH5" s="163"/>
      <c r="AI5" s="211">
        <v>527.04999999999995</v>
      </c>
      <c r="AJ5" s="247">
        <f>AI5/30</f>
        <v>17.568333333333332</v>
      </c>
      <c r="AK5" s="211">
        <v>384.47399999999999</v>
      </c>
      <c r="AL5" s="211">
        <v>74.899000000000001</v>
      </c>
      <c r="AM5" s="190">
        <f>AK5*2/AJ5</f>
        <v>43.768978275305955</v>
      </c>
      <c r="AN5" s="190">
        <f>AM5-J5</f>
        <v>-0.73404394315744526</v>
      </c>
      <c r="AO5" s="211">
        <v>199.75299999999999</v>
      </c>
      <c r="AP5" s="211">
        <v>263.75799999999998</v>
      </c>
      <c r="AQ5" s="190">
        <f t="shared" ref="AQ5:AQ30" si="2">AO5/AJ5</f>
        <v>11.370059766625557</v>
      </c>
      <c r="AR5" s="190">
        <f>AQ5-W5</f>
        <v>0.1308989400100451</v>
      </c>
      <c r="AS5" s="190">
        <f>AM5+AQ5</f>
        <v>55.139038041931514</v>
      </c>
      <c r="AT5" s="211">
        <v>999.851</v>
      </c>
      <c r="AU5" s="247">
        <f>AT5/30</f>
        <v>33.328366666666668</v>
      </c>
      <c r="AV5" s="211">
        <v>741.84299999999996</v>
      </c>
      <c r="AW5" s="211">
        <v>93.268000000000001</v>
      </c>
      <c r="AX5" s="190">
        <f>AV5*2/AU5</f>
        <v>44.517213064746642</v>
      </c>
      <c r="AY5" s="190">
        <f>AX5-J5</f>
        <v>1.4190846283241854E-2</v>
      </c>
      <c r="AZ5" s="211">
        <v>373.02499999999998</v>
      </c>
      <c r="BA5" s="211">
        <v>154.548</v>
      </c>
      <c r="BB5" s="190">
        <f>AZ5/AU5</f>
        <v>11.192417670232864</v>
      </c>
      <c r="BC5" s="190">
        <f>BB5-W5</f>
        <v>-4.6743156382648365E-2</v>
      </c>
      <c r="BD5" s="247">
        <f>AX5+BB5</f>
        <v>55.709630734979505</v>
      </c>
      <c r="BE5" s="211">
        <v>1122.1120000000001</v>
      </c>
      <c r="BF5" s="247">
        <f>BE5/30</f>
        <v>37.403733333333335</v>
      </c>
      <c r="BG5" s="211">
        <v>836.30200000000002</v>
      </c>
      <c r="BH5" s="211">
        <v>105.526</v>
      </c>
      <c r="BI5" s="190">
        <f>BG5*2/BF5</f>
        <v>44.717568299777561</v>
      </c>
      <c r="BJ5" s="190">
        <f>BI5-J5</f>
        <v>0.21454608131416109</v>
      </c>
      <c r="BK5" s="211">
        <v>411.84100000000001</v>
      </c>
      <c r="BL5" s="211">
        <v>233.05500000000001</v>
      </c>
      <c r="BM5" s="190">
        <f>BK5/BF5</f>
        <v>11.010692337306793</v>
      </c>
      <c r="BN5" s="190">
        <f>BM5-W5</f>
        <v>-0.22846848930871921</v>
      </c>
      <c r="BO5" s="247">
        <f>BM5+BI5</f>
        <v>55.728260637084354</v>
      </c>
      <c r="BP5" s="211">
        <v>586.822</v>
      </c>
      <c r="BQ5" s="247">
        <f>BP5/30</f>
        <v>19.560733333333335</v>
      </c>
      <c r="BR5" s="211">
        <v>447.32100000000003</v>
      </c>
      <c r="BS5" s="211">
        <v>57.914000000000001</v>
      </c>
      <c r="BT5" s="190">
        <f>BR5*2/BQ5</f>
        <v>45.736628824413536</v>
      </c>
      <c r="BU5" s="190">
        <f>BT5-J5</f>
        <v>1.2336066059501363</v>
      </c>
      <c r="BV5" s="211">
        <v>221.107</v>
      </c>
      <c r="BW5" s="211">
        <v>220.25200000000001</v>
      </c>
      <c r="BX5" s="190">
        <f>BV5/BQ5</f>
        <v>11.303615065556505</v>
      </c>
      <c r="BY5" s="190">
        <f>BX5-W5</f>
        <v>6.4454238940992781E-2</v>
      </c>
      <c r="BZ5" s="194">
        <f>BT5+BX5</f>
        <v>57.040243889970043</v>
      </c>
      <c r="CA5" s="211">
        <v>630.18600000000004</v>
      </c>
      <c r="CB5" s="247">
        <f>CA5/30</f>
        <v>21.0062</v>
      </c>
      <c r="CC5" s="211">
        <v>458.92200000000003</v>
      </c>
      <c r="CD5" s="211">
        <v>50.768000000000001</v>
      </c>
      <c r="CE5" s="190">
        <f>CC5*2/CB5</f>
        <v>43.693957022212494</v>
      </c>
      <c r="CF5" s="190">
        <f>CE5-J5</f>
        <v>-0.80906519625090567</v>
      </c>
      <c r="CG5" s="211">
        <v>235.00399999999999</v>
      </c>
      <c r="CH5" s="211">
        <v>52.298999999999999</v>
      </c>
      <c r="CI5" s="190">
        <f>CG5/CB5</f>
        <v>11.187363730708077</v>
      </c>
      <c r="CJ5" s="190">
        <f>CI5-W5</f>
        <v>-5.179709590743542E-2</v>
      </c>
      <c r="CK5" s="194">
        <f>CI5+CE5</f>
        <v>54.881320752920573</v>
      </c>
      <c r="CL5" s="211">
        <v>816.30100000000004</v>
      </c>
      <c r="CM5" s="247">
        <f>CL5/30</f>
        <v>27.210033333333335</v>
      </c>
      <c r="CN5" s="211">
        <v>604.096</v>
      </c>
      <c r="CO5" s="211">
        <v>73.641000000000005</v>
      </c>
      <c r="CP5" s="190">
        <f>CN5*2/CM5</f>
        <v>44.402444686457564</v>
      </c>
      <c r="CQ5" s="190">
        <f>CP5-J5</f>
        <v>-0.10057753200583619</v>
      </c>
      <c r="CR5" s="211">
        <v>313.44900000000001</v>
      </c>
      <c r="CS5" s="211">
        <v>131.041</v>
      </c>
      <c r="CT5" s="190">
        <f>CR5/CM5</f>
        <v>11.519611025834832</v>
      </c>
      <c r="CU5" s="190">
        <f>CT5-W5</f>
        <v>0.28045019921932024</v>
      </c>
      <c r="CV5" s="247">
        <f>CP5+CT5</f>
        <v>55.922055712292398</v>
      </c>
      <c r="CW5" s="195"/>
      <c r="CX5" s="196">
        <f>C5-AJ5-AU5-BF5-BQ5-CB5-CM5</f>
        <v>0</v>
      </c>
      <c r="CY5" s="196">
        <f>F5-AK5-AV5-BG5-BR5-CC5-CN5</f>
        <v>0</v>
      </c>
      <c r="CZ5" s="196">
        <f>I5-AL5-AW5-BH5-BS5-CD5-CO5</f>
        <v>0</v>
      </c>
      <c r="DA5" s="196">
        <f>O5-AO5-AZ5-BK5-BV5-CG5-CR5</f>
        <v>0</v>
      </c>
      <c r="DB5" s="196">
        <f>Q5-AP5-BA5-BL5-BW5-CH5-CS5</f>
        <v>0</v>
      </c>
      <c r="DC5" s="196">
        <f>P5-Q5-R5-S5</f>
        <v>0</v>
      </c>
      <c r="DD5" s="163"/>
      <c r="DE5" s="200">
        <v>114.13500000000001</v>
      </c>
      <c r="DF5" s="200">
        <v>65.605999999999995</v>
      </c>
      <c r="DG5" s="200">
        <v>36</v>
      </c>
      <c r="DH5" s="191">
        <f>DF5/DE5</f>
        <v>0.57481053138826821</v>
      </c>
      <c r="DI5" s="197">
        <v>96.025999999999996</v>
      </c>
      <c r="DJ5" s="191">
        <f>DI5/DE5/2</f>
        <v>0.42066850659306959</v>
      </c>
      <c r="DK5" s="197">
        <v>141.22</v>
      </c>
      <c r="DL5" s="197">
        <v>137.70599999999999</v>
      </c>
      <c r="DM5" s="191">
        <f>1-DL5/DK5</f>
        <v>2.4883161025350597E-2</v>
      </c>
      <c r="DN5" s="200">
        <v>133.37799999999999</v>
      </c>
      <c r="DO5" s="206">
        <v>70.155000000000001</v>
      </c>
      <c r="DP5" s="200">
        <v>66.066000000000003</v>
      </c>
      <c r="DQ5" s="200">
        <f>DP5+DO5</f>
        <v>136.221</v>
      </c>
      <c r="DR5" s="191">
        <f>DJ5+DH5</f>
        <v>0.99547903798133786</v>
      </c>
      <c r="DS5" s="199">
        <f>DK5/DI5</f>
        <v>1.4706433674213235</v>
      </c>
      <c r="DT5" s="200">
        <v>141.846</v>
      </c>
      <c r="DU5" s="200">
        <v>64.957999999999998</v>
      </c>
      <c r="DV5" s="200">
        <v>53.073999999999998</v>
      </c>
      <c r="DW5" s="191">
        <f>DU5/DT5</f>
        <v>0.45794735135287562</v>
      </c>
      <c r="DX5" s="197">
        <v>43.639000000000003</v>
      </c>
      <c r="DY5" s="191">
        <f>DX5/DT5/2</f>
        <v>0.15382527529856324</v>
      </c>
      <c r="DZ5" s="197">
        <v>54.697000000000003</v>
      </c>
      <c r="EA5" s="197">
        <v>53.546999999999997</v>
      </c>
      <c r="EB5" s="191">
        <f>1-EA5/DZ5</f>
        <v>2.1024919099767891E-2</v>
      </c>
      <c r="EC5" s="200">
        <v>51.442</v>
      </c>
      <c r="ED5" s="345">
        <v>43.475000000000001</v>
      </c>
      <c r="EE5" s="200">
        <v>43.616999999999997</v>
      </c>
      <c r="EF5" s="195">
        <f>EE5+ED5</f>
        <v>87.091999999999999</v>
      </c>
      <c r="EG5" s="191">
        <f>DY5+DW5</f>
        <v>0.61177262665143883</v>
      </c>
      <c r="EJ5" s="202">
        <f t="shared" ref="EJ5:EJ68" si="3">(C5*2000/1000)/(A6-A5)</f>
        <v>10.069509677419356</v>
      </c>
      <c r="EK5" s="202">
        <f>'NOPA Crush'!B430*56/('NOPA Crush'!A430-'NOPA Crush'!A429)</f>
        <v>10.735267601819741</v>
      </c>
      <c r="EL5" s="203">
        <f>EJ5/EK5</f>
        <v>0.93798404016612202</v>
      </c>
      <c r="EM5" s="202">
        <f t="shared" ref="EM5" si="4">DE5/($A6-$A5)</f>
        <v>3.6817741935483874</v>
      </c>
      <c r="EN5" s="202">
        <f t="shared" ref="EN5" si="5">(DT5*2000/1000000)/($A6-$A5)</f>
        <v>9.1513548387096768E-3</v>
      </c>
      <c r="EO5" s="202">
        <f>EJ5+EM5+EN5</f>
        <v>13.760435225806454</v>
      </c>
    </row>
    <row r="6" spans="1:145">
      <c r="A6" s="157">
        <v>42156</v>
      </c>
      <c r="B6" s="186">
        <v>4549.1030000000001</v>
      </c>
      <c r="C6" s="187">
        <f t="shared" ref="C6:C31" si="6">B6/30</f>
        <v>151.63676666666666</v>
      </c>
      <c r="D6" s="247">
        <f>C6-'NOPA Crush'!G431</f>
        <v>9.1637666666666462</v>
      </c>
      <c r="E6" s="188">
        <f>C6/'NOPA Crush'!G431-1</f>
        <v>6.4319321321700595E-2</v>
      </c>
      <c r="F6" s="189">
        <v>3380.13</v>
      </c>
      <c r="G6" s="189">
        <v>3332.5729999999999</v>
      </c>
      <c r="H6" s="189">
        <v>47.557000000000002</v>
      </c>
      <c r="I6" s="189">
        <v>300.22500000000002</v>
      </c>
      <c r="J6" s="190">
        <f t="shared" ref="J6:J31" si="7">F6*2/C6</f>
        <v>44.581931866567984</v>
      </c>
      <c r="K6" s="190">
        <f t="shared" ref="K6:K31" si="8">(F6+M6)*2/C6</f>
        <v>47.571351978620839</v>
      </c>
      <c r="L6" s="190">
        <f>K6-'NOPA Crush'!J431</f>
        <v>2.135197862084226E-2</v>
      </c>
      <c r="M6" s="189">
        <v>226.65299999999999</v>
      </c>
      <c r="N6" s="189">
        <v>34.4</v>
      </c>
      <c r="O6" s="189">
        <v>1708.2860000000001</v>
      </c>
      <c r="P6" s="189">
        <v>1773.201</v>
      </c>
      <c r="Q6" s="189">
        <v>1027.2090000000001</v>
      </c>
      <c r="R6" s="189">
        <v>266.86099999999999</v>
      </c>
      <c r="S6" s="189">
        <v>479.13099999999997</v>
      </c>
      <c r="T6" s="189">
        <v>380.04599999999999</v>
      </c>
      <c r="U6" s="189">
        <f>(P6+T6)-'NOPA Crush'!Q431</f>
        <v>579.32099999999991</v>
      </c>
      <c r="V6" s="191">
        <f>(P6+T6)/'NOPA Crush'!Q431-1</f>
        <v>0.36807384845284963</v>
      </c>
      <c r="W6" s="190">
        <f t="shared" ref="W6:W31" si="9">O6/C6</f>
        <v>11.265645117290157</v>
      </c>
      <c r="X6" s="190">
        <f>W6-'NOPA Crush'!O431</f>
        <v>-6.4354882709842798E-2</v>
      </c>
      <c r="Y6" s="190">
        <f t="shared" si="0"/>
        <v>58.836997095910995</v>
      </c>
      <c r="Z6" s="211">
        <v>1499.818</v>
      </c>
      <c r="AA6" s="211">
        <v>1458.2819999999999</v>
      </c>
      <c r="AB6" s="191">
        <f t="shared" ref="AB6:AB31" si="10">(Z6-AA6)/Z6</f>
        <v>2.7694026875260905E-2</v>
      </c>
      <c r="AC6" s="344">
        <f>FORECAST(S6,AC7:AC$87,S7:S$87)</f>
        <v>102.74230835173039</v>
      </c>
      <c r="AD6" s="211">
        <v>1448.3720000000001</v>
      </c>
      <c r="AE6" s="211">
        <v>1158.925</v>
      </c>
      <c r="AF6" s="211">
        <v>289.447</v>
      </c>
      <c r="AG6" s="191">
        <f t="shared" si="1"/>
        <v>-6.7956677789342557E-3</v>
      </c>
      <c r="AH6" s="163"/>
      <c r="AI6" s="211">
        <v>606.56600000000003</v>
      </c>
      <c r="AJ6" s="247">
        <f t="shared" ref="AJ6:AJ101" si="11">AI6/30</f>
        <v>20.218866666666667</v>
      </c>
      <c r="AK6" s="211">
        <v>443.42099999999999</v>
      </c>
      <c r="AL6" s="211">
        <v>61.106999999999999</v>
      </c>
      <c r="AM6" s="190">
        <f t="shared" ref="AM6:AM32" si="12">AK6*2/AJ6</f>
        <v>43.862102392814627</v>
      </c>
      <c r="AN6" s="190">
        <f t="shared" ref="AN6:AN32" si="13">AM6-J6</f>
        <v>-0.71982947375335726</v>
      </c>
      <c r="AO6" s="211">
        <v>229.96899999999999</v>
      </c>
      <c r="AP6" s="211">
        <v>260.32499999999999</v>
      </c>
      <c r="AQ6" s="190">
        <f t="shared" si="2"/>
        <v>11.373980737463029</v>
      </c>
      <c r="AR6" s="190">
        <f t="shared" ref="AR6:AR32" si="14">AQ6-W6</f>
        <v>0.10833562017287157</v>
      </c>
      <c r="AS6" s="190">
        <f t="shared" ref="AS6:AS33" si="15">AM6+AQ6</f>
        <v>55.236083130277656</v>
      </c>
      <c r="AT6" s="211">
        <v>1042.5050000000001</v>
      </c>
      <c r="AU6" s="247">
        <f t="shared" ref="AU6:AU101" si="16">AT6/30</f>
        <v>34.750166666666672</v>
      </c>
      <c r="AV6" s="211">
        <v>771.18399999999997</v>
      </c>
      <c r="AW6" s="211">
        <v>62.259</v>
      </c>
      <c r="AX6" s="190">
        <f t="shared" ref="AX6:AX32" si="17">AV6*2/AU6</f>
        <v>44.384477772288854</v>
      </c>
      <c r="AY6" s="190">
        <f t="shared" ref="AY6:AY32" si="18">AX6-J6</f>
        <v>-0.19745409427913074</v>
      </c>
      <c r="AZ6" s="211">
        <v>384.00700000000001</v>
      </c>
      <c r="BA6" s="211">
        <v>176.66200000000001</v>
      </c>
      <c r="BB6" s="190">
        <f t="shared" ref="BB6:BB32" si="19">AZ6/AU6</f>
        <v>11.050508151040042</v>
      </c>
      <c r="BC6" s="190">
        <f>BB6-W6</f>
        <v>-0.21513696625011569</v>
      </c>
      <c r="BD6" s="247">
        <f t="shared" ref="BD6:BD32" si="20">AX6+BB6</f>
        <v>55.434985923328895</v>
      </c>
      <c r="BE6" s="211">
        <v>1069.307</v>
      </c>
      <c r="BF6" s="247">
        <f>BE6/30</f>
        <v>35.643566666666665</v>
      </c>
      <c r="BG6" s="211">
        <v>800.60900000000004</v>
      </c>
      <c r="BH6" s="211">
        <v>69.293999999999997</v>
      </c>
      <c r="BI6" s="190">
        <f t="shared" ref="BI6:BI32" si="21">BG6*2/BF6</f>
        <v>44.9230576438759</v>
      </c>
      <c r="BJ6" s="190">
        <f t="shared" ref="BJ6:BJ32" si="22">BI6-J6</f>
        <v>0.34112577730791571</v>
      </c>
      <c r="BK6" s="211">
        <v>395.92700000000002</v>
      </c>
      <c r="BL6" s="211">
        <v>210.25800000000001</v>
      </c>
      <c r="BM6" s="190">
        <f t="shared" ref="BM6:BM32" si="23">BK6/BF6</f>
        <v>11.107951224484644</v>
      </c>
      <c r="BN6" s="190">
        <f t="shared" ref="BN6:BN32" si="24">BM6-W6</f>
        <v>-0.15769389280551316</v>
      </c>
      <c r="BO6" s="247">
        <f t="shared" ref="BO6:BO32" si="25">BM6+BI6</f>
        <v>56.031008868360544</v>
      </c>
      <c r="BP6" s="211">
        <v>515.01099999999997</v>
      </c>
      <c r="BQ6" s="247">
        <f t="shared" ref="BQ6:BQ101" si="26">BP6/30</f>
        <v>17.167033333333332</v>
      </c>
      <c r="BR6" s="211">
        <v>391.59800000000001</v>
      </c>
      <c r="BS6" s="211">
        <v>21.242000000000001</v>
      </c>
      <c r="BT6" s="190">
        <f t="shared" ref="BT6:BT32" si="27">BR6*2/BQ6</f>
        <v>45.62209350868234</v>
      </c>
      <c r="BU6" s="190">
        <f t="shared" ref="BU6:BU32" si="28">BT6-J6</f>
        <v>1.0401616421143558</v>
      </c>
      <c r="BV6" s="211">
        <v>198.012</v>
      </c>
      <c r="BW6" s="211">
        <v>177.279</v>
      </c>
      <c r="BX6" s="190">
        <f t="shared" ref="BX6:BX32" si="29">BV6/BQ6</f>
        <v>11.534433245115153</v>
      </c>
      <c r="BY6" s="190">
        <f t="shared" ref="BY6:BY32" si="30">BX6-W6</f>
        <v>0.26878812782499573</v>
      </c>
      <c r="BZ6" s="194">
        <f t="shared" ref="BZ6:BZ32" si="31">BT6+BX6</f>
        <v>57.156526753797493</v>
      </c>
      <c r="CA6" s="211">
        <v>551.19000000000005</v>
      </c>
      <c r="CB6" s="247">
        <f t="shared" ref="CB6:CB101" si="32">CA6/30</f>
        <v>18.373000000000001</v>
      </c>
      <c r="CC6" s="211">
        <v>405.56099999999998</v>
      </c>
      <c r="CD6" s="211">
        <v>53.668999999999997</v>
      </c>
      <c r="CE6" s="190">
        <f>CC6*2/CB6</f>
        <v>44.147499047515367</v>
      </c>
      <c r="CF6" s="190">
        <f t="shared" ref="CF6:CF32" si="33">CE6-J6</f>
        <v>-0.43443281905261699</v>
      </c>
      <c r="CG6" s="211">
        <v>207.559</v>
      </c>
      <c r="CH6" s="211">
        <v>61.164999999999999</v>
      </c>
      <c r="CI6" s="190">
        <f t="shared" ref="CI6:CI32" si="34">CG6/CB6</f>
        <v>11.296957491971915</v>
      </c>
      <c r="CJ6" s="190">
        <f t="shared" ref="CJ6:CJ32" si="35">CI6-W6</f>
        <v>3.1312374681757404E-2</v>
      </c>
      <c r="CK6" s="194">
        <f t="shared" ref="CK6:CK32" si="36">CI6+CE6</f>
        <v>55.444456539487284</v>
      </c>
      <c r="CL6" s="211">
        <v>764.524</v>
      </c>
      <c r="CM6" s="247">
        <f>CL6/30</f>
        <v>25.484133333333332</v>
      </c>
      <c r="CN6" s="211">
        <v>567.75699999999995</v>
      </c>
      <c r="CO6" s="211">
        <v>32.654000000000003</v>
      </c>
      <c r="CP6" s="190">
        <f t="shared" ref="CP6:CP32" si="37">CN6*2/CM6</f>
        <v>44.557685566443958</v>
      </c>
      <c r="CQ6" s="190">
        <f t="shared" ref="CQ6:CQ32" si="38">CP6-J6</f>
        <v>-2.4246300124026732E-2</v>
      </c>
      <c r="CR6" s="211">
        <v>292.81200000000001</v>
      </c>
      <c r="CS6" s="211">
        <v>141.52000000000001</v>
      </c>
      <c r="CT6" s="190">
        <f t="shared" ref="CT6:CT32" si="39">CR6/CM6</f>
        <v>11.489972845849183</v>
      </c>
      <c r="CU6" s="190">
        <f t="shared" ref="CU6:CU32" si="40">CT6-W6</f>
        <v>0.22432772855902527</v>
      </c>
      <c r="CV6" s="247">
        <f t="shared" ref="CV6:CV32" si="41">CP6+CT6</f>
        <v>56.047658412293138</v>
      </c>
      <c r="CW6" s="195"/>
      <c r="CX6" s="196">
        <f t="shared" ref="CX6:CX32" si="42">C6-AJ6-AU6-BF6-BQ6-CB6-CM6</f>
        <v>0</v>
      </c>
      <c r="CY6" s="196">
        <f t="shared" ref="CY6:CY32" si="43">F6-AK6-AV6-BG6-BR6-CC6-CN6</f>
        <v>0</v>
      </c>
      <c r="CZ6" s="196">
        <f t="shared" ref="CZ6:CZ32" si="44">I6-AL6-AW6-BH6-BS6-CD6-CO6</f>
        <v>0</v>
      </c>
      <c r="DA6" s="196">
        <f t="shared" ref="DA6:DA32" si="45">O6-AO6-AZ6-BK6-BV6-CG6-CR6</f>
        <v>0</v>
      </c>
      <c r="DB6" s="196">
        <f t="shared" ref="DB6:DB32" si="46">Q6-AP6-BA6-BL6-BW6-CH6-CS6</f>
        <v>0</v>
      </c>
      <c r="DC6" s="196">
        <f t="shared" ref="DC6:DC32" si="47">P6-Q6-R6-S6</f>
        <v>0</v>
      </c>
      <c r="DD6" s="163"/>
      <c r="DE6" s="200">
        <v>104.149</v>
      </c>
      <c r="DF6" s="200">
        <v>60.067999999999998</v>
      </c>
      <c r="DG6" s="206">
        <v>35</v>
      </c>
      <c r="DH6" s="191">
        <f>DF6/DE6</f>
        <v>0.57675061690462703</v>
      </c>
      <c r="DI6" s="197">
        <v>88.703999999999994</v>
      </c>
      <c r="DJ6" s="191">
        <f t="shared" ref="DJ6:DJ101" si="48">DI6/DE6/2</f>
        <v>0.42585142440157847</v>
      </c>
      <c r="DK6" s="197">
        <v>110.56100000000001</v>
      </c>
      <c r="DL6" s="197">
        <v>107.139</v>
      </c>
      <c r="DM6" s="191">
        <f>1-DL6/DK6</f>
        <v>3.0951239587196255E-2</v>
      </c>
      <c r="DN6" s="200">
        <v>121.328</v>
      </c>
      <c r="DO6" s="206">
        <v>52.991</v>
      </c>
      <c r="DP6" s="200">
        <v>73.802000000000007</v>
      </c>
      <c r="DQ6" s="200">
        <f t="shared" ref="DQ6:DQ31" si="49">DP6+DO6</f>
        <v>126.79300000000001</v>
      </c>
      <c r="DR6" s="191">
        <f t="shared" ref="DR6:DR31" si="50">DJ6+DH6</f>
        <v>1.0026020413062056</v>
      </c>
      <c r="DS6" s="199">
        <f t="shared" ref="DS6:DS69" si="51">DK6/DI6</f>
        <v>1.24640376984127</v>
      </c>
      <c r="DT6" s="200">
        <v>125.78700000000001</v>
      </c>
      <c r="DU6" s="200">
        <v>55.527999999999999</v>
      </c>
      <c r="DV6" s="200">
        <v>56.31</v>
      </c>
      <c r="DW6" s="191">
        <f>DU6/DT6</f>
        <v>0.44144466439298174</v>
      </c>
      <c r="DX6" s="197">
        <v>38.970999999999997</v>
      </c>
      <c r="DY6" s="191">
        <f>DX6/DT6/2</f>
        <v>0.15490869485717917</v>
      </c>
      <c r="DZ6" s="197">
        <v>49.09</v>
      </c>
      <c r="EA6" s="197">
        <v>48.704999999999998</v>
      </c>
      <c r="EB6" s="191">
        <f t="shared" ref="EB6:EB102" si="52">1-EA6/DZ6</f>
        <v>7.842737828478441E-3</v>
      </c>
      <c r="EC6" s="200">
        <v>55.722999999999999</v>
      </c>
      <c r="ED6" s="200"/>
      <c r="EE6" s="200">
        <v>43.661999999999999</v>
      </c>
      <c r="EF6" s="204">
        <f t="shared" ref="EF6:EF30" si="53">EE6+ED6</f>
        <v>43.661999999999999</v>
      </c>
      <c r="EG6" s="191">
        <f t="shared" ref="EG6:EG31" si="54">DY6+DW6</f>
        <v>0.59635335925016086</v>
      </c>
      <c r="EJ6" s="202">
        <f t="shared" si="3"/>
        <v>10.109117777777778</v>
      </c>
      <c r="EK6" s="202">
        <f>'NOPA Crush'!B431*56/('NOPA Crush'!A431-'NOPA Crush'!A430)</f>
        <v>10.529958226619597</v>
      </c>
      <c r="EL6" s="203">
        <f>EJ6/EK6</f>
        <v>0.96003398686065633</v>
      </c>
      <c r="EM6" s="202">
        <f t="shared" ref="EM6:EM69" si="55">DE6/($A7-$A6)</f>
        <v>3.4716333333333336</v>
      </c>
      <c r="EN6" s="202">
        <f t="shared" ref="EN6:EN69" si="56">(DT6*2000/1000000)/($A7-$A6)</f>
        <v>8.3858000000000005E-3</v>
      </c>
      <c r="EO6" s="202">
        <f>EJ6+EM6+EN6</f>
        <v>13.58913691111111</v>
      </c>
    </row>
    <row r="7" spans="1:145">
      <c r="A7" s="157">
        <v>42186</v>
      </c>
      <c r="B7" s="186">
        <v>4672.9210000000003</v>
      </c>
      <c r="C7" s="187">
        <f t="shared" si="6"/>
        <v>155.76403333333334</v>
      </c>
      <c r="D7" s="247">
        <f>C7-'NOPA Crush'!G432</f>
        <v>10.537033333333341</v>
      </c>
      <c r="E7" s="188">
        <f>C7/'NOPA Crush'!G432-1</f>
        <v>7.2555608346473788E-2</v>
      </c>
      <c r="F7" s="189">
        <v>3468.95</v>
      </c>
      <c r="G7" s="189">
        <v>3412.7269999999999</v>
      </c>
      <c r="H7" s="189">
        <v>56.222999999999999</v>
      </c>
      <c r="I7" s="189">
        <v>310.185</v>
      </c>
      <c r="J7" s="190">
        <f t="shared" si="7"/>
        <v>44.541091107681893</v>
      </c>
      <c r="K7" s="190">
        <f t="shared" si="8"/>
        <v>47.568593605584169</v>
      </c>
      <c r="L7" s="190">
        <f>K7-'NOPA Crush'!J432</f>
        <v>6.8593605584169381E-2</v>
      </c>
      <c r="M7" s="189">
        <v>235.78800000000001</v>
      </c>
      <c r="N7" s="189">
        <v>36.698</v>
      </c>
      <c r="O7" s="189">
        <v>1738.0530000000001</v>
      </c>
      <c r="P7" s="189">
        <v>1791.7380000000001</v>
      </c>
      <c r="Q7" s="189">
        <v>993.48400000000004</v>
      </c>
      <c r="R7" s="189">
        <v>255.92599999999999</v>
      </c>
      <c r="S7" s="189">
        <v>542.32799999999997</v>
      </c>
      <c r="T7" s="189">
        <v>354.71499999999997</v>
      </c>
      <c r="U7" s="189">
        <f>(P7+T7)-'NOPA Crush'!Q432</f>
        <v>522.14100000000008</v>
      </c>
      <c r="V7" s="191">
        <f>(P7+T7)/'NOPA Crush'!Q432-1</f>
        <v>0.32145363698599794</v>
      </c>
      <c r="W7" s="190">
        <f t="shared" si="9"/>
        <v>11.158243419908018</v>
      </c>
      <c r="X7" s="190">
        <f>W7-'NOPA Crush'!O432</f>
        <v>-8.1756580091981945E-2</v>
      </c>
      <c r="Y7" s="190">
        <f t="shared" si="0"/>
        <v>58.726837025492188</v>
      </c>
      <c r="Z7" s="211">
        <v>1462.35</v>
      </c>
      <c r="AA7" s="211">
        <v>1425.963</v>
      </c>
      <c r="AB7" s="191">
        <f t="shared" si="10"/>
        <v>2.4882552056621154E-2</v>
      </c>
      <c r="AC7" s="344">
        <f>FORECAST(S7,AC8:AC$87,S8:S$87)</f>
        <v>109.24108249970421</v>
      </c>
      <c r="AD7" s="211">
        <v>1410.5820000000001</v>
      </c>
      <c r="AE7" s="211">
        <v>1088.8119999999999</v>
      </c>
      <c r="AF7" s="211">
        <v>321.77</v>
      </c>
      <c r="AG7" s="191">
        <f t="shared" si="1"/>
        <v>-1.0786394878408379E-2</v>
      </c>
      <c r="AH7" s="163"/>
      <c r="AI7" s="211">
        <v>553.00599999999997</v>
      </c>
      <c r="AJ7" s="247">
        <f t="shared" si="11"/>
        <v>18.433533333333333</v>
      </c>
      <c r="AK7" s="211">
        <v>402.83199999999999</v>
      </c>
      <c r="AL7" s="211">
        <v>64.067999999999998</v>
      </c>
      <c r="AM7" s="190">
        <f t="shared" si="12"/>
        <v>43.706433564916111</v>
      </c>
      <c r="AN7" s="190">
        <f t="shared" si="13"/>
        <v>-0.83465754276578252</v>
      </c>
      <c r="AO7" s="211">
        <v>210.21799999999999</v>
      </c>
      <c r="AP7" s="211">
        <v>235.709</v>
      </c>
      <c r="AQ7" s="190">
        <f t="shared" si="2"/>
        <v>11.404107731200023</v>
      </c>
      <c r="AR7" s="190">
        <f t="shared" si="14"/>
        <v>0.2458643112920047</v>
      </c>
      <c r="AS7" s="190">
        <f t="shared" si="15"/>
        <v>55.110541296116132</v>
      </c>
      <c r="AT7" s="211">
        <v>963.71299999999997</v>
      </c>
      <c r="AU7" s="247">
        <f t="shared" si="16"/>
        <v>32.123766666666668</v>
      </c>
      <c r="AV7" s="211">
        <v>713.971</v>
      </c>
      <c r="AW7" s="211">
        <v>54.557000000000002</v>
      </c>
      <c r="AX7" s="190">
        <f t="shared" si="17"/>
        <v>44.451262979746041</v>
      </c>
      <c r="AY7" s="190">
        <f t="shared" si="18"/>
        <v>-8.982812793585282E-2</v>
      </c>
      <c r="AZ7" s="211">
        <v>355.83600000000001</v>
      </c>
      <c r="BA7" s="211">
        <v>159.745</v>
      </c>
      <c r="BB7" s="190">
        <f t="shared" si="19"/>
        <v>11.077032269980792</v>
      </c>
      <c r="BC7" s="190">
        <f t="shared" ref="BC7:BC32" si="57">BB7-W7</f>
        <v>-8.121114992722589E-2</v>
      </c>
      <c r="BD7" s="247">
        <f t="shared" si="20"/>
        <v>55.528295249726831</v>
      </c>
      <c r="BE7" s="211">
        <v>1107.3820000000001</v>
      </c>
      <c r="BF7" s="247">
        <f t="shared" ref="BF7:BF101" si="58">BE7/30</f>
        <v>36.912733333333335</v>
      </c>
      <c r="BG7" s="211">
        <v>823.07500000000005</v>
      </c>
      <c r="BH7" s="211">
        <v>94.816999999999993</v>
      </c>
      <c r="BI7" s="190">
        <f t="shared" si="21"/>
        <v>44.595722162722531</v>
      </c>
      <c r="BJ7" s="190">
        <f t="shared" si="22"/>
        <v>5.4631055040637477E-2</v>
      </c>
      <c r="BK7" s="211">
        <v>405.28199999999998</v>
      </c>
      <c r="BL7" s="211">
        <v>193.37799999999999</v>
      </c>
      <c r="BM7" s="190">
        <f t="shared" si="23"/>
        <v>10.979463274642354</v>
      </c>
      <c r="BN7" s="190">
        <f t="shared" si="24"/>
        <v>-0.1787801452656641</v>
      </c>
      <c r="BO7" s="247">
        <f t="shared" si="25"/>
        <v>55.575185437364887</v>
      </c>
      <c r="BP7" s="211">
        <v>662.72799999999995</v>
      </c>
      <c r="BQ7" s="247">
        <f t="shared" si="26"/>
        <v>22.090933333333332</v>
      </c>
      <c r="BR7" s="211">
        <v>501.67500000000001</v>
      </c>
      <c r="BS7" s="211">
        <v>28.561</v>
      </c>
      <c r="BT7" s="190">
        <f t="shared" si="27"/>
        <v>45.419085959850804</v>
      </c>
      <c r="BU7" s="190">
        <f t="shared" si="28"/>
        <v>0.87799485216891071</v>
      </c>
      <c r="BV7" s="211">
        <v>244.417</v>
      </c>
      <c r="BW7" s="211">
        <v>185.60400000000001</v>
      </c>
      <c r="BX7" s="190">
        <f t="shared" si="29"/>
        <v>11.06413189121329</v>
      </c>
      <c r="BY7" s="190">
        <f t="shared" si="30"/>
        <v>-9.4111528694728719E-2</v>
      </c>
      <c r="BZ7" s="194">
        <f t="shared" si="31"/>
        <v>56.483217851064097</v>
      </c>
      <c r="CA7" s="211">
        <v>607.36599999999999</v>
      </c>
      <c r="CB7" s="247">
        <f t="shared" si="32"/>
        <v>20.245533333333334</v>
      </c>
      <c r="CC7" s="211">
        <v>445.67200000000003</v>
      </c>
      <c r="CD7" s="211">
        <v>45.137</v>
      </c>
      <c r="CE7" s="190">
        <f t="shared" ref="CE7:CE32" si="59">CC7*2/CB7</f>
        <v>44.026698893253823</v>
      </c>
      <c r="CF7" s="190">
        <f t="shared" si="33"/>
        <v>-0.51439221442807082</v>
      </c>
      <c r="CG7" s="211">
        <v>228.21100000000001</v>
      </c>
      <c r="CH7" s="211">
        <v>67.866</v>
      </c>
      <c r="CI7" s="190">
        <f t="shared" si="34"/>
        <v>11.272165382981596</v>
      </c>
      <c r="CJ7" s="190">
        <f t="shared" si="35"/>
        <v>0.11392196307357771</v>
      </c>
      <c r="CK7" s="194">
        <f t="shared" si="36"/>
        <v>55.29886427623542</v>
      </c>
      <c r="CL7" s="211">
        <v>778.726</v>
      </c>
      <c r="CM7" s="247">
        <f t="shared" ref="CM7:CM101" si="60">CL7/30</f>
        <v>25.957533333333334</v>
      </c>
      <c r="CN7" s="211">
        <v>581.72500000000002</v>
      </c>
      <c r="CO7" s="211">
        <v>23.045000000000002</v>
      </c>
      <c r="CP7" s="190">
        <f t="shared" si="37"/>
        <v>44.821285021946103</v>
      </c>
      <c r="CQ7" s="190">
        <f t="shared" si="38"/>
        <v>0.28019391426420981</v>
      </c>
      <c r="CR7" s="211">
        <v>294.089</v>
      </c>
      <c r="CS7" s="211">
        <v>151.18199999999999</v>
      </c>
      <c r="CT7" s="190">
        <f t="shared" si="39"/>
        <v>11.329620431319873</v>
      </c>
      <c r="CU7" s="190">
        <f t="shared" si="40"/>
        <v>0.17137701141185424</v>
      </c>
      <c r="CV7" s="247">
        <f t="shared" si="41"/>
        <v>56.150905453265977</v>
      </c>
      <c r="CW7" s="195"/>
      <c r="CX7" s="196">
        <f t="shared" si="42"/>
        <v>0</v>
      </c>
      <c r="CY7" s="196">
        <f t="shared" si="43"/>
        <v>0</v>
      </c>
      <c r="CZ7" s="196">
        <f t="shared" si="44"/>
        <v>0</v>
      </c>
      <c r="DA7" s="196">
        <f t="shared" si="45"/>
        <v>0</v>
      </c>
      <c r="DB7" s="196">
        <f t="shared" si="46"/>
        <v>0</v>
      </c>
      <c r="DC7" s="196">
        <f t="shared" si="47"/>
        <v>0</v>
      </c>
      <c r="DD7" s="163"/>
      <c r="DE7" s="200">
        <v>161.34100000000001</v>
      </c>
      <c r="DF7" s="200">
        <v>92.242999999999995</v>
      </c>
      <c r="DG7" s="200">
        <v>37.335999999999999</v>
      </c>
      <c r="DH7" s="191">
        <f t="shared" ref="DH7:DH101" si="61">DF7/DE7</f>
        <v>0.57172696338810336</v>
      </c>
      <c r="DI7" s="197">
        <v>134.93199999999999</v>
      </c>
      <c r="DJ7" s="191">
        <f t="shared" si="48"/>
        <v>0.41815781481458519</v>
      </c>
      <c r="DK7" s="197">
        <v>145.28800000000001</v>
      </c>
      <c r="DL7" s="197">
        <v>133.46600000000001</v>
      </c>
      <c r="DM7" s="191">
        <f t="shared" ref="DM7:DM101" si="62">1-DL7/DK7</f>
        <v>8.1369417983591208E-2</v>
      </c>
      <c r="DN7" s="200">
        <v>140.035</v>
      </c>
      <c r="DO7" s="206">
        <v>71.721000000000004</v>
      </c>
      <c r="DP7" s="200">
        <v>74.394999999999996</v>
      </c>
      <c r="DQ7" s="200">
        <f t="shared" si="49"/>
        <v>146.11599999999999</v>
      </c>
      <c r="DR7" s="191">
        <f t="shared" si="50"/>
        <v>0.9898847782026885</v>
      </c>
      <c r="DS7" s="199">
        <f t="shared" si="51"/>
        <v>1.0767497702546469</v>
      </c>
      <c r="DT7" s="200">
        <v>110.345</v>
      </c>
      <c r="DU7" s="200">
        <v>49.100999999999999</v>
      </c>
      <c r="DV7" s="200">
        <v>58.23</v>
      </c>
      <c r="DW7" s="191">
        <f t="shared" ref="DW7:DW72" si="63">DU7/DT7</f>
        <v>0.44497711722325434</v>
      </c>
      <c r="DX7" s="197">
        <v>33.034999999999997</v>
      </c>
      <c r="DY7" s="191">
        <f t="shared" ref="DY7:DY72" si="64">DX7/DT7/2</f>
        <v>0.14968960985998458</v>
      </c>
      <c r="DZ7" s="197">
        <v>52.009</v>
      </c>
      <c r="EA7" s="197">
        <v>51.578000000000003</v>
      </c>
      <c r="EB7" s="191">
        <f t="shared" si="52"/>
        <v>8.2870272452844063E-3</v>
      </c>
      <c r="EC7" s="200">
        <v>59.45</v>
      </c>
      <c r="ED7" s="200"/>
      <c r="EE7" s="200">
        <v>36.572000000000003</v>
      </c>
      <c r="EF7" s="204">
        <f t="shared" si="53"/>
        <v>36.572000000000003</v>
      </c>
      <c r="EG7" s="191">
        <f t="shared" si="54"/>
        <v>0.59466672708323887</v>
      </c>
      <c r="EJ7" s="202">
        <f t="shared" si="3"/>
        <v>10.04929247311828</v>
      </c>
      <c r="EK7" s="202">
        <f>'NOPA Crush'!B432*56/('NOPA Crush'!A432-'NOPA Crush'!A431)</f>
        <v>10.977586545234363</v>
      </c>
      <c r="EL7" s="203">
        <f t="shared" ref="EL7:EL70" si="65">EJ7/EK7</f>
        <v>0.9154373260196178</v>
      </c>
      <c r="EM7" s="202">
        <f t="shared" si="55"/>
        <v>5.2045483870967741</v>
      </c>
      <c r="EN7" s="202">
        <f t="shared" si="56"/>
        <v>7.1190322580645159E-3</v>
      </c>
      <c r="EO7" s="202">
        <f t="shared" ref="EO7:EO70" si="66">EJ7+EM7+EN7</f>
        <v>15.260959892473117</v>
      </c>
    </row>
    <row r="8" spans="1:145">
      <c r="A8" s="157">
        <v>42217</v>
      </c>
      <c r="B8" s="186">
        <v>4337.34</v>
      </c>
      <c r="C8" s="187">
        <f t="shared" si="6"/>
        <v>144.578</v>
      </c>
      <c r="D8" s="247">
        <f>C8-'NOPA Crush'!G433</f>
        <v>9.2740000000000009</v>
      </c>
      <c r="E8" s="188">
        <f>C8/'NOPA Crush'!G433-1</f>
        <v>6.854194997930585E-2</v>
      </c>
      <c r="F8" s="189">
        <v>3193.2809999999999</v>
      </c>
      <c r="G8" s="189">
        <v>3133.6060000000002</v>
      </c>
      <c r="H8" s="189">
        <v>59.674999999999997</v>
      </c>
      <c r="I8" s="189">
        <v>306.75700000000001</v>
      </c>
      <c r="J8" s="190">
        <f t="shared" si="7"/>
        <v>44.173816209935119</v>
      </c>
      <c r="K8" s="190">
        <f t="shared" si="8"/>
        <v>47.26378840487488</v>
      </c>
      <c r="L8" s="190">
        <f>K8-'NOPA Crush'!J433</f>
        <v>-0.17621159512511753</v>
      </c>
      <c r="M8" s="189">
        <v>223.37100000000001</v>
      </c>
      <c r="N8" s="189">
        <v>32.479999999999997</v>
      </c>
      <c r="O8" s="189">
        <v>1626.655</v>
      </c>
      <c r="P8" s="189">
        <v>1661.2760000000001</v>
      </c>
      <c r="Q8" s="189">
        <v>823.42600000000004</v>
      </c>
      <c r="R8" s="189">
        <v>331.73599999999999</v>
      </c>
      <c r="S8" s="189">
        <v>506.11399999999998</v>
      </c>
      <c r="T8" s="189">
        <v>338.44600000000003</v>
      </c>
      <c r="U8" s="189">
        <f>(P8+T8)-'NOPA Crush'!Q433</f>
        <v>519.55200000000013</v>
      </c>
      <c r="V8" s="191">
        <f>(P8+T8)/'NOPA Crush'!Q433-1</f>
        <v>0.3510083301242426</v>
      </c>
      <c r="W8" s="190">
        <f t="shared" si="9"/>
        <v>11.251054793952052</v>
      </c>
      <c r="X8" s="190">
        <f>W8-'NOPA Crush'!O433</f>
        <v>-7.8945206047947636E-2</v>
      </c>
      <c r="Y8" s="190">
        <f t="shared" si="0"/>
        <v>58.514843198826931</v>
      </c>
      <c r="Z8" s="211">
        <v>1437.8910000000001</v>
      </c>
      <c r="AA8" s="211">
        <v>1406.585</v>
      </c>
      <c r="AB8" s="191">
        <f t="shared" si="10"/>
        <v>2.1772164927661441E-2</v>
      </c>
      <c r="AC8" s="211">
        <v>116.726</v>
      </c>
      <c r="AD8" s="211">
        <v>1394.52</v>
      </c>
      <c r="AE8" s="211">
        <v>1117.8030000000001</v>
      </c>
      <c r="AF8" s="211">
        <v>276.71699999999998</v>
      </c>
      <c r="AG8" s="191">
        <f t="shared" si="1"/>
        <v>-8.5775122015377958E-3</v>
      </c>
      <c r="AH8" s="163"/>
      <c r="AI8" s="211">
        <v>592.78200000000004</v>
      </c>
      <c r="AJ8" s="247">
        <f t="shared" si="11"/>
        <v>19.759400000000003</v>
      </c>
      <c r="AK8" s="211">
        <v>437.56900000000002</v>
      </c>
      <c r="AL8" s="211">
        <v>57.546999999999997</v>
      </c>
      <c r="AM8" s="190">
        <f t="shared" si="12"/>
        <v>44.289705152990472</v>
      </c>
      <c r="AN8" s="190">
        <f t="shared" si="13"/>
        <v>0.11588894305535291</v>
      </c>
      <c r="AO8" s="211">
        <v>229.56399999999999</v>
      </c>
      <c r="AP8" s="211">
        <v>186.815</v>
      </c>
      <c r="AQ8" s="190">
        <f t="shared" si="2"/>
        <v>11.617964108221907</v>
      </c>
      <c r="AR8" s="190">
        <f t="shared" si="14"/>
        <v>0.36690931426985429</v>
      </c>
      <c r="AS8" s="190">
        <f t="shared" si="15"/>
        <v>55.907669261212376</v>
      </c>
      <c r="AT8" s="211">
        <v>924.77099999999996</v>
      </c>
      <c r="AU8" s="247">
        <f t="shared" si="16"/>
        <v>30.825699999999998</v>
      </c>
      <c r="AV8" s="211">
        <v>679.92200000000003</v>
      </c>
      <c r="AW8" s="211">
        <v>46.941000000000003</v>
      </c>
      <c r="AX8" s="190">
        <f t="shared" si="17"/>
        <v>44.11396983685691</v>
      </c>
      <c r="AY8" s="190">
        <f t="shared" si="18"/>
        <v>-5.9846373078208615E-2</v>
      </c>
      <c r="AZ8" s="211">
        <v>343.82499999999999</v>
      </c>
      <c r="BA8" s="211">
        <v>148.11099999999999</v>
      </c>
      <c r="BB8" s="190">
        <f t="shared" si="19"/>
        <v>11.153842410715734</v>
      </c>
      <c r="BC8" s="190">
        <f t="shared" si="57"/>
        <v>-9.721238323631809E-2</v>
      </c>
      <c r="BD8" s="247">
        <f t="shared" si="20"/>
        <v>55.267812247572643</v>
      </c>
      <c r="BE8" s="211">
        <v>967.98500000000001</v>
      </c>
      <c r="BF8" s="247">
        <f t="shared" si="58"/>
        <v>32.26616666666667</v>
      </c>
      <c r="BG8" s="211">
        <v>716.41499999999996</v>
      </c>
      <c r="BH8" s="211">
        <v>78.902000000000001</v>
      </c>
      <c r="BI8" s="190">
        <f t="shared" si="21"/>
        <v>44.406576548190309</v>
      </c>
      <c r="BJ8" s="190">
        <f t="shared" si="22"/>
        <v>0.23276033825518994</v>
      </c>
      <c r="BK8" s="211">
        <v>356.274</v>
      </c>
      <c r="BL8" s="211">
        <v>161.482</v>
      </c>
      <c r="BM8" s="190">
        <f t="shared" si="23"/>
        <v>11.041720687820574</v>
      </c>
      <c r="BN8" s="190">
        <f t="shared" si="24"/>
        <v>-0.20933410613147885</v>
      </c>
      <c r="BO8" s="247">
        <f t="shared" si="25"/>
        <v>55.44829723601088</v>
      </c>
      <c r="BP8" s="211">
        <v>644.55100000000004</v>
      </c>
      <c r="BQ8" s="247">
        <f t="shared" si="26"/>
        <v>21.485033333333334</v>
      </c>
      <c r="BR8" s="211">
        <v>477.62700000000001</v>
      </c>
      <c r="BS8" s="211">
        <v>31.861999999999998</v>
      </c>
      <c r="BT8" s="190">
        <f t="shared" si="27"/>
        <v>44.461369232225223</v>
      </c>
      <c r="BU8" s="190">
        <f t="shared" si="28"/>
        <v>0.28755302229010482</v>
      </c>
      <c r="BV8" s="211">
        <v>240.608</v>
      </c>
      <c r="BW8" s="211">
        <v>193.97300000000001</v>
      </c>
      <c r="BX8" s="190">
        <f t="shared" si="29"/>
        <v>11.198865566882994</v>
      </c>
      <c r="BY8" s="190">
        <f t="shared" si="30"/>
        <v>-5.218922706905893E-2</v>
      </c>
      <c r="BZ8" s="194">
        <f t="shared" si="31"/>
        <v>55.660234799108217</v>
      </c>
      <c r="CA8" s="211">
        <v>535.20699999999999</v>
      </c>
      <c r="CB8" s="247">
        <f t="shared" si="32"/>
        <v>17.840233333333334</v>
      </c>
      <c r="CC8" s="211">
        <v>390.476</v>
      </c>
      <c r="CD8" s="211">
        <v>42.426000000000002</v>
      </c>
      <c r="CE8" s="190">
        <f t="shared" si="59"/>
        <v>43.774763782984898</v>
      </c>
      <c r="CF8" s="190">
        <f t="shared" si="33"/>
        <v>-0.39905242695022025</v>
      </c>
      <c r="CG8" s="211">
        <v>200.66300000000001</v>
      </c>
      <c r="CH8" s="211">
        <v>43.847000000000001</v>
      </c>
      <c r="CI8" s="190">
        <f t="shared" si="34"/>
        <v>11.247778896763309</v>
      </c>
      <c r="CJ8" s="190">
        <f t="shared" si="35"/>
        <v>-3.2758971887432153E-3</v>
      </c>
      <c r="CK8" s="194">
        <f t="shared" si="36"/>
        <v>55.022542679748206</v>
      </c>
      <c r="CL8" s="211">
        <v>672.04399999999998</v>
      </c>
      <c r="CM8" s="247">
        <f t="shared" si="60"/>
        <v>22.401466666666668</v>
      </c>
      <c r="CN8" s="211">
        <v>491.27199999999999</v>
      </c>
      <c r="CO8" s="211">
        <v>49.079000000000001</v>
      </c>
      <c r="CP8" s="190">
        <f t="shared" si="37"/>
        <v>43.860699597050193</v>
      </c>
      <c r="CQ8" s="190">
        <f t="shared" si="38"/>
        <v>-0.31311661288492587</v>
      </c>
      <c r="CR8" s="211">
        <v>255.721</v>
      </c>
      <c r="CS8" s="211">
        <v>89.197999999999993</v>
      </c>
      <c r="CT8" s="190">
        <f t="shared" si="39"/>
        <v>11.415368636577366</v>
      </c>
      <c r="CU8" s="190">
        <f t="shared" si="40"/>
        <v>0.16431384262531346</v>
      </c>
      <c r="CV8" s="247">
        <f t="shared" si="41"/>
        <v>55.276068233627555</v>
      </c>
      <c r="CW8" s="195"/>
      <c r="CX8" s="196">
        <f t="shared" si="42"/>
        <v>0</v>
      </c>
      <c r="CY8" s="196">
        <f t="shared" si="43"/>
        <v>0</v>
      </c>
      <c r="CZ8" s="196">
        <f t="shared" si="44"/>
        <v>0</v>
      </c>
      <c r="DA8" s="196">
        <f t="shared" si="45"/>
        <v>0</v>
      </c>
      <c r="DB8" s="196">
        <f t="shared" si="46"/>
        <v>1.2789769243681803E-13</v>
      </c>
      <c r="DC8" s="196">
        <f t="shared" si="47"/>
        <v>0</v>
      </c>
      <c r="DD8" s="163"/>
      <c r="DE8" s="200">
        <v>147.512</v>
      </c>
      <c r="DF8" s="200">
        <v>82.075999999999993</v>
      </c>
      <c r="DG8" s="206">
        <f>FORECAST(DF8,DG$5:DG7,DF$5:DF7)</f>
        <v>36.730097867398804</v>
      </c>
      <c r="DH8" s="191">
        <f t="shared" si="61"/>
        <v>0.55640219100818911</v>
      </c>
      <c r="DI8" s="197">
        <v>120.026</v>
      </c>
      <c r="DJ8" s="191">
        <f t="shared" si="48"/>
        <v>0.40683469819404522</v>
      </c>
      <c r="DK8" s="197">
        <v>132.50299999999999</v>
      </c>
      <c r="DL8" s="197">
        <v>128.79400000000001</v>
      </c>
      <c r="DM8" s="191">
        <f t="shared" si="62"/>
        <v>2.7991819053153288E-2</v>
      </c>
      <c r="DN8" s="200">
        <v>132.65600000000001</v>
      </c>
      <c r="DO8" s="206">
        <v>69.097999999999999</v>
      </c>
      <c r="DP8" s="200">
        <v>83.7</v>
      </c>
      <c r="DQ8" s="200">
        <f t="shared" si="49"/>
        <v>152.798</v>
      </c>
      <c r="DR8" s="191">
        <f t="shared" si="50"/>
        <v>0.96323688920223427</v>
      </c>
      <c r="DS8" s="199">
        <f t="shared" si="51"/>
        <v>1.1039524769633244</v>
      </c>
      <c r="DT8" s="200">
        <v>97.738</v>
      </c>
      <c r="DU8" s="200">
        <v>44.805999999999997</v>
      </c>
      <c r="DV8" s="200">
        <v>46.45</v>
      </c>
      <c r="DW8" s="191">
        <f t="shared" si="63"/>
        <v>0.45842967934682516</v>
      </c>
      <c r="DX8" s="197">
        <v>29.271000000000001</v>
      </c>
      <c r="DY8" s="191">
        <f t="shared" si="64"/>
        <v>0.14974216783646074</v>
      </c>
      <c r="DZ8" s="197">
        <v>45.192</v>
      </c>
      <c r="EA8" s="197">
        <v>43.886000000000003</v>
      </c>
      <c r="EB8" s="191">
        <f t="shared" si="52"/>
        <v>2.8898920162860664E-2</v>
      </c>
      <c r="EC8" s="200">
        <v>43.475999999999999</v>
      </c>
      <c r="ED8" s="200"/>
      <c r="EE8" s="200">
        <v>36.457999999999998</v>
      </c>
      <c r="EF8" s="204">
        <f t="shared" si="53"/>
        <v>36.457999999999998</v>
      </c>
      <c r="EG8" s="191">
        <f t="shared" si="54"/>
        <v>0.60817184718328587</v>
      </c>
      <c r="EJ8" s="202">
        <f t="shared" si="3"/>
        <v>9.3276129032258073</v>
      </c>
      <c r="EK8" s="202">
        <f>'NOPA Crush'!B433*56/('NOPA Crush'!A433-'NOPA Crush'!A432)</f>
        <v>10.5776942501261</v>
      </c>
      <c r="EL8" s="203">
        <f t="shared" si="65"/>
        <v>0.88181910751623493</v>
      </c>
      <c r="EM8" s="202">
        <f t="shared" si="55"/>
        <v>4.7584516129032259</v>
      </c>
      <c r="EN8" s="202">
        <f t="shared" si="56"/>
        <v>6.305677419354839E-3</v>
      </c>
      <c r="EO8" s="202">
        <f t="shared" si="66"/>
        <v>14.092370193548389</v>
      </c>
    </row>
    <row r="9" spans="1:145">
      <c r="A9" s="157">
        <v>42248</v>
      </c>
      <c r="B9" s="186">
        <v>4036.8960000000002</v>
      </c>
      <c r="C9" s="187">
        <f t="shared" si="6"/>
        <v>134.56319999999999</v>
      </c>
      <c r="D9" s="247">
        <f>C9-'NOPA Crush'!G434</f>
        <v>7.8592000000000013</v>
      </c>
      <c r="E9" s="188">
        <f>C9/'NOPA Crush'!G434-1</f>
        <v>6.2028033842656871E-2</v>
      </c>
      <c r="F9" s="189">
        <v>2974.1590000000001</v>
      </c>
      <c r="G9" s="189">
        <v>2934.9850000000001</v>
      </c>
      <c r="H9" s="189">
        <v>39.173999999999999</v>
      </c>
      <c r="I9" s="189">
        <v>240.755</v>
      </c>
      <c r="J9" s="190">
        <f t="shared" si="7"/>
        <v>44.204641387838578</v>
      </c>
      <c r="K9" s="190">
        <f t="shared" si="8"/>
        <v>47.191996028631905</v>
      </c>
      <c r="L9" s="190">
        <f>K9-'NOPA Crush'!J434</f>
        <v>-0.11800397136809693</v>
      </c>
      <c r="M9" s="189">
        <v>200.994</v>
      </c>
      <c r="N9" s="189">
        <v>19.709</v>
      </c>
      <c r="O9" s="189">
        <v>1531.2819999999999</v>
      </c>
      <c r="P9" s="189">
        <v>1516.385</v>
      </c>
      <c r="Q9" s="189">
        <v>736.75400000000002</v>
      </c>
      <c r="R9" s="189">
        <v>275.56099999999998</v>
      </c>
      <c r="S9" s="189">
        <v>504.07</v>
      </c>
      <c r="T9" s="189">
        <v>338.43299999999999</v>
      </c>
      <c r="U9" s="189">
        <f>(P9+T9)-'NOPA Crush'!Q434</f>
        <v>500.11599999999999</v>
      </c>
      <c r="V9" s="191">
        <f>(P9+T9)/'NOPA Crush'!Q434-1</f>
        <v>0.36917048915554851</v>
      </c>
      <c r="W9" s="190">
        <f t="shared" si="9"/>
        <v>11.379649116548952</v>
      </c>
      <c r="X9" s="190">
        <f>W9-'NOPA Crush'!O434</f>
        <v>-7.0350883451046897E-2</v>
      </c>
      <c r="Y9" s="190">
        <f t="shared" si="0"/>
        <v>58.57164514518086</v>
      </c>
      <c r="Z9" s="211">
        <v>1435.64</v>
      </c>
      <c r="AA9" s="211">
        <v>1396.1010000000001</v>
      </c>
      <c r="AB9" s="191">
        <f t="shared" si="10"/>
        <v>2.7541026998411846E-2</v>
      </c>
      <c r="AC9" s="344">
        <f>FORECAST(S9,AC10:AC$87,S10:S$87)</f>
        <v>105.0931413727622</v>
      </c>
      <c r="AD9" s="211">
        <v>1344.3920000000001</v>
      </c>
      <c r="AE9" s="211">
        <v>1098.75</v>
      </c>
      <c r="AF9" s="211">
        <v>245.642</v>
      </c>
      <c r="AG9" s="191">
        <f t="shared" si="1"/>
        <v>-3.7038151251234774E-2</v>
      </c>
      <c r="AH9" s="163"/>
      <c r="AI9" s="211">
        <v>484.41899999999998</v>
      </c>
      <c r="AJ9" s="247">
        <f t="shared" si="11"/>
        <v>16.147299999999998</v>
      </c>
      <c r="AK9" s="211">
        <v>355.56</v>
      </c>
      <c r="AL9" s="211">
        <v>44.164999999999999</v>
      </c>
      <c r="AM9" s="190">
        <f t="shared" si="12"/>
        <v>44.039560793445354</v>
      </c>
      <c r="AN9" s="190">
        <f t="shared" si="13"/>
        <v>-0.16508059439322409</v>
      </c>
      <c r="AO9" s="211">
        <v>187.14599999999999</v>
      </c>
      <c r="AP9" s="211">
        <v>164.881</v>
      </c>
      <c r="AQ9" s="190">
        <f t="shared" si="2"/>
        <v>11.589925250661102</v>
      </c>
      <c r="AR9" s="190">
        <f t="shared" si="14"/>
        <v>0.21027613411214929</v>
      </c>
      <c r="AS9" s="190">
        <f t="shared" si="15"/>
        <v>55.629486044106457</v>
      </c>
      <c r="AT9" s="211">
        <v>875.19200000000001</v>
      </c>
      <c r="AU9" s="247">
        <f t="shared" si="16"/>
        <v>29.173066666666667</v>
      </c>
      <c r="AV9" s="211">
        <v>649.41300000000001</v>
      </c>
      <c r="AW9" s="211">
        <v>42.034999999999997</v>
      </c>
      <c r="AX9" s="190">
        <f t="shared" si="17"/>
        <v>44.521407873929377</v>
      </c>
      <c r="AY9" s="190">
        <f t="shared" si="18"/>
        <v>0.31676648609079905</v>
      </c>
      <c r="AZ9" s="211">
        <v>327.50299999999999</v>
      </c>
      <c r="BA9" s="211">
        <v>103.783</v>
      </c>
      <c r="BB9" s="190">
        <f t="shared" si="19"/>
        <v>11.226210934286419</v>
      </c>
      <c r="BC9" s="190">
        <f t="shared" si="57"/>
        <v>-0.15343818226253347</v>
      </c>
      <c r="BD9" s="247">
        <f t="shared" si="20"/>
        <v>55.747618808215798</v>
      </c>
      <c r="BE9" s="211">
        <v>1016.5940000000001</v>
      </c>
      <c r="BF9" s="247">
        <f t="shared" si="58"/>
        <v>33.886466666666671</v>
      </c>
      <c r="BG9" s="211">
        <v>746.86400000000003</v>
      </c>
      <c r="BH9" s="211">
        <v>53.216999999999999</v>
      </c>
      <c r="BI9" s="190">
        <f t="shared" si="21"/>
        <v>44.08037033466654</v>
      </c>
      <c r="BJ9" s="190">
        <f t="shared" si="22"/>
        <v>-0.12427105317203768</v>
      </c>
      <c r="BK9" s="211">
        <v>381.5</v>
      </c>
      <c r="BL9" s="211">
        <v>175.137</v>
      </c>
      <c r="BM9" s="190">
        <f t="shared" si="23"/>
        <v>11.258181732333654</v>
      </c>
      <c r="BN9" s="190">
        <f t="shared" si="24"/>
        <v>-0.12146738421529868</v>
      </c>
      <c r="BO9" s="247">
        <f t="shared" si="25"/>
        <v>55.338552067000194</v>
      </c>
      <c r="BP9" s="211">
        <v>591.07799999999997</v>
      </c>
      <c r="BQ9" s="247">
        <f t="shared" si="26"/>
        <v>19.7026</v>
      </c>
      <c r="BR9" s="211">
        <v>441.51100000000002</v>
      </c>
      <c r="BS9" s="211">
        <v>26.602</v>
      </c>
      <c r="BT9" s="190">
        <f t="shared" si="27"/>
        <v>44.817536771796618</v>
      </c>
      <c r="BU9" s="190">
        <f t="shared" si="28"/>
        <v>0.61289538395804044</v>
      </c>
      <c r="BV9" s="211">
        <v>223.88300000000001</v>
      </c>
      <c r="BW9" s="211">
        <v>176.77199999999999</v>
      </c>
      <c r="BX9" s="190">
        <f t="shared" si="29"/>
        <v>11.363119588277689</v>
      </c>
      <c r="BY9" s="190">
        <f t="shared" si="30"/>
        <v>-1.6529528271263416E-2</v>
      </c>
      <c r="BZ9" s="194">
        <f t="shared" si="31"/>
        <v>56.180656360074309</v>
      </c>
      <c r="CA9" s="211">
        <v>509.67200000000003</v>
      </c>
      <c r="CB9" s="247">
        <f t="shared" si="32"/>
        <v>16.989066666666666</v>
      </c>
      <c r="CC9" s="211">
        <v>366.87400000000002</v>
      </c>
      <c r="CD9" s="211">
        <v>38.902000000000001</v>
      </c>
      <c r="CE9" s="190">
        <f t="shared" si="59"/>
        <v>43.18942378627824</v>
      </c>
      <c r="CF9" s="190">
        <f t="shared" si="33"/>
        <v>-1.0152176015603374</v>
      </c>
      <c r="CG9" s="211">
        <v>198.91399999999999</v>
      </c>
      <c r="CH9" s="211">
        <v>49.694000000000003</v>
      </c>
      <c r="CI9" s="190">
        <f t="shared" si="34"/>
        <v>11.708353607810514</v>
      </c>
      <c r="CJ9" s="190">
        <f t="shared" si="35"/>
        <v>0.32870449126156132</v>
      </c>
      <c r="CK9" s="194">
        <f t="shared" si="36"/>
        <v>54.897777394088756</v>
      </c>
      <c r="CL9" s="211">
        <v>559.94100000000003</v>
      </c>
      <c r="CM9" s="247">
        <f t="shared" si="60"/>
        <v>18.6647</v>
      </c>
      <c r="CN9" s="211">
        <v>413.93700000000001</v>
      </c>
      <c r="CO9" s="211">
        <v>35.834000000000003</v>
      </c>
      <c r="CP9" s="190">
        <f t="shared" si="37"/>
        <v>44.355065980165769</v>
      </c>
      <c r="CQ9" s="190">
        <f t="shared" si="38"/>
        <v>0.15042459232719096</v>
      </c>
      <c r="CR9" s="211">
        <v>212.33600000000001</v>
      </c>
      <c r="CS9" s="211">
        <v>66.486999999999995</v>
      </c>
      <c r="CT9" s="190">
        <f t="shared" si="39"/>
        <v>11.376341435972719</v>
      </c>
      <c r="CU9" s="190">
        <f t="shared" si="40"/>
        <v>-3.3076805762330963E-3</v>
      </c>
      <c r="CV9" s="247">
        <f t="shared" si="41"/>
        <v>55.731407416138488</v>
      </c>
      <c r="CW9" s="195"/>
      <c r="CX9" s="196">
        <f t="shared" si="42"/>
        <v>0</v>
      </c>
      <c r="CY9" s="196">
        <f t="shared" si="43"/>
        <v>0</v>
      </c>
      <c r="CZ9" s="196">
        <f t="shared" si="44"/>
        <v>0</v>
      </c>
      <c r="DA9" s="196">
        <f t="shared" si="45"/>
        <v>0</v>
      </c>
      <c r="DB9" s="196">
        <f t="shared" si="46"/>
        <v>0</v>
      </c>
      <c r="DC9" s="196">
        <f t="shared" si="47"/>
        <v>0</v>
      </c>
      <c r="DD9" s="163"/>
      <c r="DE9" s="200">
        <v>187.36199999999999</v>
      </c>
      <c r="DF9" s="200">
        <v>103.38500000000001</v>
      </c>
      <c r="DG9" s="206">
        <f>FORECAST(DF9,DG$5:DG8,DF$5:DF8)</f>
        <v>38.125779488295386</v>
      </c>
      <c r="DH9" s="191">
        <f t="shared" si="61"/>
        <v>0.55179278615727845</v>
      </c>
      <c r="DI9" s="197">
        <v>157.24700000000001</v>
      </c>
      <c r="DJ9" s="191">
        <f t="shared" si="48"/>
        <v>0.41963418409282571</v>
      </c>
      <c r="DK9" s="197">
        <v>141.649</v>
      </c>
      <c r="DL9" s="197">
        <v>134.12100000000001</v>
      </c>
      <c r="DM9" s="191">
        <f t="shared" si="62"/>
        <v>5.3145451079781636E-2</v>
      </c>
      <c r="DN9" s="200">
        <v>157.011</v>
      </c>
      <c r="DO9" s="206">
        <f>MROUND(FORECAST(DI9,DO$5:DO8,DI$5:DI8),1)+25</f>
        <v>105</v>
      </c>
      <c r="DP9" s="200">
        <v>67.337000000000003</v>
      </c>
      <c r="DQ9" s="206">
        <f t="shared" si="49"/>
        <v>172.33699999999999</v>
      </c>
      <c r="DR9" s="191">
        <f t="shared" si="50"/>
        <v>0.97142697025010416</v>
      </c>
      <c r="DS9" s="199">
        <f t="shared" si="51"/>
        <v>0.90080573874223346</v>
      </c>
      <c r="DT9" s="200">
        <v>116.505</v>
      </c>
      <c r="DU9" s="200">
        <v>54.484999999999999</v>
      </c>
      <c r="DV9" s="200">
        <v>42.316000000000003</v>
      </c>
      <c r="DW9" s="191">
        <f t="shared" si="63"/>
        <v>0.46766233208875158</v>
      </c>
      <c r="DX9" s="197">
        <v>36.021000000000001</v>
      </c>
      <c r="DY9" s="191">
        <f t="shared" si="64"/>
        <v>0.15458993176258531</v>
      </c>
      <c r="DZ9" s="197">
        <v>49.427</v>
      </c>
      <c r="EA9" s="197">
        <v>47.255000000000003</v>
      </c>
      <c r="EB9" s="191">
        <f t="shared" si="52"/>
        <v>4.3943593582454921E-2</v>
      </c>
      <c r="EC9" s="200">
        <v>39.487000000000002</v>
      </c>
      <c r="ED9" s="200"/>
      <c r="EE9" s="200">
        <v>48.634999999999998</v>
      </c>
      <c r="EF9" s="204">
        <f t="shared" si="53"/>
        <v>48.634999999999998</v>
      </c>
      <c r="EG9" s="191">
        <f t="shared" si="54"/>
        <v>0.62225226385133692</v>
      </c>
      <c r="EJ9" s="202">
        <f t="shared" si="3"/>
        <v>8.9708799999999993</v>
      </c>
      <c r="EK9" s="202">
        <f>'NOPA Crush'!B434*56/('NOPA Crush'!A434-'NOPA Crush'!A433)</f>
        <v>10.504235537338859</v>
      </c>
      <c r="EL9" s="203">
        <f t="shared" si="65"/>
        <v>0.85402502334526675</v>
      </c>
      <c r="EM9" s="202">
        <f t="shared" si="55"/>
        <v>6.2454000000000001</v>
      </c>
      <c r="EN9" s="202">
        <f t="shared" si="56"/>
        <v>7.7669999999999996E-3</v>
      </c>
      <c r="EO9" s="202">
        <f t="shared" si="66"/>
        <v>15.224046999999999</v>
      </c>
    </row>
    <row r="10" spans="1:145">
      <c r="A10" s="157">
        <v>42278</v>
      </c>
      <c r="B10" s="186">
        <v>5104.01</v>
      </c>
      <c r="C10" s="187">
        <f t="shared" si="6"/>
        <v>170.13366666666667</v>
      </c>
      <c r="D10" s="247">
        <f>C10-'NOPA Crush'!G435</f>
        <v>11.23866666666666</v>
      </c>
      <c r="E10" s="188">
        <f>C10/'NOPA Crush'!G435-1</f>
        <v>7.0730146742607802E-2</v>
      </c>
      <c r="F10" s="189">
        <v>3742.4119999999998</v>
      </c>
      <c r="G10" s="189">
        <v>3684.9549999999999</v>
      </c>
      <c r="H10" s="189">
        <v>57.457000000000001</v>
      </c>
      <c r="I10" s="189">
        <v>360.25299999999999</v>
      </c>
      <c r="J10" s="190">
        <f t="shared" si="7"/>
        <v>43.993785278633858</v>
      </c>
      <c r="K10" s="190">
        <f t="shared" si="8"/>
        <v>47.037380412655928</v>
      </c>
      <c r="L10" s="190">
        <f>K10-'NOPA Crush'!J435</f>
        <v>8.7380412655924999E-2</v>
      </c>
      <c r="M10" s="189">
        <v>258.90899999999999</v>
      </c>
      <c r="N10" s="189">
        <v>33.515000000000001</v>
      </c>
      <c r="O10" s="189">
        <v>1962.9369999999999</v>
      </c>
      <c r="P10" s="189">
        <v>1569.8610000000001</v>
      </c>
      <c r="Q10" s="189">
        <v>747.77</v>
      </c>
      <c r="R10" s="189">
        <v>270.00200000000001</v>
      </c>
      <c r="S10" s="189">
        <v>552.08900000000006</v>
      </c>
      <c r="T10" s="189">
        <v>370.50799999999998</v>
      </c>
      <c r="U10" s="189">
        <f>(P10+T10)-'NOPA Crush'!Q435</f>
        <v>532.55400000000009</v>
      </c>
      <c r="V10" s="191">
        <f>(P10+T10)/'NOPA Crush'!Q435-1</f>
        <v>0.37828407851883949</v>
      </c>
      <c r="W10" s="190">
        <f t="shared" si="9"/>
        <v>11.537616501535068</v>
      </c>
      <c r="X10" s="190">
        <f>W10-'NOPA Crush'!O435</f>
        <v>-6.2383498464932075E-2</v>
      </c>
      <c r="Y10" s="190">
        <f t="shared" si="0"/>
        <v>58.574996914190997</v>
      </c>
      <c r="Z10" s="211">
        <v>1610.904</v>
      </c>
      <c r="AA10" s="211">
        <v>1575.91</v>
      </c>
      <c r="AB10" s="191">
        <f t="shared" si="10"/>
        <v>2.1723206348733329E-2</v>
      </c>
      <c r="AC10" s="344">
        <f>FORECAST(S10,AC11:AC$87,S11:S$87)</f>
        <v>110.07040402772964</v>
      </c>
      <c r="AD10" s="211">
        <v>1530.33</v>
      </c>
      <c r="AE10" s="211">
        <v>1258.068</v>
      </c>
      <c r="AF10" s="211">
        <v>272.262</v>
      </c>
      <c r="AG10" s="191">
        <f t="shared" si="1"/>
        <v>-2.8922971489488747E-2</v>
      </c>
      <c r="AH10" s="163"/>
      <c r="AI10" s="211">
        <v>555.93100000000004</v>
      </c>
      <c r="AJ10" s="247">
        <f t="shared" si="11"/>
        <v>18.531033333333333</v>
      </c>
      <c r="AK10" s="211">
        <v>398.012</v>
      </c>
      <c r="AL10" s="211">
        <v>51.287999999999997</v>
      </c>
      <c r="AM10" s="190">
        <f t="shared" si="12"/>
        <v>42.95626615533223</v>
      </c>
      <c r="AN10" s="190">
        <f t="shared" si="13"/>
        <v>-1.0375191233016281</v>
      </c>
      <c r="AO10" s="211">
        <v>215.17099999999999</v>
      </c>
      <c r="AP10" s="211">
        <v>83.245999999999995</v>
      </c>
      <c r="AQ10" s="190">
        <f t="shared" si="2"/>
        <v>11.611387024648742</v>
      </c>
      <c r="AR10" s="190">
        <f t="shared" si="14"/>
        <v>7.3770523113674713E-2</v>
      </c>
      <c r="AS10" s="190">
        <f t="shared" si="15"/>
        <v>54.567653179980972</v>
      </c>
      <c r="AT10" s="211">
        <v>1085.673</v>
      </c>
      <c r="AU10" s="247">
        <f t="shared" si="16"/>
        <v>36.189100000000003</v>
      </c>
      <c r="AV10" s="211">
        <v>797.40800000000002</v>
      </c>
      <c r="AW10" s="211">
        <v>69.454999999999998</v>
      </c>
      <c r="AX10" s="190">
        <f t="shared" si="17"/>
        <v>44.068959990715435</v>
      </c>
      <c r="AY10" s="190">
        <f t="shared" si="18"/>
        <v>7.5174712081576445E-2</v>
      </c>
      <c r="AZ10" s="211">
        <v>414.23700000000002</v>
      </c>
      <c r="BA10" s="211">
        <v>109.952</v>
      </c>
      <c r="BB10" s="190">
        <f t="shared" si="19"/>
        <v>11.446457635033752</v>
      </c>
      <c r="BC10" s="190">
        <f t="shared" si="57"/>
        <v>-9.1158866501315217E-2</v>
      </c>
      <c r="BD10" s="247">
        <f t="shared" si="20"/>
        <v>55.515417625749187</v>
      </c>
      <c r="BE10" s="211">
        <v>1251.1969999999999</v>
      </c>
      <c r="BF10" s="247">
        <f t="shared" si="58"/>
        <v>41.70656666666666</v>
      </c>
      <c r="BG10" s="211">
        <v>917.68700000000001</v>
      </c>
      <c r="BH10" s="211">
        <v>95.335999999999999</v>
      </c>
      <c r="BI10" s="190">
        <f t="shared" si="21"/>
        <v>44.006835054751576</v>
      </c>
      <c r="BJ10" s="190">
        <f t="shared" si="22"/>
        <v>1.3049776117718181E-2</v>
      </c>
      <c r="BK10" s="211">
        <v>478.7</v>
      </c>
      <c r="BL10" s="211">
        <v>232.422</v>
      </c>
      <c r="BM10" s="190">
        <f t="shared" si="23"/>
        <v>11.477808850245006</v>
      </c>
      <c r="BN10" s="190">
        <f t="shared" si="24"/>
        <v>-5.9807651290061159E-2</v>
      </c>
      <c r="BO10" s="247">
        <f t="shared" si="25"/>
        <v>55.484643904996581</v>
      </c>
      <c r="BP10" s="211">
        <v>745.49699999999996</v>
      </c>
      <c r="BQ10" s="247">
        <f t="shared" si="26"/>
        <v>24.849899999999998</v>
      </c>
      <c r="BR10" s="211">
        <v>556.66700000000003</v>
      </c>
      <c r="BS10" s="211">
        <v>31.603000000000002</v>
      </c>
      <c r="BT10" s="190">
        <f t="shared" si="27"/>
        <v>44.802353329389661</v>
      </c>
      <c r="BU10" s="190">
        <f t="shared" si="28"/>
        <v>0.8085680507558024</v>
      </c>
      <c r="BV10" s="211">
        <v>288.65499999999997</v>
      </c>
      <c r="BW10" s="211">
        <v>191.80600000000001</v>
      </c>
      <c r="BX10" s="190">
        <f t="shared" si="29"/>
        <v>11.61594211646727</v>
      </c>
      <c r="BY10" s="190">
        <f t="shared" si="30"/>
        <v>7.832561493220247E-2</v>
      </c>
      <c r="BZ10" s="194">
        <f t="shared" si="31"/>
        <v>56.418295445856927</v>
      </c>
      <c r="CA10" s="211">
        <v>656.45</v>
      </c>
      <c r="CB10" s="247">
        <f t="shared" si="32"/>
        <v>21.881666666666668</v>
      </c>
      <c r="CC10" s="211">
        <v>477.89800000000002</v>
      </c>
      <c r="CD10" s="211">
        <v>66.478999999999999</v>
      </c>
      <c r="CE10" s="190">
        <f t="shared" si="59"/>
        <v>43.680219361718336</v>
      </c>
      <c r="CF10" s="190">
        <f t="shared" si="33"/>
        <v>-0.31356591691552183</v>
      </c>
      <c r="CG10" s="211">
        <v>255.68199999999999</v>
      </c>
      <c r="CH10" s="211">
        <v>64.052000000000007</v>
      </c>
      <c r="CI10" s="190">
        <f t="shared" si="34"/>
        <v>11.684758930611622</v>
      </c>
      <c r="CJ10" s="190">
        <f t="shared" si="35"/>
        <v>0.14714242907655439</v>
      </c>
      <c r="CK10" s="194">
        <f t="shared" si="36"/>
        <v>55.364978292329958</v>
      </c>
      <c r="CL10" s="211">
        <v>809.26199999999994</v>
      </c>
      <c r="CM10" s="247">
        <f t="shared" si="60"/>
        <v>26.975399999999997</v>
      </c>
      <c r="CN10" s="211">
        <v>594.74</v>
      </c>
      <c r="CO10" s="211">
        <v>46.091999999999999</v>
      </c>
      <c r="CP10" s="190">
        <f t="shared" si="37"/>
        <v>44.094990250376277</v>
      </c>
      <c r="CQ10" s="190">
        <f t="shared" si="38"/>
        <v>0.10120497174241905</v>
      </c>
      <c r="CR10" s="211">
        <v>310.49200000000002</v>
      </c>
      <c r="CS10" s="211">
        <v>66.292000000000002</v>
      </c>
      <c r="CT10" s="190">
        <f t="shared" si="39"/>
        <v>11.510190766401983</v>
      </c>
      <c r="CU10" s="190">
        <f t="shared" si="40"/>
        <v>-2.7425735133084217E-2</v>
      </c>
      <c r="CV10" s="247">
        <f t="shared" si="41"/>
        <v>55.605181016778261</v>
      </c>
      <c r="CW10" s="195"/>
      <c r="CX10" s="196">
        <f t="shared" si="42"/>
        <v>0</v>
      </c>
      <c r="CY10" s="196">
        <f t="shared" si="43"/>
        <v>0</v>
      </c>
      <c r="CZ10" s="196">
        <f t="shared" si="44"/>
        <v>0</v>
      </c>
      <c r="DA10" s="196">
        <f t="shared" si="45"/>
        <v>0</v>
      </c>
      <c r="DB10" s="196">
        <f t="shared" si="46"/>
        <v>0</v>
      </c>
      <c r="DC10" s="196">
        <f t="shared" si="47"/>
        <v>0</v>
      </c>
      <c r="DD10" s="163"/>
      <c r="DE10" s="200">
        <v>99.117000000000004</v>
      </c>
      <c r="DF10" s="200">
        <v>55.587000000000003</v>
      </c>
      <c r="DG10" s="206">
        <f>FORECAST(DF10,DG$5:DG9,DF$5:DF9)</f>
        <v>34.995140316320409</v>
      </c>
      <c r="DH10" s="191">
        <f t="shared" si="61"/>
        <v>0.5608220587790187</v>
      </c>
      <c r="DI10" s="197">
        <v>81.605999999999995</v>
      </c>
      <c r="DJ10" s="191">
        <f t="shared" si="48"/>
        <v>0.41166500196737182</v>
      </c>
      <c r="DK10" s="197">
        <v>85.388999999999996</v>
      </c>
      <c r="DL10" s="197">
        <v>82.822000000000003</v>
      </c>
      <c r="DM10" s="191">
        <f t="shared" si="62"/>
        <v>3.0062420218060826E-2</v>
      </c>
      <c r="DN10" s="200">
        <v>86.736000000000004</v>
      </c>
      <c r="DO10" s="206">
        <f>MROUND(FORECAST(DI10,DO$5:DO9,DI$5:DI9),1)+75</f>
        <v>126</v>
      </c>
      <c r="DP10" s="200">
        <v>57.348999999999997</v>
      </c>
      <c r="DQ10" s="206">
        <f t="shared" si="49"/>
        <v>183.34899999999999</v>
      </c>
      <c r="DR10" s="191">
        <f t="shared" si="50"/>
        <v>0.97248706074639046</v>
      </c>
      <c r="DS10" s="199">
        <f t="shared" si="51"/>
        <v>1.0463568855231233</v>
      </c>
      <c r="DT10" s="200">
        <v>123.06</v>
      </c>
      <c r="DU10" s="200">
        <v>58.555999999999997</v>
      </c>
      <c r="DV10" s="200">
        <v>44.835999999999999</v>
      </c>
      <c r="DW10" s="191">
        <f t="shared" si="63"/>
        <v>0.47583292702746627</v>
      </c>
      <c r="DX10" s="197">
        <v>37.719000000000001</v>
      </c>
      <c r="DY10" s="191">
        <f t="shared" si="64"/>
        <v>0.15325450999512433</v>
      </c>
      <c r="DZ10" s="197">
        <v>50.383000000000003</v>
      </c>
      <c r="EA10" s="197">
        <v>48.555999999999997</v>
      </c>
      <c r="EB10" s="191">
        <f t="shared" si="52"/>
        <v>3.6262231308179405E-2</v>
      </c>
      <c r="EC10" s="200">
        <v>50.838999999999999</v>
      </c>
      <c r="ED10" s="200"/>
      <c r="EE10" s="200">
        <v>46.67</v>
      </c>
      <c r="EF10" s="204">
        <f t="shared" si="53"/>
        <v>46.67</v>
      </c>
      <c r="EG10" s="191">
        <f t="shared" si="54"/>
        <v>0.62908743702259062</v>
      </c>
      <c r="EJ10" s="202">
        <f t="shared" si="3"/>
        <v>10.976365591397849</v>
      </c>
      <c r="EK10" s="202">
        <f>'NOPA Crush'!B435*56/('NOPA Crush'!A435-'NOPA Crush'!A434)</f>
        <v>10.956022128104939</v>
      </c>
      <c r="EL10" s="203">
        <f t="shared" si="65"/>
        <v>1.0018568293359618</v>
      </c>
      <c r="EM10" s="202">
        <f t="shared" si="55"/>
        <v>3.1973225806451615</v>
      </c>
      <c r="EN10" s="202">
        <f t="shared" si="56"/>
        <v>7.9393548387096773E-3</v>
      </c>
      <c r="EO10" s="202">
        <f t="shared" si="66"/>
        <v>14.181627526881721</v>
      </c>
    </row>
    <row r="11" spans="1:145">
      <c r="A11" s="157">
        <v>42309</v>
      </c>
      <c r="B11" s="186">
        <v>4973.5339999999997</v>
      </c>
      <c r="C11" s="187">
        <f t="shared" si="6"/>
        <v>165.78446666666665</v>
      </c>
      <c r="D11" s="247">
        <f>C11-'NOPA Crush'!G436</f>
        <v>9.6504666666666594</v>
      </c>
      <c r="E11" s="188">
        <f>C11/'NOPA Crush'!G436-1</f>
        <v>6.180887357440823E-2</v>
      </c>
      <c r="F11" s="189">
        <v>3655.75</v>
      </c>
      <c r="G11" s="189">
        <v>3600.752</v>
      </c>
      <c r="H11" s="189">
        <v>54.997999999999998</v>
      </c>
      <c r="I11" s="189">
        <v>342.96199999999999</v>
      </c>
      <c r="J11" s="190">
        <f t="shared" si="7"/>
        <v>44.102443051560527</v>
      </c>
      <c r="K11" s="190">
        <f t="shared" si="8"/>
        <v>47.142112630576172</v>
      </c>
      <c r="L11" s="190">
        <f>K11-'NOPA Crush'!J436</f>
        <v>-0.10788736942382826</v>
      </c>
      <c r="M11" s="189">
        <v>251.965</v>
      </c>
      <c r="N11" s="189">
        <v>38.826000000000001</v>
      </c>
      <c r="O11" s="189">
        <v>1901.8530000000001</v>
      </c>
      <c r="P11" s="189">
        <v>1545.181</v>
      </c>
      <c r="Q11" s="189">
        <v>750.72500000000002</v>
      </c>
      <c r="R11" s="189">
        <v>267.04899999999998</v>
      </c>
      <c r="S11" s="189">
        <v>527.40700000000004</v>
      </c>
      <c r="T11" s="189">
        <v>420.67700000000002</v>
      </c>
      <c r="U11" s="189">
        <f>(P11+T11)-'NOPA Crush'!Q436</f>
        <v>488.86900000000014</v>
      </c>
      <c r="V11" s="191">
        <f>(P11+T11)/'NOPA Crush'!Q436-1</f>
        <v>0.33099027819435367</v>
      </c>
      <c r="W11" s="190">
        <f t="shared" si="9"/>
        <v>11.471840747444375</v>
      </c>
      <c r="X11" s="190">
        <f>W11-'NOPA Crush'!O436</f>
        <v>-6.815925255562405E-2</v>
      </c>
      <c r="Y11" s="190">
        <f t="shared" si="0"/>
        <v>58.613953378020547</v>
      </c>
      <c r="Z11" s="211">
        <v>1461.9649999999999</v>
      </c>
      <c r="AA11" s="211">
        <v>1433.4490000000001</v>
      </c>
      <c r="AB11" s="191">
        <f t="shared" si="10"/>
        <v>1.9505254913763224E-2</v>
      </c>
      <c r="AC11" s="211">
        <v>90.941000000000003</v>
      </c>
      <c r="AD11" s="211">
        <v>1390.7929999999999</v>
      </c>
      <c r="AE11" s="211">
        <v>1121.1099999999999</v>
      </c>
      <c r="AF11" s="211">
        <v>269.68299999999999</v>
      </c>
      <c r="AG11" s="191">
        <f t="shared" si="1"/>
        <v>-2.9757598630994364E-2</v>
      </c>
      <c r="AH11" s="163"/>
      <c r="AI11" s="211">
        <v>580.13400000000001</v>
      </c>
      <c r="AJ11" s="247">
        <f t="shared" si="11"/>
        <v>19.337800000000001</v>
      </c>
      <c r="AK11" s="211">
        <v>418.04300000000001</v>
      </c>
      <c r="AL11" s="211">
        <v>79.992999999999995</v>
      </c>
      <c r="AM11" s="190">
        <f t="shared" si="12"/>
        <v>43.235838616595473</v>
      </c>
      <c r="AN11" s="190">
        <f t="shared" si="13"/>
        <v>-0.86660443496505479</v>
      </c>
      <c r="AO11" s="211">
        <v>224.71700000000001</v>
      </c>
      <c r="AP11" s="211">
        <v>87.394999999999996</v>
      </c>
      <c r="AQ11" s="190">
        <f t="shared" si="2"/>
        <v>11.620608342210593</v>
      </c>
      <c r="AR11" s="190">
        <f t="shared" si="14"/>
        <v>0.14876759476621793</v>
      </c>
      <c r="AS11" s="190">
        <f t="shared" si="15"/>
        <v>54.856446958806067</v>
      </c>
      <c r="AT11" s="211">
        <v>1117.3489999999999</v>
      </c>
      <c r="AU11" s="247">
        <f t="shared" si="16"/>
        <v>37.244966666666663</v>
      </c>
      <c r="AV11" s="211">
        <v>835.46500000000003</v>
      </c>
      <c r="AW11" s="211">
        <v>64.965000000000003</v>
      </c>
      <c r="AX11" s="190">
        <f t="shared" si="17"/>
        <v>44.863243265980465</v>
      </c>
      <c r="AY11" s="190">
        <f t="shared" si="18"/>
        <v>0.7608002144199375</v>
      </c>
      <c r="AZ11" s="211">
        <v>424.93799999999999</v>
      </c>
      <c r="BA11" s="211">
        <v>134.65899999999999</v>
      </c>
      <c r="BB11" s="190">
        <f t="shared" si="19"/>
        <v>11.409273199331633</v>
      </c>
      <c r="BC11" s="190">
        <f t="shared" si="57"/>
        <v>-6.2567548112742344E-2</v>
      </c>
      <c r="BD11" s="247">
        <f t="shared" si="20"/>
        <v>56.272516465312094</v>
      </c>
      <c r="BE11" s="211">
        <v>1186.723</v>
      </c>
      <c r="BF11" s="247">
        <f t="shared" si="58"/>
        <v>39.557433333333329</v>
      </c>
      <c r="BG11" s="211">
        <v>870.005</v>
      </c>
      <c r="BH11" s="211">
        <v>65.415000000000006</v>
      </c>
      <c r="BI11" s="190">
        <f t="shared" si="21"/>
        <v>43.98692871040673</v>
      </c>
      <c r="BJ11" s="190">
        <f t="shared" si="22"/>
        <v>-0.11551434115379777</v>
      </c>
      <c r="BK11" s="211">
        <v>449.04899999999998</v>
      </c>
      <c r="BL11" s="211">
        <v>203.85599999999999</v>
      </c>
      <c r="BM11" s="190">
        <f t="shared" si="23"/>
        <v>11.351823466807335</v>
      </c>
      <c r="BN11" s="190">
        <f t="shared" si="24"/>
        <v>-0.12001728063703965</v>
      </c>
      <c r="BO11" s="247">
        <f t="shared" si="25"/>
        <v>55.338752177214062</v>
      </c>
      <c r="BP11" s="211">
        <v>675.50900000000001</v>
      </c>
      <c r="BQ11" s="247">
        <f t="shared" si="26"/>
        <v>22.516966666666669</v>
      </c>
      <c r="BR11" s="211">
        <v>497.69799999999998</v>
      </c>
      <c r="BS11" s="211">
        <v>23.946000000000002</v>
      </c>
      <c r="BT11" s="190">
        <f t="shared" si="27"/>
        <v>44.206487256276375</v>
      </c>
      <c r="BU11" s="190">
        <f t="shared" si="28"/>
        <v>0.10404420471584785</v>
      </c>
      <c r="BV11" s="211">
        <v>261.26299999999998</v>
      </c>
      <c r="BW11" s="211">
        <v>204.77600000000001</v>
      </c>
      <c r="BX11" s="190">
        <f t="shared" si="29"/>
        <v>11.60293941309442</v>
      </c>
      <c r="BY11" s="190">
        <f t="shared" si="30"/>
        <v>0.13109866565004502</v>
      </c>
      <c r="BZ11" s="194">
        <f t="shared" si="31"/>
        <v>55.809426669370794</v>
      </c>
      <c r="CA11" s="211">
        <v>653.803</v>
      </c>
      <c r="CB11" s="247">
        <f t="shared" si="32"/>
        <v>21.793433333333333</v>
      </c>
      <c r="CC11" s="211">
        <v>472.62</v>
      </c>
      <c r="CD11" s="211">
        <v>65.399000000000001</v>
      </c>
      <c r="CE11" s="190">
        <f t="shared" si="59"/>
        <v>43.372697892178529</v>
      </c>
      <c r="CF11" s="190">
        <f t="shared" si="33"/>
        <v>-0.72974515938199858</v>
      </c>
      <c r="CG11" s="211">
        <v>251.126</v>
      </c>
      <c r="CH11" s="211">
        <v>62.927999999999997</v>
      </c>
      <c r="CI11" s="190">
        <f t="shared" si="34"/>
        <v>11.523012283516595</v>
      </c>
      <c r="CJ11" s="190">
        <f t="shared" si="35"/>
        <v>5.1171536072219581E-2</v>
      </c>
      <c r="CK11" s="194">
        <f t="shared" si="36"/>
        <v>54.895710175695122</v>
      </c>
      <c r="CL11" s="211">
        <v>760.01599999999996</v>
      </c>
      <c r="CM11" s="247">
        <f t="shared" si="60"/>
        <v>25.333866666666665</v>
      </c>
      <c r="CN11" s="211">
        <v>561.91899999999998</v>
      </c>
      <c r="CO11" s="211">
        <v>43.244</v>
      </c>
      <c r="CP11" s="190">
        <f t="shared" si="37"/>
        <v>44.36109239805478</v>
      </c>
      <c r="CQ11" s="190">
        <f t="shared" si="38"/>
        <v>0.25864934649425209</v>
      </c>
      <c r="CR11" s="211">
        <v>290.76</v>
      </c>
      <c r="CS11" s="211">
        <v>57.110999999999997</v>
      </c>
      <c r="CT11" s="190">
        <f t="shared" si="39"/>
        <v>11.477126797330582</v>
      </c>
      <c r="CU11" s="190">
        <f t="shared" si="40"/>
        <v>5.2860498862070671E-3</v>
      </c>
      <c r="CV11" s="247">
        <f t="shared" si="41"/>
        <v>55.838219195385363</v>
      </c>
      <c r="CW11" s="195"/>
      <c r="CX11" s="196">
        <f t="shared" si="42"/>
        <v>0</v>
      </c>
      <c r="CY11" s="196">
        <f t="shared" si="43"/>
        <v>0</v>
      </c>
      <c r="CZ11" s="196">
        <f t="shared" si="44"/>
        <v>0</v>
      </c>
      <c r="DA11" s="196">
        <f t="shared" si="45"/>
        <v>0</v>
      </c>
      <c r="DB11" s="196">
        <f t="shared" si="46"/>
        <v>0</v>
      </c>
      <c r="DC11" s="196">
        <f t="shared" si="47"/>
        <v>0</v>
      </c>
      <c r="DD11" s="163"/>
      <c r="DE11" s="200">
        <v>128.92500000000001</v>
      </c>
      <c r="DF11" s="200">
        <v>71.957999999999998</v>
      </c>
      <c r="DG11" s="206">
        <f>FORECAST(DF11,DG$5:DG10,DF$5:DF10)</f>
        <v>36.067396349719345</v>
      </c>
      <c r="DH11" s="191">
        <f t="shared" si="61"/>
        <v>0.55813845258871431</v>
      </c>
      <c r="DI11" s="197">
        <v>108.22199999999999</v>
      </c>
      <c r="DJ11" s="191">
        <f t="shared" si="48"/>
        <v>0.41970913321698655</v>
      </c>
      <c r="DK11" s="197">
        <v>99.480999999999995</v>
      </c>
      <c r="DL11" s="197">
        <v>98.093999999999994</v>
      </c>
      <c r="DM11" s="191">
        <f t="shared" si="62"/>
        <v>1.3942360852826186E-2</v>
      </c>
      <c r="DN11" s="200">
        <v>91.462000000000003</v>
      </c>
      <c r="DO11" s="206">
        <f>MROUND(FORECAST(DI11,DO$5:DO10,DI$5:DI10),1)+75</f>
        <v>157</v>
      </c>
      <c r="DP11" s="200">
        <v>55.944000000000003</v>
      </c>
      <c r="DQ11" s="206">
        <f t="shared" si="49"/>
        <v>212.94400000000002</v>
      </c>
      <c r="DR11" s="191">
        <f t="shared" si="50"/>
        <v>0.97784758580570086</v>
      </c>
      <c r="DS11" s="199">
        <f t="shared" si="51"/>
        <v>0.91923084030973368</v>
      </c>
      <c r="DT11" s="200">
        <v>135.714</v>
      </c>
      <c r="DU11" s="200">
        <v>61.006999999999998</v>
      </c>
      <c r="DV11" s="200">
        <v>43.406999999999996</v>
      </c>
      <c r="DW11" s="191">
        <f t="shared" si="63"/>
        <v>0.44952620952886213</v>
      </c>
      <c r="DX11" s="197">
        <v>41.95</v>
      </c>
      <c r="DY11" s="191">
        <f t="shared" si="64"/>
        <v>0.15455295695359361</v>
      </c>
      <c r="DZ11" s="197">
        <v>50.853999999999999</v>
      </c>
      <c r="EA11" s="197">
        <v>49.485999999999997</v>
      </c>
      <c r="EB11" s="191">
        <f t="shared" si="52"/>
        <v>2.6900538797341444E-2</v>
      </c>
      <c r="EC11" s="200">
        <v>44.338000000000001</v>
      </c>
      <c r="ED11" s="200"/>
      <c r="EE11" s="200">
        <v>47.771999999999998</v>
      </c>
      <c r="EF11" s="204">
        <f t="shared" si="53"/>
        <v>47.771999999999998</v>
      </c>
      <c r="EG11" s="191">
        <f t="shared" si="54"/>
        <v>0.60407916648245574</v>
      </c>
      <c r="EJ11" s="202">
        <f t="shared" si="3"/>
        <v>11.052297777777776</v>
      </c>
      <c r="EK11" s="202">
        <f>'NOPA Crush'!B436*56/('NOPA Crush'!A436-'NOPA Crush'!A435)</f>
        <v>10.501781761116437</v>
      </c>
      <c r="EL11" s="203">
        <f t="shared" si="65"/>
        <v>1.0524212013907641</v>
      </c>
      <c r="EM11" s="202">
        <f t="shared" si="55"/>
        <v>4.2975000000000003</v>
      </c>
      <c r="EN11" s="202">
        <f t="shared" si="56"/>
        <v>9.0475999999999994E-3</v>
      </c>
      <c r="EO11" s="202">
        <f t="shared" si="66"/>
        <v>15.358845377777778</v>
      </c>
    </row>
    <row r="12" spans="1:145">
      <c r="A12" s="157">
        <v>42339</v>
      </c>
      <c r="B12" s="186">
        <v>5011.3239999999996</v>
      </c>
      <c r="C12" s="187">
        <f t="shared" si="6"/>
        <v>167.04413333333332</v>
      </c>
      <c r="D12" s="247">
        <f>C12-'NOPA Crush'!G437</f>
        <v>9.3331333333333077</v>
      </c>
      <c r="E12" s="188">
        <f>C12/'NOPA Crush'!G437-1</f>
        <v>5.9178708735175833E-2</v>
      </c>
      <c r="F12" s="189">
        <v>3669.2130000000002</v>
      </c>
      <c r="G12" s="189">
        <v>3610.09</v>
      </c>
      <c r="H12" s="189">
        <v>59.122999999999998</v>
      </c>
      <c r="I12" s="189">
        <v>270.42099999999999</v>
      </c>
      <c r="J12" s="190">
        <f t="shared" si="7"/>
        <v>43.931060933198495</v>
      </c>
      <c r="K12" s="190">
        <f t="shared" si="8"/>
        <v>47.071141279230808</v>
      </c>
      <c r="L12" s="190">
        <f>K12-'NOPA Crush'!J437</f>
        <v>-8.8858720769188437E-2</v>
      </c>
      <c r="M12" s="189">
        <v>262.26600000000002</v>
      </c>
      <c r="N12" s="189">
        <v>31.927</v>
      </c>
      <c r="O12" s="189">
        <v>1929.027</v>
      </c>
      <c r="P12" s="189">
        <v>1576.8489999999999</v>
      </c>
      <c r="Q12" s="189">
        <v>778.78899999999999</v>
      </c>
      <c r="R12" s="189">
        <v>304.19200000000001</v>
      </c>
      <c r="S12" s="189">
        <v>493.86799999999999</v>
      </c>
      <c r="T12" s="189">
        <v>395.661</v>
      </c>
      <c r="U12" s="189">
        <f>(P12+T12)-'NOPA Crush'!Q437</f>
        <v>491.42499999999995</v>
      </c>
      <c r="V12" s="191">
        <f>(P12+T12)/'NOPA Crush'!Q437-1</f>
        <v>0.33180067315515305</v>
      </c>
      <c r="W12" s="190">
        <f t="shared" si="9"/>
        <v>11.548008071320075</v>
      </c>
      <c r="X12" s="190">
        <f>W12-'NOPA Crush'!O437</f>
        <v>-8.1991928679926218E-2</v>
      </c>
      <c r="Y12" s="190">
        <f t="shared" si="0"/>
        <v>58.619149350550884</v>
      </c>
      <c r="Z12" s="211">
        <v>1445.9490000000001</v>
      </c>
      <c r="AA12" s="211">
        <v>1401.107</v>
      </c>
      <c r="AB12" s="191">
        <f t="shared" si="10"/>
        <v>3.1012158796748776E-2</v>
      </c>
      <c r="AC12" s="211">
        <v>112.27</v>
      </c>
      <c r="AD12" s="211">
        <v>1337.7049999999999</v>
      </c>
      <c r="AE12" s="211">
        <v>1053.797</v>
      </c>
      <c r="AF12" s="211">
        <v>283.90800000000002</v>
      </c>
      <c r="AG12" s="191">
        <f t="shared" si="1"/>
        <v>-4.525136195879409E-2</v>
      </c>
      <c r="AH12" s="163"/>
      <c r="AI12" s="211">
        <v>587.32500000000005</v>
      </c>
      <c r="AJ12" s="247">
        <f t="shared" si="11"/>
        <v>19.577500000000001</v>
      </c>
      <c r="AK12" s="211">
        <v>423.76499999999999</v>
      </c>
      <c r="AL12" s="211">
        <v>49.628</v>
      </c>
      <c r="AM12" s="190">
        <f t="shared" si="12"/>
        <v>43.291022857872555</v>
      </c>
      <c r="AN12" s="190">
        <f t="shared" si="13"/>
        <v>-0.64003807532593981</v>
      </c>
      <c r="AO12" s="211">
        <v>232.17599999999999</v>
      </c>
      <c r="AP12" s="211">
        <v>91.653000000000006</v>
      </c>
      <c r="AQ12" s="190">
        <f t="shared" si="2"/>
        <v>11.859328310560592</v>
      </c>
      <c r="AR12" s="190">
        <f t="shared" si="14"/>
        <v>0.31132023924051744</v>
      </c>
      <c r="AS12" s="190">
        <f t="shared" si="15"/>
        <v>55.150351168433147</v>
      </c>
      <c r="AT12" s="211">
        <v>1118.4849999999999</v>
      </c>
      <c r="AU12" s="247">
        <f t="shared" si="16"/>
        <v>37.282833333333329</v>
      </c>
      <c r="AV12" s="211">
        <v>827.14200000000005</v>
      </c>
      <c r="AW12" s="211">
        <v>45.944000000000003</v>
      </c>
      <c r="AX12" s="190">
        <f t="shared" si="17"/>
        <v>44.371198540883434</v>
      </c>
      <c r="AY12" s="190">
        <f t="shared" si="18"/>
        <v>0.44013760768493881</v>
      </c>
      <c r="AZ12" s="211">
        <v>427.10599999999999</v>
      </c>
      <c r="BA12" s="211">
        <v>147.84800000000001</v>
      </c>
      <c r="BB12" s="190">
        <f t="shared" si="19"/>
        <v>11.455835348708298</v>
      </c>
      <c r="BC12" s="190">
        <f t="shared" si="57"/>
        <v>-9.2172722611776337E-2</v>
      </c>
      <c r="BD12" s="247">
        <f t="shared" si="20"/>
        <v>55.827033889591732</v>
      </c>
      <c r="BE12" s="211">
        <v>1105.04</v>
      </c>
      <c r="BF12" s="247">
        <f t="shared" si="58"/>
        <v>36.834666666666664</v>
      </c>
      <c r="BG12" s="211">
        <v>816.29899999999998</v>
      </c>
      <c r="BH12" s="211">
        <v>77.278999999999996</v>
      </c>
      <c r="BI12" s="190">
        <f t="shared" si="21"/>
        <v>44.322323173821765</v>
      </c>
      <c r="BJ12" s="190">
        <f t="shared" si="22"/>
        <v>0.39126224062326997</v>
      </c>
      <c r="BK12" s="211">
        <v>425.42200000000003</v>
      </c>
      <c r="BL12" s="211">
        <v>198.28800000000001</v>
      </c>
      <c r="BM12" s="190">
        <f t="shared" si="23"/>
        <v>11.549500470571203</v>
      </c>
      <c r="BN12" s="190">
        <f t="shared" si="24"/>
        <v>1.4923992511288731E-3</v>
      </c>
      <c r="BO12" s="247">
        <f t="shared" si="25"/>
        <v>55.871823644392968</v>
      </c>
      <c r="BP12" s="211">
        <v>709.05200000000002</v>
      </c>
      <c r="BQ12" s="247">
        <f t="shared" si="26"/>
        <v>23.635066666666667</v>
      </c>
      <c r="BR12" s="211">
        <v>516.83799999999997</v>
      </c>
      <c r="BS12" s="211">
        <v>23.431000000000001</v>
      </c>
      <c r="BT12" s="190">
        <f t="shared" si="27"/>
        <v>43.7348459633426</v>
      </c>
      <c r="BU12" s="190">
        <f t="shared" si="28"/>
        <v>-0.19621496985589459</v>
      </c>
      <c r="BV12" s="211">
        <v>275.31400000000002</v>
      </c>
      <c r="BW12" s="211">
        <v>227.072</v>
      </c>
      <c r="BX12" s="190">
        <f t="shared" si="29"/>
        <v>11.648539176252235</v>
      </c>
      <c r="BY12" s="190">
        <f t="shared" si="30"/>
        <v>0.10053110493216089</v>
      </c>
      <c r="BZ12" s="194">
        <f t="shared" si="31"/>
        <v>55.383385139594836</v>
      </c>
      <c r="CA12" s="211">
        <v>665.29700000000003</v>
      </c>
      <c r="CB12" s="247">
        <f t="shared" si="32"/>
        <v>22.176566666666666</v>
      </c>
      <c r="CC12" s="211">
        <v>475.88099999999997</v>
      </c>
      <c r="CD12" s="211">
        <v>35.662999999999997</v>
      </c>
      <c r="CE12" s="190">
        <f t="shared" si="59"/>
        <v>42.917463929643453</v>
      </c>
      <c r="CF12" s="190">
        <f t="shared" si="33"/>
        <v>-1.0135970035550415</v>
      </c>
      <c r="CG12" s="211">
        <v>252.25399999999999</v>
      </c>
      <c r="CH12" s="211">
        <v>64.403000000000006</v>
      </c>
      <c r="CI12" s="190">
        <f t="shared" si="34"/>
        <v>11.374799525625397</v>
      </c>
      <c r="CJ12" s="190">
        <f t="shared" si="35"/>
        <v>-0.1732085456946777</v>
      </c>
      <c r="CK12" s="194">
        <f t="shared" si="36"/>
        <v>54.292263455268852</v>
      </c>
      <c r="CL12" s="211">
        <v>826.125</v>
      </c>
      <c r="CM12" s="247">
        <f t="shared" si="60"/>
        <v>27.537500000000001</v>
      </c>
      <c r="CN12" s="211">
        <v>609.28800000000001</v>
      </c>
      <c r="CO12" s="211">
        <v>38.475999999999999</v>
      </c>
      <c r="CP12" s="190">
        <f t="shared" si="37"/>
        <v>44.25151157512483</v>
      </c>
      <c r="CQ12" s="190">
        <f t="shared" si="38"/>
        <v>0.32045064192633532</v>
      </c>
      <c r="CR12" s="211">
        <v>316.755</v>
      </c>
      <c r="CS12" s="211">
        <v>49.524999999999999</v>
      </c>
      <c r="CT12" s="190">
        <f t="shared" si="39"/>
        <v>11.502678166137086</v>
      </c>
      <c r="CU12" s="190">
        <f t="shared" si="40"/>
        <v>-4.5329905182988739E-2</v>
      </c>
      <c r="CV12" s="247">
        <f t="shared" si="41"/>
        <v>55.754189741261918</v>
      </c>
      <c r="CW12" s="195"/>
      <c r="CX12" s="196">
        <f t="shared" si="42"/>
        <v>0</v>
      </c>
      <c r="CY12" s="196">
        <f t="shared" si="43"/>
        <v>0</v>
      </c>
      <c r="CZ12" s="196">
        <f t="shared" si="44"/>
        <v>0</v>
      </c>
      <c r="DA12" s="196">
        <f t="shared" si="45"/>
        <v>0</v>
      </c>
      <c r="DB12" s="196">
        <f t="shared" si="46"/>
        <v>0</v>
      </c>
      <c r="DC12" s="196">
        <f t="shared" si="47"/>
        <v>0</v>
      </c>
      <c r="DD12" s="163"/>
      <c r="DE12" s="200">
        <v>165.762</v>
      </c>
      <c r="DF12" s="200">
        <v>91.745999999999995</v>
      </c>
      <c r="DG12" s="206">
        <f>FORECAST(DF12,DG$5:DG11,DF$5:DF11)</f>
        <v>37.36345660192741</v>
      </c>
      <c r="DH12" s="191">
        <f t="shared" si="61"/>
        <v>0.55348029101965468</v>
      </c>
      <c r="DI12" s="197">
        <v>135.68899999999999</v>
      </c>
      <c r="DJ12" s="191">
        <f t="shared" si="48"/>
        <v>0.40928861862187954</v>
      </c>
      <c r="DK12" s="197">
        <v>102.98</v>
      </c>
      <c r="DL12" s="197">
        <v>96.54</v>
      </c>
      <c r="DM12" s="191">
        <f t="shared" si="62"/>
        <v>6.2536414837832566E-2</v>
      </c>
      <c r="DN12" s="200">
        <v>98.204999999999998</v>
      </c>
      <c r="DO12" s="206">
        <f>MROUND(FORECAST(DI12,DO$5:DO11,DI$5:DI11),1)+75</f>
        <v>168</v>
      </c>
      <c r="DP12" s="200">
        <v>72.843000000000004</v>
      </c>
      <c r="DQ12" s="206">
        <f t="shared" si="49"/>
        <v>240.84300000000002</v>
      </c>
      <c r="DR12" s="191">
        <f t="shared" si="50"/>
        <v>0.96276890964153417</v>
      </c>
      <c r="DS12" s="199">
        <f t="shared" si="51"/>
        <v>0.75894140276662081</v>
      </c>
      <c r="DT12" s="200">
        <v>149.64400000000001</v>
      </c>
      <c r="DU12" s="200">
        <v>70.040000000000006</v>
      </c>
      <c r="DV12" s="200">
        <v>47.976999999999997</v>
      </c>
      <c r="DW12" s="191">
        <f t="shared" si="63"/>
        <v>0.46804415813530781</v>
      </c>
      <c r="DX12" s="197">
        <v>46.826000000000001</v>
      </c>
      <c r="DY12" s="191">
        <f t="shared" si="64"/>
        <v>0.15645799363823473</v>
      </c>
      <c r="DZ12" s="197">
        <v>54.603000000000002</v>
      </c>
      <c r="EA12" s="197">
        <v>54.02</v>
      </c>
      <c r="EB12" s="191">
        <f t="shared" si="52"/>
        <v>1.0677069025511354E-2</v>
      </c>
      <c r="EC12" s="200">
        <v>44.042000000000002</v>
      </c>
      <c r="ED12" s="200"/>
      <c r="EE12" s="200">
        <v>49.143999999999998</v>
      </c>
      <c r="EF12" s="204">
        <f t="shared" si="53"/>
        <v>49.143999999999998</v>
      </c>
      <c r="EG12" s="191">
        <f t="shared" si="54"/>
        <v>0.62450215177354251</v>
      </c>
      <c r="EJ12" s="202">
        <f t="shared" si="3"/>
        <v>10.777040860215052</v>
      </c>
      <c r="EK12" s="202">
        <f>'NOPA Crush'!B437*56/('NOPA Crush'!A437-'NOPA Crush'!A436)</f>
        <v>10.821503690229543</v>
      </c>
      <c r="EL12" s="203">
        <f t="shared" si="65"/>
        <v>0.99589125215060137</v>
      </c>
      <c r="EM12" s="202">
        <f t="shared" si="55"/>
        <v>5.3471612903225809</v>
      </c>
      <c r="EN12" s="202">
        <f t="shared" si="56"/>
        <v>9.6544516129032261E-3</v>
      </c>
      <c r="EO12" s="202">
        <f t="shared" si="66"/>
        <v>16.133856602150537</v>
      </c>
    </row>
    <row r="13" spans="1:145">
      <c r="A13" s="157">
        <v>42370</v>
      </c>
      <c r="B13" s="186">
        <v>4814.0439999999999</v>
      </c>
      <c r="C13" s="187">
        <f t="shared" si="6"/>
        <v>160.46813333333333</v>
      </c>
      <c r="D13" s="247">
        <f>C13-'NOPA Crush'!G438</f>
        <v>10.015133333333324</v>
      </c>
      <c r="E13" s="188">
        <f>C13/'NOPA Crush'!G438-1</f>
        <v>6.6566524651109127E-2</v>
      </c>
      <c r="F13" s="189">
        <v>3539.7910000000002</v>
      </c>
      <c r="G13" s="189">
        <v>3476.4879999999998</v>
      </c>
      <c r="H13" s="189">
        <v>63.302999999999997</v>
      </c>
      <c r="I13" s="189">
        <v>368.06299999999999</v>
      </c>
      <c r="J13" s="190">
        <f t="shared" si="7"/>
        <v>44.118304693517551</v>
      </c>
      <c r="K13" s="190">
        <f t="shared" si="8"/>
        <v>47.319987104397057</v>
      </c>
      <c r="L13" s="190">
        <f>K13-'NOPA Crush'!J438</f>
        <v>-2.0012895602945946E-2</v>
      </c>
      <c r="M13" s="189">
        <v>256.88400000000001</v>
      </c>
      <c r="N13" s="189">
        <v>42.234999999999999</v>
      </c>
      <c r="O13" s="189">
        <v>1864.8869999999999</v>
      </c>
      <c r="P13" s="189">
        <v>1724.4590000000001</v>
      </c>
      <c r="Q13" s="189">
        <v>890.95</v>
      </c>
      <c r="R13" s="189">
        <v>341.226</v>
      </c>
      <c r="S13" s="189">
        <v>492.28300000000002</v>
      </c>
      <c r="T13" s="189">
        <v>386.33800000000002</v>
      </c>
      <c r="U13" s="189">
        <f>(P13+T13)-'NOPA Crush'!Q438</f>
        <v>529.16100000000006</v>
      </c>
      <c r="V13" s="191">
        <f>(P13+T13)/'NOPA Crush'!Q438-1</f>
        <v>0.33456560169343641</v>
      </c>
      <c r="W13" s="190">
        <f t="shared" si="9"/>
        <v>11.62154105778842</v>
      </c>
      <c r="X13" s="190">
        <f>W13-'NOPA Crush'!O438</f>
        <v>-6.8458942211579554E-2</v>
      </c>
      <c r="Y13" s="190">
        <f t="shared" si="0"/>
        <v>58.941528162185477</v>
      </c>
      <c r="Z13" s="211">
        <v>1277.7819999999999</v>
      </c>
      <c r="AA13" s="211">
        <v>1236.6020000000001</v>
      </c>
      <c r="AB13" s="191">
        <f t="shared" si="10"/>
        <v>3.2227719595361214E-2</v>
      </c>
      <c r="AC13" s="344">
        <f>FORECAST(S13,AC14:AC$87,S14:S$87)</f>
        <v>104.00894179689641</v>
      </c>
      <c r="AD13" s="211">
        <v>1283.248</v>
      </c>
      <c r="AE13" s="211">
        <v>1049.6110000000001</v>
      </c>
      <c r="AF13" s="211">
        <v>233.637</v>
      </c>
      <c r="AG13" s="191">
        <f t="shared" si="1"/>
        <v>3.7721109944832687E-2</v>
      </c>
      <c r="AH13" s="163"/>
      <c r="AI13" s="211">
        <v>514.26099999999997</v>
      </c>
      <c r="AJ13" s="247">
        <f t="shared" si="11"/>
        <v>17.142033333333334</v>
      </c>
      <c r="AK13" s="211">
        <v>366.35500000000002</v>
      </c>
      <c r="AL13" s="211">
        <v>61.418999999999997</v>
      </c>
      <c r="AM13" s="190">
        <f t="shared" si="12"/>
        <v>42.743470727898867</v>
      </c>
      <c r="AN13" s="190">
        <f t="shared" si="13"/>
        <v>-1.3748339656186843</v>
      </c>
      <c r="AO13" s="211">
        <v>201.80099999999999</v>
      </c>
      <c r="AP13" s="211">
        <v>126.79900000000001</v>
      </c>
      <c r="AQ13" s="190">
        <f t="shared" si="2"/>
        <v>11.772290723970901</v>
      </c>
      <c r="AR13" s="190">
        <f t="shared" si="14"/>
        <v>0.15074966618248098</v>
      </c>
      <c r="AS13" s="190">
        <f t="shared" si="15"/>
        <v>54.515761451869764</v>
      </c>
      <c r="AT13" s="211">
        <v>1064.2529999999999</v>
      </c>
      <c r="AU13" s="247">
        <f t="shared" si="16"/>
        <v>35.475099999999998</v>
      </c>
      <c r="AV13" s="211">
        <v>787.21100000000001</v>
      </c>
      <c r="AW13" s="211">
        <v>69.766999999999996</v>
      </c>
      <c r="AX13" s="190">
        <f t="shared" si="17"/>
        <v>44.38104473278441</v>
      </c>
      <c r="AY13" s="190">
        <f t="shared" si="18"/>
        <v>0.26274003926685907</v>
      </c>
      <c r="AZ13" s="211">
        <v>409.62599999999998</v>
      </c>
      <c r="BA13" s="211">
        <v>171.13499999999999</v>
      </c>
      <c r="BB13" s="190">
        <f t="shared" si="19"/>
        <v>11.546859628302668</v>
      </c>
      <c r="BC13" s="190">
        <f t="shared" si="57"/>
        <v>-7.4681429485751849E-2</v>
      </c>
      <c r="BD13" s="247">
        <f t="shared" si="20"/>
        <v>55.92790436108708</v>
      </c>
      <c r="BE13" s="211">
        <v>1119.325</v>
      </c>
      <c r="BF13" s="247">
        <f t="shared" si="58"/>
        <v>37.310833333333335</v>
      </c>
      <c r="BG13" s="211">
        <v>822.62300000000005</v>
      </c>
      <c r="BH13" s="211">
        <v>99.828000000000003</v>
      </c>
      <c r="BI13" s="190">
        <f t="shared" si="21"/>
        <v>44.095664797980923</v>
      </c>
      <c r="BJ13" s="190">
        <f t="shared" si="22"/>
        <v>-2.2639895536627819E-2</v>
      </c>
      <c r="BK13" s="211">
        <v>428.44200000000001</v>
      </c>
      <c r="BL13" s="211">
        <v>226.63399999999999</v>
      </c>
      <c r="BM13" s="190">
        <f t="shared" si="23"/>
        <v>11.483045585509123</v>
      </c>
      <c r="BN13" s="190">
        <f t="shared" si="24"/>
        <v>-0.13849547227929726</v>
      </c>
      <c r="BO13" s="247">
        <f t="shared" si="25"/>
        <v>55.578710383490048</v>
      </c>
      <c r="BP13" s="211">
        <v>654.55499999999995</v>
      </c>
      <c r="BQ13" s="247">
        <f t="shared" si="26"/>
        <v>21.818499999999997</v>
      </c>
      <c r="BR13" s="211">
        <v>488.8</v>
      </c>
      <c r="BS13" s="211">
        <v>46.725999999999999</v>
      </c>
      <c r="BT13" s="190">
        <f t="shared" si="27"/>
        <v>44.806013245640173</v>
      </c>
      <c r="BU13" s="190">
        <f t="shared" si="28"/>
        <v>0.68770855212262205</v>
      </c>
      <c r="BV13" s="211">
        <v>258.81099999999998</v>
      </c>
      <c r="BW13" s="211">
        <v>247.46</v>
      </c>
      <c r="BX13" s="190">
        <f t="shared" si="29"/>
        <v>11.861997845864749</v>
      </c>
      <c r="BY13" s="190">
        <f t="shared" si="30"/>
        <v>0.24045678807632953</v>
      </c>
      <c r="BZ13" s="194">
        <f t="shared" si="31"/>
        <v>56.668011091504923</v>
      </c>
      <c r="CA13" s="211">
        <v>670.75699999999995</v>
      </c>
      <c r="CB13" s="247">
        <f t="shared" si="32"/>
        <v>22.358566666666665</v>
      </c>
      <c r="CC13" s="211">
        <v>487.459</v>
      </c>
      <c r="CD13" s="211">
        <v>39.000999999999998</v>
      </c>
      <c r="CE13" s="190">
        <f t="shared" si="59"/>
        <v>43.603779013860461</v>
      </c>
      <c r="CF13" s="190">
        <f t="shared" si="33"/>
        <v>-0.51452567965709051</v>
      </c>
      <c r="CG13" s="211">
        <v>257.93400000000003</v>
      </c>
      <c r="CH13" s="211">
        <v>60.469000000000001</v>
      </c>
      <c r="CI13" s="190">
        <f t="shared" si="34"/>
        <v>11.536249342161172</v>
      </c>
      <c r="CJ13" s="190">
        <f t="shared" si="35"/>
        <v>-8.529171562724791E-2</v>
      </c>
      <c r="CK13" s="194">
        <f t="shared" si="36"/>
        <v>55.140028356021631</v>
      </c>
      <c r="CL13" s="211">
        <v>790.89300000000003</v>
      </c>
      <c r="CM13" s="247">
        <f t="shared" si="60"/>
        <v>26.363099999999999</v>
      </c>
      <c r="CN13" s="211">
        <v>587.34299999999996</v>
      </c>
      <c r="CO13" s="211">
        <v>51.322000000000003</v>
      </c>
      <c r="CP13" s="190">
        <f t="shared" si="37"/>
        <v>44.557961696462101</v>
      </c>
      <c r="CQ13" s="190">
        <f t="shared" si="38"/>
        <v>0.4396570029445499</v>
      </c>
      <c r="CR13" s="211">
        <v>308.27300000000002</v>
      </c>
      <c r="CS13" s="211">
        <v>58.453000000000003</v>
      </c>
      <c r="CT13" s="190">
        <f t="shared" si="39"/>
        <v>11.693351692327536</v>
      </c>
      <c r="CU13" s="190">
        <f t="shared" si="40"/>
        <v>7.1810634539115625E-2</v>
      </c>
      <c r="CV13" s="247">
        <f t="shared" si="41"/>
        <v>56.25131338878964</v>
      </c>
      <c r="CW13" s="195"/>
      <c r="CX13" s="196">
        <f t="shared" si="42"/>
        <v>0</v>
      </c>
      <c r="CY13" s="196">
        <f t="shared" si="43"/>
        <v>0</v>
      </c>
      <c r="CZ13" s="196">
        <f t="shared" si="44"/>
        <v>0</v>
      </c>
      <c r="DA13" s="196">
        <f t="shared" si="45"/>
        <v>0</v>
      </c>
      <c r="DB13" s="196">
        <f t="shared" si="46"/>
        <v>0</v>
      </c>
      <c r="DC13" s="196">
        <f t="shared" si="47"/>
        <v>0</v>
      </c>
      <c r="DD13" s="163"/>
      <c r="DE13" s="200">
        <v>148.42400000000001</v>
      </c>
      <c r="DF13" s="200">
        <v>82.05</v>
      </c>
      <c r="DG13" s="206">
        <f>FORECAST(DF13,DG$5:DG12,DF$5:DF12)</f>
        <v>36.728394938019512</v>
      </c>
      <c r="DH13" s="191">
        <f t="shared" si="61"/>
        <v>0.55280817118525305</v>
      </c>
      <c r="DI13" s="197">
        <v>126.10899999999999</v>
      </c>
      <c r="DJ13" s="191">
        <f t="shared" si="48"/>
        <v>0.42482684741012233</v>
      </c>
      <c r="DK13" s="197">
        <v>130.85499999999999</v>
      </c>
      <c r="DL13" s="197">
        <v>123.76</v>
      </c>
      <c r="DM13" s="191">
        <f t="shared" si="62"/>
        <v>5.4220320201749939E-2</v>
      </c>
      <c r="DN13" s="200">
        <v>117.27500000000001</v>
      </c>
      <c r="DO13" s="206">
        <f>MROUND(FORECAST(DI13,DO$5:DO12,DI$5:DI12),1)+75</f>
        <v>181</v>
      </c>
      <c r="DP13" s="200">
        <v>78.204999999999998</v>
      </c>
      <c r="DQ13" s="206">
        <f t="shared" si="49"/>
        <v>259.20499999999998</v>
      </c>
      <c r="DR13" s="191">
        <f t="shared" si="50"/>
        <v>0.97763501859537538</v>
      </c>
      <c r="DS13" s="199">
        <f t="shared" si="51"/>
        <v>1.0376341101745314</v>
      </c>
      <c r="DT13" s="200">
        <v>131.63900000000001</v>
      </c>
      <c r="DU13" s="200">
        <v>65.905000000000001</v>
      </c>
      <c r="DV13" s="200">
        <v>43.756</v>
      </c>
      <c r="DW13" s="191">
        <f t="shared" si="63"/>
        <v>0.50064950356657223</v>
      </c>
      <c r="DX13" s="197">
        <v>41.43</v>
      </c>
      <c r="DY13" s="191">
        <f t="shared" si="64"/>
        <v>0.15736217990109314</v>
      </c>
      <c r="DZ13" s="197">
        <v>46.076999999999998</v>
      </c>
      <c r="EA13" s="197">
        <v>45.555</v>
      </c>
      <c r="EB13" s="191">
        <f t="shared" si="52"/>
        <v>1.132886255615595E-2</v>
      </c>
      <c r="EC13" s="200">
        <v>45.27</v>
      </c>
      <c r="ED13" s="200"/>
      <c r="EE13" s="200">
        <v>51.087000000000003</v>
      </c>
      <c r="EF13" s="204">
        <f t="shared" si="53"/>
        <v>51.087000000000003</v>
      </c>
      <c r="EG13" s="191">
        <f t="shared" si="54"/>
        <v>0.65801168346766536</v>
      </c>
      <c r="EJ13" s="202">
        <f t="shared" si="3"/>
        <v>10.352782795698925</v>
      </c>
      <c r="EK13" s="202">
        <f>'NOPA Crush'!B438*56/('NOPA Crush'!A438-'NOPA Crush'!A437)</f>
        <v>10.555308675055729</v>
      </c>
      <c r="EL13" s="203">
        <f t="shared" si="65"/>
        <v>0.98081288898396568</v>
      </c>
      <c r="EM13" s="202">
        <f t="shared" si="55"/>
        <v>4.7878709677419353</v>
      </c>
      <c r="EN13" s="202">
        <f t="shared" si="56"/>
        <v>8.4928387096774201E-3</v>
      </c>
      <c r="EO13" s="202">
        <f t="shared" si="66"/>
        <v>15.149146602150537</v>
      </c>
    </row>
    <row r="14" spans="1:145">
      <c r="A14" s="157">
        <v>42401</v>
      </c>
      <c r="B14" s="186">
        <v>4638.6629999999996</v>
      </c>
      <c r="C14" s="187">
        <f t="shared" si="6"/>
        <v>154.62209999999999</v>
      </c>
      <c r="D14" s="247">
        <f>C14-'NOPA Crush'!G439</f>
        <v>8.4410999999999774</v>
      </c>
      <c r="E14" s="188">
        <f>C14/'NOPA Crush'!G439-1</f>
        <v>5.7744166478543635E-2</v>
      </c>
      <c r="F14" s="189">
        <v>3425.2359999999999</v>
      </c>
      <c r="G14" s="189">
        <v>3366.1590000000001</v>
      </c>
      <c r="H14" s="189">
        <v>59.076999999999998</v>
      </c>
      <c r="I14" s="189">
        <v>330.05700000000002</v>
      </c>
      <c r="J14" s="190">
        <f t="shared" si="7"/>
        <v>44.304611048485306</v>
      </c>
      <c r="K14" s="190">
        <f t="shared" si="8"/>
        <v>47.422897503008947</v>
      </c>
      <c r="L14" s="190">
        <f>K14-'NOPA Crush'!J439</f>
        <v>-0.1071024969910539</v>
      </c>
      <c r="M14" s="189">
        <v>241.078</v>
      </c>
      <c r="N14" s="189">
        <v>32.295000000000002</v>
      </c>
      <c r="O14" s="189">
        <v>1795.866</v>
      </c>
      <c r="P14" s="189">
        <v>1880.21</v>
      </c>
      <c r="Q14" s="189">
        <v>976.8</v>
      </c>
      <c r="R14" s="189">
        <v>371.27300000000002</v>
      </c>
      <c r="S14" s="189">
        <v>532.13699999999994</v>
      </c>
      <c r="T14" s="189">
        <v>399.96699999999998</v>
      </c>
      <c r="U14" s="189">
        <f>(P14+T14)-'NOPA Crush'!Q439</f>
        <v>488.12500000000023</v>
      </c>
      <c r="V14" s="191">
        <f>(P14+T14)/'NOPA Crush'!Q439-1</f>
        <v>0.27238327905663473</v>
      </c>
      <c r="W14" s="190">
        <f t="shared" si="9"/>
        <v>11.614549278531337</v>
      </c>
      <c r="X14" s="190">
        <f>W14-'NOPA Crush'!O439</f>
        <v>-6.545072146866282E-2</v>
      </c>
      <c r="Y14" s="190">
        <f t="shared" si="0"/>
        <v>59.037446781540282</v>
      </c>
      <c r="Z14" s="211">
        <v>1344.3879999999999</v>
      </c>
      <c r="AA14" s="211">
        <v>1306.085</v>
      </c>
      <c r="AB14" s="191">
        <f t="shared" si="10"/>
        <v>2.8491030863113838E-2</v>
      </c>
      <c r="AC14" s="211">
        <v>107.789</v>
      </c>
      <c r="AD14" s="211">
        <v>1336.2840000000001</v>
      </c>
      <c r="AE14" s="211">
        <v>1112.6469999999999</v>
      </c>
      <c r="AF14" s="211">
        <v>223.637</v>
      </c>
      <c r="AG14" s="191">
        <f t="shared" si="1"/>
        <v>2.3121772319565803E-2</v>
      </c>
      <c r="AH14" s="163"/>
      <c r="AI14" s="211">
        <v>546.69500000000005</v>
      </c>
      <c r="AJ14" s="247">
        <f t="shared" si="11"/>
        <v>18.223166666666668</v>
      </c>
      <c r="AK14" s="211">
        <v>398.36900000000003</v>
      </c>
      <c r="AL14" s="211">
        <v>56.703000000000003</v>
      </c>
      <c r="AM14" s="190">
        <f t="shared" si="12"/>
        <v>43.721160793495457</v>
      </c>
      <c r="AN14" s="190">
        <f t="shared" si="13"/>
        <v>-0.58345025498984882</v>
      </c>
      <c r="AO14" s="211">
        <v>212.59399999999999</v>
      </c>
      <c r="AP14" s="211">
        <v>155.453</v>
      </c>
      <c r="AQ14" s="190">
        <f t="shared" si="2"/>
        <v>11.666139254977637</v>
      </c>
      <c r="AR14" s="190">
        <f t="shared" si="14"/>
        <v>5.1589976446299701E-2</v>
      </c>
      <c r="AS14" s="190">
        <f t="shared" si="15"/>
        <v>55.387300048473094</v>
      </c>
      <c r="AT14" s="211">
        <v>1039.47</v>
      </c>
      <c r="AU14" s="247">
        <f t="shared" si="16"/>
        <v>34.649000000000001</v>
      </c>
      <c r="AV14" s="211">
        <v>769.93899999999996</v>
      </c>
      <c r="AW14" s="211">
        <v>65.265000000000001</v>
      </c>
      <c r="AX14" s="190">
        <f t="shared" si="17"/>
        <v>44.442206124274868</v>
      </c>
      <c r="AY14" s="190">
        <f t="shared" si="18"/>
        <v>0.13759507578956232</v>
      </c>
      <c r="AZ14" s="211">
        <v>400.84500000000003</v>
      </c>
      <c r="BA14" s="211">
        <v>177.351</v>
      </c>
      <c r="BB14" s="190">
        <f t="shared" si="19"/>
        <v>11.568732142341771</v>
      </c>
      <c r="BC14" s="190">
        <f t="shared" si="57"/>
        <v>-4.5817136189565844E-2</v>
      </c>
      <c r="BD14" s="247">
        <f t="shared" si="20"/>
        <v>56.010938266616641</v>
      </c>
      <c r="BE14" s="211">
        <v>1073.7270000000001</v>
      </c>
      <c r="BF14" s="247">
        <f t="shared" si="58"/>
        <v>35.790900000000001</v>
      </c>
      <c r="BG14" s="211">
        <v>791.41600000000005</v>
      </c>
      <c r="BH14" s="211">
        <v>84.293000000000006</v>
      </c>
      <c r="BI14" s="190">
        <f t="shared" si="21"/>
        <v>44.22442576185567</v>
      </c>
      <c r="BJ14" s="190">
        <f t="shared" si="22"/>
        <v>-8.0185286629635755E-2</v>
      </c>
      <c r="BK14" s="211">
        <v>412.26400000000001</v>
      </c>
      <c r="BL14" s="211">
        <v>268.00700000000001</v>
      </c>
      <c r="BM14" s="190">
        <f t="shared" si="23"/>
        <v>11.518682123109505</v>
      </c>
      <c r="BN14" s="190">
        <f t="shared" si="24"/>
        <v>-9.5867155421831995E-2</v>
      </c>
      <c r="BO14" s="247">
        <f t="shared" si="25"/>
        <v>55.743107884965177</v>
      </c>
      <c r="BP14" s="211">
        <v>613.96</v>
      </c>
      <c r="BQ14" s="247">
        <f t="shared" si="26"/>
        <v>20.465333333333334</v>
      </c>
      <c r="BR14" s="211">
        <v>456.642</v>
      </c>
      <c r="BS14" s="211">
        <v>33.701000000000001</v>
      </c>
      <c r="BT14" s="190">
        <f t="shared" si="27"/>
        <v>44.62590396768519</v>
      </c>
      <c r="BU14" s="190">
        <f t="shared" si="28"/>
        <v>0.3212929191998839</v>
      </c>
      <c r="BV14" s="211">
        <v>245.85300000000001</v>
      </c>
      <c r="BW14" s="211">
        <v>264.50799999999998</v>
      </c>
      <c r="BX14" s="190">
        <f t="shared" si="29"/>
        <v>12.013144178773862</v>
      </c>
      <c r="BY14" s="190">
        <f t="shared" si="30"/>
        <v>0.39859490024252509</v>
      </c>
      <c r="BZ14" s="194">
        <f t="shared" si="31"/>
        <v>56.639048146459054</v>
      </c>
      <c r="CA14" s="211">
        <v>619.30399999999997</v>
      </c>
      <c r="CB14" s="247">
        <f t="shared" si="32"/>
        <v>20.643466666666665</v>
      </c>
      <c r="CC14" s="211">
        <v>451.37200000000001</v>
      </c>
      <c r="CD14" s="211">
        <v>30.536999999999999</v>
      </c>
      <c r="CE14" s="190">
        <f t="shared" si="59"/>
        <v>43.730252024853712</v>
      </c>
      <c r="CF14" s="190">
        <f t="shared" si="33"/>
        <v>-0.57435902363159386</v>
      </c>
      <c r="CG14" s="211">
        <v>238.07499999999999</v>
      </c>
      <c r="CH14" s="211">
        <v>57.244</v>
      </c>
      <c r="CI14" s="190">
        <f t="shared" si="34"/>
        <v>11.532704455324042</v>
      </c>
      <c r="CJ14" s="190">
        <f t="shared" si="35"/>
        <v>-8.1844823207294581E-2</v>
      </c>
      <c r="CK14" s="194">
        <f t="shared" si="36"/>
        <v>55.262956480177756</v>
      </c>
      <c r="CL14" s="211">
        <v>745.50699999999995</v>
      </c>
      <c r="CM14" s="247">
        <f t="shared" si="60"/>
        <v>24.850233333333332</v>
      </c>
      <c r="CN14" s="211">
        <v>557.49800000000005</v>
      </c>
      <c r="CO14" s="211">
        <v>59.558</v>
      </c>
      <c r="CP14" s="190">
        <f t="shared" si="37"/>
        <v>44.868633024237205</v>
      </c>
      <c r="CQ14" s="190">
        <f t="shared" si="38"/>
        <v>0.56402197575189916</v>
      </c>
      <c r="CR14" s="211">
        <v>286.23500000000001</v>
      </c>
      <c r="CS14" s="211">
        <v>54.237000000000002</v>
      </c>
      <c r="CT14" s="190">
        <f t="shared" si="39"/>
        <v>11.518402912380434</v>
      </c>
      <c r="CU14" s="190">
        <f t="shared" si="40"/>
        <v>-9.6146366150902551E-2</v>
      </c>
      <c r="CV14" s="247">
        <f t="shared" si="41"/>
        <v>56.387035936617636</v>
      </c>
      <c r="CW14" s="195"/>
      <c r="CX14" s="196">
        <f t="shared" si="42"/>
        <v>0</v>
      </c>
      <c r="CY14" s="196">
        <f t="shared" si="43"/>
        <v>0</v>
      </c>
      <c r="CZ14" s="196">
        <f t="shared" si="44"/>
        <v>5.6843418860808015E-14</v>
      </c>
      <c r="DA14" s="196">
        <f t="shared" si="45"/>
        <v>0</v>
      </c>
      <c r="DB14" s="196">
        <f t="shared" si="46"/>
        <v>0</v>
      </c>
      <c r="DC14" s="196">
        <f t="shared" si="47"/>
        <v>0</v>
      </c>
      <c r="DD14" s="163"/>
      <c r="DE14" s="200">
        <v>137.631</v>
      </c>
      <c r="DF14" s="200">
        <v>76.447999999999993</v>
      </c>
      <c r="DG14" s="206">
        <f>FORECAST(DF14,DG$5:DG13,DF$5:DF13)</f>
        <v>36.361479154066132</v>
      </c>
      <c r="DH14" s="191">
        <f t="shared" si="61"/>
        <v>0.55545625622134542</v>
      </c>
      <c r="DI14" s="197">
        <v>114.443</v>
      </c>
      <c r="DJ14" s="191">
        <f t="shared" si="48"/>
        <v>0.41576025750012713</v>
      </c>
      <c r="DK14" s="197">
        <v>117.491</v>
      </c>
      <c r="DL14" s="197">
        <v>116.149</v>
      </c>
      <c r="DM14" s="191">
        <f t="shared" si="62"/>
        <v>1.1422151483943432E-2</v>
      </c>
      <c r="DN14" s="200">
        <v>125.7</v>
      </c>
      <c r="DO14" s="206">
        <f>MROUND(FORECAST(DI14,DO$5:DO13,DI$5:DI13),1)+75</f>
        <v>185</v>
      </c>
      <c r="DP14" s="200">
        <v>80.162000000000006</v>
      </c>
      <c r="DQ14" s="206">
        <f t="shared" si="49"/>
        <v>265.16200000000003</v>
      </c>
      <c r="DR14" s="191">
        <f t="shared" si="50"/>
        <v>0.97121651372147255</v>
      </c>
      <c r="DS14" s="199">
        <f t="shared" si="51"/>
        <v>1.0266333458577632</v>
      </c>
      <c r="DT14" s="200">
        <v>125.631</v>
      </c>
      <c r="DU14" s="200">
        <v>57.607999999999997</v>
      </c>
      <c r="DV14" s="200">
        <v>35.915999999999997</v>
      </c>
      <c r="DW14" s="191">
        <f t="shared" si="63"/>
        <v>0.45854924341921977</v>
      </c>
      <c r="DX14" s="197">
        <v>38.433</v>
      </c>
      <c r="DY14" s="191">
        <f t="shared" si="64"/>
        <v>0.1529598586336175</v>
      </c>
      <c r="DZ14" s="197">
        <v>44.088000000000001</v>
      </c>
      <c r="EA14" s="197">
        <v>43.445</v>
      </c>
      <c r="EB14" s="191">
        <f t="shared" si="52"/>
        <v>1.4584467428778836E-2</v>
      </c>
      <c r="EC14" s="200">
        <v>51.081000000000003</v>
      </c>
      <c r="ED14" s="200"/>
      <c r="EE14" s="200">
        <v>47.302</v>
      </c>
      <c r="EF14" s="204">
        <f t="shared" si="53"/>
        <v>47.302</v>
      </c>
      <c r="EG14" s="191">
        <f t="shared" si="54"/>
        <v>0.61150910205283726</v>
      </c>
      <c r="EJ14" s="202">
        <f t="shared" si="3"/>
        <v>10.663593103448274</v>
      </c>
      <c r="EK14" s="202">
        <f>'NOPA Crush'!B439*56/('NOPA Crush'!A439-'NOPA Crush'!A438)</f>
        <v>10.456479131697737</v>
      </c>
      <c r="EL14" s="203">
        <f t="shared" si="65"/>
        <v>1.0198072380905627</v>
      </c>
      <c r="EM14" s="202">
        <f t="shared" si="55"/>
        <v>4.7458965517241376</v>
      </c>
      <c r="EN14" s="202">
        <f t="shared" si="56"/>
        <v>8.6642068965517242E-3</v>
      </c>
      <c r="EO14" s="202">
        <f t="shared" si="66"/>
        <v>15.418153862068962</v>
      </c>
    </row>
    <row r="15" spans="1:145">
      <c r="A15" s="157">
        <v>42430</v>
      </c>
      <c r="B15" s="186">
        <v>4991.6260000000002</v>
      </c>
      <c r="C15" s="187">
        <f t="shared" si="6"/>
        <v>166.38753333333335</v>
      </c>
      <c r="D15" s="247">
        <f>C15-'NOPA Crush'!G440</f>
        <v>9.6975333333333538</v>
      </c>
      <c r="E15" s="188">
        <f>C15/'NOPA Crush'!G440-1</f>
        <v>6.1889931286829736E-2</v>
      </c>
      <c r="F15" s="189">
        <v>3677.248</v>
      </c>
      <c r="G15" s="189">
        <v>3613.239</v>
      </c>
      <c r="H15" s="189">
        <v>64.009</v>
      </c>
      <c r="I15" s="189">
        <v>302.67200000000003</v>
      </c>
      <c r="J15" s="190">
        <f t="shared" si="7"/>
        <v>44.201003841233295</v>
      </c>
      <c r="K15" s="190">
        <f t="shared" si="8"/>
        <v>47.329819982506699</v>
      </c>
      <c r="L15" s="190">
        <f>K15-'NOPA Crush'!J440</f>
        <v>-7.0180017493299829E-2</v>
      </c>
      <c r="M15" s="189">
        <v>260.298</v>
      </c>
      <c r="N15" s="189">
        <v>35.426000000000002</v>
      </c>
      <c r="O15" s="189">
        <v>1943.537</v>
      </c>
      <c r="P15" s="189">
        <v>1956.5989999999999</v>
      </c>
      <c r="Q15" s="189">
        <v>1013.888</v>
      </c>
      <c r="R15" s="189">
        <v>420.58300000000003</v>
      </c>
      <c r="S15" s="189">
        <v>522.12800000000004</v>
      </c>
      <c r="T15" s="189">
        <v>368.327</v>
      </c>
      <c r="U15" s="189">
        <f>(P15+T15)-'NOPA Crush'!Q440</f>
        <v>466.11199999999985</v>
      </c>
      <c r="V15" s="191">
        <f>(P15+T15)/'NOPA Crush'!Q440-1</f>
        <v>0.25075774122639483</v>
      </c>
      <c r="W15" s="190">
        <f t="shared" si="9"/>
        <v>11.680784978682295</v>
      </c>
      <c r="X15" s="190">
        <f>W15-'NOPA Crush'!O440</f>
        <v>-6.9215021317704739E-2</v>
      </c>
      <c r="Y15" s="190">
        <f t="shared" si="0"/>
        <v>59.010604961188996</v>
      </c>
      <c r="Z15" s="211">
        <v>1438.3789999999999</v>
      </c>
      <c r="AA15" s="211">
        <v>1404.133</v>
      </c>
      <c r="AB15" s="191">
        <f t="shared" si="10"/>
        <v>2.3808745817340122E-2</v>
      </c>
      <c r="AC15" s="211">
        <v>116.869</v>
      </c>
      <c r="AD15" s="211">
        <v>1404.9059999999999</v>
      </c>
      <c r="AE15" s="211">
        <v>1139.4369999999999</v>
      </c>
      <c r="AF15" s="211">
        <v>265.46899999999999</v>
      </c>
      <c r="AG15" s="191">
        <f t="shared" si="1"/>
        <v>5.5051765039348943E-4</v>
      </c>
      <c r="AH15" s="163"/>
      <c r="AI15" s="211">
        <v>607.19399999999996</v>
      </c>
      <c r="AJ15" s="247">
        <f t="shared" si="11"/>
        <v>20.239799999999999</v>
      </c>
      <c r="AK15" s="211">
        <v>436.93200000000002</v>
      </c>
      <c r="AL15" s="211">
        <v>43.67</v>
      </c>
      <c r="AM15" s="190">
        <f t="shared" si="12"/>
        <v>43.175525449856231</v>
      </c>
      <c r="AN15" s="190">
        <f t="shared" si="13"/>
        <v>-1.0254783913770638</v>
      </c>
      <c r="AO15" s="211">
        <v>243.08199999999999</v>
      </c>
      <c r="AP15" s="211">
        <v>201.541</v>
      </c>
      <c r="AQ15" s="190">
        <f t="shared" si="2"/>
        <v>12.01009891402089</v>
      </c>
      <c r="AR15" s="190">
        <f t="shared" si="14"/>
        <v>0.32931393533859499</v>
      </c>
      <c r="AS15" s="190">
        <f t="shared" si="15"/>
        <v>55.185624363877125</v>
      </c>
      <c r="AT15" s="211">
        <v>1115.3340000000001</v>
      </c>
      <c r="AU15" s="247">
        <f t="shared" si="16"/>
        <v>37.177800000000005</v>
      </c>
      <c r="AV15" s="211">
        <v>828.61</v>
      </c>
      <c r="AW15" s="211">
        <v>61.79</v>
      </c>
      <c r="AX15" s="190">
        <f t="shared" si="17"/>
        <v>44.575526254915566</v>
      </c>
      <c r="AY15" s="190">
        <f t="shared" si="18"/>
        <v>0.37452241368227135</v>
      </c>
      <c r="AZ15" s="211">
        <v>429.053</v>
      </c>
      <c r="BA15" s="211">
        <v>183.78700000000001</v>
      </c>
      <c r="BB15" s="190">
        <f t="shared" si="19"/>
        <v>11.540569910000052</v>
      </c>
      <c r="BC15" s="190">
        <f t="shared" si="57"/>
        <v>-0.14021506868224343</v>
      </c>
      <c r="BD15" s="247">
        <f t="shared" si="20"/>
        <v>56.116096164915618</v>
      </c>
      <c r="BE15" s="211">
        <v>1114.5119999999999</v>
      </c>
      <c r="BF15" s="247">
        <f t="shared" si="58"/>
        <v>37.150399999999998</v>
      </c>
      <c r="BG15" s="211">
        <v>818.26900000000001</v>
      </c>
      <c r="BH15" s="211">
        <v>57.726999999999997</v>
      </c>
      <c r="BI15" s="190">
        <f t="shared" si="21"/>
        <v>44.051692579353116</v>
      </c>
      <c r="BJ15" s="190">
        <f t="shared" si="22"/>
        <v>-0.14931126188017885</v>
      </c>
      <c r="BK15" s="211">
        <v>429.94099999999997</v>
      </c>
      <c r="BL15" s="211">
        <v>252.74600000000001</v>
      </c>
      <c r="BM15" s="190">
        <f t="shared" si="23"/>
        <v>11.572984409319954</v>
      </c>
      <c r="BN15" s="190">
        <f t="shared" si="24"/>
        <v>-0.10780056936234139</v>
      </c>
      <c r="BO15" s="247">
        <f t="shared" si="25"/>
        <v>55.624676988673073</v>
      </c>
      <c r="BP15" s="211">
        <v>682.24599999999998</v>
      </c>
      <c r="BQ15" s="247">
        <f t="shared" si="26"/>
        <v>22.741533333333333</v>
      </c>
      <c r="BR15" s="211">
        <v>506.05799999999999</v>
      </c>
      <c r="BS15" s="211">
        <v>25.074000000000002</v>
      </c>
      <c r="BT15" s="190">
        <f t="shared" si="27"/>
        <v>44.505178484007232</v>
      </c>
      <c r="BU15" s="190">
        <f t="shared" si="28"/>
        <v>0.30417464277393691</v>
      </c>
      <c r="BV15" s="211">
        <v>268.005</v>
      </c>
      <c r="BW15" s="211">
        <v>267.24099999999999</v>
      </c>
      <c r="BX15" s="190">
        <f t="shared" si="29"/>
        <v>11.784825414879677</v>
      </c>
      <c r="BY15" s="190">
        <f t="shared" si="30"/>
        <v>0.10404043619738168</v>
      </c>
      <c r="BZ15" s="194">
        <f t="shared" si="31"/>
        <v>56.290003898886908</v>
      </c>
      <c r="CA15" s="211">
        <v>678.26700000000005</v>
      </c>
      <c r="CB15" s="247">
        <f t="shared" si="32"/>
        <v>22.608900000000002</v>
      </c>
      <c r="CC15" s="211">
        <v>498.22899999999998</v>
      </c>
      <c r="CD15" s="211">
        <v>71.019000000000005</v>
      </c>
      <c r="CE15" s="190">
        <f t="shared" si="59"/>
        <v>44.073705487661933</v>
      </c>
      <c r="CF15" s="190">
        <f t="shared" si="33"/>
        <v>-0.1272983535713621</v>
      </c>
      <c r="CG15" s="211">
        <v>260.38099999999997</v>
      </c>
      <c r="CH15" s="211">
        <v>55.52</v>
      </c>
      <c r="CI15" s="190">
        <f t="shared" si="34"/>
        <v>11.516747829394617</v>
      </c>
      <c r="CJ15" s="190">
        <f t="shared" si="35"/>
        <v>-0.16403714928767776</v>
      </c>
      <c r="CK15" s="194">
        <f t="shared" si="36"/>
        <v>55.59045331705655</v>
      </c>
      <c r="CL15" s="211">
        <v>794.07299999999998</v>
      </c>
      <c r="CM15" s="247">
        <f t="shared" si="60"/>
        <v>26.469100000000001</v>
      </c>
      <c r="CN15" s="211">
        <v>589.15</v>
      </c>
      <c r="CO15" s="211">
        <v>43.392000000000003</v>
      </c>
      <c r="CP15" s="190">
        <f t="shared" si="37"/>
        <v>44.516058347280413</v>
      </c>
      <c r="CQ15" s="190">
        <f t="shared" si="38"/>
        <v>0.31505450604711882</v>
      </c>
      <c r="CR15" s="211">
        <v>313.07499999999999</v>
      </c>
      <c r="CS15" s="211">
        <v>53.052999999999997</v>
      </c>
      <c r="CT15" s="190">
        <f t="shared" si="39"/>
        <v>11.827942771004681</v>
      </c>
      <c r="CU15" s="190">
        <f t="shared" si="40"/>
        <v>0.14715779232238546</v>
      </c>
      <c r="CV15" s="247">
        <f t="shared" si="41"/>
        <v>56.344001118285092</v>
      </c>
      <c r="CW15" s="195"/>
      <c r="CX15" s="196">
        <f t="shared" si="42"/>
        <v>0</v>
      </c>
      <c r="CY15" s="196">
        <f t="shared" si="43"/>
        <v>0</v>
      </c>
      <c r="CZ15" s="196">
        <f t="shared" si="44"/>
        <v>0</v>
      </c>
      <c r="DA15" s="196">
        <f t="shared" si="45"/>
        <v>0</v>
      </c>
      <c r="DB15" s="196">
        <f t="shared" si="46"/>
        <v>0</v>
      </c>
      <c r="DC15" s="196">
        <f t="shared" si="47"/>
        <v>0</v>
      </c>
      <c r="DD15" s="163"/>
      <c r="DE15" s="200">
        <v>149.88200000000001</v>
      </c>
      <c r="DF15" s="200">
        <v>84.757999999999996</v>
      </c>
      <c r="DG15" s="206">
        <f>FORECAST(DF15,DG$5:DG14,DF$5:DF14)</f>
        <v>36.905761582601045</v>
      </c>
      <c r="DH15" s="191">
        <f t="shared" si="61"/>
        <v>0.56549819191096995</v>
      </c>
      <c r="DI15" s="197">
        <v>123.498</v>
      </c>
      <c r="DJ15" s="191">
        <f t="shared" si="48"/>
        <v>0.41198409415406789</v>
      </c>
      <c r="DK15" s="197">
        <v>125.623</v>
      </c>
      <c r="DL15" s="197">
        <v>122.72199999999999</v>
      </c>
      <c r="DM15" s="191">
        <f t="shared" si="62"/>
        <v>2.3092904961671157E-2</v>
      </c>
      <c r="DN15" s="200">
        <v>142.65899999999999</v>
      </c>
      <c r="DO15" s="206">
        <f>MROUND(FORECAST(DI15,DO$5:DO14,DI$5:DI14),1)+75</f>
        <v>197</v>
      </c>
      <c r="DP15" s="200">
        <v>79.337000000000003</v>
      </c>
      <c r="DQ15" s="206">
        <f t="shared" si="49"/>
        <v>276.33699999999999</v>
      </c>
      <c r="DR15" s="191">
        <f t="shared" si="50"/>
        <v>0.97748228606503784</v>
      </c>
      <c r="DS15" s="199">
        <f t="shared" si="51"/>
        <v>1.0172067563847187</v>
      </c>
      <c r="DT15" s="200">
        <v>142.679</v>
      </c>
      <c r="DU15" s="200">
        <v>68.727999999999994</v>
      </c>
      <c r="DV15" s="200">
        <v>42.423000000000002</v>
      </c>
      <c r="DW15" s="191">
        <f t="shared" si="63"/>
        <v>0.48169667575466601</v>
      </c>
      <c r="DX15" s="197">
        <v>45.265000000000001</v>
      </c>
      <c r="DY15" s="191">
        <f t="shared" si="64"/>
        <v>0.15862530575627809</v>
      </c>
      <c r="DZ15" s="197">
        <v>53.408999999999999</v>
      </c>
      <c r="EA15" s="197">
        <v>52.771999999999998</v>
      </c>
      <c r="EB15" s="191">
        <f t="shared" si="52"/>
        <v>1.1926828811623547E-2</v>
      </c>
      <c r="EC15" s="200">
        <v>55.817</v>
      </c>
      <c r="ED15" s="200"/>
      <c r="EE15" s="200">
        <v>53.984999999999999</v>
      </c>
      <c r="EF15" s="204">
        <f t="shared" si="53"/>
        <v>53.984999999999999</v>
      </c>
      <c r="EG15" s="191">
        <f t="shared" si="54"/>
        <v>0.6403219815109441</v>
      </c>
      <c r="EJ15" s="202">
        <f t="shared" si="3"/>
        <v>10.734679569892474</v>
      </c>
      <c r="EK15" s="202">
        <f>'NOPA Crush'!B440*56/('NOPA Crush'!A440-'NOPA Crush'!A439)</f>
        <v>11.227012562169181</v>
      </c>
      <c r="EL15" s="203">
        <f t="shared" si="65"/>
        <v>0.956147462243368</v>
      </c>
      <c r="EM15" s="202">
        <f t="shared" si="55"/>
        <v>4.8349032258064515</v>
      </c>
      <c r="EN15" s="202">
        <f t="shared" si="56"/>
        <v>9.205096774193549E-3</v>
      </c>
      <c r="EO15" s="202">
        <f t="shared" si="66"/>
        <v>15.57878789247312</v>
      </c>
    </row>
    <row r="16" spans="1:145">
      <c r="A16" s="157">
        <v>42461</v>
      </c>
      <c r="B16" s="186">
        <v>4745.09</v>
      </c>
      <c r="C16" s="187">
        <f t="shared" si="6"/>
        <v>158.16966666666667</v>
      </c>
      <c r="D16" s="247">
        <f>C16-'NOPA Crush'!G441</f>
        <v>10.555666666666667</v>
      </c>
      <c r="E16" s="188">
        <f>C16/'NOPA Crush'!G441-1</f>
        <v>7.1508574164148797E-2</v>
      </c>
      <c r="F16" s="189">
        <v>3502.9110000000001</v>
      </c>
      <c r="G16" s="189">
        <v>3445.72</v>
      </c>
      <c r="H16" s="189">
        <v>57.191000000000003</v>
      </c>
      <c r="I16" s="189">
        <v>365.65300000000002</v>
      </c>
      <c r="J16" s="190">
        <f t="shared" si="7"/>
        <v>44.293081901502397</v>
      </c>
      <c r="K16" s="190">
        <f t="shared" si="8"/>
        <v>47.37535431361681</v>
      </c>
      <c r="L16" s="190">
        <f>K16-'NOPA Crush'!J441</f>
        <v>-0.12464568638318951</v>
      </c>
      <c r="M16" s="189">
        <v>243.761</v>
      </c>
      <c r="N16" s="189">
        <v>46.616</v>
      </c>
      <c r="O16" s="189">
        <v>1840.2629999999999</v>
      </c>
      <c r="P16" s="189">
        <v>2048.5540000000001</v>
      </c>
      <c r="Q16" s="189">
        <v>1033.6590000000001</v>
      </c>
      <c r="R16" s="189">
        <v>450.93799999999999</v>
      </c>
      <c r="S16" s="189">
        <v>563.95699999999999</v>
      </c>
      <c r="T16" s="189">
        <v>371.464</v>
      </c>
      <c r="U16" s="189">
        <f>(P16+T16)-'NOPA Crush'!Q441</f>
        <v>477.28999999999996</v>
      </c>
      <c r="V16" s="191">
        <f>(P16+T16)/'NOPA Crush'!Q441-1</f>
        <v>0.24568030110236738</v>
      </c>
      <c r="W16" s="190">
        <f t="shared" si="9"/>
        <v>11.634740331584858</v>
      </c>
      <c r="X16" s="190">
        <f>W16-'NOPA Crush'!O441</f>
        <v>-8.5259668415142542E-2</v>
      </c>
      <c r="Y16" s="190">
        <f t="shared" si="0"/>
        <v>59.010094645201669</v>
      </c>
      <c r="Z16" s="211">
        <v>1385.229</v>
      </c>
      <c r="AA16" s="211">
        <v>1352.2349999999999</v>
      </c>
      <c r="AB16" s="191">
        <f t="shared" si="10"/>
        <v>2.3818444459363861E-2</v>
      </c>
      <c r="AC16" s="211">
        <v>89.373999999999995</v>
      </c>
      <c r="AD16" s="211">
        <v>1359.441</v>
      </c>
      <c r="AE16" s="211">
        <v>1100.348</v>
      </c>
      <c r="AF16" s="211">
        <v>259.09300000000002</v>
      </c>
      <c r="AG16" s="191">
        <f t="shared" si="1"/>
        <v>5.3289553960667035E-3</v>
      </c>
      <c r="AH16" s="163"/>
      <c r="AI16" s="211">
        <v>570.995</v>
      </c>
      <c r="AJ16" s="247">
        <f t="shared" si="11"/>
        <v>19.033166666666666</v>
      </c>
      <c r="AK16" s="211">
        <v>411.62799999999999</v>
      </c>
      <c r="AL16" s="211">
        <v>53.514000000000003</v>
      </c>
      <c r="AM16" s="190">
        <f t="shared" si="12"/>
        <v>43.253758789481516</v>
      </c>
      <c r="AN16" s="190">
        <f t="shared" si="13"/>
        <v>-1.039323112020881</v>
      </c>
      <c r="AO16" s="211">
        <v>224.43899999999999</v>
      </c>
      <c r="AP16" s="211">
        <v>208.03299999999999</v>
      </c>
      <c r="AQ16" s="190">
        <f t="shared" si="2"/>
        <v>11.791994675960385</v>
      </c>
      <c r="AR16" s="190">
        <f t="shared" si="14"/>
        <v>0.15725434437552721</v>
      </c>
      <c r="AS16" s="190">
        <f t="shared" si="15"/>
        <v>55.045753465441905</v>
      </c>
      <c r="AT16" s="211">
        <v>998.221</v>
      </c>
      <c r="AU16" s="247">
        <f t="shared" si="16"/>
        <v>33.274033333333335</v>
      </c>
      <c r="AV16" s="211">
        <v>744.24599999999998</v>
      </c>
      <c r="AW16" s="211">
        <v>75.984999999999999</v>
      </c>
      <c r="AX16" s="190">
        <f t="shared" si="17"/>
        <v>44.734342395120919</v>
      </c>
      <c r="AY16" s="190">
        <f t="shared" si="18"/>
        <v>0.44126049361852182</v>
      </c>
      <c r="AZ16" s="211">
        <v>386.07600000000002</v>
      </c>
      <c r="BA16" s="211">
        <v>179.767</v>
      </c>
      <c r="BB16" s="190">
        <f t="shared" si="19"/>
        <v>11.602921597521991</v>
      </c>
      <c r="BC16" s="190">
        <f t="shared" si="57"/>
        <v>-3.1818734062866838E-2</v>
      </c>
      <c r="BD16" s="247">
        <f t="shared" si="20"/>
        <v>56.33726399264291</v>
      </c>
      <c r="BE16" s="211">
        <v>1082.4649999999999</v>
      </c>
      <c r="BF16" s="247">
        <f t="shared" si="58"/>
        <v>36.082166666666666</v>
      </c>
      <c r="BG16" s="211">
        <v>798.84299999999996</v>
      </c>
      <c r="BH16" s="211">
        <v>86.302999999999997</v>
      </c>
      <c r="BI16" s="190">
        <f t="shared" si="21"/>
        <v>44.279103712360211</v>
      </c>
      <c r="BJ16" s="190">
        <f t="shared" si="22"/>
        <v>-1.3978189142186181E-2</v>
      </c>
      <c r="BK16" s="211">
        <v>418.96800000000002</v>
      </c>
      <c r="BL16" s="211">
        <v>274.47300000000001</v>
      </c>
      <c r="BM16" s="190">
        <f t="shared" si="23"/>
        <v>11.611497831338658</v>
      </c>
      <c r="BN16" s="190">
        <f t="shared" si="24"/>
        <v>-2.3242500246199782E-2</v>
      </c>
      <c r="BO16" s="247">
        <f t="shared" si="25"/>
        <v>55.890601543698871</v>
      </c>
      <c r="BP16" s="211">
        <v>631.76700000000005</v>
      </c>
      <c r="BQ16" s="247">
        <f t="shared" si="26"/>
        <v>21.058900000000001</v>
      </c>
      <c r="BR16" s="211">
        <v>466.2</v>
      </c>
      <c r="BS16" s="211">
        <v>42.366</v>
      </c>
      <c r="BT16" s="190">
        <f t="shared" si="27"/>
        <v>44.275816875525308</v>
      </c>
      <c r="BU16" s="190">
        <f t="shared" si="28"/>
        <v>-1.726502597708901E-2</v>
      </c>
      <c r="BV16" s="211">
        <v>247.59899999999999</v>
      </c>
      <c r="BW16" s="211">
        <v>259.541</v>
      </c>
      <c r="BX16" s="190">
        <f t="shared" si="29"/>
        <v>11.75745171875074</v>
      </c>
      <c r="BY16" s="190">
        <f t="shared" si="30"/>
        <v>0.12271138716588226</v>
      </c>
      <c r="BZ16" s="194">
        <f t="shared" si="31"/>
        <v>56.033268594276052</v>
      </c>
      <c r="CA16" s="211">
        <v>660.70799999999997</v>
      </c>
      <c r="CB16" s="247">
        <f t="shared" si="32"/>
        <v>22.023599999999998</v>
      </c>
      <c r="CC16" s="211">
        <v>483.79500000000002</v>
      </c>
      <c r="CD16" s="211">
        <v>58.201000000000001</v>
      </c>
      <c r="CE16" s="190">
        <f t="shared" si="59"/>
        <v>43.934234185146849</v>
      </c>
      <c r="CF16" s="190">
        <f t="shared" si="33"/>
        <v>-0.35884771635554813</v>
      </c>
      <c r="CG16" s="211">
        <v>254.70599999999999</v>
      </c>
      <c r="CH16" s="211">
        <v>52.478000000000002</v>
      </c>
      <c r="CI16" s="190">
        <f t="shared" si="34"/>
        <v>11.565139214297391</v>
      </c>
      <c r="CJ16" s="190">
        <f t="shared" si="35"/>
        <v>-6.9601117287467318E-2</v>
      </c>
      <c r="CK16" s="194">
        <f t="shared" si="36"/>
        <v>55.499373399444238</v>
      </c>
      <c r="CL16" s="211">
        <v>800.93399999999997</v>
      </c>
      <c r="CM16" s="247">
        <f t="shared" si="60"/>
        <v>26.697799999999997</v>
      </c>
      <c r="CN16" s="211">
        <v>598.19899999999996</v>
      </c>
      <c r="CO16" s="211">
        <v>49.283999999999999</v>
      </c>
      <c r="CP16" s="190">
        <f t="shared" si="37"/>
        <v>44.812606282165575</v>
      </c>
      <c r="CQ16" s="190">
        <f t="shared" si="38"/>
        <v>0.51952438066317796</v>
      </c>
      <c r="CR16" s="211">
        <v>308.47500000000002</v>
      </c>
      <c r="CS16" s="211">
        <v>59.366999999999997</v>
      </c>
      <c r="CT16" s="190">
        <f t="shared" si="39"/>
        <v>11.554322828098197</v>
      </c>
      <c r="CU16" s="190">
        <f t="shared" si="40"/>
        <v>-8.0417503486660991E-2</v>
      </c>
      <c r="CV16" s="247">
        <f t="shared" si="41"/>
        <v>56.366929110263769</v>
      </c>
      <c r="CW16" s="195"/>
      <c r="CX16" s="196">
        <f t="shared" si="42"/>
        <v>0</v>
      </c>
      <c r="CY16" s="196">
        <f t="shared" si="43"/>
        <v>0</v>
      </c>
      <c r="CZ16" s="196">
        <f t="shared" si="44"/>
        <v>0</v>
      </c>
      <c r="DA16" s="196">
        <f t="shared" si="45"/>
        <v>0</v>
      </c>
      <c r="DB16" s="196">
        <f t="shared" si="46"/>
        <v>1.4210854715202004E-13</v>
      </c>
      <c r="DC16" s="196">
        <f t="shared" si="47"/>
        <v>0</v>
      </c>
      <c r="DD16" s="163"/>
      <c r="DE16" s="200">
        <v>137.12</v>
      </c>
      <c r="DF16" s="200">
        <v>79.349000000000004</v>
      </c>
      <c r="DG16" s="200">
        <v>53.73</v>
      </c>
      <c r="DH16" s="191">
        <f t="shared" si="61"/>
        <v>0.57868290548424739</v>
      </c>
      <c r="DI16" s="197">
        <v>119.82599999999999</v>
      </c>
      <c r="DJ16" s="191">
        <f t="shared" si="48"/>
        <v>0.43693844807467908</v>
      </c>
      <c r="DK16" s="197">
        <v>119.36</v>
      </c>
      <c r="DL16" s="197">
        <v>115.69499999999999</v>
      </c>
      <c r="DM16" s="191">
        <f t="shared" si="62"/>
        <v>3.070542895442363E-2</v>
      </c>
      <c r="DN16" s="200">
        <v>129.00399999999999</v>
      </c>
      <c r="DO16" s="206">
        <f>MROUND(FORECAST(DI16,DO$5:DO15,DI$5:DI15),1)+75</f>
        <v>202</v>
      </c>
      <c r="DP16" s="200">
        <v>75.587999999999994</v>
      </c>
      <c r="DQ16" s="206">
        <f t="shared" si="49"/>
        <v>277.58799999999997</v>
      </c>
      <c r="DR16" s="191">
        <f t="shared" si="50"/>
        <v>1.0156213535589265</v>
      </c>
      <c r="DS16" s="199">
        <f t="shared" si="51"/>
        <v>0.99611102765676907</v>
      </c>
      <c r="DT16" s="200">
        <v>132.30600000000001</v>
      </c>
      <c r="DU16" s="200">
        <v>61.06</v>
      </c>
      <c r="DV16" s="200">
        <v>46.96</v>
      </c>
      <c r="DW16" s="191">
        <f t="shared" si="63"/>
        <v>0.46150590298248001</v>
      </c>
      <c r="DX16" s="197">
        <v>39.194000000000003</v>
      </c>
      <c r="DY16" s="191">
        <f t="shared" si="64"/>
        <v>0.14811875500733149</v>
      </c>
      <c r="DZ16" s="197">
        <v>42.81</v>
      </c>
      <c r="EA16" s="197">
        <v>42.198999999999998</v>
      </c>
      <c r="EB16" s="191">
        <f t="shared" si="52"/>
        <v>1.4272366269563297E-2</v>
      </c>
      <c r="EC16" s="200">
        <v>55.277999999999999</v>
      </c>
      <c r="ED16" s="200"/>
      <c r="EE16" s="200">
        <v>48.198999999999998</v>
      </c>
      <c r="EF16" s="204">
        <f t="shared" si="53"/>
        <v>48.198999999999998</v>
      </c>
      <c r="EG16" s="191">
        <f t="shared" si="54"/>
        <v>0.60962465798981147</v>
      </c>
      <c r="EJ16" s="202">
        <f t="shared" si="3"/>
        <v>10.544644444444447</v>
      </c>
      <c r="EK16" s="202">
        <f>'NOPA Crush'!B441*56/('NOPA Crush'!A441-'NOPA Crush'!A440)</f>
        <v>10.611491055039027</v>
      </c>
      <c r="EL16" s="203">
        <f t="shared" si="65"/>
        <v>0.99370054498016691</v>
      </c>
      <c r="EM16" s="202">
        <f t="shared" si="55"/>
        <v>4.5706666666666669</v>
      </c>
      <c r="EN16" s="202">
        <f t="shared" si="56"/>
        <v>8.8204000000000008E-3</v>
      </c>
      <c r="EO16" s="202">
        <f t="shared" si="66"/>
        <v>15.124131511111115</v>
      </c>
    </row>
    <row r="17" spans="1:145">
      <c r="A17" s="157">
        <v>42491</v>
      </c>
      <c r="B17" s="186">
        <v>4825.8329999999996</v>
      </c>
      <c r="C17" s="187">
        <f t="shared" si="6"/>
        <v>160.86109999999999</v>
      </c>
      <c r="D17" s="247">
        <f>C17-'NOPA Crush'!G442</f>
        <v>8.5810999999999922</v>
      </c>
      <c r="E17" s="188">
        <f>C17/'NOPA Crush'!G442-1</f>
        <v>5.6350801155765629E-2</v>
      </c>
      <c r="F17" s="189">
        <v>3561.181</v>
      </c>
      <c r="G17" s="189">
        <v>3503.877</v>
      </c>
      <c r="H17" s="189">
        <v>57.304000000000002</v>
      </c>
      <c r="I17" s="189">
        <v>343.411</v>
      </c>
      <c r="J17" s="190">
        <f t="shared" si="7"/>
        <v>44.276472061921744</v>
      </c>
      <c r="K17" s="190">
        <f t="shared" si="8"/>
        <v>47.339462430631151</v>
      </c>
      <c r="L17" s="190">
        <f>K17-'NOPA Crush'!J442</f>
        <v>-0.15053756936885065</v>
      </c>
      <c r="M17" s="189">
        <v>246.358</v>
      </c>
      <c r="N17" s="189">
        <v>46.011000000000003</v>
      </c>
      <c r="O17" s="189">
        <v>1876.184</v>
      </c>
      <c r="P17" s="189">
        <v>2063.2399999999998</v>
      </c>
      <c r="Q17" s="189">
        <v>1001.7</v>
      </c>
      <c r="R17" s="189">
        <v>451.654</v>
      </c>
      <c r="S17" s="189">
        <v>609.88599999999997</v>
      </c>
      <c r="T17" s="189">
        <v>402.89800000000002</v>
      </c>
      <c r="U17" s="189">
        <f>(P17+T17)-'NOPA Crush'!Q442</f>
        <v>472.57499999999982</v>
      </c>
      <c r="V17" s="191">
        <f>(P17+T17)/'NOPA Crush'!Q442-1</f>
        <v>0.23705044686322929</v>
      </c>
      <c r="W17" s="190">
        <f t="shared" si="9"/>
        <v>11.663379151329936</v>
      </c>
      <c r="X17" s="190">
        <f>W17-'NOPA Crush'!O442</f>
        <v>-6.6620848670064348E-2</v>
      </c>
      <c r="Y17" s="190">
        <f t="shared" si="0"/>
        <v>59.002841581961086</v>
      </c>
      <c r="Z17" s="211">
        <v>1474.278</v>
      </c>
      <c r="AA17" s="211">
        <v>1439.174</v>
      </c>
      <c r="AB17" s="191">
        <f t="shared" si="10"/>
        <v>2.3810977305501434E-2</v>
      </c>
      <c r="AC17" s="211">
        <v>123.277</v>
      </c>
      <c r="AD17" s="211">
        <v>1418.2929999999999</v>
      </c>
      <c r="AE17" s="211">
        <v>1091.3620000000001</v>
      </c>
      <c r="AF17" s="211">
        <v>326.93099999999998</v>
      </c>
      <c r="AG17" s="191">
        <f t="shared" si="1"/>
        <v>-1.4509016977794276E-2</v>
      </c>
      <c r="AH17" s="163"/>
      <c r="AI17" s="211">
        <v>597.27099999999996</v>
      </c>
      <c r="AJ17" s="247">
        <f t="shared" si="11"/>
        <v>19.909033333333333</v>
      </c>
      <c r="AK17" s="211">
        <v>435.50799999999998</v>
      </c>
      <c r="AL17" s="211">
        <v>57.256999999999998</v>
      </c>
      <c r="AM17" s="190">
        <f t="shared" si="12"/>
        <v>43.749788621915343</v>
      </c>
      <c r="AN17" s="190">
        <f t="shared" si="13"/>
        <v>-0.52668344000640133</v>
      </c>
      <c r="AO17" s="211">
        <v>236.50299999999999</v>
      </c>
      <c r="AP17" s="211">
        <v>195.93600000000001</v>
      </c>
      <c r="AQ17" s="190">
        <f t="shared" si="2"/>
        <v>11.879180472515825</v>
      </c>
      <c r="AR17" s="190">
        <f t="shared" si="14"/>
        <v>0.21580132118588935</v>
      </c>
      <c r="AS17" s="190">
        <f t="shared" si="15"/>
        <v>55.62896909443117</v>
      </c>
      <c r="AT17" s="211">
        <v>1028.376</v>
      </c>
      <c r="AU17" s="247">
        <f t="shared" si="16"/>
        <v>34.279199999999996</v>
      </c>
      <c r="AV17" s="211">
        <v>765.10500000000002</v>
      </c>
      <c r="AW17" s="211">
        <v>86.596999999999994</v>
      </c>
      <c r="AX17" s="190">
        <f t="shared" si="17"/>
        <v>44.639606525239799</v>
      </c>
      <c r="AY17" s="190">
        <f t="shared" si="18"/>
        <v>0.36313446331805466</v>
      </c>
      <c r="AZ17" s="211">
        <v>397.548</v>
      </c>
      <c r="BA17" s="211">
        <v>168.87299999999999</v>
      </c>
      <c r="BB17" s="190">
        <f t="shared" si="19"/>
        <v>11.597353497164463</v>
      </c>
      <c r="BC17" s="190">
        <f t="shared" si="57"/>
        <v>-6.6025654165473568E-2</v>
      </c>
      <c r="BD17" s="247">
        <f t="shared" si="20"/>
        <v>56.236960022404261</v>
      </c>
      <c r="BE17" s="211">
        <v>1098.826</v>
      </c>
      <c r="BF17" s="247">
        <f t="shared" si="58"/>
        <v>36.627533333333332</v>
      </c>
      <c r="BG17" s="211">
        <v>809.399</v>
      </c>
      <c r="BH17" s="211">
        <v>65.641000000000005</v>
      </c>
      <c r="BI17" s="190">
        <f t="shared" si="21"/>
        <v>44.196205768702235</v>
      </c>
      <c r="BJ17" s="190">
        <f t="shared" si="22"/>
        <v>-8.0266293219509066E-2</v>
      </c>
      <c r="BK17" s="211">
        <v>426.24700000000001</v>
      </c>
      <c r="BL17" s="211">
        <v>287.14499999999998</v>
      </c>
      <c r="BM17" s="190">
        <f t="shared" si="23"/>
        <v>11.637338395705964</v>
      </c>
      <c r="BN17" s="190">
        <f t="shared" si="24"/>
        <v>-2.6040755623972345E-2</v>
      </c>
      <c r="BO17" s="247">
        <f t="shared" si="25"/>
        <v>55.833544164408195</v>
      </c>
      <c r="BP17" s="211">
        <v>648.69600000000003</v>
      </c>
      <c r="BQ17" s="247">
        <f t="shared" si="26"/>
        <v>21.623200000000001</v>
      </c>
      <c r="BR17" s="211">
        <v>476.75400000000002</v>
      </c>
      <c r="BS17" s="211">
        <v>44.241</v>
      </c>
      <c r="BT17" s="190">
        <f t="shared" si="27"/>
        <v>44.096525953605386</v>
      </c>
      <c r="BU17" s="190">
        <f t="shared" si="28"/>
        <v>-0.17994610831635782</v>
      </c>
      <c r="BV17" s="211">
        <v>253.268</v>
      </c>
      <c r="BW17" s="211">
        <v>247.44300000000001</v>
      </c>
      <c r="BX17" s="190">
        <f t="shared" si="29"/>
        <v>11.712789966332457</v>
      </c>
      <c r="BY17" s="190">
        <f t="shared" si="30"/>
        <v>4.9410815002520536E-2</v>
      </c>
      <c r="BZ17" s="194">
        <f t="shared" si="31"/>
        <v>55.809315919937845</v>
      </c>
      <c r="CA17" s="211">
        <v>649.71199999999999</v>
      </c>
      <c r="CB17" s="247">
        <f t="shared" si="32"/>
        <v>21.657066666666665</v>
      </c>
      <c r="CC17" s="211">
        <v>473.892</v>
      </c>
      <c r="CD17" s="211">
        <v>41.856999999999999</v>
      </c>
      <c r="CE17" s="190">
        <f t="shared" si="59"/>
        <v>43.763267416947819</v>
      </c>
      <c r="CF17" s="190">
        <f t="shared" si="33"/>
        <v>-0.51320464497392493</v>
      </c>
      <c r="CG17" s="211">
        <v>250.78</v>
      </c>
      <c r="CH17" s="211">
        <v>54.030999999999999</v>
      </c>
      <c r="CI17" s="190">
        <f t="shared" si="34"/>
        <v>11.579592188538923</v>
      </c>
      <c r="CJ17" s="190">
        <f t="shared" si="35"/>
        <v>-8.3786962791013053E-2</v>
      </c>
      <c r="CK17" s="194">
        <f t="shared" si="36"/>
        <v>55.342859605486744</v>
      </c>
      <c r="CL17" s="211">
        <v>802.952</v>
      </c>
      <c r="CM17" s="247">
        <f t="shared" si="60"/>
        <v>26.765066666666666</v>
      </c>
      <c r="CN17" s="211">
        <v>600.52300000000002</v>
      </c>
      <c r="CO17" s="211">
        <v>47.817999999999998</v>
      </c>
      <c r="CP17" s="190">
        <f t="shared" si="37"/>
        <v>44.873641263736815</v>
      </c>
      <c r="CQ17" s="190">
        <f t="shared" si="38"/>
        <v>0.59716920181507049</v>
      </c>
      <c r="CR17" s="211">
        <v>311.83800000000002</v>
      </c>
      <c r="CS17" s="211">
        <v>48.271999999999998</v>
      </c>
      <c r="CT17" s="190">
        <f t="shared" si="39"/>
        <v>11.650933057019598</v>
      </c>
      <c r="CU17" s="190">
        <f t="shared" si="40"/>
        <v>-1.2446094310337941E-2</v>
      </c>
      <c r="CV17" s="247">
        <f t="shared" si="41"/>
        <v>56.524574320756415</v>
      </c>
      <c r="CW17" s="195"/>
      <c r="CX17" s="196">
        <f t="shared" si="42"/>
        <v>0</v>
      </c>
      <c r="CY17" s="196">
        <f t="shared" si="43"/>
        <v>0</v>
      </c>
      <c r="CZ17" s="196">
        <f t="shared" si="44"/>
        <v>0</v>
      </c>
      <c r="DA17" s="196">
        <f t="shared" si="45"/>
        <v>0</v>
      </c>
      <c r="DB17" s="196">
        <f t="shared" si="46"/>
        <v>8.5265128291212022E-14</v>
      </c>
      <c r="DC17" s="196">
        <f t="shared" si="47"/>
        <v>0</v>
      </c>
      <c r="DD17" s="163"/>
      <c r="DE17" s="200">
        <v>131.68799999999999</v>
      </c>
      <c r="DF17" s="200">
        <v>76.308000000000007</v>
      </c>
      <c r="DG17" s="200">
        <v>53.784999999999997</v>
      </c>
      <c r="DH17" s="191">
        <f t="shared" si="61"/>
        <v>0.57946054310187722</v>
      </c>
      <c r="DI17" s="197">
        <v>112.422</v>
      </c>
      <c r="DJ17" s="191">
        <f t="shared" si="48"/>
        <v>0.42684982686349554</v>
      </c>
      <c r="DK17" s="197">
        <v>140.46100000000001</v>
      </c>
      <c r="DL17" s="197">
        <v>136.50200000000001</v>
      </c>
      <c r="DM17" s="191">
        <f t="shared" si="62"/>
        <v>2.8185759748257544E-2</v>
      </c>
      <c r="DN17" s="200">
        <v>148.30099999999999</v>
      </c>
      <c r="DO17" s="206">
        <f>MROUND(FORECAST(DI17,DO$5:DO16,DI$5:DI16),1)+75</f>
        <v>204</v>
      </c>
      <c r="DP17" s="200">
        <v>66.343000000000004</v>
      </c>
      <c r="DQ17" s="206">
        <f t="shared" si="49"/>
        <v>270.34300000000002</v>
      </c>
      <c r="DR17" s="191">
        <f t="shared" si="50"/>
        <v>1.0063103699653728</v>
      </c>
      <c r="DS17" s="199">
        <f t="shared" si="51"/>
        <v>1.2494084787675013</v>
      </c>
      <c r="DT17" s="200">
        <v>126.89100000000001</v>
      </c>
      <c r="DU17" s="200">
        <v>57.448</v>
      </c>
      <c r="DV17" s="200">
        <v>53.735999999999997</v>
      </c>
      <c r="DW17" s="191">
        <f t="shared" si="63"/>
        <v>0.45273502454862835</v>
      </c>
      <c r="DX17" s="197">
        <v>38.433999999999997</v>
      </c>
      <c r="DY17" s="191">
        <f t="shared" si="64"/>
        <v>0.15144494093355712</v>
      </c>
      <c r="DZ17" s="197">
        <v>44.374000000000002</v>
      </c>
      <c r="EA17" s="197">
        <v>43.917000000000002</v>
      </c>
      <c r="EB17" s="191">
        <f t="shared" si="52"/>
        <v>1.0298823635462195E-2</v>
      </c>
      <c r="EC17" s="200">
        <v>44.018000000000001</v>
      </c>
      <c r="ED17" s="200"/>
      <c r="EE17" s="200">
        <v>54.869</v>
      </c>
      <c r="EF17" s="204">
        <f t="shared" si="53"/>
        <v>54.869</v>
      </c>
      <c r="EG17" s="191">
        <f t="shared" si="54"/>
        <v>0.60417996548218544</v>
      </c>
      <c r="EJ17" s="202">
        <f t="shared" si="3"/>
        <v>10.378135483870967</v>
      </c>
      <c r="EK17" s="202">
        <f>'NOPA Crush'!B442*56/('NOPA Crush'!A442-'NOPA Crush'!A441)</f>
        <v>10.789074041220465</v>
      </c>
      <c r="EL17" s="203">
        <f t="shared" si="65"/>
        <v>0.96191160096042749</v>
      </c>
      <c r="EM17" s="202">
        <f t="shared" si="55"/>
        <v>4.2479999999999993</v>
      </c>
      <c r="EN17" s="202">
        <f t="shared" si="56"/>
        <v>8.1865161290322584E-3</v>
      </c>
      <c r="EO17" s="202">
        <f t="shared" si="66"/>
        <v>14.634321999999999</v>
      </c>
    </row>
    <row r="18" spans="1:145">
      <c r="A18" s="157">
        <v>42522</v>
      </c>
      <c r="B18" s="186">
        <v>4623.7520000000004</v>
      </c>
      <c r="C18" s="187">
        <f t="shared" si="6"/>
        <v>154.12506666666667</v>
      </c>
      <c r="D18" s="247">
        <f>C18-'NOPA Crush'!G443</f>
        <v>9.0750666666666575</v>
      </c>
      <c r="E18" s="188">
        <f>C18/'NOPA Crush'!G443-1</f>
        <v>6.2565092496840169E-2</v>
      </c>
      <c r="F18" s="189">
        <v>3411.0990000000002</v>
      </c>
      <c r="G18" s="189">
        <v>3355.5189999999998</v>
      </c>
      <c r="H18" s="189">
        <v>55.58</v>
      </c>
      <c r="I18" s="189">
        <v>281.03800000000001</v>
      </c>
      <c r="J18" s="190">
        <f t="shared" si="7"/>
        <v>44.264039247779728</v>
      </c>
      <c r="K18" s="190">
        <f t="shared" si="8"/>
        <v>47.317325842735507</v>
      </c>
      <c r="L18" s="190">
        <f>K18-'NOPA Crush'!J443</f>
        <v>-7.2674157264493999E-2</v>
      </c>
      <c r="M18" s="189">
        <v>235.29400000000001</v>
      </c>
      <c r="N18" s="189">
        <v>30.119</v>
      </c>
      <c r="O18" s="189">
        <v>1787.2339999999999</v>
      </c>
      <c r="P18" s="189">
        <v>2042.7380000000001</v>
      </c>
      <c r="Q18" s="189">
        <v>941.37300000000005</v>
      </c>
      <c r="R18" s="189">
        <v>425.779</v>
      </c>
      <c r="S18" s="189">
        <v>675.58600000000001</v>
      </c>
      <c r="T18" s="189">
        <v>381.39600000000002</v>
      </c>
      <c r="U18" s="189">
        <f>(P18+T18)-'NOPA Crush'!Q443</f>
        <v>439.1579999999999</v>
      </c>
      <c r="V18" s="191">
        <f>(P18+T18)/'NOPA Crush'!Q443-1</f>
        <v>0.22124096210735034</v>
      </c>
      <c r="W18" s="190">
        <f t="shared" si="9"/>
        <v>11.595998228278679</v>
      </c>
      <c r="X18" s="190">
        <f>W18-'NOPA Crush'!O443</f>
        <v>-6.4001771721320821E-2</v>
      </c>
      <c r="Y18" s="190">
        <f t="shared" si="0"/>
        <v>58.913324071014188</v>
      </c>
      <c r="Z18" s="211">
        <v>1407.2819999999999</v>
      </c>
      <c r="AA18" s="211">
        <v>1373.8979999999999</v>
      </c>
      <c r="AB18" s="191">
        <f t="shared" si="10"/>
        <v>2.3722324310266184E-2</v>
      </c>
      <c r="AC18" s="211">
        <v>130.024</v>
      </c>
      <c r="AD18" s="211">
        <v>1383.7570000000001</v>
      </c>
      <c r="AE18" s="211">
        <v>1060.22</v>
      </c>
      <c r="AF18" s="211">
        <v>323.53699999999998</v>
      </c>
      <c r="AG18" s="191">
        <f t="shared" si="1"/>
        <v>7.1759330023044576E-3</v>
      </c>
      <c r="AH18" s="163"/>
      <c r="AI18" s="211">
        <v>526.30399999999997</v>
      </c>
      <c r="AJ18" s="247">
        <f t="shared" si="11"/>
        <v>17.543466666666667</v>
      </c>
      <c r="AK18" s="211">
        <v>377.88499999999999</v>
      </c>
      <c r="AL18" s="211">
        <v>33.058</v>
      </c>
      <c r="AM18" s="190">
        <f t="shared" si="12"/>
        <v>43.079854988751748</v>
      </c>
      <c r="AN18" s="190">
        <f t="shared" si="13"/>
        <v>-1.1841842590279796</v>
      </c>
      <c r="AO18" s="211">
        <v>205.48</v>
      </c>
      <c r="AP18" s="211">
        <v>170.858</v>
      </c>
      <c r="AQ18" s="190">
        <f t="shared" si="2"/>
        <v>11.712622362740925</v>
      </c>
      <c r="AR18" s="190">
        <f t="shared" si="14"/>
        <v>0.11662413446224562</v>
      </c>
      <c r="AS18" s="190">
        <f t="shared" si="15"/>
        <v>54.792477351492671</v>
      </c>
      <c r="AT18" s="211">
        <v>972.01</v>
      </c>
      <c r="AU18" s="247">
        <f t="shared" si="16"/>
        <v>32.400333333333336</v>
      </c>
      <c r="AV18" s="211">
        <v>718.66700000000003</v>
      </c>
      <c r="AW18" s="211">
        <v>84.343999999999994</v>
      </c>
      <c r="AX18" s="190">
        <f t="shared" si="17"/>
        <v>44.361704097694464</v>
      </c>
      <c r="AY18" s="190">
        <f t="shared" si="18"/>
        <v>9.7664849914735896E-2</v>
      </c>
      <c r="AZ18" s="211">
        <v>370.61799999999999</v>
      </c>
      <c r="BA18" s="211">
        <v>183.05099999999999</v>
      </c>
      <c r="BB18" s="190">
        <f t="shared" si="19"/>
        <v>11.438709478297547</v>
      </c>
      <c r="BC18" s="190">
        <f t="shared" si="57"/>
        <v>-0.15728874998113263</v>
      </c>
      <c r="BD18" s="247">
        <f t="shared" si="20"/>
        <v>55.80041357599201</v>
      </c>
      <c r="BE18" s="211">
        <v>1077.5840000000001</v>
      </c>
      <c r="BF18" s="247">
        <f t="shared" si="58"/>
        <v>35.919466666666672</v>
      </c>
      <c r="BG18" s="211">
        <v>801.86500000000001</v>
      </c>
      <c r="BH18" s="211">
        <v>81.715999999999994</v>
      </c>
      <c r="BI18" s="190">
        <f t="shared" si="21"/>
        <v>44.647934638970135</v>
      </c>
      <c r="BJ18" s="190">
        <f t="shared" si="22"/>
        <v>0.38389539119040705</v>
      </c>
      <c r="BK18" s="211">
        <v>419.149</v>
      </c>
      <c r="BL18" s="211">
        <v>298.73099999999999</v>
      </c>
      <c r="BM18" s="190">
        <f t="shared" si="23"/>
        <v>11.669132058382454</v>
      </c>
      <c r="BN18" s="190">
        <f t="shared" si="24"/>
        <v>7.31338301037745E-2</v>
      </c>
      <c r="BO18" s="247">
        <f t="shared" si="25"/>
        <v>56.317066697352587</v>
      </c>
      <c r="BP18" s="211">
        <v>625.97799999999995</v>
      </c>
      <c r="BQ18" s="247">
        <f t="shared" si="26"/>
        <v>20.865933333333331</v>
      </c>
      <c r="BR18" s="211">
        <v>464.39100000000002</v>
      </c>
      <c r="BS18" s="211">
        <v>26.266999999999999</v>
      </c>
      <c r="BT18" s="190">
        <f t="shared" si="27"/>
        <v>44.51188380422316</v>
      </c>
      <c r="BU18" s="190">
        <f t="shared" si="28"/>
        <v>0.2478445564434324</v>
      </c>
      <c r="BV18" s="211">
        <v>245.23599999999999</v>
      </c>
      <c r="BW18" s="211">
        <v>196.292</v>
      </c>
      <c r="BX18" s="190">
        <f t="shared" si="29"/>
        <v>11.752937004175866</v>
      </c>
      <c r="BY18" s="190">
        <f t="shared" si="30"/>
        <v>0.15693877589718674</v>
      </c>
      <c r="BZ18" s="194">
        <f t="shared" si="31"/>
        <v>56.264820808399023</v>
      </c>
      <c r="CA18" s="211">
        <v>656.65</v>
      </c>
      <c r="CB18" s="247">
        <f t="shared" si="32"/>
        <v>21.888333333333332</v>
      </c>
      <c r="CC18" s="211">
        <v>481.28300000000002</v>
      </c>
      <c r="CD18" s="211">
        <v>32.573999999999998</v>
      </c>
      <c r="CE18" s="190">
        <f t="shared" si="59"/>
        <v>43.976212594228286</v>
      </c>
      <c r="CF18" s="190">
        <f t="shared" si="33"/>
        <v>-0.28782665355144132</v>
      </c>
      <c r="CG18" s="211">
        <v>251.559</v>
      </c>
      <c r="CH18" s="211">
        <v>55.372999999999998</v>
      </c>
      <c r="CI18" s="190">
        <f t="shared" si="34"/>
        <v>11.492834843523948</v>
      </c>
      <c r="CJ18" s="190">
        <f t="shared" si="35"/>
        <v>-0.10316338475473152</v>
      </c>
      <c r="CK18" s="194">
        <f t="shared" si="36"/>
        <v>55.469047437752238</v>
      </c>
      <c r="CL18" s="211">
        <v>765.226</v>
      </c>
      <c r="CM18" s="247">
        <f t="shared" si="60"/>
        <v>25.507533333333335</v>
      </c>
      <c r="CN18" s="211">
        <v>567.00800000000004</v>
      </c>
      <c r="CO18" s="211">
        <v>23.079000000000001</v>
      </c>
      <c r="CP18" s="190">
        <f t="shared" si="37"/>
        <v>44.458081664763093</v>
      </c>
      <c r="CQ18" s="190">
        <f t="shared" si="38"/>
        <v>0.19404241698336477</v>
      </c>
      <c r="CR18" s="211">
        <v>295.19200000000001</v>
      </c>
      <c r="CS18" s="211">
        <v>37.067999999999998</v>
      </c>
      <c r="CT18" s="190">
        <f t="shared" si="39"/>
        <v>11.572737988515811</v>
      </c>
      <c r="CU18" s="190">
        <f t="shared" si="40"/>
        <v>-2.326023976286784E-2</v>
      </c>
      <c r="CV18" s="247">
        <f t="shared" si="41"/>
        <v>56.030819653278904</v>
      </c>
      <c r="CW18" s="195"/>
      <c r="CX18" s="196">
        <f t="shared" si="42"/>
        <v>0</v>
      </c>
      <c r="CY18" s="196">
        <f t="shared" si="43"/>
        <v>0</v>
      </c>
      <c r="CZ18" s="196">
        <f t="shared" si="44"/>
        <v>3.5527136788005009E-14</v>
      </c>
      <c r="DA18" s="196">
        <f t="shared" si="45"/>
        <v>0</v>
      </c>
      <c r="DB18" s="196">
        <f t="shared" si="46"/>
        <v>1.7763568394002505E-13</v>
      </c>
      <c r="DC18" s="196">
        <f t="shared" si="47"/>
        <v>0</v>
      </c>
      <c r="DD18" s="163"/>
      <c r="DE18" s="200">
        <v>202.41499999999999</v>
      </c>
      <c r="DF18" s="200">
        <v>116.628</v>
      </c>
      <c r="DG18" s="206">
        <f>FORECAST(DF18,DG$5:DG17,DF$5:DF17)</f>
        <v>41.182431773461609</v>
      </c>
      <c r="DH18" s="191">
        <f t="shared" si="61"/>
        <v>0.57618259516340198</v>
      </c>
      <c r="DI18" s="197">
        <v>174.761</v>
      </c>
      <c r="DJ18" s="191">
        <f t="shared" si="48"/>
        <v>0.43168984512017389</v>
      </c>
      <c r="DK18" s="197">
        <v>164.125</v>
      </c>
      <c r="DL18" s="197">
        <v>159.596</v>
      </c>
      <c r="DM18" s="191">
        <f t="shared" si="62"/>
        <v>2.7594821020563542E-2</v>
      </c>
      <c r="DN18" s="200">
        <v>168.648</v>
      </c>
      <c r="DO18" s="206">
        <f>MROUND(FORECAST(DI18,DO$5:DO17,DI$5:DI17),1)+75</f>
        <v>241</v>
      </c>
      <c r="DP18" s="200">
        <v>53.773000000000003</v>
      </c>
      <c r="DQ18" s="206">
        <f t="shared" si="49"/>
        <v>294.77300000000002</v>
      </c>
      <c r="DR18" s="191">
        <f t="shared" si="50"/>
        <v>1.0078724402835759</v>
      </c>
      <c r="DS18" s="199">
        <f t="shared" si="51"/>
        <v>0.93913973941554463</v>
      </c>
      <c r="DT18" s="200">
        <v>114.374</v>
      </c>
      <c r="DU18" s="200">
        <v>51.991999999999997</v>
      </c>
      <c r="DV18" s="200">
        <v>50.106000000000002</v>
      </c>
      <c r="DW18" s="191">
        <f t="shared" si="63"/>
        <v>0.4545788378477626</v>
      </c>
      <c r="DX18" s="197">
        <v>32.182000000000002</v>
      </c>
      <c r="DY18" s="191">
        <f t="shared" si="64"/>
        <v>0.14068756885306102</v>
      </c>
      <c r="DZ18" s="197">
        <v>37.728000000000002</v>
      </c>
      <c r="EA18" s="197">
        <v>37.4</v>
      </c>
      <c r="EB18" s="191">
        <f t="shared" si="52"/>
        <v>8.6938083121289589E-3</v>
      </c>
      <c r="EC18" s="200">
        <v>46.009</v>
      </c>
      <c r="ED18" s="200"/>
      <c r="EE18" s="200">
        <v>47.026000000000003</v>
      </c>
      <c r="EF18" s="204">
        <f t="shared" si="53"/>
        <v>47.026000000000003</v>
      </c>
      <c r="EG18" s="191">
        <f t="shared" si="54"/>
        <v>0.59526640670082365</v>
      </c>
      <c r="EJ18" s="202">
        <f t="shared" si="3"/>
        <v>10.275004444444445</v>
      </c>
      <c r="EK18" s="202">
        <f>'NOPA Crush'!B443*56/('NOPA Crush'!A443-'NOPA Crush'!A442)</f>
        <v>10.510253438481387</v>
      </c>
      <c r="EL18" s="203">
        <f t="shared" si="65"/>
        <v>0.97761719111590395</v>
      </c>
      <c r="EM18" s="202">
        <f t="shared" si="55"/>
        <v>6.7471666666666668</v>
      </c>
      <c r="EN18" s="202">
        <f t="shared" si="56"/>
        <v>7.6249333333333336E-3</v>
      </c>
      <c r="EO18" s="202">
        <f t="shared" si="66"/>
        <v>17.029796044444446</v>
      </c>
    </row>
    <row r="19" spans="1:145">
      <c r="A19" s="157">
        <v>42552</v>
      </c>
      <c r="B19" s="186">
        <v>4603.5429999999997</v>
      </c>
      <c r="C19" s="187">
        <f t="shared" si="6"/>
        <v>153.45143333333331</v>
      </c>
      <c r="D19" s="247">
        <f>C19-'NOPA Crush'!G444</f>
        <v>9.7364333333333093</v>
      </c>
      <c r="E19" s="188">
        <f>C19/'NOPA Crush'!G444-1</f>
        <v>6.7748205360145475E-2</v>
      </c>
      <c r="F19" s="189">
        <v>3403.386</v>
      </c>
      <c r="G19" s="189">
        <v>3344.078</v>
      </c>
      <c r="H19" s="189">
        <v>59.308</v>
      </c>
      <c r="I19" s="189">
        <v>419.80200000000002</v>
      </c>
      <c r="J19" s="190">
        <f t="shared" si="7"/>
        <v>44.357826135218033</v>
      </c>
      <c r="K19" s="190">
        <f t="shared" si="8"/>
        <v>47.496343577110068</v>
      </c>
      <c r="L19" s="190">
        <f>K19-'NOPA Crush'!J444</f>
        <v>-0.17365642288993399</v>
      </c>
      <c r="M19" s="189">
        <v>240.80500000000001</v>
      </c>
      <c r="N19" s="189">
        <v>39.832000000000001</v>
      </c>
      <c r="O19" s="189">
        <v>1789.356</v>
      </c>
      <c r="P19" s="189">
        <v>1865.797</v>
      </c>
      <c r="Q19" s="189">
        <v>823.75300000000004</v>
      </c>
      <c r="R19" s="189">
        <v>379.435</v>
      </c>
      <c r="S19" s="189">
        <v>662.60900000000004</v>
      </c>
      <c r="T19" s="189">
        <v>348.48099999999999</v>
      </c>
      <c r="U19" s="189">
        <f>(P19+T19)-'NOPA Crush'!Q444</f>
        <v>471.09400000000028</v>
      </c>
      <c r="V19" s="191">
        <f>(P19+T19)/'NOPA Crush'!Q444-1</f>
        <v>0.27024915327355026</v>
      </c>
      <c r="W19" s="190">
        <f t="shared" si="9"/>
        <v>11.660731745092857</v>
      </c>
      <c r="X19" s="190">
        <f>W19-'NOPA Crush'!O444</f>
        <v>-8.0268254907142733E-2</v>
      </c>
      <c r="Y19" s="190">
        <f t="shared" si="0"/>
        <v>59.157075322202928</v>
      </c>
      <c r="Z19" s="211">
        <v>1469.7470000000001</v>
      </c>
      <c r="AA19" s="211">
        <v>1435.6079999999999</v>
      </c>
      <c r="AB19" s="191">
        <f t="shared" si="10"/>
        <v>2.3227807234850708E-2</v>
      </c>
      <c r="AC19" s="211">
        <v>125.30500000000001</v>
      </c>
      <c r="AD19" s="211">
        <v>1418.8030000000001</v>
      </c>
      <c r="AE19" s="211">
        <v>1061.181</v>
      </c>
      <c r="AF19" s="211">
        <v>357.62200000000001</v>
      </c>
      <c r="AG19" s="191">
        <f t="shared" si="1"/>
        <v>-1.1705841706092346E-2</v>
      </c>
      <c r="AH19" s="163"/>
      <c r="AI19" s="211">
        <v>452.36099999999999</v>
      </c>
      <c r="AJ19" s="247">
        <f t="shared" si="11"/>
        <v>15.0787</v>
      </c>
      <c r="AK19" s="211">
        <v>325.90300000000002</v>
      </c>
      <c r="AL19" s="211">
        <v>51.325000000000003</v>
      </c>
      <c r="AM19" s="190">
        <f t="shared" si="12"/>
        <v>43.226936009072404</v>
      </c>
      <c r="AN19" s="190">
        <f t="shared" si="13"/>
        <v>-1.1308901261456299</v>
      </c>
      <c r="AO19" s="211">
        <v>180.48099999999999</v>
      </c>
      <c r="AP19" s="211">
        <v>131.00299999999999</v>
      </c>
      <c r="AQ19" s="190">
        <f t="shared" si="2"/>
        <v>11.969267907710877</v>
      </c>
      <c r="AR19" s="190">
        <f t="shared" si="14"/>
        <v>0.30853616261802053</v>
      </c>
      <c r="AS19" s="190">
        <f t="shared" si="15"/>
        <v>55.196203916783283</v>
      </c>
      <c r="AT19" s="211">
        <v>1049.7560000000001</v>
      </c>
      <c r="AU19" s="247">
        <f t="shared" si="16"/>
        <v>34.991866666666667</v>
      </c>
      <c r="AV19" s="211">
        <v>784.15700000000004</v>
      </c>
      <c r="AW19" s="211">
        <v>78.619</v>
      </c>
      <c r="AX19" s="190">
        <f t="shared" si="17"/>
        <v>44.819386600314743</v>
      </c>
      <c r="AY19" s="190">
        <f t="shared" si="18"/>
        <v>0.46156046509671</v>
      </c>
      <c r="AZ19" s="211">
        <v>408.17599999999999</v>
      </c>
      <c r="BA19" s="211">
        <v>165.36799999999999</v>
      </c>
      <c r="BB19" s="190">
        <f t="shared" si="19"/>
        <v>11.664882124989045</v>
      </c>
      <c r="BC19" s="190">
        <f t="shared" si="57"/>
        <v>4.1503798961883831E-3</v>
      </c>
      <c r="BD19" s="247">
        <f t="shared" si="20"/>
        <v>56.484268725303792</v>
      </c>
      <c r="BE19" s="211">
        <v>1050.1969999999999</v>
      </c>
      <c r="BF19" s="247">
        <f t="shared" si="58"/>
        <v>35.006566666666664</v>
      </c>
      <c r="BG19" s="211">
        <v>771.93799999999999</v>
      </c>
      <c r="BH19" s="211">
        <v>106.52</v>
      </c>
      <c r="BI19" s="190">
        <f t="shared" si="21"/>
        <v>44.102468394025124</v>
      </c>
      <c r="BJ19" s="190">
        <f t="shared" si="22"/>
        <v>-0.25535774119290977</v>
      </c>
      <c r="BK19" s="211">
        <v>406.71499999999997</v>
      </c>
      <c r="BL19" s="211">
        <v>243.72900000000001</v>
      </c>
      <c r="BM19" s="190">
        <f t="shared" si="23"/>
        <v>11.618248766659969</v>
      </c>
      <c r="BN19" s="190">
        <f t="shared" si="24"/>
        <v>-4.2482978432888174E-2</v>
      </c>
      <c r="BO19" s="247">
        <f t="shared" si="25"/>
        <v>55.720717160685091</v>
      </c>
      <c r="BP19" s="211">
        <v>701.39</v>
      </c>
      <c r="BQ19" s="247">
        <f t="shared" si="26"/>
        <v>23.379666666666665</v>
      </c>
      <c r="BR19" s="211">
        <v>519.44299999999998</v>
      </c>
      <c r="BS19" s="211">
        <v>46.051000000000002</v>
      </c>
      <c r="BT19" s="190">
        <f t="shared" si="27"/>
        <v>44.435449607208547</v>
      </c>
      <c r="BU19" s="190">
        <f t="shared" si="28"/>
        <v>7.7623471990513337E-2</v>
      </c>
      <c r="BV19" s="211">
        <v>272.38600000000002</v>
      </c>
      <c r="BW19" s="211">
        <v>201.66499999999999</v>
      </c>
      <c r="BX19" s="190">
        <f t="shared" si="29"/>
        <v>11.650551048632003</v>
      </c>
      <c r="BY19" s="190">
        <f t="shared" si="30"/>
        <v>-1.0180696460853511E-2</v>
      </c>
      <c r="BZ19" s="194">
        <f t="shared" si="31"/>
        <v>56.08600065584055</v>
      </c>
      <c r="CA19" s="211">
        <v>610.36</v>
      </c>
      <c r="CB19" s="247">
        <f t="shared" si="32"/>
        <v>20.345333333333333</v>
      </c>
      <c r="CC19" s="211">
        <v>455.49</v>
      </c>
      <c r="CD19" s="211">
        <v>71.236000000000004</v>
      </c>
      <c r="CE19" s="190">
        <f t="shared" si="59"/>
        <v>44.775869978373422</v>
      </c>
      <c r="CF19" s="190">
        <f t="shared" si="33"/>
        <v>0.41804384315538812</v>
      </c>
      <c r="CG19" s="211">
        <v>235.24</v>
      </c>
      <c r="CH19" s="211">
        <v>38.128999999999998</v>
      </c>
      <c r="CI19" s="190">
        <f t="shared" si="34"/>
        <v>11.562356641981783</v>
      </c>
      <c r="CJ19" s="190">
        <f t="shared" si="35"/>
        <v>-9.8375103111074225E-2</v>
      </c>
      <c r="CK19" s="194">
        <f t="shared" si="36"/>
        <v>56.338226620355201</v>
      </c>
      <c r="CL19" s="211">
        <v>739.47900000000004</v>
      </c>
      <c r="CM19" s="247">
        <f t="shared" si="60"/>
        <v>24.6493</v>
      </c>
      <c r="CN19" s="211">
        <v>546.45500000000004</v>
      </c>
      <c r="CO19" s="211">
        <v>66.051000000000002</v>
      </c>
      <c r="CP19" s="190">
        <f t="shared" si="37"/>
        <v>44.338378777490639</v>
      </c>
      <c r="CQ19" s="190">
        <f t="shared" si="38"/>
        <v>-1.9447357727393921E-2</v>
      </c>
      <c r="CR19" s="211">
        <v>286.358</v>
      </c>
      <c r="CS19" s="211">
        <v>43.859000000000002</v>
      </c>
      <c r="CT19" s="190">
        <f t="shared" si="39"/>
        <v>11.617287306333242</v>
      </c>
      <c r="CU19" s="190">
        <f t="shared" si="40"/>
        <v>-4.3444438759614457E-2</v>
      </c>
      <c r="CV19" s="247">
        <f t="shared" si="41"/>
        <v>55.955666083823886</v>
      </c>
      <c r="CW19" s="195"/>
      <c r="CX19" s="196">
        <f t="shared" si="42"/>
        <v>0</v>
      </c>
      <c r="CY19" s="196">
        <f t="shared" si="43"/>
        <v>0</v>
      </c>
      <c r="CZ19" s="196">
        <f t="shared" si="44"/>
        <v>0</v>
      </c>
      <c r="DA19" s="196">
        <f t="shared" si="45"/>
        <v>0</v>
      </c>
      <c r="DB19" s="196">
        <f t="shared" si="46"/>
        <v>0</v>
      </c>
      <c r="DC19" s="196">
        <f t="shared" si="47"/>
        <v>0</v>
      </c>
      <c r="DD19" s="163"/>
      <c r="DE19" s="200">
        <v>201.506</v>
      </c>
      <c r="DF19" s="200">
        <v>110.072</v>
      </c>
      <c r="DG19" s="206">
        <f>FORECAST(DF19,DG$5:DG18,DF$5:DF18)</f>
        <v>40.834562647822963</v>
      </c>
      <c r="DH19" s="191">
        <f t="shared" si="61"/>
        <v>0.5462467618830209</v>
      </c>
      <c r="DI19" s="197">
        <v>162.239</v>
      </c>
      <c r="DJ19" s="191">
        <f t="shared" si="48"/>
        <v>0.40256617668952788</v>
      </c>
      <c r="DK19" s="197">
        <v>142.79900000000001</v>
      </c>
      <c r="DL19" s="197">
        <v>137.673</v>
      </c>
      <c r="DM19" s="191">
        <f t="shared" si="62"/>
        <v>3.5896609920237577E-2</v>
      </c>
      <c r="DN19" s="200">
        <v>153.08799999999999</v>
      </c>
      <c r="DO19" s="206">
        <f>MROUND(FORECAST(DI19,DO$5:DO18,DI$5:DI18),1)+75</f>
        <v>261</v>
      </c>
      <c r="DP19" s="200">
        <v>54.753999999999998</v>
      </c>
      <c r="DQ19" s="206">
        <f t="shared" si="49"/>
        <v>315.75400000000002</v>
      </c>
      <c r="DR19" s="191">
        <f t="shared" si="50"/>
        <v>0.94881293857254878</v>
      </c>
      <c r="DS19" s="199">
        <f t="shared" si="51"/>
        <v>0.8801767762375261</v>
      </c>
      <c r="DT19" s="206">
        <v>104</v>
      </c>
      <c r="DU19" s="206">
        <f>DT19*DW19</f>
        <v>44.542627510698146</v>
      </c>
      <c r="DV19" s="200">
        <v>34.109000000000002</v>
      </c>
      <c r="DW19" s="207">
        <v>0.42829449529517449</v>
      </c>
      <c r="DX19" s="197">
        <f>DT19*DY19*2.2</f>
        <v>32.812438952928147</v>
      </c>
      <c r="DY19" s="191">
        <f>AVERAGE(DY7,DY31)</f>
        <v>0.14341100940965099</v>
      </c>
      <c r="DZ19" s="197">
        <v>26.59</v>
      </c>
      <c r="EA19" s="197">
        <v>26.18</v>
      </c>
      <c r="EB19" s="191">
        <f t="shared" si="52"/>
        <v>1.5419330575404344E-2</v>
      </c>
      <c r="EC19" s="200">
        <v>37.499000000000002</v>
      </c>
      <c r="ED19" s="200"/>
      <c r="EE19" s="200">
        <v>43.548999999999999</v>
      </c>
      <c r="EF19" s="204">
        <f t="shared" si="53"/>
        <v>43.548999999999999</v>
      </c>
      <c r="EG19" s="191">
        <f t="shared" si="54"/>
        <v>0.57170550470482551</v>
      </c>
      <c r="EJ19" s="202">
        <f t="shared" si="3"/>
        <v>9.9000924731182778</v>
      </c>
      <c r="EK19" s="202">
        <f>'NOPA Crush'!B444*56/('NOPA Crush'!A444-'NOPA Crush'!A443)</f>
        <v>10.920977716328192</v>
      </c>
      <c r="EL19" s="203">
        <f t="shared" si="65"/>
        <v>0.90652070998335921</v>
      </c>
      <c r="EM19" s="202">
        <f t="shared" si="55"/>
        <v>6.500193548387097</v>
      </c>
      <c r="EN19" s="202">
        <f t="shared" si="56"/>
        <v>6.709677419354838E-3</v>
      </c>
      <c r="EO19" s="202">
        <f t="shared" si="66"/>
        <v>16.406995698924728</v>
      </c>
    </row>
    <row r="20" spans="1:145">
      <c r="A20" s="157">
        <v>42583</v>
      </c>
      <c r="B20" s="186">
        <v>4218.7889999999998</v>
      </c>
      <c r="C20" s="187">
        <f t="shared" si="6"/>
        <v>140.62629999999999</v>
      </c>
      <c r="D20" s="247">
        <f>C20-'NOPA Crush'!G445</f>
        <v>8.8042999999999836</v>
      </c>
      <c r="E20" s="188">
        <f>C20/'NOPA Crush'!G445-1</f>
        <v>6.6789306792492731E-2</v>
      </c>
      <c r="F20" s="189">
        <v>3111.3009999999999</v>
      </c>
      <c r="G20" s="189">
        <v>3049.2310000000002</v>
      </c>
      <c r="H20" s="189">
        <v>62.07</v>
      </c>
      <c r="I20" s="189">
        <v>247.79900000000001</v>
      </c>
      <c r="J20" s="190">
        <f t="shared" si="7"/>
        <v>44.249205162903387</v>
      </c>
      <c r="K20" s="190">
        <f t="shared" si="8"/>
        <v>47.3362237362428</v>
      </c>
      <c r="L20" s="190">
        <f>K20-'NOPA Crush'!J445</f>
        <v>-0.20377626375719871</v>
      </c>
      <c r="M20" s="189">
        <v>217.05799999999999</v>
      </c>
      <c r="N20" s="189">
        <v>26.866</v>
      </c>
      <c r="O20" s="189">
        <v>1642.4780000000001</v>
      </c>
      <c r="P20" s="189">
        <v>1666.5309999999999</v>
      </c>
      <c r="Q20" s="189">
        <v>705.83600000000001</v>
      </c>
      <c r="R20" s="189">
        <v>279.62099999999998</v>
      </c>
      <c r="S20" s="189">
        <v>681.07399999999996</v>
      </c>
      <c r="T20" s="189">
        <v>319.21199999999999</v>
      </c>
      <c r="U20" s="189">
        <f>(P20+T20)-'NOPA Crush'!Q445</f>
        <v>365.46399999999994</v>
      </c>
      <c r="V20" s="191">
        <f>(P20+T20)/'NOPA Crush'!Q445-1</f>
        <v>0.22555621593565056</v>
      </c>
      <c r="W20" s="190">
        <f t="shared" si="9"/>
        <v>11.679735582888835</v>
      </c>
      <c r="X20" s="190">
        <f>W20-'NOPA Crush'!O445</f>
        <v>-0.13026441711116554</v>
      </c>
      <c r="Y20" s="190">
        <f t="shared" si="0"/>
        <v>59.015959319131639</v>
      </c>
      <c r="Z20" s="211">
        <v>1455.355</v>
      </c>
      <c r="AA20" s="211">
        <v>1426.954</v>
      </c>
      <c r="AB20" s="191">
        <f t="shared" si="10"/>
        <v>1.9514826279498864E-2</v>
      </c>
      <c r="AC20" s="211">
        <v>113.176</v>
      </c>
      <c r="AD20" s="211">
        <v>1535.7650000000001</v>
      </c>
      <c r="AE20" s="211">
        <v>1175.567</v>
      </c>
      <c r="AF20" s="211">
        <v>360.19799999999998</v>
      </c>
      <c r="AG20" s="191">
        <f t="shared" si="1"/>
        <v>7.6254034818221239E-2</v>
      </c>
      <c r="AH20" s="163"/>
      <c r="AI20" s="211">
        <v>472.76100000000002</v>
      </c>
      <c r="AJ20" s="247">
        <f t="shared" si="11"/>
        <v>15.758700000000001</v>
      </c>
      <c r="AK20" s="211">
        <v>342.98099999999999</v>
      </c>
      <c r="AL20" s="211">
        <v>34.57</v>
      </c>
      <c r="AM20" s="190">
        <f t="shared" si="12"/>
        <v>43.529098212415995</v>
      </c>
      <c r="AN20" s="190">
        <f t="shared" si="13"/>
        <v>-0.72010695048739137</v>
      </c>
      <c r="AO20" s="211">
        <v>188.44900000000001</v>
      </c>
      <c r="AP20" s="211">
        <v>128.64400000000001</v>
      </c>
      <c r="AQ20" s="190">
        <f t="shared" si="2"/>
        <v>11.958410274959229</v>
      </c>
      <c r="AR20" s="190">
        <f t="shared" si="14"/>
        <v>0.27867469207039441</v>
      </c>
      <c r="AS20" s="190">
        <f t="shared" si="15"/>
        <v>55.487508487375223</v>
      </c>
      <c r="AT20" s="211">
        <v>1093.723</v>
      </c>
      <c r="AU20" s="247">
        <f t="shared" si="16"/>
        <v>36.457433333333334</v>
      </c>
      <c r="AV20" s="211">
        <v>812.02599999999995</v>
      </c>
      <c r="AW20" s="211">
        <v>53.075000000000003</v>
      </c>
      <c r="AX20" s="190">
        <f t="shared" si="17"/>
        <v>44.546525948526266</v>
      </c>
      <c r="AY20" s="190">
        <f t="shared" si="18"/>
        <v>0.29732078562287967</v>
      </c>
      <c r="AZ20" s="211">
        <v>420.59100000000001</v>
      </c>
      <c r="BA20" s="211">
        <v>151.834</v>
      </c>
      <c r="BB20" s="190">
        <f t="shared" si="19"/>
        <v>11.5364950723355</v>
      </c>
      <c r="BC20" s="190">
        <f t="shared" si="57"/>
        <v>-0.1432405105533352</v>
      </c>
      <c r="BD20" s="247">
        <f t="shared" si="20"/>
        <v>56.083021020861764</v>
      </c>
      <c r="BE20" s="211">
        <v>897.15899999999999</v>
      </c>
      <c r="BF20" s="247">
        <f t="shared" si="58"/>
        <v>29.9053</v>
      </c>
      <c r="BG20" s="211">
        <v>658.529</v>
      </c>
      <c r="BH20" s="211">
        <v>38.238999999999997</v>
      </c>
      <c r="BI20" s="190">
        <f t="shared" si="21"/>
        <v>44.04095595095184</v>
      </c>
      <c r="BJ20" s="190">
        <f t="shared" si="22"/>
        <v>-0.20824921195154644</v>
      </c>
      <c r="BK20" s="211">
        <v>348.78899999999999</v>
      </c>
      <c r="BL20" s="211">
        <v>184.11500000000001</v>
      </c>
      <c r="BM20" s="190">
        <f t="shared" si="23"/>
        <v>11.663116571310102</v>
      </c>
      <c r="BN20" s="190">
        <f t="shared" si="24"/>
        <v>-1.6619011578733023E-2</v>
      </c>
      <c r="BO20" s="247">
        <f t="shared" si="25"/>
        <v>55.704072522261939</v>
      </c>
      <c r="BP20" s="211">
        <v>653.30700000000002</v>
      </c>
      <c r="BQ20" s="247">
        <f t="shared" si="26"/>
        <v>21.776900000000001</v>
      </c>
      <c r="BR20" s="211">
        <v>482.26400000000001</v>
      </c>
      <c r="BS20" s="211">
        <v>26.997</v>
      </c>
      <c r="BT20" s="190">
        <f t="shared" si="27"/>
        <v>44.291336232429778</v>
      </c>
      <c r="BU20" s="190">
        <f t="shared" si="28"/>
        <v>4.2131069526391229E-2</v>
      </c>
      <c r="BV20" s="211">
        <v>255.97200000000001</v>
      </c>
      <c r="BW20" s="211">
        <v>156.947</v>
      </c>
      <c r="BX20" s="190">
        <f t="shared" si="29"/>
        <v>11.754290096386537</v>
      </c>
      <c r="BY20" s="190">
        <f t="shared" si="30"/>
        <v>7.4554513497702146E-2</v>
      </c>
      <c r="BZ20" s="194">
        <f t="shared" si="31"/>
        <v>56.045626328816311</v>
      </c>
      <c r="CA20" s="211">
        <v>483.971</v>
      </c>
      <c r="CB20" s="247">
        <f t="shared" si="32"/>
        <v>16.132366666666666</v>
      </c>
      <c r="CC20" s="211">
        <v>355.68599999999998</v>
      </c>
      <c r="CD20" s="211">
        <v>46.088999999999999</v>
      </c>
      <c r="CE20" s="190">
        <f t="shared" si="59"/>
        <v>44.095947897704612</v>
      </c>
      <c r="CF20" s="190">
        <f t="shared" si="33"/>
        <v>-0.15325726519877492</v>
      </c>
      <c r="CG20" s="211">
        <v>188.67</v>
      </c>
      <c r="CH20" s="211">
        <v>36.478000000000002</v>
      </c>
      <c r="CI20" s="190">
        <f t="shared" si="34"/>
        <v>11.695122228397983</v>
      </c>
      <c r="CJ20" s="190">
        <f t="shared" si="35"/>
        <v>1.5386645509147812E-2</v>
      </c>
      <c r="CK20" s="194">
        <f t="shared" si="36"/>
        <v>55.791070126102596</v>
      </c>
      <c r="CL20" s="211">
        <v>617.86800000000005</v>
      </c>
      <c r="CM20" s="247">
        <f t="shared" si="60"/>
        <v>20.595600000000001</v>
      </c>
      <c r="CN20" s="211">
        <v>459.815</v>
      </c>
      <c r="CO20" s="211">
        <v>48.829000000000001</v>
      </c>
      <c r="CP20" s="190">
        <f t="shared" si="37"/>
        <v>44.651770281030899</v>
      </c>
      <c r="CQ20" s="190">
        <f t="shared" si="38"/>
        <v>0.40256511812751228</v>
      </c>
      <c r="CR20" s="211">
        <v>240.00700000000001</v>
      </c>
      <c r="CS20" s="211">
        <v>47.817999999999998</v>
      </c>
      <c r="CT20" s="190">
        <f t="shared" si="39"/>
        <v>11.653314300141778</v>
      </c>
      <c r="CU20" s="190">
        <f t="shared" si="40"/>
        <v>-2.6421282747056907E-2</v>
      </c>
      <c r="CV20" s="247">
        <f t="shared" si="41"/>
        <v>56.305084581172679</v>
      </c>
      <c r="CW20" s="195"/>
      <c r="CX20" s="196">
        <f t="shared" si="42"/>
        <v>0</v>
      </c>
      <c r="CY20" s="196">
        <f t="shared" si="43"/>
        <v>0</v>
      </c>
      <c r="CZ20" s="196">
        <f t="shared" si="44"/>
        <v>0</v>
      </c>
      <c r="DA20" s="196">
        <f t="shared" si="45"/>
        <v>0</v>
      </c>
      <c r="DB20" s="196">
        <f t="shared" si="46"/>
        <v>0</v>
      </c>
      <c r="DC20" s="196">
        <f t="shared" si="47"/>
        <v>0</v>
      </c>
      <c r="DD20" s="163"/>
      <c r="DE20" s="200">
        <v>174.16399999999999</v>
      </c>
      <c r="DF20" s="200">
        <v>101.35299999999999</v>
      </c>
      <c r="DG20" s="206">
        <f>FORECAST(DF20,DG$5:DG19,DF$5:DF19)</f>
        <v>40.37192218009212</v>
      </c>
      <c r="DH20" s="191">
        <f t="shared" si="61"/>
        <v>0.58194001056475508</v>
      </c>
      <c r="DI20" s="197">
        <v>146.06</v>
      </c>
      <c r="DJ20" s="191">
        <f t="shared" si="48"/>
        <v>0.41931742495578883</v>
      </c>
      <c r="DK20" s="197">
        <v>118.238</v>
      </c>
      <c r="DL20" s="197">
        <v>114.497</v>
      </c>
      <c r="DM20" s="191">
        <f t="shared" si="62"/>
        <v>3.1639574417699934E-2</v>
      </c>
      <c r="DN20" s="200">
        <v>144.02500000000001</v>
      </c>
      <c r="DO20" s="200">
        <v>252.30500000000001</v>
      </c>
      <c r="DP20" s="200">
        <v>48.570999999999998</v>
      </c>
      <c r="DQ20" s="200">
        <f t="shared" si="49"/>
        <v>300.87599999999998</v>
      </c>
      <c r="DR20" s="191">
        <f t="shared" si="50"/>
        <v>1.0012574355205439</v>
      </c>
      <c r="DS20" s="199">
        <f t="shared" si="51"/>
        <v>0.80951663699849374</v>
      </c>
      <c r="DT20" s="200">
        <v>109.126</v>
      </c>
      <c r="DU20" s="200">
        <v>47.094000000000001</v>
      </c>
      <c r="DV20" s="200">
        <v>22.364000000000001</v>
      </c>
      <c r="DW20" s="191">
        <f t="shared" si="63"/>
        <v>0.43155618276121183</v>
      </c>
      <c r="DX20" s="197">
        <v>32.792000000000002</v>
      </c>
      <c r="DY20" s="191">
        <f t="shared" si="64"/>
        <v>0.15024833678500082</v>
      </c>
      <c r="DZ20" s="197">
        <v>38.905999999999999</v>
      </c>
      <c r="EA20" s="197">
        <v>38.445</v>
      </c>
      <c r="EB20" s="191">
        <f t="shared" si="52"/>
        <v>1.1849072122551707E-2</v>
      </c>
      <c r="EC20" s="200">
        <v>34.481999999999999</v>
      </c>
      <c r="ED20" s="200"/>
      <c r="EE20" s="200">
        <v>43.057000000000002</v>
      </c>
      <c r="EF20" s="204">
        <f t="shared" si="53"/>
        <v>43.057000000000002</v>
      </c>
      <c r="EG20" s="191">
        <f t="shared" si="54"/>
        <v>0.58180451954621271</v>
      </c>
      <c r="EJ20" s="202">
        <f t="shared" si="3"/>
        <v>9.0726645161290307</v>
      </c>
      <c r="EK20" s="202">
        <f>'NOPA Crush'!B445*56/('NOPA Crush'!A445-'NOPA Crush'!A444)</f>
        <v>10.557828507165144</v>
      </c>
      <c r="EL20" s="203">
        <f t="shared" si="65"/>
        <v>0.85933054415231347</v>
      </c>
      <c r="EM20" s="202">
        <f t="shared" si="55"/>
        <v>5.6181935483870964</v>
      </c>
      <c r="EN20" s="202">
        <f t="shared" si="56"/>
        <v>7.0403870967741932E-3</v>
      </c>
      <c r="EO20" s="202">
        <f t="shared" si="66"/>
        <v>14.697898451612902</v>
      </c>
    </row>
    <row r="21" spans="1:145">
      <c r="A21" s="157">
        <v>42614</v>
      </c>
      <c r="B21" s="186">
        <v>4148.0079999999998</v>
      </c>
      <c r="C21" s="187">
        <f t="shared" si="6"/>
        <v>138.26693333333333</v>
      </c>
      <c r="D21" s="247">
        <f>C21-'NOPA Crush'!G446</f>
        <v>8.0319333333333134</v>
      </c>
      <c r="E21" s="188">
        <f>C21/'NOPA Crush'!G446-1</f>
        <v>6.1672617447946498E-2</v>
      </c>
      <c r="F21" s="189">
        <v>3042.3150000000001</v>
      </c>
      <c r="G21" s="189">
        <v>2999.2150000000001</v>
      </c>
      <c r="H21" s="189">
        <v>43.1</v>
      </c>
      <c r="I21" s="189">
        <v>233.715</v>
      </c>
      <c r="J21" s="190">
        <f t="shared" si="7"/>
        <v>44.006400180520387</v>
      </c>
      <c r="K21" s="190">
        <f t="shared" si="8"/>
        <v>47.118395142921621</v>
      </c>
      <c r="L21" s="190">
        <f>K21-'NOPA Crush'!J446</f>
        <v>-0.16160485707838035</v>
      </c>
      <c r="M21" s="189">
        <v>215.143</v>
      </c>
      <c r="N21" s="189">
        <v>30.170999999999999</v>
      </c>
      <c r="O21" s="189">
        <v>1616.6089999999999</v>
      </c>
      <c r="P21" s="189">
        <v>1417.4</v>
      </c>
      <c r="Q21" s="189">
        <v>600.47699999999998</v>
      </c>
      <c r="R21" s="189">
        <v>259.92700000000002</v>
      </c>
      <c r="S21" s="189">
        <v>556.99599999999998</v>
      </c>
      <c r="T21" s="189">
        <v>269.41300000000001</v>
      </c>
      <c r="U21" s="189">
        <f>(P21+T21)-'NOPA Crush'!Q446</f>
        <v>310.86000000000013</v>
      </c>
      <c r="V21" s="191">
        <f>(P21+T21)/'NOPA Crush'!Q446-1</f>
        <v>0.2259234145352349</v>
      </c>
      <c r="W21" s="190">
        <f t="shared" si="9"/>
        <v>11.691942252763255</v>
      </c>
      <c r="X21" s="190">
        <f>W21-'NOPA Crush'!O446</f>
        <v>-6.8057747236744959E-2</v>
      </c>
      <c r="Y21" s="190">
        <f t="shared" si="0"/>
        <v>58.810337395684876</v>
      </c>
      <c r="Z21" s="211">
        <v>1397.5550000000001</v>
      </c>
      <c r="AA21" s="211">
        <v>1368.461</v>
      </c>
      <c r="AB21" s="191">
        <f t="shared" si="10"/>
        <v>2.0817785346551692E-2</v>
      </c>
      <c r="AC21" s="211">
        <v>132.79300000000001</v>
      </c>
      <c r="AD21" s="211">
        <v>1388.248</v>
      </c>
      <c r="AE21" s="211">
        <v>1101.3710000000001</v>
      </c>
      <c r="AF21" s="211">
        <v>286.87700000000001</v>
      </c>
      <c r="AG21" s="191">
        <f t="shared" si="1"/>
        <v>1.4459308668643089E-2</v>
      </c>
      <c r="AH21" s="163"/>
      <c r="AI21" s="211">
        <v>451.25299999999999</v>
      </c>
      <c r="AJ21" s="247">
        <f t="shared" si="11"/>
        <v>15.041766666666666</v>
      </c>
      <c r="AK21" s="211">
        <v>327.48700000000002</v>
      </c>
      <c r="AL21" s="211">
        <v>43.807000000000002</v>
      </c>
      <c r="AM21" s="190">
        <f t="shared" si="12"/>
        <v>43.54368835221041</v>
      </c>
      <c r="AN21" s="190">
        <f t="shared" si="13"/>
        <v>-0.46271182830997759</v>
      </c>
      <c r="AO21" s="211">
        <v>174.08099999999999</v>
      </c>
      <c r="AP21" s="211">
        <v>77.781000000000006</v>
      </c>
      <c r="AQ21" s="190">
        <f t="shared" si="2"/>
        <v>11.573175136785794</v>
      </c>
      <c r="AR21" s="190">
        <f t="shared" si="14"/>
        <v>-0.11876711597746059</v>
      </c>
      <c r="AS21" s="190">
        <f t="shared" si="15"/>
        <v>55.116863488996202</v>
      </c>
      <c r="AT21" s="211">
        <v>970.697</v>
      </c>
      <c r="AU21" s="247">
        <f t="shared" si="16"/>
        <v>32.356566666666666</v>
      </c>
      <c r="AV21" s="211">
        <v>714.78499999999997</v>
      </c>
      <c r="AW21" s="211">
        <v>48.268000000000001</v>
      </c>
      <c r="AX21" s="190">
        <f t="shared" si="17"/>
        <v>44.181758056324476</v>
      </c>
      <c r="AY21" s="190">
        <f t="shared" si="18"/>
        <v>0.17535787580408879</v>
      </c>
      <c r="AZ21" s="211">
        <v>372.202</v>
      </c>
      <c r="BA21" s="211">
        <v>112.59</v>
      </c>
      <c r="BB21" s="190">
        <f t="shared" si="19"/>
        <v>11.503136406108188</v>
      </c>
      <c r="BC21" s="190">
        <f t="shared" si="57"/>
        <v>-0.18880584665506639</v>
      </c>
      <c r="BD21" s="247">
        <f t="shared" si="20"/>
        <v>55.684894462432666</v>
      </c>
      <c r="BE21" s="211">
        <v>985.48400000000004</v>
      </c>
      <c r="BF21" s="247">
        <f t="shared" si="58"/>
        <v>32.849466666666665</v>
      </c>
      <c r="BG21" s="211">
        <v>721.65700000000004</v>
      </c>
      <c r="BH21" s="211">
        <v>51.805</v>
      </c>
      <c r="BI21" s="190">
        <f t="shared" si="21"/>
        <v>43.937212577779043</v>
      </c>
      <c r="BJ21" s="190">
        <f t="shared" si="22"/>
        <v>-6.9187602741344278E-2</v>
      </c>
      <c r="BK21" s="211">
        <v>384.12299999999999</v>
      </c>
      <c r="BL21" s="211">
        <v>155.04499999999999</v>
      </c>
      <c r="BM21" s="190">
        <f t="shared" si="23"/>
        <v>11.693431856833801</v>
      </c>
      <c r="BN21" s="190">
        <f t="shared" si="24"/>
        <v>1.4896040705458802E-3</v>
      </c>
      <c r="BO21" s="247">
        <f t="shared" si="25"/>
        <v>55.630644434612847</v>
      </c>
      <c r="BP21" s="211">
        <v>592.74800000000005</v>
      </c>
      <c r="BQ21" s="247">
        <f t="shared" si="26"/>
        <v>19.758266666666668</v>
      </c>
      <c r="BR21" s="211">
        <v>436.06599999999997</v>
      </c>
      <c r="BS21" s="211">
        <v>23.353999999999999</v>
      </c>
      <c r="BT21" s="190">
        <f t="shared" si="27"/>
        <v>44.140106757002968</v>
      </c>
      <c r="BU21" s="190">
        <f t="shared" si="28"/>
        <v>0.13370657648258089</v>
      </c>
      <c r="BV21" s="211">
        <v>239.857</v>
      </c>
      <c r="BW21" s="211">
        <v>156.93299999999999</v>
      </c>
      <c r="BX21" s="190">
        <f t="shared" si="29"/>
        <v>12.139577020926261</v>
      </c>
      <c r="BY21" s="190">
        <f t="shared" si="30"/>
        <v>0.44763476816300596</v>
      </c>
      <c r="BZ21" s="194">
        <f t="shared" si="31"/>
        <v>56.279683777929229</v>
      </c>
      <c r="CA21" s="211">
        <v>495.38499999999999</v>
      </c>
      <c r="CB21" s="247">
        <f t="shared" si="32"/>
        <v>16.512833333333333</v>
      </c>
      <c r="CC21" s="211">
        <v>357.654</v>
      </c>
      <c r="CD21" s="211">
        <v>35.939</v>
      </c>
      <c r="CE21" s="190">
        <f t="shared" si="59"/>
        <v>43.318307982680139</v>
      </c>
      <c r="CF21" s="190">
        <f t="shared" si="33"/>
        <v>-0.68809219784024833</v>
      </c>
      <c r="CG21" s="211">
        <v>190.80500000000001</v>
      </c>
      <c r="CH21" s="211">
        <v>54.25</v>
      </c>
      <c r="CI21" s="190">
        <f t="shared" si="34"/>
        <v>11.554952208888038</v>
      </c>
      <c r="CJ21" s="190">
        <f t="shared" si="35"/>
        <v>-0.13699004387521718</v>
      </c>
      <c r="CK21" s="194">
        <f t="shared" si="36"/>
        <v>54.873260191568178</v>
      </c>
      <c r="CL21" s="211">
        <v>652.44100000000003</v>
      </c>
      <c r="CM21" s="247">
        <f t="shared" si="60"/>
        <v>21.748033333333336</v>
      </c>
      <c r="CN21" s="211">
        <v>484.666</v>
      </c>
      <c r="CO21" s="211">
        <v>30.542000000000002</v>
      </c>
      <c r="CP21" s="190">
        <f t="shared" si="37"/>
        <v>44.571018682149031</v>
      </c>
      <c r="CQ21" s="190">
        <f t="shared" si="38"/>
        <v>0.5646185016286438</v>
      </c>
      <c r="CR21" s="211">
        <v>255.541</v>
      </c>
      <c r="CS21" s="211">
        <v>43.878</v>
      </c>
      <c r="CT21" s="190">
        <f t="shared" si="39"/>
        <v>11.750073953047094</v>
      </c>
      <c r="CU21" s="190">
        <f t="shared" si="40"/>
        <v>5.8131700283839294E-2</v>
      </c>
      <c r="CV21" s="247">
        <f t="shared" si="41"/>
        <v>56.321092635196123</v>
      </c>
      <c r="CW21" s="195"/>
      <c r="CX21" s="196">
        <f t="shared" si="42"/>
        <v>0</v>
      </c>
      <c r="CY21" s="196">
        <f t="shared" si="43"/>
        <v>0</v>
      </c>
      <c r="CZ21" s="196">
        <f t="shared" si="44"/>
        <v>0</v>
      </c>
      <c r="DA21" s="196">
        <f t="shared" si="45"/>
        <v>0</v>
      </c>
      <c r="DB21" s="196">
        <f t="shared" si="46"/>
        <v>-9.9475983006414026E-14</v>
      </c>
      <c r="DC21" s="196">
        <f t="shared" si="47"/>
        <v>0</v>
      </c>
      <c r="DD21" s="163"/>
      <c r="DE21" s="200">
        <v>213.17599999999999</v>
      </c>
      <c r="DF21" s="200">
        <v>120.435</v>
      </c>
      <c r="DG21" s="206">
        <f>FORECAST(DF21,DG$5:DG20,DF$5:DF20)</f>
        <v>41.384435702886023</v>
      </c>
      <c r="DH21" s="191">
        <f t="shared" si="61"/>
        <v>0.56495571734153938</v>
      </c>
      <c r="DI21" s="197">
        <v>183.01900000000001</v>
      </c>
      <c r="DJ21" s="191">
        <f t="shared" si="48"/>
        <v>0.42926736593237519</v>
      </c>
      <c r="DK21" s="197">
        <v>176.68</v>
      </c>
      <c r="DL21" s="197">
        <v>173.184</v>
      </c>
      <c r="DM21" s="191">
        <f t="shared" si="62"/>
        <v>1.9787185872764401E-2</v>
      </c>
      <c r="DN21" s="200">
        <v>160.876</v>
      </c>
      <c r="DO21" s="206">
        <f>MROUND(FORECAST(DI21,DO$5:DO20,DI$5:DI20),1)</f>
        <v>242</v>
      </c>
      <c r="DP21" s="200">
        <v>52.783000000000001</v>
      </c>
      <c r="DQ21" s="206">
        <f t="shared" si="49"/>
        <v>294.78300000000002</v>
      </c>
      <c r="DR21" s="191">
        <f t="shared" si="50"/>
        <v>0.99422308327391451</v>
      </c>
      <c r="DS21" s="199">
        <f t="shared" si="51"/>
        <v>0.96536425179899354</v>
      </c>
      <c r="DT21" s="200">
        <v>119.113</v>
      </c>
      <c r="DU21" s="200">
        <v>54.805</v>
      </c>
      <c r="DV21" s="200">
        <v>19.675999999999998</v>
      </c>
      <c r="DW21" s="191">
        <f t="shared" si="63"/>
        <v>0.46010930796806393</v>
      </c>
      <c r="DX21" s="197">
        <v>37.298000000000002</v>
      </c>
      <c r="DY21" s="191">
        <f t="shared" si="64"/>
        <v>0.15656561416470074</v>
      </c>
      <c r="DZ21" s="197">
        <v>38.286000000000001</v>
      </c>
      <c r="EA21" s="197">
        <v>37.234999999999999</v>
      </c>
      <c r="EB21" s="191">
        <f t="shared" si="52"/>
        <v>2.7451287676957703E-2</v>
      </c>
      <c r="EC21" s="200">
        <v>40.747</v>
      </c>
      <c r="ED21" s="200"/>
      <c r="EE21" s="200">
        <v>41.546999999999997</v>
      </c>
      <c r="EF21" s="204">
        <f t="shared" si="53"/>
        <v>41.546999999999997</v>
      </c>
      <c r="EG21" s="191">
        <f t="shared" si="54"/>
        <v>0.61667492213276465</v>
      </c>
      <c r="EJ21" s="202">
        <f t="shared" si="3"/>
        <v>9.217795555555556</v>
      </c>
      <c r="EK21" s="202">
        <f>'NOPA Crush'!B446*56/('NOPA Crush'!A446-'NOPA Crush'!A445)</f>
        <v>10.500256779398624</v>
      </c>
      <c r="EL21" s="203">
        <f t="shared" si="65"/>
        <v>0.87786382268677077</v>
      </c>
      <c r="EM21" s="202">
        <f t="shared" si="55"/>
        <v>7.1058666666666666</v>
      </c>
      <c r="EN21" s="202">
        <f t="shared" si="56"/>
        <v>7.9408666666666659E-3</v>
      </c>
      <c r="EO21" s="202">
        <f t="shared" si="66"/>
        <v>16.331603088888887</v>
      </c>
    </row>
    <row r="22" spans="1:145">
      <c r="A22" s="157">
        <v>42644</v>
      </c>
      <c r="B22" s="186">
        <v>5276.415</v>
      </c>
      <c r="C22" s="187">
        <f t="shared" si="6"/>
        <v>175.88050000000001</v>
      </c>
      <c r="D22" s="247">
        <f>C22-'NOPA Crush'!G447</f>
        <v>11.239500000000021</v>
      </c>
      <c r="E22" s="188">
        <f>C22/'NOPA Crush'!G447-1</f>
        <v>6.8266713637550991E-2</v>
      </c>
      <c r="F22" s="189">
        <v>3830.125</v>
      </c>
      <c r="G22" s="189">
        <v>3767.6990000000001</v>
      </c>
      <c r="H22" s="189">
        <v>62.426000000000002</v>
      </c>
      <c r="I22" s="189">
        <v>335.41300000000001</v>
      </c>
      <c r="J22" s="190">
        <f t="shared" si="7"/>
        <v>43.553719713100655</v>
      </c>
      <c r="K22" s="190">
        <f t="shared" si="8"/>
        <v>46.668527778804361</v>
      </c>
      <c r="L22" s="190">
        <f>K22-'NOPA Crush'!J447</f>
        <v>8.5277788043640612E-3</v>
      </c>
      <c r="M22" s="189">
        <v>273.91699999999997</v>
      </c>
      <c r="N22" s="189">
        <v>42.212000000000003</v>
      </c>
      <c r="O22" s="189">
        <v>2028.518</v>
      </c>
      <c r="P22" s="189">
        <v>1437.4829999999999</v>
      </c>
      <c r="Q22" s="189">
        <v>592.33000000000004</v>
      </c>
      <c r="R22" s="189">
        <v>317.44900000000001</v>
      </c>
      <c r="S22" s="189">
        <v>527.70399999999995</v>
      </c>
      <c r="T22" s="189">
        <v>357.82799999999997</v>
      </c>
      <c r="U22" s="189">
        <f>(P22+T22)-'NOPA Crush'!Q447</f>
        <v>452.24199999999996</v>
      </c>
      <c r="V22" s="191">
        <f>(P22+T22)/'NOPA Crush'!Q447-1</f>
        <v>0.33672283404650094</v>
      </c>
      <c r="W22" s="190">
        <f t="shared" si="9"/>
        <v>11.533501439898112</v>
      </c>
      <c r="X22" s="190">
        <f>W22-'NOPA Crush'!O447</f>
        <v>-7.6498560101887492E-2</v>
      </c>
      <c r="Y22" s="190">
        <f t="shared" si="0"/>
        <v>58.202029218702471</v>
      </c>
      <c r="Z22" s="211">
        <v>1580.8140000000001</v>
      </c>
      <c r="AA22" s="211">
        <v>1542.749</v>
      </c>
      <c r="AB22" s="191">
        <f t="shared" si="10"/>
        <v>2.4079366706013516E-2</v>
      </c>
      <c r="AC22" s="344">
        <f>FORECAST(S22,AC23:AC$87,S23:S$87)</f>
        <v>107.36164455660058</v>
      </c>
      <c r="AD22" s="211">
        <v>1579.5409999999999</v>
      </c>
      <c r="AE22" s="211">
        <v>1238.4480000000001</v>
      </c>
      <c r="AF22" s="211">
        <v>341.09300000000002</v>
      </c>
      <c r="AG22" s="191">
        <f t="shared" si="1"/>
        <v>2.3848338258524171E-2</v>
      </c>
      <c r="AH22" s="163"/>
      <c r="AI22" s="211">
        <v>635.95799999999997</v>
      </c>
      <c r="AJ22" s="247">
        <f t="shared" si="11"/>
        <v>21.198599999999999</v>
      </c>
      <c r="AK22" s="211">
        <v>459.827</v>
      </c>
      <c r="AL22" s="211">
        <v>69.516000000000005</v>
      </c>
      <c r="AM22" s="190">
        <f t="shared" si="12"/>
        <v>43.382770560320026</v>
      </c>
      <c r="AN22" s="190">
        <f t="shared" si="13"/>
        <v>-0.17094915278062928</v>
      </c>
      <c r="AO22" s="211">
        <v>251.934</v>
      </c>
      <c r="AP22" s="211">
        <v>99.941999999999993</v>
      </c>
      <c r="AQ22" s="190">
        <f t="shared" si="2"/>
        <v>11.884464068381874</v>
      </c>
      <c r="AR22" s="190">
        <f t="shared" si="14"/>
        <v>0.35096262848376192</v>
      </c>
      <c r="AS22" s="190">
        <f t="shared" si="15"/>
        <v>55.2672346287019</v>
      </c>
      <c r="AT22" s="211">
        <v>1135.222</v>
      </c>
      <c r="AU22" s="247">
        <f t="shared" si="16"/>
        <v>37.840733333333333</v>
      </c>
      <c r="AV22" s="211">
        <v>826.93700000000001</v>
      </c>
      <c r="AW22" s="211">
        <v>68.084000000000003</v>
      </c>
      <c r="AX22" s="190">
        <f t="shared" si="17"/>
        <v>43.706182579266432</v>
      </c>
      <c r="AY22" s="190">
        <f t="shared" si="18"/>
        <v>0.1524628661657772</v>
      </c>
      <c r="AZ22" s="211">
        <v>432.983</v>
      </c>
      <c r="BA22" s="211">
        <v>98.397999999999996</v>
      </c>
      <c r="BB22" s="190">
        <f t="shared" si="19"/>
        <v>11.442246538562502</v>
      </c>
      <c r="BC22" s="190">
        <f t="shared" si="57"/>
        <v>-9.1254901335609873E-2</v>
      </c>
      <c r="BD22" s="247">
        <f t="shared" si="20"/>
        <v>55.148429117828933</v>
      </c>
      <c r="BE22" s="211">
        <v>1260.422</v>
      </c>
      <c r="BF22" s="247">
        <f t="shared" si="58"/>
        <v>42.014066666666665</v>
      </c>
      <c r="BG22" s="211">
        <v>914.44</v>
      </c>
      <c r="BH22" s="211">
        <v>62.600999999999999</v>
      </c>
      <c r="BI22" s="190">
        <f t="shared" si="21"/>
        <v>43.530182748317628</v>
      </c>
      <c r="BJ22" s="190">
        <f t="shared" si="22"/>
        <v>-2.3536964783026804E-2</v>
      </c>
      <c r="BK22" s="211">
        <v>487.72800000000001</v>
      </c>
      <c r="BL22" s="211">
        <v>123.69</v>
      </c>
      <c r="BM22" s="190">
        <f t="shared" si="23"/>
        <v>11.608683440942796</v>
      </c>
      <c r="BN22" s="190">
        <f t="shared" si="24"/>
        <v>7.5182001044684199E-2</v>
      </c>
      <c r="BO22" s="247">
        <f t="shared" si="25"/>
        <v>55.138866189260426</v>
      </c>
      <c r="BP22" s="211">
        <v>712.93399999999997</v>
      </c>
      <c r="BQ22" s="247">
        <f t="shared" si="26"/>
        <v>23.764466666666667</v>
      </c>
      <c r="BR22" s="211">
        <v>524.59299999999996</v>
      </c>
      <c r="BS22" s="211">
        <v>35.369999999999997</v>
      </c>
      <c r="BT22" s="190">
        <f t="shared" si="27"/>
        <v>44.149360249335835</v>
      </c>
      <c r="BU22" s="190">
        <f t="shared" si="28"/>
        <v>0.59564053623518021</v>
      </c>
      <c r="BV22" s="211">
        <v>269.43900000000002</v>
      </c>
      <c r="BW22" s="211">
        <v>177.38200000000001</v>
      </c>
      <c r="BX22" s="190">
        <f t="shared" si="29"/>
        <v>11.337893830284431</v>
      </c>
      <c r="BY22" s="190">
        <f t="shared" si="30"/>
        <v>-0.19560760961368118</v>
      </c>
      <c r="BZ22" s="194">
        <f t="shared" si="31"/>
        <v>55.487254079620264</v>
      </c>
      <c r="CA22" s="211">
        <v>653.60400000000004</v>
      </c>
      <c r="CB22" s="247">
        <f t="shared" si="32"/>
        <v>21.786800000000003</v>
      </c>
      <c r="CC22" s="211">
        <v>471.43599999999998</v>
      </c>
      <c r="CD22" s="211">
        <v>51.814999999999998</v>
      </c>
      <c r="CE22" s="190">
        <f t="shared" si="59"/>
        <v>43.277213725742186</v>
      </c>
      <c r="CF22" s="190">
        <f t="shared" si="33"/>
        <v>-0.27650598735846899</v>
      </c>
      <c r="CG22" s="211">
        <v>252.39099999999999</v>
      </c>
      <c r="CH22" s="211">
        <v>48.539000000000001</v>
      </c>
      <c r="CI22" s="190">
        <f t="shared" si="34"/>
        <v>11.58458332568344</v>
      </c>
      <c r="CJ22" s="190">
        <f t="shared" si="35"/>
        <v>5.1081885785327685E-2</v>
      </c>
      <c r="CK22" s="194">
        <f t="shared" si="36"/>
        <v>54.861797051425626</v>
      </c>
      <c r="CL22" s="211">
        <v>878.27499999999998</v>
      </c>
      <c r="CM22" s="247">
        <f t="shared" si="60"/>
        <v>29.275833333333331</v>
      </c>
      <c r="CN22" s="211">
        <v>632.89200000000005</v>
      </c>
      <c r="CO22" s="211">
        <v>48.027000000000001</v>
      </c>
      <c r="CP22" s="190">
        <f t="shared" si="37"/>
        <v>43.236480601178457</v>
      </c>
      <c r="CQ22" s="190">
        <f t="shared" si="38"/>
        <v>-0.31723911192219845</v>
      </c>
      <c r="CR22" s="211">
        <v>334.04300000000001</v>
      </c>
      <c r="CS22" s="211">
        <v>44.378999999999998</v>
      </c>
      <c r="CT22" s="190">
        <f t="shared" si="39"/>
        <v>11.41019612308218</v>
      </c>
      <c r="CU22" s="190">
        <f t="shared" si="40"/>
        <v>-0.12330531681593193</v>
      </c>
      <c r="CV22" s="247">
        <f t="shared" si="41"/>
        <v>54.646676724260637</v>
      </c>
      <c r="CW22" s="195"/>
      <c r="CX22" s="196">
        <f t="shared" si="42"/>
        <v>0</v>
      </c>
      <c r="CY22" s="196">
        <f t="shared" si="43"/>
        <v>0</v>
      </c>
      <c r="CZ22" s="196">
        <f t="shared" si="44"/>
        <v>0</v>
      </c>
      <c r="DA22" s="196">
        <f t="shared" si="45"/>
        <v>0</v>
      </c>
      <c r="DB22" s="196">
        <f t="shared" si="46"/>
        <v>0</v>
      </c>
      <c r="DC22" s="196">
        <f t="shared" si="47"/>
        <v>0</v>
      </c>
      <c r="DD22" s="163"/>
      <c r="DE22" s="200">
        <v>213.23</v>
      </c>
      <c r="DF22" s="200">
        <v>121.184</v>
      </c>
      <c r="DG22" s="206">
        <f>FORECAST(DF22,DG$5:DG21,DF$5:DF21)</f>
        <v>41.424178530082997</v>
      </c>
      <c r="DH22" s="191">
        <f t="shared" si="61"/>
        <v>0.56832528255873938</v>
      </c>
      <c r="DI22" s="197">
        <v>177.07599999999999</v>
      </c>
      <c r="DJ22" s="191">
        <f t="shared" si="48"/>
        <v>0.41522299863996626</v>
      </c>
      <c r="DK22" s="197">
        <v>171.63900000000001</v>
      </c>
      <c r="DL22" s="197">
        <v>166.881</v>
      </c>
      <c r="DM22" s="191">
        <f t="shared" si="62"/>
        <v>2.7720972506248609E-2</v>
      </c>
      <c r="DN22" s="200">
        <v>170.97900000000001</v>
      </c>
      <c r="DO22" s="206">
        <f>MROUND(FORECAST(DI22,DO$5:DO21,DI$5:DI21),1)</f>
        <v>233</v>
      </c>
      <c r="DP22" s="200">
        <v>52.156999999999996</v>
      </c>
      <c r="DQ22" s="206">
        <f t="shared" si="49"/>
        <v>285.15699999999998</v>
      </c>
      <c r="DR22" s="191">
        <f t="shared" si="50"/>
        <v>0.98354828119870563</v>
      </c>
      <c r="DS22" s="199">
        <f t="shared" si="51"/>
        <v>0.96929566965596703</v>
      </c>
      <c r="DT22" s="200">
        <v>141.59</v>
      </c>
      <c r="DU22" s="200">
        <v>63.853000000000002</v>
      </c>
      <c r="DV22" s="200">
        <v>29.753</v>
      </c>
      <c r="DW22" s="191">
        <f t="shared" si="63"/>
        <v>0.45097111377922172</v>
      </c>
      <c r="DX22" s="197">
        <v>42.003</v>
      </c>
      <c r="DY22" s="191">
        <f t="shared" si="64"/>
        <v>0.14832615297690516</v>
      </c>
      <c r="DZ22" s="208">
        <v>54.637</v>
      </c>
      <c r="EA22" s="208">
        <v>49.850999999999999</v>
      </c>
      <c r="EB22" s="209">
        <f t="shared" si="52"/>
        <v>8.7596317513772726E-2</v>
      </c>
      <c r="EC22" s="200">
        <v>39.122</v>
      </c>
      <c r="ED22" s="200"/>
      <c r="EE22" s="200">
        <v>47.610999999999997</v>
      </c>
      <c r="EF22" s="204">
        <f t="shared" si="53"/>
        <v>47.610999999999997</v>
      </c>
      <c r="EG22" s="191">
        <f t="shared" si="54"/>
        <v>0.59929726675612693</v>
      </c>
      <c r="EJ22" s="202">
        <f t="shared" si="3"/>
        <v>11.347129032258065</v>
      </c>
      <c r="EK22" s="202">
        <f>'NOPA Crush'!B447*56/('NOPA Crush'!A447-'NOPA Crush'!A446)</f>
        <v>10.961714643120615</v>
      </c>
      <c r="EL22" s="203">
        <f t="shared" si="65"/>
        <v>1.0351600458217849</v>
      </c>
      <c r="EM22" s="202">
        <f t="shared" si="55"/>
        <v>6.8783870967741931</v>
      </c>
      <c r="EN22" s="202">
        <f t="shared" si="56"/>
        <v>9.1348387096774186E-3</v>
      </c>
      <c r="EO22" s="202">
        <f t="shared" si="66"/>
        <v>18.234650967741935</v>
      </c>
    </row>
    <row r="23" spans="1:145">
      <c r="A23" s="157">
        <v>42675</v>
      </c>
      <c r="B23" s="186">
        <v>5122.0379999999996</v>
      </c>
      <c r="C23" s="187">
        <f t="shared" si="6"/>
        <v>170.73459999999997</v>
      </c>
      <c r="D23" s="247">
        <f>C23-'NOPA Crush'!G448</f>
        <v>9.9825999999999624</v>
      </c>
      <c r="E23" s="188">
        <f>C23/'NOPA Crush'!G448-1</f>
        <v>6.2099382900367983E-2</v>
      </c>
      <c r="F23" s="189">
        <v>3739.0929999999998</v>
      </c>
      <c r="G23" s="189">
        <v>3671.317</v>
      </c>
      <c r="H23" s="189">
        <v>67.775999999999996</v>
      </c>
      <c r="I23" s="189">
        <v>361.959</v>
      </c>
      <c r="J23" s="190">
        <f t="shared" si="7"/>
        <v>43.800061616098908</v>
      </c>
      <c r="K23" s="190">
        <f t="shared" si="8"/>
        <v>47.002857065878857</v>
      </c>
      <c r="L23" s="190">
        <f>K23-'NOPA Crush'!J448</f>
        <v>0.14285706587885727</v>
      </c>
      <c r="M23" s="189">
        <v>273.41399999999999</v>
      </c>
      <c r="N23" s="189">
        <v>46.073999999999998</v>
      </c>
      <c r="O23" s="189">
        <v>1961.2560000000001</v>
      </c>
      <c r="P23" s="189">
        <v>1473.201</v>
      </c>
      <c r="Q23" s="189">
        <v>618.32000000000005</v>
      </c>
      <c r="R23" s="189">
        <v>325.89400000000001</v>
      </c>
      <c r="S23" s="189">
        <v>528.98699999999997</v>
      </c>
      <c r="T23" s="189">
        <v>307.51</v>
      </c>
      <c r="U23" s="189">
        <f>(P23+T23)-'NOPA Crush'!Q448</f>
        <v>442.06999999999994</v>
      </c>
      <c r="V23" s="191">
        <f>(P23+T23)/'NOPA Crush'!Q448-1</f>
        <v>0.33023790545784859</v>
      </c>
      <c r="W23" s="190">
        <f t="shared" si="9"/>
        <v>11.487161946084745</v>
      </c>
      <c r="X23" s="190">
        <f>W23-'NOPA Crush'!O448</f>
        <v>-6.2838053915255543E-2</v>
      </c>
      <c r="Y23" s="190">
        <f t="shared" si="0"/>
        <v>58.490019011963604</v>
      </c>
      <c r="Z23" s="211">
        <v>1471.587</v>
      </c>
      <c r="AA23" s="211">
        <v>1438.84</v>
      </c>
      <c r="AB23" s="191">
        <f t="shared" si="10"/>
        <v>2.2252846756596837E-2</v>
      </c>
      <c r="AC23" s="211">
        <v>114.49</v>
      </c>
      <c r="AD23" s="211">
        <v>1463.62</v>
      </c>
      <c r="AE23" s="211">
        <v>1147.5170000000001</v>
      </c>
      <c r="AF23" s="211">
        <v>316.10300000000001</v>
      </c>
      <c r="AG23" s="191">
        <f t="shared" si="1"/>
        <v>1.7222206777681937E-2</v>
      </c>
      <c r="AH23" s="163"/>
      <c r="AI23" s="211">
        <v>653.25900000000001</v>
      </c>
      <c r="AJ23" s="247">
        <f t="shared" si="11"/>
        <v>21.775300000000001</v>
      </c>
      <c r="AK23" s="211">
        <v>475.78899999999999</v>
      </c>
      <c r="AL23" s="340">
        <v>86.89400000000002</v>
      </c>
      <c r="AM23" s="190">
        <f t="shared" si="12"/>
        <v>43.699880139424025</v>
      </c>
      <c r="AN23" s="190">
        <f t="shared" si="13"/>
        <v>-0.10018147667488364</v>
      </c>
      <c r="AO23" s="211">
        <v>255.08099999999999</v>
      </c>
      <c r="AP23" s="211">
        <v>126.85299999999999</v>
      </c>
      <c r="AQ23" s="190">
        <f t="shared" si="2"/>
        <v>11.714235854385473</v>
      </c>
      <c r="AR23" s="190">
        <f t="shared" si="14"/>
        <v>0.22707390830072782</v>
      </c>
      <c r="AS23" s="190">
        <f t="shared" si="15"/>
        <v>55.414115993809496</v>
      </c>
      <c r="AT23" s="211">
        <v>1097.4459999999999</v>
      </c>
      <c r="AU23" s="247">
        <f t="shared" si="16"/>
        <v>36.581533333333333</v>
      </c>
      <c r="AV23" s="211">
        <v>800.53899999999999</v>
      </c>
      <c r="AW23" s="211">
        <v>59.387999999999998</v>
      </c>
      <c r="AX23" s="190">
        <f t="shared" si="17"/>
        <v>43.767383543244954</v>
      </c>
      <c r="AY23" s="190">
        <f t="shared" si="18"/>
        <v>-3.2678072853954632E-2</v>
      </c>
      <c r="AZ23" s="211">
        <v>415.12799999999999</v>
      </c>
      <c r="BA23" s="211">
        <v>99.653000000000006</v>
      </c>
      <c r="BB23" s="190">
        <f t="shared" si="19"/>
        <v>11.34802076822003</v>
      </c>
      <c r="BC23" s="190">
        <f t="shared" si="57"/>
        <v>-0.13914117786471536</v>
      </c>
      <c r="BD23" s="247">
        <f t="shared" si="20"/>
        <v>55.115404311464985</v>
      </c>
      <c r="BE23" s="211">
        <v>1177.106</v>
      </c>
      <c r="BF23" s="247">
        <f t="shared" si="58"/>
        <v>39.236866666666664</v>
      </c>
      <c r="BG23" s="211">
        <v>854.89300000000003</v>
      </c>
      <c r="BH23" s="211">
        <v>96.25</v>
      </c>
      <c r="BI23" s="190">
        <f t="shared" si="21"/>
        <v>43.576007598296165</v>
      </c>
      <c r="BJ23" s="190">
        <f t="shared" si="22"/>
        <v>-0.22405401780274303</v>
      </c>
      <c r="BK23" s="211">
        <v>453.48099999999999</v>
      </c>
      <c r="BL23" s="211">
        <v>136.874</v>
      </c>
      <c r="BM23" s="190">
        <f t="shared" si="23"/>
        <v>11.557523281675568</v>
      </c>
      <c r="BN23" s="190">
        <f t="shared" si="24"/>
        <v>7.0361335590822804E-2</v>
      </c>
      <c r="BO23" s="247">
        <f t="shared" si="25"/>
        <v>55.13353087997173</v>
      </c>
      <c r="BP23" s="211">
        <v>647.63099999999997</v>
      </c>
      <c r="BQ23" s="247">
        <f t="shared" si="26"/>
        <v>21.587699999999998</v>
      </c>
      <c r="BR23" s="211">
        <v>480.77</v>
      </c>
      <c r="BS23" s="211">
        <v>26.602</v>
      </c>
      <c r="BT23" s="190">
        <f t="shared" si="27"/>
        <v>44.541104425205098</v>
      </c>
      <c r="BU23" s="190">
        <f t="shared" si="28"/>
        <v>0.74104280910619025</v>
      </c>
      <c r="BV23" s="211">
        <v>247.553</v>
      </c>
      <c r="BW23" s="211">
        <v>159.57599999999999</v>
      </c>
      <c r="BX23" s="190">
        <f t="shared" si="29"/>
        <v>11.46731703701645</v>
      </c>
      <c r="BY23" s="190">
        <f t="shared" si="30"/>
        <v>-1.984490906829528E-2</v>
      </c>
      <c r="BZ23" s="194">
        <f t="shared" si="31"/>
        <v>56.008421462221548</v>
      </c>
      <c r="CA23" s="211">
        <v>666.90700000000004</v>
      </c>
      <c r="CB23" s="247">
        <f t="shared" si="32"/>
        <v>22.230233333333334</v>
      </c>
      <c r="CC23" s="211">
        <v>484.41899999999998</v>
      </c>
      <c r="CD23" s="211">
        <v>50.393999999999998</v>
      </c>
      <c r="CE23" s="190">
        <f t="shared" si="59"/>
        <v>43.581998689472442</v>
      </c>
      <c r="CF23" s="190">
        <f t="shared" si="33"/>
        <v>-0.21806292662646598</v>
      </c>
      <c r="CG23" s="211">
        <v>256.79500000000002</v>
      </c>
      <c r="CH23" s="211">
        <v>59.39</v>
      </c>
      <c r="CI23" s="190">
        <f t="shared" si="34"/>
        <v>11.551610644362707</v>
      </c>
      <c r="CJ23" s="190">
        <f t="shared" si="35"/>
        <v>6.444869827796218E-2</v>
      </c>
      <c r="CK23" s="194">
        <f t="shared" si="36"/>
        <v>55.133609333835153</v>
      </c>
      <c r="CL23" s="211">
        <v>879.68899999999996</v>
      </c>
      <c r="CM23" s="247">
        <f t="shared" si="60"/>
        <v>29.322966666666666</v>
      </c>
      <c r="CN23" s="211">
        <v>642.68299999999999</v>
      </c>
      <c r="CO23" s="211">
        <v>42.430999999999997</v>
      </c>
      <c r="CP23" s="190">
        <f t="shared" si="37"/>
        <v>43.834787066792927</v>
      </c>
      <c r="CQ23" s="190">
        <f t="shared" si="38"/>
        <v>3.4725450694018889E-2</v>
      </c>
      <c r="CR23" s="211">
        <v>333.21800000000002</v>
      </c>
      <c r="CS23" s="211">
        <v>35.973999999999997</v>
      </c>
      <c r="CT23" s="190">
        <f t="shared" si="39"/>
        <v>11.363720587616761</v>
      </c>
      <c r="CU23" s="190">
        <f t="shared" si="40"/>
        <v>-0.12344135846798387</v>
      </c>
      <c r="CV23" s="247">
        <f t="shared" si="41"/>
        <v>55.198507654409688</v>
      </c>
      <c r="CW23" s="195"/>
      <c r="CX23" s="196">
        <f t="shared" si="42"/>
        <v>0</v>
      </c>
      <c r="CY23" s="196">
        <f t="shared" si="43"/>
        <v>0</v>
      </c>
      <c r="CZ23" s="196">
        <f t="shared" si="44"/>
        <v>0</v>
      </c>
      <c r="DA23" s="196">
        <f t="shared" si="45"/>
        <v>0</v>
      </c>
      <c r="DB23" s="196">
        <f t="shared" si="46"/>
        <v>0</v>
      </c>
      <c r="DC23" s="196">
        <f t="shared" si="47"/>
        <v>0</v>
      </c>
      <c r="DD23" s="163"/>
      <c r="DE23" s="200">
        <v>209.43199999999999</v>
      </c>
      <c r="DF23" s="200">
        <v>117.056</v>
      </c>
      <c r="DG23" s="206">
        <f>FORECAST(DF23,DG4:DG22,DF4:DF22)</f>
        <v>41.20514196043132</v>
      </c>
      <c r="DH23" s="191">
        <f t="shared" si="61"/>
        <v>0.5589212727758891</v>
      </c>
      <c r="DI23" s="197">
        <v>178.18899999999999</v>
      </c>
      <c r="DJ23" s="191">
        <f t="shared" si="48"/>
        <v>0.42541015699606555</v>
      </c>
      <c r="DK23" s="197">
        <v>167.22200000000001</v>
      </c>
      <c r="DL23" s="197">
        <v>161.94999999999999</v>
      </c>
      <c r="DM23" s="191">
        <f t="shared" si="62"/>
        <v>3.1526952195285451E-2</v>
      </c>
      <c r="DN23" s="200">
        <v>160.32599999999999</v>
      </c>
      <c r="DO23" s="200">
        <v>239.673</v>
      </c>
      <c r="DP23" s="200">
        <v>66.465999999999994</v>
      </c>
      <c r="DQ23" s="200">
        <f t="shared" si="49"/>
        <v>306.13900000000001</v>
      </c>
      <c r="DR23" s="191">
        <f t="shared" si="50"/>
        <v>0.98433142977195465</v>
      </c>
      <c r="DS23" s="199">
        <f t="shared" si="51"/>
        <v>0.93845299092536583</v>
      </c>
      <c r="DT23" s="200">
        <v>163.90899999999999</v>
      </c>
      <c r="DU23" s="200">
        <v>75.936999999999998</v>
      </c>
      <c r="DV23" s="200">
        <v>34.469000000000001</v>
      </c>
      <c r="DW23" s="191">
        <f t="shared" si="63"/>
        <v>0.4632875558999201</v>
      </c>
      <c r="DX23" s="197">
        <v>51.140999999999998</v>
      </c>
      <c r="DY23" s="191">
        <f t="shared" si="64"/>
        <v>0.15600424625859471</v>
      </c>
      <c r="DZ23" s="197">
        <v>50.006999999999998</v>
      </c>
      <c r="EA23" s="197">
        <v>48.776000000000003</v>
      </c>
      <c r="EB23" s="191">
        <f t="shared" si="52"/>
        <v>2.4616553682484388E-2</v>
      </c>
      <c r="EC23" s="200">
        <v>48.018000000000001</v>
      </c>
      <c r="ED23" s="200"/>
      <c r="EE23" s="200">
        <v>48.432000000000002</v>
      </c>
      <c r="EF23" s="204">
        <f t="shared" si="53"/>
        <v>48.432000000000002</v>
      </c>
      <c r="EG23" s="191">
        <f t="shared" si="54"/>
        <v>0.61929180215851476</v>
      </c>
      <c r="EJ23" s="202">
        <f t="shared" si="3"/>
        <v>11.382306666666665</v>
      </c>
      <c r="EK23" s="202">
        <f>'NOPA Crush'!B448*56/('NOPA Crush'!A448-'NOPA Crush'!A447)</f>
        <v>10.538355442611712</v>
      </c>
      <c r="EL23" s="203">
        <f t="shared" si="65"/>
        <v>1.080083769109025</v>
      </c>
      <c r="EM23" s="202">
        <f t="shared" si="55"/>
        <v>6.9810666666666661</v>
      </c>
      <c r="EN23" s="202">
        <f t="shared" si="56"/>
        <v>1.0927266666666666E-2</v>
      </c>
      <c r="EO23" s="202">
        <f t="shared" si="66"/>
        <v>18.374300599999998</v>
      </c>
    </row>
    <row r="24" spans="1:145">
      <c r="A24" s="157">
        <v>42705</v>
      </c>
      <c r="B24" s="186">
        <v>5071.4930000000004</v>
      </c>
      <c r="C24" s="187">
        <f t="shared" si="6"/>
        <v>169.04976666666667</v>
      </c>
      <c r="D24" s="247">
        <f>C24-'NOPA Crush'!G449</f>
        <v>8.8737666666666826</v>
      </c>
      <c r="E24" s="188">
        <f>C24/'NOPA Crush'!G449-1</f>
        <v>5.5400101554956338E-2</v>
      </c>
      <c r="F24" s="189">
        <v>3690.6680000000001</v>
      </c>
      <c r="G24" s="189">
        <v>3628.3229999999999</v>
      </c>
      <c r="H24" s="189">
        <v>62.344999999999999</v>
      </c>
      <c r="I24" s="189">
        <v>403.90100000000001</v>
      </c>
      <c r="J24" s="190">
        <f t="shared" si="7"/>
        <v>43.663686413448666</v>
      </c>
      <c r="K24" s="190">
        <f t="shared" si="8"/>
        <v>46.899171506300014</v>
      </c>
      <c r="L24" s="190">
        <f>K24-'NOPA Crush'!J449</f>
        <v>5.917150630001089E-2</v>
      </c>
      <c r="M24" s="189">
        <v>273.47899999999998</v>
      </c>
      <c r="N24" s="189">
        <v>42.509</v>
      </c>
      <c r="O24" s="189">
        <v>1950.1759999999999</v>
      </c>
      <c r="P24" s="189">
        <v>1505.3510000000001</v>
      </c>
      <c r="Q24" s="189">
        <v>632.12400000000002</v>
      </c>
      <c r="R24" s="189">
        <v>303.62</v>
      </c>
      <c r="S24" s="189">
        <v>569.60699999999997</v>
      </c>
      <c r="T24" s="189">
        <v>366.91899999999998</v>
      </c>
      <c r="U24" s="189">
        <f>(P24+T24)-'NOPA Crush'!Q449</f>
        <v>438.32300000000009</v>
      </c>
      <c r="V24" s="191">
        <f>(P24+T24)/'NOPA Crush'!Q449-1</f>
        <v>0.30567587226027193</v>
      </c>
      <c r="W24" s="190">
        <f t="shared" si="9"/>
        <v>11.536105837077956</v>
      </c>
      <c r="X24" s="190">
        <f>W24-'NOPA Crush'!O449</f>
        <v>-8.3894162922042881E-2</v>
      </c>
      <c r="Y24" s="190">
        <f t="shared" si="0"/>
        <v>58.435277343377969</v>
      </c>
      <c r="Z24" s="211">
        <v>1440.556</v>
      </c>
      <c r="AA24" s="211">
        <v>1406.5050000000001</v>
      </c>
      <c r="AB24" s="191">
        <f t="shared" si="10"/>
        <v>2.3637401114569603E-2</v>
      </c>
      <c r="AC24" s="211">
        <v>120.2</v>
      </c>
      <c r="AD24" s="211">
        <v>1376.9349999999999</v>
      </c>
      <c r="AE24" s="211">
        <v>1083.9970000000001</v>
      </c>
      <c r="AF24" s="211">
        <v>292.93799999999999</v>
      </c>
      <c r="AG24" s="191">
        <f t="shared" si="1"/>
        <v>-2.1023743250113025E-2</v>
      </c>
      <c r="AH24" s="163"/>
      <c r="AI24" s="211">
        <v>641.98800000000006</v>
      </c>
      <c r="AJ24" s="247">
        <f t="shared" si="11"/>
        <v>21.399600000000003</v>
      </c>
      <c r="AK24" s="211">
        <v>462.69299999999998</v>
      </c>
      <c r="AL24" s="211">
        <v>94.385000000000005</v>
      </c>
      <c r="AM24" s="190">
        <f t="shared" si="12"/>
        <v>43.243144731677219</v>
      </c>
      <c r="AN24" s="190">
        <f t="shared" si="13"/>
        <v>-0.42054168177144646</v>
      </c>
      <c r="AO24" s="211">
        <v>252.51</v>
      </c>
      <c r="AP24" s="211">
        <v>118.626</v>
      </c>
      <c r="AQ24" s="190">
        <f t="shared" si="2"/>
        <v>11.799753266416193</v>
      </c>
      <c r="AR24" s="190">
        <f t="shared" si="14"/>
        <v>0.26364742933823671</v>
      </c>
      <c r="AS24" s="190">
        <f t="shared" si="15"/>
        <v>55.042897998093409</v>
      </c>
      <c r="AT24" s="211">
        <v>1090.1849999999999</v>
      </c>
      <c r="AU24" s="247">
        <f t="shared" si="16"/>
        <v>36.339500000000001</v>
      </c>
      <c r="AV24" s="211">
        <v>795.27599999999995</v>
      </c>
      <c r="AW24" s="211">
        <v>69.58</v>
      </c>
      <c r="AX24" s="190">
        <f t="shared" si="17"/>
        <v>43.769231827625582</v>
      </c>
      <c r="AY24" s="190">
        <f t="shared" si="18"/>
        <v>0.1055454141769161</v>
      </c>
      <c r="AZ24" s="211">
        <v>414.87900000000002</v>
      </c>
      <c r="BA24" s="211">
        <v>122.691</v>
      </c>
      <c r="BB24" s="190">
        <f t="shared" si="19"/>
        <v>11.416750368056798</v>
      </c>
      <c r="BC24" s="190">
        <f t="shared" si="57"/>
        <v>-0.11935546902115846</v>
      </c>
      <c r="BD24" s="247">
        <f t="shared" si="20"/>
        <v>55.185982195682378</v>
      </c>
      <c r="BE24" s="211">
        <v>1102.2</v>
      </c>
      <c r="BF24" s="247">
        <f t="shared" si="58"/>
        <v>36.74</v>
      </c>
      <c r="BG24" s="211">
        <v>803.90700000000004</v>
      </c>
      <c r="BH24" s="211">
        <v>79.528999999999996</v>
      </c>
      <c r="BI24" s="190">
        <f t="shared" si="21"/>
        <v>43.761948829613502</v>
      </c>
      <c r="BJ24" s="190">
        <f t="shared" si="22"/>
        <v>9.8262416164835997E-2</v>
      </c>
      <c r="BK24" s="211">
        <v>428.512</v>
      </c>
      <c r="BL24" s="211">
        <v>117.929</v>
      </c>
      <c r="BM24" s="190">
        <f t="shared" si="23"/>
        <v>11.663364180729449</v>
      </c>
      <c r="BN24" s="190">
        <f t="shared" si="24"/>
        <v>0.12725834365149247</v>
      </c>
      <c r="BO24" s="247">
        <f t="shared" si="25"/>
        <v>55.425313010342947</v>
      </c>
      <c r="BP24" s="211">
        <v>690.15099999999995</v>
      </c>
      <c r="BQ24" s="247">
        <f t="shared" si="26"/>
        <v>23.005033333333333</v>
      </c>
      <c r="BR24" s="211">
        <v>500.82100000000003</v>
      </c>
      <c r="BS24" s="211">
        <v>38.06</v>
      </c>
      <c r="BT24" s="190">
        <f t="shared" si="27"/>
        <v>43.540123827973879</v>
      </c>
      <c r="BU24" s="190">
        <f t="shared" si="28"/>
        <v>-0.1235625854747866</v>
      </c>
      <c r="BV24" s="211">
        <v>260.79700000000003</v>
      </c>
      <c r="BW24" s="211">
        <v>147.28899999999999</v>
      </c>
      <c r="BX24" s="190">
        <f t="shared" si="29"/>
        <v>11.336519109586163</v>
      </c>
      <c r="BY24" s="190">
        <f t="shared" si="30"/>
        <v>-0.19958672749179307</v>
      </c>
      <c r="BZ24" s="194">
        <f t="shared" si="31"/>
        <v>54.876642937560042</v>
      </c>
      <c r="CA24" s="211">
        <v>660.05700000000002</v>
      </c>
      <c r="CB24" s="247">
        <f t="shared" si="32"/>
        <v>22.001899999999999</v>
      </c>
      <c r="CC24" s="211">
        <v>478.29300000000001</v>
      </c>
      <c r="CD24" s="211">
        <v>65.332999999999998</v>
      </c>
      <c r="CE24" s="190">
        <f t="shared" si="59"/>
        <v>43.477426949490727</v>
      </c>
      <c r="CF24" s="190">
        <f t="shared" si="33"/>
        <v>-0.18625946395793846</v>
      </c>
      <c r="CG24" s="211">
        <v>255.05199999999999</v>
      </c>
      <c r="CH24" s="211">
        <v>82.32</v>
      </c>
      <c r="CI24" s="190">
        <f t="shared" si="34"/>
        <v>11.592271576545661</v>
      </c>
      <c r="CJ24" s="190">
        <f t="shared" si="35"/>
        <v>5.6165739467704867E-2</v>
      </c>
      <c r="CK24" s="194">
        <f t="shared" si="36"/>
        <v>55.06969852603639</v>
      </c>
      <c r="CL24" s="211">
        <v>886.91200000000003</v>
      </c>
      <c r="CM24" s="247">
        <f t="shared" si="60"/>
        <v>29.563733333333335</v>
      </c>
      <c r="CN24" s="211">
        <v>649.678</v>
      </c>
      <c r="CO24" s="211">
        <v>57.014000000000003</v>
      </c>
      <c r="CP24" s="190">
        <f t="shared" si="37"/>
        <v>43.951012050800976</v>
      </c>
      <c r="CQ24" s="190">
        <f t="shared" si="38"/>
        <v>0.28732563735231054</v>
      </c>
      <c r="CR24" s="211">
        <v>338.42599999999999</v>
      </c>
      <c r="CS24" s="211">
        <v>43.268999999999998</v>
      </c>
      <c r="CT24" s="190">
        <f t="shared" si="39"/>
        <v>11.447336376100447</v>
      </c>
      <c r="CU24" s="190">
        <f t="shared" si="40"/>
        <v>-8.8769460977509596E-2</v>
      </c>
      <c r="CV24" s="247">
        <f t="shared" si="41"/>
        <v>55.398348426901421</v>
      </c>
      <c r="CW24" s="195"/>
      <c r="CX24" s="196">
        <f t="shared" si="42"/>
        <v>0</v>
      </c>
      <c r="CY24" s="196">
        <f t="shared" si="43"/>
        <v>0</v>
      </c>
      <c r="CZ24" s="196">
        <f t="shared" si="44"/>
        <v>0</v>
      </c>
      <c r="DA24" s="196">
        <f t="shared" si="45"/>
        <v>0</v>
      </c>
      <c r="DB24" s="196">
        <f t="shared" si="46"/>
        <v>6.3948846218409017E-14</v>
      </c>
      <c r="DC24" s="196">
        <f t="shared" si="47"/>
        <v>0</v>
      </c>
      <c r="DD24" s="163"/>
      <c r="DE24" s="200">
        <v>178.637</v>
      </c>
      <c r="DF24" s="200">
        <v>103.139</v>
      </c>
      <c r="DG24" s="206">
        <f>FORECAST(DF24,DG5:DG23,DF5:DF23)</f>
        <v>40.466689455624554</v>
      </c>
      <c r="DH24" s="191">
        <f t="shared" si="61"/>
        <v>0.57736639106120236</v>
      </c>
      <c r="DI24" s="197">
        <v>149.916</v>
      </c>
      <c r="DJ24" s="191">
        <f t="shared" si="48"/>
        <v>0.41961071894400376</v>
      </c>
      <c r="DK24" s="197">
        <v>120.438</v>
      </c>
      <c r="DL24" s="197">
        <v>117.307</v>
      </c>
      <c r="DM24" s="191">
        <f t="shared" si="62"/>
        <v>2.5996778425413924E-2</v>
      </c>
      <c r="DN24" s="200">
        <v>138.86600000000001</v>
      </c>
      <c r="DO24" s="200">
        <v>237.62200000000001</v>
      </c>
      <c r="DP24" s="200">
        <v>68.912000000000006</v>
      </c>
      <c r="DQ24" s="200">
        <f t="shared" si="49"/>
        <v>306.53399999999999</v>
      </c>
      <c r="DR24" s="191">
        <f t="shared" si="50"/>
        <v>0.99697711000520606</v>
      </c>
      <c r="DS24" s="199">
        <f t="shared" si="51"/>
        <v>0.80336988713679669</v>
      </c>
      <c r="DT24" s="200">
        <v>167.631</v>
      </c>
      <c r="DU24" s="200">
        <v>76.852999999999994</v>
      </c>
      <c r="DV24" s="200">
        <v>33.198</v>
      </c>
      <c r="DW24" s="191">
        <f t="shared" si="63"/>
        <v>0.45846531966044463</v>
      </c>
      <c r="DX24" s="197">
        <v>50.386000000000003</v>
      </c>
      <c r="DY24" s="191">
        <f t="shared" si="64"/>
        <v>0.15028843113743878</v>
      </c>
      <c r="DZ24" s="197">
        <v>53.081000000000003</v>
      </c>
      <c r="EA24" s="197">
        <v>51.497999999999998</v>
      </c>
      <c r="EB24" s="191">
        <f t="shared" si="52"/>
        <v>2.9822346979145209E-2</v>
      </c>
      <c r="EC24" s="200">
        <v>53.463999999999999</v>
      </c>
      <c r="ED24" s="200"/>
      <c r="EE24" s="200">
        <v>48.384999999999998</v>
      </c>
      <c r="EF24" s="204">
        <f t="shared" si="53"/>
        <v>48.384999999999998</v>
      </c>
      <c r="EG24" s="191">
        <f t="shared" si="54"/>
        <v>0.60875375079788341</v>
      </c>
      <c r="EJ24" s="202">
        <f t="shared" si="3"/>
        <v>10.906436559139784</v>
      </c>
      <c r="EK24" s="202">
        <f>'NOPA Crush'!B449*56/('NOPA Crush'!A449-'NOPA Crush'!A448)</f>
        <v>10.812402611322492</v>
      </c>
      <c r="EL24" s="203">
        <f t="shared" si="65"/>
        <v>1.0086968596340302</v>
      </c>
      <c r="EM24" s="202">
        <f t="shared" si="55"/>
        <v>5.762483870967742</v>
      </c>
      <c r="EN24" s="202">
        <f t="shared" si="56"/>
        <v>1.0814903225806452E-2</v>
      </c>
      <c r="EO24" s="202">
        <f t="shared" si="66"/>
        <v>16.679735333333333</v>
      </c>
    </row>
    <row r="25" spans="1:145">
      <c r="A25" s="157">
        <v>42736</v>
      </c>
      <c r="B25" s="186">
        <v>5139.7060000000001</v>
      </c>
      <c r="C25" s="187">
        <f t="shared" si="6"/>
        <v>171.32353333333333</v>
      </c>
      <c r="D25" s="247">
        <f>C25-'NOPA Crush'!G450</f>
        <v>10.702533333333321</v>
      </c>
      <c r="E25" s="188">
        <f>C25/'NOPA Crush'!G450-1</f>
        <v>6.663221704094302E-2</v>
      </c>
      <c r="F25" s="189">
        <v>3763.462</v>
      </c>
      <c r="G25" s="189">
        <v>3698.7820000000002</v>
      </c>
      <c r="H25" s="189">
        <v>64.680000000000007</v>
      </c>
      <c r="I25" s="189">
        <v>394.42500000000001</v>
      </c>
      <c r="J25" s="190">
        <f t="shared" si="7"/>
        <v>43.933975990066358</v>
      </c>
      <c r="K25" s="190">
        <f t="shared" si="8"/>
        <v>46.989469825705989</v>
      </c>
      <c r="L25" s="190">
        <f>K25-'NOPA Crush'!J450</f>
        <v>4.94698257059909E-2</v>
      </c>
      <c r="M25" s="189">
        <v>261.73899999999998</v>
      </c>
      <c r="N25" s="189">
        <v>40.448</v>
      </c>
      <c r="O25" s="189">
        <v>1982.893</v>
      </c>
      <c r="P25" s="189">
        <v>1731.0329999999999</v>
      </c>
      <c r="Q25" s="189">
        <v>794.28099999999995</v>
      </c>
      <c r="R25" s="189">
        <v>324.80099999999999</v>
      </c>
      <c r="S25" s="189">
        <v>611.95100000000002</v>
      </c>
      <c r="T25" s="189">
        <v>394.66399999999999</v>
      </c>
      <c r="U25" s="189">
        <f>(P25+T25)-'NOPA Crush'!Q450</f>
        <v>496.90300000000002</v>
      </c>
      <c r="V25" s="191">
        <f>(P25+T25)/'NOPA Crush'!Q450-1</f>
        <v>0.3050741837212072</v>
      </c>
      <c r="W25" s="190">
        <f t="shared" si="9"/>
        <v>11.573967460395595</v>
      </c>
      <c r="X25" s="190">
        <f>W25-'NOPA Crush'!O450</f>
        <v>-7.6032539604405258E-2</v>
      </c>
      <c r="Y25" s="190">
        <f t="shared" si="0"/>
        <v>58.563437286101582</v>
      </c>
      <c r="Z25" s="211">
        <v>1370.2260000000001</v>
      </c>
      <c r="AA25" s="211">
        <v>1324.7539999999999</v>
      </c>
      <c r="AB25" s="191">
        <f t="shared" si="10"/>
        <v>3.318576643561004E-2</v>
      </c>
      <c r="AC25" s="211">
        <v>89.685000000000002</v>
      </c>
      <c r="AD25" s="211">
        <v>1262.0519999999999</v>
      </c>
      <c r="AE25" s="211">
        <v>1066.162</v>
      </c>
      <c r="AF25" s="211">
        <v>195.89</v>
      </c>
      <c r="AG25" s="191">
        <f t="shared" si="1"/>
        <v>-4.7331051651853806E-2</v>
      </c>
      <c r="AH25" s="163"/>
      <c r="AI25" s="211">
        <v>639.072</v>
      </c>
      <c r="AJ25" s="247">
        <f t="shared" si="11"/>
        <v>21.302399999999999</v>
      </c>
      <c r="AK25" s="211">
        <v>459.07499999999999</v>
      </c>
      <c r="AL25" s="211">
        <v>76.611999999999995</v>
      </c>
      <c r="AM25" s="190">
        <f t="shared" si="12"/>
        <v>43.100777377196934</v>
      </c>
      <c r="AN25" s="190">
        <f t="shared" si="13"/>
        <v>-0.83319861286942398</v>
      </c>
      <c r="AO25" s="211">
        <v>252.48099999999999</v>
      </c>
      <c r="AP25" s="211">
        <v>141.34200000000001</v>
      </c>
      <c r="AQ25" s="190">
        <f t="shared" si="2"/>
        <v>11.852232612287818</v>
      </c>
      <c r="AR25" s="190">
        <f t="shared" si="14"/>
        <v>0.27826515189222256</v>
      </c>
      <c r="AS25" s="190">
        <f t="shared" si="15"/>
        <v>54.953009989484755</v>
      </c>
      <c r="AT25" s="211">
        <v>1084.7729999999999</v>
      </c>
      <c r="AU25" s="247">
        <f t="shared" si="16"/>
        <v>36.159099999999995</v>
      </c>
      <c r="AV25" s="211">
        <v>792.64499999999998</v>
      </c>
      <c r="AW25" s="211">
        <v>74.009</v>
      </c>
      <c r="AX25" s="190">
        <f t="shared" si="17"/>
        <v>43.842075715380091</v>
      </c>
      <c r="AY25" s="190">
        <f t="shared" si="18"/>
        <v>-9.190027468626738E-2</v>
      </c>
      <c r="AZ25" s="211">
        <v>414.09699999999998</v>
      </c>
      <c r="BA25" s="211">
        <v>171.68199999999999</v>
      </c>
      <c r="BB25" s="190">
        <f t="shared" si="19"/>
        <v>11.452082601613427</v>
      </c>
      <c r="BC25" s="190">
        <f t="shared" si="57"/>
        <v>-0.12188485878216859</v>
      </c>
      <c r="BD25" s="247">
        <f t="shared" si="20"/>
        <v>55.294158316993517</v>
      </c>
      <c r="BE25" s="211">
        <v>1169.152</v>
      </c>
      <c r="BF25" s="247">
        <f t="shared" si="58"/>
        <v>38.971733333333333</v>
      </c>
      <c r="BG25" s="211">
        <v>859.92899999999997</v>
      </c>
      <c r="BH25" s="211">
        <v>77.742999999999995</v>
      </c>
      <c r="BI25" s="190">
        <f t="shared" si="21"/>
        <v>44.130908555944821</v>
      </c>
      <c r="BJ25" s="190">
        <f t="shared" si="22"/>
        <v>0.19693256587846264</v>
      </c>
      <c r="BK25" s="211">
        <v>455.529</v>
      </c>
      <c r="BL25" s="211">
        <v>169.84299999999999</v>
      </c>
      <c r="BM25" s="190">
        <f t="shared" si="23"/>
        <v>11.688702581015985</v>
      </c>
      <c r="BN25" s="190">
        <f t="shared" si="24"/>
        <v>0.11473512062038971</v>
      </c>
      <c r="BO25" s="247">
        <f t="shared" si="25"/>
        <v>55.819611136960802</v>
      </c>
      <c r="BP25" s="211">
        <v>689.40099999999995</v>
      </c>
      <c r="BQ25" s="247">
        <f t="shared" si="26"/>
        <v>22.980033333333331</v>
      </c>
      <c r="BR25" s="211">
        <v>511.43700000000001</v>
      </c>
      <c r="BS25" s="340">
        <v>47.894999999999939</v>
      </c>
      <c r="BT25" s="190">
        <f t="shared" si="27"/>
        <v>44.511423685199183</v>
      </c>
      <c r="BU25" s="190">
        <f t="shared" si="28"/>
        <v>0.57744769513282534</v>
      </c>
      <c r="BV25" s="211">
        <v>260.21199999999999</v>
      </c>
      <c r="BW25" s="211">
        <v>195.98599999999999</v>
      </c>
      <c r="BX25" s="190">
        <f t="shared" si="29"/>
        <v>11.323395237314713</v>
      </c>
      <c r="BY25" s="190">
        <f t="shared" si="30"/>
        <v>-0.25057222308088178</v>
      </c>
      <c r="BZ25" s="194">
        <f t="shared" si="31"/>
        <v>55.834818922513897</v>
      </c>
      <c r="CA25" s="211">
        <v>689.11300000000006</v>
      </c>
      <c r="CB25" s="247">
        <f t="shared" si="32"/>
        <v>22.970433333333336</v>
      </c>
      <c r="CC25" s="211">
        <v>490.94600000000003</v>
      </c>
      <c r="CD25" s="211">
        <v>63.031999999999996</v>
      </c>
      <c r="CE25" s="190">
        <f t="shared" si="59"/>
        <v>42.745906694547919</v>
      </c>
      <c r="CF25" s="190">
        <f t="shared" si="33"/>
        <v>-1.1880692955184387</v>
      </c>
      <c r="CG25" s="211">
        <v>260.47199999999998</v>
      </c>
      <c r="CH25" s="211">
        <v>75.278000000000006</v>
      </c>
      <c r="CI25" s="190">
        <f t="shared" si="34"/>
        <v>11.339446505870589</v>
      </c>
      <c r="CJ25" s="190">
        <f t="shared" si="35"/>
        <v>-0.23452095452500643</v>
      </c>
      <c r="CK25" s="194">
        <f t="shared" si="36"/>
        <v>54.08535320041851</v>
      </c>
      <c r="CL25" s="211">
        <v>868.19500000000005</v>
      </c>
      <c r="CM25" s="247">
        <f t="shared" si="60"/>
        <v>28.939833333333336</v>
      </c>
      <c r="CN25" s="211">
        <v>638.06200000000001</v>
      </c>
      <c r="CO25" s="340">
        <v>47.89500000000001</v>
      </c>
      <c r="CP25" s="190">
        <f t="shared" si="37"/>
        <v>44.095761896808895</v>
      </c>
      <c r="CQ25" s="190">
        <f t="shared" si="38"/>
        <v>0.16178590674253712</v>
      </c>
      <c r="CR25" s="211">
        <v>334.41800000000001</v>
      </c>
      <c r="CS25" s="211">
        <v>36.923999999999999</v>
      </c>
      <c r="CT25" s="190">
        <f t="shared" si="39"/>
        <v>11.555629783631556</v>
      </c>
      <c r="CU25" s="190">
        <f t="shared" si="40"/>
        <v>-1.8337676764039301E-2</v>
      </c>
      <c r="CV25" s="247">
        <f t="shared" si="41"/>
        <v>55.651391680440454</v>
      </c>
      <c r="CW25" s="163"/>
      <c r="CX25" s="196">
        <f t="shared" si="42"/>
        <v>0</v>
      </c>
      <c r="CY25" s="196">
        <f t="shared" si="43"/>
        <v>11.368000000000166</v>
      </c>
      <c r="CZ25" s="196">
        <f t="shared" si="44"/>
        <v>7.2390000000000327</v>
      </c>
      <c r="DA25" s="196">
        <f t="shared" si="45"/>
        <v>5.6840000000000828</v>
      </c>
      <c r="DB25" s="196">
        <f t="shared" si="46"/>
        <v>3.225999999999992</v>
      </c>
      <c r="DC25" s="196">
        <f t="shared" si="47"/>
        <v>0</v>
      </c>
      <c r="DD25" s="163"/>
      <c r="DE25" s="200">
        <v>177.36199999999999</v>
      </c>
      <c r="DF25" s="200">
        <v>98.757999999999996</v>
      </c>
      <c r="DG25" s="206">
        <f>FORECAST(DF25,DG6:DG24,DF6:DF24)</f>
        <v>40.302483996858967</v>
      </c>
      <c r="DH25" s="191">
        <f t="shared" si="61"/>
        <v>0.55681600342801729</v>
      </c>
      <c r="DI25" s="197">
        <v>150.87299999999999</v>
      </c>
      <c r="DJ25" s="191">
        <f t="shared" si="48"/>
        <v>0.42532504144066935</v>
      </c>
      <c r="DK25" s="197">
        <v>117.494</v>
      </c>
      <c r="DL25" s="197">
        <v>114.721</v>
      </c>
      <c r="DM25" s="191">
        <f t="shared" si="62"/>
        <v>2.3601205167923411E-2</v>
      </c>
      <c r="DN25" s="200">
        <v>132.80500000000001</v>
      </c>
      <c r="DO25" s="206">
        <f>MROUND(FORECAST(DI25,DO$5:DO24,DI$5:DI24),1)</f>
        <v>199</v>
      </c>
      <c r="DP25" s="200">
        <v>82.692999999999998</v>
      </c>
      <c r="DQ25" s="206">
        <f t="shared" si="49"/>
        <v>281.69299999999998</v>
      </c>
      <c r="DR25" s="191">
        <f t="shared" si="50"/>
        <v>0.9821410448686867</v>
      </c>
      <c r="DS25" s="199">
        <f t="shared" si="51"/>
        <v>0.77876094463555445</v>
      </c>
      <c r="DT25" s="200">
        <v>158.51499999999999</v>
      </c>
      <c r="DU25" s="200">
        <v>71.819000000000003</v>
      </c>
      <c r="DV25" s="200">
        <v>26.594999999999999</v>
      </c>
      <c r="DW25" s="191">
        <f t="shared" si="63"/>
        <v>0.45307384159227837</v>
      </c>
      <c r="DX25" s="197">
        <v>47.923000000000002</v>
      </c>
      <c r="DY25" s="191">
        <f t="shared" si="64"/>
        <v>0.15116235056619248</v>
      </c>
      <c r="DZ25" s="197">
        <v>45.298000000000002</v>
      </c>
      <c r="EA25" s="197">
        <v>44.279000000000003</v>
      </c>
      <c r="EB25" s="191">
        <f t="shared" si="52"/>
        <v>2.2495474413881333E-2</v>
      </c>
      <c r="EC25" s="200">
        <v>47.831000000000003</v>
      </c>
      <c r="ED25" s="200"/>
      <c r="EE25" s="200">
        <v>41.301000000000002</v>
      </c>
      <c r="EF25" s="204">
        <f t="shared" si="53"/>
        <v>41.301000000000002</v>
      </c>
      <c r="EG25" s="191">
        <f t="shared" si="54"/>
        <v>0.60423619215847091</v>
      </c>
      <c r="EJ25" s="202">
        <f t="shared" si="3"/>
        <v>11.053131182795699</v>
      </c>
      <c r="EK25" s="202">
        <f>'NOPA Crush'!B450*56/('NOPA Crush'!A450-'NOPA Crush'!A449)</f>
        <v>10.589534215018389</v>
      </c>
      <c r="EL25" s="203">
        <f t="shared" si="65"/>
        <v>1.0437787874673301</v>
      </c>
      <c r="EM25" s="202">
        <f t="shared" si="55"/>
        <v>5.7213548387096775</v>
      </c>
      <c r="EN25" s="202">
        <f t="shared" si="56"/>
        <v>1.0226774193548387E-2</v>
      </c>
      <c r="EO25" s="202">
        <f t="shared" si="66"/>
        <v>16.784712795698923</v>
      </c>
    </row>
    <row r="26" spans="1:145">
      <c r="A26" s="157">
        <v>42767</v>
      </c>
      <c r="B26" s="186">
        <v>4542.3360000000002</v>
      </c>
      <c r="C26" s="187">
        <f t="shared" si="6"/>
        <v>151.41120000000001</v>
      </c>
      <c r="D26" s="247">
        <f>C26-'NOPA Crush'!G451</f>
        <v>8.6192000000000064</v>
      </c>
      <c r="E26" s="188">
        <f>C26/'NOPA Crush'!G451-1</f>
        <v>6.0361925037817343E-2</v>
      </c>
      <c r="F26" s="189">
        <v>3331.018</v>
      </c>
      <c r="G26" s="189">
        <v>3274.5520000000001</v>
      </c>
      <c r="H26" s="189">
        <v>56.466000000000001</v>
      </c>
      <c r="I26" s="189">
        <v>372.404</v>
      </c>
      <c r="J26" s="190">
        <f t="shared" si="7"/>
        <v>43.999624862625751</v>
      </c>
      <c r="K26" s="190">
        <f t="shared" si="8"/>
        <v>47.013589483472821</v>
      </c>
      <c r="L26" s="190">
        <f>K26-'NOPA Crush'!J451</f>
        <v>1.3589483472820518E-2</v>
      </c>
      <c r="M26" s="189">
        <v>228.17400000000001</v>
      </c>
      <c r="N26" s="189">
        <v>32.408000000000001</v>
      </c>
      <c r="O26" s="189">
        <v>1757.03</v>
      </c>
      <c r="P26" s="189">
        <v>1801.761</v>
      </c>
      <c r="Q26" s="189">
        <v>861.399</v>
      </c>
      <c r="R26" s="189">
        <v>345.05</v>
      </c>
      <c r="S26" s="189">
        <v>595.31200000000001</v>
      </c>
      <c r="T26" s="189">
        <v>411.55599999999998</v>
      </c>
      <c r="U26" s="189">
        <f>(P26+T26)-'NOPA Crush'!Q451</f>
        <v>443.25700000000006</v>
      </c>
      <c r="V26" s="191">
        <f>(P26+T26)/'NOPA Crush'!Q451-1</f>
        <v>0.25041919482955377</v>
      </c>
      <c r="W26" s="190">
        <f t="shared" si="9"/>
        <v>11.60435951897878</v>
      </c>
      <c r="X26" s="190">
        <f>W26-'NOPA Crush'!O451</f>
        <v>-7.564048102121923E-2</v>
      </c>
      <c r="Y26" s="190">
        <f t="shared" si="0"/>
        <v>58.617949002451603</v>
      </c>
      <c r="Z26" s="211">
        <v>1301.5029999999999</v>
      </c>
      <c r="AA26" s="211">
        <v>1263.3140000000001</v>
      </c>
      <c r="AB26" s="191">
        <f t="shared" si="10"/>
        <v>2.9342229714414681E-2</v>
      </c>
      <c r="AC26" s="211">
        <v>75.099999999999994</v>
      </c>
      <c r="AD26" s="211">
        <v>1214.787</v>
      </c>
      <c r="AE26" s="211">
        <v>1008.534</v>
      </c>
      <c r="AF26" s="211">
        <v>206.25299999999999</v>
      </c>
      <c r="AG26" s="191">
        <f t="shared" si="1"/>
        <v>-3.8412461193337522E-2</v>
      </c>
      <c r="AH26" s="163"/>
      <c r="AI26" s="211">
        <v>570.23099999999999</v>
      </c>
      <c r="AJ26" s="247">
        <f t="shared" si="11"/>
        <v>19.0077</v>
      </c>
      <c r="AK26" s="211">
        <v>410.02600000000001</v>
      </c>
      <c r="AL26" s="211">
        <v>96.483000000000004</v>
      </c>
      <c r="AM26" s="190">
        <f t="shared" si="12"/>
        <v>43.143147250850973</v>
      </c>
      <c r="AN26" s="190">
        <f t="shared" si="13"/>
        <v>-0.85647761177477832</v>
      </c>
      <c r="AO26" s="211">
        <v>225.83600000000001</v>
      </c>
      <c r="AP26" s="211">
        <v>142.91999999999999</v>
      </c>
      <c r="AQ26" s="190">
        <f t="shared" si="2"/>
        <v>11.88129021396592</v>
      </c>
      <c r="AR26" s="190">
        <f t="shared" si="14"/>
        <v>0.27693069498713996</v>
      </c>
      <c r="AS26" s="190">
        <f t="shared" si="15"/>
        <v>55.024437464816891</v>
      </c>
      <c r="AT26" s="211">
        <v>961.55600000000004</v>
      </c>
      <c r="AU26" s="247">
        <f t="shared" si="16"/>
        <v>32.051866666666669</v>
      </c>
      <c r="AV26" s="211">
        <v>707.37699999999995</v>
      </c>
      <c r="AW26" s="211">
        <v>67.103999999999999</v>
      </c>
      <c r="AX26" s="190">
        <f t="shared" si="17"/>
        <v>44.139519695160757</v>
      </c>
      <c r="AY26" s="190">
        <f t="shared" si="18"/>
        <v>0.13989483253500623</v>
      </c>
      <c r="AZ26" s="211">
        <v>362.03899999999999</v>
      </c>
      <c r="BA26" s="211">
        <v>164.941</v>
      </c>
      <c r="BB26" s="190">
        <f t="shared" si="19"/>
        <v>11.295410771707523</v>
      </c>
      <c r="BC26" s="190">
        <f t="shared" si="57"/>
        <v>-0.30894874727125732</v>
      </c>
      <c r="BD26" s="247">
        <f t="shared" si="20"/>
        <v>55.434930466868281</v>
      </c>
      <c r="BE26" s="211">
        <v>1012.452</v>
      </c>
      <c r="BF26" s="247">
        <f t="shared" si="58"/>
        <v>33.748399999999997</v>
      </c>
      <c r="BG26" s="211">
        <v>747.59799999999996</v>
      </c>
      <c r="BH26" s="211">
        <v>77.986999999999995</v>
      </c>
      <c r="BI26" s="190">
        <f t="shared" si="21"/>
        <v>44.304204051155018</v>
      </c>
      <c r="BJ26" s="190">
        <f t="shared" si="22"/>
        <v>0.30457918852926724</v>
      </c>
      <c r="BK26" s="211">
        <v>398.01100000000002</v>
      </c>
      <c r="BL26" s="211">
        <v>208.50899999999999</v>
      </c>
      <c r="BM26" s="190">
        <f t="shared" si="23"/>
        <v>11.793477616716647</v>
      </c>
      <c r="BN26" s="190">
        <f t="shared" si="24"/>
        <v>0.18911809773786636</v>
      </c>
      <c r="BO26" s="247">
        <f t="shared" si="25"/>
        <v>56.097681667871669</v>
      </c>
      <c r="BP26" s="211">
        <v>612.24400000000003</v>
      </c>
      <c r="BQ26" s="247">
        <f t="shared" si="26"/>
        <v>20.408133333333335</v>
      </c>
      <c r="BR26" s="211">
        <v>456.56900000000002</v>
      </c>
      <c r="BS26" s="211">
        <v>31.006</v>
      </c>
      <c r="BT26" s="190">
        <f t="shared" si="27"/>
        <v>44.743827624280513</v>
      </c>
      <c r="BU26" s="190">
        <f t="shared" si="28"/>
        <v>0.74420276165476196</v>
      </c>
      <c r="BV26" s="211">
        <v>235.416</v>
      </c>
      <c r="BW26" s="211">
        <v>222.381</v>
      </c>
      <c r="BX26" s="190">
        <f t="shared" si="29"/>
        <v>11.535400918588012</v>
      </c>
      <c r="BY26" s="190">
        <f t="shared" si="30"/>
        <v>-6.895860039076851E-2</v>
      </c>
      <c r="BZ26" s="194">
        <f t="shared" si="31"/>
        <v>56.279228542868523</v>
      </c>
      <c r="CA26" s="211">
        <v>622.62599999999998</v>
      </c>
      <c r="CB26" s="247">
        <f t="shared" si="32"/>
        <v>20.754200000000001</v>
      </c>
      <c r="CC26" s="211">
        <v>442.37599999999998</v>
      </c>
      <c r="CD26" s="211">
        <v>53.865000000000002</v>
      </c>
      <c r="CE26" s="190">
        <f t="shared" si="59"/>
        <v>42.630021875090343</v>
      </c>
      <c r="CF26" s="190">
        <f t="shared" si="33"/>
        <v>-1.3696029875354085</v>
      </c>
      <c r="CG26" s="211">
        <v>237.035</v>
      </c>
      <c r="CH26" s="211">
        <v>76.331000000000003</v>
      </c>
      <c r="CI26" s="190">
        <f t="shared" si="34"/>
        <v>11.421061760992956</v>
      </c>
      <c r="CJ26" s="190">
        <f t="shared" si="35"/>
        <v>-0.18329775798582482</v>
      </c>
      <c r="CK26" s="194">
        <f t="shared" si="36"/>
        <v>54.051083636083298</v>
      </c>
      <c r="CL26" s="211">
        <v>763.22699999999998</v>
      </c>
      <c r="CM26" s="247">
        <f t="shared" si="60"/>
        <v>25.440899999999999</v>
      </c>
      <c r="CN26" s="211">
        <v>558.09</v>
      </c>
      <c r="CO26" s="211">
        <v>36.182000000000002</v>
      </c>
      <c r="CP26" s="190">
        <f t="shared" si="37"/>
        <v>43.873447873306375</v>
      </c>
      <c r="CQ26" s="190">
        <f t="shared" si="38"/>
        <v>-0.12617698931937582</v>
      </c>
      <c r="CR26" s="211">
        <v>294.202</v>
      </c>
      <c r="CS26" s="211">
        <v>43.087000000000003</v>
      </c>
      <c r="CT26" s="190">
        <f t="shared" si="39"/>
        <v>11.564134916610655</v>
      </c>
      <c r="CU26" s="190">
        <f t="shared" si="40"/>
        <v>-4.0224602368125417E-2</v>
      </c>
      <c r="CV26" s="247">
        <f t="shared" si="41"/>
        <v>55.43758278991703</v>
      </c>
      <c r="CW26" s="195"/>
      <c r="CX26" s="196">
        <f t="shared" si="42"/>
        <v>0</v>
      </c>
      <c r="CY26" s="196">
        <f t="shared" si="43"/>
        <v>8.982000000000312</v>
      </c>
      <c r="CZ26" s="196">
        <f t="shared" si="44"/>
        <v>9.7770000000000081</v>
      </c>
      <c r="DA26" s="196">
        <f t="shared" si="45"/>
        <v>4.4910000000000991</v>
      </c>
      <c r="DB26" s="196">
        <f t="shared" si="46"/>
        <v>3.2299999999999898</v>
      </c>
      <c r="DC26" s="196">
        <f t="shared" si="47"/>
        <v>0</v>
      </c>
      <c r="DD26" s="163"/>
      <c r="DE26" s="200">
        <v>166.774</v>
      </c>
      <c r="DF26" s="200">
        <v>90.510999999999996</v>
      </c>
      <c r="DG26" s="206">
        <f>FORECAST(DF26,DG7:DG25,DF7:DF25)</f>
        <v>40.196163425527963</v>
      </c>
      <c r="DH26" s="191">
        <f t="shared" si="61"/>
        <v>0.54271649058006644</v>
      </c>
      <c r="DI26" s="197">
        <v>139.94300000000001</v>
      </c>
      <c r="DJ26" s="191">
        <f t="shared" si="48"/>
        <v>0.41955880413014024</v>
      </c>
      <c r="DK26" s="197">
        <v>120.57899999999999</v>
      </c>
      <c r="DL26" s="197">
        <v>117.142</v>
      </c>
      <c r="DM26" s="191">
        <f t="shared" si="62"/>
        <v>2.8504134219059729E-2</v>
      </c>
      <c r="DN26" s="200">
        <v>130.69800000000001</v>
      </c>
      <c r="DO26" s="206">
        <f>MROUND(FORECAST(DI26,DO$5:DO25,DI$5:DI25),1)</f>
        <v>183</v>
      </c>
      <c r="DP26" s="200">
        <v>80.974000000000004</v>
      </c>
      <c r="DQ26" s="206">
        <f t="shared" si="49"/>
        <v>263.97399999999999</v>
      </c>
      <c r="DR26" s="191">
        <f t="shared" si="50"/>
        <v>0.96227529471020667</v>
      </c>
      <c r="DS26" s="199">
        <f t="shared" si="51"/>
        <v>0.86162937767519621</v>
      </c>
      <c r="DT26" s="200">
        <v>152.85900000000001</v>
      </c>
      <c r="DU26" s="200">
        <v>67.63</v>
      </c>
      <c r="DV26" s="200">
        <v>18.465</v>
      </c>
      <c r="DW26" s="191">
        <f t="shared" si="63"/>
        <v>0.44243387697158815</v>
      </c>
      <c r="DX26" s="197">
        <v>47.43</v>
      </c>
      <c r="DY26" s="191">
        <f t="shared" si="64"/>
        <v>0.15514297489843581</v>
      </c>
      <c r="DZ26" s="197">
        <v>45.37</v>
      </c>
      <c r="EA26" s="197">
        <v>44.284999999999997</v>
      </c>
      <c r="EB26" s="191">
        <f t="shared" si="52"/>
        <v>2.3914480934538296E-2</v>
      </c>
      <c r="EC26" s="200">
        <v>41.883000000000003</v>
      </c>
      <c r="ED26" s="200"/>
      <c r="EE26" s="200">
        <v>42.695999999999998</v>
      </c>
      <c r="EF26" s="204">
        <f t="shared" si="53"/>
        <v>42.695999999999998</v>
      </c>
      <c r="EG26" s="191">
        <f t="shared" si="54"/>
        <v>0.59757685187002396</v>
      </c>
      <c r="EJ26" s="202">
        <f t="shared" si="3"/>
        <v>10.815085714285715</v>
      </c>
      <c r="EK26" s="202">
        <f>'NOPA Crush'!B451*56/('NOPA Crush'!A451-'NOPA Crush'!A450)</f>
        <v>10.518869271276165</v>
      </c>
      <c r="EL26" s="203">
        <f t="shared" si="65"/>
        <v>1.0281604833533227</v>
      </c>
      <c r="EM26" s="202">
        <f t="shared" si="55"/>
        <v>5.9562142857142861</v>
      </c>
      <c r="EN26" s="202">
        <f t="shared" si="56"/>
        <v>1.0918499999999999E-2</v>
      </c>
      <c r="EO26" s="202">
        <f t="shared" si="66"/>
        <v>16.782218499999999</v>
      </c>
    </row>
    <row r="27" spans="1:145">
      <c r="A27" s="157">
        <v>42795</v>
      </c>
      <c r="B27" s="186">
        <v>4822.9610000000002</v>
      </c>
      <c r="C27" s="187">
        <f t="shared" si="6"/>
        <v>160.76536666666667</v>
      </c>
      <c r="D27" s="247">
        <f>C27-'NOPA Crush'!G452</f>
        <v>7.7053666666666629</v>
      </c>
      <c r="E27" s="188">
        <f>C27/'NOPA Crush'!G452-1</f>
        <v>5.0342131625941811E-2</v>
      </c>
      <c r="F27" s="189">
        <v>3528.7330000000002</v>
      </c>
      <c r="G27" s="189">
        <v>3473.5839999999998</v>
      </c>
      <c r="H27" s="189">
        <v>55.149000000000001</v>
      </c>
      <c r="I27" s="189">
        <v>318.12299999999999</v>
      </c>
      <c r="J27" s="190">
        <f t="shared" si="7"/>
        <v>43.899168995975714</v>
      </c>
      <c r="K27" s="190">
        <f t="shared" si="8"/>
        <v>46.946243189609042</v>
      </c>
      <c r="L27" s="190">
        <f>K27-'NOPA Crush'!J452</f>
        <v>-0.10375681039095497</v>
      </c>
      <c r="M27" s="189">
        <v>244.93199999999999</v>
      </c>
      <c r="N27" s="189">
        <v>36.356000000000002</v>
      </c>
      <c r="O27" s="189">
        <v>1865.4659999999999</v>
      </c>
      <c r="P27" s="189">
        <v>1934.877</v>
      </c>
      <c r="Q27" s="189">
        <v>908.25199999999995</v>
      </c>
      <c r="R27" s="189">
        <v>378</v>
      </c>
      <c r="S27" s="189">
        <v>648.625</v>
      </c>
      <c r="T27" s="189">
        <v>408.959</v>
      </c>
      <c r="U27" s="189">
        <f>(P27+T27)-'NOPA Crush'!Q452</f>
        <v>528.6759999999997</v>
      </c>
      <c r="V27" s="191">
        <f>(P27+T27)/'NOPA Crush'!Q452-1</f>
        <v>0.29125586725137165</v>
      </c>
      <c r="W27" s="190">
        <f t="shared" si="9"/>
        <v>11.603655928380926</v>
      </c>
      <c r="X27" s="190">
        <f>W27-'NOPA Crush'!O452</f>
        <v>-8.6344071619073759E-2</v>
      </c>
      <c r="Y27" s="190">
        <f t="shared" si="0"/>
        <v>58.549899117989966</v>
      </c>
      <c r="Z27" s="211">
        <v>1442.2349999999999</v>
      </c>
      <c r="AA27" s="211">
        <v>1408.289</v>
      </c>
      <c r="AB27" s="191">
        <f t="shared" si="10"/>
        <v>2.3537079602145222E-2</v>
      </c>
      <c r="AC27" s="211">
        <v>69.856999999999999</v>
      </c>
      <c r="AD27" s="211">
        <v>1374.7829999999999</v>
      </c>
      <c r="AE27" s="211">
        <v>1148.9359999999999</v>
      </c>
      <c r="AF27" s="211">
        <v>225.84700000000001</v>
      </c>
      <c r="AG27" s="191">
        <f t="shared" si="1"/>
        <v>-2.379199155855094E-2</v>
      </c>
      <c r="AH27" s="163"/>
      <c r="AI27" s="211">
        <v>640.447</v>
      </c>
      <c r="AJ27" s="247">
        <f t="shared" si="11"/>
        <v>21.348233333333333</v>
      </c>
      <c r="AK27" s="211">
        <v>468.57799999999997</v>
      </c>
      <c r="AL27" s="211">
        <v>55.692999999999998</v>
      </c>
      <c r="AM27" s="190">
        <f t="shared" si="12"/>
        <v>43.898527122462902</v>
      </c>
      <c r="AN27" s="190">
        <f t="shared" si="13"/>
        <v>-6.4187351281219662E-4</v>
      </c>
      <c r="AO27" s="211">
        <v>254.53899999999999</v>
      </c>
      <c r="AP27" s="211">
        <v>206.01400000000001</v>
      </c>
      <c r="AQ27" s="190">
        <f t="shared" si="2"/>
        <v>11.923188023364931</v>
      </c>
      <c r="AR27" s="190">
        <f t="shared" si="14"/>
        <v>0.31953209498400525</v>
      </c>
      <c r="AS27" s="190">
        <f t="shared" si="15"/>
        <v>55.821715145827831</v>
      </c>
      <c r="AT27" s="211">
        <v>1001.263</v>
      </c>
      <c r="AU27" s="247">
        <f t="shared" si="16"/>
        <v>33.375433333333334</v>
      </c>
      <c r="AV27" s="211">
        <v>726.82100000000003</v>
      </c>
      <c r="AW27" s="211">
        <v>48.055999999999997</v>
      </c>
      <c r="AX27" s="190">
        <f t="shared" si="17"/>
        <v>43.554250981010988</v>
      </c>
      <c r="AY27" s="190">
        <f t="shared" si="18"/>
        <v>-0.34491801496472618</v>
      </c>
      <c r="AZ27" s="211">
        <v>384.61099999999999</v>
      </c>
      <c r="BA27" s="211">
        <v>146.726</v>
      </c>
      <c r="BB27" s="190">
        <f t="shared" si="19"/>
        <v>11.523775471579395</v>
      </c>
      <c r="BC27" s="190">
        <f t="shared" si="57"/>
        <v>-7.9880456801530997E-2</v>
      </c>
      <c r="BD27" s="247">
        <f t="shared" si="20"/>
        <v>55.078026452590379</v>
      </c>
      <c r="BE27" s="211">
        <v>1041.3510000000001</v>
      </c>
      <c r="BF27" s="247">
        <f t="shared" si="58"/>
        <v>34.7117</v>
      </c>
      <c r="BG27" s="211">
        <v>763.46699999999998</v>
      </c>
      <c r="BH27" s="211">
        <v>67.010000000000005</v>
      </c>
      <c r="BI27" s="190">
        <f t="shared" si="21"/>
        <v>43.989029635540753</v>
      </c>
      <c r="BJ27" s="190">
        <f t="shared" si="22"/>
        <v>8.986063956503898E-2</v>
      </c>
      <c r="BK27" s="211">
        <v>404.06400000000002</v>
      </c>
      <c r="BL27" s="211">
        <v>216.09299999999999</v>
      </c>
      <c r="BM27" s="190">
        <f t="shared" si="23"/>
        <v>11.640570758562676</v>
      </c>
      <c r="BN27" s="190">
        <f t="shared" si="24"/>
        <v>3.6914830181750347E-2</v>
      </c>
      <c r="BO27" s="247">
        <f t="shared" si="25"/>
        <v>55.629600394103427</v>
      </c>
      <c r="BP27" s="211">
        <v>675.41600000000005</v>
      </c>
      <c r="BQ27" s="247">
        <f t="shared" si="26"/>
        <v>22.513866666666669</v>
      </c>
      <c r="BR27" s="211">
        <v>498.53199999999998</v>
      </c>
      <c r="BS27" s="211">
        <v>30.702000000000002</v>
      </c>
      <c r="BT27" s="190">
        <f t="shared" si="27"/>
        <v>44.286661849882144</v>
      </c>
      <c r="BU27" s="190">
        <f t="shared" si="28"/>
        <v>0.38749285390642996</v>
      </c>
      <c r="BV27" s="211">
        <v>257.65499999999997</v>
      </c>
      <c r="BW27" s="211">
        <v>242.02199999999999</v>
      </c>
      <c r="BX27" s="190">
        <f t="shared" si="29"/>
        <v>11.444280265791747</v>
      </c>
      <c r="BY27" s="190">
        <f t="shared" si="30"/>
        <v>-0.1593756625891789</v>
      </c>
      <c r="BZ27" s="194">
        <f t="shared" si="31"/>
        <v>55.730942115673891</v>
      </c>
      <c r="CA27" s="211">
        <v>629.64499999999998</v>
      </c>
      <c r="CB27" s="247">
        <f t="shared" si="32"/>
        <v>20.988166666666665</v>
      </c>
      <c r="CC27" s="211">
        <v>441.18099999999998</v>
      </c>
      <c r="CD27" s="211">
        <v>57.027999999999999</v>
      </c>
      <c r="CE27" s="190">
        <f t="shared" si="59"/>
        <v>42.040927824408996</v>
      </c>
      <c r="CF27" s="190">
        <f t="shared" si="33"/>
        <v>-1.8582411715667178</v>
      </c>
      <c r="CG27" s="211">
        <v>236.89</v>
      </c>
      <c r="CH27" s="211">
        <v>63.689</v>
      </c>
      <c r="CI27" s="190">
        <f t="shared" si="34"/>
        <v>11.286836233115487</v>
      </c>
      <c r="CJ27" s="190">
        <f t="shared" si="35"/>
        <v>-0.31681969526543874</v>
      </c>
      <c r="CK27" s="194">
        <f t="shared" si="36"/>
        <v>53.327764057524483</v>
      </c>
      <c r="CL27" s="211">
        <v>834.83900000000006</v>
      </c>
      <c r="CM27" s="247">
        <f t="shared" si="60"/>
        <v>27.827966666666669</v>
      </c>
      <c r="CN27" s="211">
        <v>613.35400000000004</v>
      </c>
      <c r="CO27" s="211">
        <v>42.448999999999998</v>
      </c>
      <c r="CP27" s="190">
        <f t="shared" si="37"/>
        <v>44.081840929808024</v>
      </c>
      <c r="CQ27" s="190">
        <f t="shared" si="38"/>
        <v>0.18267193383231017</v>
      </c>
      <c r="CR27" s="211">
        <v>319.30700000000002</v>
      </c>
      <c r="CS27" s="211">
        <v>30.196999999999999</v>
      </c>
      <c r="CT27" s="190">
        <f t="shared" si="39"/>
        <v>11.474320198265774</v>
      </c>
      <c r="CU27" s="190">
        <f t="shared" si="40"/>
        <v>-0.12933573011515165</v>
      </c>
      <c r="CV27" s="247">
        <f t="shared" si="41"/>
        <v>55.556161128073796</v>
      </c>
      <c r="CW27" s="195"/>
      <c r="CX27" s="196">
        <f t="shared" si="42"/>
        <v>0</v>
      </c>
      <c r="CY27" s="196">
        <f t="shared" si="43"/>
        <v>16.800000000000182</v>
      </c>
      <c r="CZ27" s="196">
        <f t="shared" si="44"/>
        <v>17.185000000000038</v>
      </c>
      <c r="DA27" s="196">
        <f t="shared" si="45"/>
        <v>8.3999999999997499</v>
      </c>
      <c r="DB27" s="196">
        <f t="shared" si="46"/>
        <v>3.5109999999999921</v>
      </c>
      <c r="DC27" s="196">
        <f t="shared" si="47"/>
        <v>0</v>
      </c>
      <c r="DD27" s="163"/>
      <c r="DE27" s="200">
        <v>184.51599999999999</v>
      </c>
      <c r="DF27" s="200">
        <v>101.917</v>
      </c>
      <c r="DG27" s="206">
        <f>FORECAST(DF27,DG8:DG26,DF8:DF26)</f>
        <v>40.619689287532381</v>
      </c>
      <c r="DH27" s="191">
        <f t="shared" si="61"/>
        <v>0.5523477638795552</v>
      </c>
      <c r="DI27" s="197">
        <v>156.376</v>
      </c>
      <c r="DJ27" s="191">
        <f t="shared" si="48"/>
        <v>0.4237464501723428</v>
      </c>
      <c r="DK27" s="197">
        <v>128.357</v>
      </c>
      <c r="DL27" s="197">
        <v>124.956</v>
      </c>
      <c r="DM27" s="191">
        <f t="shared" si="62"/>
        <v>2.6496412349930276E-2</v>
      </c>
      <c r="DN27" s="200">
        <v>150.601</v>
      </c>
      <c r="DO27" s="200">
        <v>254.34800000000001</v>
      </c>
      <c r="DP27" s="200">
        <v>83.95</v>
      </c>
      <c r="DQ27" s="200">
        <f t="shared" si="49"/>
        <v>338.298</v>
      </c>
      <c r="DR27" s="191">
        <f t="shared" si="50"/>
        <v>0.976094214051898</v>
      </c>
      <c r="DS27" s="199">
        <f t="shared" si="51"/>
        <v>0.82082288842277584</v>
      </c>
      <c r="DT27" s="200">
        <v>169.88</v>
      </c>
      <c r="DU27" s="200">
        <v>77.647999999999996</v>
      </c>
      <c r="DV27" s="200">
        <v>19.782</v>
      </c>
      <c r="DW27" s="191">
        <f t="shared" si="63"/>
        <v>0.45707558276430421</v>
      </c>
      <c r="DX27" s="197">
        <v>51.567999999999998</v>
      </c>
      <c r="DY27" s="191">
        <f t="shared" si="64"/>
        <v>0.15177772545326113</v>
      </c>
      <c r="DZ27" s="197">
        <v>50.515000000000001</v>
      </c>
      <c r="EA27" s="197">
        <v>49.353999999999999</v>
      </c>
      <c r="EB27" s="191">
        <f t="shared" si="52"/>
        <v>2.2983272295357793E-2</v>
      </c>
      <c r="EC27" s="200">
        <v>42.057000000000002</v>
      </c>
      <c r="ED27" s="200"/>
      <c r="EE27" s="200">
        <v>49.277000000000001</v>
      </c>
      <c r="EF27" s="204">
        <f t="shared" si="53"/>
        <v>49.277000000000001</v>
      </c>
      <c r="EG27" s="191">
        <f t="shared" si="54"/>
        <v>0.60885330821756534</v>
      </c>
      <c r="EJ27" s="202">
        <f t="shared" si="3"/>
        <v>10.371959139784947</v>
      </c>
      <c r="EK27" s="202">
        <f>'NOPA Crush'!B452*56/('NOPA Crush'!A452-'NOPA Crush'!A451)</f>
        <v>11.523015756591281</v>
      </c>
      <c r="EL27" s="203">
        <f t="shared" si="65"/>
        <v>0.9001080410613933</v>
      </c>
      <c r="EM27" s="202">
        <f t="shared" si="55"/>
        <v>5.952129032258064</v>
      </c>
      <c r="EN27" s="202">
        <f t="shared" si="56"/>
        <v>1.0960000000000001E-2</v>
      </c>
      <c r="EO27" s="202">
        <f t="shared" si="66"/>
        <v>16.335048172043013</v>
      </c>
    </row>
    <row r="28" spans="1:145">
      <c r="A28" s="157">
        <v>42826</v>
      </c>
      <c r="B28" s="186">
        <v>4509.4629999999997</v>
      </c>
      <c r="C28" s="187">
        <f t="shared" si="6"/>
        <v>150.31543333333332</v>
      </c>
      <c r="D28" s="247">
        <f>C28-'NOPA Crush'!G453</f>
        <v>11.181433333333331</v>
      </c>
      <c r="E28" s="188">
        <f>C28/'NOPA Crush'!G453-1</f>
        <v>8.0364492743206783E-2</v>
      </c>
      <c r="F28" s="189">
        <v>3300.7449999999999</v>
      </c>
      <c r="G28" s="189">
        <v>3249.3139999999999</v>
      </c>
      <c r="H28" s="189">
        <v>51.430999999999997</v>
      </c>
      <c r="I28" s="189">
        <v>387.20699999999999</v>
      </c>
      <c r="J28" s="190">
        <f t="shared" si="7"/>
        <v>43.917579543284866</v>
      </c>
      <c r="K28" s="190">
        <f t="shared" si="8"/>
        <v>46.881400290899386</v>
      </c>
      <c r="L28" s="190">
        <f>K28-'NOPA Crush'!J453</f>
        <v>-7.85997091006152E-2</v>
      </c>
      <c r="M28" s="189">
        <v>222.75399999999999</v>
      </c>
      <c r="N28" s="189">
        <v>42.923000000000002</v>
      </c>
      <c r="O28" s="189">
        <v>1737.7750000000001</v>
      </c>
      <c r="P28" s="189">
        <v>1848.364</v>
      </c>
      <c r="Q28" s="189">
        <v>897.851</v>
      </c>
      <c r="R28" s="189">
        <v>347.85700000000003</v>
      </c>
      <c r="S28" s="189">
        <v>602.65599999999995</v>
      </c>
      <c r="T28" s="189">
        <v>391.625</v>
      </c>
      <c r="U28" s="189">
        <f>(P28+T28)-'NOPA Crush'!Q453</f>
        <v>514.58600000000001</v>
      </c>
      <c r="V28" s="191">
        <f>(P28+T28)/'NOPA Crush'!Q453-1</f>
        <v>0.29824104861299072</v>
      </c>
      <c r="W28" s="190">
        <f t="shared" si="9"/>
        <v>11.560855472148237</v>
      </c>
      <c r="X28" s="190">
        <f>W28-'NOPA Crush'!O453</f>
        <v>-0.12914452785176245</v>
      </c>
      <c r="Y28" s="190">
        <f t="shared" si="0"/>
        <v>58.442255763047626</v>
      </c>
      <c r="Z28" s="211">
        <v>1334.3130000000001</v>
      </c>
      <c r="AA28" s="211">
        <v>1306.5889999999999</v>
      </c>
      <c r="AB28" s="191">
        <f t="shared" si="10"/>
        <v>2.0777733560266711E-2</v>
      </c>
      <c r="AC28" s="211">
        <v>73.685000000000002</v>
      </c>
      <c r="AD28" s="211">
        <v>1445.4390000000001</v>
      </c>
      <c r="AE28" s="211">
        <v>1173.21</v>
      </c>
      <c r="AF28" s="211">
        <v>272.22899999999998</v>
      </c>
      <c r="AG28" s="191">
        <f t="shared" si="1"/>
        <v>0.10626907160553167</v>
      </c>
      <c r="AH28" s="163"/>
      <c r="AI28" s="211">
        <v>573.50699999999995</v>
      </c>
      <c r="AJ28" s="247">
        <f t="shared" si="11"/>
        <v>19.116899999999998</v>
      </c>
      <c r="AK28" s="211">
        <v>417.35899999999998</v>
      </c>
      <c r="AL28" s="211">
        <v>61.435000000000002</v>
      </c>
      <c r="AM28" s="190">
        <f t="shared" si="12"/>
        <v>43.663878557715954</v>
      </c>
      <c r="AN28" s="190">
        <f t="shared" si="13"/>
        <v>-0.25370098556891207</v>
      </c>
      <c r="AO28" s="211">
        <v>226.61699999999999</v>
      </c>
      <c r="AP28" s="211">
        <v>196.62100000000001</v>
      </c>
      <c r="AQ28" s="190">
        <f t="shared" si="2"/>
        <v>11.854275536305574</v>
      </c>
      <c r="AR28" s="190">
        <f t="shared" si="14"/>
        <v>0.29342006415733657</v>
      </c>
      <c r="AS28" s="190">
        <f t="shared" si="15"/>
        <v>55.518154094021526</v>
      </c>
      <c r="AT28" s="211">
        <v>952.41700000000003</v>
      </c>
      <c r="AU28" s="247">
        <f t="shared" si="16"/>
        <v>31.747233333333334</v>
      </c>
      <c r="AV28" s="211">
        <v>696.16300000000001</v>
      </c>
      <c r="AW28" s="211">
        <v>79.494</v>
      </c>
      <c r="AX28" s="190">
        <f t="shared" si="17"/>
        <v>43.856609027348313</v>
      </c>
      <c r="AY28" s="190">
        <f t="shared" si="18"/>
        <v>-6.0970515936553227E-2</v>
      </c>
      <c r="AZ28" s="211">
        <v>361.11599999999999</v>
      </c>
      <c r="BA28" s="211">
        <v>175.273</v>
      </c>
      <c r="BB28" s="190">
        <f t="shared" si="19"/>
        <v>11.374723466716784</v>
      </c>
      <c r="BC28" s="190">
        <f t="shared" si="57"/>
        <v>-0.18613200543145325</v>
      </c>
      <c r="BD28" s="247">
        <f t="shared" si="20"/>
        <v>55.2313324940651</v>
      </c>
      <c r="BE28" s="211">
        <v>1034.6400000000001</v>
      </c>
      <c r="BF28" s="247">
        <f t="shared" si="58"/>
        <v>34.488000000000007</v>
      </c>
      <c r="BG28" s="211">
        <v>763.09299999999996</v>
      </c>
      <c r="BH28" s="211">
        <v>93.644000000000005</v>
      </c>
      <c r="BI28" s="190">
        <f t="shared" si="21"/>
        <v>44.252667594525619</v>
      </c>
      <c r="BJ28" s="190">
        <f t="shared" si="22"/>
        <v>0.3350880512407528</v>
      </c>
      <c r="BK28" s="211">
        <v>406.26799999999997</v>
      </c>
      <c r="BL28" s="211">
        <v>201.58699999999999</v>
      </c>
      <c r="BM28" s="190">
        <f t="shared" si="23"/>
        <v>11.779981442820688</v>
      </c>
      <c r="BN28" s="190">
        <f t="shared" si="24"/>
        <v>0.21912597067245088</v>
      </c>
      <c r="BO28" s="247">
        <f t="shared" si="25"/>
        <v>56.032649037346303</v>
      </c>
      <c r="BP28" s="211">
        <v>637.80499999999995</v>
      </c>
      <c r="BQ28" s="247">
        <f t="shared" si="26"/>
        <v>21.260166666666667</v>
      </c>
      <c r="BR28" s="211">
        <v>466.87299999999999</v>
      </c>
      <c r="BS28" s="211">
        <v>49.872999999999998</v>
      </c>
      <c r="BT28" s="190">
        <f t="shared" si="27"/>
        <v>43.919975541113665</v>
      </c>
      <c r="BU28" s="190">
        <f t="shared" si="28"/>
        <v>2.395997828799068E-3</v>
      </c>
      <c r="BV28" s="211">
        <v>234.75899999999999</v>
      </c>
      <c r="BW28" s="211">
        <v>236.61799999999999</v>
      </c>
      <c r="BX28" s="190">
        <f t="shared" si="29"/>
        <v>11.042199418317511</v>
      </c>
      <c r="BY28" s="190">
        <f t="shared" si="30"/>
        <v>-0.51865605383072655</v>
      </c>
      <c r="BZ28" s="194">
        <f t="shared" si="31"/>
        <v>54.962174959431174</v>
      </c>
      <c r="CA28" s="211">
        <v>501.15100000000001</v>
      </c>
      <c r="CB28" s="247">
        <f t="shared" si="32"/>
        <v>16.705033333333333</v>
      </c>
      <c r="CC28" s="211">
        <v>352.964</v>
      </c>
      <c r="CD28" s="211">
        <v>32.401000000000003</v>
      </c>
      <c r="CE28" s="190">
        <f t="shared" si="59"/>
        <v>42.258401160528464</v>
      </c>
      <c r="CF28" s="190">
        <f t="shared" si="33"/>
        <v>-1.6591783827564015</v>
      </c>
      <c r="CG28" s="211">
        <v>188.113</v>
      </c>
      <c r="CH28" s="211">
        <v>54.343000000000004</v>
      </c>
      <c r="CI28" s="190">
        <f t="shared" si="34"/>
        <v>11.260857506021139</v>
      </c>
      <c r="CJ28" s="190">
        <f t="shared" si="35"/>
        <v>-0.29999796612709773</v>
      </c>
      <c r="CK28" s="194">
        <f t="shared" si="36"/>
        <v>53.519258666549604</v>
      </c>
      <c r="CL28" s="211">
        <v>809.94299999999998</v>
      </c>
      <c r="CM28" s="247">
        <f t="shared" si="60"/>
        <v>26.998100000000001</v>
      </c>
      <c r="CN28" s="211">
        <v>592.15099999999995</v>
      </c>
      <c r="CO28" s="211">
        <v>50.838999999999999</v>
      </c>
      <c r="CP28" s="190">
        <f t="shared" si="37"/>
        <v>43.866123912423461</v>
      </c>
      <c r="CQ28" s="190">
        <f t="shared" si="38"/>
        <v>-5.14556308614047E-2</v>
      </c>
      <c r="CR28" s="211">
        <v>314.83100000000002</v>
      </c>
      <c r="CS28" s="211">
        <v>30.361000000000001</v>
      </c>
      <c r="CT28" s="190">
        <f t="shared" si="39"/>
        <v>11.66122801234161</v>
      </c>
      <c r="CU28" s="190">
        <f t="shared" si="40"/>
        <v>0.10037254019337283</v>
      </c>
      <c r="CV28" s="247">
        <f t="shared" si="41"/>
        <v>55.527351924765071</v>
      </c>
      <c r="CW28" s="195"/>
      <c r="CX28" s="196">
        <f t="shared" si="42"/>
        <v>0</v>
      </c>
      <c r="CY28" s="196">
        <f t="shared" si="43"/>
        <v>12.142000000000166</v>
      </c>
      <c r="CZ28" s="196">
        <f t="shared" si="44"/>
        <v>19.520999999999987</v>
      </c>
      <c r="DA28" s="196">
        <f t="shared" si="45"/>
        <v>6.0710000000000832</v>
      </c>
      <c r="DB28" s="196">
        <f t="shared" si="46"/>
        <v>3.0480000000000054</v>
      </c>
      <c r="DC28" s="196">
        <f t="shared" si="47"/>
        <v>0</v>
      </c>
      <c r="DD28" s="163"/>
      <c r="DE28" s="200">
        <v>164.10300000000001</v>
      </c>
      <c r="DF28" s="200">
        <v>92.811000000000007</v>
      </c>
      <c r="DG28" s="200">
        <v>47.695</v>
      </c>
      <c r="DH28" s="191">
        <f t="shared" si="61"/>
        <v>0.56556552896656365</v>
      </c>
      <c r="DI28" s="197">
        <v>141.28200000000001</v>
      </c>
      <c r="DJ28" s="191">
        <f t="shared" si="48"/>
        <v>0.43046745032083511</v>
      </c>
      <c r="DK28" s="197">
        <v>129.821</v>
      </c>
      <c r="DL28" s="197">
        <v>126.667</v>
      </c>
      <c r="DM28" s="191">
        <f t="shared" si="62"/>
        <v>2.4294990795017735E-2</v>
      </c>
      <c r="DN28" s="200">
        <v>148.68199999999999</v>
      </c>
      <c r="DO28" s="200">
        <v>252.57</v>
      </c>
      <c r="DP28" s="200">
        <v>70.451999999999998</v>
      </c>
      <c r="DQ28" s="200">
        <f t="shared" si="49"/>
        <v>323.02199999999999</v>
      </c>
      <c r="DR28" s="191">
        <f t="shared" si="50"/>
        <v>0.99603297928739876</v>
      </c>
      <c r="DS28" s="199">
        <f t="shared" si="51"/>
        <v>0.91887855494684378</v>
      </c>
      <c r="DT28" s="200">
        <v>155.733</v>
      </c>
      <c r="DU28" s="200">
        <v>69.239999999999995</v>
      </c>
      <c r="DV28" s="200">
        <v>31.596</v>
      </c>
      <c r="DW28" s="191">
        <f t="shared" si="63"/>
        <v>0.44460711602550512</v>
      </c>
      <c r="DX28" s="197">
        <v>47.395000000000003</v>
      </c>
      <c r="DY28" s="191">
        <f t="shared" si="64"/>
        <v>0.15216749179685746</v>
      </c>
      <c r="DZ28" s="197">
        <v>49.667000000000002</v>
      </c>
      <c r="EA28" s="197">
        <v>48.058</v>
      </c>
      <c r="EB28" s="191">
        <f t="shared" si="52"/>
        <v>3.2395755733182985E-2</v>
      </c>
      <c r="EC28" s="200">
        <v>45.354999999999997</v>
      </c>
      <c r="ED28" s="200"/>
      <c r="EE28" s="200">
        <v>56.61</v>
      </c>
      <c r="EF28" s="204">
        <f t="shared" si="53"/>
        <v>56.61</v>
      </c>
      <c r="EG28" s="191">
        <f t="shared" si="54"/>
        <v>0.59677460782236258</v>
      </c>
      <c r="EJ28" s="202">
        <f t="shared" si="3"/>
        <v>10.021028888888887</v>
      </c>
      <c r="EK28" s="202">
        <f>'NOPA Crush'!B453*56/('NOPA Crush'!A453-'NOPA Crush'!A452)</f>
        <v>10.747660344611797</v>
      </c>
      <c r="EL28" s="203">
        <f t="shared" si="65"/>
        <v>0.93239166177342059</v>
      </c>
      <c r="EM28" s="202">
        <f t="shared" si="55"/>
        <v>5.4701000000000004</v>
      </c>
      <c r="EN28" s="202">
        <f t="shared" si="56"/>
        <v>1.0382200000000001E-2</v>
      </c>
      <c r="EO28" s="202">
        <f t="shared" si="66"/>
        <v>15.501511088888888</v>
      </c>
    </row>
    <row r="29" spans="1:145">
      <c r="A29" s="157">
        <v>42856</v>
      </c>
      <c r="B29" s="186">
        <v>4739.3869999999997</v>
      </c>
      <c r="C29" s="187">
        <f t="shared" si="6"/>
        <v>157.97956666666667</v>
      </c>
      <c r="D29" s="247">
        <f>C29-'NOPA Crush'!G454</f>
        <v>8.7335666666666611</v>
      </c>
      <c r="E29" s="188">
        <f>C29/'NOPA Crush'!G454-1</f>
        <v>5.8517927895331612E-2</v>
      </c>
      <c r="F29" s="189">
        <v>3491.3180000000002</v>
      </c>
      <c r="G29" s="189">
        <v>3439.9810000000002</v>
      </c>
      <c r="H29" s="189">
        <v>51.337000000000003</v>
      </c>
      <c r="I29" s="189">
        <v>375.15600000000001</v>
      </c>
      <c r="J29" s="190">
        <f t="shared" si="7"/>
        <v>44.199614844704598</v>
      </c>
      <c r="K29" s="190">
        <f t="shared" si="8"/>
        <v>47.246996288760549</v>
      </c>
      <c r="L29" s="190">
        <f>K29-'NOPA Crush'!J454</f>
        <v>0.16699628876055073</v>
      </c>
      <c r="M29" s="189">
        <v>240.71199999999999</v>
      </c>
      <c r="N29" s="189">
        <v>52.835999999999999</v>
      </c>
      <c r="O29" s="189">
        <v>1839.3420000000001</v>
      </c>
      <c r="P29" s="189">
        <v>1888.7170000000001</v>
      </c>
      <c r="Q29" s="189">
        <v>878.58699999999999</v>
      </c>
      <c r="R29" s="189">
        <v>400.41199999999998</v>
      </c>
      <c r="S29" s="189">
        <v>609.71799999999996</v>
      </c>
      <c r="T29" s="189">
        <v>380.53800000000001</v>
      </c>
      <c r="U29" s="189">
        <f>(P29+T29)-'NOPA Crush'!Q454</f>
        <v>520.15900000000011</v>
      </c>
      <c r="V29" s="191">
        <f>(P29+T29)/'NOPA Crush'!Q454-1</f>
        <v>0.29738733608675583</v>
      </c>
      <c r="W29" s="190">
        <f t="shared" si="9"/>
        <v>11.642910781499802</v>
      </c>
      <c r="X29" s="190">
        <f>W29-'NOPA Crush'!O454</f>
        <v>-9.7089218500197916E-2</v>
      </c>
      <c r="Y29" s="190">
        <f t="shared" si="0"/>
        <v>58.88990707026035</v>
      </c>
      <c r="Z29" s="211">
        <v>1483.6890000000001</v>
      </c>
      <c r="AA29" s="211">
        <v>1452.877</v>
      </c>
      <c r="AB29" s="191">
        <f t="shared" si="10"/>
        <v>2.0767155380945822E-2</v>
      </c>
      <c r="AC29" s="211">
        <v>104.473</v>
      </c>
      <c r="AD29" s="211">
        <v>1604.8979999999999</v>
      </c>
      <c r="AE29" s="211">
        <v>1287.7460000000001</v>
      </c>
      <c r="AF29" s="211">
        <v>317.15199999999999</v>
      </c>
      <c r="AG29" s="191">
        <f t="shared" si="1"/>
        <v>0.10463445976500418</v>
      </c>
      <c r="AH29" s="163"/>
      <c r="AI29" s="211">
        <v>549.154</v>
      </c>
      <c r="AJ29" s="247">
        <f t="shared" si="11"/>
        <v>18.305133333333334</v>
      </c>
      <c r="AK29" s="211">
        <v>398.15199999999999</v>
      </c>
      <c r="AL29" s="211">
        <v>49.201999999999998</v>
      </c>
      <c r="AM29" s="190">
        <f t="shared" si="12"/>
        <v>43.501677125177999</v>
      </c>
      <c r="AN29" s="190">
        <f t="shared" si="13"/>
        <v>-0.69793771952659966</v>
      </c>
      <c r="AO29" s="211">
        <v>218.36600000000001</v>
      </c>
      <c r="AP29" s="211">
        <v>187.476</v>
      </c>
      <c r="AQ29" s="190">
        <f t="shared" si="2"/>
        <v>11.929222039719278</v>
      </c>
      <c r="AR29" s="190">
        <f t="shared" si="14"/>
        <v>0.28631125821947556</v>
      </c>
      <c r="AS29" s="190">
        <f t="shared" si="15"/>
        <v>55.430899164897276</v>
      </c>
      <c r="AT29" s="211">
        <v>1051.3019999999999</v>
      </c>
      <c r="AU29" s="247">
        <f t="shared" si="16"/>
        <v>35.043399999999998</v>
      </c>
      <c r="AV29" s="211">
        <v>772.35900000000004</v>
      </c>
      <c r="AW29" s="211">
        <v>90.567999999999998</v>
      </c>
      <c r="AX29" s="190">
        <f t="shared" si="17"/>
        <v>44.080140625624232</v>
      </c>
      <c r="AY29" s="190">
        <f t="shared" si="18"/>
        <v>-0.11947421908036659</v>
      </c>
      <c r="AZ29" s="211">
        <v>405.476</v>
      </c>
      <c r="BA29" s="211">
        <v>170.083</v>
      </c>
      <c r="BB29" s="190">
        <f t="shared" si="19"/>
        <v>11.570680927078994</v>
      </c>
      <c r="BC29" s="190">
        <f t="shared" si="57"/>
        <v>-7.2229854420807982E-2</v>
      </c>
      <c r="BD29" s="247">
        <f t="shared" si="20"/>
        <v>55.650821552703228</v>
      </c>
      <c r="BE29" s="211">
        <v>1115.453</v>
      </c>
      <c r="BF29" s="247">
        <f t="shared" si="58"/>
        <v>37.181766666666668</v>
      </c>
      <c r="BG29" s="211">
        <v>823.61699999999996</v>
      </c>
      <c r="BH29" s="211">
        <v>94.475999999999999</v>
      </c>
      <c r="BI29" s="190">
        <f t="shared" si="21"/>
        <v>44.302198299704244</v>
      </c>
      <c r="BJ29" s="190">
        <f t="shared" si="22"/>
        <v>0.10258345499964605</v>
      </c>
      <c r="BK29" s="211">
        <v>436.505</v>
      </c>
      <c r="BL29" s="211">
        <v>225.011</v>
      </c>
      <c r="BM29" s="190">
        <f t="shared" si="23"/>
        <v>11.739759541639136</v>
      </c>
      <c r="BN29" s="190">
        <f t="shared" si="24"/>
        <v>9.6848760139334189E-2</v>
      </c>
      <c r="BO29" s="247">
        <f t="shared" si="25"/>
        <v>56.041957841343383</v>
      </c>
      <c r="BP29" s="211">
        <v>607.298</v>
      </c>
      <c r="BQ29" s="247">
        <f t="shared" si="26"/>
        <v>20.243266666666667</v>
      </c>
      <c r="BR29" s="211">
        <v>456.00299999999999</v>
      </c>
      <c r="BS29" s="211">
        <v>23.402000000000001</v>
      </c>
      <c r="BT29" s="190">
        <f t="shared" si="27"/>
        <v>45.052313691136803</v>
      </c>
      <c r="BU29" s="190">
        <f t="shared" si="28"/>
        <v>0.8526988464322045</v>
      </c>
      <c r="BV29" s="211">
        <v>233.084</v>
      </c>
      <c r="BW29" s="211">
        <v>219.011</v>
      </c>
      <c r="BX29" s="190">
        <f t="shared" si="29"/>
        <v>11.514149560841629</v>
      </c>
      <c r="BY29" s="190">
        <f t="shared" si="30"/>
        <v>-0.12876122065817341</v>
      </c>
      <c r="BZ29" s="194">
        <f t="shared" si="31"/>
        <v>56.566463251978433</v>
      </c>
      <c r="CA29" s="211">
        <v>561.97400000000005</v>
      </c>
      <c r="CB29" s="247">
        <f t="shared" si="32"/>
        <v>18.732466666666667</v>
      </c>
      <c r="CC29" s="211">
        <v>413.62299999999999</v>
      </c>
      <c r="CD29" s="211">
        <v>78.37</v>
      </c>
      <c r="CE29" s="190">
        <f t="shared" si="59"/>
        <v>44.161082185296827</v>
      </c>
      <c r="CF29" s="190">
        <f t="shared" si="33"/>
        <v>-3.8532659407771064E-2</v>
      </c>
      <c r="CG29" s="211">
        <v>216.98099999999999</v>
      </c>
      <c r="CH29" s="211">
        <v>49.779000000000003</v>
      </c>
      <c r="CI29" s="190">
        <f t="shared" si="34"/>
        <v>11.583151533700846</v>
      </c>
      <c r="CJ29" s="190">
        <f t="shared" si="35"/>
        <v>-5.9759247798956139E-2</v>
      </c>
      <c r="CK29" s="194">
        <f t="shared" si="36"/>
        <v>55.744233718997677</v>
      </c>
      <c r="CL29" s="211">
        <v>854.20600000000002</v>
      </c>
      <c r="CM29" s="247">
        <f t="shared" si="60"/>
        <v>28.473533333333332</v>
      </c>
      <c r="CN29" s="211">
        <v>627.56399999999996</v>
      </c>
      <c r="CO29" s="211">
        <v>39.137999999999998</v>
      </c>
      <c r="CP29" s="190">
        <f t="shared" si="37"/>
        <v>44.080514536306232</v>
      </c>
      <c r="CQ29" s="190">
        <f t="shared" si="38"/>
        <v>-0.11910030839836594</v>
      </c>
      <c r="CR29" s="211">
        <v>328.93</v>
      </c>
      <c r="CS29" s="211">
        <v>27.227</v>
      </c>
      <c r="CT29" s="190">
        <f t="shared" si="39"/>
        <v>11.552131453068698</v>
      </c>
      <c r="CU29" s="190">
        <f t="shared" si="40"/>
        <v>-9.0779328431104034E-2</v>
      </c>
      <c r="CV29" s="247">
        <f t="shared" si="41"/>
        <v>55.632645989374929</v>
      </c>
      <c r="CW29" s="195"/>
      <c r="CX29" s="196">
        <f t="shared" si="42"/>
        <v>0</v>
      </c>
      <c r="CY29" s="196">
        <f t="shared" si="43"/>
        <v>0</v>
      </c>
      <c r="CZ29" s="196">
        <f t="shared" si="44"/>
        <v>0</v>
      </c>
      <c r="DA29" s="196">
        <f t="shared" si="45"/>
        <v>0</v>
      </c>
      <c r="DB29" s="196">
        <f t="shared" si="46"/>
        <v>5.3290705182007514E-14</v>
      </c>
      <c r="DC29" s="196">
        <f t="shared" si="47"/>
        <v>0</v>
      </c>
      <c r="DD29" s="163"/>
      <c r="DE29" s="200">
        <v>113.599</v>
      </c>
      <c r="DF29" s="200">
        <v>69.498999999999995</v>
      </c>
      <c r="DG29" s="200">
        <v>43.789000000000001</v>
      </c>
      <c r="DH29" s="191">
        <f t="shared" si="61"/>
        <v>0.61179235732708903</v>
      </c>
      <c r="DI29" s="197">
        <v>93.072000000000003</v>
      </c>
      <c r="DJ29" s="191">
        <f t="shared" si="48"/>
        <v>0.40965149341103357</v>
      </c>
      <c r="DK29" s="197">
        <v>102.291</v>
      </c>
      <c r="DL29" s="197">
        <v>99.453000000000003</v>
      </c>
      <c r="DM29" s="191">
        <f t="shared" si="62"/>
        <v>2.7744376338094234E-2</v>
      </c>
      <c r="DN29" s="200">
        <v>132.28700000000001</v>
      </c>
      <c r="DO29" s="200">
        <v>218.989</v>
      </c>
      <c r="DP29" s="200">
        <v>75.319999999999993</v>
      </c>
      <c r="DQ29" s="200">
        <f t="shared" si="49"/>
        <v>294.30899999999997</v>
      </c>
      <c r="DR29" s="191">
        <f t="shared" si="50"/>
        <v>1.0214438507381227</v>
      </c>
      <c r="DS29" s="199">
        <f t="shared" si="51"/>
        <v>1.099052346570397</v>
      </c>
      <c r="DT29" s="200">
        <v>155.70400000000001</v>
      </c>
      <c r="DU29" s="200">
        <v>67.463999999999999</v>
      </c>
      <c r="DV29" s="200">
        <v>36.802</v>
      </c>
      <c r="DW29" s="191">
        <f t="shared" si="63"/>
        <v>0.43328366644402194</v>
      </c>
      <c r="DX29" s="197">
        <v>46.921999999999997</v>
      </c>
      <c r="DY29" s="191">
        <f t="shared" si="64"/>
        <v>0.15067692544828648</v>
      </c>
      <c r="DZ29" s="197">
        <v>35.68</v>
      </c>
      <c r="EA29" s="197">
        <v>34.898000000000003</v>
      </c>
      <c r="EB29" s="191">
        <f t="shared" si="52"/>
        <v>2.1917040358744311E-2</v>
      </c>
      <c r="EC29" s="200">
        <v>50.11</v>
      </c>
      <c r="ED29" s="200"/>
      <c r="EE29" s="200">
        <v>44.536999999999999</v>
      </c>
      <c r="EF29" s="204">
        <f t="shared" si="53"/>
        <v>44.536999999999999</v>
      </c>
      <c r="EG29" s="191">
        <f t="shared" si="54"/>
        <v>0.58396059189230842</v>
      </c>
      <c r="EJ29" s="202">
        <f t="shared" si="3"/>
        <v>10.192230107526882</v>
      </c>
      <c r="EK29" s="202">
        <f>'NOPA Crush'!B454*56/('NOPA Crush'!A454-'NOPA Crush'!A453)</f>
        <v>10.953291674351735</v>
      </c>
      <c r="EL29" s="203">
        <f t="shared" si="65"/>
        <v>0.93051754765127292</v>
      </c>
      <c r="EM29" s="202">
        <f t="shared" si="55"/>
        <v>3.6644838709677421</v>
      </c>
      <c r="EN29" s="202">
        <f t="shared" si="56"/>
        <v>1.004541935483871E-2</v>
      </c>
      <c r="EO29" s="202">
        <f t="shared" si="66"/>
        <v>13.866759397849464</v>
      </c>
    </row>
    <row r="30" spans="1:145">
      <c r="A30" s="157">
        <v>42887</v>
      </c>
      <c r="B30" s="186">
        <v>4446.8630000000003</v>
      </c>
      <c r="C30" s="187">
        <f t="shared" si="6"/>
        <v>148.22876666666667</v>
      </c>
      <c r="D30" s="247">
        <f>C30-'NOPA Crush'!G455</f>
        <v>10.15476666666666</v>
      </c>
      <c r="E30" s="188">
        <f>C30/'NOPA Crush'!G455-1</f>
        <v>7.3545828082525633E-2</v>
      </c>
      <c r="F30" s="189">
        <v>3268.3969999999999</v>
      </c>
      <c r="G30" s="189">
        <v>3216.471</v>
      </c>
      <c r="H30" s="189">
        <v>51.926000000000002</v>
      </c>
      <c r="I30" s="189">
        <v>314.96499999999997</v>
      </c>
      <c r="J30" s="190">
        <f t="shared" si="7"/>
        <v>44.099361729830669</v>
      </c>
      <c r="K30" s="190">
        <f t="shared" si="8"/>
        <v>47.082993112223157</v>
      </c>
      <c r="L30" s="190">
        <f>K30-'NOPA Crush'!J455</f>
        <v>0.24299311222315367</v>
      </c>
      <c r="M30" s="189">
        <v>221.13</v>
      </c>
      <c r="N30" s="189">
        <v>35.015999999999998</v>
      </c>
      <c r="O30" s="189">
        <v>1735.6079999999999</v>
      </c>
      <c r="P30" s="189">
        <v>1815.1569999999999</v>
      </c>
      <c r="Q30" s="189">
        <v>798.79</v>
      </c>
      <c r="R30" s="189">
        <v>426.57</v>
      </c>
      <c r="S30" s="189">
        <v>589.79700000000003</v>
      </c>
      <c r="T30" s="189">
        <v>327.721</v>
      </c>
      <c r="U30" s="189">
        <f>(P30+T30)-'NOPA Crush'!Q455</f>
        <v>439.47299999999973</v>
      </c>
      <c r="V30" s="191">
        <f>(P30+T30)/'NOPA Crush'!Q455-1</f>
        <v>0.25799677704362711</v>
      </c>
      <c r="W30" s="190">
        <f t="shared" si="9"/>
        <v>11.708982264576173</v>
      </c>
      <c r="X30" s="190">
        <f>W30-'NOPA Crush'!O455</f>
        <v>-3.101773542382702E-2</v>
      </c>
      <c r="Y30" s="190">
        <f t="shared" si="0"/>
        <v>58.791975376799329</v>
      </c>
      <c r="Z30" s="211">
        <v>1399.8309999999999</v>
      </c>
      <c r="AA30" s="211">
        <v>1357.6120000000001</v>
      </c>
      <c r="AB30" s="191">
        <f t="shared" si="10"/>
        <v>3.0160069322653825E-2</v>
      </c>
      <c r="AC30" s="344">
        <f>FORECAST(S30,AC31:AC$87,S31:S$87)</f>
        <v>116.44310796470774</v>
      </c>
      <c r="AD30" s="211">
        <v>1370.3530000000001</v>
      </c>
      <c r="AE30" s="211">
        <v>1110.6099999999999</v>
      </c>
      <c r="AF30" s="211">
        <v>259.74299999999999</v>
      </c>
      <c r="AG30" s="191">
        <f t="shared" si="1"/>
        <v>9.3848610648696873E-3</v>
      </c>
      <c r="AH30" s="163"/>
      <c r="AI30" s="211">
        <v>479.90800000000002</v>
      </c>
      <c r="AJ30" s="247">
        <f t="shared" si="11"/>
        <v>15.996933333333335</v>
      </c>
      <c r="AK30" s="211">
        <v>346.68</v>
      </c>
      <c r="AL30" s="211">
        <v>49.923999999999999</v>
      </c>
      <c r="AM30" s="190">
        <f t="shared" si="12"/>
        <v>43.343307467264559</v>
      </c>
      <c r="AN30" s="190">
        <f t="shared" si="13"/>
        <v>-0.75605426256610997</v>
      </c>
      <c r="AO30" s="211">
        <v>191.316</v>
      </c>
      <c r="AP30" s="211">
        <v>215.99100000000001</v>
      </c>
      <c r="AQ30" s="190">
        <f t="shared" si="2"/>
        <v>11.959542245597072</v>
      </c>
      <c r="AR30" s="190">
        <f t="shared" si="14"/>
        <v>0.25055998102089916</v>
      </c>
      <c r="AS30" s="190">
        <f t="shared" si="15"/>
        <v>55.302849712861629</v>
      </c>
      <c r="AT30" s="211">
        <v>976.09500000000003</v>
      </c>
      <c r="AU30" s="247">
        <f t="shared" si="16"/>
        <v>32.536500000000004</v>
      </c>
      <c r="AV30" s="211">
        <v>723.63</v>
      </c>
      <c r="AW30" s="211">
        <v>41.195999999999998</v>
      </c>
      <c r="AX30" s="190">
        <f t="shared" si="17"/>
        <v>44.481121202341981</v>
      </c>
      <c r="AY30" s="190">
        <f t="shared" si="18"/>
        <v>0.38175947251131248</v>
      </c>
      <c r="AZ30" s="211">
        <v>374.00599999999997</v>
      </c>
      <c r="BA30" s="211">
        <v>156.46299999999999</v>
      </c>
      <c r="BB30" s="190">
        <f t="shared" si="19"/>
        <v>11.494967190693526</v>
      </c>
      <c r="BC30" s="190">
        <f t="shared" si="57"/>
        <v>-0.2140150738826474</v>
      </c>
      <c r="BD30" s="247">
        <f t="shared" si="20"/>
        <v>55.976088393035511</v>
      </c>
      <c r="BE30" s="211">
        <v>1042.7819999999999</v>
      </c>
      <c r="BF30" s="247">
        <f t="shared" si="58"/>
        <v>34.759399999999999</v>
      </c>
      <c r="BG30" s="211">
        <v>769.15899999999999</v>
      </c>
      <c r="BH30" s="211">
        <v>85.504999999999995</v>
      </c>
      <c r="BI30" s="190">
        <f t="shared" si="21"/>
        <v>44.256172431054623</v>
      </c>
      <c r="BJ30" s="190">
        <f t="shared" si="22"/>
        <v>0.15681070122395369</v>
      </c>
      <c r="BK30" s="211">
        <v>410.565</v>
      </c>
      <c r="BL30" s="211">
        <v>144.714</v>
      </c>
      <c r="BM30" s="190">
        <f t="shared" si="23"/>
        <v>11.811625056819162</v>
      </c>
      <c r="BN30" s="190">
        <f t="shared" si="24"/>
        <v>0.10264279224298889</v>
      </c>
      <c r="BO30" s="247">
        <f t="shared" si="25"/>
        <v>56.067797487873783</v>
      </c>
      <c r="BP30" s="211">
        <v>619.32500000000005</v>
      </c>
      <c r="BQ30" s="247">
        <f t="shared" si="26"/>
        <v>20.644166666666667</v>
      </c>
      <c r="BR30" s="211">
        <v>458.78399999999999</v>
      </c>
      <c r="BS30" s="211">
        <v>18.411999999999999</v>
      </c>
      <c r="BT30" s="190">
        <f t="shared" si="27"/>
        <v>44.446841319178134</v>
      </c>
      <c r="BU30" s="190">
        <f t="shared" si="28"/>
        <v>0.34747958934746492</v>
      </c>
      <c r="BV30" s="211">
        <v>247.71899999999999</v>
      </c>
      <c r="BW30" s="211">
        <v>212.203</v>
      </c>
      <c r="BX30" s="190">
        <f t="shared" si="29"/>
        <v>11.999467161829411</v>
      </c>
      <c r="BY30" s="190">
        <f t="shared" si="30"/>
        <v>0.29048489725323812</v>
      </c>
      <c r="BZ30" s="194">
        <f t="shared" si="31"/>
        <v>56.446308481007549</v>
      </c>
      <c r="CA30" s="211">
        <v>577.87</v>
      </c>
      <c r="CB30" s="247">
        <f t="shared" si="32"/>
        <v>19.262333333333334</v>
      </c>
      <c r="CC30" s="211">
        <v>423.69600000000003</v>
      </c>
      <c r="CD30" s="211">
        <v>92.363</v>
      </c>
      <c r="CE30" s="190">
        <f t="shared" si="59"/>
        <v>43.992178171561079</v>
      </c>
      <c r="CF30" s="190">
        <f t="shared" si="33"/>
        <v>-0.1071835582695897</v>
      </c>
      <c r="CG30" s="211">
        <v>223.833</v>
      </c>
      <c r="CH30" s="211">
        <v>47.722999999999999</v>
      </c>
      <c r="CI30" s="190">
        <f t="shared" si="34"/>
        <v>11.620243307318255</v>
      </c>
      <c r="CJ30" s="190">
        <f t="shared" si="35"/>
        <v>-8.8738957257918472E-2</v>
      </c>
      <c r="CK30" s="194">
        <f t="shared" si="36"/>
        <v>55.612421478879334</v>
      </c>
      <c r="CL30" s="211">
        <v>750.88300000000004</v>
      </c>
      <c r="CM30" s="247">
        <f t="shared" si="60"/>
        <v>25.029433333333333</v>
      </c>
      <c r="CN30" s="211">
        <v>546.44799999999998</v>
      </c>
      <c r="CO30" s="211">
        <v>27.565000000000001</v>
      </c>
      <c r="CP30" s="190">
        <f t="shared" si="37"/>
        <v>43.664432408244693</v>
      </c>
      <c r="CQ30" s="190">
        <f t="shared" si="38"/>
        <v>-0.43492932158597597</v>
      </c>
      <c r="CR30" s="211">
        <v>288.16899999999998</v>
      </c>
      <c r="CS30" s="211">
        <v>21.696000000000002</v>
      </c>
      <c r="CT30" s="190">
        <f t="shared" si="39"/>
        <v>11.51320511983891</v>
      </c>
      <c r="CU30" s="190">
        <f t="shared" si="40"/>
        <v>-0.1957771447372636</v>
      </c>
      <c r="CV30" s="247">
        <f t="shared" si="41"/>
        <v>55.177637528083601</v>
      </c>
      <c r="CW30" s="195"/>
      <c r="CX30" s="196">
        <f t="shared" si="42"/>
        <v>0</v>
      </c>
      <c r="CY30" s="196">
        <f t="shared" si="43"/>
        <v>0</v>
      </c>
      <c r="CZ30" s="196">
        <f t="shared" si="44"/>
        <v>0</v>
      </c>
      <c r="DA30" s="196">
        <f t="shared" si="45"/>
        <v>0</v>
      </c>
      <c r="DB30" s="196">
        <f t="shared" si="46"/>
        <v>0</v>
      </c>
      <c r="DC30" s="196">
        <f t="shared" si="47"/>
        <v>0</v>
      </c>
      <c r="DD30" s="163"/>
      <c r="DE30" s="200">
        <v>167.44200000000001</v>
      </c>
      <c r="DF30" s="200">
        <v>97.231999999999999</v>
      </c>
      <c r="DG30" s="206">
        <f t="shared" ref="DG30:DG35" si="67">FORECAST(DF30,DG11:DG29,DF11:DF29)</f>
        <v>41.515830471684581</v>
      </c>
      <c r="DH30" s="191">
        <f t="shared" si="61"/>
        <v>0.58069062720225506</v>
      </c>
      <c r="DI30" s="197">
        <v>137.52799999999999</v>
      </c>
      <c r="DJ30" s="191">
        <f t="shared" si="48"/>
        <v>0.41067354666093331</v>
      </c>
      <c r="DK30" s="197">
        <v>126.836</v>
      </c>
      <c r="DL30" s="197">
        <v>123.762</v>
      </c>
      <c r="DM30" s="191">
        <f t="shared" si="62"/>
        <v>2.4236021318868484E-2</v>
      </c>
      <c r="DN30" s="200">
        <v>131.33500000000001</v>
      </c>
      <c r="DO30" s="200">
        <v>228.934</v>
      </c>
      <c r="DP30" s="200">
        <v>77.373000000000005</v>
      </c>
      <c r="DQ30" s="200">
        <f t="shared" si="49"/>
        <v>306.30700000000002</v>
      </c>
      <c r="DR30" s="191">
        <f t="shared" si="50"/>
        <v>0.99136417386318842</v>
      </c>
      <c r="DS30" s="199">
        <f t="shared" si="51"/>
        <v>0.92225583153975921</v>
      </c>
      <c r="DT30" s="200">
        <v>144.12</v>
      </c>
      <c r="DU30" s="200">
        <v>67.134</v>
      </c>
      <c r="DV30" s="200">
        <v>46.58</v>
      </c>
      <c r="DW30" s="191">
        <f t="shared" si="63"/>
        <v>0.46582014987510406</v>
      </c>
      <c r="DX30" s="197">
        <v>43.706000000000003</v>
      </c>
      <c r="DY30" s="191">
        <f t="shared" si="64"/>
        <v>0.15163058562309187</v>
      </c>
      <c r="DZ30" s="197">
        <v>47.933</v>
      </c>
      <c r="EA30" s="197">
        <v>46.38</v>
      </c>
      <c r="EB30" s="191">
        <f t="shared" si="52"/>
        <v>3.2399390816347795E-2</v>
      </c>
      <c r="EC30" s="200">
        <v>42.694000000000003</v>
      </c>
      <c r="ED30" s="200"/>
      <c r="EE30" s="200">
        <v>49.43</v>
      </c>
      <c r="EF30" s="204">
        <f t="shared" si="53"/>
        <v>49.43</v>
      </c>
      <c r="EG30" s="191">
        <f t="shared" si="54"/>
        <v>0.61745073549819596</v>
      </c>
      <c r="EJ30" s="202">
        <f t="shared" si="3"/>
        <v>9.8819177777777778</v>
      </c>
      <c r="EK30" s="202">
        <f>'NOPA Crush'!B455*56/('NOPA Crush'!A455-'NOPA Crush'!A454)</f>
        <v>10.771900338761302</v>
      </c>
      <c r="EL30" s="203">
        <f t="shared" si="65"/>
        <v>0.91737924293812523</v>
      </c>
      <c r="EM30" s="202">
        <f t="shared" si="55"/>
        <v>5.5814000000000004</v>
      </c>
      <c r="EN30" s="202">
        <f t="shared" si="56"/>
        <v>9.6080000000000002E-3</v>
      </c>
      <c r="EO30" s="202">
        <f t="shared" si="66"/>
        <v>15.472925777777778</v>
      </c>
    </row>
    <row r="31" spans="1:145">
      <c r="A31" s="157">
        <v>42917</v>
      </c>
      <c r="B31" s="186">
        <v>4668.68</v>
      </c>
      <c r="C31" s="187">
        <f t="shared" si="6"/>
        <v>155.62266666666667</v>
      </c>
      <c r="D31" s="247">
        <f>C31-'NOPA Crush'!G456</f>
        <v>10.904666666666685</v>
      </c>
      <c r="E31" s="188">
        <f>C31/'NOPA Crush'!G456-1</f>
        <v>7.5351142682089867E-2</v>
      </c>
      <c r="F31" s="189">
        <v>3400.652</v>
      </c>
      <c r="G31" s="189">
        <v>3351.973</v>
      </c>
      <c r="H31" s="189">
        <v>48.679000000000002</v>
      </c>
      <c r="I31" s="189">
        <v>385.86799999999999</v>
      </c>
      <c r="J31" s="190">
        <f t="shared" si="7"/>
        <v>43.703813497605317</v>
      </c>
      <c r="K31" s="190">
        <f t="shared" si="8"/>
        <v>46.755194187650467</v>
      </c>
      <c r="L31" s="190">
        <f>K31-'NOPA Crush'!J456</f>
        <v>0.32519418765046737</v>
      </c>
      <c r="M31" s="189">
        <v>237.43199999999999</v>
      </c>
      <c r="N31" s="189">
        <v>37.831000000000003</v>
      </c>
      <c r="O31" s="189">
        <v>1801.376</v>
      </c>
      <c r="P31" s="189">
        <v>1627.9090000000001</v>
      </c>
      <c r="Q31" s="189">
        <v>719.63199999999995</v>
      </c>
      <c r="R31" s="189">
        <v>369.28899999999999</v>
      </c>
      <c r="S31" s="189">
        <v>538.98800000000006</v>
      </c>
      <c r="T31" s="189">
        <v>372.589</v>
      </c>
      <c r="U31" s="189">
        <f>(P31+T31)-'NOPA Crush'!Q456</f>
        <v>442.64499999999998</v>
      </c>
      <c r="V31" s="191">
        <f>(P31+T31)/'NOPA Crush'!Q456-1</f>
        <v>0.28413784869304104</v>
      </c>
      <c r="W31" s="190">
        <f t="shared" si="9"/>
        <v>11.575280379036473</v>
      </c>
      <c r="X31" s="190">
        <f>W31-'NOPA Crush'!O456</f>
        <v>-8.4719620963527476E-2</v>
      </c>
      <c r="Y31" s="190">
        <f t="shared" si="0"/>
        <v>58.330474566686938</v>
      </c>
      <c r="Z31" s="211">
        <v>1543.943</v>
      </c>
      <c r="AA31" s="211">
        <v>1496.4179999999999</v>
      </c>
      <c r="AB31" s="191">
        <f t="shared" si="10"/>
        <v>3.0781576781008166E-2</v>
      </c>
      <c r="AC31" s="211">
        <v>108.145</v>
      </c>
      <c r="AD31" s="211">
        <v>1349.73</v>
      </c>
      <c r="AE31" s="211">
        <v>984.31</v>
      </c>
      <c r="AF31" s="211">
        <v>365.42</v>
      </c>
      <c r="AG31" s="191">
        <f t="shared" si="1"/>
        <v>-9.8026086294070169E-2</v>
      </c>
      <c r="AH31" s="163"/>
      <c r="AI31" s="211">
        <v>562.34</v>
      </c>
      <c r="AJ31" s="247">
        <f t="shared" si="11"/>
        <v>18.744666666666667</v>
      </c>
      <c r="AK31" s="211">
        <v>402.91899999999998</v>
      </c>
      <c r="AL31" s="211">
        <v>51.264000000000003</v>
      </c>
      <c r="AM31" s="190">
        <f t="shared" si="12"/>
        <v>42.990255005868335</v>
      </c>
      <c r="AN31" s="190">
        <f t="shared" si="13"/>
        <v>-0.7135584917369826</v>
      </c>
      <c r="AO31" s="211">
        <v>222.405</v>
      </c>
      <c r="AP31" s="211">
        <v>169.41200000000001</v>
      </c>
      <c r="AQ31" s="190">
        <f t="shared" ref="AQ31:AQ36" si="68">AO31/AJ31</f>
        <v>11.86497492620123</v>
      </c>
      <c r="AR31" s="190">
        <f t="shared" si="14"/>
        <v>0.28969454716475695</v>
      </c>
      <c r="AS31" s="190">
        <f t="shared" si="15"/>
        <v>54.855229932069562</v>
      </c>
      <c r="AT31" s="211">
        <v>1050.4100000000001</v>
      </c>
      <c r="AU31" s="247">
        <f t="shared" si="16"/>
        <v>35.013666666666673</v>
      </c>
      <c r="AV31" s="211">
        <v>764.09100000000001</v>
      </c>
      <c r="AW31" s="211">
        <v>73.212999999999994</v>
      </c>
      <c r="AX31" s="190">
        <f t="shared" si="17"/>
        <v>43.645300406507928</v>
      </c>
      <c r="AY31" s="190">
        <f t="shared" si="18"/>
        <v>-5.8513091097388781E-2</v>
      </c>
      <c r="AZ31" s="211">
        <v>399.19900000000001</v>
      </c>
      <c r="BA31" s="211">
        <v>147.673</v>
      </c>
      <c r="BB31" s="190">
        <f t="shared" si="19"/>
        <v>11.401233803943221</v>
      </c>
      <c r="BC31" s="190">
        <f t="shared" si="57"/>
        <v>-0.17404657509325183</v>
      </c>
      <c r="BD31" s="247">
        <f t="shared" si="20"/>
        <v>55.046534210451149</v>
      </c>
      <c r="BE31" s="211">
        <v>1021.984</v>
      </c>
      <c r="BF31" s="247">
        <f t="shared" si="58"/>
        <v>34.066133333333333</v>
      </c>
      <c r="BG31" s="211">
        <v>752.63599999999997</v>
      </c>
      <c r="BH31" s="211">
        <v>91.444999999999993</v>
      </c>
      <c r="BI31" s="190">
        <f t="shared" si="21"/>
        <v>44.186758305413782</v>
      </c>
      <c r="BJ31" s="190">
        <f t="shared" si="22"/>
        <v>0.48294480780846527</v>
      </c>
      <c r="BK31" s="211">
        <v>399.50099999999998</v>
      </c>
      <c r="BL31" s="211">
        <v>135.40799999999999</v>
      </c>
      <c r="BM31" s="190">
        <f t="shared" si="23"/>
        <v>11.727218821429689</v>
      </c>
      <c r="BN31" s="190">
        <f t="shared" si="24"/>
        <v>0.15193844239321663</v>
      </c>
      <c r="BO31" s="247">
        <f t="shared" si="25"/>
        <v>55.91397712684347</v>
      </c>
      <c r="BP31" s="211">
        <v>631.13900000000001</v>
      </c>
      <c r="BQ31" s="247">
        <f t="shared" si="26"/>
        <v>21.037966666666666</v>
      </c>
      <c r="BR31" s="211">
        <v>463.72399999999999</v>
      </c>
      <c r="BS31" s="211">
        <v>37.503999999999998</v>
      </c>
      <c r="BT31" s="190">
        <f t="shared" si="27"/>
        <v>44.084488519961532</v>
      </c>
      <c r="BU31" s="190">
        <f t="shared" si="28"/>
        <v>0.38067502235621475</v>
      </c>
      <c r="BV31" s="211">
        <v>242.369</v>
      </c>
      <c r="BW31" s="211">
        <v>196.18600000000001</v>
      </c>
      <c r="BX31" s="190">
        <f t="shared" si="29"/>
        <v>11.520552524879623</v>
      </c>
      <c r="BY31" s="190">
        <f t="shared" si="30"/>
        <v>-5.4727854156849887E-2</v>
      </c>
      <c r="BZ31" s="194">
        <f t="shared" si="31"/>
        <v>55.605041044841158</v>
      </c>
      <c r="CA31" s="211">
        <v>594.80499999999995</v>
      </c>
      <c r="CB31" s="247">
        <f t="shared" si="32"/>
        <v>19.826833333333333</v>
      </c>
      <c r="CC31" s="211">
        <v>427.19299999999998</v>
      </c>
      <c r="CD31" s="211">
        <v>94.25</v>
      </c>
      <c r="CE31" s="190">
        <f t="shared" si="59"/>
        <v>43.092408436378307</v>
      </c>
      <c r="CF31" s="190">
        <f t="shared" si="33"/>
        <v>-0.61140506122701055</v>
      </c>
      <c r="CG31" s="211">
        <v>226.51900000000001</v>
      </c>
      <c r="CH31" s="211">
        <v>45.686999999999998</v>
      </c>
      <c r="CI31" s="190">
        <f t="shared" si="34"/>
        <v>11.424870335656223</v>
      </c>
      <c r="CJ31" s="190">
        <f t="shared" si="35"/>
        <v>-0.15041004338024955</v>
      </c>
      <c r="CK31" s="194">
        <f t="shared" si="36"/>
        <v>54.51727877203453</v>
      </c>
      <c r="CL31" s="211">
        <v>808.00199999999995</v>
      </c>
      <c r="CM31" s="247">
        <f t="shared" si="60"/>
        <v>26.933399999999999</v>
      </c>
      <c r="CN31" s="211">
        <v>590.08900000000006</v>
      </c>
      <c r="CO31" s="211">
        <v>38.192</v>
      </c>
      <c r="CP31" s="190">
        <f t="shared" si="37"/>
        <v>43.818381637669219</v>
      </c>
      <c r="CQ31" s="190">
        <f t="shared" si="38"/>
        <v>0.11456814006390204</v>
      </c>
      <c r="CR31" s="211">
        <v>311.38299999999998</v>
      </c>
      <c r="CS31" s="211">
        <v>25.265999999999998</v>
      </c>
      <c r="CT31" s="190">
        <f t="shared" si="39"/>
        <v>11.561221383115388</v>
      </c>
      <c r="CU31" s="190">
        <f t="shared" si="40"/>
        <v>-1.4058995921084616E-2</v>
      </c>
      <c r="CV31" s="247">
        <f t="shared" si="41"/>
        <v>55.379603020784607</v>
      </c>
      <c r="CW31" s="195"/>
      <c r="CX31" s="196">
        <f t="shared" si="42"/>
        <v>0</v>
      </c>
      <c r="CY31" s="196">
        <f t="shared" si="43"/>
        <v>0</v>
      </c>
      <c r="CZ31" s="196">
        <f t="shared" si="44"/>
        <v>0</v>
      </c>
      <c r="DA31" s="196">
        <f t="shared" si="45"/>
        <v>0</v>
      </c>
      <c r="DB31" s="196">
        <f t="shared" si="46"/>
        <v>-1.0658141036401503E-13</v>
      </c>
      <c r="DC31" s="196">
        <f t="shared" si="47"/>
        <v>0</v>
      </c>
      <c r="DD31" s="163"/>
      <c r="DE31" s="200">
        <v>160.71700000000001</v>
      </c>
      <c r="DF31" s="200">
        <v>91.111000000000004</v>
      </c>
      <c r="DG31" s="200">
        <v>51.335999999999999</v>
      </c>
      <c r="DH31" s="191">
        <f t="shared" si="61"/>
        <v>0.56690331452179921</v>
      </c>
      <c r="DI31" s="197">
        <v>135.46299999999999</v>
      </c>
      <c r="DJ31" s="191">
        <f t="shared" si="48"/>
        <v>0.42143332690381224</v>
      </c>
      <c r="DK31" s="197">
        <v>118.48</v>
      </c>
      <c r="DL31" s="197">
        <v>115.452</v>
      </c>
      <c r="DM31" s="191">
        <f t="shared" si="62"/>
        <v>2.5557056043214121E-2</v>
      </c>
      <c r="DN31" s="200">
        <v>144.77199999999999</v>
      </c>
      <c r="DO31" s="200">
        <v>224.79400000000001</v>
      </c>
      <c r="DP31" s="200">
        <v>82.269000000000005</v>
      </c>
      <c r="DQ31" s="200">
        <f t="shared" si="49"/>
        <v>307.06299999999999</v>
      </c>
      <c r="DR31" s="191">
        <f t="shared" si="50"/>
        <v>0.9883366414256114</v>
      </c>
      <c r="DS31" s="199">
        <f t="shared" si="51"/>
        <v>0.87462997276008958</v>
      </c>
      <c r="DT31" s="200">
        <v>131.26</v>
      </c>
      <c r="DU31" s="200">
        <v>53.645000000000003</v>
      </c>
      <c r="DV31" s="200">
        <v>39.993000000000002</v>
      </c>
      <c r="DW31" s="191">
        <f t="shared" si="63"/>
        <v>0.4086926710345879</v>
      </c>
      <c r="DX31" s="197">
        <v>36</v>
      </c>
      <c r="DY31" s="191">
        <f t="shared" si="64"/>
        <v>0.13713240895931739</v>
      </c>
      <c r="DZ31" s="197">
        <v>40.734999999999999</v>
      </c>
      <c r="EA31" s="197">
        <v>39.140999999999998</v>
      </c>
      <c r="EB31" s="191">
        <f t="shared" si="52"/>
        <v>3.913096845464592E-2</v>
      </c>
      <c r="EC31" s="200">
        <v>51.000999999999998</v>
      </c>
      <c r="ED31" s="200"/>
      <c r="EE31" s="200">
        <v>41.942</v>
      </c>
      <c r="EF31" s="204">
        <f>EE31+ED31</f>
        <v>41.942</v>
      </c>
      <c r="EG31" s="191">
        <f t="shared" si="54"/>
        <v>0.54582507999390528</v>
      </c>
      <c r="EJ31" s="202">
        <f t="shared" si="3"/>
        <v>10.040172043010752</v>
      </c>
      <c r="EK31" s="202">
        <f>'NOPA Crush'!B456*56/('NOPA Crush'!A456-'NOPA Crush'!A455)</f>
        <v>11.152696140076371</v>
      </c>
      <c r="EL31" s="203">
        <f t="shared" si="65"/>
        <v>0.9002461751766152</v>
      </c>
      <c r="EM31" s="202">
        <f t="shared" si="55"/>
        <v>5.1844193548387105</v>
      </c>
      <c r="EN31" s="202">
        <f t="shared" si="56"/>
        <v>8.4683870967741919E-3</v>
      </c>
      <c r="EO31" s="202">
        <f t="shared" si="66"/>
        <v>15.233059784946237</v>
      </c>
    </row>
    <row r="32" spans="1:145">
      <c r="A32" s="157">
        <v>42948</v>
      </c>
      <c r="B32" s="186">
        <v>4548.5919999999996</v>
      </c>
      <c r="C32" s="187">
        <f t="shared" ref="C32:C37" si="69">B32/30</f>
        <v>151.61973333333333</v>
      </c>
      <c r="D32" s="247">
        <f>C32-'NOPA Crush'!G457</f>
        <v>9.1957333333333224</v>
      </c>
      <c r="E32" s="188">
        <f>C32/'NOPA Crush'!G457-1</f>
        <v>6.4565897133441741E-2</v>
      </c>
      <c r="F32" s="189">
        <v>3319.1550000000002</v>
      </c>
      <c r="G32" s="189">
        <v>3269.643</v>
      </c>
      <c r="H32" s="189">
        <v>49.512</v>
      </c>
      <c r="I32" s="189">
        <v>290.92099999999999</v>
      </c>
      <c r="J32" s="190">
        <f t="shared" ref="J32:J37" si="70">F32*2/C32</f>
        <v>43.78262548058828</v>
      </c>
      <c r="K32" s="190">
        <f t="shared" ref="K32:K37" si="71">(F32+M32)*2/C32</f>
        <v>46.913141473229523</v>
      </c>
      <c r="L32" s="190">
        <f>K32-'NOPA Crush'!J457</f>
        <v>4.3141473229525218E-2</v>
      </c>
      <c r="M32" s="189">
        <v>237.32400000000001</v>
      </c>
      <c r="N32" s="189">
        <v>35.558999999999997</v>
      </c>
      <c r="O32" s="189">
        <v>1762.2070000000001</v>
      </c>
      <c r="P32" s="189">
        <v>1483.0309999999999</v>
      </c>
      <c r="Q32" s="189">
        <v>598.197</v>
      </c>
      <c r="R32" s="189">
        <v>329.392</v>
      </c>
      <c r="S32" s="189">
        <v>555.44200000000001</v>
      </c>
      <c r="T32" s="189">
        <v>327.31</v>
      </c>
      <c r="U32" s="189">
        <f>(P32+T32)-'NOPA Crush'!Q457</f>
        <v>393.32499999999982</v>
      </c>
      <c r="V32" s="191">
        <f>(P32+T32)/'NOPA Crush'!Q457-1</f>
        <v>0.2775727303008575</v>
      </c>
      <c r="W32" s="190">
        <f t="shared" ref="W32:W37" si="72">O32/C32</f>
        <v>11.622543855329299</v>
      </c>
      <c r="X32" s="190">
        <f>W32-'NOPA Crush'!O457</f>
        <v>-9.7456144670701406E-2</v>
      </c>
      <c r="Y32" s="190">
        <f t="shared" si="0"/>
        <v>58.53568532855882</v>
      </c>
      <c r="Z32" s="211">
        <v>1550.365</v>
      </c>
      <c r="AA32" s="211">
        <v>1515.905</v>
      </c>
      <c r="AB32" s="191">
        <f t="shared" ref="AB32:AB37" si="73">(Z32-AA32)/Z32</f>
        <v>2.2227023958874225E-2</v>
      </c>
      <c r="AC32" s="344">
        <f>FORECAST(S32,AC33:AC$87,S33:S$87)</f>
        <v>112.80187648094977</v>
      </c>
      <c r="AD32" s="211">
        <v>1452.0419999999999</v>
      </c>
      <c r="AE32" s="211">
        <v>1135.3440000000001</v>
      </c>
      <c r="AF32" s="211">
        <v>316.69799999999998</v>
      </c>
      <c r="AG32" s="191">
        <f t="shared" si="1"/>
        <v>-4.212862943258322E-2</v>
      </c>
      <c r="AH32" s="163"/>
      <c r="AI32" s="211">
        <v>551.51300000000003</v>
      </c>
      <c r="AJ32" s="247">
        <f t="shared" si="11"/>
        <v>18.383766666666666</v>
      </c>
      <c r="AK32" s="211">
        <v>393.06799999999998</v>
      </c>
      <c r="AL32" s="211">
        <v>34.628</v>
      </c>
      <c r="AM32" s="190">
        <f t="shared" si="12"/>
        <v>42.762509677922367</v>
      </c>
      <c r="AN32" s="190">
        <f t="shared" si="13"/>
        <v>-1.020115802665913</v>
      </c>
      <c r="AO32" s="211">
        <v>217.96899999999999</v>
      </c>
      <c r="AP32" s="211">
        <v>116.29300000000001</v>
      </c>
      <c r="AQ32" s="190">
        <f t="shared" si="68"/>
        <v>11.856601748281545</v>
      </c>
      <c r="AR32" s="190">
        <f t="shared" si="14"/>
        <v>0.23405789295224544</v>
      </c>
      <c r="AS32" s="190">
        <f t="shared" si="15"/>
        <v>54.619111426203915</v>
      </c>
      <c r="AT32" s="211">
        <v>1004.011</v>
      </c>
      <c r="AU32" s="247">
        <f t="shared" si="16"/>
        <v>33.467033333333333</v>
      </c>
      <c r="AV32" s="211">
        <v>728.54700000000003</v>
      </c>
      <c r="AW32" s="211">
        <v>54.872999999999998</v>
      </c>
      <c r="AX32" s="190">
        <f t="shared" si="17"/>
        <v>43.538188326621921</v>
      </c>
      <c r="AY32" s="190">
        <f t="shared" si="18"/>
        <v>-0.24443715396635923</v>
      </c>
      <c r="AZ32" s="211">
        <v>382.37299999999999</v>
      </c>
      <c r="BA32" s="211">
        <v>117.235</v>
      </c>
      <c r="BB32" s="190">
        <f t="shared" si="19"/>
        <v>11.425362869530314</v>
      </c>
      <c r="BC32" s="190">
        <f t="shared" si="57"/>
        <v>-0.19718098579898502</v>
      </c>
      <c r="BD32" s="247">
        <f t="shared" si="20"/>
        <v>54.963551196152238</v>
      </c>
      <c r="BE32" s="211">
        <v>993.45899999999995</v>
      </c>
      <c r="BF32" s="247">
        <f t="shared" si="58"/>
        <v>33.115299999999998</v>
      </c>
      <c r="BG32" s="211">
        <v>732.79499999999996</v>
      </c>
      <c r="BH32" s="211">
        <v>88.597999999999999</v>
      </c>
      <c r="BI32" s="190">
        <f t="shared" si="21"/>
        <v>44.257186255295892</v>
      </c>
      <c r="BJ32" s="190">
        <f t="shared" si="22"/>
        <v>0.47456077470761215</v>
      </c>
      <c r="BK32" s="211">
        <v>389.55200000000002</v>
      </c>
      <c r="BL32" s="211">
        <v>123.29900000000001</v>
      </c>
      <c r="BM32" s="190">
        <f t="shared" si="23"/>
        <v>11.763505086772581</v>
      </c>
      <c r="BN32" s="190">
        <f t="shared" si="24"/>
        <v>0.14096123144328132</v>
      </c>
      <c r="BO32" s="247">
        <f t="shared" si="25"/>
        <v>56.020691342068474</v>
      </c>
      <c r="BP32" s="211">
        <v>599.95299999999997</v>
      </c>
      <c r="BQ32" s="247">
        <f t="shared" si="26"/>
        <v>19.998433333333331</v>
      </c>
      <c r="BR32" s="211">
        <v>443.07799999999997</v>
      </c>
      <c r="BS32" s="211">
        <v>23.635999999999999</v>
      </c>
      <c r="BT32" s="190">
        <f t="shared" si="27"/>
        <v>44.311271049565555</v>
      </c>
      <c r="BU32" s="190">
        <f t="shared" si="28"/>
        <v>0.5286455689772751</v>
      </c>
      <c r="BV32" s="211">
        <v>230.828</v>
      </c>
      <c r="BW32" s="211">
        <v>162.898</v>
      </c>
      <c r="BX32" s="190">
        <f t="shared" si="29"/>
        <v>11.542304147158195</v>
      </c>
      <c r="BY32" s="190">
        <f t="shared" si="30"/>
        <v>-8.0239708171104596E-2</v>
      </c>
      <c r="BZ32" s="194">
        <f t="shared" si="31"/>
        <v>55.853575196723753</v>
      </c>
      <c r="CA32" s="211">
        <v>613.32799999999997</v>
      </c>
      <c r="CB32" s="247">
        <f t="shared" si="32"/>
        <v>20.444266666666667</v>
      </c>
      <c r="CC32" s="211">
        <v>445.34899999999999</v>
      </c>
      <c r="CD32" s="211">
        <v>48.451000000000001</v>
      </c>
      <c r="CE32" s="190">
        <f t="shared" si="59"/>
        <v>43.567128844598649</v>
      </c>
      <c r="CF32" s="190">
        <f t="shared" si="33"/>
        <v>-0.21549663598963065</v>
      </c>
      <c r="CG32" s="211">
        <v>239.13399999999999</v>
      </c>
      <c r="CH32" s="211">
        <v>53.527999999999999</v>
      </c>
      <c r="CI32" s="190">
        <f t="shared" si="34"/>
        <v>11.696873451073486</v>
      </c>
      <c r="CJ32" s="190">
        <f t="shared" si="35"/>
        <v>7.432959574418696E-2</v>
      </c>
      <c r="CK32" s="194">
        <f t="shared" si="36"/>
        <v>55.264002295672135</v>
      </c>
      <c r="CL32" s="211">
        <v>786.32799999999997</v>
      </c>
      <c r="CM32" s="247">
        <f t="shared" si="60"/>
        <v>26.210933333333333</v>
      </c>
      <c r="CN32" s="211">
        <v>576.31799999999998</v>
      </c>
      <c r="CO32" s="211">
        <v>40.734999999999999</v>
      </c>
      <c r="CP32" s="190">
        <f t="shared" si="37"/>
        <v>43.975389404930254</v>
      </c>
      <c r="CQ32" s="190">
        <f t="shared" si="38"/>
        <v>0.19276392434197476</v>
      </c>
      <c r="CR32" s="211">
        <v>302.351</v>
      </c>
      <c r="CS32" s="211">
        <v>24.943999999999999</v>
      </c>
      <c r="CT32" s="190">
        <f t="shared" si="39"/>
        <v>11.535300790509813</v>
      </c>
      <c r="CU32" s="190">
        <f t="shared" si="40"/>
        <v>-8.7243064819485738E-2</v>
      </c>
      <c r="CV32" s="247">
        <f t="shared" si="41"/>
        <v>55.51069019544007</v>
      </c>
      <c r="CW32" s="195"/>
      <c r="CX32" s="196">
        <f t="shared" si="42"/>
        <v>0</v>
      </c>
      <c r="CY32" s="196">
        <f t="shared" si="43"/>
        <v>0</v>
      </c>
      <c r="CZ32" s="196">
        <f t="shared" si="44"/>
        <v>0</v>
      </c>
      <c r="DA32" s="196">
        <f t="shared" si="45"/>
        <v>0</v>
      </c>
      <c r="DB32" s="196">
        <f t="shared" si="46"/>
        <v>0</v>
      </c>
      <c r="DC32" s="196">
        <f t="shared" si="47"/>
        <v>0</v>
      </c>
      <c r="DD32" s="163"/>
      <c r="DE32" s="200">
        <v>151.958</v>
      </c>
      <c r="DF32" s="200">
        <v>86.308999999999997</v>
      </c>
      <c r="DG32" s="206">
        <f t="shared" si="67"/>
        <v>43.51431809728858</v>
      </c>
      <c r="DH32" s="191">
        <f t="shared" si="61"/>
        <v>0.56797931007252001</v>
      </c>
      <c r="DI32" s="197">
        <v>126.81</v>
      </c>
      <c r="DJ32" s="191">
        <f t="shared" si="48"/>
        <v>0.41725345161162952</v>
      </c>
      <c r="DK32" s="197">
        <v>140.43700000000001</v>
      </c>
      <c r="DL32" s="197">
        <v>136.38900000000001</v>
      </c>
      <c r="DM32" s="191">
        <f t="shared" si="62"/>
        <v>2.8824312681131059E-2</v>
      </c>
      <c r="DN32" s="200">
        <v>141.797</v>
      </c>
      <c r="DO32" s="200">
        <v>211.524</v>
      </c>
      <c r="DP32" s="200">
        <v>71.971999999999994</v>
      </c>
      <c r="DQ32" s="200">
        <f t="shared" ref="DQ32:DQ34" si="74">DP32+DO32</f>
        <v>283.49599999999998</v>
      </c>
      <c r="DR32" s="191">
        <f t="shared" ref="DR32" si="75">DJ32+DH32</f>
        <v>0.98523276168414953</v>
      </c>
      <c r="DS32" s="199">
        <f t="shared" si="51"/>
        <v>1.1074599794968851</v>
      </c>
      <c r="DT32" s="200">
        <v>163.315</v>
      </c>
      <c r="DU32" s="200">
        <v>71.275000000000006</v>
      </c>
      <c r="DV32" s="200">
        <v>40.923000000000002</v>
      </c>
      <c r="DW32" s="191">
        <f t="shared" si="63"/>
        <v>0.43642653767259593</v>
      </c>
      <c r="DX32" s="197">
        <v>46.502000000000002</v>
      </c>
      <c r="DY32" s="191">
        <f t="shared" si="64"/>
        <v>0.14236904142301687</v>
      </c>
      <c r="DZ32" s="197">
        <v>52.069000000000003</v>
      </c>
      <c r="EA32" s="197">
        <v>50.362000000000002</v>
      </c>
      <c r="EB32" s="191">
        <f t="shared" si="52"/>
        <v>3.2783421997733764E-2</v>
      </c>
      <c r="EC32" s="200">
        <v>46.475000000000001</v>
      </c>
      <c r="ED32" s="200"/>
      <c r="EE32" s="200">
        <v>46.643999999999998</v>
      </c>
      <c r="EF32" s="204">
        <f>EE32+ED32</f>
        <v>46.643999999999998</v>
      </c>
      <c r="EG32" s="191">
        <f t="shared" ref="EG32" si="76">DY32+DW32</f>
        <v>0.57879557909561274</v>
      </c>
      <c r="EJ32" s="202">
        <f t="shared" si="3"/>
        <v>9.7819182795698918</v>
      </c>
      <c r="EK32" s="202">
        <f>'NOPA Crush'!B457*56/('NOPA Crush'!A457-'NOPA Crush'!A456)</f>
        <v>10.668492818192972</v>
      </c>
      <c r="EL32" s="203">
        <f t="shared" si="65"/>
        <v>0.91689786423146813</v>
      </c>
      <c r="EM32" s="202">
        <f t="shared" si="55"/>
        <v>4.9018709677419352</v>
      </c>
      <c r="EN32" s="202">
        <f t="shared" si="56"/>
        <v>1.0536451612903225E-2</v>
      </c>
      <c r="EO32" s="202">
        <f t="shared" si="66"/>
        <v>14.694325698924731</v>
      </c>
    </row>
    <row r="33" spans="1:145">
      <c r="A33" s="157">
        <v>42979</v>
      </c>
      <c r="B33" s="186">
        <v>4361.2070000000003</v>
      </c>
      <c r="C33" s="187">
        <f t="shared" si="69"/>
        <v>145.37356666666668</v>
      </c>
      <c r="D33" s="247">
        <f>C33-'NOPA Crush'!G458</f>
        <v>8.9545666666666648</v>
      </c>
      <c r="E33" s="188">
        <f>C33/'NOPA Crush'!G458-1</f>
        <v>6.5640172312263489E-2</v>
      </c>
      <c r="F33" s="189">
        <v>3188.7710000000002</v>
      </c>
      <c r="G33" s="189">
        <v>3153.8989999999999</v>
      </c>
      <c r="H33" s="189">
        <v>34.872</v>
      </c>
      <c r="I33" s="189">
        <v>353.75799999999998</v>
      </c>
      <c r="J33" s="190">
        <f t="shared" si="70"/>
        <v>43.870024972444554</v>
      </c>
      <c r="K33" s="190">
        <f t="shared" si="71"/>
        <v>46.894962793556921</v>
      </c>
      <c r="L33" s="190">
        <f>K33-'NOPA Crush'!J458</f>
        <v>-4.5037206443076627E-2</v>
      </c>
      <c r="M33" s="189">
        <v>219.87299999999999</v>
      </c>
      <c r="N33" s="189">
        <v>46.872</v>
      </c>
      <c r="O33" s="189">
        <v>1701.7619999999999</v>
      </c>
      <c r="P33" s="189">
        <v>1400.9179999999999</v>
      </c>
      <c r="Q33" s="189">
        <v>601.21100000000001</v>
      </c>
      <c r="R33" s="189">
        <v>326.14999999999998</v>
      </c>
      <c r="S33" s="189">
        <v>473.55700000000002</v>
      </c>
      <c r="T33" s="189">
        <v>310.036</v>
      </c>
      <c r="U33" s="189">
        <f>(P33+T33)-'NOPA Crush'!Q458</f>
        <v>409.04199999999992</v>
      </c>
      <c r="V33" s="191">
        <f>(P33+T33)/'NOPA Crush'!Q458-1</f>
        <v>0.31418559779770061</v>
      </c>
      <c r="W33" s="190">
        <f t="shared" si="72"/>
        <v>11.706130894497784</v>
      </c>
      <c r="X33" s="190">
        <f>W33-'NOPA Crush'!O458</f>
        <v>-7.3869105502215149E-2</v>
      </c>
      <c r="Y33" s="190">
        <f t="shared" si="0"/>
        <v>58.601093688054704</v>
      </c>
      <c r="Z33" s="211">
        <v>1418.28</v>
      </c>
      <c r="AA33" s="211">
        <v>1389.3389999999999</v>
      </c>
      <c r="AB33" s="191">
        <f t="shared" si="73"/>
        <v>2.040570268212203E-2</v>
      </c>
      <c r="AC33" s="211">
        <v>63.530999999999999</v>
      </c>
      <c r="AD33" s="211">
        <v>1377.546</v>
      </c>
      <c r="AE33" s="211">
        <v>1031.3520000000001</v>
      </c>
      <c r="AF33" s="211">
        <v>346.19400000000002</v>
      </c>
      <c r="AG33" s="191">
        <f t="shared" si="1"/>
        <v>-8.4882091411814242E-3</v>
      </c>
      <c r="AH33" s="163"/>
      <c r="AI33" s="211">
        <v>518.80200000000002</v>
      </c>
      <c r="AJ33" s="247">
        <f t="shared" si="11"/>
        <v>17.293400000000002</v>
      </c>
      <c r="AK33" s="211">
        <v>374.25299999999999</v>
      </c>
      <c r="AL33" s="211">
        <v>46.886000000000003</v>
      </c>
      <c r="AM33" s="190">
        <f t="shared" ref="AM33:AM40" si="77">AK33*2/AJ33</f>
        <v>43.282755270796947</v>
      </c>
      <c r="AN33" s="190">
        <f t="shared" ref="AN33:AN40" si="78">AM33-J33</f>
        <v>-0.58726970164760672</v>
      </c>
      <c r="AO33" s="211">
        <v>210.07</v>
      </c>
      <c r="AP33" s="211">
        <v>83.847999999999999</v>
      </c>
      <c r="AQ33" s="190">
        <f t="shared" si="68"/>
        <v>12.147408838053822</v>
      </c>
      <c r="AR33" s="190">
        <f t="shared" ref="AR33:AR39" si="79">AQ33-W33</f>
        <v>0.44127794355603811</v>
      </c>
      <c r="AS33" s="190">
        <f t="shared" si="15"/>
        <v>55.430164108850768</v>
      </c>
      <c r="AT33" s="211">
        <v>916.23599999999999</v>
      </c>
      <c r="AU33" s="247">
        <f t="shared" si="16"/>
        <v>30.5412</v>
      </c>
      <c r="AV33" s="211">
        <v>674.20100000000002</v>
      </c>
      <c r="AW33" s="211">
        <v>65.131</v>
      </c>
      <c r="AX33" s="190">
        <f t="shared" ref="AX33:AX39" si="80">AV33*2/AU33</f>
        <v>44.150262596099694</v>
      </c>
      <c r="AY33" s="190">
        <f t="shared" ref="AY33:AY39" si="81">AX33-J33</f>
        <v>0.2802376236551396</v>
      </c>
      <c r="AZ33" s="211">
        <v>349.99700000000001</v>
      </c>
      <c r="BA33" s="211">
        <v>98.406999999999996</v>
      </c>
      <c r="BB33" s="190">
        <f t="shared" ref="BB33:BB39" si="82">AZ33/AU33</f>
        <v>11.459831309837204</v>
      </c>
      <c r="BC33" s="190">
        <f t="shared" ref="BC33:BC39" si="83">BB33-W33</f>
        <v>-0.24629958466058</v>
      </c>
      <c r="BD33" s="247">
        <f t="shared" ref="BD33:BD39" si="84">AX33+BB33</f>
        <v>55.6100939059369</v>
      </c>
      <c r="BE33" s="211">
        <v>1046.125</v>
      </c>
      <c r="BF33" s="247">
        <f t="shared" si="58"/>
        <v>34.87083333333333</v>
      </c>
      <c r="BG33" s="211">
        <v>764.11199999999997</v>
      </c>
      <c r="BH33" s="211">
        <v>88.543000000000006</v>
      </c>
      <c r="BI33" s="190">
        <f t="shared" ref="BI33:BI39" si="85">BG33*2/BF33</f>
        <v>43.825279005854945</v>
      </c>
      <c r="BJ33" s="190">
        <f t="shared" ref="BJ33:BJ39" si="86">BI33-J33</f>
        <v>-4.4745966589609054E-2</v>
      </c>
      <c r="BK33" s="211">
        <v>411.37400000000002</v>
      </c>
      <c r="BL33" s="211">
        <v>157.79900000000001</v>
      </c>
      <c r="BM33" s="190">
        <f t="shared" ref="BM33:BM39" si="87">BK33/BF33</f>
        <v>11.797079698888759</v>
      </c>
      <c r="BN33" s="190">
        <f t="shared" ref="BN33:BN39" si="88">BM33-W33</f>
        <v>9.0948804390974303E-2</v>
      </c>
      <c r="BO33" s="247">
        <f t="shared" ref="BO33:BO39" si="89">BM33+BI33</f>
        <v>55.622358704743704</v>
      </c>
      <c r="BP33" s="211">
        <v>620.072</v>
      </c>
      <c r="BQ33" s="247">
        <f t="shared" si="26"/>
        <v>20.669066666666666</v>
      </c>
      <c r="BR33" s="211">
        <v>458.42399999999998</v>
      </c>
      <c r="BS33" s="211">
        <v>35.006</v>
      </c>
      <c r="BT33" s="190">
        <f t="shared" ref="BT33:BT39" si="90">BR33*2/BQ33</f>
        <v>44.35846159800797</v>
      </c>
      <c r="BU33" s="190">
        <f t="shared" ref="BU33:BU39" si="91">BT33-J33</f>
        <v>0.48843662556341627</v>
      </c>
      <c r="BV33" s="211">
        <v>237.54300000000001</v>
      </c>
      <c r="BW33" s="211">
        <v>171.143</v>
      </c>
      <c r="BX33" s="190">
        <f t="shared" ref="BX33:BX39" si="92">BV33/BQ33</f>
        <v>11.492681495052189</v>
      </c>
      <c r="BY33" s="190">
        <f t="shared" ref="BY33:BY39" si="93">BX33-W33</f>
        <v>-0.21344939944559549</v>
      </c>
      <c r="BZ33" s="194">
        <f t="shared" ref="BZ33:BZ39" si="94">BT33+BX33</f>
        <v>55.851143093060159</v>
      </c>
      <c r="CA33" s="211">
        <v>587.16999999999996</v>
      </c>
      <c r="CB33" s="247">
        <f t="shared" si="32"/>
        <v>19.572333333333333</v>
      </c>
      <c r="CC33" s="211">
        <v>423.28300000000002</v>
      </c>
      <c r="CD33" s="211">
        <v>75.278000000000006</v>
      </c>
      <c r="CE33" s="190">
        <f t="shared" ref="CE33:CE39" si="95">CC33*2/CB33</f>
        <v>43.253197540746292</v>
      </c>
      <c r="CF33" s="190">
        <f t="shared" ref="CF33:CF39" si="96">CE33-J33</f>
        <v>-0.61682743169826182</v>
      </c>
      <c r="CG33" s="211">
        <v>231.191</v>
      </c>
      <c r="CH33" s="211">
        <v>60.975999999999999</v>
      </c>
      <c r="CI33" s="190">
        <f t="shared" ref="CI33:CI39" si="97">CG33/CB33</f>
        <v>11.812132772450909</v>
      </c>
      <c r="CJ33" s="190">
        <f t="shared" ref="CJ33:CJ39" si="98">CI33-W33</f>
        <v>0.10600187795312443</v>
      </c>
      <c r="CK33" s="194">
        <f t="shared" ref="CK33:CK39" si="99">CI33+CE33</f>
        <v>55.065330313197201</v>
      </c>
      <c r="CL33" s="211">
        <v>672.80200000000002</v>
      </c>
      <c r="CM33" s="247">
        <f t="shared" si="60"/>
        <v>22.426733333333335</v>
      </c>
      <c r="CN33" s="211">
        <v>494.49799999999999</v>
      </c>
      <c r="CO33" s="211">
        <v>42.914000000000001</v>
      </c>
      <c r="CP33" s="190">
        <f t="shared" ref="CP33:CP39" si="100">CN33*2/CM33</f>
        <v>44.09897711362332</v>
      </c>
      <c r="CQ33" s="190">
        <f t="shared" ref="CQ33:CQ39" si="101">CP33-J33</f>
        <v>0.22895214117876606</v>
      </c>
      <c r="CR33" s="211">
        <v>261.58699999999999</v>
      </c>
      <c r="CS33" s="211">
        <v>29.038</v>
      </c>
      <c r="CT33" s="190">
        <f t="shared" ref="CT33:CT39" si="102">CR33/CM33</f>
        <v>11.664070558648755</v>
      </c>
      <c r="CU33" s="190">
        <f t="shared" ref="CU33:CU39" si="103">CT33-W33</f>
        <v>-4.2060335849029684E-2</v>
      </c>
      <c r="CV33" s="247">
        <f t="shared" ref="CV33:CV39" si="104">CP33+CT33</f>
        <v>55.763047672272073</v>
      </c>
      <c r="CW33" s="195"/>
      <c r="CX33" s="196">
        <f>C33-AJ33-AU33-BF33-BQ33-CB33-CM33</f>
        <v>0</v>
      </c>
      <c r="CY33" s="196">
        <f>F33-AK33-AV33-BG33-BR33-CC33-CN33</f>
        <v>0</v>
      </c>
      <c r="CZ33" s="196">
        <f>I33-AL33-AW33-BH33-BS33-CD33-CO33</f>
        <v>-5.6843418860808015E-14</v>
      </c>
      <c r="DA33" s="196">
        <f>O33-AO33-AZ33-BK33-BV33-CG33-CR33</f>
        <v>0</v>
      </c>
      <c r="DB33" s="196">
        <f>Q33-AP33-BA33-BL33-BW33-CH33-CS33</f>
        <v>3.907985046680551E-14</v>
      </c>
      <c r="DC33" s="196">
        <f>P33-Q33-R33-S33</f>
        <v>0</v>
      </c>
      <c r="DD33" s="163"/>
      <c r="DE33" s="200">
        <v>193.523</v>
      </c>
      <c r="DF33" s="200">
        <v>111.73399999999999</v>
      </c>
      <c r="DG33" s="206">
        <f t="shared" si="67"/>
        <v>41.27922063729978</v>
      </c>
      <c r="DH33" s="191">
        <f t="shared" si="61"/>
        <v>0.57736806477782998</v>
      </c>
      <c r="DI33" s="197">
        <v>165.119</v>
      </c>
      <c r="DJ33" s="191">
        <f t="shared" si="48"/>
        <v>0.42661337412090555</v>
      </c>
      <c r="DK33" s="197">
        <v>154.565</v>
      </c>
      <c r="DL33" s="197">
        <v>149.99199999999999</v>
      </c>
      <c r="DM33" s="191">
        <f t="shared" si="62"/>
        <v>2.9586258208520788E-2</v>
      </c>
      <c r="DN33" s="200">
        <v>176.13</v>
      </c>
      <c r="DO33" s="206">
        <f>MROUND(FORECAST(DI33,DO$5:DO32,DI$5:DI32),1)</f>
        <v>229</v>
      </c>
      <c r="DP33" s="200">
        <v>94.807000000000002</v>
      </c>
      <c r="DQ33" s="206">
        <f t="shared" ref="DQ33" si="105">DP33+DO33</f>
        <v>323.80700000000002</v>
      </c>
      <c r="DR33" s="191">
        <f t="shared" ref="DR33:DR34" si="106">DJ33+DH33</f>
        <v>1.0039814388987356</v>
      </c>
      <c r="DS33" s="199">
        <f t="shared" si="51"/>
        <v>0.93608246173971499</v>
      </c>
      <c r="DT33" s="200">
        <v>110.881</v>
      </c>
      <c r="DU33" s="200">
        <v>42.795000000000002</v>
      </c>
      <c r="DV33" s="200">
        <v>27.736000000000001</v>
      </c>
      <c r="DW33" s="191">
        <f t="shared" si="63"/>
        <v>0.38595431137886566</v>
      </c>
      <c r="DX33" s="197">
        <v>30.649000000000001</v>
      </c>
      <c r="DY33" s="191">
        <f t="shared" si="64"/>
        <v>0.13820672612981486</v>
      </c>
      <c r="DZ33" s="197">
        <v>39.936</v>
      </c>
      <c r="EA33" s="197">
        <v>38.32</v>
      </c>
      <c r="EB33" s="191">
        <f t="shared" si="52"/>
        <v>4.0464743589743613E-2</v>
      </c>
      <c r="EC33" s="200">
        <v>44.189</v>
      </c>
      <c r="ED33" s="200"/>
      <c r="EE33" s="200">
        <v>44.128999999999998</v>
      </c>
      <c r="EF33" s="204">
        <f>EE33+ED33</f>
        <v>44.128999999999998</v>
      </c>
      <c r="EG33" s="191">
        <f t="shared" ref="EG33" si="107">DY33+DW33</f>
        <v>0.52416103750868048</v>
      </c>
      <c r="EJ33" s="202">
        <f t="shared" si="3"/>
        <v>9.6915711111111111</v>
      </c>
      <c r="EK33" s="202">
        <f>'NOPA Crush'!B458*56/('NOPA Crush'!A458-'NOPA Crush'!A457)</f>
        <v>10.680758860343333</v>
      </c>
      <c r="EL33" s="203">
        <f t="shared" si="65"/>
        <v>0.9073860048554242</v>
      </c>
      <c r="EM33" s="202">
        <f t="shared" si="55"/>
        <v>6.4507666666666665</v>
      </c>
      <c r="EN33" s="202">
        <f t="shared" si="56"/>
        <v>7.3920666666666664E-3</v>
      </c>
      <c r="EO33" s="202">
        <f t="shared" si="66"/>
        <v>16.149729844444444</v>
      </c>
    </row>
    <row r="34" spans="1:145">
      <c r="A34" s="157">
        <v>43009</v>
      </c>
      <c r="B34" s="186">
        <v>5277.3969999999999</v>
      </c>
      <c r="C34" s="187">
        <f t="shared" si="69"/>
        <v>175.91323333333332</v>
      </c>
      <c r="D34" s="247">
        <f>C34-'NOPA Crush'!G459</f>
        <v>11.671233333333333</v>
      </c>
      <c r="E34" s="188">
        <f>C34/'NOPA Crush'!G459-1</f>
        <v>7.106119831305846E-2</v>
      </c>
      <c r="F34" s="189">
        <v>3847.77</v>
      </c>
      <c r="G34" s="189">
        <v>3804.8780000000002</v>
      </c>
      <c r="H34" s="189">
        <v>42.892000000000003</v>
      </c>
      <c r="I34" s="189">
        <v>350.935</v>
      </c>
      <c r="J34" s="190">
        <f t="shared" si="70"/>
        <v>43.74622564874312</v>
      </c>
      <c r="K34" s="190">
        <f t="shared" si="71"/>
        <v>46.884761559533992</v>
      </c>
      <c r="L34" s="190">
        <f>K34-'NOPA Crush'!J459</f>
        <v>4.761559533989157E-3</v>
      </c>
      <c r="M34" s="189">
        <v>276.05500000000001</v>
      </c>
      <c r="N34" s="189">
        <v>42.368000000000002</v>
      </c>
      <c r="O34" s="189">
        <v>2016.8879999999999</v>
      </c>
      <c r="P34" s="189">
        <v>1300.3599999999999</v>
      </c>
      <c r="Q34" s="189">
        <v>567.66999999999996</v>
      </c>
      <c r="R34" s="189">
        <v>325.72399999999999</v>
      </c>
      <c r="S34" s="189">
        <v>406.96600000000001</v>
      </c>
      <c r="T34" s="189">
        <v>325.863</v>
      </c>
      <c r="U34" s="189">
        <f>(P34+T34)-'NOPA Crush'!Q459</f>
        <v>402.15699999999993</v>
      </c>
      <c r="V34" s="191">
        <f>(P34+T34)/'NOPA Crush'!Q459-1</f>
        <v>0.32854192502691837</v>
      </c>
      <c r="W34" s="190">
        <f t="shared" si="72"/>
        <v>11.465243187124258</v>
      </c>
      <c r="X34" s="190">
        <f>W34-'NOPA Crush'!O459</f>
        <v>-7.4756812875740764E-2</v>
      </c>
      <c r="Y34" s="190">
        <f t="shared" si="0"/>
        <v>58.35000474665825</v>
      </c>
      <c r="Z34" s="211">
        <v>1644.069</v>
      </c>
      <c r="AA34" s="211">
        <v>1601.067</v>
      </c>
      <c r="AB34" s="191">
        <f t="shared" si="73"/>
        <v>2.6155836525109319E-2</v>
      </c>
      <c r="AC34" s="211">
        <v>84.460999999999999</v>
      </c>
      <c r="AD34" s="211">
        <v>1554.1320000000001</v>
      </c>
      <c r="AE34" s="211">
        <v>1211.51</v>
      </c>
      <c r="AF34" s="211">
        <v>342.62200000000001</v>
      </c>
      <c r="AG34" s="191">
        <f t="shared" si="1"/>
        <v>-2.9314825675627487E-2</v>
      </c>
      <c r="AH34" s="163"/>
      <c r="AI34" s="211">
        <v>606.90700000000004</v>
      </c>
      <c r="AJ34" s="247">
        <f t="shared" si="11"/>
        <v>20.230233333333334</v>
      </c>
      <c r="AK34" s="211">
        <v>437.81900000000002</v>
      </c>
      <c r="AL34" s="211">
        <v>51.226999999999997</v>
      </c>
      <c r="AM34" s="190">
        <f t="shared" si="77"/>
        <v>43.283633241995894</v>
      </c>
      <c r="AN34" s="190">
        <f t="shared" si="78"/>
        <v>-0.4625924067472269</v>
      </c>
      <c r="AO34" s="211">
        <v>238.93700000000001</v>
      </c>
      <c r="AP34" s="211">
        <v>76.957999999999998</v>
      </c>
      <c r="AQ34" s="190">
        <f t="shared" si="68"/>
        <v>11.810887005752116</v>
      </c>
      <c r="AR34" s="190">
        <f t="shared" si="79"/>
        <v>0.34564381862785787</v>
      </c>
      <c r="AS34" s="190">
        <f t="shared" ref="AS34" si="108">AM34+AQ34</f>
        <v>55.094520247748008</v>
      </c>
      <c r="AT34" s="211">
        <v>1118.269</v>
      </c>
      <c r="AU34" s="247">
        <f t="shared" si="16"/>
        <v>37.275633333333332</v>
      </c>
      <c r="AV34" s="211">
        <v>816.02700000000004</v>
      </c>
      <c r="AW34" s="211">
        <v>51.107999999999997</v>
      </c>
      <c r="AX34" s="190">
        <f t="shared" si="80"/>
        <v>43.783400952722474</v>
      </c>
      <c r="AY34" s="190">
        <f t="shared" si="81"/>
        <v>3.7175303979353203E-2</v>
      </c>
      <c r="AZ34" s="211">
        <v>428.14400000000001</v>
      </c>
      <c r="BA34" s="211">
        <v>86.277000000000001</v>
      </c>
      <c r="BB34" s="190">
        <f t="shared" si="82"/>
        <v>11.485894717639495</v>
      </c>
      <c r="BC34" s="190">
        <f t="shared" si="83"/>
        <v>2.0651530515236161E-2</v>
      </c>
      <c r="BD34" s="247">
        <f t="shared" si="84"/>
        <v>55.26929567036197</v>
      </c>
      <c r="BE34" s="211">
        <v>1249.2280000000001</v>
      </c>
      <c r="BF34" s="247">
        <f t="shared" si="58"/>
        <v>41.640933333333336</v>
      </c>
      <c r="BG34" s="211">
        <v>915.49900000000002</v>
      </c>
      <c r="BH34" s="211">
        <v>114.752</v>
      </c>
      <c r="BI34" s="190">
        <f t="shared" si="85"/>
        <v>43.97110855664458</v>
      </c>
      <c r="BJ34" s="190">
        <f t="shared" si="86"/>
        <v>0.22488290790145982</v>
      </c>
      <c r="BK34" s="211">
        <v>473.77800000000002</v>
      </c>
      <c r="BL34" s="211">
        <v>155.71</v>
      </c>
      <c r="BM34" s="190">
        <f t="shared" si="87"/>
        <v>11.377698866820147</v>
      </c>
      <c r="BN34" s="190">
        <f t="shared" si="88"/>
        <v>-8.7544320304111523E-2</v>
      </c>
      <c r="BO34" s="247">
        <f t="shared" si="89"/>
        <v>55.348807423464727</v>
      </c>
      <c r="BP34" s="211">
        <v>687.03300000000002</v>
      </c>
      <c r="BQ34" s="247">
        <f t="shared" si="26"/>
        <v>22.9011</v>
      </c>
      <c r="BR34" s="211">
        <v>505.02600000000001</v>
      </c>
      <c r="BS34" s="211">
        <v>33.417000000000002</v>
      </c>
      <c r="BT34" s="190">
        <f t="shared" si="90"/>
        <v>44.104955657151841</v>
      </c>
      <c r="BU34" s="190">
        <f t="shared" si="91"/>
        <v>0.35873000840872038</v>
      </c>
      <c r="BV34" s="211">
        <v>257.61900000000003</v>
      </c>
      <c r="BW34" s="211">
        <v>162.49799999999999</v>
      </c>
      <c r="BX34" s="190">
        <f t="shared" si="92"/>
        <v>11.24919763679474</v>
      </c>
      <c r="BY34" s="190">
        <f t="shared" si="93"/>
        <v>-0.21604555032951822</v>
      </c>
      <c r="BZ34" s="194">
        <f t="shared" si="94"/>
        <v>55.354153293946581</v>
      </c>
      <c r="CA34" s="211">
        <v>696.12400000000002</v>
      </c>
      <c r="CB34" s="247">
        <f t="shared" si="32"/>
        <v>23.204133333333335</v>
      </c>
      <c r="CC34" s="211">
        <v>502.11900000000003</v>
      </c>
      <c r="CD34" s="211">
        <v>61.4</v>
      </c>
      <c r="CE34" s="190">
        <f t="shared" si="95"/>
        <v>43.278410168303346</v>
      </c>
      <c r="CF34" s="190">
        <f t="shared" si="96"/>
        <v>-0.46781548043977494</v>
      </c>
      <c r="CG34" s="211">
        <v>268.34699999999998</v>
      </c>
      <c r="CH34" s="211">
        <v>61.17</v>
      </c>
      <c r="CI34" s="190">
        <f t="shared" si="97"/>
        <v>11.564620671029873</v>
      </c>
      <c r="CJ34" s="190">
        <f t="shared" si="98"/>
        <v>9.9377483905614739E-2</v>
      </c>
      <c r="CK34" s="194">
        <f t="shared" si="99"/>
        <v>54.843030839333217</v>
      </c>
      <c r="CL34" s="211">
        <v>919.83600000000001</v>
      </c>
      <c r="CM34" s="247">
        <f t="shared" si="60"/>
        <v>30.661200000000001</v>
      </c>
      <c r="CN34" s="211">
        <v>671.28</v>
      </c>
      <c r="CO34" s="211">
        <v>39.030999999999999</v>
      </c>
      <c r="CP34" s="190">
        <f t="shared" si="100"/>
        <v>43.786935932057453</v>
      </c>
      <c r="CQ34" s="190">
        <f t="shared" si="101"/>
        <v>4.0710283314332685E-2</v>
      </c>
      <c r="CR34" s="211">
        <v>350.06299999999999</v>
      </c>
      <c r="CS34" s="211">
        <v>25.056999999999999</v>
      </c>
      <c r="CT34" s="190">
        <f t="shared" si="102"/>
        <v>11.417133054153132</v>
      </c>
      <c r="CU34" s="190">
        <f t="shared" si="103"/>
        <v>-4.8110132971126873E-2</v>
      </c>
      <c r="CV34" s="247">
        <f t="shared" si="104"/>
        <v>55.204068986210586</v>
      </c>
      <c r="CW34" s="195"/>
      <c r="CX34" s="196">
        <f>C34-AJ34-AU34-BF34-BQ34-CB34-CM34</f>
        <v>0</v>
      </c>
      <c r="CY34" s="196">
        <f>F34-AK34-AV34-BG34-BR34-CC34-CN34</f>
        <v>0</v>
      </c>
      <c r="CZ34" s="196">
        <f>I34-AL34-AW34-BH34-BS34-CD34-CO34</f>
        <v>0</v>
      </c>
      <c r="DA34" s="196">
        <f>O34-AO34-AZ34-BK34-BV34-CG34-CR34</f>
        <v>0</v>
      </c>
      <c r="DB34" s="196">
        <f>Q34-AP34-BA34-BL34-BW34-CH34-CS34</f>
        <v>0</v>
      </c>
      <c r="DC34" s="196">
        <f>P34-Q34-R34-S34</f>
        <v>0</v>
      </c>
      <c r="DD34" s="163"/>
      <c r="DE34" s="200">
        <v>184.46299999999999</v>
      </c>
      <c r="DF34" s="200">
        <v>102.57899999999999</v>
      </c>
      <c r="DG34" s="206">
        <f t="shared" si="67"/>
        <v>42.581035273922197</v>
      </c>
      <c r="DH34" s="191">
        <f t="shared" si="61"/>
        <v>0.55609526029610268</v>
      </c>
      <c r="DI34" s="197">
        <v>155.98400000000001</v>
      </c>
      <c r="DJ34" s="191">
        <f t="shared" si="48"/>
        <v>0.42280565750313076</v>
      </c>
      <c r="DK34" s="197">
        <v>149.511</v>
      </c>
      <c r="DL34" s="197">
        <v>146.03700000000001</v>
      </c>
      <c r="DM34" s="191">
        <f t="shared" si="62"/>
        <v>2.323574854024113E-2</v>
      </c>
      <c r="DN34" s="200">
        <v>162.98599999999999</v>
      </c>
      <c r="DO34" s="200">
        <v>166.73400000000001</v>
      </c>
      <c r="DP34" s="200">
        <v>88.706000000000003</v>
      </c>
      <c r="DQ34" s="200">
        <f t="shared" si="74"/>
        <v>255.44</v>
      </c>
      <c r="DR34" s="191">
        <f t="shared" si="106"/>
        <v>0.97890091779923338</v>
      </c>
      <c r="DS34" s="199">
        <f t="shared" si="51"/>
        <v>0.95850215406708372</v>
      </c>
      <c r="DT34" s="200">
        <v>158.68700000000001</v>
      </c>
      <c r="DU34" s="200">
        <v>70.891999999999996</v>
      </c>
      <c r="DV34" s="200">
        <v>23.459</v>
      </c>
      <c r="DW34" s="191">
        <f t="shared" si="63"/>
        <v>0.44674106889663295</v>
      </c>
      <c r="DX34" s="197">
        <v>47.195999999999998</v>
      </c>
      <c r="DY34" s="191">
        <f t="shared" si="64"/>
        <v>0.14870783365997212</v>
      </c>
      <c r="DZ34" s="197">
        <v>55.356000000000002</v>
      </c>
      <c r="EA34" s="197">
        <v>53.329000000000001</v>
      </c>
      <c r="EB34" s="191">
        <f t="shared" si="52"/>
        <v>3.6617530168364776E-2</v>
      </c>
      <c r="EC34" s="200">
        <v>45.295000000000002</v>
      </c>
      <c r="ED34" s="200"/>
      <c r="EE34" s="200">
        <v>56.158000000000001</v>
      </c>
      <c r="EF34" s="204">
        <f>EE34+ED34</f>
        <v>56.158000000000001</v>
      </c>
      <c r="EG34" s="191">
        <f t="shared" ref="EG34" si="109">DY34+DW34</f>
        <v>0.5954489025566051</v>
      </c>
      <c r="EJ34" s="202">
        <f t="shared" si="3"/>
        <v>11.349240860215053</v>
      </c>
      <c r="EK34" s="202">
        <f>'NOPA Crush'!B459*56/('NOPA Crush'!A459-'NOPA Crush'!A458)</f>
        <v>11.10119172889368</v>
      </c>
      <c r="EL34" s="203">
        <f t="shared" si="65"/>
        <v>1.0223443696297725</v>
      </c>
      <c r="EM34" s="202">
        <f t="shared" si="55"/>
        <v>5.9504193548387097</v>
      </c>
      <c r="EN34" s="202">
        <f t="shared" si="56"/>
        <v>1.0237870967741935E-2</v>
      </c>
      <c r="EO34" s="202">
        <f t="shared" si="66"/>
        <v>17.309898086021505</v>
      </c>
    </row>
    <row r="35" spans="1:145">
      <c r="A35" s="157">
        <v>43040</v>
      </c>
      <c r="B35" s="186">
        <v>5200.4620000000004</v>
      </c>
      <c r="C35" s="187">
        <f t="shared" si="69"/>
        <v>173.34873333333334</v>
      </c>
      <c r="D35" s="247">
        <f>C35-'NOPA Crush'!G460</f>
        <v>9.8027333333333502</v>
      </c>
      <c r="E35" s="188">
        <f>C35/'NOPA Crush'!G460-1</f>
        <v>5.9938692070324873E-2</v>
      </c>
      <c r="F35" s="189">
        <v>3829.14</v>
      </c>
      <c r="G35" s="189">
        <v>3779.0479999999998</v>
      </c>
      <c r="H35" s="189">
        <v>50.091999999999999</v>
      </c>
      <c r="I35" s="189">
        <v>354.99799999999999</v>
      </c>
      <c r="J35" s="190">
        <f t="shared" si="70"/>
        <v>44.178459529172599</v>
      </c>
      <c r="K35" s="190">
        <f t="shared" si="71"/>
        <v>47.323010917106977</v>
      </c>
      <c r="L35" s="190">
        <f>K35-'NOPA Crush'!J460</f>
        <v>-5.6989082893025511E-2</v>
      </c>
      <c r="M35" s="189">
        <v>272.55200000000002</v>
      </c>
      <c r="N35" s="189">
        <v>34.11</v>
      </c>
      <c r="O35" s="189">
        <v>1977.0050000000001</v>
      </c>
      <c r="P35" s="189">
        <v>1379.223</v>
      </c>
      <c r="Q35" s="189">
        <v>651.572</v>
      </c>
      <c r="R35" s="189">
        <v>276.99700000000001</v>
      </c>
      <c r="S35" s="189">
        <v>450.654</v>
      </c>
      <c r="T35" s="189">
        <v>311.358</v>
      </c>
      <c r="U35" s="189">
        <f>(P35+T35)-'NOPA Crush'!Q460</f>
        <v>364.27799999999979</v>
      </c>
      <c r="V35" s="191">
        <f>(P35+T35)/'NOPA Crush'!Q460-1</f>
        <v>0.2746566960943313</v>
      </c>
      <c r="W35" s="190">
        <f t="shared" si="72"/>
        <v>11.404784805657652</v>
      </c>
      <c r="X35" s="190">
        <f>W35-'NOPA Crush'!O460</f>
        <v>-5.5215194342348894E-2</v>
      </c>
      <c r="Y35" s="190">
        <f t="shared" si="0"/>
        <v>58.727795722764625</v>
      </c>
      <c r="Z35" s="211">
        <v>1482.83</v>
      </c>
      <c r="AA35" s="211">
        <v>1455.4390000000001</v>
      </c>
      <c r="AB35" s="191">
        <f t="shared" si="73"/>
        <v>1.8472110761179536E-2</v>
      </c>
      <c r="AC35" s="344">
        <f>FORECAST(S35,AC36:AC$87,S36:S$87)</f>
        <v>103.71000714050986</v>
      </c>
      <c r="AD35" s="211">
        <v>1485.0319999999999</v>
      </c>
      <c r="AE35" s="211">
        <v>1173.519</v>
      </c>
      <c r="AF35" s="211">
        <v>311.51299999999998</v>
      </c>
      <c r="AG35" s="191">
        <f t="shared" si="1"/>
        <v>2.0332696870153821E-2</v>
      </c>
      <c r="AH35" s="163"/>
      <c r="AI35" s="211">
        <v>621.91700000000003</v>
      </c>
      <c r="AJ35" s="247">
        <f t="shared" si="11"/>
        <v>20.730566666666668</v>
      </c>
      <c r="AK35" s="211">
        <v>452.06599999999997</v>
      </c>
      <c r="AL35" s="211">
        <v>55.417999999999999</v>
      </c>
      <c r="AM35" s="190">
        <f t="shared" si="77"/>
        <v>43.613472537332143</v>
      </c>
      <c r="AN35" s="190">
        <f t="shared" si="78"/>
        <v>-0.5649869918404562</v>
      </c>
      <c r="AO35" s="211">
        <v>240.87700000000001</v>
      </c>
      <c r="AP35" s="211">
        <v>84.534999999999997</v>
      </c>
      <c r="AQ35" s="190">
        <f t="shared" si="68"/>
        <v>11.6194122366811</v>
      </c>
      <c r="AR35" s="190">
        <f t="shared" si="79"/>
        <v>0.21462743102344817</v>
      </c>
      <c r="AS35" s="190">
        <f t="shared" ref="AS35" si="110">AM35+AQ35</f>
        <v>55.232884774013243</v>
      </c>
      <c r="AT35" s="211">
        <v>1110.239</v>
      </c>
      <c r="AU35" s="247">
        <f t="shared" si="16"/>
        <v>37.007966666666668</v>
      </c>
      <c r="AV35" s="211">
        <v>828.78200000000004</v>
      </c>
      <c r="AW35" s="211">
        <v>53.872999999999998</v>
      </c>
      <c r="AX35" s="190">
        <f t="shared" si="80"/>
        <v>44.789383186863368</v>
      </c>
      <c r="AY35" s="190">
        <f t="shared" si="81"/>
        <v>0.61092365769076906</v>
      </c>
      <c r="AZ35" s="211">
        <v>425.60399999999998</v>
      </c>
      <c r="BA35" s="211">
        <v>90.212999999999994</v>
      </c>
      <c r="BB35" s="190">
        <f t="shared" si="82"/>
        <v>11.500334612637458</v>
      </c>
      <c r="BC35" s="190">
        <f t="shared" si="83"/>
        <v>9.5549806979805751E-2</v>
      </c>
      <c r="BD35" s="247">
        <f t="shared" si="84"/>
        <v>56.289717799500828</v>
      </c>
      <c r="BE35" s="211">
        <v>1185.1859999999999</v>
      </c>
      <c r="BF35" s="247">
        <f t="shared" si="58"/>
        <v>39.5062</v>
      </c>
      <c r="BG35" s="211">
        <v>865.53</v>
      </c>
      <c r="BH35" s="211">
        <v>110.529</v>
      </c>
      <c r="BI35" s="190">
        <f t="shared" si="85"/>
        <v>43.817426125519539</v>
      </c>
      <c r="BJ35" s="190">
        <f t="shared" si="86"/>
        <v>-0.36103340365306025</v>
      </c>
      <c r="BK35" s="211">
        <v>445.37099999999998</v>
      </c>
      <c r="BL35" s="211">
        <v>203.44900000000001</v>
      </c>
      <c r="BM35" s="190">
        <f t="shared" si="87"/>
        <v>11.27344568700609</v>
      </c>
      <c r="BN35" s="190">
        <f t="shared" si="88"/>
        <v>-0.131339118651562</v>
      </c>
      <c r="BO35" s="247">
        <f t="shared" si="89"/>
        <v>55.090871812525627</v>
      </c>
      <c r="BP35" s="211">
        <v>667.25300000000004</v>
      </c>
      <c r="BQ35" s="247">
        <f t="shared" si="26"/>
        <v>22.241766666666667</v>
      </c>
      <c r="BR35" s="211">
        <v>499.02100000000002</v>
      </c>
      <c r="BS35" s="211">
        <v>17.771999999999998</v>
      </c>
      <c r="BT35" s="190">
        <f t="shared" si="90"/>
        <v>44.872424702474177</v>
      </c>
      <c r="BU35" s="190">
        <f t="shared" si="91"/>
        <v>0.69396517330157792</v>
      </c>
      <c r="BV35" s="211">
        <v>250.328</v>
      </c>
      <c r="BW35" s="211">
        <v>166.333</v>
      </c>
      <c r="BX35" s="190">
        <f t="shared" si="92"/>
        <v>11.254861349443164</v>
      </c>
      <c r="BY35" s="190">
        <f t="shared" si="93"/>
        <v>-0.14992345621448777</v>
      </c>
      <c r="BZ35" s="194">
        <f t="shared" si="94"/>
        <v>56.127286051917338</v>
      </c>
      <c r="CA35" s="211">
        <v>707.52499999999998</v>
      </c>
      <c r="CB35" s="247">
        <f t="shared" si="32"/>
        <v>23.584166666666665</v>
      </c>
      <c r="CC35" s="211">
        <v>513.02499999999998</v>
      </c>
      <c r="CD35" s="211">
        <v>74.789000000000001</v>
      </c>
      <c r="CE35" s="190">
        <f t="shared" si="95"/>
        <v>43.50588318433978</v>
      </c>
      <c r="CF35" s="190">
        <f t="shared" si="96"/>
        <v>-0.67257634483281947</v>
      </c>
      <c r="CG35" s="211">
        <v>268.21699999999998</v>
      </c>
      <c r="CH35" s="340">
        <v>64.557000000000002</v>
      </c>
      <c r="CI35" s="190">
        <f t="shared" si="97"/>
        <v>11.372757146390587</v>
      </c>
      <c r="CJ35" s="190">
        <f t="shared" si="98"/>
        <v>-3.2027659267065189E-2</v>
      </c>
      <c r="CK35" s="194">
        <f t="shared" si="99"/>
        <v>54.878640330730363</v>
      </c>
      <c r="CL35" s="211">
        <v>908.34199999999998</v>
      </c>
      <c r="CM35" s="247">
        <f t="shared" si="60"/>
        <v>30.278066666666668</v>
      </c>
      <c r="CN35" s="211">
        <v>670.71600000000001</v>
      </c>
      <c r="CO35" s="211">
        <v>42.616999999999997</v>
      </c>
      <c r="CP35" s="190">
        <f t="shared" si="100"/>
        <v>44.303753432077343</v>
      </c>
      <c r="CQ35" s="190">
        <f t="shared" si="101"/>
        <v>0.12529390290474396</v>
      </c>
      <c r="CR35" s="211">
        <v>346.608</v>
      </c>
      <c r="CS35" s="340">
        <v>42.484999999999999</v>
      </c>
      <c r="CT35" s="190">
        <f t="shared" si="102"/>
        <v>11.447494445924553</v>
      </c>
      <c r="CU35" s="190">
        <f t="shared" si="103"/>
        <v>4.2709640266901161E-2</v>
      </c>
      <c r="CV35" s="247">
        <f t="shared" si="104"/>
        <v>55.751247878001898</v>
      </c>
      <c r="CW35" s="163"/>
      <c r="CX35" s="196">
        <f>C35-AJ35-AU35-BF35-BQ35-CB35-CM35</f>
        <v>0</v>
      </c>
      <c r="CY35" s="196">
        <f>F35-AK35-AV35-BG35-BR35-CC35-CN35</f>
        <v>0</v>
      </c>
      <c r="CZ35" s="196">
        <f>I35-AL35-AW35-BH35-BS35-CD35-CO35</f>
        <v>0</v>
      </c>
      <c r="DA35" s="196">
        <f>O35-AO35-AZ35-BK35-BV35-CG35-CR35</f>
        <v>0</v>
      </c>
      <c r="DB35" s="196">
        <f>Q35-AP35-BA35-BL35-BW35-CH35-CS35</f>
        <v>5.6843418860808015E-14</v>
      </c>
      <c r="DC35" s="196">
        <f>P35-Q35-R35-S35</f>
        <v>0</v>
      </c>
      <c r="DD35" s="163"/>
      <c r="DE35" s="200">
        <v>151.30099999999999</v>
      </c>
      <c r="DF35" s="200">
        <v>84.801000000000002</v>
      </c>
      <c r="DG35" s="206">
        <f t="shared" si="67"/>
        <v>46.296497418974184</v>
      </c>
      <c r="DH35" s="191">
        <f t="shared" si="61"/>
        <v>0.56047878070865365</v>
      </c>
      <c r="DI35" s="197">
        <v>129.76599999999999</v>
      </c>
      <c r="DJ35" s="191">
        <f t="shared" si="48"/>
        <v>0.42883391385384101</v>
      </c>
      <c r="DK35" s="197">
        <v>129.749</v>
      </c>
      <c r="DL35" s="197">
        <v>126.54900000000001</v>
      </c>
      <c r="DM35" s="191">
        <f t="shared" si="62"/>
        <v>2.4663003183068799E-2</v>
      </c>
      <c r="DN35" s="200">
        <v>155.30000000000001</v>
      </c>
      <c r="DO35" s="200">
        <v>179.148</v>
      </c>
      <c r="DP35" s="200">
        <v>81.801000000000002</v>
      </c>
      <c r="DQ35" s="200">
        <f t="shared" ref="DQ35" si="111">DP35+DO35</f>
        <v>260.94900000000001</v>
      </c>
      <c r="DR35" s="191">
        <f t="shared" ref="DR35" si="112">DJ35+DH35</f>
        <v>0.9893126945624946</v>
      </c>
      <c r="DS35" s="199">
        <f t="shared" si="51"/>
        <v>0.99986899496015913</v>
      </c>
      <c r="DT35" s="200">
        <v>174.179</v>
      </c>
      <c r="DU35" s="200">
        <v>76.81</v>
      </c>
      <c r="DV35" s="200">
        <v>22.797999999999998</v>
      </c>
      <c r="DW35" s="191">
        <f t="shared" si="63"/>
        <v>0.44098312655371774</v>
      </c>
      <c r="DX35" s="197">
        <v>52.356000000000002</v>
      </c>
      <c r="DY35" s="191">
        <f t="shared" si="64"/>
        <v>0.15029366341522227</v>
      </c>
      <c r="DZ35" s="197">
        <v>46.813000000000002</v>
      </c>
      <c r="EA35" s="197">
        <v>45.543999999999997</v>
      </c>
      <c r="EB35" s="191">
        <f t="shared" si="52"/>
        <v>2.7107854655758157E-2</v>
      </c>
      <c r="EC35" s="200">
        <v>44.463000000000001</v>
      </c>
      <c r="ED35" s="200"/>
      <c r="EE35" s="200">
        <v>54.426000000000002</v>
      </c>
      <c r="EF35" s="204">
        <f>EE35+ED35</f>
        <v>54.426000000000002</v>
      </c>
      <c r="EG35" s="191">
        <f t="shared" ref="EG35" si="113">DY35+DW35</f>
        <v>0.59127678996893995</v>
      </c>
      <c r="EJ35" s="202">
        <f t="shared" si="3"/>
        <v>11.556582222222223</v>
      </c>
      <c r="EK35" s="202">
        <f>'NOPA Crush'!B460*56/('NOPA Crush'!A460-'NOPA Crush'!A459)</f>
        <v>10.615979962310318</v>
      </c>
      <c r="EL35" s="203">
        <f t="shared" si="65"/>
        <v>1.0886024901376326</v>
      </c>
      <c r="EM35" s="202">
        <f t="shared" si="55"/>
        <v>5.0433666666666666</v>
      </c>
      <c r="EN35" s="202">
        <f t="shared" si="56"/>
        <v>1.1611933333333333E-2</v>
      </c>
      <c r="EO35" s="202">
        <f t="shared" si="66"/>
        <v>16.611560822222224</v>
      </c>
    </row>
    <row r="36" spans="1:145">
      <c r="A36" s="157">
        <v>43070</v>
      </c>
      <c r="B36" s="186">
        <v>5290.2150000000001</v>
      </c>
      <c r="C36" s="187">
        <f t="shared" si="69"/>
        <v>176.34049999999999</v>
      </c>
      <c r="D36" s="247">
        <f>C36-'NOPA Crush'!G461</f>
        <v>9.9584999999999866</v>
      </c>
      <c r="E36" s="188">
        <f>C36/'NOPA Crush'!G461-1</f>
        <v>5.9853229315671053E-2</v>
      </c>
      <c r="F36" s="189">
        <v>3904.1610000000001</v>
      </c>
      <c r="G36" s="189">
        <v>3854.973</v>
      </c>
      <c r="H36" s="189">
        <v>49.188000000000002</v>
      </c>
      <c r="I36" s="189">
        <v>506.20299999999997</v>
      </c>
      <c r="J36" s="190">
        <f t="shared" si="70"/>
        <v>44.279799592266102</v>
      </c>
      <c r="K36" s="190">
        <f t="shared" si="71"/>
        <v>47.329082088346127</v>
      </c>
      <c r="L36" s="190">
        <f>K36-'NOPA Crush'!J461</f>
        <v>-1.0917911653876899E-2</v>
      </c>
      <c r="M36" s="189">
        <v>268.85599999999999</v>
      </c>
      <c r="N36" s="189">
        <v>48.679000000000002</v>
      </c>
      <c r="O36" s="189">
        <v>2015.2560000000001</v>
      </c>
      <c r="P36" s="189">
        <v>1583.5440000000001</v>
      </c>
      <c r="Q36" s="189">
        <v>775.43100000000004</v>
      </c>
      <c r="R36" s="189">
        <v>336.58199999999999</v>
      </c>
      <c r="S36" s="189">
        <v>471.53100000000001</v>
      </c>
      <c r="T36" s="189">
        <v>367.13</v>
      </c>
      <c r="U36" s="189">
        <f>(P36+T36)-'NOPA Crush'!Q461</f>
        <v>412.18299999999999</v>
      </c>
      <c r="V36" s="191">
        <f>(P36+T36)/'NOPA Crush'!Q461-1</f>
        <v>0.26791381945035742</v>
      </c>
      <c r="W36" s="190">
        <f t="shared" si="72"/>
        <v>11.428208494361762</v>
      </c>
      <c r="X36" s="190">
        <f>W36-'NOPA Crush'!O461</f>
        <v>-0.12179150563823882</v>
      </c>
      <c r="Y36" s="190">
        <f t="shared" si="0"/>
        <v>58.757290582707888</v>
      </c>
      <c r="Z36" s="211">
        <v>1405.0350000000001</v>
      </c>
      <c r="AA36" s="211">
        <v>1371.8219999999999</v>
      </c>
      <c r="AB36" s="191">
        <f t="shared" si="73"/>
        <v>2.3638557046621749E-2</v>
      </c>
      <c r="AC36" s="211">
        <v>75.616</v>
      </c>
      <c r="AD36" s="211">
        <v>1303.54</v>
      </c>
      <c r="AE36" s="211">
        <v>986.59299999999996</v>
      </c>
      <c r="AF36" s="211">
        <v>316.947</v>
      </c>
      <c r="AG36" s="191">
        <f t="shared" si="1"/>
        <v>-4.9774679222231444E-2</v>
      </c>
      <c r="AH36" s="163"/>
      <c r="AI36" s="211">
        <v>638.81899999999996</v>
      </c>
      <c r="AJ36" s="247">
        <f t="shared" si="11"/>
        <v>21.293966666666666</v>
      </c>
      <c r="AK36" s="211">
        <v>465.24599999999998</v>
      </c>
      <c r="AL36" s="211">
        <v>94.844999999999999</v>
      </c>
      <c r="AM36" s="190">
        <f t="shared" si="77"/>
        <v>43.697447946914544</v>
      </c>
      <c r="AN36" s="190">
        <f t="shared" si="78"/>
        <v>-0.58235164535155803</v>
      </c>
      <c r="AO36" s="211">
        <v>249.755</v>
      </c>
      <c r="AP36" s="211">
        <v>106.505</v>
      </c>
      <c r="AQ36" s="190">
        <f t="shared" si="68"/>
        <v>11.72890912762457</v>
      </c>
      <c r="AR36" s="190">
        <f t="shared" si="79"/>
        <v>0.30070063326280838</v>
      </c>
      <c r="AS36" s="190">
        <f t="shared" ref="AS36" si="114">AM36+AQ36</f>
        <v>55.426357074539112</v>
      </c>
      <c r="AT36" s="211">
        <v>1108.1079999999999</v>
      </c>
      <c r="AU36" s="247">
        <f t="shared" si="16"/>
        <v>36.936933333333329</v>
      </c>
      <c r="AV36" s="211">
        <v>824.16399999999999</v>
      </c>
      <c r="AW36" s="211">
        <v>87.05</v>
      </c>
      <c r="AX36" s="190">
        <f t="shared" si="80"/>
        <v>44.625469719558026</v>
      </c>
      <c r="AY36" s="190">
        <f t="shared" si="81"/>
        <v>0.3456701272919247</v>
      </c>
      <c r="AZ36" s="211">
        <v>423.928</v>
      </c>
      <c r="BA36" s="211">
        <v>130.202</v>
      </c>
      <c r="BB36" s="190">
        <f t="shared" si="82"/>
        <v>11.477076241665976</v>
      </c>
      <c r="BC36" s="190">
        <f t="shared" si="83"/>
        <v>4.8867747304214504E-2</v>
      </c>
      <c r="BD36" s="247">
        <f t="shared" si="84"/>
        <v>56.102545961224003</v>
      </c>
      <c r="BE36" s="211">
        <v>1227.8150000000001</v>
      </c>
      <c r="BF36" s="247">
        <f t="shared" si="58"/>
        <v>40.927166666666672</v>
      </c>
      <c r="BG36" s="211">
        <v>890.47699999999998</v>
      </c>
      <c r="BH36" s="211">
        <v>136.304</v>
      </c>
      <c r="BI36" s="190">
        <f t="shared" si="85"/>
        <v>43.515203837711702</v>
      </c>
      <c r="BJ36" s="190">
        <f t="shared" si="86"/>
        <v>-0.76459575455439932</v>
      </c>
      <c r="BK36" s="211">
        <v>457.012</v>
      </c>
      <c r="BL36" s="211">
        <v>209.92500000000001</v>
      </c>
      <c r="BM36" s="190">
        <f t="shared" si="87"/>
        <v>11.166470518767076</v>
      </c>
      <c r="BN36" s="190">
        <f t="shared" si="88"/>
        <v>-0.26173797559468603</v>
      </c>
      <c r="BO36" s="247">
        <f t="shared" si="89"/>
        <v>54.68167435647878</v>
      </c>
      <c r="BP36" s="211">
        <v>675.60199999999998</v>
      </c>
      <c r="BQ36" s="247">
        <f t="shared" si="26"/>
        <v>22.520066666666665</v>
      </c>
      <c r="BR36" s="211">
        <v>516.71900000000005</v>
      </c>
      <c r="BS36" s="211">
        <v>39.521000000000001</v>
      </c>
      <c r="BT36" s="190">
        <f t="shared" si="90"/>
        <v>45.889651007545872</v>
      </c>
      <c r="BU36" s="190">
        <f t="shared" si="91"/>
        <v>1.6098514152797705</v>
      </c>
      <c r="BV36" s="211">
        <v>256.77</v>
      </c>
      <c r="BW36" s="211">
        <v>199.15199999999999</v>
      </c>
      <c r="BX36" s="190">
        <f t="shared" si="92"/>
        <v>11.40183125568012</v>
      </c>
      <c r="BY36" s="190">
        <f t="shared" si="93"/>
        <v>-2.6377238681641657E-2</v>
      </c>
      <c r="BZ36" s="194">
        <f t="shared" si="94"/>
        <v>57.291482263225994</v>
      </c>
      <c r="CA36" s="211">
        <v>717.02700000000004</v>
      </c>
      <c r="CB36" s="247">
        <f t="shared" si="32"/>
        <v>23.9009</v>
      </c>
      <c r="CC36" s="211">
        <v>523.47699999999998</v>
      </c>
      <c r="CD36" s="211">
        <v>86.168999999999997</v>
      </c>
      <c r="CE36" s="190">
        <f t="shared" si="95"/>
        <v>43.803957173160839</v>
      </c>
      <c r="CF36" s="190">
        <f t="shared" si="96"/>
        <v>-0.47584241910526259</v>
      </c>
      <c r="CG36" s="211">
        <v>271.303</v>
      </c>
      <c r="CH36" s="211">
        <v>78.05</v>
      </c>
      <c r="CI36" s="190">
        <f t="shared" si="97"/>
        <v>11.351162508524784</v>
      </c>
      <c r="CJ36" s="190">
        <f t="shared" si="98"/>
        <v>-7.7045985836978303E-2</v>
      </c>
      <c r="CK36" s="194">
        <f t="shared" si="99"/>
        <v>55.155119681685619</v>
      </c>
      <c r="CL36" s="211">
        <v>922.84400000000005</v>
      </c>
      <c r="CM36" s="247">
        <f t="shared" si="60"/>
        <v>30.761466666666667</v>
      </c>
      <c r="CN36" s="211">
        <v>684.07799999999997</v>
      </c>
      <c r="CO36" s="211">
        <v>62.314</v>
      </c>
      <c r="CP36" s="190">
        <f t="shared" si="100"/>
        <v>44.476292851229459</v>
      </c>
      <c r="CQ36" s="190">
        <f t="shared" si="101"/>
        <v>0.19649325896335768</v>
      </c>
      <c r="CR36" s="211">
        <v>356.488</v>
      </c>
      <c r="CS36" s="211">
        <v>51.597000000000001</v>
      </c>
      <c r="CT36" s="190">
        <f t="shared" si="102"/>
        <v>11.588784236555691</v>
      </c>
      <c r="CU36" s="190">
        <f t="shared" si="103"/>
        <v>0.16057574219392912</v>
      </c>
      <c r="CV36" s="247">
        <f t="shared" si="104"/>
        <v>56.065077087785149</v>
      </c>
      <c r="CW36" s="195"/>
      <c r="CX36" s="196">
        <f>C36-AJ36-AU36-BF36-BQ36-CB36-CM36</f>
        <v>0</v>
      </c>
      <c r="CY36" s="196">
        <f t="shared" ref="CY36" si="115">F36-AK36-AV36-BG36-BR36-CC36-CN36</f>
        <v>0</v>
      </c>
      <c r="CZ36" s="196">
        <f t="shared" ref="CZ36" si="116">I36-AL36-AW36-BH36-BS36-CD36-CO36</f>
        <v>0</v>
      </c>
      <c r="DA36" s="196">
        <f>O36-AO36-AZ36-BK36-BV36-CG36-CR36</f>
        <v>0</v>
      </c>
      <c r="DB36" s="196">
        <f>Q36-AP36-BA36-BL36-BW36-CH36-CS36</f>
        <v>0</v>
      </c>
      <c r="DC36" s="196">
        <f>P36-Q36-R36-S36</f>
        <v>0</v>
      </c>
      <c r="DD36" s="163"/>
      <c r="DE36" s="200">
        <v>172.01300000000001</v>
      </c>
      <c r="DF36" s="200">
        <v>95.613</v>
      </c>
      <c r="DG36" s="200">
        <v>63.174999999999997</v>
      </c>
      <c r="DH36" s="191">
        <f t="shared" si="61"/>
        <v>0.55584752315231989</v>
      </c>
      <c r="DI36" s="197">
        <v>147.697</v>
      </c>
      <c r="DJ36" s="191">
        <f t="shared" si="48"/>
        <v>0.42931929563463228</v>
      </c>
      <c r="DK36" s="197">
        <v>122.898</v>
      </c>
      <c r="DL36" s="197">
        <v>119.336</v>
      </c>
      <c r="DM36" s="191">
        <f t="shared" si="62"/>
        <v>2.8983384595355433E-2</v>
      </c>
      <c r="DN36" s="200">
        <v>144.05099999999999</v>
      </c>
      <c r="DO36" s="200">
        <v>158.512</v>
      </c>
      <c r="DP36" s="200">
        <v>94.774000000000001</v>
      </c>
      <c r="DQ36" s="200">
        <f t="shared" ref="DQ36" si="117">DP36+DO36</f>
        <v>253.286</v>
      </c>
      <c r="DR36" s="191">
        <f t="shared" ref="DR36" si="118">DJ36+DH36</f>
        <v>0.98516681878695223</v>
      </c>
      <c r="DS36" s="199">
        <f t="shared" si="51"/>
        <v>0.83209543863450164</v>
      </c>
      <c r="DT36" s="200">
        <v>172.655</v>
      </c>
      <c r="DU36" s="200">
        <v>78.349000000000004</v>
      </c>
      <c r="DV36" s="200">
        <v>15.132</v>
      </c>
      <c r="DW36" s="191">
        <f t="shared" si="63"/>
        <v>0.45378934870116711</v>
      </c>
      <c r="DX36" s="197">
        <v>50.621000000000002</v>
      </c>
      <c r="DY36" s="191">
        <f t="shared" si="64"/>
        <v>0.14659581245837075</v>
      </c>
      <c r="DZ36" s="197">
        <v>56.65</v>
      </c>
      <c r="EA36" s="197">
        <v>54.747</v>
      </c>
      <c r="EB36" s="191">
        <f t="shared" si="52"/>
        <v>3.3592233009708705E-2</v>
      </c>
      <c r="EC36" s="200">
        <v>54.325000000000003</v>
      </c>
      <c r="ED36" s="200"/>
      <c r="EE36" s="200">
        <v>53.755000000000003</v>
      </c>
      <c r="EF36" s="204">
        <f t="shared" ref="EF36:EF37" si="119">EE36+ED36</f>
        <v>53.755000000000003</v>
      </c>
      <c r="EG36" s="191">
        <f t="shared" ref="EG36:EG37" si="120">DY36+DW36</f>
        <v>0.60038516115953788</v>
      </c>
      <c r="EJ36" s="202">
        <f t="shared" si="3"/>
        <v>11.376806451612902</v>
      </c>
      <c r="EK36" s="202">
        <f>'NOPA Crush'!B461*56/('NOPA Crush'!A461-'NOPA Crush'!A460)</f>
        <v>10.968848762230159</v>
      </c>
      <c r="EL36" s="203">
        <f t="shared" si="65"/>
        <v>1.0371923889394385</v>
      </c>
      <c r="EM36" s="202">
        <f t="shared" si="55"/>
        <v>5.5488064516129034</v>
      </c>
      <c r="EN36" s="202">
        <f t="shared" si="56"/>
        <v>1.1139032258064516E-2</v>
      </c>
      <c r="EO36" s="202">
        <f t="shared" si="66"/>
        <v>16.936751935483869</v>
      </c>
    </row>
    <row r="37" spans="1:145">
      <c r="A37" s="157">
        <v>43101</v>
      </c>
      <c r="B37" s="186">
        <v>5239.8270000000002</v>
      </c>
      <c r="C37" s="187">
        <f t="shared" si="69"/>
        <v>174.6609</v>
      </c>
      <c r="D37" s="247">
        <f>C37-'NOPA Crush'!G462</f>
        <v>11.549900000000008</v>
      </c>
      <c r="E37" s="188">
        <f>C37/'NOPA Crush'!G462-1</f>
        <v>7.0810061859715168E-2</v>
      </c>
      <c r="F37" s="189">
        <v>3859.8490000000002</v>
      </c>
      <c r="G37" s="189">
        <v>3812.768</v>
      </c>
      <c r="H37" s="189">
        <v>47.081000000000003</v>
      </c>
      <c r="I37" s="189">
        <v>379.35899999999998</v>
      </c>
      <c r="J37" s="190">
        <f t="shared" si="70"/>
        <v>44.198203490306078</v>
      </c>
      <c r="K37" s="190">
        <f t="shared" si="71"/>
        <v>47.272343151787268</v>
      </c>
      <c r="L37" s="190">
        <f>K37-'NOPA Crush'!J462</f>
        <v>-1.7656848212730836E-2</v>
      </c>
      <c r="M37" s="189">
        <v>268.46600000000001</v>
      </c>
      <c r="N37" s="189">
        <v>30.652000000000001</v>
      </c>
      <c r="O37" s="189">
        <v>1995.5889999999999</v>
      </c>
      <c r="P37" s="189">
        <v>1886.7280000000001</v>
      </c>
      <c r="Q37" s="189">
        <v>886.16399999999999</v>
      </c>
      <c r="R37" s="189">
        <v>368.74400000000003</v>
      </c>
      <c r="S37" s="189">
        <v>631.82000000000005</v>
      </c>
      <c r="T37" s="189">
        <v>353.05599999999998</v>
      </c>
      <c r="U37" s="189">
        <f>(P37+T37)-'NOPA Crush'!Q462</f>
        <v>511.37000000000012</v>
      </c>
      <c r="V37" s="191">
        <f>(P37+T37)/'NOPA Crush'!Q462-1</f>
        <v>0.29586082963919536</v>
      </c>
      <c r="W37" s="190">
        <f t="shared" si="72"/>
        <v>11.425505078698208</v>
      </c>
      <c r="X37" s="190">
        <f>W37-'NOPA Crush'!O462</f>
        <v>-8.4494921301791592E-2</v>
      </c>
      <c r="Y37" s="190">
        <f t="shared" ref="Y37:Y53" si="121">K37+W37</f>
        <v>58.697848230485477</v>
      </c>
      <c r="Z37" s="211">
        <v>1291.424</v>
      </c>
      <c r="AA37" s="211">
        <v>1267.0930000000001</v>
      </c>
      <c r="AB37" s="191">
        <f t="shared" si="73"/>
        <v>1.8840442798027528E-2</v>
      </c>
      <c r="AC37" s="344">
        <f>FORECAST(S37,AC38:AC$87,S38:S$87)</f>
        <v>122.32158498730257</v>
      </c>
      <c r="AD37" s="211">
        <v>1330.992</v>
      </c>
      <c r="AE37" s="211">
        <v>1075.4970000000001</v>
      </c>
      <c r="AF37" s="211">
        <v>255.495</v>
      </c>
      <c r="AG37" s="191">
        <f t="shared" ref="AG37:AG68" si="122">AD37/AA37-1</f>
        <v>5.0429605403865319E-2</v>
      </c>
      <c r="AH37" s="163"/>
      <c r="AI37" s="211">
        <v>606.51599999999996</v>
      </c>
      <c r="AJ37" s="247">
        <f t="shared" si="11"/>
        <v>20.217199999999998</v>
      </c>
      <c r="AK37" s="211">
        <v>438.99</v>
      </c>
      <c r="AL37" s="211">
        <v>56.64</v>
      </c>
      <c r="AM37" s="190">
        <f t="shared" si="77"/>
        <v>43.427378667669117</v>
      </c>
      <c r="AN37" s="190">
        <f t="shared" si="78"/>
        <v>-0.7708248226369605</v>
      </c>
      <c r="AO37" s="211">
        <v>235.22800000000001</v>
      </c>
      <c r="AP37" s="211">
        <v>130.828</v>
      </c>
      <c r="AQ37" s="190">
        <f t="shared" ref="AQ37" si="123">AO37/AJ37</f>
        <v>11.635043428367926</v>
      </c>
      <c r="AR37" s="190">
        <f t="shared" si="79"/>
        <v>0.20953834966971741</v>
      </c>
      <c r="AS37" s="190">
        <f t="shared" ref="AS37:AS39" si="124">AM37+AQ37</f>
        <v>55.062422096037039</v>
      </c>
      <c r="AT37" s="211">
        <v>1097.829</v>
      </c>
      <c r="AU37" s="247">
        <f t="shared" si="16"/>
        <v>36.594299999999997</v>
      </c>
      <c r="AV37" s="211">
        <v>819.42899999999997</v>
      </c>
      <c r="AW37" s="211">
        <v>57.813000000000002</v>
      </c>
      <c r="AX37" s="190">
        <f t="shared" si="80"/>
        <v>44.784515621285287</v>
      </c>
      <c r="AY37" s="190">
        <f t="shared" si="81"/>
        <v>0.5863121309792092</v>
      </c>
      <c r="AZ37" s="211">
        <v>420.86700000000002</v>
      </c>
      <c r="BA37" s="211">
        <v>168.44</v>
      </c>
      <c r="BB37" s="190">
        <f t="shared" si="82"/>
        <v>11.500889482788304</v>
      </c>
      <c r="BC37" s="190">
        <f t="shared" si="83"/>
        <v>7.5384404090096169E-2</v>
      </c>
      <c r="BD37" s="247">
        <f t="shared" si="84"/>
        <v>56.28540510407359</v>
      </c>
      <c r="BE37" s="211">
        <v>1199.4349999999999</v>
      </c>
      <c r="BF37" s="247">
        <f t="shared" si="58"/>
        <v>39.981166666666667</v>
      </c>
      <c r="BG37" s="211">
        <v>879.90300000000002</v>
      </c>
      <c r="BH37" s="211">
        <v>115.398</v>
      </c>
      <c r="BI37" s="190">
        <f t="shared" si="85"/>
        <v>44.015874140741268</v>
      </c>
      <c r="BJ37" s="190">
        <f t="shared" si="86"/>
        <v>-0.18232934956481017</v>
      </c>
      <c r="BK37" s="211">
        <v>452.9</v>
      </c>
      <c r="BL37" s="211">
        <v>204.00899999999999</v>
      </c>
      <c r="BM37" s="190">
        <f t="shared" si="87"/>
        <v>11.327833521616427</v>
      </c>
      <c r="BN37" s="190">
        <f t="shared" si="88"/>
        <v>-9.7671557081781657E-2</v>
      </c>
      <c r="BO37" s="247">
        <f t="shared" si="89"/>
        <v>55.343707662357694</v>
      </c>
      <c r="BP37" s="211">
        <v>693.33799999999997</v>
      </c>
      <c r="BQ37" s="247">
        <f t="shared" si="26"/>
        <v>23.111266666666666</v>
      </c>
      <c r="BR37" s="211">
        <v>514.202</v>
      </c>
      <c r="BS37" s="211">
        <v>53.008000000000003</v>
      </c>
      <c r="BT37" s="190">
        <f t="shared" si="90"/>
        <v>44.49795049456398</v>
      </c>
      <c r="BU37" s="190">
        <f t="shared" si="91"/>
        <v>0.29974700425790246</v>
      </c>
      <c r="BV37" s="211">
        <v>257.54399999999998</v>
      </c>
      <c r="BW37" s="211">
        <v>251.126</v>
      </c>
      <c r="BX37" s="190">
        <f t="shared" si="92"/>
        <v>11.143655763855435</v>
      </c>
      <c r="BY37" s="190">
        <f t="shared" si="93"/>
        <v>-0.28184931484277342</v>
      </c>
      <c r="BZ37" s="194">
        <f t="shared" si="94"/>
        <v>55.641606258419415</v>
      </c>
      <c r="CA37" s="211">
        <v>710.71600000000001</v>
      </c>
      <c r="CB37" s="247">
        <f t="shared" si="32"/>
        <v>23.690533333333335</v>
      </c>
      <c r="CC37" s="211">
        <v>516.90800000000002</v>
      </c>
      <c r="CD37" s="211">
        <v>57.014000000000003</v>
      </c>
      <c r="CE37" s="190">
        <f t="shared" si="95"/>
        <v>43.638359063254519</v>
      </c>
      <c r="CF37" s="190">
        <f t="shared" si="96"/>
        <v>-0.55984442705155857</v>
      </c>
      <c r="CG37" s="211">
        <v>269.726</v>
      </c>
      <c r="CH37" s="211">
        <v>74.98</v>
      </c>
      <c r="CI37" s="190">
        <f t="shared" si="97"/>
        <v>11.385391633226211</v>
      </c>
      <c r="CJ37" s="190">
        <f t="shared" si="98"/>
        <v>-4.0113445471996911E-2</v>
      </c>
      <c r="CK37" s="194">
        <f t="shared" si="99"/>
        <v>55.023750696480732</v>
      </c>
      <c r="CL37" s="211">
        <v>931.99300000000005</v>
      </c>
      <c r="CM37" s="247">
        <f t="shared" si="60"/>
        <v>31.066433333333336</v>
      </c>
      <c r="CN37" s="211">
        <v>690.41700000000003</v>
      </c>
      <c r="CO37" s="211">
        <v>39.485999999999997</v>
      </c>
      <c r="CP37" s="190">
        <f t="shared" si="100"/>
        <v>44.447780187190247</v>
      </c>
      <c r="CQ37" s="190">
        <f t="shared" si="101"/>
        <v>0.24957669688416928</v>
      </c>
      <c r="CR37" s="211">
        <v>359.32400000000001</v>
      </c>
      <c r="CS37" s="211">
        <v>56.780999999999999</v>
      </c>
      <c r="CT37" s="190">
        <f t="shared" si="102"/>
        <v>11.56631004739306</v>
      </c>
      <c r="CU37" s="190">
        <f t="shared" si="103"/>
        <v>0.1408049686948516</v>
      </c>
      <c r="CV37" s="247">
        <f t="shared" si="104"/>
        <v>56.014090234583307</v>
      </c>
      <c r="CW37" s="195"/>
      <c r="CX37" s="196">
        <f>C37-AJ37-AU37-BF37-BQ37-CB37-CM37</f>
        <v>0</v>
      </c>
      <c r="CY37" s="196">
        <f t="shared" ref="CY37" si="125">F37-AK37-AV37-BG37-BR37-CC37-CN37</f>
        <v>0</v>
      </c>
      <c r="CZ37" s="196">
        <f t="shared" ref="CZ37" si="126">I37-AL37-AW37-BH37-BS37-CD37-CO37</f>
        <v>0</v>
      </c>
      <c r="DA37" s="196">
        <f>O37-AO37-AZ37-BK37-BV37-CG37-CR37</f>
        <v>0</v>
      </c>
      <c r="DB37" s="196">
        <f>Q37-AP37-BA37-BL37-BW37-CH37-CS37</f>
        <v>-6.3948846218409017E-14</v>
      </c>
      <c r="DC37" s="196">
        <f>P37-Q37-R37-S37</f>
        <v>0</v>
      </c>
      <c r="DD37" s="163"/>
      <c r="DE37" s="200">
        <v>156.70500000000001</v>
      </c>
      <c r="DF37" s="200">
        <v>86.774000000000001</v>
      </c>
      <c r="DG37" s="206">
        <f t="shared" ref="DG37:DG49" si="127">FORECAST(DF37,DG18:DG36,DF18:DF36)</f>
        <v>45.494004105108317</v>
      </c>
      <c r="DH37" s="191">
        <f t="shared" si="61"/>
        <v>0.55374110589962022</v>
      </c>
      <c r="DI37" s="197">
        <v>136.161</v>
      </c>
      <c r="DJ37" s="191">
        <f t="shared" si="48"/>
        <v>0.43445008136307073</v>
      </c>
      <c r="DK37" s="197">
        <v>103.151</v>
      </c>
      <c r="DL37" s="197">
        <v>100.65</v>
      </c>
      <c r="DM37" s="191">
        <f t="shared" si="62"/>
        <v>2.4246008279124709E-2</v>
      </c>
      <c r="DN37" s="200">
        <v>127.56399999999999</v>
      </c>
      <c r="DO37" s="200">
        <v>168.87</v>
      </c>
      <c r="DP37" s="200">
        <v>107.267</v>
      </c>
      <c r="DQ37" s="200">
        <f t="shared" ref="DQ37:DQ38" si="128">DP37+DO37</f>
        <v>276.137</v>
      </c>
      <c r="DR37" s="191">
        <f t="shared" ref="DR37:DR38" si="129">DJ37+DH37</f>
        <v>0.98819118726269095</v>
      </c>
      <c r="DS37" s="199">
        <f t="shared" si="51"/>
        <v>0.75756641035245043</v>
      </c>
      <c r="DT37" s="200">
        <v>164.72399999999999</v>
      </c>
      <c r="DU37" s="200">
        <v>73.543999999999997</v>
      </c>
      <c r="DV37" s="200">
        <v>10.242000000000001</v>
      </c>
      <c r="DW37" s="191">
        <f t="shared" si="63"/>
        <v>0.44646803137369179</v>
      </c>
      <c r="DX37" s="197">
        <v>47.16</v>
      </c>
      <c r="DY37" s="191">
        <f t="shared" si="64"/>
        <v>0.14314853937495448</v>
      </c>
      <c r="DZ37" s="197">
        <v>43.259</v>
      </c>
      <c r="EA37" s="197">
        <v>42.078000000000003</v>
      </c>
      <c r="EB37" s="191">
        <f t="shared" si="52"/>
        <v>2.730067731570307E-2</v>
      </c>
      <c r="EC37" s="200">
        <v>47.284999999999997</v>
      </c>
      <c r="ED37" s="200"/>
      <c r="EE37" s="200">
        <v>54.15</v>
      </c>
      <c r="EF37" s="204">
        <f t="shared" si="119"/>
        <v>54.15</v>
      </c>
      <c r="EG37" s="191">
        <f t="shared" si="120"/>
        <v>0.58961657074864626</v>
      </c>
      <c r="EJ37" s="202">
        <f t="shared" si="3"/>
        <v>11.268445161290323</v>
      </c>
      <c r="EK37" s="202">
        <f>'NOPA Crush'!B462*56/('NOPA Crush'!A462-'NOPA Crush'!A461)</f>
        <v>10.740185185709551</v>
      </c>
      <c r="EL37" s="203">
        <f t="shared" si="65"/>
        <v>1.0491853693811213</v>
      </c>
      <c r="EM37" s="202">
        <f t="shared" si="55"/>
        <v>5.0550000000000006</v>
      </c>
      <c r="EN37" s="202">
        <f t="shared" si="56"/>
        <v>1.0627354838709678E-2</v>
      </c>
      <c r="EO37" s="202">
        <f t="shared" si="66"/>
        <v>16.334072516129034</v>
      </c>
    </row>
    <row r="38" spans="1:145">
      <c r="A38" s="157">
        <v>43132</v>
      </c>
      <c r="B38" s="186">
        <v>4948.7719999999999</v>
      </c>
      <c r="C38" s="187">
        <f t="shared" ref="C38" si="130">B38/30</f>
        <v>164.95906666666667</v>
      </c>
      <c r="D38" s="247">
        <f>C38-'NOPA Crush'!G463</f>
        <v>11.240066666666678</v>
      </c>
      <c r="E38" s="188">
        <f>C38/'NOPA Crush'!G463-1</f>
        <v>7.3120867730512629E-2</v>
      </c>
      <c r="F38" s="189">
        <v>3651.7860000000001</v>
      </c>
      <c r="G38" s="189">
        <v>3610.4070000000002</v>
      </c>
      <c r="H38" s="189">
        <v>41.378999999999998</v>
      </c>
      <c r="I38" s="189">
        <v>415.077</v>
      </c>
      <c r="J38" s="190">
        <f t="shared" ref="J38" si="131">F38*2/C38</f>
        <v>44.275056519071804</v>
      </c>
      <c r="K38" s="190">
        <f t="shared" ref="K38" si="132">(F38+M38)*2/C38</f>
        <v>47.27926847306766</v>
      </c>
      <c r="L38" s="190">
        <f>K38-'NOPA Crush'!J463</f>
        <v>-0.11073152693234078</v>
      </c>
      <c r="M38" s="189">
        <v>247.786</v>
      </c>
      <c r="N38" s="189">
        <v>40.715000000000003</v>
      </c>
      <c r="O38" s="189">
        <v>1889.8409999999999</v>
      </c>
      <c r="P38" s="189">
        <v>2049.6439999999998</v>
      </c>
      <c r="Q38" s="189">
        <v>928.51400000000001</v>
      </c>
      <c r="R38" s="189">
        <v>386.79</v>
      </c>
      <c r="S38" s="189">
        <v>734.34</v>
      </c>
      <c r="T38" s="189">
        <v>375.738</v>
      </c>
      <c r="U38" s="189">
        <f>(P38+T38)-'NOPA Crush'!Q463</f>
        <v>569.68399999999951</v>
      </c>
      <c r="V38" s="191">
        <f>(P38+T38)/'NOPA Crush'!Q463-1</f>
        <v>0.30699176266827877</v>
      </c>
      <c r="W38" s="190">
        <f t="shared" ref="W38" si="133">O38/C38</f>
        <v>11.456423937089847</v>
      </c>
      <c r="X38" s="190">
        <f>W38-'NOPA Crush'!O463</f>
        <v>-4.3576062910153368E-2</v>
      </c>
      <c r="Y38" s="190">
        <f t="shared" si="121"/>
        <v>58.735692410157505</v>
      </c>
      <c r="Z38" s="211">
        <v>1288.769</v>
      </c>
      <c r="AA38" s="211">
        <v>1259.3699999999999</v>
      </c>
      <c r="AB38" s="191">
        <f t="shared" ref="AB38" si="134">(Z38-AA38)/Z38</f>
        <v>2.2811690846071028E-2</v>
      </c>
      <c r="AC38" s="344">
        <f>FORECAST(S38,AC39:AC$87,S39:S$87)</f>
        <v>132.12933711568411</v>
      </c>
      <c r="AD38" s="211">
        <v>1302.6079999999999</v>
      </c>
      <c r="AE38" s="211">
        <v>1023.705</v>
      </c>
      <c r="AF38" s="211">
        <v>278.90300000000002</v>
      </c>
      <c r="AG38" s="191">
        <f t="shared" si="122"/>
        <v>3.433303953564093E-2</v>
      </c>
      <c r="AH38" s="163"/>
      <c r="AI38" s="211">
        <v>580.21400000000006</v>
      </c>
      <c r="AJ38" s="247">
        <f t="shared" si="11"/>
        <v>19.340466666666668</v>
      </c>
      <c r="AK38" s="211">
        <v>420.80099999999999</v>
      </c>
      <c r="AL38" s="340">
        <v>54.22</v>
      </c>
      <c r="AM38" s="190">
        <f t="shared" si="77"/>
        <v>43.515082366161444</v>
      </c>
      <c r="AN38" s="190">
        <f t="shared" si="78"/>
        <v>-0.75997415291035963</v>
      </c>
      <c r="AO38" s="211">
        <v>227.3</v>
      </c>
      <c r="AP38" s="211">
        <v>151.934</v>
      </c>
      <c r="AQ38" s="190">
        <f t="shared" ref="AQ38" si="135">AO38/AJ38</f>
        <v>11.752560262248068</v>
      </c>
      <c r="AR38" s="190">
        <f t="shared" si="79"/>
        <v>0.29613632515822097</v>
      </c>
      <c r="AS38" s="190">
        <f t="shared" si="124"/>
        <v>55.267642628409511</v>
      </c>
      <c r="AT38" s="211">
        <v>1009.213</v>
      </c>
      <c r="AU38" s="247">
        <f t="shared" si="16"/>
        <v>33.640433333333334</v>
      </c>
      <c r="AV38" s="211">
        <v>750.81899999999996</v>
      </c>
      <c r="AW38" s="211">
        <v>52.235999999999997</v>
      </c>
      <c r="AX38" s="190">
        <f t="shared" si="80"/>
        <v>44.637891109210834</v>
      </c>
      <c r="AY38" s="190">
        <f t="shared" si="81"/>
        <v>0.36283459013903041</v>
      </c>
      <c r="AZ38" s="211">
        <v>386.77199999999999</v>
      </c>
      <c r="BA38" s="211">
        <v>178.88499999999999</v>
      </c>
      <c r="BB38" s="190">
        <f t="shared" si="82"/>
        <v>11.497235965053957</v>
      </c>
      <c r="BC38" s="190">
        <f t="shared" si="83"/>
        <v>4.0812027964109987E-2</v>
      </c>
      <c r="BD38" s="247">
        <f t="shared" si="84"/>
        <v>56.135127074264787</v>
      </c>
      <c r="BE38" s="211">
        <v>1158.1569999999999</v>
      </c>
      <c r="BF38" s="247">
        <f t="shared" si="58"/>
        <v>38.605233333333331</v>
      </c>
      <c r="BG38" s="211">
        <v>855.83600000000001</v>
      </c>
      <c r="BH38" s="211">
        <v>104.916</v>
      </c>
      <c r="BI38" s="190">
        <f t="shared" si="85"/>
        <v>44.337822937650081</v>
      </c>
      <c r="BJ38" s="190">
        <f t="shared" si="86"/>
        <v>6.2766418578277694E-2</v>
      </c>
      <c r="BK38" s="211">
        <v>442.392</v>
      </c>
      <c r="BL38" s="211">
        <v>207.49799999999999</v>
      </c>
      <c r="BM38" s="190">
        <f t="shared" si="87"/>
        <v>11.459378996111926</v>
      </c>
      <c r="BN38" s="190">
        <f t="shared" si="88"/>
        <v>2.9550590220797091E-3</v>
      </c>
      <c r="BO38" s="247">
        <f t="shared" si="89"/>
        <v>55.797201933762011</v>
      </c>
      <c r="BP38" s="211">
        <v>668.15300000000002</v>
      </c>
      <c r="BQ38" s="247">
        <f t="shared" si="26"/>
        <v>22.271766666666668</v>
      </c>
      <c r="BR38" s="211">
        <v>497.06200000000001</v>
      </c>
      <c r="BS38" s="211">
        <v>67.739000000000004</v>
      </c>
      <c r="BT38" s="190">
        <f t="shared" si="90"/>
        <v>44.636063895544879</v>
      </c>
      <c r="BU38" s="190">
        <f t="shared" si="91"/>
        <v>0.36100737647307568</v>
      </c>
      <c r="BV38" s="211">
        <v>247.98599999999999</v>
      </c>
      <c r="BW38" s="211">
        <v>255.30600000000001</v>
      </c>
      <c r="BX38" s="190">
        <f t="shared" si="92"/>
        <v>11.134545530739215</v>
      </c>
      <c r="BY38" s="190">
        <f t="shared" si="93"/>
        <v>-0.32187840635063125</v>
      </c>
      <c r="BZ38" s="194">
        <f t="shared" si="94"/>
        <v>55.770609426284096</v>
      </c>
      <c r="CA38" s="211">
        <v>663.16399999999999</v>
      </c>
      <c r="CB38" s="247">
        <f t="shared" si="32"/>
        <v>22.105466666666665</v>
      </c>
      <c r="CC38" s="211">
        <v>482.197</v>
      </c>
      <c r="CD38" s="211">
        <v>81.745999999999995</v>
      </c>
      <c r="CE38" s="190">
        <f t="shared" si="95"/>
        <v>43.626945974148178</v>
      </c>
      <c r="CF38" s="190">
        <f t="shared" si="96"/>
        <v>-0.6481105449236253</v>
      </c>
      <c r="CG38" s="211">
        <v>252.79900000000001</v>
      </c>
      <c r="CH38" s="211">
        <v>72.903999999999996</v>
      </c>
      <c r="CI38" s="190">
        <f t="shared" si="97"/>
        <v>11.436039953917886</v>
      </c>
      <c r="CJ38" s="190">
        <f t="shared" si="98"/>
        <v>-2.0383983171960551E-2</v>
      </c>
      <c r="CK38" s="194">
        <f t="shared" si="99"/>
        <v>55.062985928066063</v>
      </c>
      <c r="CL38" s="211">
        <v>869.87099999999998</v>
      </c>
      <c r="CM38" s="247">
        <f t="shared" si="60"/>
        <v>28.995699999999999</v>
      </c>
      <c r="CN38" s="211">
        <v>645.07100000000003</v>
      </c>
      <c r="CO38" s="340">
        <v>54.22</v>
      </c>
      <c r="CP38" s="190">
        <f t="shared" si="100"/>
        <v>44.494252596074595</v>
      </c>
      <c r="CQ38" s="190">
        <f t="shared" si="101"/>
        <v>0.21919607700279187</v>
      </c>
      <c r="CR38" s="211">
        <v>332.59199999999998</v>
      </c>
      <c r="CS38" s="211">
        <v>61.987000000000002</v>
      </c>
      <c r="CT38" s="190">
        <f t="shared" si="102"/>
        <v>11.470390437202758</v>
      </c>
      <c r="CU38" s="190">
        <f t="shared" si="103"/>
        <v>1.3966500112911007E-2</v>
      </c>
      <c r="CV38" s="247">
        <f t="shared" si="104"/>
        <v>55.964643033277355</v>
      </c>
      <c r="CW38" s="195"/>
      <c r="CX38" s="196">
        <f t="shared" ref="CX38:CX39" si="136">C38-AJ38-AU38-BF38-BQ38-CB38-CM38</f>
        <v>0</v>
      </c>
      <c r="CY38" s="196">
        <f t="shared" ref="CY38:CY39" si="137">F38-AK38-AV38-BG38-BR38-CC38-CN38</f>
        <v>0</v>
      </c>
      <c r="CZ38" s="196">
        <f t="shared" ref="CZ38:CZ39" si="138">I38-AL38-AW38-BH38-BS38-CD38-CO38</f>
        <v>0</v>
      </c>
      <c r="DA38" s="196">
        <f t="shared" ref="DA38:DA39" si="139">O38-AO38-AZ38-BK38-BV38-CG38-CR38</f>
        <v>0</v>
      </c>
      <c r="DB38" s="196">
        <f t="shared" ref="DB38:DB39" si="140">Q38-AP38-BA38-BL38-BW38-CH38-CS38</f>
        <v>0</v>
      </c>
      <c r="DC38" s="196">
        <f t="shared" ref="DC38:DC39" si="141">P38-Q38-R38-S38</f>
        <v>0</v>
      </c>
      <c r="DD38" s="163"/>
      <c r="DE38" s="200">
        <v>151.59100000000001</v>
      </c>
      <c r="DF38" s="200">
        <v>84.671000000000006</v>
      </c>
      <c r="DG38" s="206">
        <f t="shared" si="127"/>
        <v>45.765593643359665</v>
      </c>
      <c r="DH38" s="191">
        <f t="shared" si="61"/>
        <v>0.55854899037541805</v>
      </c>
      <c r="DI38" s="197">
        <v>128.363</v>
      </c>
      <c r="DJ38" s="191">
        <f t="shared" si="48"/>
        <v>0.42338595299193221</v>
      </c>
      <c r="DK38" s="197">
        <v>115.194</v>
      </c>
      <c r="DL38" s="197">
        <v>112.078</v>
      </c>
      <c r="DM38" s="191">
        <f t="shared" si="62"/>
        <v>2.7050019966317729E-2</v>
      </c>
      <c r="DN38" s="200">
        <v>133.77600000000001</v>
      </c>
      <c r="DO38" s="206">
        <f>MROUND(FORECAST(DI38,DO$5:DO37,DI$5:DI37),1)</f>
        <v>177</v>
      </c>
      <c r="DP38" s="200">
        <v>92.84</v>
      </c>
      <c r="DQ38" s="206">
        <f t="shared" si="128"/>
        <v>269.84000000000003</v>
      </c>
      <c r="DR38" s="191">
        <f t="shared" si="129"/>
        <v>0.98193494336735032</v>
      </c>
      <c r="DS38" s="199">
        <f t="shared" si="51"/>
        <v>0.89740813162671484</v>
      </c>
      <c r="DT38" s="200">
        <v>154.702</v>
      </c>
      <c r="DU38" s="200">
        <v>71.962999999999994</v>
      </c>
      <c r="DV38" s="200">
        <v>10.122999999999999</v>
      </c>
      <c r="DW38" s="191">
        <f t="shared" si="63"/>
        <v>0.46517174955721319</v>
      </c>
      <c r="DX38" s="197">
        <v>48.252000000000002</v>
      </c>
      <c r="DY38" s="191">
        <f t="shared" si="64"/>
        <v>0.15595144212744502</v>
      </c>
      <c r="DZ38" s="197">
        <v>50.576000000000001</v>
      </c>
      <c r="EA38" s="197">
        <v>49.024000000000001</v>
      </c>
      <c r="EB38" s="191">
        <f t="shared" si="52"/>
        <v>3.0686491616576994E-2</v>
      </c>
      <c r="EC38" s="200">
        <v>47.406999999999996</v>
      </c>
      <c r="ED38" s="200"/>
      <c r="EE38" s="200">
        <v>57.186999999999998</v>
      </c>
      <c r="EF38" s="204">
        <f t="shared" ref="EF38" si="142">EE38+ED38</f>
        <v>57.186999999999998</v>
      </c>
      <c r="EG38" s="191">
        <f t="shared" ref="EG38" si="143">DY38+DW38</f>
        <v>0.62112319168465824</v>
      </c>
      <c r="EJ38" s="202">
        <f t="shared" si="3"/>
        <v>11.782790476190476</v>
      </c>
      <c r="EK38" s="202">
        <f>'NOPA Crush'!B463*56/('NOPA Crush'!A463-'NOPA Crush'!A462)</f>
        <v>10.766961582023297</v>
      </c>
      <c r="EL38" s="203">
        <f t="shared" si="65"/>
        <v>1.0943468485912704</v>
      </c>
      <c r="EM38" s="202">
        <f t="shared" si="55"/>
        <v>5.413964285714286</v>
      </c>
      <c r="EN38" s="202">
        <f t="shared" si="56"/>
        <v>1.1050142857142857E-2</v>
      </c>
      <c r="EO38" s="202">
        <f t="shared" si="66"/>
        <v>17.207804904761907</v>
      </c>
    </row>
    <row r="39" spans="1:145">
      <c r="A39" s="157">
        <v>43160</v>
      </c>
      <c r="B39" s="186">
        <v>5465.24</v>
      </c>
      <c r="C39" s="187">
        <f t="shared" ref="C39:C40" si="144">B39/30</f>
        <v>182.17466666666667</v>
      </c>
      <c r="D39" s="247">
        <f>C39-'NOPA Crush'!G464</f>
        <v>10.316666666666663</v>
      </c>
      <c r="E39" s="188">
        <f>C39/'NOPA Crush'!G464-1</f>
        <v>6.0030179954768892E-2</v>
      </c>
      <c r="F39" s="189">
        <v>4029.2719999999999</v>
      </c>
      <c r="G39" s="189">
        <v>3976.9609999999998</v>
      </c>
      <c r="H39" s="189">
        <v>52.311</v>
      </c>
      <c r="I39" s="189">
        <v>492.22399999999999</v>
      </c>
      <c r="J39" s="190">
        <f t="shared" ref="J39" si="145">F39*2/C39</f>
        <v>44.23526139748666</v>
      </c>
      <c r="K39" s="190">
        <f t="shared" ref="K39" si="146">(F39+M39)*2/C39</f>
        <v>47.279339974090796</v>
      </c>
      <c r="L39" s="190">
        <f>K39-'NOPA Crush'!J464</f>
        <v>-0.24066002590920732</v>
      </c>
      <c r="M39" s="189">
        <v>277.27699999999999</v>
      </c>
      <c r="N39" s="189">
        <v>51.966999999999999</v>
      </c>
      <c r="O39" s="189">
        <v>2079.123</v>
      </c>
      <c r="P39" s="189">
        <v>2080.1379999999999</v>
      </c>
      <c r="Q39" s="189">
        <v>915.12199999999996</v>
      </c>
      <c r="R39" s="189">
        <v>362.84</v>
      </c>
      <c r="S39" s="189">
        <v>802.17600000000004</v>
      </c>
      <c r="T39" s="189">
        <v>364.34399999999999</v>
      </c>
      <c r="U39" s="189">
        <f>(P39+T39)-'NOPA Crush'!Q464</f>
        <v>498.35899999999992</v>
      </c>
      <c r="V39" s="191">
        <f>(P39+T39)/'NOPA Crush'!Q464-1</f>
        <v>0.25607785324976895</v>
      </c>
      <c r="W39" s="190">
        <f t="shared" ref="W39" si="147">O39/C39</f>
        <v>11.412799803851248</v>
      </c>
      <c r="X39" s="190">
        <f>W39-'NOPA Crush'!O464</f>
        <v>-9.7200196148751417E-2</v>
      </c>
      <c r="Y39" s="190">
        <f t="shared" si="121"/>
        <v>58.692139777942046</v>
      </c>
      <c r="Z39" s="211">
        <v>1519.7819999999999</v>
      </c>
      <c r="AA39" s="211">
        <v>1459.498</v>
      </c>
      <c r="AB39" s="191">
        <f t="shared" ref="AB39" si="148">(Z39-AA39)/Z39</f>
        <v>3.9666215286139644E-2</v>
      </c>
      <c r="AC39" s="344">
        <f>FORECAST(S39,AC40:AC$87,S40:S$87)</f>
        <v>138.61898472962173</v>
      </c>
      <c r="AD39" s="211">
        <v>1427.5229999999999</v>
      </c>
      <c r="AE39" s="211">
        <v>1062.3989999999999</v>
      </c>
      <c r="AF39" s="211">
        <v>365.12400000000002</v>
      </c>
      <c r="AG39" s="191">
        <f t="shared" si="122"/>
        <v>-2.190821775706453E-2</v>
      </c>
      <c r="AH39" s="163"/>
      <c r="AI39" s="211">
        <v>618.61199999999997</v>
      </c>
      <c r="AJ39" s="247">
        <f t="shared" si="11"/>
        <v>20.6204</v>
      </c>
      <c r="AK39" s="211">
        <v>450.75</v>
      </c>
      <c r="AL39" s="211">
        <v>103.943</v>
      </c>
      <c r="AM39" s="190">
        <f t="shared" si="77"/>
        <v>43.718841535566717</v>
      </c>
      <c r="AN39" s="190">
        <f t="shared" si="78"/>
        <v>-0.51641986191994249</v>
      </c>
      <c r="AO39" s="211">
        <v>243.72499999999999</v>
      </c>
      <c r="AP39" s="211">
        <v>154.91300000000001</v>
      </c>
      <c r="AQ39" s="190">
        <f t="shared" ref="AQ39" si="149">AO39/AJ39</f>
        <v>11.819605827239045</v>
      </c>
      <c r="AR39" s="190">
        <f t="shared" si="79"/>
        <v>0.40680602338779615</v>
      </c>
      <c r="AS39" s="190">
        <f t="shared" si="124"/>
        <v>55.538447362805762</v>
      </c>
      <c r="AT39" s="211">
        <v>1158.623</v>
      </c>
      <c r="AU39" s="247">
        <f t="shared" si="16"/>
        <v>38.620766666666668</v>
      </c>
      <c r="AV39" s="211">
        <v>862.30799999999999</v>
      </c>
      <c r="AW39" s="211">
        <v>69.320999999999998</v>
      </c>
      <c r="AX39" s="190">
        <f t="shared" si="80"/>
        <v>44.655146669796814</v>
      </c>
      <c r="AY39" s="190">
        <f t="shared" si="81"/>
        <v>0.41988527231015382</v>
      </c>
      <c r="AZ39" s="211">
        <v>442.50599999999997</v>
      </c>
      <c r="BA39" s="211">
        <v>173.91399999999999</v>
      </c>
      <c r="BB39" s="190">
        <f t="shared" si="82"/>
        <v>11.457721795614276</v>
      </c>
      <c r="BC39" s="190">
        <f t="shared" si="83"/>
        <v>4.4921991763027691E-2</v>
      </c>
      <c r="BD39" s="247">
        <f t="shared" si="84"/>
        <v>56.11286846541109</v>
      </c>
      <c r="BE39" s="211">
        <v>1263.566</v>
      </c>
      <c r="BF39" s="247">
        <f t="shared" si="58"/>
        <v>42.118866666666669</v>
      </c>
      <c r="BG39" s="211">
        <v>933.87699999999995</v>
      </c>
      <c r="BH39" s="211">
        <v>112.52500000000001</v>
      </c>
      <c r="BI39" s="190">
        <f t="shared" si="85"/>
        <v>44.344830424370386</v>
      </c>
      <c r="BJ39" s="190">
        <f t="shared" si="86"/>
        <v>0.10956902688372594</v>
      </c>
      <c r="BK39" s="211">
        <v>480.35399999999998</v>
      </c>
      <c r="BL39" s="211">
        <v>237.50899999999999</v>
      </c>
      <c r="BM39" s="190">
        <f t="shared" si="87"/>
        <v>11.404722824134234</v>
      </c>
      <c r="BN39" s="190">
        <f t="shared" si="88"/>
        <v>-8.0769797170141544E-3</v>
      </c>
      <c r="BO39" s="247">
        <f t="shared" si="89"/>
        <v>55.749553248504618</v>
      </c>
      <c r="BP39" s="211">
        <v>751.08799999999997</v>
      </c>
      <c r="BQ39" s="247">
        <f t="shared" si="26"/>
        <v>25.036266666666666</v>
      </c>
      <c r="BR39" s="211">
        <v>550.23299999999995</v>
      </c>
      <c r="BS39" s="211">
        <v>53.64</v>
      </c>
      <c r="BT39" s="190">
        <f t="shared" si="90"/>
        <v>43.954876126366017</v>
      </c>
      <c r="BU39" s="190">
        <f t="shared" si="91"/>
        <v>-0.28038527112064315</v>
      </c>
      <c r="BV39" s="211">
        <v>272.08300000000003</v>
      </c>
      <c r="BW39" s="211">
        <v>246.58600000000001</v>
      </c>
      <c r="BX39" s="190">
        <f t="shared" si="92"/>
        <v>10.867554800502738</v>
      </c>
      <c r="BY39" s="190">
        <f t="shared" si="93"/>
        <v>-0.54524500334851034</v>
      </c>
      <c r="BZ39" s="194">
        <f t="shared" si="94"/>
        <v>54.822430926868755</v>
      </c>
      <c r="CA39" s="211">
        <v>730.33799999999997</v>
      </c>
      <c r="CB39" s="247">
        <f t="shared" si="32"/>
        <v>24.3446</v>
      </c>
      <c r="CC39" s="211">
        <v>533.27499999999998</v>
      </c>
      <c r="CD39" s="211">
        <v>75.070999999999998</v>
      </c>
      <c r="CE39" s="190">
        <f t="shared" si="95"/>
        <v>43.810537039014811</v>
      </c>
      <c r="CF39" s="190">
        <f t="shared" si="96"/>
        <v>-0.42472435847184897</v>
      </c>
      <c r="CG39" s="211">
        <v>276.44299999999998</v>
      </c>
      <c r="CH39" s="211">
        <v>56.058</v>
      </c>
      <c r="CI39" s="190">
        <f t="shared" si="97"/>
        <v>11.355413520862943</v>
      </c>
      <c r="CJ39" s="190">
        <f t="shared" si="98"/>
        <v>-5.7386282988305837E-2</v>
      </c>
      <c r="CK39" s="194">
        <f t="shared" si="99"/>
        <v>55.165950559877757</v>
      </c>
      <c r="CL39" s="211">
        <v>943.01300000000003</v>
      </c>
      <c r="CM39" s="247">
        <f t="shared" si="60"/>
        <v>31.433766666666667</v>
      </c>
      <c r="CN39" s="211">
        <v>698.82899999999995</v>
      </c>
      <c r="CO39" s="211">
        <v>77.724000000000004</v>
      </c>
      <c r="CP39" s="190">
        <f t="shared" si="100"/>
        <v>44.463586398066617</v>
      </c>
      <c r="CQ39" s="190">
        <f t="shared" si="101"/>
        <v>0.2283250005799573</v>
      </c>
      <c r="CR39" s="211">
        <v>364.012</v>
      </c>
      <c r="CS39" s="211">
        <v>46.142000000000003</v>
      </c>
      <c r="CT39" s="190">
        <f t="shared" si="102"/>
        <v>11.580285743674795</v>
      </c>
      <c r="CU39" s="190">
        <f t="shared" si="103"/>
        <v>0.1674859398235462</v>
      </c>
      <c r="CV39" s="247">
        <f t="shared" si="104"/>
        <v>56.04387214174141</v>
      </c>
      <c r="CW39" s="195"/>
      <c r="CX39" s="196">
        <f t="shared" si="136"/>
        <v>0</v>
      </c>
      <c r="CY39" s="196">
        <f t="shared" si="137"/>
        <v>0</v>
      </c>
      <c r="CZ39" s="196">
        <f t="shared" si="138"/>
        <v>0</v>
      </c>
      <c r="DA39" s="196">
        <f t="shared" si="139"/>
        <v>0</v>
      </c>
      <c r="DB39" s="196">
        <f t="shared" si="140"/>
        <v>-7.1054273576010019E-14</v>
      </c>
      <c r="DC39" s="196">
        <f t="shared" si="141"/>
        <v>0</v>
      </c>
      <c r="DD39" s="163"/>
      <c r="DE39" s="200">
        <v>164.1</v>
      </c>
      <c r="DF39" s="200">
        <v>90.656000000000006</v>
      </c>
      <c r="DG39" s="206">
        <f t="shared" si="127"/>
        <v>45.018822010997212</v>
      </c>
      <c r="DH39" s="191">
        <f t="shared" si="61"/>
        <v>0.55244363193174895</v>
      </c>
      <c r="DI39" s="197">
        <v>139.99799999999999</v>
      </c>
      <c r="DJ39" s="191">
        <f t="shared" si="48"/>
        <v>0.42656307129798904</v>
      </c>
      <c r="DK39" s="197">
        <v>123.88800000000001</v>
      </c>
      <c r="DL39" s="197">
        <v>121.23399999999999</v>
      </c>
      <c r="DM39" s="191">
        <f t="shared" si="62"/>
        <v>2.1422575229239404E-2</v>
      </c>
      <c r="DN39" s="200">
        <v>145.358</v>
      </c>
      <c r="DO39" s="206">
        <f>MROUND(FORECAST(DI39,DO$5:DO38,DI$5:DI38),1)</f>
        <v>191</v>
      </c>
      <c r="DP39" s="200">
        <v>82.561999999999998</v>
      </c>
      <c r="DQ39" s="206">
        <f t="shared" ref="DQ39" si="150">DP39+DO39</f>
        <v>273.56200000000001</v>
      </c>
      <c r="DR39" s="191">
        <f t="shared" ref="DR39" si="151">DJ39+DH39</f>
        <v>0.97900670322973804</v>
      </c>
      <c r="DS39" s="199">
        <f t="shared" si="51"/>
        <v>0.88492692752753621</v>
      </c>
      <c r="DT39" s="200">
        <v>151.91300000000001</v>
      </c>
      <c r="DU39" s="200">
        <v>73.504999999999995</v>
      </c>
      <c r="DV39" s="200">
        <v>10.429</v>
      </c>
      <c r="DW39" s="191">
        <f t="shared" si="63"/>
        <v>0.4838624739159913</v>
      </c>
      <c r="DX39" s="197">
        <v>48.787999999999997</v>
      </c>
      <c r="DY39" s="191">
        <f t="shared" si="64"/>
        <v>0.16057875231217866</v>
      </c>
      <c r="DZ39" s="197">
        <v>50.363999999999997</v>
      </c>
      <c r="EA39" s="197">
        <v>48.78</v>
      </c>
      <c r="EB39" s="191">
        <f t="shared" si="52"/>
        <v>3.1451036454610337E-2</v>
      </c>
      <c r="EC39" s="200">
        <v>49.363</v>
      </c>
      <c r="ED39" s="200"/>
      <c r="EE39" s="200">
        <v>59.02</v>
      </c>
      <c r="EF39" s="204">
        <f t="shared" ref="EF39" si="152">EE39+ED39</f>
        <v>59.02</v>
      </c>
      <c r="EG39" s="191">
        <f t="shared" ref="EG39" si="153">DY39+DW39</f>
        <v>0.64444122622817002</v>
      </c>
      <c r="EJ39" s="202">
        <f t="shared" si="3"/>
        <v>11.753204301075268</v>
      </c>
      <c r="EK39" s="202">
        <f>'NOPA Crush'!B464*56/('NOPA Crush'!A464-'NOPA Crush'!A463)</f>
        <v>11.754550353662941</v>
      </c>
      <c r="EL39" s="203">
        <f t="shared" si="65"/>
        <v>0.99988548667986665</v>
      </c>
      <c r="EM39" s="202">
        <f t="shared" si="55"/>
        <v>5.2935483870967737</v>
      </c>
      <c r="EN39" s="202">
        <f t="shared" si="56"/>
        <v>9.8008387096774185E-3</v>
      </c>
      <c r="EO39" s="202">
        <f t="shared" si="66"/>
        <v>17.056553526881718</v>
      </c>
    </row>
    <row r="40" spans="1:145">
      <c r="A40" s="157">
        <v>43191</v>
      </c>
      <c r="B40" s="186">
        <v>5149.1469999999999</v>
      </c>
      <c r="C40" s="187">
        <f t="shared" si="144"/>
        <v>171.63823333333332</v>
      </c>
      <c r="D40" s="247">
        <f>C40-'NOPA Crush'!G465</f>
        <v>10.622233333333327</v>
      </c>
      <c r="E40" s="188">
        <f>C40/'NOPA Crush'!G465-1</f>
        <v>6.5970048525198388E-2</v>
      </c>
      <c r="F40" s="189">
        <v>3822.3380000000002</v>
      </c>
      <c r="G40" s="189">
        <v>3781.3560000000002</v>
      </c>
      <c r="H40" s="189">
        <v>40.981999999999999</v>
      </c>
      <c r="I40" s="189">
        <v>404.46800000000002</v>
      </c>
      <c r="J40" s="190">
        <f t="shared" ref="J40" si="154">F40*2/C40</f>
        <v>44.53947032391968</v>
      </c>
      <c r="K40" s="190">
        <f t="shared" ref="K40" si="155">(F40+M40)*2/C40</f>
        <v>47.540957754750451</v>
      </c>
      <c r="L40" s="190">
        <f>K40-'NOPA Crush'!J465</f>
        <v>-6.9042245249548273E-2</v>
      </c>
      <c r="M40" s="189">
        <v>257.58499999999998</v>
      </c>
      <c r="N40" s="189">
        <v>47.658000000000001</v>
      </c>
      <c r="O40" s="189">
        <v>1964.922</v>
      </c>
      <c r="P40" s="189">
        <v>2316.192</v>
      </c>
      <c r="Q40" s="189">
        <v>924.04499999999996</v>
      </c>
      <c r="R40" s="189">
        <v>452.654</v>
      </c>
      <c r="S40" s="189">
        <v>939.49300000000005</v>
      </c>
      <c r="T40" s="189">
        <v>372.584</v>
      </c>
      <c r="U40" s="189">
        <f>(P40+T40)-'NOPA Crush'!Q465</f>
        <v>596.32899999999972</v>
      </c>
      <c r="V40" s="191">
        <f>(P40+T40)/'NOPA Crush'!Q465-1</f>
        <v>0.28499120885738072</v>
      </c>
      <c r="W40" s="190">
        <f t="shared" ref="W40" si="156">O40/C40</f>
        <v>11.448043724523695</v>
      </c>
      <c r="X40" s="190">
        <f>W40-'NOPA Crush'!O465</f>
        <v>-9.1956275476304583E-2</v>
      </c>
      <c r="Y40" s="190">
        <f t="shared" si="121"/>
        <v>58.989001479274144</v>
      </c>
      <c r="Z40" s="211">
        <v>1477.749</v>
      </c>
      <c r="AA40" s="211">
        <v>1437.9770000000001</v>
      </c>
      <c r="AB40" s="191">
        <f t="shared" ref="AB40" si="157">(Z40-AA40)/Z40</f>
        <v>2.6913907571583493E-2</v>
      </c>
      <c r="AC40" s="211">
        <v>85.57</v>
      </c>
      <c r="AD40" s="211">
        <v>1430.4380000000001</v>
      </c>
      <c r="AE40" s="211">
        <v>1115.1859999999999</v>
      </c>
      <c r="AF40" s="211">
        <v>315.25200000000001</v>
      </c>
      <c r="AG40" s="191">
        <f t="shared" si="122"/>
        <v>-5.2427820472789044E-3</v>
      </c>
      <c r="AH40" s="163"/>
      <c r="AI40" s="211">
        <v>615.74599999999998</v>
      </c>
      <c r="AJ40" s="247">
        <f t="shared" si="11"/>
        <v>20.524866666666664</v>
      </c>
      <c r="AK40" s="211">
        <v>453.84</v>
      </c>
      <c r="AL40" s="211">
        <v>81.478999999999999</v>
      </c>
      <c r="AM40" s="190">
        <f t="shared" si="77"/>
        <v>44.22342979085532</v>
      </c>
      <c r="AN40" s="190">
        <f t="shared" si="78"/>
        <v>-0.31604053306435986</v>
      </c>
      <c r="AO40" s="211">
        <v>236.41200000000001</v>
      </c>
      <c r="AP40" s="211">
        <v>139.50899999999999</v>
      </c>
      <c r="AQ40" s="190">
        <f t="shared" ref="AQ40" si="158">AO40/AJ40</f>
        <v>11.5183208660714</v>
      </c>
      <c r="AR40" s="190">
        <f t="shared" ref="AR40" si="159">AQ40-W40</f>
        <v>7.0277141547705924E-2</v>
      </c>
      <c r="AS40" s="190">
        <f t="shared" ref="AS40" si="160">AM40+AQ40</f>
        <v>55.741750656926719</v>
      </c>
      <c r="AT40" s="211">
        <v>1071.7090000000001</v>
      </c>
      <c r="AU40" s="247">
        <f t="shared" si="16"/>
        <v>35.723633333333332</v>
      </c>
      <c r="AV40" s="211">
        <v>796.27</v>
      </c>
      <c r="AW40" s="211">
        <v>65.444999999999993</v>
      </c>
      <c r="AX40" s="190">
        <f t="shared" ref="AX40" si="161">AV40*2/AU40</f>
        <v>44.579452071411175</v>
      </c>
      <c r="AY40" s="190">
        <f t="shared" ref="AY40" si="162">AX40-J40</f>
        <v>3.9981747491495412E-2</v>
      </c>
      <c r="AZ40" s="211">
        <v>411.34500000000003</v>
      </c>
      <c r="BA40" s="211">
        <v>164.70500000000001</v>
      </c>
      <c r="BB40" s="190">
        <f t="shared" ref="BB40" si="163">AZ40/AU40</f>
        <v>11.514646233259215</v>
      </c>
      <c r="BC40" s="190">
        <f t="shared" ref="BC40" si="164">BB40-W40</f>
        <v>6.6602508735520871E-2</v>
      </c>
      <c r="BD40" s="247">
        <f t="shared" ref="BD40" si="165">AX40+BB40</f>
        <v>56.094098304670389</v>
      </c>
      <c r="BE40" s="211">
        <v>1224.4110000000001</v>
      </c>
      <c r="BF40" s="247">
        <f t="shared" si="58"/>
        <v>40.813700000000004</v>
      </c>
      <c r="BG40" s="211">
        <v>911.12</v>
      </c>
      <c r="BH40" s="211">
        <v>100.661</v>
      </c>
      <c r="BI40" s="190">
        <f t="shared" ref="BI40" si="166">BG40*2/BF40</f>
        <v>44.647753082910882</v>
      </c>
      <c r="BJ40" s="190">
        <f t="shared" ref="BJ40" si="167">BI40-J40</f>
        <v>0.10828275899120143</v>
      </c>
      <c r="BK40" s="211">
        <v>466.76499999999999</v>
      </c>
      <c r="BL40" s="211">
        <v>256.42899999999997</v>
      </c>
      <c r="BM40" s="190">
        <f t="shared" ref="BM40" si="168">BK40/BF40</f>
        <v>11.436478437387445</v>
      </c>
      <c r="BN40" s="190">
        <f t="shared" ref="BN40" si="169">BM40-W40</f>
        <v>-1.1565287136249935E-2</v>
      </c>
      <c r="BO40" s="247">
        <f t="shared" ref="BO40" si="170">BM40+BI40</f>
        <v>56.084231520298324</v>
      </c>
      <c r="BP40" s="211">
        <v>659.32799999999997</v>
      </c>
      <c r="BQ40" s="247">
        <f t="shared" si="26"/>
        <v>21.977599999999999</v>
      </c>
      <c r="BR40" s="211">
        <v>496.024</v>
      </c>
      <c r="BS40" s="211">
        <v>31.721</v>
      </c>
      <c r="BT40" s="190">
        <f t="shared" ref="BT40" si="171">BR40*2/BQ40</f>
        <v>45.139050669772864</v>
      </c>
      <c r="BU40" s="190">
        <f t="shared" ref="BU40" si="172">BT40-J40</f>
        <v>0.59958034585318387</v>
      </c>
      <c r="BV40" s="211">
        <v>246.25899999999999</v>
      </c>
      <c r="BW40" s="211">
        <v>253.376</v>
      </c>
      <c r="BX40" s="190">
        <f t="shared" ref="BX40" si="173">BV40/BQ40</f>
        <v>11.20499963599301</v>
      </c>
      <c r="BY40" s="190">
        <f t="shared" ref="BY40" si="174">BX40-W40</f>
        <v>-0.24304408853068438</v>
      </c>
      <c r="BZ40" s="194">
        <f t="shared" ref="BZ40" si="175">BT40+BX40</f>
        <v>56.344050305765876</v>
      </c>
      <c r="CA40" s="211">
        <v>684.37099999999998</v>
      </c>
      <c r="CB40" s="247">
        <f t="shared" si="32"/>
        <v>22.812366666666666</v>
      </c>
      <c r="CC40" s="211">
        <v>501.12700000000001</v>
      </c>
      <c r="CD40" s="211">
        <v>68.616</v>
      </c>
      <c r="CE40" s="190">
        <f t="shared" ref="CE40" si="176">CC40*2/CB40</f>
        <v>43.934678704971432</v>
      </c>
      <c r="CF40" s="190">
        <f t="shared" ref="CF40" si="177">CE40-J40</f>
        <v>-0.60479161894824784</v>
      </c>
      <c r="CG40" s="211">
        <v>260.45100000000002</v>
      </c>
      <c r="CH40" s="211">
        <v>68.031000000000006</v>
      </c>
      <c r="CI40" s="190">
        <f t="shared" ref="CI40" si="178">CG40/CB40</f>
        <v>11.417096867050184</v>
      </c>
      <c r="CJ40" s="190">
        <f t="shared" ref="CJ40" si="179">CI40-W40</f>
        <v>-3.0946857473511002E-2</v>
      </c>
      <c r="CK40" s="194">
        <f t="shared" ref="CK40" si="180">CI40+CE40</f>
        <v>55.351775572021616</v>
      </c>
      <c r="CL40" s="211">
        <v>893.58199999999999</v>
      </c>
      <c r="CM40" s="247">
        <f t="shared" si="60"/>
        <v>29.786066666666667</v>
      </c>
      <c r="CN40" s="211">
        <v>663.95699999999999</v>
      </c>
      <c r="CO40" s="211">
        <v>56.545999999999999</v>
      </c>
      <c r="CP40" s="190">
        <f t="shared" ref="CP40" si="181">CN40*2/CM40</f>
        <v>44.581717178725626</v>
      </c>
      <c r="CQ40" s="190">
        <f t="shared" ref="CQ40" si="182">CP40-J40</f>
        <v>4.2246854805945588E-2</v>
      </c>
      <c r="CR40" s="211">
        <v>343.69</v>
      </c>
      <c r="CS40" s="211">
        <v>41.994999999999997</v>
      </c>
      <c r="CT40" s="190">
        <f t="shared" ref="CT40" si="183">CR40/CM40</f>
        <v>11.538616489589092</v>
      </c>
      <c r="CU40" s="190">
        <f t="shared" ref="CU40" si="184">CT40-W40</f>
        <v>9.0572765065397576E-2</v>
      </c>
      <c r="CV40" s="247">
        <f t="shared" ref="CV40" si="185">CP40+CT40</f>
        <v>56.120333668314714</v>
      </c>
      <c r="CW40" s="195"/>
      <c r="CX40" s="196">
        <f t="shared" ref="CX40" si="186">C40-AJ40-AU40-BF40-BQ40-CB40-CM40</f>
        <v>-2.8421709430404007E-14</v>
      </c>
      <c r="CY40" s="196">
        <f t="shared" ref="CY40" si="187">F40-AK40-AV40-BG40-BR40-CC40-CN40</f>
        <v>0</v>
      </c>
      <c r="CZ40" s="196">
        <f t="shared" ref="CZ40" si="188">I40-AL40-AW40-BH40-BS40-CD40-CO40</f>
        <v>0</v>
      </c>
      <c r="DA40" s="196">
        <f t="shared" ref="DA40" si="189">O40-AO40-AZ40-BK40-BV40-CG40-CR40</f>
        <v>0</v>
      </c>
      <c r="DB40" s="196">
        <f t="shared" ref="DB40" si="190">Q40-AP40-BA40-BL40-BW40-CH40-CS40</f>
        <v>-7.815970093361102E-14</v>
      </c>
      <c r="DC40" s="196">
        <f t="shared" ref="DC40" si="191">P40-Q40-R40-S40</f>
        <v>0</v>
      </c>
      <c r="DD40" s="163"/>
      <c r="DE40" s="200">
        <v>152.358</v>
      </c>
      <c r="DF40" s="200">
        <v>85.399000000000001</v>
      </c>
      <c r="DG40" s="206">
        <f t="shared" si="127"/>
        <v>45.8028315854054</v>
      </c>
      <c r="DH40" s="191">
        <f t="shared" si="61"/>
        <v>0.56051536512687228</v>
      </c>
      <c r="DI40" s="197">
        <v>131.21600000000001</v>
      </c>
      <c r="DJ40" s="191">
        <f t="shared" si="48"/>
        <v>0.43061736174011211</v>
      </c>
      <c r="DK40" s="197">
        <v>112.715</v>
      </c>
      <c r="DL40" s="197">
        <v>108.678</v>
      </c>
      <c r="DM40" s="191">
        <f t="shared" si="62"/>
        <v>3.5815996096349223E-2</v>
      </c>
      <c r="DN40" s="200">
        <v>150.506</v>
      </c>
      <c r="DO40" s="200">
        <v>175.88</v>
      </c>
      <c r="DP40" s="200">
        <v>79.596000000000004</v>
      </c>
      <c r="DQ40" s="200">
        <f t="shared" ref="DQ40" si="192">DP40+DO40</f>
        <v>255.476</v>
      </c>
      <c r="DR40" s="191">
        <f t="shared" ref="DR40" si="193">DJ40+DH40</f>
        <v>0.99113272686698439</v>
      </c>
      <c r="DS40" s="199">
        <f t="shared" si="51"/>
        <v>0.85900347518595288</v>
      </c>
      <c r="DT40" s="200">
        <v>141.89500000000001</v>
      </c>
      <c r="DU40" s="200">
        <v>61.530999999999999</v>
      </c>
      <c r="DV40" s="200">
        <v>12.053000000000001</v>
      </c>
      <c r="DW40" s="191">
        <f t="shared" si="63"/>
        <v>0.43363754889178613</v>
      </c>
      <c r="DX40" s="197">
        <v>40.917000000000002</v>
      </c>
      <c r="DY40" s="191">
        <f t="shared" si="64"/>
        <v>0.14418055604496283</v>
      </c>
      <c r="DZ40" s="197">
        <v>41.81</v>
      </c>
      <c r="EA40" s="197">
        <v>40.262</v>
      </c>
      <c r="EB40" s="191">
        <f t="shared" si="52"/>
        <v>3.702463525472377E-2</v>
      </c>
      <c r="EC40" s="200">
        <v>46.405000000000001</v>
      </c>
      <c r="ED40" s="200"/>
      <c r="EE40" s="200">
        <v>53.631</v>
      </c>
      <c r="EF40" s="204">
        <f t="shared" ref="EF40" si="194">EE40+ED40</f>
        <v>53.631</v>
      </c>
      <c r="EG40" s="191">
        <f t="shared" ref="EG40" si="195">DY40+DW40</f>
        <v>0.57781810493674901</v>
      </c>
      <c r="EJ40" s="202">
        <f t="shared" si="3"/>
        <v>11.442548888888888</v>
      </c>
      <c r="EK40" s="202">
        <f>'NOPA Crush'!B465*56/('NOPA Crush'!A465-'NOPA Crush'!A464)</f>
        <v>10.684531039467309</v>
      </c>
      <c r="EL40" s="203">
        <f t="shared" si="65"/>
        <v>1.0709453551701573</v>
      </c>
      <c r="EM40" s="202">
        <f t="shared" si="55"/>
        <v>5.0785999999999998</v>
      </c>
      <c r="EN40" s="202">
        <f t="shared" si="56"/>
        <v>9.4596666666666666E-3</v>
      </c>
      <c r="EO40" s="202">
        <f t="shared" si="66"/>
        <v>16.530608555555556</v>
      </c>
    </row>
    <row r="41" spans="1:145">
      <c r="A41" s="157">
        <v>43221</v>
      </c>
      <c r="B41" s="186">
        <v>5174.04</v>
      </c>
      <c r="C41" s="187">
        <f t="shared" ref="C41" si="196">B41/30</f>
        <v>172.46799999999999</v>
      </c>
      <c r="D41" s="247">
        <f>C41-'NOPA Crush'!G466</f>
        <v>8.8959999999999866</v>
      </c>
      <c r="E41" s="188">
        <f>C41/'NOPA Crush'!G466-1</f>
        <v>5.4385836206685578E-2</v>
      </c>
      <c r="F41" s="189">
        <v>3846.6869999999999</v>
      </c>
      <c r="G41" s="189">
        <v>3802.2249999999999</v>
      </c>
      <c r="H41" s="189">
        <v>44.462000000000003</v>
      </c>
      <c r="I41" s="189">
        <v>391.81200000000001</v>
      </c>
      <c r="J41" s="190">
        <f t="shared" ref="J41" si="197">F41*2/C41</f>
        <v>44.607544587981543</v>
      </c>
      <c r="K41" s="190">
        <f t="shared" ref="K41" si="198">(F41+M41)*2/C41</f>
        <v>47.652445671081011</v>
      </c>
      <c r="L41" s="190">
        <f>K41-'NOPA Crush'!J466</f>
        <v>7.2445671081013074E-2</v>
      </c>
      <c r="M41" s="189">
        <v>262.57400000000001</v>
      </c>
      <c r="N41" s="189">
        <v>41.314999999999998</v>
      </c>
      <c r="O41" s="189">
        <v>1966.511</v>
      </c>
      <c r="P41" s="189">
        <v>2002.934</v>
      </c>
      <c r="Q41" s="189">
        <v>834.57899999999995</v>
      </c>
      <c r="R41" s="189">
        <v>458.39499999999998</v>
      </c>
      <c r="S41" s="189">
        <v>709.96</v>
      </c>
      <c r="T41" s="189">
        <v>371.12700000000001</v>
      </c>
      <c r="U41" s="189">
        <f>(P41+T41)-'NOPA Crush'!Q466</f>
        <v>518.0010000000002</v>
      </c>
      <c r="V41" s="191">
        <f>(P41+T41)/'NOPA Crush'!Q466-1</f>
        <v>0.2790863441914595</v>
      </c>
      <c r="W41" s="190">
        <f t="shared" ref="W41" si="199">O41/C41</f>
        <v>11.402178954936568</v>
      </c>
      <c r="X41" s="190">
        <f>W41-'NOPA Crush'!O466</f>
        <v>-0.11782104506343138</v>
      </c>
      <c r="Y41" s="190">
        <f t="shared" si="121"/>
        <v>59.054624626017578</v>
      </c>
      <c r="Z41" s="211">
        <v>1518.13</v>
      </c>
      <c r="AA41" s="211">
        <v>1460.0350000000001</v>
      </c>
      <c r="AB41" s="191">
        <f t="shared" ref="AB41" si="200">(Z41-AA41)/Z41</f>
        <v>3.8267473800003969E-2</v>
      </c>
      <c r="AC41" s="211">
        <v>92.909000000000006</v>
      </c>
      <c r="AD41" s="211">
        <v>1531.29</v>
      </c>
      <c r="AE41" s="211">
        <v>1218.2280000000001</v>
      </c>
      <c r="AF41" s="211">
        <v>313.06200000000001</v>
      </c>
      <c r="AG41" s="191">
        <f t="shared" si="122"/>
        <v>4.88036245706438E-2</v>
      </c>
      <c r="AH41" s="163"/>
      <c r="AI41" s="211">
        <v>618.67499999999995</v>
      </c>
      <c r="AJ41" s="247">
        <f t="shared" si="11"/>
        <v>20.622499999999999</v>
      </c>
      <c r="AK41" s="211">
        <v>451.608</v>
      </c>
      <c r="AL41" s="211">
        <v>81.209000000000003</v>
      </c>
      <c r="AM41" s="190">
        <f t="shared" ref="AM41" si="201">AK41*2/AJ41</f>
        <v>43.797599709055646</v>
      </c>
      <c r="AN41" s="190">
        <f t="shared" ref="AN41" si="202">AM41-J41</f>
        <v>-0.80994487892589717</v>
      </c>
      <c r="AO41" s="211">
        <v>241.685</v>
      </c>
      <c r="AP41" s="211">
        <v>119.59699999999999</v>
      </c>
      <c r="AQ41" s="190">
        <f t="shared" ref="AQ41" si="203">AO41/AJ41</f>
        <v>11.71948114923021</v>
      </c>
      <c r="AR41" s="190">
        <f t="shared" ref="AR41" si="204">AQ41-W41</f>
        <v>0.31730219429364226</v>
      </c>
      <c r="AS41" s="190">
        <f t="shared" ref="AS41" si="205">AM41+AQ41</f>
        <v>55.517080858285858</v>
      </c>
      <c r="AT41" s="211">
        <v>1132.2619999999999</v>
      </c>
      <c r="AU41" s="247">
        <f t="shared" si="16"/>
        <v>37.742066666666666</v>
      </c>
      <c r="AV41" s="211">
        <v>844.71900000000005</v>
      </c>
      <c r="AW41" s="211">
        <v>55.546999999999997</v>
      </c>
      <c r="AX41" s="190">
        <f t="shared" ref="AX41" si="206">AV41*2/AU41</f>
        <v>44.762731593924379</v>
      </c>
      <c r="AY41" s="190">
        <f t="shared" ref="AY41" si="207">AX41-J41</f>
        <v>0.1551870059428353</v>
      </c>
      <c r="AZ41" s="211">
        <v>433.983</v>
      </c>
      <c r="BA41" s="211">
        <v>139.98699999999999</v>
      </c>
      <c r="BB41" s="190">
        <f t="shared" ref="BB41" si="208">AZ41/AU41</f>
        <v>11.49865490496016</v>
      </c>
      <c r="BC41" s="190">
        <f t="shared" ref="BC41" si="209">BB41-W41</f>
        <v>9.6475950023592105E-2</v>
      </c>
      <c r="BD41" s="247">
        <f t="shared" ref="BD41" si="210">AX41+BB41</f>
        <v>56.261386498884541</v>
      </c>
      <c r="BE41" s="211">
        <v>1214.1469999999999</v>
      </c>
      <c r="BF41" s="247">
        <f t="shared" si="58"/>
        <v>40.471566666666668</v>
      </c>
      <c r="BG41" s="211">
        <v>904.00300000000004</v>
      </c>
      <c r="BH41" s="211">
        <v>114.294</v>
      </c>
      <c r="BI41" s="190">
        <f t="shared" ref="BI41" si="211">BG41*2/BF41</f>
        <v>44.67348681831772</v>
      </c>
      <c r="BJ41" s="190">
        <f t="shared" ref="BJ41" si="212">BI41-J41</f>
        <v>6.5942230336176522E-2</v>
      </c>
      <c r="BK41" s="211">
        <v>452.61599999999999</v>
      </c>
      <c r="BL41" s="211">
        <v>200.79</v>
      </c>
      <c r="BM41" s="190">
        <f t="shared" ref="BM41" si="213">BK41/BF41</f>
        <v>11.183555203776807</v>
      </c>
      <c r="BN41" s="190">
        <f t="shared" ref="BN41" si="214">BM41-W41</f>
        <v>-0.21862375115976107</v>
      </c>
      <c r="BO41" s="247">
        <f t="shared" ref="BO41" si="215">BM41+BI41</f>
        <v>55.857042022094525</v>
      </c>
      <c r="BP41" s="211">
        <v>719.50400000000002</v>
      </c>
      <c r="BQ41" s="247">
        <f t="shared" si="26"/>
        <v>23.983466666666668</v>
      </c>
      <c r="BR41" s="211">
        <v>543.48099999999999</v>
      </c>
      <c r="BS41" s="211">
        <v>40.228999999999999</v>
      </c>
      <c r="BT41" s="190">
        <f t="shared" ref="BT41" si="216">BR41*2/BQ41</f>
        <v>45.321304676554959</v>
      </c>
      <c r="BU41" s="190">
        <f t="shared" ref="BU41" si="217">BT41-J41</f>
        <v>0.71376008857341589</v>
      </c>
      <c r="BV41" s="211">
        <v>265.71699999999998</v>
      </c>
      <c r="BW41" s="211">
        <v>269.98899999999998</v>
      </c>
      <c r="BX41" s="190">
        <f t="shared" ref="BX41" si="218">BV41/BQ41</f>
        <v>11.079173986524049</v>
      </c>
      <c r="BY41" s="190">
        <f t="shared" ref="BY41" si="219">BX41-W41</f>
        <v>-0.32300496841251913</v>
      </c>
      <c r="BZ41" s="194">
        <f t="shared" ref="BZ41" si="220">BT41+BX41</f>
        <v>56.400478663079006</v>
      </c>
      <c r="CA41" s="211">
        <v>544.64599999999996</v>
      </c>
      <c r="CB41" s="247">
        <f t="shared" si="32"/>
        <v>18.154866666666667</v>
      </c>
      <c r="CC41" s="211">
        <v>399.66800000000001</v>
      </c>
      <c r="CD41" s="211">
        <v>38.656999999999996</v>
      </c>
      <c r="CE41" s="190">
        <f t="shared" ref="CE41" si="221">CC41*2/CB41</f>
        <v>44.028745276748566</v>
      </c>
      <c r="CF41" s="190">
        <f t="shared" ref="CF41" si="222">CE41-J41</f>
        <v>-0.57879931123297723</v>
      </c>
      <c r="CG41" s="211">
        <v>207.77799999999999</v>
      </c>
      <c r="CH41" s="211">
        <v>53.994999999999997</v>
      </c>
      <c r="CI41" s="190">
        <f t="shared" ref="CI41" si="223">CG41/CB41</f>
        <v>11.444754941741975</v>
      </c>
      <c r="CJ41" s="190">
        <f t="shared" ref="CJ41" si="224">CI41-W41</f>
        <v>4.2575986805406529E-2</v>
      </c>
      <c r="CK41" s="194">
        <f t="shared" ref="CK41" si="225">CI41+CE41</f>
        <v>55.473500218490543</v>
      </c>
      <c r="CL41" s="211">
        <v>944.80600000000004</v>
      </c>
      <c r="CM41" s="247">
        <f t="shared" si="60"/>
        <v>31.493533333333335</v>
      </c>
      <c r="CN41" s="211">
        <v>703.20799999999997</v>
      </c>
      <c r="CO41" s="211">
        <v>61.875999999999998</v>
      </c>
      <c r="CP41" s="190">
        <f t="shared" ref="CP41" si="226">CN41*2/CM41</f>
        <v>44.657294725054662</v>
      </c>
      <c r="CQ41" s="190">
        <f t="shared" ref="CQ41" si="227">CP41-J41</f>
        <v>4.9750137073118594E-2</v>
      </c>
      <c r="CR41" s="211">
        <v>364.73200000000003</v>
      </c>
      <c r="CS41" s="211">
        <v>50.220999999999997</v>
      </c>
      <c r="CT41" s="190">
        <f t="shared" ref="CT41" si="228">CR41/CM41</f>
        <v>11.581171161063754</v>
      </c>
      <c r="CU41" s="190">
        <f t="shared" ref="CU41" si="229">CT41-W41</f>
        <v>0.17899220612718558</v>
      </c>
      <c r="CV41" s="247">
        <f t="shared" ref="CV41" si="230">CP41+CT41</f>
        <v>56.238465886118419</v>
      </c>
      <c r="CW41" s="195"/>
      <c r="CX41" s="196">
        <f t="shared" ref="CX41" si="231">C41-AJ41-AU41-BF41-BQ41-CB41-CM41</f>
        <v>0</v>
      </c>
      <c r="CY41" s="196">
        <f t="shared" ref="CY41" si="232">F41-AK41-AV41-BG41-BR41-CC41-CN41</f>
        <v>0</v>
      </c>
      <c r="CZ41" s="196">
        <f t="shared" ref="CZ41" si="233">I41-AL41-AW41-BH41-BS41-CD41-CO41</f>
        <v>0</v>
      </c>
      <c r="DA41" s="196">
        <f t="shared" ref="DA41" si="234">O41-AO41-AZ41-BK41-BV41-CG41-CR41</f>
        <v>0</v>
      </c>
      <c r="DB41" s="196">
        <f t="shared" ref="DB41" si="235">Q41-AP41-BA41-BL41-BW41-CH41-CS41</f>
        <v>7.1054273576010019E-14</v>
      </c>
      <c r="DC41" s="196">
        <f t="shared" ref="DC41" si="236">P41-Q41-R41-S41</f>
        <v>0</v>
      </c>
      <c r="DD41" s="163"/>
      <c r="DE41" s="200">
        <v>130.92099999999999</v>
      </c>
      <c r="DF41" s="200">
        <v>73.352999999999994</v>
      </c>
      <c r="DG41" s="206">
        <f t="shared" si="127"/>
        <v>47.23947956003277</v>
      </c>
      <c r="DH41" s="191">
        <f t="shared" si="61"/>
        <v>0.560284446345506</v>
      </c>
      <c r="DI41" s="197">
        <v>115.066</v>
      </c>
      <c r="DJ41" s="191">
        <f t="shared" si="48"/>
        <v>0.4394482168636048</v>
      </c>
      <c r="DK41" s="197">
        <v>86.73</v>
      </c>
      <c r="DL41" s="197">
        <v>84.076999999999998</v>
      </c>
      <c r="DM41" s="191">
        <f t="shared" si="62"/>
        <v>3.0589184826472993E-2</v>
      </c>
      <c r="DN41" s="200">
        <v>137.14500000000001</v>
      </c>
      <c r="DO41" s="200">
        <v>181.16800000000001</v>
      </c>
      <c r="DP41" s="200">
        <v>81.122</v>
      </c>
      <c r="DQ41" s="200">
        <f t="shared" ref="DQ41" si="237">DP41+DO41</f>
        <v>262.29000000000002</v>
      </c>
      <c r="DR41" s="191">
        <f t="shared" ref="DR41" si="238">DJ41+DH41</f>
        <v>0.99973266320911081</v>
      </c>
      <c r="DS41" s="199">
        <f t="shared" si="51"/>
        <v>0.753741331062173</v>
      </c>
      <c r="DT41" s="200">
        <v>166.3</v>
      </c>
      <c r="DU41" s="200">
        <v>70.945999999999998</v>
      </c>
      <c r="DV41" s="200">
        <v>21.899000000000001</v>
      </c>
      <c r="DW41" s="191">
        <f t="shared" si="63"/>
        <v>0.42661455201443171</v>
      </c>
      <c r="DX41" s="197">
        <v>49.345999999999997</v>
      </c>
      <c r="DY41" s="191">
        <f t="shared" si="64"/>
        <v>0.14836440168370413</v>
      </c>
      <c r="DZ41" s="197">
        <v>52.426000000000002</v>
      </c>
      <c r="EA41" s="197">
        <v>50.637</v>
      </c>
      <c r="EB41" s="191">
        <f t="shared" si="52"/>
        <v>3.4124289474688152E-2</v>
      </c>
      <c r="EC41" s="200">
        <v>58.024999999999999</v>
      </c>
      <c r="ED41" s="200"/>
      <c r="EE41" s="200">
        <v>49.74</v>
      </c>
      <c r="EF41" s="204">
        <f t="shared" ref="EF41" si="239">EE41+ED41</f>
        <v>49.74</v>
      </c>
      <c r="EG41" s="191">
        <f t="shared" ref="EG41" si="240">DY41+DW41</f>
        <v>0.57497895369813579</v>
      </c>
      <c r="EJ41" s="202">
        <f t="shared" si="3"/>
        <v>11.126967741935482</v>
      </c>
      <c r="EK41" s="202">
        <f>'NOPA Crush'!B466*56/('NOPA Crush'!A466-'NOPA Crush'!A465)</f>
        <v>10.905428595282208</v>
      </c>
      <c r="EL41" s="203">
        <f t="shared" si="65"/>
        <v>1.0203145749584857</v>
      </c>
      <c r="EM41" s="202">
        <f t="shared" si="55"/>
        <v>4.2232580645161288</v>
      </c>
      <c r="EN41" s="202">
        <f t="shared" si="56"/>
        <v>1.0729032258064517E-2</v>
      </c>
      <c r="EO41" s="202">
        <f t="shared" si="66"/>
        <v>15.360954838709675</v>
      </c>
    </row>
    <row r="42" spans="1:145">
      <c r="A42" s="157">
        <v>43252</v>
      </c>
      <c r="B42" s="186">
        <v>5086.9409999999998</v>
      </c>
      <c r="C42" s="187">
        <f t="shared" ref="C42" si="241">B42/30</f>
        <v>169.56469999999999</v>
      </c>
      <c r="D42" s="247">
        <f>C42-'NOPA Crush'!G467</f>
        <v>10.336699999999979</v>
      </c>
      <c r="E42" s="188">
        <f>C42/'NOPA Crush'!G467-1</f>
        <v>6.4917602431733057E-2</v>
      </c>
      <c r="F42" s="189">
        <v>3778.127</v>
      </c>
      <c r="G42" s="189">
        <v>3732.0210000000002</v>
      </c>
      <c r="H42" s="189">
        <v>46.106000000000002</v>
      </c>
      <c r="I42" s="189">
        <v>359.82299999999998</v>
      </c>
      <c r="J42" s="190">
        <f t="shared" ref="J42" si="242">F42*2/C42</f>
        <v>44.562659562986873</v>
      </c>
      <c r="K42" s="190">
        <f t="shared" ref="K42" si="243">(F42+M42)*2/C42</f>
        <v>47.560830762534891</v>
      </c>
      <c r="L42" s="190">
        <f>K42-'NOPA Crush'!J467</f>
        <v>8.3076253488911789E-4</v>
      </c>
      <c r="M42" s="189">
        <v>254.19200000000001</v>
      </c>
      <c r="N42" s="189">
        <v>38.706000000000003</v>
      </c>
      <c r="O42" s="189">
        <v>1936.9069999999999</v>
      </c>
      <c r="P42" s="189">
        <v>1933.152</v>
      </c>
      <c r="Q42" s="189">
        <v>833.12199999999996</v>
      </c>
      <c r="R42" s="189">
        <v>331.49299999999999</v>
      </c>
      <c r="S42" s="189">
        <v>768.53700000000003</v>
      </c>
      <c r="T42" s="189">
        <v>371.65600000000001</v>
      </c>
      <c r="U42" s="189">
        <f>(P42+T42)-'NOPA Crush'!Q467</f>
        <v>538.86300000000006</v>
      </c>
      <c r="V42" s="191">
        <f>(P42+T42)/'NOPA Crush'!Q467-1</f>
        <v>0.30514143985231712</v>
      </c>
      <c r="W42" s="190">
        <f t="shared" ref="W42" si="244">O42/C42</f>
        <v>11.422819726039677</v>
      </c>
      <c r="X42" s="190">
        <f>W42-'NOPA Crush'!O467</f>
        <v>-9.7180273960322694E-2</v>
      </c>
      <c r="Y42" s="190">
        <f t="shared" si="121"/>
        <v>58.983650488574568</v>
      </c>
      <c r="Z42" s="211">
        <v>1466.7</v>
      </c>
      <c r="AA42" s="211">
        <v>1437.3430000000001</v>
      </c>
      <c r="AB42" s="191">
        <f>(Z42-AA42)/Z42</f>
        <v>2.0015681461784941E-2</v>
      </c>
      <c r="AC42" s="211">
        <v>140.80199999999999</v>
      </c>
      <c r="AD42" s="211">
        <v>1485.297</v>
      </c>
      <c r="AE42" s="211">
        <v>1104.67</v>
      </c>
      <c r="AF42" s="211">
        <v>380.62700000000001</v>
      </c>
      <c r="AG42" s="191">
        <f t="shared" si="122"/>
        <v>3.3362948161990591E-2</v>
      </c>
      <c r="AH42" s="163"/>
      <c r="AI42" s="211">
        <v>584.29999999999995</v>
      </c>
      <c r="AJ42" s="247">
        <f t="shared" si="11"/>
        <v>19.476666666666667</v>
      </c>
      <c r="AK42" s="211">
        <v>429.71699999999998</v>
      </c>
      <c r="AL42" s="211">
        <v>57.052</v>
      </c>
      <c r="AM42" s="190">
        <f t="shared" ref="AM42:AM43" si="245">AK42*2/AJ42</f>
        <v>44.126339209310288</v>
      </c>
      <c r="AN42" s="190">
        <f t="shared" ref="AN42:AN43" si="246">AM42-J42</f>
        <v>-0.43632035367658517</v>
      </c>
      <c r="AO42" s="211">
        <v>228.251</v>
      </c>
      <c r="AP42" s="211">
        <v>95.762</v>
      </c>
      <c r="AQ42" s="190">
        <f t="shared" ref="AQ42" si="247">AO42/AJ42</f>
        <v>11.719202464487422</v>
      </c>
      <c r="AR42" s="190">
        <f t="shared" ref="AR42" si="248">AQ42-W42</f>
        <v>0.2963827384477451</v>
      </c>
      <c r="AS42" s="190">
        <f t="shared" ref="AS42" si="249">AM42+AQ42</f>
        <v>55.845541673797712</v>
      </c>
      <c r="AT42" s="211">
        <v>1114.7750000000001</v>
      </c>
      <c r="AU42" s="247">
        <f t="shared" si="16"/>
        <v>37.159166666666671</v>
      </c>
      <c r="AV42" s="211">
        <v>828.82399999999996</v>
      </c>
      <c r="AW42" s="211">
        <v>68.331999999999994</v>
      </c>
      <c r="AX42" s="190">
        <f t="shared" ref="AX42" si="250">AV42*2/AU42</f>
        <v>44.609396514991808</v>
      </c>
      <c r="AY42" s="190">
        <f t="shared" ref="AY42" si="251">AX42-J42</f>
        <v>4.6736952004934551E-2</v>
      </c>
      <c r="AZ42" s="211">
        <v>426.733</v>
      </c>
      <c r="BA42" s="211">
        <v>142.779</v>
      </c>
      <c r="BB42" s="190">
        <f t="shared" ref="BB42" si="252">AZ42/AU42</f>
        <v>11.483922764683456</v>
      </c>
      <c r="BC42" s="190">
        <f t="shared" ref="BC42" si="253">BB42-W42</f>
        <v>6.1103038643778973E-2</v>
      </c>
      <c r="BD42" s="247">
        <f t="shared" ref="BD42" si="254">AX42+BB42</f>
        <v>56.093319279675264</v>
      </c>
      <c r="BE42" s="211">
        <v>1130.569</v>
      </c>
      <c r="BF42" s="247">
        <f t="shared" si="58"/>
        <v>37.685633333333335</v>
      </c>
      <c r="BG42" s="211">
        <v>846.87</v>
      </c>
      <c r="BH42" s="211">
        <v>100.86499999999999</v>
      </c>
      <c r="BI42" s="190">
        <f t="shared" ref="BI42" si="255">BG42*2/BF42</f>
        <v>44.943917620242551</v>
      </c>
      <c r="BJ42" s="190">
        <f t="shared" ref="BJ42" si="256">BI42-J42</f>
        <v>0.3812580572556783</v>
      </c>
      <c r="BK42" s="211">
        <v>427.22199999999998</v>
      </c>
      <c r="BL42" s="211">
        <v>209.529</v>
      </c>
      <c r="BM42" s="190">
        <f t="shared" ref="BM42" si="257">BK42/BF42</f>
        <v>11.336468627744082</v>
      </c>
      <c r="BN42" s="190">
        <f t="shared" ref="BN42" si="258">BM42-W42</f>
        <v>-8.6351098295594397E-2</v>
      </c>
      <c r="BO42" s="247">
        <f t="shared" ref="BO42" si="259">BM42+BI42</f>
        <v>56.280386247986634</v>
      </c>
      <c r="BP42" s="211">
        <v>721.43</v>
      </c>
      <c r="BQ42" s="247">
        <f t="shared" si="26"/>
        <v>24.047666666666665</v>
      </c>
      <c r="BR42" s="211">
        <v>535.51900000000001</v>
      </c>
      <c r="BS42" s="211">
        <v>41.344999999999999</v>
      </c>
      <c r="BT42" s="190">
        <f t="shared" ref="BT42" si="260">BR42*2/BQ42</f>
        <v>44.538125667077892</v>
      </c>
      <c r="BU42" s="190">
        <f t="shared" ref="BU42" si="261">BT42-J42</f>
        <v>-2.4533895908980696E-2</v>
      </c>
      <c r="BV42" s="211">
        <v>268.43400000000003</v>
      </c>
      <c r="BW42" s="211">
        <v>292.798</v>
      </c>
      <c r="BX42" s="190">
        <f t="shared" ref="BX42" si="262">BV42/BQ42</f>
        <v>11.162579876079455</v>
      </c>
      <c r="BY42" s="190">
        <f t="shared" ref="BY42" si="263">BX42-W42</f>
        <v>-0.26023984996022165</v>
      </c>
      <c r="BZ42" s="194">
        <f t="shared" ref="BZ42" si="264">BT42+BX42</f>
        <v>55.700705543157348</v>
      </c>
      <c r="CA42" s="211">
        <v>638.07500000000005</v>
      </c>
      <c r="CB42" s="247">
        <f t="shared" si="32"/>
        <v>21.269166666666667</v>
      </c>
      <c r="CC42" s="211">
        <v>467.505</v>
      </c>
      <c r="CD42" s="211">
        <v>46.890999999999998</v>
      </c>
      <c r="CE42" s="190">
        <f t="shared" ref="CE42" si="265">CC42*2/CB42</f>
        <v>43.960819652862121</v>
      </c>
      <c r="CF42" s="190">
        <f t="shared" ref="CF42" si="266">CE42-J42</f>
        <v>-0.60183991012475246</v>
      </c>
      <c r="CG42" s="211">
        <v>242.67400000000001</v>
      </c>
      <c r="CH42" s="211">
        <v>50.722000000000001</v>
      </c>
      <c r="CI42" s="190">
        <f t="shared" ref="CI42" si="267">CG42/CB42</f>
        <v>11.4096618736042</v>
      </c>
      <c r="CJ42" s="190">
        <f t="shared" ref="CJ42" si="268">CI42-W42</f>
        <v>-1.3157852435476514E-2</v>
      </c>
      <c r="CK42" s="194">
        <f t="shared" ref="CK42" si="269">CI42+CE42</f>
        <v>55.370481526466321</v>
      </c>
      <c r="CL42" s="211">
        <v>897.79200000000003</v>
      </c>
      <c r="CM42" s="247">
        <f t="shared" si="60"/>
        <v>29.926400000000001</v>
      </c>
      <c r="CN42" s="211">
        <v>669.69200000000001</v>
      </c>
      <c r="CO42" s="211">
        <v>45.338000000000001</v>
      </c>
      <c r="CP42" s="190">
        <f t="shared" ref="CP42" si="270">CN42*2/CM42</f>
        <v>44.75593455945252</v>
      </c>
      <c r="CQ42" s="190">
        <f t="shared" ref="CQ42" si="271">CP42-J42</f>
        <v>0.19327499646564661</v>
      </c>
      <c r="CR42" s="211">
        <v>343.59300000000002</v>
      </c>
      <c r="CS42" s="211">
        <v>41.531999999999996</v>
      </c>
      <c r="CT42" s="190">
        <f t="shared" ref="CT42" si="272">CR42/CM42</f>
        <v>11.481267375962361</v>
      </c>
      <c r="CU42" s="190">
        <f t="shared" ref="CU42" si="273">CT42-W42</f>
        <v>5.8447649922683809E-2</v>
      </c>
      <c r="CV42" s="247">
        <f t="shared" ref="CV42" si="274">CP42+CT42</f>
        <v>56.23720193541488</v>
      </c>
      <c r="CW42" s="195"/>
      <c r="CX42" s="196">
        <f t="shared" ref="CX42" si="275">C42-AJ42-AU42-BF42-BQ42-CB42-CM42</f>
        <v>0</v>
      </c>
      <c r="CY42" s="196">
        <f t="shared" ref="CY42" si="276">F42-AK42-AV42-BG42-BR42-CC42-CN42</f>
        <v>0</v>
      </c>
      <c r="CZ42" s="196">
        <f t="shared" ref="CZ42" si="277">I42-AL42-AW42-BH42-BS42-CD42-CO42</f>
        <v>0</v>
      </c>
      <c r="DA42" s="196">
        <f t="shared" ref="DA42" si="278">O42-AO42-AZ42-BK42-BV42-CG42-CR42</f>
        <v>0</v>
      </c>
      <c r="DB42" s="196">
        <f t="shared" ref="DB42" si="279">Q42-AP42-BA42-BL42-BW42-CH42-CS42</f>
        <v>-9.2370555648813024E-14</v>
      </c>
      <c r="DC42" s="196">
        <f t="shared" ref="DC42" si="280">P42-Q42-R42-S42</f>
        <v>0</v>
      </c>
      <c r="DD42" s="163"/>
      <c r="DE42" s="200">
        <v>147.43199999999999</v>
      </c>
      <c r="DF42" s="200">
        <v>82.787000000000006</v>
      </c>
      <c r="DG42" s="206">
        <f t="shared" si="127"/>
        <v>46.10418153981005</v>
      </c>
      <c r="DH42" s="191">
        <f t="shared" si="61"/>
        <v>0.56152666992240496</v>
      </c>
      <c r="DI42" s="197">
        <v>129.66300000000001</v>
      </c>
      <c r="DJ42" s="191">
        <f t="shared" si="48"/>
        <v>0.43973832003906893</v>
      </c>
      <c r="DK42" s="197">
        <v>128.34100000000001</v>
      </c>
      <c r="DL42" s="197">
        <v>124.48</v>
      </c>
      <c r="DM42" s="191">
        <f t="shared" si="62"/>
        <v>3.0083917064694821E-2</v>
      </c>
      <c r="DN42" s="200">
        <v>152.352</v>
      </c>
      <c r="DO42" s="200">
        <v>149.25800000000001</v>
      </c>
      <c r="DP42" s="200">
        <v>77.254000000000005</v>
      </c>
      <c r="DQ42" s="200">
        <f t="shared" ref="DQ42:DQ45" si="281">DP42+DO42</f>
        <v>226.512</v>
      </c>
      <c r="DR42" s="191">
        <f t="shared" ref="DR42:DR43" si="282">DJ42+DH42</f>
        <v>1.0012649899614738</v>
      </c>
      <c r="DS42" s="199">
        <f t="shared" si="51"/>
        <v>0.98980433894017572</v>
      </c>
      <c r="DT42" s="200">
        <v>156.50299999999999</v>
      </c>
      <c r="DU42" s="200">
        <v>69.495999999999995</v>
      </c>
      <c r="DV42" s="200">
        <v>29.620999999999999</v>
      </c>
      <c r="DW42" s="191">
        <f t="shared" si="63"/>
        <v>0.44405538551976642</v>
      </c>
      <c r="DX42" s="197">
        <v>46.28</v>
      </c>
      <c r="DY42" s="191">
        <f t="shared" si="64"/>
        <v>0.14785659060848674</v>
      </c>
      <c r="DZ42" s="197">
        <v>48.970999999999997</v>
      </c>
      <c r="EA42" s="197">
        <v>47.313000000000002</v>
      </c>
      <c r="EB42" s="191">
        <f t="shared" si="52"/>
        <v>3.3856772375487454E-2</v>
      </c>
      <c r="EC42" s="200">
        <v>48.341999999999999</v>
      </c>
      <c r="ED42" s="200"/>
      <c r="EE42" s="200">
        <v>50.319000000000003</v>
      </c>
      <c r="EF42" s="204">
        <f t="shared" ref="EF42" si="283">EE42+ED42</f>
        <v>50.319000000000003</v>
      </c>
      <c r="EG42" s="191">
        <f t="shared" ref="EG42" si="284">DY42+DW42</f>
        <v>0.59191197612825319</v>
      </c>
      <c r="EJ42" s="202">
        <f t="shared" si="3"/>
        <v>11.304313333333333</v>
      </c>
      <c r="EK42" s="202">
        <f>'NOPA Crush'!B467*56/('NOPA Crush'!A467-'NOPA Crush'!A466)</f>
        <v>10.672505475749889</v>
      </c>
      <c r="EL42" s="203">
        <f t="shared" si="65"/>
        <v>1.0591995814871251</v>
      </c>
      <c r="EM42" s="202">
        <f t="shared" si="55"/>
        <v>4.9143999999999997</v>
      </c>
      <c r="EN42" s="202">
        <f t="shared" si="56"/>
        <v>1.0433533333333333E-2</v>
      </c>
      <c r="EO42" s="202">
        <f t="shared" si="66"/>
        <v>16.229146866666667</v>
      </c>
    </row>
    <row r="43" spans="1:145">
      <c r="A43" s="157">
        <v>43282</v>
      </c>
      <c r="B43" s="186">
        <v>5365.8280000000004</v>
      </c>
      <c r="C43" s="187">
        <f t="shared" ref="C43" si="285">B43/30</f>
        <v>178.86093333333335</v>
      </c>
      <c r="D43" s="247">
        <f>C43-'NOPA Crush'!G468</f>
        <v>11.127933333333345</v>
      </c>
      <c r="E43" s="188">
        <f>C43/'NOPA Crush'!G468-1</f>
        <v>6.6343136611956677E-2</v>
      </c>
      <c r="F43" s="189">
        <v>3979.12</v>
      </c>
      <c r="G43" s="189">
        <v>3931.5520000000001</v>
      </c>
      <c r="H43" s="189">
        <v>47.567999999999998</v>
      </c>
      <c r="I43" s="189">
        <v>462.35</v>
      </c>
      <c r="J43" s="190">
        <f t="shared" ref="J43" si="286">F43*2/C43</f>
        <v>44.494009125898181</v>
      </c>
      <c r="K43" s="190">
        <f t="shared" ref="K43" si="287">(F43+M43)*2/C43</f>
        <v>47.463489325412588</v>
      </c>
      <c r="L43" s="190">
        <f>K43-'NOPA Crush'!J468</f>
        <v>-6.5106745874103922E-3</v>
      </c>
      <c r="M43" s="189">
        <v>265.56200000000001</v>
      </c>
      <c r="N43" s="189">
        <v>50.079000000000001</v>
      </c>
      <c r="O43" s="189">
        <v>2043.3230000000001</v>
      </c>
      <c r="P43" s="189">
        <v>1983.6659999999999</v>
      </c>
      <c r="Q43" s="189">
        <v>755.82</v>
      </c>
      <c r="R43" s="189">
        <v>446.947</v>
      </c>
      <c r="S43" s="189">
        <v>780.899</v>
      </c>
      <c r="T43" s="189">
        <v>399.98</v>
      </c>
      <c r="U43" s="189">
        <f>(P43+T43)-'NOPA Crush'!Q468</f>
        <v>620.13799999999969</v>
      </c>
      <c r="V43" s="191">
        <f>(P43+T43)/'NOPA Crush'!Q468-1</f>
        <v>0.35165023351184099</v>
      </c>
      <c r="W43" s="190">
        <f t="shared" ref="W43" si="288">O43/C43</f>
        <v>11.424087764274217</v>
      </c>
      <c r="X43" s="190">
        <f>W43-'NOPA Crush'!O468</f>
        <v>-7.5912235725782651E-2</v>
      </c>
      <c r="Y43" s="190">
        <f t="shared" si="121"/>
        <v>58.887577089686808</v>
      </c>
      <c r="Z43" s="211">
        <v>1470.4929999999999</v>
      </c>
      <c r="AA43" s="211">
        <v>1432.655</v>
      </c>
      <c r="AB43" s="191">
        <f t="shared" ref="AB43" si="289">(Z43-AA43)/Z43</f>
        <v>2.573150637235265E-2</v>
      </c>
      <c r="AC43" s="344">
        <f>FORECAST(S43,AC44:AC$87,S44:S$87)</f>
        <v>145.18348724925781</v>
      </c>
      <c r="AD43" s="211">
        <v>1488.1379999999999</v>
      </c>
      <c r="AE43" s="211">
        <v>1127.9259999999999</v>
      </c>
      <c r="AF43" s="211">
        <v>360.21199999999999</v>
      </c>
      <c r="AG43" s="191">
        <f t="shared" si="122"/>
        <v>3.8727397733578472E-2</v>
      </c>
      <c r="AH43" s="163"/>
      <c r="AI43" s="211">
        <v>634.37900000000002</v>
      </c>
      <c r="AJ43" s="247">
        <f t="shared" si="11"/>
        <v>21.145966666666666</v>
      </c>
      <c r="AK43" s="211">
        <v>469.315</v>
      </c>
      <c r="AL43" s="211">
        <v>100.907</v>
      </c>
      <c r="AM43" s="190">
        <f t="shared" si="245"/>
        <v>44.388133907333</v>
      </c>
      <c r="AN43" s="190">
        <f t="shared" si="246"/>
        <v>-0.10587521856518123</v>
      </c>
      <c r="AO43" s="211">
        <v>252.66499999999999</v>
      </c>
      <c r="AP43" s="211">
        <v>85.912000000000006</v>
      </c>
      <c r="AQ43" s="190">
        <f t="shared" ref="AQ43" si="290">AO43/AJ43</f>
        <v>11.948614314156048</v>
      </c>
      <c r="AR43" s="190">
        <f t="shared" ref="AR43" si="291">AQ43-W43</f>
        <v>0.52452654988183056</v>
      </c>
      <c r="AS43" s="190">
        <f t="shared" ref="AS43" si="292">AM43+AQ43</f>
        <v>56.336748221489046</v>
      </c>
      <c r="AT43" s="211">
        <v>1023.211</v>
      </c>
      <c r="AU43" s="247">
        <f t="shared" si="16"/>
        <v>34.107033333333334</v>
      </c>
      <c r="AV43" s="211">
        <v>761.11699999999996</v>
      </c>
      <c r="AW43" s="211">
        <v>57.399000000000001</v>
      </c>
      <c r="AX43" s="190">
        <f t="shared" ref="AX43" si="293">AV43*2/AU43</f>
        <v>44.631087820596143</v>
      </c>
      <c r="AY43" s="190">
        <f t="shared" ref="AY43" si="294">AX43-J43</f>
        <v>0.13707869469796208</v>
      </c>
      <c r="AZ43" s="211">
        <v>389.92</v>
      </c>
      <c r="BA43" s="211">
        <v>130.23500000000001</v>
      </c>
      <c r="BB43" s="190">
        <f t="shared" ref="BB43" si="295">AZ43/AU43</f>
        <v>11.43224613496141</v>
      </c>
      <c r="BC43" s="190">
        <f t="shared" ref="BC43" si="296">BB43-W43</f>
        <v>8.1583706871928285E-3</v>
      </c>
      <c r="BD43" s="247">
        <f t="shared" ref="BD43" si="297">AX43+BB43</f>
        <v>56.063333955557553</v>
      </c>
      <c r="BE43" s="211">
        <v>1298.21</v>
      </c>
      <c r="BF43" s="247">
        <f t="shared" si="58"/>
        <v>43.273666666666671</v>
      </c>
      <c r="BG43" s="211">
        <v>962.58699999999999</v>
      </c>
      <c r="BH43" s="211">
        <v>125.93</v>
      </c>
      <c r="BI43" s="190">
        <f t="shared" ref="BI43" si="298">BG43*2/BF43</f>
        <v>44.488349342556283</v>
      </c>
      <c r="BJ43" s="190">
        <f t="shared" ref="BJ43" si="299">BI43-J43</f>
        <v>-5.6597833418976506E-3</v>
      </c>
      <c r="BK43" s="211">
        <v>488.238</v>
      </c>
      <c r="BL43" s="211">
        <v>170.56</v>
      </c>
      <c r="BM43" s="190">
        <f t="shared" ref="BM43" si="300">BK43/BF43</f>
        <v>11.282565994715799</v>
      </c>
      <c r="BN43" s="190">
        <f t="shared" ref="BN43" si="301">BM43-W43</f>
        <v>-0.14152176955841789</v>
      </c>
      <c r="BO43" s="247">
        <f t="shared" ref="BO43:BO44" si="302">BM43+BI43</f>
        <v>55.770915337272086</v>
      </c>
      <c r="BP43" s="211">
        <v>738.39599999999996</v>
      </c>
      <c r="BQ43" s="247">
        <f t="shared" si="26"/>
        <v>24.613199999999999</v>
      </c>
      <c r="BR43" s="211">
        <v>552.303</v>
      </c>
      <c r="BS43" s="211">
        <v>56.936</v>
      </c>
      <c r="BT43" s="190">
        <f t="shared" ref="BT43" si="303">BR43*2/BQ43</f>
        <v>44.878601725903174</v>
      </c>
      <c r="BU43" s="190">
        <f t="shared" ref="BU43" si="304">BT43-J43</f>
        <v>0.38459260000499285</v>
      </c>
      <c r="BV43" s="211">
        <v>272.75099999999998</v>
      </c>
      <c r="BW43" s="211">
        <v>276.47500000000002</v>
      </c>
      <c r="BX43" s="190">
        <f t="shared" ref="BX43" si="305">BV43/BQ43</f>
        <v>11.081492857491101</v>
      </c>
      <c r="BY43" s="190">
        <f t="shared" ref="BY43" si="306">BX43-W43</f>
        <v>-0.34259490678311622</v>
      </c>
      <c r="BZ43" s="194">
        <f t="shared" ref="BZ43" si="307">BT43+BX43</f>
        <v>55.960094583394273</v>
      </c>
      <c r="CA43" s="211">
        <v>738.44</v>
      </c>
      <c r="CB43" s="247">
        <f t="shared" si="32"/>
        <v>24.614666666666668</v>
      </c>
      <c r="CC43" s="211">
        <v>541.48699999999997</v>
      </c>
      <c r="CD43" s="211">
        <v>61.942999999999998</v>
      </c>
      <c r="CE43" s="190">
        <f t="shared" ref="CE43" si="308">CC43*2/CB43</f>
        <v>43.99710199880829</v>
      </c>
      <c r="CF43" s="190">
        <f t="shared" ref="CF43" si="309">CE43-J43</f>
        <v>-0.49690712708989082</v>
      </c>
      <c r="CG43" s="211">
        <v>280.81200000000001</v>
      </c>
      <c r="CH43" s="211">
        <v>48.543999999999997</v>
      </c>
      <c r="CI43" s="190">
        <f t="shared" ref="CI43" si="310">CG43/CB43</f>
        <v>11.408320242673744</v>
      </c>
      <c r="CJ43" s="190">
        <f t="shared" ref="CJ43" si="311">CI43-W43</f>
        <v>-1.5767521600473344E-2</v>
      </c>
      <c r="CK43" s="194">
        <f t="shared" ref="CK43:CK44" si="312">CI43+CE43</f>
        <v>55.405422241482036</v>
      </c>
      <c r="CL43" s="211">
        <v>933.19200000000001</v>
      </c>
      <c r="CM43" s="247">
        <f t="shared" si="60"/>
        <v>31.106400000000001</v>
      </c>
      <c r="CN43" s="211">
        <v>692.31100000000004</v>
      </c>
      <c r="CO43" s="211">
        <v>59.234999999999999</v>
      </c>
      <c r="CP43" s="190">
        <f t="shared" ref="CP43" si="313">CN43*2/CM43</f>
        <v>44.512447599207881</v>
      </c>
      <c r="CQ43" s="190">
        <f t="shared" ref="CQ43" si="314">CP43-J43</f>
        <v>1.8438473309700498E-2</v>
      </c>
      <c r="CR43" s="211">
        <v>358.93700000000001</v>
      </c>
      <c r="CS43" s="211">
        <v>44.094000000000001</v>
      </c>
      <c r="CT43" s="190">
        <f t="shared" ref="CT43" si="315">CR43/CM43</f>
        <v>11.539008049790397</v>
      </c>
      <c r="CU43" s="190">
        <f t="shared" ref="CU43" si="316">CT43-W43</f>
        <v>0.11492028551617928</v>
      </c>
      <c r="CV43" s="247">
        <f t="shared" ref="CV43" si="317">CP43+CT43</f>
        <v>56.051455648998278</v>
      </c>
      <c r="CW43" s="195"/>
      <c r="CX43" s="196">
        <f t="shared" ref="CX43" si="318">C43-AJ43-AU43-BF43-BQ43-CB43-CM43</f>
        <v>0</v>
      </c>
      <c r="CY43" s="196">
        <f t="shared" ref="CY43" si="319">F43-AK43-AV43-BG43-BR43-CC43-CN43</f>
        <v>0</v>
      </c>
      <c r="CZ43" s="196">
        <f t="shared" ref="CZ43" si="320">I43-AL43-AW43-BH43-BS43-CD43-CO43</f>
        <v>0</v>
      </c>
      <c r="DA43" s="196">
        <f t="shared" ref="DA43" si="321">O43-AO43-AZ43-BK43-BV43-CG43-CR43</f>
        <v>0</v>
      </c>
      <c r="DB43" s="196">
        <f t="shared" ref="DB43" si="322">Q43-AP43-BA43-BL43-BW43-CH43-CS43</f>
        <v>0</v>
      </c>
      <c r="DC43" s="196">
        <f t="shared" ref="DC43" si="323">P43-Q43-R43-S43</f>
        <v>0</v>
      </c>
      <c r="DD43" s="163"/>
      <c r="DE43" s="200">
        <v>165.00700000000001</v>
      </c>
      <c r="DF43" s="200">
        <v>97.757999999999996</v>
      </c>
      <c r="DG43" s="206">
        <f t="shared" si="127"/>
        <v>44.443718592215426</v>
      </c>
      <c r="DH43" s="191">
        <f t="shared" si="61"/>
        <v>0.59244759313241246</v>
      </c>
      <c r="DI43" s="197">
        <v>149.71600000000001</v>
      </c>
      <c r="DJ43" s="191">
        <f t="shared" si="48"/>
        <v>0.45366560206536694</v>
      </c>
      <c r="DK43" s="197">
        <v>140.85900000000001</v>
      </c>
      <c r="DL43" s="197">
        <v>136.78100000000001</v>
      </c>
      <c r="DM43" s="191">
        <f t="shared" si="62"/>
        <v>2.8950936752355161E-2</v>
      </c>
      <c r="DN43" s="200">
        <v>155.33000000000001</v>
      </c>
      <c r="DO43" s="200">
        <v>121.64700000000001</v>
      </c>
      <c r="DP43" s="200">
        <v>83.320999999999998</v>
      </c>
      <c r="DQ43" s="200">
        <f t="shared" si="281"/>
        <v>204.96800000000002</v>
      </c>
      <c r="DR43" s="191">
        <f t="shared" si="282"/>
        <v>1.0461131951977793</v>
      </c>
      <c r="DS43" s="199">
        <f t="shared" si="51"/>
        <v>0.94084132624435601</v>
      </c>
      <c r="DT43" s="200">
        <v>137.822</v>
      </c>
      <c r="DU43" s="200">
        <v>58.47</v>
      </c>
      <c r="DV43" s="200">
        <v>26.786999999999999</v>
      </c>
      <c r="DW43" s="191">
        <f t="shared" si="63"/>
        <v>0.42424286398397931</v>
      </c>
      <c r="DX43" s="197">
        <v>39.853999999999999</v>
      </c>
      <c r="DY43" s="191">
        <f t="shared" si="64"/>
        <v>0.14458504447765957</v>
      </c>
      <c r="DZ43" s="197">
        <v>44.042999999999999</v>
      </c>
      <c r="EA43" s="197">
        <v>42.32</v>
      </c>
      <c r="EB43" s="191">
        <f t="shared" si="52"/>
        <v>3.9120859160366006E-2</v>
      </c>
      <c r="EC43" s="200">
        <v>50.619</v>
      </c>
      <c r="ED43" s="200"/>
      <c r="EE43" s="200">
        <v>42.142000000000003</v>
      </c>
      <c r="EF43" s="204">
        <f t="shared" ref="EF43" si="324">EE43+ED43</f>
        <v>42.142000000000003</v>
      </c>
      <c r="EG43" s="191">
        <f t="shared" ref="EG43" si="325">DY43+DW43</f>
        <v>0.56882790846163889</v>
      </c>
      <c r="EJ43" s="202">
        <f t="shared" si="3"/>
        <v>11.539415053763442</v>
      </c>
      <c r="EK43" s="202">
        <f>'NOPA Crush'!B468*56/('NOPA Crush'!A468-'NOPA Crush'!A467)</f>
        <v>11.045093916531847</v>
      </c>
      <c r="EL43" s="203">
        <f t="shared" si="65"/>
        <v>1.0447548152118213</v>
      </c>
      <c r="EM43" s="202">
        <f t="shared" si="55"/>
        <v>5.3228064516129034</v>
      </c>
      <c r="EN43" s="202">
        <f t="shared" si="56"/>
        <v>8.8917419354838708E-3</v>
      </c>
      <c r="EO43" s="202">
        <f t="shared" si="66"/>
        <v>16.871113247311829</v>
      </c>
    </row>
    <row r="44" spans="1:145">
      <c r="A44" s="157">
        <v>43313</v>
      </c>
      <c r="B44" s="186">
        <v>5088.884</v>
      </c>
      <c r="C44" s="187">
        <f t="shared" ref="C44" si="326">B44/30</f>
        <v>169.62946666666667</v>
      </c>
      <c r="D44" s="247">
        <f>C44-'NOPA Crush'!G469</f>
        <v>10.744466666666682</v>
      </c>
      <c r="E44" s="188">
        <f>C44/'NOPA Crush'!G469-1</f>
        <v>6.7624172619609624E-2</v>
      </c>
      <c r="F44" s="189">
        <v>3771.7269999999999</v>
      </c>
      <c r="G44" s="189">
        <v>3724.433</v>
      </c>
      <c r="H44" s="189">
        <v>47.293999999999997</v>
      </c>
      <c r="I44" s="189">
        <v>359.93599999999998</v>
      </c>
      <c r="J44" s="190">
        <f t="shared" ref="J44" si="327">F44*2/C44</f>
        <v>44.470186390572074</v>
      </c>
      <c r="K44" s="190">
        <f t="shared" ref="K44" si="328">(F44+M44)*2/C44</f>
        <v>47.524820766203355</v>
      </c>
      <c r="L44" s="190">
        <f>K44-'NOPA Crush'!J469</f>
        <v>-6.5179233796648361E-2</v>
      </c>
      <c r="M44" s="189">
        <v>259.07799999999997</v>
      </c>
      <c r="N44" s="189">
        <v>41.116999999999997</v>
      </c>
      <c r="O44" s="189">
        <v>1944.9659999999999</v>
      </c>
      <c r="P44" s="189">
        <v>1843.912</v>
      </c>
      <c r="Q44" s="189">
        <v>710.67899999999997</v>
      </c>
      <c r="R44" s="189">
        <v>410.48599999999999</v>
      </c>
      <c r="S44" s="189">
        <v>722.74699999999996</v>
      </c>
      <c r="T44" s="189">
        <v>370.887</v>
      </c>
      <c r="U44" s="189">
        <f>(P44+T44)-'NOPA Crush'!Q469</f>
        <v>591.67100000000005</v>
      </c>
      <c r="V44" s="191">
        <f>(P44+T44)/'NOPA Crush'!Q469-1</f>
        <v>0.36452516375787991</v>
      </c>
      <c r="W44" s="190">
        <f t="shared" ref="W44" si="329">O44/C44</f>
        <v>11.465967783899179</v>
      </c>
      <c r="X44" s="190">
        <f>W44-'NOPA Crush'!O469</f>
        <v>-9.4032216100821131E-2</v>
      </c>
      <c r="Y44" s="190">
        <f t="shared" si="121"/>
        <v>58.990788550102536</v>
      </c>
      <c r="Z44" s="211">
        <v>1481.2760000000001</v>
      </c>
      <c r="AA44" s="211">
        <v>1448.9659999999999</v>
      </c>
      <c r="AB44" s="191">
        <f t="shared" ref="AB44" si="330">(Z44-AA44)/Z44</f>
        <v>2.1812275362592906E-2</v>
      </c>
      <c r="AC44" s="211">
        <v>115.494</v>
      </c>
      <c r="AD44" s="211">
        <v>1533.0519999999999</v>
      </c>
      <c r="AE44" s="211">
        <v>1177.211</v>
      </c>
      <c r="AF44" s="211">
        <v>355.84100000000001</v>
      </c>
      <c r="AG44" s="191">
        <f t="shared" si="122"/>
        <v>5.8031727452541926E-2</v>
      </c>
      <c r="AH44" s="163"/>
      <c r="AI44" s="211">
        <v>621.41899999999998</v>
      </c>
      <c r="AJ44" s="247">
        <f t="shared" si="11"/>
        <v>20.713966666666668</v>
      </c>
      <c r="AK44" s="211">
        <v>452.47699999999998</v>
      </c>
      <c r="AL44" s="211">
        <v>84.311000000000007</v>
      </c>
      <c r="AM44" s="190">
        <f t="shared" ref="AM44" si="331">AK44*2/AJ44</f>
        <v>43.688107380044698</v>
      </c>
      <c r="AN44" s="190">
        <f t="shared" ref="AN44" si="332">AM44-J44</f>
        <v>-0.78207901052737583</v>
      </c>
      <c r="AO44" s="211">
        <v>242.869</v>
      </c>
      <c r="AP44" s="211">
        <v>100.081</v>
      </c>
      <c r="AQ44" s="190">
        <f t="shared" ref="AQ44" si="333">AO44/AJ44</f>
        <v>11.724890935101758</v>
      </c>
      <c r="AR44" s="190">
        <f t="shared" ref="AR44" si="334">AQ44-W44</f>
        <v>0.25892315120257869</v>
      </c>
      <c r="AS44" s="190">
        <f t="shared" ref="AS44" si="335">AM44+AQ44</f>
        <v>55.412998315146453</v>
      </c>
      <c r="AT44" s="211">
        <v>1120.453</v>
      </c>
      <c r="AU44" s="247">
        <f t="shared" si="16"/>
        <v>37.348433333333332</v>
      </c>
      <c r="AV44" s="211">
        <v>830.59</v>
      </c>
      <c r="AW44" s="211">
        <v>67.700999999999993</v>
      </c>
      <c r="AX44" s="190">
        <f t="shared" ref="AX44" si="336">AV44*2/AU44</f>
        <v>44.477903133821769</v>
      </c>
      <c r="AY44" s="190">
        <f t="shared" ref="AY44" si="337">AX44-J44</f>
        <v>7.7167432496949573E-3</v>
      </c>
      <c r="AZ44" s="211">
        <v>428.78699999999998</v>
      </c>
      <c r="BA44" s="211">
        <v>108.441</v>
      </c>
      <c r="BB44" s="190">
        <f t="shared" ref="BB44" si="338">AZ44/AU44</f>
        <v>11.480722529191318</v>
      </c>
      <c r="BC44" s="190">
        <f t="shared" ref="BC44" si="339">BB44-W44</f>
        <v>1.4754745292139049E-2</v>
      </c>
      <c r="BD44" s="247">
        <f t="shared" ref="BD44" si="340">AX44+BB44</f>
        <v>55.958625663013088</v>
      </c>
      <c r="BE44" s="211">
        <v>1088.537</v>
      </c>
      <c r="BF44" s="247">
        <f t="shared" si="58"/>
        <v>36.28456666666667</v>
      </c>
      <c r="BG44" s="211">
        <v>810.78800000000001</v>
      </c>
      <c r="BH44" s="211">
        <v>68.34</v>
      </c>
      <c r="BI44" s="190">
        <f t="shared" ref="BI44" si="341">BG44*2/BF44</f>
        <v>44.690515802402672</v>
      </c>
      <c r="BJ44" s="190">
        <f t="shared" ref="BJ44" si="342">BI44-J44</f>
        <v>0.22032941183059762</v>
      </c>
      <c r="BK44" s="211">
        <v>417.57600000000002</v>
      </c>
      <c r="BL44" s="211">
        <v>155.77600000000001</v>
      </c>
      <c r="BM44" s="190">
        <f t="shared" ref="BM44" si="343">BK44/BF44</f>
        <v>11.508363978440787</v>
      </c>
      <c r="BN44" s="190">
        <f t="shared" ref="BN44" si="344">BM44-W44</f>
        <v>4.2396194541607812E-2</v>
      </c>
      <c r="BO44" s="247">
        <f t="shared" si="302"/>
        <v>56.198879780843455</v>
      </c>
      <c r="BP44" s="211">
        <v>698.11800000000005</v>
      </c>
      <c r="BQ44" s="247">
        <f t="shared" si="26"/>
        <v>23.270600000000002</v>
      </c>
      <c r="BR44" s="211">
        <v>522.76199999999994</v>
      </c>
      <c r="BS44" s="211">
        <v>26.38</v>
      </c>
      <c r="BT44" s="190">
        <f t="shared" ref="BT44" si="345">BR44*2/BQ44</f>
        <v>44.928966163313355</v>
      </c>
      <c r="BU44" s="190">
        <f t="shared" ref="BU44" si="346">BT44-J44</f>
        <v>0.45877977274128057</v>
      </c>
      <c r="BV44" s="211">
        <v>256.33</v>
      </c>
      <c r="BW44" s="211">
        <v>259.38</v>
      </c>
      <c r="BX44" s="190">
        <f t="shared" ref="BX44" si="347">BV44/BQ44</f>
        <v>11.015186544395073</v>
      </c>
      <c r="BY44" s="190">
        <f t="shared" ref="BY44" si="348">BX44-W44</f>
        <v>-0.45078123950410642</v>
      </c>
      <c r="BZ44" s="194">
        <f t="shared" ref="BZ44" si="349">BT44+BX44</f>
        <v>55.944152707708426</v>
      </c>
      <c r="CA44" s="211">
        <v>700.20899999999995</v>
      </c>
      <c r="CB44" s="247">
        <f t="shared" si="32"/>
        <v>23.340299999999999</v>
      </c>
      <c r="CC44" s="211">
        <v>514.63099999999997</v>
      </c>
      <c r="CD44" s="211">
        <v>67.239999999999995</v>
      </c>
      <c r="CE44" s="190">
        <f t="shared" ref="CE44" si="350">CC44*2/CB44</f>
        <v>44.09806215001521</v>
      </c>
      <c r="CF44" s="190">
        <f t="shared" ref="CF44" si="351">CE44-J44</f>
        <v>-0.37212424055686455</v>
      </c>
      <c r="CG44" s="211">
        <v>266.97000000000003</v>
      </c>
      <c r="CH44" s="340">
        <f>(Q44-AP44-BA44-BL44-BW44)/2</f>
        <v>43.50049999999996</v>
      </c>
      <c r="CI44" s="190">
        <f t="shared" ref="CI44" si="352">CG44/CB44</f>
        <v>11.438156321898179</v>
      </c>
      <c r="CJ44" s="190">
        <f t="shared" ref="CJ44" si="353">CI44-W44</f>
        <v>-2.781146200100082E-2</v>
      </c>
      <c r="CK44" s="194">
        <f t="shared" si="312"/>
        <v>55.536218471913386</v>
      </c>
      <c r="CL44" s="211">
        <v>860.14800000000002</v>
      </c>
      <c r="CM44" s="247">
        <f t="shared" si="60"/>
        <v>28.671600000000002</v>
      </c>
      <c r="CN44" s="211">
        <v>640.47900000000004</v>
      </c>
      <c r="CO44" s="211">
        <v>45.963999999999999</v>
      </c>
      <c r="CP44" s="190">
        <f t="shared" ref="CP44" si="354">CN44*2/CM44</f>
        <v>44.676892813794836</v>
      </c>
      <c r="CQ44" s="190">
        <f t="shared" ref="CQ44" si="355">CP44-J44</f>
        <v>0.20670642322276223</v>
      </c>
      <c r="CR44" s="211">
        <v>332.43400000000003</v>
      </c>
      <c r="CS44" s="340">
        <f>CH44</f>
        <v>43.50049999999996</v>
      </c>
      <c r="CT44" s="190">
        <f t="shared" ref="CT44" si="356">CR44/CM44</f>
        <v>11.594539544357483</v>
      </c>
      <c r="CU44" s="190">
        <f t="shared" ref="CU44" si="357">CT44-W44</f>
        <v>0.12857176045830343</v>
      </c>
      <c r="CV44" s="247">
        <f t="shared" ref="CV44" si="358">CP44+CT44</f>
        <v>56.271432358152317</v>
      </c>
      <c r="CW44" s="163"/>
      <c r="CX44" s="196">
        <f t="shared" ref="CX44" si="359">C44-AJ44-AU44-BF44-BQ44-CB44-CM44</f>
        <v>0</v>
      </c>
      <c r="CY44" s="196">
        <f t="shared" ref="CY44" si="360">F44-AK44-AV44-BG44-BR44-CC44-CN44</f>
        <v>0</v>
      </c>
      <c r="CZ44" s="196">
        <f t="shared" ref="CZ44:CZ45" si="361">I44-AL44-AW44-BH44-BS44-CD44-CO44</f>
        <v>0</v>
      </c>
      <c r="DA44" s="196">
        <f t="shared" ref="DA44" si="362">O44-AO44-AZ44-BK44-BV44-CG44-CR44</f>
        <v>0</v>
      </c>
      <c r="DB44" s="196">
        <f t="shared" ref="DB44" si="363">Q44-AP44-BA44-BL44-BW44-CH44-CS44</f>
        <v>0</v>
      </c>
      <c r="DC44" s="196">
        <f t="shared" ref="DC44" si="364">P44-Q44-R44-S44</f>
        <v>0</v>
      </c>
      <c r="DD44" s="163"/>
      <c r="DE44" s="200">
        <v>170.47200000000001</v>
      </c>
      <c r="DF44" s="200">
        <v>93.948999999999998</v>
      </c>
      <c r="DG44" s="206">
        <f t="shared" si="127"/>
        <v>45.105882671133152</v>
      </c>
      <c r="DH44" s="191">
        <f t="shared" si="61"/>
        <v>0.551111032896898</v>
      </c>
      <c r="DI44" s="197">
        <v>139.345</v>
      </c>
      <c r="DJ44" s="191">
        <f t="shared" si="48"/>
        <v>0.4087034820967666</v>
      </c>
      <c r="DK44" s="197">
        <v>116.348</v>
      </c>
      <c r="DL44" s="197">
        <v>110.749</v>
      </c>
      <c r="DM44" s="191">
        <f t="shared" si="62"/>
        <v>4.8122872761027335E-2</v>
      </c>
      <c r="DN44" s="200">
        <v>153.13399999999999</v>
      </c>
      <c r="DO44" s="206">
        <f>MROUND(FORECAST(DI44,DO$5:DO43,DI$5:DI43),1)</f>
        <v>188</v>
      </c>
      <c r="DP44" s="200">
        <v>110.21899999999999</v>
      </c>
      <c r="DQ44" s="206">
        <f t="shared" ref="DQ44" si="365">DP44+DO44</f>
        <v>298.21899999999999</v>
      </c>
      <c r="DR44" s="191">
        <f t="shared" ref="DR44:DR45" si="366">DJ44+DH44</f>
        <v>0.95981451499366455</v>
      </c>
      <c r="DS44" s="199">
        <f t="shared" si="51"/>
        <v>0.83496357960457857</v>
      </c>
      <c r="DT44" s="200">
        <v>177.9</v>
      </c>
      <c r="DU44" s="200">
        <v>76.941000000000003</v>
      </c>
      <c r="DV44" s="200">
        <v>35.731999999999999</v>
      </c>
      <c r="DW44" s="191">
        <f t="shared" si="63"/>
        <v>0.43249578414839795</v>
      </c>
      <c r="DX44" s="197">
        <v>49.723999999999997</v>
      </c>
      <c r="DY44" s="191">
        <f t="shared" si="64"/>
        <v>0.13975267003934794</v>
      </c>
      <c r="DZ44" s="197">
        <v>47.121000000000002</v>
      </c>
      <c r="EA44" s="197">
        <v>45.625</v>
      </c>
      <c r="EB44" s="191">
        <f t="shared" si="52"/>
        <v>3.1748052885125611E-2</v>
      </c>
      <c r="EC44" s="200">
        <v>53.070999999999998</v>
      </c>
      <c r="ED44" s="200"/>
      <c r="EE44" s="200">
        <v>32.5</v>
      </c>
      <c r="EF44" s="204">
        <f t="shared" ref="EF44" si="367">EE44+ED44</f>
        <v>32.5</v>
      </c>
      <c r="EG44" s="191">
        <f t="shared" ref="EG44" si="368">DY44+DW44</f>
        <v>0.57224845418774595</v>
      </c>
      <c r="EJ44" s="202">
        <f t="shared" si="3"/>
        <v>10.943836559139786</v>
      </c>
      <c r="EK44" s="202">
        <f>'NOPA Crush'!B469*56/('NOPA Crush'!A469-'NOPA Crush'!A468)</f>
        <v>10.70348642174006</v>
      </c>
      <c r="EL44" s="203">
        <f t="shared" si="65"/>
        <v>1.0224553129634049</v>
      </c>
      <c r="EM44" s="202">
        <f t="shared" si="55"/>
        <v>5.499096774193549</v>
      </c>
      <c r="EN44" s="202">
        <f t="shared" si="56"/>
        <v>1.147741935483871E-2</v>
      </c>
      <c r="EO44" s="202">
        <f t="shared" si="66"/>
        <v>16.454410752688176</v>
      </c>
    </row>
    <row r="45" spans="1:145">
      <c r="A45" s="157">
        <v>43344</v>
      </c>
      <c r="B45" s="186">
        <v>5089.4799999999996</v>
      </c>
      <c r="C45" s="187">
        <f t="shared" ref="C45" si="369">B45/30</f>
        <v>169.64933333333332</v>
      </c>
      <c r="D45" s="247">
        <f>C45-'NOPA Crush'!G470</f>
        <v>8.8703333333333205</v>
      </c>
      <c r="E45" s="188">
        <f>C45/'NOPA Crush'!G470-1</f>
        <v>5.5170969674729342E-2</v>
      </c>
      <c r="F45" s="189">
        <v>3740.681</v>
      </c>
      <c r="G45" s="189">
        <v>3701.5929999999998</v>
      </c>
      <c r="H45" s="189">
        <v>39.088000000000001</v>
      </c>
      <c r="I45" s="189">
        <v>501.29899999999998</v>
      </c>
      <c r="J45" s="190">
        <f t="shared" ref="J45" si="370">F45*2/C45</f>
        <v>44.098976712748652</v>
      </c>
      <c r="K45" s="190">
        <f t="shared" ref="K45" si="371">(F45+M45)*2/C45</f>
        <v>47.104765123352493</v>
      </c>
      <c r="L45" s="190">
        <f>K45-'NOPA Crush'!J470</f>
        <v>-2.5234876647509452E-2</v>
      </c>
      <c r="M45" s="189">
        <v>254.965</v>
      </c>
      <c r="N45" s="189">
        <v>54.125</v>
      </c>
      <c r="O45" s="189">
        <v>1942.097</v>
      </c>
      <c r="P45" s="189">
        <v>1648.347</v>
      </c>
      <c r="Q45" s="189">
        <v>680.37</v>
      </c>
      <c r="R45" s="189">
        <v>295.637</v>
      </c>
      <c r="S45" s="189">
        <v>672.34</v>
      </c>
      <c r="T45" s="189">
        <v>347.08699999999999</v>
      </c>
      <c r="U45" s="189">
        <f>(P45+T45)-'NOPA Crush'!Q470</f>
        <v>464.04199999999992</v>
      </c>
      <c r="V45" s="191">
        <f>(P45+T45)/'NOPA Crush'!Q470-1</f>
        <v>0.3030197362922098</v>
      </c>
      <c r="W45" s="190">
        <f t="shared" ref="W45" si="372">O45/C45</f>
        <v>11.447713715350096</v>
      </c>
      <c r="X45" s="190">
        <f>W45-'NOPA Crush'!O470</f>
        <v>-5.2286284649904147E-2</v>
      </c>
      <c r="Y45" s="190">
        <f t="shared" si="121"/>
        <v>58.552478838702591</v>
      </c>
      <c r="Z45" s="211">
        <v>1494.848</v>
      </c>
      <c r="AA45" s="211">
        <v>1467.768</v>
      </c>
      <c r="AB45" s="191">
        <f t="shared" ref="AB45" si="373">(Z45-AA45)/Z45</f>
        <v>1.8115554223573183E-2</v>
      </c>
      <c r="AC45" s="211">
        <v>140.14699999999999</v>
      </c>
      <c r="AD45" s="211">
        <v>1543.9159999999999</v>
      </c>
      <c r="AE45" s="211">
        <v>1129.0540000000001</v>
      </c>
      <c r="AF45" s="211">
        <v>414.86200000000002</v>
      </c>
      <c r="AG45" s="191">
        <f t="shared" si="122"/>
        <v>5.1880133645099136E-2</v>
      </c>
      <c r="AH45" s="163"/>
      <c r="AI45" s="211">
        <v>575.00400000000002</v>
      </c>
      <c r="AJ45" s="247">
        <f t="shared" si="11"/>
        <v>19.166800000000002</v>
      </c>
      <c r="AK45" s="211">
        <v>420.59899999999999</v>
      </c>
      <c r="AL45" s="340">
        <f>(SUM(AL39:AL44)/SUM(I39:I44))*I45</f>
        <v>103.25840688080245</v>
      </c>
      <c r="AM45" s="190">
        <f t="shared" ref="AM45" si="374">AK45*2/AJ45</f>
        <v>43.888285994532204</v>
      </c>
      <c r="AN45" s="190">
        <f t="shared" ref="AN45" si="375">AM45-J45</f>
        <v>-0.21069071821644769</v>
      </c>
      <c r="AO45" s="211">
        <v>225.76400000000001</v>
      </c>
      <c r="AP45" s="340">
        <f>(SUM(AP35:AP44)/SUM(Q35:Q44))*Q45</f>
        <v>96.864245117009659</v>
      </c>
      <c r="AQ45" s="190">
        <f t="shared" ref="AQ45" si="376">AO45/AJ45</f>
        <v>11.77890936410877</v>
      </c>
      <c r="AR45" s="190">
        <f t="shared" ref="AR45" si="377">AQ45-W45</f>
        <v>0.33119564875867447</v>
      </c>
      <c r="AS45" s="190">
        <f t="shared" ref="AS45" si="378">AM45+AQ45</f>
        <v>55.667195358640974</v>
      </c>
      <c r="AT45" s="211">
        <v>1117.546</v>
      </c>
      <c r="AU45" s="247">
        <f t="shared" si="16"/>
        <v>37.251533333333334</v>
      </c>
      <c r="AV45" s="211">
        <v>814.23</v>
      </c>
      <c r="AW45" s="211">
        <v>68.231999999999999</v>
      </c>
      <c r="AX45" s="190">
        <f t="shared" ref="AX45" si="379">AV45*2/AU45</f>
        <v>43.715247515538508</v>
      </c>
      <c r="AY45" s="190">
        <f t="shared" ref="AY45" si="380">AX45-J45</f>
        <v>-0.38372919721014398</v>
      </c>
      <c r="AZ45" s="211">
        <v>421.78399999999999</v>
      </c>
      <c r="BA45" s="211">
        <v>113.03400000000001</v>
      </c>
      <c r="BB45" s="190">
        <f t="shared" ref="BB45" si="381">AZ45/AU45</f>
        <v>11.322594327213375</v>
      </c>
      <c r="BC45" s="190">
        <f t="shared" ref="BC45" si="382">BB45-W45</f>
        <v>-0.12511938813672074</v>
      </c>
      <c r="BD45" s="247">
        <f t="shared" ref="BD45" si="383">AX45+BB45</f>
        <v>55.037841842751881</v>
      </c>
      <c r="BE45" s="211">
        <v>1205.3340000000001</v>
      </c>
      <c r="BF45" s="247">
        <f t="shared" si="58"/>
        <v>40.177800000000005</v>
      </c>
      <c r="BG45" s="211">
        <v>876.91099999999994</v>
      </c>
      <c r="BH45" s="211">
        <v>101.09399999999999</v>
      </c>
      <c r="BI45" s="190">
        <f t="shared" ref="BI45" si="384">BG45*2/BF45</f>
        <v>43.651518998053646</v>
      </c>
      <c r="BJ45" s="190">
        <f t="shared" ref="BJ45" si="385">BI45-J45</f>
        <v>-0.44745771469500539</v>
      </c>
      <c r="BK45" s="211">
        <v>462.92500000000001</v>
      </c>
      <c r="BL45" s="211">
        <v>147.76900000000001</v>
      </c>
      <c r="BM45" s="190">
        <f t="shared" ref="BM45" si="386">BK45/BF45</f>
        <v>11.521910109562992</v>
      </c>
      <c r="BN45" s="190">
        <f t="shared" ref="BN45" si="387">BM45-W45</f>
        <v>7.4196394212895811E-2</v>
      </c>
      <c r="BO45" s="247">
        <f t="shared" ref="BO45" si="388">BM45+BI45</f>
        <v>55.173429107616641</v>
      </c>
      <c r="BP45" s="211">
        <v>695.15499999999997</v>
      </c>
      <c r="BQ45" s="247">
        <f t="shared" si="26"/>
        <v>23.171833333333332</v>
      </c>
      <c r="BR45" s="211">
        <v>522.34900000000005</v>
      </c>
      <c r="BS45" s="340">
        <f>I45-AL45-AW45-BH45-CD45-CO45</f>
        <v>89.455593119197559</v>
      </c>
      <c r="BT45" s="190">
        <f t="shared" ref="BT45" si="389">BR45*2/BQ45</f>
        <v>45.084822809301528</v>
      </c>
      <c r="BU45" s="190">
        <f t="shared" ref="BU45" si="390">BT45-J45</f>
        <v>0.98584609655287636</v>
      </c>
      <c r="BV45" s="211">
        <v>256.95</v>
      </c>
      <c r="BW45" s="211">
        <v>228.898</v>
      </c>
      <c r="BX45" s="190">
        <f t="shared" ref="BX45" si="391">BV45/BQ45</f>
        <v>11.088893843819005</v>
      </c>
      <c r="BY45" s="190">
        <f t="shared" ref="BY45" si="392">BX45-W45</f>
        <v>-0.35881987153109129</v>
      </c>
      <c r="BZ45" s="194">
        <f t="shared" ref="BZ45" si="393">BT45+BX45</f>
        <v>56.173716653120536</v>
      </c>
      <c r="CA45" s="211">
        <v>648.66999999999996</v>
      </c>
      <c r="CB45" s="247">
        <f t="shared" si="32"/>
        <v>21.622333333333334</v>
      </c>
      <c r="CC45" s="211">
        <v>472.39400000000001</v>
      </c>
      <c r="CD45" s="211">
        <v>75.600999999999999</v>
      </c>
      <c r="CE45" s="190">
        <f t="shared" ref="CE45" si="394">CC45*2/CB45</f>
        <v>43.695006706029261</v>
      </c>
      <c r="CF45" s="190">
        <f t="shared" ref="CF45" si="395">CE45-J45</f>
        <v>-0.40397000671939054</v>
      </c>
      <c r="CG45" s="211">
        <v>247.86099999999999</v>
      </c>
      <c r="CH45" s="211">
        <v>47.345999999999997</v>
      </c>
      <c r="CI45" s="190">
        <f t="shared" ref="CI45" si="396">CG45/CB45</f>
        <v>11.463193919866804</v>
      </c>
      <c r="CJ45" s="190">
        <f t="shared" ref="CJ45" si="397">CI45-W45</f>
        <v>1.548020451670773E-2</v>
      </c>
      <c r="CK45" s="194">
        <f t="shared" ref="CK45" si="398">CI45+CE45</f>
        <v>55.158200625896065</v>
      </c>
      <c r="CL45" s="211">
        <v>847.77099999999996</v>
      </c>
      <c r="CM45" s="247">
        <f t="shared" si="60"/>
        <v>28.259033333333331</v>
      </c>
      <c r="CN45" s="211">
        <v>625.11699999999996</v>
      </c>
      <c r="CO45" s="211">
        <v>63.658000000000001</v>
      </c>
      <c r="CP45" s="190">
        <f t="shared" ref="CP45" si="399">CN45*2/CM45</f>
        <v>44.241923821409323</v>
      </c>
      <c r="CQ45" s="190">
        <f t="shared" ref="CQ45" si="400">CP45-J45</f>
        <v>0.14294710866067106</v>
      </c>
      <c r="CR45" s="211">
        <v>321.589</v>
      </c>
      <c r="CS45" s="340">
        <f>Q45-AP45-BA45-BL45-BW45-CH45</f>
        <v>46.458754882990355</v>
      </c>
      <c r="CT45" s="190">
        <f t="shared" ref="CT45" si="401">CR45/CM45</f>
        <v>11.380042487888829</v>
      </c>
      <c r="CU45" s="190">
        <f t="shared" ref="CU45" si="402">CT45-W45</f>
        <v>-6.7671227461266525E-2</v>
      </c>
      <c r="CV45" s="247">
        <f t="shared" ref="CV45" si="403">CP45+CT45</f>
        <v>55.621966309298152</v>
      </c>
      <c r="CW45" s="163"/>
      <c r="CX45" s="196">
        <f t="shared" ref="CX45" si="404">C45-AJ45-AU45-BF45-BQ45-CB45-CM45</f>
        <v>0</v>
      </c>
      <c r="CY45" s="196">
        <f t="shared" ref="CY45" si="405">F45-AK45-AV45-BG45-BR45-CC45-CN45</f>
        <v>9.0809999999996762</v>
      </c>
      <c r="CZ45" s="196">
        <f t="shared" si="361"/>
        <v>0</v>
      </c>
      <c r="DA45" s="196">
        <f t="shared" ref="DA45" si="406">O45-AO45-AZ45-BK45-BV45-CG45-CR45</f>
        <v>5.2239999999999895</v>
      </c>
      <c r="DB45" s="196">
        <f t="shared" ref="DB45" si="407">Q45-AP45-BA45-BL45-BW45-CH45-CS45</f>
        <v>0</v>
      </c>
      <c r="DC45" s="196">
        <f t="shared" ref="DC45" si="408">P45-Q45-R45-S45</f>
        <v>0</v>
      </c>
      <c r="DD45" s="163"/>
      <c r="DE45" s="200">
        <v>178.16200000000001</v>
      </c>
      <c r="DF45" s="200">
        <v>101.75</v>
      </c>
      <c r="DG45" s="206">
        <f t="shared" si="127"/>
        <v>44.903606093139061</v>
      </c>
      <c r="DH45" s="191">
        <f t="shared" si="61"/>
        <v>0.57110943972339778</v>
      </c>
      <c r="DI45" s="197">
        <v>151.517</v>
      </c>
      <c r="DJ45" s="191">
        <f t="shared" si="48"/>
        <v>0.42522255026324352</v>
      </c>
      <c r="DK45" s="197">
        <v>166.792</v>
      </c>
      <c r="DL45" s="197">
        <v>161.31399999999999</v>
      </c>
      <c r="DM45" s="191">
        <f t="shared" si="62"/>
        <v>3.2843301837018668E-2</v>
      </c>
      <c r="DN45" s="200">
        <v>154.209</v>
      </c>
      <c r="DO45" s="200">
        <v>115.128</v>
      </c>
      <c r="DP45" s="200">
        <v>79.44</v>
      </c>
      <c r="DQ45" s="200">
        <f t="shared" si="281"/>
        <v>194.56799999999998</v>
      </c>
      <c r="DR45" s="191">
        <f t="shared" si="366"/>
        <v>0.9963319899866413</v>
      </c>
      <c r="DS45" s="199">
        <f t="shared" si="51"/>
        <v>1.1008137700720051</v>
      </c>
      <c r="DT45" s="200">
        <v>157.50399999999999</v>
      </c>
      <c r="DU45" s="200">
        <v>62.185000000000002</v>
      </c>
      <c r="DV45" s="200">
        <v>44.808999999999997</v>
      </c>
      <c r="DW45" s="191">
        <f t="shared" si="63"/>
        <v>0.39481536976838688</v>
      </c>
      <c r="DX45" s="197">
        <v>40.807000000000002</v>
      </c>
      <c r="DY45" s="191">
        <f t="shared" si="64"/>
        <v>0.12954274177163755</v>
      </c>
      <c r="DZ45" s="197">
        <v>44.741999999999997</v>
      </c>
      <c r="EA45" s="197">
        <v>43.277999999999999</v>
      </c>
      <c r="EB45" s="191">
        <f t="shared" si="52"/>
        <v>3.2720933351213621E-2</v>
      </c>
      <c r="EC45" s="200">
        <v>49.875999999999998</v>
      </c>
      <c r="ED45" s="200"/>
      <c r="EE45" s="200">
        <v>32.087000000000003</v>
      </c>
      <c r="EF45" s="204">
        <f t="shared" ref="EF45" si="409">EE45+ED45</f>
        <v>32.087000000000003</v>
      </c>
      <c r="EG45" s="191">
        <f t="shared" ref="EG45" si="410">DY45+DW45</f>
        <v>0.52435811154002443</v>
      </c>
      <c r="EJ45" s="202">
        <f t="shared" si="3"/>
        <v>11.309955555555554</v>
      </c>
      <c r="EK45" s="202">
        <f>'NOPA Crush'!B470*56/('NOPA Crush'!A470-'NOPA Crush'!A469)</f>
        <v>10.562410434075062</v>
      </c>
      <c r="EL45" s="203">
        <f t="shared" si="65"/>
        <v>1.0707741027624584</v>
      </c>
      <c r="EM45" s="202">
        <f t="shared" si="55"/>
        <v>5.9387333333333334</v>
      </c>
      <c r="EN45" s="202">
        <f t="shared" si="56"/>
        <v>1.0500266666666667E-2</v>
      </c>
      <c r="EO45" s="202">
        <f t="shared" si="66"/>
        <v>17.259189155555553</v>
      </c>
    </row>
    <row r="46" spans="1:145">
      <c r="A46" s="157">
        <v>43374</v>
      </c>
      <c r="B46" s="186">
        <v>5506.7529999999997</v>
      </c>
      <c r="C46" s="187">
        <f t="shared" ref="C46" si="411">B46/30</f>
        <v>183.55843333333331</v>
      </c>
      <c r="D46" s="247">
        <f>C46-'NOPA Crush'!G471</f>
        <v>11.212433333333308</v>
      </c>
      <c r="E46" s="188">
        <f>C46/'NOPA Crush'!G471-1</f>
        <v>6.5057694018621381E-2</v>
      </c>
      <c r="F46" s="189">
        <v>4020.038</v>
      </c>
      <c r="G46" s="189">
        <v>3988.5419999999999</v>
      </c>
      <c r="H46" s="189">
        <v>31.495999999999999</v>
      </c>
      <c r="I46" s="189">
        <v>399.41399999999999</v>
      </c>
      <c r="J46" s="190">
        <f t="shared" ref="J46" si="412">F46*2/C46</f>
        <v>43.801180114670117</v>
      </c>
      <c r="K46" s="190">
        <f t="shared" ref="K46" si="413">(F46+M46)*2/C46</f>
        <v>46.753765785391145</v>
      </c>
      <c r="L46" s="190">
        <f>K46-'NOPA Crush'!J471</f>
        <v>-4.6234214608851687E-2</v>
      </c>
      <c r="M46" s="189">
        <v>270.98599999999999</v>
      </c>
      <c r="N46" s="189">
        <v>45.457000000000001</v>
      </c>
      <c r="O46" s="189">
        <v>2134.5529999999999</v>
      </c>
      <c r="P46" s="189">
        <v>1700.684</v>
      </c>
      <c r="Q46" s="189">
        <v>689.94500000000005</v>
      </c>
      <c r="R46" s="189">
        <v>411.76600000000002</v>
      </c>
      <c r="S46" s="189">
        <v>598.97299999999996</v>
      </c>
      <c r="T46" s="189">
        <v>346.86700000000002</v>
      </c>
      <c r="U46" s="189">
        <f>(P46+T46)-'NOPA Crush'!Q471</f>
        <v>544.85199999999986</v>
      </c>
      <c r="V46" s="191">
        <f>(P46+T46)/'NOPA Crush'!Q471-1</f>
        <v>0.36258226031959806</v>
      </c>
      <c r="W46" s="190">
        <f t="shared" ref="W46" si="414">O46/C46</f>
        <v>11.628738387212938</v>
      </c>
      <c r="X46" s="190">
        <f>W46-'NOPA Crush'!O471</f>
        <v>-8.1261612787063342E-2</v>
      </c>
      <c r="Y46" s="190">
        <f t="shared" si="121"/>
        <v>58.382504172604087</v>
      </c>
      <c r="Z46" s="211">
        <v>1601.0409999999999</v>
      </c>
      <c r="AA46" s="211">
        <v>1568.355</v>
      </c>
      <c r="AB46" s="191">
        <f t="shared" ref="AB46" si="415">(Z46-AA46)/Z46</f>
        <v>2.041546718666163E-2</v>
      </c>
      <c r="AC46" s="211">
        <v>92.900999999999996</v>
      </c>
      <c r="AD46" s="211">
        <v>1606.335</v>
      </c>
      <c r="AE46" s="211">
        <v>1170.954</v>
      </c>
      <c r="AF46" s="211">
        <v>435.38099999999997</v>
      </c>
      <c r="AG46" s="191">
        <f t="shared" si="122"/>
        <v>2.4216456095718097E-2</v>
      </c>
      <c r="AH46" s="163"/>
      <c r="AI46" s="211">
        <v>622.33399999999995</v>
      </c>
      <c r="AJ46" s="247">
        <f t="shared" si="11"/>
        <v>20.744466666666664</v>
      </c>
      <c r="AK46" s="211">
        <v>453.91399999999999</v>
      </c>
      <c r="AL46" s="211">
        <v>111.136</v>
      </c>
      <c r="AM46" s="190">
        <f t="shared" ref="AM46" si="416">AK46*2/AJ46</f>
        <v>43.762416965809358</v>
      </c>
      <c r="AN46" s="190">
        <f t="shared" ref="AN46" si="417">AM46-J46</f>
        <v>-3.87631488607596E-2</v>
      </c>
      <c r="AO46" s="211">
        <v>248.24799999999999</v>
      </c>
      <c r="AP46" s="211">
        <v>114.887</v>
      </c>
      <c r="AQ46" s="190">
        <f t="shared" ref="AQ46" si="418">AO46/AJ46</f>
        <v>11.966950222870679</v>
      </c>
      <c r="AR46" s="190">
        <f t="shared" ref="AR46" si="419">AQ46-W46</f>
        <v>0.33821183565774149</v>
      </c>
      <c r="AS46" s="190">
        <f t="shared" ref="AS46" si="420">AM46+AQ46</f>
        <v>55.729367188680037</v>
      </c>
      <c r="AT46" s="211">
        <v>1164.8109999999999</v>
      </c>
      <c r="AU46" s="247">
        <f t="shared" si="16"/>
        <v>38.827033333333333</v>
      </c>
      <c r="AV46" s="211">
        <v>857.33</v>
      </c>
      <c r="AW46" s="211">
        <v>52.023000000000003</v>
      </c>
      <c r="AX46" s="190">
        <f t="shared" ref="AX46" si="421">AV46*2/AU46</f>
        <v>44.161499161666576</v>
      </c>
      <c r="AY46" s="190">
        <f t="shared" ref="AY46" si="422">AX46-J46</f>
        <v>0.36031904699645878</v>
      </c>
      <c r="AZ46" s="211">
        <v>453.13799999999998</v>
      </c>
      <c r="BA46" s="211">
        <v>127.33499999999999</v>
      </c>
      <c r="BB46" s="190">
        <f t="shared" ref="BB46" si="423">AZ46/AU46</f>
        <v>11.670683055019225</v>
      </c>
      <c r="BC46" s="190">
        <f t="shared" ref="BC46" si="424">BB46-W46</f>
        <v>4.1944667806287583E-2</v>
      </c>
      <c r="BD46" s="247">
        <f t="shared" ref="BD46" si="425">AX46+BB46</f>
        <v>55.832182216685801</v>
      </c>
      <c r="BE46" s="211">
        <v>1344.4</v>
      </c>
      <c r="BF46" s="247">
        <f t="shared" si="58"/>
        <v>44.81333333333334</v>
      </c>
      <c r="BG46" s="211">
        <v>978.48400000000004</v>
      </c>
      <c r="BH46" s="211">
        <v>98.129000000000005</v>
      </c>
      <c r="BI46" s="190">
        <f t="shared" ref="BI46" si="426">BG46*2/BF46</f>
        <v>43.66932460577209</v>
      </c>
      <c r="BJ46" s="190">
        <f t="shared" ref="BJ46" si="427">BI46-J46</f>
        <v>-0.13185550889802755</v>
      </c>
      <c r="BK46" s="211">
        <v>524.09</v>
      </c>
      <c r="BL46" s="211">
        <v>156.059</v>
      </c>
      <c r="BM46" s="190">
        <f t="shared" ref="BM46" si="428">BK46/BF46</f>
        <v>11.694956858077951</v>
      </c>
      <c r="BN46" s="190">
        <f t="shared" ref="BN46" si="429">BM46-W46</f>
        <v>6.6218470865013757E-2</v>
      </c>
      <c r="BO46" s="247">
        <f t="shared" ref="BO46" si="430">BM46+BI46</f>
        <v>55.364281463850041</v>
      </c>
      <c r="BP46" s="211">
        <v>749.97500000000002</v>
      </c>
      <c r="BQ46" s="247">
        <f t="shared" si="26"/>
        <v>24.999166666666667</v>
      </c>
      <c r="BR46" s="211">
        <v>553.09699999999998</v>
      </c>
      <c r="BS46" s="211">
        <v>42.213999999999999</v>
      </c>
      <c r="BT46" s="190">
        <f t="shared" ref="BT46" si="431">BR46*2/BQ46</f>
        <v>44.249234974499146</v>
      </c>
      <c r="BU46" s="190">
        <f t="shared" ref="BU46" si="432">BT46-J46</f>
        <v>0.44805485982902837</v>
      </c>
      <c r="BV46" s="211">
        <v>280.92899999999997</v>
      </c>
      <c r="BW46" s="211">
        <v>211.762</v>
      </c>
      <c r="BX46" s="190">
        <f t="shared" ref="BX46" si="433">BV46/BQ46</f>
        <v>11.237534584486149</v>
      </c>
      <c r="BY46" s="190">
        <f t="shared" ref="BY46" si="434">BX46-W46</f>
        <v>-0.39120380272678901</v>
      </c>
      <c r="BZ46" s="194">
        <f t="shared" ref="BZ46" si="435">BT46+BX46</f>
        <v>55.486769558985294</v>
      </c>
      <c r="CA46" s="211">
        <v>708.72400000000005</v>
      </c>
      <c r="CB46" s="247">
        <f t="shared" si="32"/>
        <v>23.624133333333337</v>
      </c>
      <c r="CC46" s="211">
        <v>509.322</v>
      </c>
      <c r="CD46" s="211">
        <v>53.801000000000002</v>
      </c>
      <c r="CE46" s="190">
        <f t="shared" ref="CE46" si="436">CC46*2/CB46</f>
        <v>43.1187881319103</v>
      </c>
      <c r="CF46" s="190">
        <f t="shared" ref="CF46" si="437">CE46-J46</f>
        <v>-0.68239198275981749</v>
      </c>
      <c r="CG46" s="211">
        <v>276.53399999999999</v>
      </c>
      <c r="CH46" s="211">
        <v>42.515999999999998</v>
      </c>
      <c r="CI46" s="190">
        <f t="shared" ref="CI46" si="438">CG46/CB46</f>
        <v>11.705572267906827</v>
      </c>
      <c r="CJ46" s="190">
        <f t="shared" ref="CJ46" si="439">CI46-W46</f>
        <v>7.6833880693889967E-2</v>
      </c>
      <c r="CK46" s="194">
        <f t="shared" ref="CK46" si="440">CI46+CE46</f>
        <v>54.824360399817124</v>
      </c>
      <c r="CL46" s="211">
        <v>916.50900000000001</v>
      </c>
      <c r="CM46" s="247">
        <f t="shared" si="60"/>
        <v>30.5503</v>
      </c>
      <c r="CN46" s="211">
        <v>667.89099999999996</v>
      </c>
      <c r="CO46" s="211">
        <v>42.110999999999997</v>
      </c>
      <c r="CP46" s="190">
        <f t="shared" ref="CP46" si="441">CN46*2/CM46</f>
        <v>43.724022350026019</v>
      </c>
      <c r="CQ46" s="190">
        <f t="shared" ref="CQ46" si="442">CP46-J46</f>
        <v>-7.7157764644098847E-2</v>
      </c>
      <c r="CR46" s="211">
        <v>351.61399999999998</v>
      </c>
      <c r="CS46" s="211">
        <v>37.386000000000003</v>
      </c>
      <c r="CT46" s="190">
        <f t="shared" ref="CT46" si="443">CR46/CM46</f>
        <v>11.5093468803907</v>
      </c>
      <c r="CU46" s="190">
        <f t="shared" ref="CU46" si="444">CT46-W46</f>
        <v>-0.11939150682223776</v>
      </c>
      <c r="CV46" s="247">
        <f t="shared" ref="CV46" si="445">CP46+CT46</f>
        <v>55.23336923041672</v>
      </c>
      <c r="CW46" s="195"/>
      <c r="CX46" s="196">
        <f t="shared" ref="CX46" si="446">C46-AJ46-AU46-BF46-BQ46-CB46-CM46</f>
        <v>0</v>
      </c>
      <c r="CY46" s="196">
        <f t="shared" ref="CY46" si="447">F46-AK46-AV46-BG46-BR46-CC46-CN46</f>
        <v>0</v>
      </c>
      <c r="CZ46" s="196">
        <f t="shared" ref="CZ46" si="448">I46-AL46-AW46-BH46-BS46-CD46-CO46</f>
        <v>0</v>
      </c>
      <c r="DA46" s="196">
        <f t="shared" ref="DA46" si="449">O46-AO46-AZ46-BK46-BV46-CG46-CR46</f>
        <v>0</v>
      </c>
      <c r="DB46" s="196">
        <f t="shared" ref="DB46" si="450">Q46-AP46-BA46-BL46-BW46-CH46-CS46</f>
        <v>0</v>
      </c>
      <c r="DC46" s="196">
        <f t="shared" ref="DC46" si="451">P46-Q46-R46-S46</f>
        <v>0</v>
      </c>
      <c r="DD46" s="163"/>
      <c r="DE46" s="200">
        <v>175.96</v>
      </c>
      <c r="DF46" s="200">
        <v>100.529</v>
      </c>
      <c r="DG46" s="206">
        <f t="shared" si="127"/>
        <v>45.2528391330993</v>
      </c>
      <c r="DH46" s="191">
        <f t="shared" si="61"/>
        <v>0.57131734485110253</v>
      </c>
      <c r="DI46" s="197">
        <v>146.18899999999999</v>
      </c>
      <c r="DJ46" s="191">
        <f t="shared" si="48"/>
        <v>0.41540406910661509</v>
      </c>
      <c r="DK46" s="197">
        <v>136.809</v>
      </c>
      <c r="DL46" s="197">
        <v>132.411</v>
      </c>
      <c r="DM46" s="191">
        <f t="shared" si="62"/>
        <v>3.214700787228908E-2</v>
      </c>
      <c r="DN46" s="200">
        <v>162.54400000000001</v>
      </c>
      <c r="DO46" s="200">
        <v>105.828</v>
      </c>
      <c r="DP46" s="200">
        <v>84.793000000000006</v>
      </c>
      <c r="DQ46" s="200">
        <f t="shared" ref="DQ46" si="452">DP46+DO46</f>
        <v>190.62100000000001</v>
      </c>
      <c r="DR46" s="191">
        <f t="shared" ref="DR46" si="453">DJ46+DH46</f>
        <v>0.98672141395771762</v>
      </c>
      <c r="DS46" s="199">
        <f t="shared" si="51"/>
        <v>0.93583648564529487</v>
      </c>
      <c r="DT46" s="200">
        <v>164.48400000000001</v>
      </c>
      <c r="DU46" s="200">
        <v>71.168999999999997</v>
      </c>
      <c r="DV46" s="200">
        <v>51.389000000000003</v>
      </c>
      <c r="DW46" s="191">
        <f t="shared" si="63"/>
        <v>0.43268038228642297</v>
      </c>
      <c r="DX46" s="197">
        <v>44.386000000000003</v>
      </c>
      <c r="DY46" s="191">
        <f t="shared" si="64"/>
        <v>0.13492497750541085</v>
      </c>
      <c r="DZ46" s="197">
        <v>49.442</v>
      </c>
      <c r="EA46" s="197">
        <v>47.889000000000003</v>
      </c>
      <c r="EB46" s="191">
        <f t="shared" si="52"/>
        <v>3.141054164475543E-2</v>
      </c>
      <c r="EC46" s="200">
        <v>49.523000000000003</v>
      </c>
      <c r="ED46" s="200"/>
      <c r="EE46" s="200">
        <v>29.617000000000001</v>
      </c>
      <c r="EF46" s="204">
        <f t="shared" ref="EF46" si="454">EE46+ED46</f>
        <v>29.617000000000001</v>
      </c>
      <c r="EG46" s="191">
        <f t="shared" ref="EG46" si="455">DY46+DW46</f>
        <v>0.5676053597918338</v>
      </c>
      <c r="EJ46" s="202">
        <f t="shared" si="3"/>
        <v>11.842479569892472</v>
      </c>
      <c r="EK46" s="202">
        <f>'NOPA Crush'!B471*56/('NOPA Crush'!A471-'NOPA Crush'!A470)</f>
        <v>11.029908130118221</v>
      </c>
      <c r="EL46" s="203">
        <f t="shared" si="65"/>
        <v>1.0736698284508324</v>
      </c>
      <c r="EM46" s="202">
        <f t="shared" si="55"/>
        <v>5.6761290322580651</v>
      </c>
      <c r="EN46" s="202">
        <f t="shared" si="56"/>
        <v>1.0611870967741934E-2</v>
      </c>
      <c r="EO46" s="202">
        <f t="shared" si="66"/>
        <v>17.529220473118279</v>
      </c>
    </row>
    <row r="47" spans="1:145">
      <c r="A47" s="157">
        <v>43405</v>
      </c>
      <c r="B47" s="186">
        <v>5343.0529999999999</v>
      </c>
      <c r="C47" s="187">
        <f t="shared" ref="C47:C49" si="456">B47/30</f>
        <v>178.10176666666666</v>
      </c>
      <c r="D47" s="247">
        <f>C47-'NOPA Crush'!G472</f>
        <v>11.14276666666666</v>
      </c>
      <c r="E47" s="188">
        <f>C47/'NOPA Crush'!G472-1</f>
        <v>6.673953884885897E-2</v>
      </c>
      <c r="F47" s="189">
        <v>3889.3420000000001</v>
      </c>
      <c r="G47" s="189">
        <v>3860.3679999999999</v>
      </c>
      <c r="H47" s="189">
        <v>28.974</v>
      </c>
      <c r="I47" s="189">
        <v>294.99599999999998</v>
      </c>
      <c r="J47" s="190">
        <f t="shared" ref="J47" si="457">F47*2/C47</f>
        <v>43.675501628001818</v>
      </c>
      <c r="K47" s="190">
        <f t="shared" ref="K47" si="458">(F47+M47)*2/C47</f>
        <v>46.659840357189047</v>
      </c>
      <c r="L47" s="190">
        <f>K47-'NOPA Crush'!J472</f>
        <v>-9.0159642810952789E-2</v>
      </c>
      <c r="M47" s="189">
        <v>265.75799999999998</v>
      </c>
      <c r="N47" s="189">
        <v>40.459000000000003</v>
      </c>
      <c r="O47" s="189">
        <v>2060.5630000000001</v>
      </c>
      <c r="P47" s="189">
        <v>1582.3630000000001</v>
      </c>
      <c r="Q47" s="189">
        <v>711.42100000000005</v>
      </c>
      <c r="R47" s="210">
        <v>417.721</v>
      </c>
      <c r="S47" s="210">
        <f>P47-Q47-R47</f>
        <v>453.221</v>
      </c>
      <c r="T47" s="189">
        <v>317.91000000000003</v>
      </c>
      <c r="U47" s="189">
        <f>(P47+T47)-'NOPA Crush'!Q472</f>
        <v>416.10000000000014</v>
      </c>
      <c r="V47" s="191">
        <f>(P47+T47)/'NOPA Crush'!Q472-1</f>
        <v>0.28035815231782291</v>
      </c>
      <c r="W47" s="190">
        <f t="shared" ref="W47" si="459">O47/C47</f>
        <v>11.569582034840382</v>
      </c>
      <c r="X47" s="190">
        <f>W47-'NOPA Crush'!O472</f>
        <v>-7.0417965159618845E-2</v>
      </c>
      <c r="Y47" s="190">
        <f t="shared" si="121"/>
        <v>58.229422392029427</v>
      </c>
      <c r="Z47" s="211">
        <v>1496.018</v>
      </c>
      <c r="AA47" s="211">
        <v>1456.902</v>
      </c>
      <c r="AB47" s="191">
        <f t="shared" ref="AB47" si="460">(Z47-AA47)/Z47</f>
        <v>2.6146744223665749E-2</v>
      </c>
      <c r="AC47" s="344">
        <f>FORECAST(S47,AC48:AC$87,S48:S$87)</f>
        <v>103.230791483594</v>
      </c>
      <c r="AD47" s="211">
        <v>1549.491</v>
      </c>
      <c r="AE47" s="211">
        <v>1108.3230000000001</v>
      </c>
      <c r="AF47" s="211">
        <v>441.16800000000001</v>
      </c>
      <c r="AG47" s="191">
        <f t="shared" si="122"/>
        <v>6.3551975355926382E-2</v>
      </c>
      <c r="AH47" s="163"/>
      <c r="AI47" s="211">
        <v>636.22699999999998</v>
      </c>
      <c r="AJ47" s="247">
        <f t="shared" si="11"/>
        <v>21.207566666666665</v>
      </c>
      <c r="AK47" s="211">
        <v>450.50799999999998</v>
      </c>
      <c r="AL47" s="211">
        <v>45.502000000000002</v>
      </c>
      <c r="AM47" s="190">
        <f t="shared" ref="AM47" si="461">AK47*2/AJ47</f>
        <v>42.485590834717797</v>
      </c>
      <c r="AN47" s="190">
        <f t="shared" ref="AN47" si="462">AM47-J47</f>
        <v>-1.1899107932840209</v>
      </c>
      <c r="AO47" s="211">
        <v>247.09299999999999</v>
      </c>
      <c r="AP47" s="340">
        <f>(SUM(AP37:AP46)/SUM(Q37:Q46))*Q47</f>
        <v>103.79479971567669</v>
      </c>
      <c r="AQ47" s="190">
        <f t="shared" ref="AQ47" si="463">AO47/AJ47</f>
        <v>11.651171673003503</v>
      </c>
      <c r="AR47" s="190">
        <f t="shared" ref="AR47" si="464">AQ47-W47</f>
        <v>8.1589638163121592E-2</v>
      </c>
      <c r="AS47" s="190">
        <f t="shared" ref="AS47" si="465">AM47+AQ47</f>
        <v>54.136762507721301</v>
      </c>
      <c r="AT47" s="211">
        <v>1125.556</v>
      </c>
      <c r="AU47" s="247">
        <f t="shared" si="16"/>
        <v>37.518533333333338</v>
      </c>
      <c r="AV47" s="211">
        <v>829.33500000000004</v>
      </c>
      <c r="AW47" s="211">
        <v>44.417000000000002</v>
      </c>
      <c r="AX47" s="190">
        <f t="shared" ref="AX47" si="466">AV47*2/AU47</f>
        <v>44.209350756426154</v>
      </c>
      <c r="AY47" s="190">
        <f t="shared" ref="AY47" si="467">AX47-J47</f>
        <v>0.53384912842433607</v>
      </c>
      <c r="AZ47" s="211">
        <v>436.74900000000002</v>
      </c>
      <c r="BA47" s="211">
        <v>121.684</v>
      </c>
      <c r="BB47" s="190">
        <f t="shared" ref="BB47" si="468">AZ47/AU47</f>
        <v>11.640886815049628</v>
      </c>
      <c r="BC47" s="190">
        <f t="shared" ref="BC47" si="469">BB47-W47</f>
        <v>7.1304780209246132E-2</v>
      </c>
      <c r="BD47" s="247">
        <f t="shared" ref="BD47" si="470">AX47+BB47</f>
        <v>55.85023757147578</v>
      </c>
      <c r="BE47" s="211">
        <v>1233.2</v>
      </c>
      <c r="BF47" s="247">
        <f t="shared" si="58"/>
        <v>41.106666666666669</v>
      </c>
      <c r="BG47" s="211">
        <v>896.32299999999998</v>
      </c>
      <c r="BH47" s="211">
        <v>72.766000000000005</v>
      </c>
      <c r="BI47" s="190">
        <f t="shared" ref="BI47" si="471">BG47*2/BF47</f>
        <v>43.609617255919552</v>
      </c>
      <c r="BJ47" s="190">
        <f t="shared" ref="BJ47" si="472">BI47-J47</f>
        <v>-6.5884372082265941E-2</v>
      </c>
      <c r="BK47" s="211">
        <v>478.06799999999998</v>
      </c>
      <c r="BL47" s="211">
        <v>168.14699999999999</v>
      </c>
      <c r="BM47" s="190">
        <f t="shared" ref="BM47" si="473">BK47/BF47</f>
        <v>11.629938371715861</v>
      </c>
      <c r="BN47" s="190">
        <f t="shared" ref="BN47" si="474">BM47-W47</f>
        <v>6.0356336875479144E-2</v>
      </c>
      <c r="BO47" s="247">
        <f t="shared" ref="BO47" si="475">BM47+BI47</f>
        <v>55.239555627635411</v>
      </c>
      <c r="BP47" s="211">
        <v>722.44600000000003</v>
      </c>
      <c r="BQ47" s="247">
        <f t="shared" si="26"/>
        <v>24.081533333333333</v>
      </c>
      <c r="BR47" s="211">
        <v>532.84900000000005</v>
      </c>
      <c r="BS47" s="211">
        <v>36.917000000000002</v>
      </c>
      <c r="BT47" s="190">
        <f t="shared" ref="BT47" si="476">BR47*2/BQ47</f>
        <v>44.253743532388583</v>
      </c>
      <c r="BU47" s="190">
        <f t="shared" ref="BU47" si="477">BT47-J47</f>
        <v>0.57824190438676482</v>
      </c>
      <c r="BV47" s="211">
        <v>272.74400000000003</v>
      </c>
      <c r="BW47" s="211">
        <v>238.11099999999999</v>
      </c>
      <c r="BX47" s="190">
        <f t="shared" ref="BX47" si="478">BV47/BQ47</f>
        <v>11.325856880652672</v>
      </c>
      <c r="BY47" s="190">
        <f t="shared" ref="BY47" si="479">BX47-W47</f>
        <v>-0.24372515418770924</v>
      </c>
      <c r="BZ47" s="194">
        <f t="shared" ref="BZ47" si="480">BT47+BX47</f>
        <v>55.579600413041256</v>
      </c>
      <c r="CA47" s="211">
        <v>700.94799999999998</v>
      </c>
      <c r="CB47" s="247">
        <f t="shared" si="32"/>
        <v>23.364933333333333</v>
      </c>
      <c r="CC47" s="211">
        <v>502.185</v>
      </c>
      <c r="CD47" s="211">
        <v>57.368000000000002</v>
      </c>
      <c r="CE47" s="190">
        <f t="shared" ref="CE47" si="481">CC47*2/CB47</f>
        <v>42.986212957309242</v>
      </c>
      <c r="CF47" s="190">
        <f t="shared" ref="CF47" si="482">CE47-J47</f>
        <v>-0.68928867069257649</v>
      </c>
      <c r="CG47" s="211">
        <v>272.83800000000002</v>
      </c>
      <c r="CH47" s="211">
        <v>48.124000000000002</v>
      </c>
      <c r="CI47" s="190">
        <f t="shared" ref="CI47" si="483">CG47/CB47</f>
        <v>11.677242819724146</v>
      </c>
      <c r="CJ47" s="190">
        <f t="shared" ref="CJ47" si="484">CI47-W47</f>
        <v>0.10766078488376429</v>
      </c>
      <c r="CK47" s="194">
        <f t="shared" ref="CK47" si="485">CI47+CE47</f>
        <v>54.663455777033391</v>
      </c>
      <c r="CL47" s="211">
        <v>924.67600000000004</v>
      </c>
      <c r="CM47" s="247">
        <f t="shared" si="60"/>
        <v>30.822533333333336</v>
      </c>
      <c r="CN47" s="211">
        <v>678.14200000000005</v>
      </c>
      <c r="CO47" s="211">
        <v>38.026000000000003</v>
      </c>
      <c r="CP47" s="190">
        <f t="shared" ref="CP47" si="486">CN47*2/CM47</f>
        <v>44.00300213263889</v>
      </c>
      <c r="CQ47" s="190">
        <f t="shared" ref="CQ47" si="487">CP47-J47</f>
        <v>0.32750050463707225</v>
      </c>
      <c r="CR47" s="211">
        <v>353.07100000000003</v>
      </c>
      <c r="CS47" s="340">
        <f>Q47-AP47-BA47-BL47-BW47-CH47</f>
        <v>31.560200284323365</v>
      </c>
      <c r="CT47" s="190">
        <f t="shared" ref="CT47" si="488">CR47/CM47</f>
        <v>11.454963684577084</v>
      </c>
      <c r="CU47" s="190">
        <f t="shared" ref="CU47" si="489">CT47-W47</f>
        <v>-0.11461835026329759</v>
      </c>
      <c r="CV47" s="247">
        <f t="shared" ref="CV47" si="490">CP47+CT47</f>
        <v>55.457965817215978</v>
      </c>
      <c r="CW47" s="163"/>
      <c r="CX47" s="196">
        <f t="shared" ref="CX47" si="491">C47-AJ47-AU47-BF47-BQ47-CB47-CM47</f>
        <v>0</v>
      </c>
      <c r="CY47" s="196">
        <f t="shared" ref="CY47" si="492">F47-AK47-AV47-BG47-BR47-CC47-CN47</f>
        <v>0</v>
      </c>
      <c r="CZ47" s="196">
        <f t="shared" ref="CZ47" si="493">I47-AL47-AW47-BH47-BS47-CD47-CO47</f>
        <v>0</v>
      </c>
      <c r="DA47" s="196">
        <f t="shared" ref="DA47" si="494">O47-AO47-AZ47-BK47-BV47-CG47-CR47</f>
        <v>0</v>
      </c>
      <c r="DB47" s="196">
        <f t="shared" ref="DB47" si="495">Q47-AP47-BA47-BL47-BW47-CH47-CS47</f>
        <v>0</v>
      </c>
      <c r="DC47" s="196">
        <f t="shared" ref="DC47" si="496">P47-Q47-R47-S47</f>
        <v>0</v>
      </c>
      <c r="DD47" s="163"/>
      <c r="DE47" s="200">
        <v>161.50700000000001</v>
      </c>
      <c r="DF47" s="200">
        <v>92.915000000000006</v>
      </c>
      <c r="DG47" s="206">
        <f t="shared" si="127"/>
        <v>46.046033218866967</v>
      </c>
      <c r="DH47" s="191">
        <f t="shared" si="61"/>
        <v>0.57530014178951994</v>
      </c>
      <c r="DI47" s="197">
        <v>133.96899999999999</v>
      </c>
      <c r="DJ47" s="191">
        <f t="shared" si="48"/>
        <v>0.41474672924393369</v>
      </c>
      <c r="DK47" s="197">
        <v>157.65299999999999</v>
      </c>
      <c r="DL47" s="197">
        <v>153.10300000000001</v>
      </c>
      <c r="DM47" s="191">
        <f t="shared" si="62"/>
        <v>2.8860852632046186E-2</v>
      </c>
      <c r="DN47" s="200">
        <v>151.34200000000001</v>
      </c>
      <c r="DO47" s="200">
        <v>96.08</v>
      </c>
      <c r="DP47" s="200">
        <v>70.748000000000005</v>
      </c>
      <c r="DQ47" s="200">
        <f t="shared" ref="DQ47" si="497">DP47+DO47</f>
        <v>166.828</v>
      </c>
      <c r="DR47" s="191">
        <f t="shared" ref="DR47" si="498">DJ47+DH47</f>
        <v>0.99004687103345357</v>
      </c>
      <c r="DS47" s="199">
        <f t="shared" si="51"/>
        <v>1.1767871671804671</v>
      </c>
      <c r="DT47" s="200">
        <v>159.19800000000001</v>
      </c>
      <c r="DU47" s="200">
        <v>65.712999999999994</v>
      </c>
      <c r="DV47" s="200">
        <v>45.378999999999998</v>
      </c>
      <c r="DW47" s="191">
        <f t="shared" si="63"/>
        <v>0.4127752861216849</v>
      </c>
      <c r="DX47" s="197">
        <v>44.709000000000003</v>
      </c>
      <c r="DY47" s="191">
        <f t="shared" si="64"/>
        <v>0.14041947763162854</v>
      </c>
      <c r="DZ47" s="197">
        <v>50.636000000000003</v>
      </c>
      <c r="EA47" s="197">
        <v>48.8</v>
      </c>
      <c r="EB47" s="191">
        <f t="shared" si="52"/>
        <v>3.6258788213919035E-2</v>
      </c>
      <c r="EC47" s="200">
        <v>50.048999999999999</v>
      </c>
      <c r="ED47" s="200"/>
      <c r="EE47" s="200">
        <v>29.347999999999999</v>
      </c>
      <c r="EF47" s="204">
        <f t="shared" ref="EF47:EF50" si="499">EE47+ED47</f>
        <v>29.347999999999999</v>
      </c>
      <c r="EG47" s="191">
        <f t="shared" ref="EG47:EG50" si="500">DY47+DW47</f>
        <v>0.55319476375331345</v>
      </c>
      <c r="EJ47" s="202">
        <f t="shared" si="3"/>
        <v>11.873451111111111</v>
      </c>
      <c r="EK47" s="202">
        <f>'NOPA Crush'!B472*56/('NOPA Crush'!A472-'NOPA Crush'!A471)</f>
        <v>10.693340630776449</v>
      </c>
      <c r="EL47" s="203">
        <f t="shared" si="65"/>
        <v>1.1103593835716963</v>
      </c>
      <c r="EM47" s="202">
        <f t="shared" si="55"/>
        <v>5.3835666666666668</v>
      </c>
      <c r="EN47" s="202">
        <f t="shared" si="56"/>
        <v>1.06132E-2</v>
      </c>
      <c r="EO47" s="202">
        <f t="shared" si="66"/>
        <v>17.267630977777777</v>
      </c>
    </row>
    <row r="48" spans="1:145">
      <c r="A48" s="157">
        <v>43435</v>
      </c>
      <c r="B48" s="186">
        <v>5513.2659999999996</v>
      </c>
      <c r="C48" s="187">
        <f t="shared" si="456"/>
        <v>183.77553333333333</v>
      </c>
      <c r="D48" s="247">
        <f>C48-'NOPA Crush'!G473</f>
        <v>12.016533333333342</v>
      </c>
      <c r="E48" s="188">
        <f>C48/'NOPA Crush'!G473-1</f>
        <v>6.996159347302533E-2</v>
      </c>
      <c r="F48" s="189">
        <v>4016.547</v>
      </c>
      <c r="G48" s="189">
        <v>3971.2370000000001</v>
      </c>
      <c r="H48" s="189">
        <v>45.31</v>
      </c>
      <c r="I48" s="189">
        <v>394.44400000000002</v>
      </c>
      <c r="J48" s="190">
        <f t="shared" ref="J48:J49" si="501">F48*2/C48</f>
        <v>43.711444359840428</v>
      </c>
      <c r="K48" s="190">
        <f t="shared" ref="K48:K49" si="502">(F48+M48)*2/C48</f>
        <v>46.749291617708998</v>
      </c>
      <c r="L48" s="190">
        <f>K48-'NOPA Crush'!J473</f>
        <v>-3.0708382291003034E-2</v>
      </c>
      <c r="M48" s="189">
        <v>279.14100000000002</v>
      </c>
      <c r="N48" s="189">
        <v>40.661999999999999</v>
      </c>
      <c r="O48" s="189">
        <v>2135.37</v>
      </c>
      <c r="P48" s="189">
        <v>1601.77</v>
      </c>
      <c r="Q48" s="189">
        <v>712.20699999999999</v>
      </c>
      <c r="R48" s="211">
        <v>419.60399999999998</v>
      </c>
      <c r="S48" s="211">
        <v>469.959</v>
      </c>
      <c r="T48" s="189">
        <v>344.07799999999997</v>
      </c>
      <c r="U48" s="189">
        <f>(P48+T48)-'NOPA Crush'!Q473</f>
        <v>447.78800000000001</v>
      </c>
      <c r="V48" s="191">
        <f>(P48+T48)/'NOPA Crush'!Q473-1</f>
        <v>0.29891192609107775</v>
      </c>
      <c r="W48" s="190">
        <f t="shared" ref="W48:W49" si="503">O48/C48</f>
        <v>11.619446622020414</v>
      </c>
      <c r="X48" s="190">
        <f>W48-'NOPA Crush'!O473</f>
        <v>-7.0553377979585719E-2</v>
      </c>
      <c r="Y48" s="190">
        <f t="shared" si="121"/>
        <v>58.36873823972941</v>
      </c>
      <c r="Z48" s="211">
        <v>1479.059</v>
      </c>
      <c r="AA48" s="211">
        <v>1451.0260000000001</v>
      </c>
      <c r="AB48" s="191">
        <f t="shared" ref="AB48:AB49" si="504">(Z48-AA48)/Z48</f>
        <v>1.8953266908216578E-2</v>
      </c>
      <c r="AC48" s="211">
        <v>119.209</v>
      </c>
      <c r="AD48" s="211">
        <v>1522.135</v>
      </c>
      <c r="AE48" s="211">
        <v>1057.6769999999999</v>
      </c>
      <c r="AF48" s="211">
        <v>464.45800000000003</v>
      </c>
      <c r="AG48" s="191">
        <f t="shared" si="122"/>
        <v>4.9006013675840343E-2</v>
      </c>
      <c r="AH48" s="163"/>
      <c r="AI48" s="211">
        <v>675.14099999999996</v>
      </c>
      <c r="AJ48" s="247">
        <f t="shared" si="11"/>
        <v>22.5047</v>
      </c>
      <c r="AK48" s="211">
        <v>483.11900000000003</v>
      </c>
      <c r="AL48" s="211">
        <v>64.375</v>
      </c>
      <c r="AM48" s="190">
        <f t="shared" ref="AM48:AM49" si="505">AK48*2/AJ48</f>
        <v>42.934942478682231</v>
      </c>
      <c r="AN48" s="190">
        <f t="shared" ref="AN48:AN49" si="506">AM48-J48</f>
        <v>-0.77650188115819674</v>
      </c>
      <c r="AO48" s="211">
        <v>272.12700000000001</v>
      </c>
      <c r="AP48" s="340">
        <f>(SUM(AP38:AP47)/SUM(Q38:Q47))*Q48</f>
        <v>103.77222172708849</v>
      </c>
      <c r="AQ48" s="190">
        <f t="shared" ref="AQ48:AQ49" si="507">AO48/AJ48</f>
        <v>12.092007447333224</v>
      </c>
      <c r="AR48" s="190">
        <f t="shared" ref="AR48:AR49" si="508">AQ48-W48</f>
        <v>0.47256082531280974</v>
      </c>
      <c r="AS48" s="190">
        <f t="shared" ref="AS48:AS49" si="509">AM48+AQ48</f>
        <v>55.026949926015455</v>
      </c>
      <c r="AT48" s="211">
        <v>1179.4359999999999</v>
      </c>
      <c r="AU48" s="247">
        <f t="shared" si="16"/>
        <v>39.31453333333333</v>
      </c>
      <c r="AV48" s="211">
        <v>863.90499999999997</v>
      </c>
      <c r="AW48" s="211">
        <v>55.143000000000001</v>
      </c>
      <c r="AX48" s="190">
        <f t="shared" ref="AX48:AX49" si="510">AV48*2/AU48</f>
        <v>43.948378716606925</v>
      </c>
      <c r="AY48" s="190">
        <f t="shared" ref="AY48:AY49" si="511">AX48-J48</f>
        <v>0.23693435676649699</v>
      </c>
      <c r="AZ48" s="211">
        <v>456.423</v>
      </c>
      <c r="BA48" s="211">
        <v>130.16499999999999</v>
      </c>
      <c r="BB48" s="190">
        <f t="shared" ref="BB48:BB49" si="512">AZ48/AU48</f>
        <v>11.609523534977736</v>
      </c>
      <c r="BC48" s="190">
        <f t="shared" ref="BC48:BC49" si="513">BB48-W48</f>
        <v>-9.9230870426776363E-3</v>
      </c>
      <c r="BD48" s="247">
        <f t="shared" ref="BD48:BD49" si="514">AX48+BB48</f>
        <v>55.557902251584665</v>
      </c>
      <c r="BE48" s="211">
        <v>1279.9469999999999</v>
      </c>
      <c r="BF48" s="247">
        <f t="shared" si="58"/>
        <v>42.664899999999996</v>
      </c>
      <c r="BG48" s="211">
        <v>932.67499999999995</v>
      </c>
      <c r="BH48" s="211">
        <v>77.385000000000005</v>
      </c>
      <c r="BI48" s="190">
        <f t="shared" ref="BI48:BI49" si="515">BG48*2/BF48</f>
        <v>43.720950945625091</v>
      </c>
      <c r="BJ48" s="190">
        <f t="shared" ref="BJ48:BJ49" si="516">BI48-J48</f>
        <v>9.5065857846634572E-3</v>
      </c>
      <c r="BK48" s="211">
        <v>496.43299999999999</v>
      </c>
      <c r="BL48" s="211">
        <v>188.84399999999999</v>
      </c>
      <c r="BM48" s="190">
        <f t="shared" ref="BM48:BM49" si="517">BK48/BF48</f>
        <v>11.635630225314017</v>
      </c>
      <c r="BN48" s="190">
        <f t="shared" ref="BN48:BN49" si="518">BM48-W48</f>
        <v>1.6183603293603355E-2</v>
      </c>
      <c r="BO48" s="247">
        <f t="shared" ref="BO48:BO49" si="519">BM48+BI48</f>
        <v>55.356581170939108</v>
      </c>
      <c r="BP48" s="211">
        <v>755.40099999999995</v>
      </c>
      <c r="BQ48" s="247">
        <f t="shared" si="26"/>
        <v>25.180033333333331</v>
      </c>
      <c r="BR48" s="211">
        <v>556.48500000000001</v>
      </c>
      <c r="BS48" s="211">
        <v>57.893999999999998</v>
      </c>
      <c r="BT48" s="190">
        <f t="shared" ref="BT48:BT49" si="520">BR48*2/BQ48</f>
        <v>44.200497484117712</v>
      </c>
      <c r="BU48" s="190">
        <f t="shared" ref="BU48:BU49" si="521">BT48-J48</f>
        <v>0.48905312427728376</v>
      </c>
      <c r="BV48" s="211">
        <v>285.74299999999999</v>
      </c>
      <c r="BW48" s="211">
        <v>219.994</v>
      </c>
      <c r="BX48" s="190">
        <f t="shared" ref="BX48:BX49" si="522">BV48/BQ48</f>
        <v>11.347999274557488</v>
      </c>
      <c r="BY48" s="190">
        <f t="shared" ref="BY48:BY49" si="523">BX48-W48</f>
        <v>-0.2714473474629262</v>
      </c>
      <c r="BZ48" s="194">
        <f t="shared" ref="BZ48:BZ49" si="524">BT48+BX48</f>
        <v>55.548496758675199</v>
      </c>
      <c r="CA48" s="211">
        <v>668.33299999999997</v>
      </c>
      <c r="CB48" s="247">
        <f t="shared" si="32"/>
        <v>22.277766666666665</v>
      </c>
      <c r="CC48" s="211">
        <v>479.88299999999998</v>
      </c>
      <c r="CD48" s="211">
        <v>74.584999999999994</v>
      </c>
      <c r="CE48" s="190">
        <f t="shared" ref="CE48:CE49" si="525">CC48*2/CB48</f>
        <v>43.081787073210513</v>
      </c>
      <c r="CF48" s="190">
        <f t="shared" ref="CF48:CF49" si="526">CE48-J48</f>
        <v>-0.62965728662991438</v>
      </c>
      <c r="CG48" s="211">
        <v>260.72899999999998</v>
      </c>
      <c r="CH48" s="211">
        <v>43.64</v>
      </c>
      <c r="CI48" s="190">
        <f t="shared" ref="CI48:CI49" si="527">CG48/CB48</f>
        <v>11.70355197184637</v>
      </c>
      <c r="CJ48" s="190">
        <f t="shared" ref="CJ48:CJ49" si="528">CI48-W48</f>
        <v>8.4105349825955855E-2</v>
      </c>
      <c r="CK48" s="194">
        <f t="shared" ref="CK48:CK49" si="529">CI48+CE48</f>
        <v>54.785339045056887</v>
      </c>
      <c r="CL48" s="211">
        <v>955.00800000000004</v>
      </c>
      <c r="CM48" s="247">
        <f t="shared" si="60"/>
        <v>31.833600000000001</v>
      </c>
      <c r="CN48" s="211">
        <v>700.48</v>
      </c>
      <c r="CO48" s="211">
        <v>65.061999999999998</v>
      </c>
      <c r="CP48" s="190">
        <f t="shared" ref="CP48:CP49" si="530">CN48*2/CM48</f>
        <v>44.00884599919582</v>
      </c>
      <c r="CQ48" s="190">
        <f t="shared" ref="CQ48:CQ49" si="531">CP48-J48</f>
        <v>0.29740163935539243</v>
      </c>
      <c r="CR48" s="211">
        <v>363.91500000000002</v>
      </c>
      <c r="CS48" s="340">
        <f>Q48-AP48-BA48-BL48-BW48-CH48</f>
        <v>25.791778272911486</v>
      </c>
      <c r="CT48" s="190">
        <f t="shared" ref="CT48:CT49" si="532">CR48/CM48</f>
        <v>11.431789053075995</v>
      </c>
      <c r="CU48" s="190">
        <f t="shared" ref="CU48:CU49" si="533">CT48-W48</f>
        <v>-0.18765756894441843</v>
      </c>
      <c r="CV48" s="247">
        <f t="shared" ref="CV48:CV49" si="534">CP48+CT48</f>
        <v>55.440635052271816</v>
      </c>
      <c r="CW48" s="163"/>
      <c r="CX48" s="196">
        <f t="shared" ref="CX48:CX49" si="535">C48-AJ48-AU48-BF48-BQ48-CB48-CM48</f>
        <v>0</v>
      </c>
      <c r="CY48" s="196">
        <f t="shared" ref="CY48:CY49" si="536">F48-AK48-AV48-BG48-BR48-CC48-CN48</f>
        <v>0</v>
      </c>
      <c r="CZ48" s="196">
        <f t="shared" ref="CZ48:CZ49" si="537">I48-AL48-AW48-BH48-BS48-CD48-CO48</f>
        <v>0</v>
      </c>
      <c r="DA48" s="196">
        <f t="shared" ref="DA48:DA49" si="538">O48-AO48-AZ48-BK48-BV48-CG48-CR48</f>
        <v>0</v>
      </c>
      <c r="DB48" s="196">
        <f t="shared" ref="DB48:DB49" si="539">Q48-AP48-BA48-BL48-BW48-CH48-CS48</f>
        <v>0</v>
      </c>
      <c r="DC48" s="196">
        <f t="shared" ref="DC48:DC49" si="540">P48-Q48-R48-S48</f>
        <v>0</v>
      </c>
      <c r="DD48" s="163"/>
      <c r="DE48" s="200">
        <v>156.703</v>
      </c>
      <c r="DF48" s="200">
        <v>90.257000000000005</v>
      </c>
      <c r="DG48" s="206">
        <f t="shared" si="127"/>
        <v>46.066644711299396</v>
      </c>
      <c r="DH48" s="191">
        <f t="shared" si="61"/>
        <v>0.57597493347287543</v>
      </c>
      <c r="DI48" s="197">
        <v>134.38499999999999</v>
      </c>
      <c r="DJ48" s="191">
        <f t="shared" si="48"/>
        <v>0.4287888553505676</v>
      </c>
      <c r="DK48" s="197">
        <v>130.35900000000001</v>
      </c>
      <c r="DL48" s="197">
        <v>127.271</v>
      </c>
      <c r="DM48" s="191">
        <f t="shared" si="62"/>
        <v>2.3688429644290077E-2</v>
      </c>
      <c r="DN48" s="200">
        <v>145.845</v>
      </c>
      <c r="DO48" s="200">
        <v>107.71599999999999</v>
      </c>
      <c r="DP48" s="200">
        <v>100.815</v>
      </c>
      <c r="DQ48" s="200">
        <f t="shared" ref="DQ48:DQ49" si="541">DP48+DO48</f>
        <v>208.53100000000001</v>
      </c>
      <c r="DR48" s="191">
        <f t="shared" ref="DR48:DR49" si="542">DJ48+DH48</f>
        <v>1.0047637888234431</v>
      </c>
      <c r="DS48" s="199">
        <f t="shared" si="51"/>
        <v>0.97004129925214877</v>
      </c>
      <c r="DT48" s="200">
        <v>164.636</v>
      </c>
      <c r="DU48" s="200">
        <v>72.578999999999994</v>
      </c>
      <c r="DV48" s="200">
        <v>39.731000000000002</v>
      </c>
      <c r="DW48" s="191">
        <f t="shared" si="63"/>
        <v>0.44084525863116203</v>
      </c>
      <c r="DX48" s="197">
        <v>40.866999999999997</v>
      </c>
      <c r="DY48" s="191">
        <f t="shared" si="64"/>
        <v>0.12411319516995067</v>
      </c>
      <c r="DZ48" s="197">
        <v>45.709000000000003</v>
      </c>
      <c r="EA48" s="197">
        <v>44.161999999999999</v>
      </c>
      <c r="EB48" s="191">
        <f t="shared" si="52"/>
        <v>3.3844538274738101E-2</v>
      </c>
      <c r="EC48" s="200">
        <v>45.265999999999998</v>
      </c>
      <c r="ED48" s="200"/>
      <c r="EE48" s="200">
        <v>31.420999999999999</v>
      </c>
      <c r="EF48" s="204">
        <f t="shared" si="499"/>
        <v>31.420999999999999</v>
      </c>
      <c r="EG48" s="191">
        <f t="shared" si="500"/>
        <v>0.56495845380111276</v>
      </c>
      <c r="EJ48" s="202">
        <f t="shared" si="3"/>
        <v>11.856486021505376</v>
      </c>
      <c r="EK48" s="202">
        <f>'NOPA Crush'!B473*56/('NOPA Crush'!A473-'NOPA Crush'!A472)</f>
        <v>11.08806654603074</v>
      </c>
      <c r="EL48" s="203">
        <f t="shared" si="65"/>
        <v>1.069301484824666</v>
      </c>
      <c r="EM48" s="202">
        <f t="shared" si="55"/>
        <v>5.0549354838709677</v>
      </c>
      <c r="EN48" s="202">
        <f t="shared" si="56"/>
        <v>1.0621677419354839E-2</v>
      </c>
      <c r="EO48" s="202">
        <f t="shared" si="66"/>
        <v>16.922043182795697</v>
      </c>
    </row>
    <row r="49" spans="1:145">
      <c r="A49" s="157">
        <v>43466</v>
      </c>
      <c r="B49" s="186">
        <v>5492.1270000000004</v>
      </c>
      <c r="C49" s="187">
        <f t="shared" si="456"/>
        <v>183.07090000000002</v>
      </c>
      <c r="D49" s="247">
        <f>C49-'NOPA Crush'!G474</f>
        <v>11.440900000000028</v>
      </c>
      <c r="E49" s="188">
        <f>C49/'NOPA Crush'!G474-1</f>
        <v>6.6660257530734901E-2</v>
      </c>
      <c r="F49" s="189">
        <v>3988.7370000000001</v>
      </c>
      <c r="G49" s="189">
        <v>3946.1579999999999</v>
      </c>
      <c r="H49" s="189">
        <v>42.579000000000001</v>
      </c>
      <c r="I49" s="189">
        <v>380.22399999999999</v>
      </c>
      <c r="J49" s="190">
        <f t="shared" si="501"/>
        <v>43.575871424677537</v>
      </c>
      <c r="K49" s="190">
        <f t="shared" si="502"/>
        <v>46.643163932662148</v>
      </c>
      <c r="L49" s="190">
        <f>K49-'NOPA Crush'!J474</f>
        <v>-4.683606733784984E-2</v>
      </c>
      <c r="M49" s="189">
        <v>280.76600000000002</v>
      </c>
      <c r="N49" s="189">
        <v>39.576999999999998</v>
      </c>
      <c r="O49" s="189">
        <v>2115.799</v>
      </c>
      <c r="P49" s="189">
        <v>1659.501</v>
      </c>
      <c r="Q49" s="189">
        <v>795.88199999999995</v>
      </c>
      <c r="R49" s="211">
        <v>438.97399999999999</v>
      </c>
      <c r="S49" s="211">
        <v>424.64499999999998</v>
      </c>
      <c r="T49" s="189">
        <v>345.22699999999998</v>
      </c>
      <c r="U49" s="189">
        <f>(P49+T49)-'NOPA Crush'!Q474</f>
        <v>455.55899999999997</v>
      </c>
      <c r="V49" s="191">
        <f>((P49+T49)/'NOPA Crush'!Q474)-1</f>
        <v>0.29406668994796559</v>
      </c>
      <c r="W49" s="190">
        <f t="shared" si="503"/>
        <v>11.557265518441215</v>
      </c>
      <c r="X49" s="190">
        <f>W49-'NOPA Crush'!O474</f>
        <v>-5.2734481558784907E-2</v>
      </c>
      <c r="Y49" s="190">
        <f t="shared" si="121"/>
        <v>58.200429451103361</v>
      </c>
      <c r="Z49" s="211">
        <v>1425.415</v>
      </c>
      <c r="AA49" s="211">
        <v>1397.8050000000001</v>
      </c>
      <c r="AB49" s="191">
        <f t="shared" si="504"/>
        <v>1.9369797567725822E-2</v>
      </c>
      <c r="AC49" s="211">
        <v>123.43600000000001</v>
      </c>
      <c r="AD49" s="211">
        <v>1411.818</v>
      </c>
      <c r="AE49" s="211">
        <v>1035.8979999999999</v>
      </c>
      <c r="AF49" s="211">
        <v>375.92</v>
      </c>
      <c r="AG49" s="191">
        <f t="shared" si="122"/>
        <v>1.0025003487610817E-2</v>
      </c>
      <c r="AH49" s="163"/>
      <c r="AI49" s="211">
        <v>684.58100000000002</v>
      </c>
      <c r="AJ49" s="247">
        <f t="shared" si="11"/>
        <v>22.819366666666667</v>
      </c>
      <c r="AK49" s="211">
        <v>486.99</v>
      </c>
      <c r="AL49" s="211">
        <v>98.116</v>
      </c>
      <c r="AM49" s="190">
        <f t="shared" si="505"/>
        <v>42.682166171716716</v>
      </c>
      <c r="AN49" s="190">
        <f t="shared" si="506"/>
        <v>-0.89370525296082093</v>
      </c>
      <c r="AO49" s="211">
        <v>269.32499999999999</v>
      </c>
      <c r="AP49" s="211">
        <v>129.64500000000001</v>
      </c>
      <c r="AQ49" s="190">
        <f t="shared" si="507"/>
        <v>11.80247479845336</v>
      </c>
      <c r="AR49" s="190">
        <f t="shared" si="508"/>
        <v>0.24520928001214592</v>
      </c>
      <c r="AS49" s="190">
        <f t="shared" si="509"/>
        <v>54.484640970170076</v>
      </c>
      <c r="AT49" s="211">
        <v>1141.7439999999999</v>
      </c>
      <c r="AU49" s="247">
        <f t="shared" si="16"/>
        <v>38.05813333333333</v>
      </c>
      <c r="AV49" s="211">
        <v>839.24400000000003</v>
      </c>
      <c r="AW49" s="211">
        <v>45.253</v>
      </c>
      <c r="AX49" s="190">
        <f t="shared" si="510"/>
        <v>44.10326658165053</v>
      </c>
      <c r="AY49" s="190">
        <f t="shared" si="511"/>
        <v>0.52739515697299311</v>
      </c>
      <c r="AZ49" s="211">
        <v>442.54300000000001</v>
      </c>
      <c r="BA49" s="211">
        <v>163.529</v>
      </c>
      <c r="BB49" s="190">
        <f t="shared" si="512"/>
        <v>11.628079499432449</v>
      </c>
      <c r="BC49" s="190">
        <f t="shared" si="513"/>
        <v>7.081398099123426E-2</v>
      </c>
      <c r="BD49" s="247">
        <f t="shared" si="514"/>
        <v>55.731346081082975</v>
      </c>
      <c r="BE49" s="211">
        <v>1294.8800000000001</v>
      </c>
      <c r="BF49" s="247">
        <f t="shared" si="58"/>
        <v>43.162666666666674</v>
      </c>
      <c r="BG49" s="211">
        <v>940.01</v>
      </c>
      <c r="BH49" s="211">
        <v>97.462000000000003</v>
      </c>
      <c r="BI49" s="190">
        <f t="shared" si="515"/>
        <v>43.556623007537368</v>
      </c>
      <c r="BJ49" s="190">
        <f t="shared" si="516"/>
        <v>-1.9248417140168783E-2</v>
      </c>
      <c r="BK49" s="211">
        <v>502.92099999999999</v>
      </c>
      <c r="BL49" s="211">
        <v>199.74799999999999</v>
      </c>
      <c r="BM49" s="190">
        <f t="shared" si="517"/>
        <v>11.651759236377114</v>
      </c>
      <c r="BN49" s="190">
        <f t="shared" si="518"/>
        <v>9.4493717935899113E-2</v>
      </c>
      <c r="BO49" s="247">
        <f t="shared" si="519"/>
        <v>55.208382243914485</v>
      </c>
      <c r="BP49" s="211">
        <v>730.05799999999999</v>
      </c>
      <c r="BQ49" s="247">
        <f t="shared" si="26"/>
        <v>24.335266666666666</v>
      </c>
      <c r="BR49" s="211">
        <v>540.24699999999996</v>
      </c>
      <c r="BS49" s="211">
        <v>36.195999999999998</v>
      </c>
      <c r="BT49" s="190">
        <f t="shared" si="520"/>
        <v>44.400335315824222</v>
      </c>
      <c r="BU49" s="190">
        <f t="shared" si="521"/>
        <v>0.82446389114668506</v>
      </c>
      <c r="BV49" s="211">
        <v>276.47800000000001</v>
      </c>
      <c r="BW49" s="211">
        <v>214.81700000000001</v>
      </c>
      <c r="BX49" s="190">
        <f t="shared" si="522"/>
        <v>11.36120691780653</v>
      </c>
      <c r="BY49" s="190">
        <f t="shared" si="523"/>
        <v>-0.19605860063468405</v>
      </c>
      <c r="BZ49" s="194">
        <f t="shared" si="524"/>
        <v>55.761542233630749</v>
      </c>
      <c r="CA49" s="211">
        <v>696.36199999999997</v>
      </c>
      <c r="CB49" s="247">
        <f t="shared" si="32"/>
        <v>23.212066666666665</v>
      </c>
      <c r="CC49" s="211">
        <v>492.97</v>
      </c>
      <c r="CD49" s="211">
        <v>52.825000000000003</v>
      </c>
      <c r="CE49" s="190">
        <f t="shared" si="525"/>
        <v>42.475321743575904</v>
      </c>
      <c r="CF49" s="190">
        <f t="shared" si="526"/>
        <v>-1.1005496811016329</v>
      </c>
      <c r="CG49" s="211">
        <v>269.221</v>
      </c>
      <c r="CH49" s="211">
        <v>48.335000000000001</v>
      </c>
      <c r="CI49" s="190">
        <f t="shared" si="527"/>
        <v>11.598320988221644</v>
      </c>
      <c r="CJ49" s="190">
        <f t="shared" si="528"/>
        <v>4.1055469780429732E-2</v>
      </c>
      <c r="CK49" s="194">
        <f t="shared" si="529"/>
        <v>54.073642731797548</v>
      </c>
      <c r="CL49" s="211">
        <v>944.50199999999995</v>
      </c>
      <c r="CM49" s="247">
        <f t="shared" si="60"/>
        <v>31.4834</v>
      </c>
      <c r="CN49" s="211">
        <v>689.27599999999995</v>
      </c>
      <c r="CO49" s="211">
        <v>50.372</v>
      </c>
      <c r="CP49" s="190">
        <f t="shared" si="530"/>
        <v>43.78663041475825</v>
      </c>
      <c r="CQ49" s="190">
        <f t="shared" si="531"/>
        <v>0.21075899008071275</v>
      </c>
      <c r="CR49" s="211">
        <v>355.31099999999998</v>
      </c>
      <c r="CS49" s="211">
        <v>39.808</v>
      </c>
      <c r="CT49" s="190">
        <f t="shared" si="532"/>
        <v>11.285661650266489</v>
      </c>
      <c r="CU49" s="190">
        <f t="shared" si="533"/>
        <v>-0.2716038681747257</v>
      </c>
      <c r="CV49" s="247">
        <f t="shared" si="534"/>
        <v>55.07229206502474</v>
      </c>
      <c r="CW49" s="195"/>
      <c r="CX49" s="196">
        <f t="shared" si="535"/>
        <v>0</v>
      </c>
      <c r="CY49" s="196">
        <f t="shared" si="536"/>
        <v>0</v>
      </c>
      <c r="CZ49" s="196">
        <f t="shared" si="537"/>
        <v>0</v>
      </c>
      <c r="DA49" s="196">
        <f t="shared" si="538"/>
        <v>0</v>
      </c>
      <c r="DB49" s="196">
        <f t="shared" si="539"/>
        <v>0</v>
      </c>
      <c r="DC49" s="196">
        <f t="shared" si="540"/>
        <v>0</v>
      </c>
      <c r="DD49" s="163"/>
      <c r="DE49" s="200">
        <v>162.631</v>
      </c>
      <c r="DF49" s="200">
        <v>91.447000000000003</v>
      </c>
      <c r="DG49" s="206">
        <f t="shared" si="127"/>
        <v>46.216461943165001</v>
      </c>
      <c r="DH49" s="191">
        <f t="shared" si="61"/>
        <v>0.56229747096187077</v>
      </c>
      <c r="DI49" s="197">
        <v>135.572</v>
      </c>
      <c r="DJ49" s="191">
        <f t="shared" si="48"/>
        <v>0.41680860352577309</v>
      </c>
      <c r="DK49" s="197">
        <v>128.94900000000001</v>
      </c>
      <c r="DL49" s="197">
        <v>124.273</v>
      </c>
      <c r="DM49" s="191">
        <f t="shared" si="62"/>
        <v>3.6262398312511324E-2</v>
      </c>
      <c r="DN49" s="200">
        <v>138.584</v>
      </c>
      <c r="DO49" s="200">
        <v>100.172</v>
      </c>
      <c r="DP49" s="200">
        <v>96.91</v>
      </c>
      <c r="DQ49" s="200">
        <f t="shared" si="541"/>
        <v>197.08199999999999</v>
      </c>
      <c r="DR49" s="191">
        <f t="shared" si="542"/>
        <v>0.97910607448764386</v>
      </c>
      <c r="DS49" s="199">
        <f t="shared" si="51"/>
        <v>0.95114772961968552</v>
      </c>
      <c r="DT49" s="200">
        <v>167.64400000000001</v>
      </c>
      <c r="DU49" s="200">
        <v>79.972999999999999</v>
      </c>
      <c r="DV49" s="200">
        <v>37.159999999999997</v>
      </c>
      <c r="DW49" s="191">
        <f t="shared" si="63"/>
        <v>0.47704063372384337</v>
      </c>
      <c r="DX49" s="197">
        <v>48.265999999999998</v>
      </c>
      <c r="DY49" s="191">
        <f t="shared" si="64"/>
        <v>0.14395385459664525</v>
      </c>
      <c r="DZ49" s="197">
        <v>51.521000000000001</v>
      </c>
      <c r="EA49" s="197">
        <v>49.951999999999998</v>
      </c>
      <c r="EB49" s="191">
        <f t="shared" si="52"/>
        <v>3.0453601444071388E-2</v>
      </c>
      <c r="EC49" s="200">
        <v>50.485999999999997</v>
      </c>
      <c r="ED49" s="200">
        <v>50.366</v>
      </c>
      <c r="EE49" s="200">
        <v>27.100999999999999</v>
      </c>
      <c r="EF49" s="195">
        <f t="shared" si="499"/>
        <v>77.466999999999999</v>
      </c>
      <c r="EG49" s="191">
        <f t="shared" si="500"/>
        <v>0.62099448832048865</v>
      </c>
      <c r="EJ49" s="202">
        <f t="shared" si="3"/>
        <v>11.811025806451614</v>
      </c>
      <c r="EK49" s="202">
        <f>'NOPA Crush'!B474*56/('NOPA Crush'!A474-'NOPA Crush'!A473)</f>
        <v>10.692432299006375</v>
      </c>
      <c r="EL49" s="203">
        <f t="shared" si="65"/>
        <v>1.1046154397956007</v>
      </c>
      <c r="EM49" s="202">
        <f t="shared" si="55"/>
        <v>5.2461612903225809</v>
      </c>
      <c r="EN49" s="202">
        <f t="shared" si="56"/>
        <v>1.0815741935483869E-2</v>
      </c>
      <c r="EO49" s="202">
        <f t="shared" si="66"/>
        <v>17.068002838709678</v>
      </c>
    </row>
    <row r="50" spans="1:145">
      <c r="A50" s="157">
        <v>43497</v>
      </c>
      <c r="B50" s="186">
        <v>4883.4340000000002</v>
      </c>
      <c r="C50" s="187">
        <f t="shared" ref="C50" si="543">B50/30</f>
        <v>162.78113333333334</v>
      </c>
      <c r="D50" s="247">
        <f>C50-'NOPA Crush'!G475</f>
        <v>8.2831333333333532</v>
      </c>
      <c r="E50" s="188">
        <f>C50/'NOPA Crush'!G475-1</f>
        <v>5.3613207506461924E-2</v>
      </c>
      <c r="F50" s="189">
        <v>3583.2220000000002</v>
      </c>
      <c r="G50" s="189">
        <v>3542.3049999999998</v>
      </c>
      <c r="H50" s="189">
        <v>40.917000000000002</v>
      </c>
      <c r="I50" s="189">
        <v>263.51499999999999</v>
      </c>
      <c r="J50" s="190">
        <f t="shared" ref="J50" si="544">F50*2/C50</f>
        <v>44.02502828951922</v>
      </c>
      <c r="K50" s="190">
        <f t="shared" ref="K50" si="545">(F50+M50)*2/C50</f>
        <v>47.138349775997789</v>
      </c>
      <c r="L50" s="190">
        <f>K50-'NOPA Crush'!J475</f>
        <v>0.16834977599778966</v>
      </c>
      <c r="M50" s="189">
        <v>253.39500000000001</v>
      </c>
      <c r="N50" s="189">
        <v>31.364000000000001</v>
      </c>
      <c r="O50" s="189">
        <v>1899.1959999999999</v>
      </c>
      <c r="P50" s="189">
        <v>1762.9649999999999</v>
      </c>
      <c r="Q50" s="189">
        <v>851.70399999999995</v>
      </c>
      <c r="R50" s="210">
        <f>P50*AVERAGE(R49/P49,R48/P48,R46/P46,R45/P45,R44/P44,R43/P43)</f>
        <v>410.14982166206903</v>
      </c>
      <c r="S50" s="210">
        <f>P50-Q50-R50</f>
        <v>501.11117833793094</v>
      </c>
      <c r="T50" s="211">
        <v>386.16500000000002</v>
      </c>
      <c r="U50" s="211">
        <f>(P50+T50)-'NOPA Crush'!Q475</f>
        <v>397.2650000000001</v>
      </c>
      <c r="V50" s="191">
        <f>((P50+T50)/'NOPA Crush'!Q475)-1</f>
        <v>0.2267669027008361</v>
      </c>
      <c r="W50" s="190">
        <f t="shared" ref="W50" si="546">O50/C50</f>
        <v>11.667175188607033</v>
      </c>
      <c r="X50" s="190">
        <f>W50-'NOPA Crush'!O475</f>
        <v>-2.2824811392966993E-2</v>
      </c>
      <c r="Y50" s="190">
        <f t="shared" si="121"/>
        <v>58.805524964604821</v>
      </c>
      <c r="Z50" s="211">
        <v>1317.633</v>
      </c>
      <c r="AA50" s="211">
        <v>1287.932</v>
      </c>
      <c r="AB50" s="191">
        <f t="shared" ref="AB50" si="547">(Z50-AA50)/Z50</f>
        <v>2.2541178006318923E-2</v>
      </c>
      <c r="AC50" s="211">
        <v>112.98</v>
      </c>
      <c r="AD50" s="211">
        <v>1296.9960000000001</v>
      </c>
      <c r="AE50" s="211">
        <v>960.476</v>
      </c>
      <c r="AF50" s="211">
        <v>336.52</v>
      </c>
      <c r="AG50" s="191">
        <f t="shared" si="122"/>
        <v>7.0376386330956997E-3</v>
      </c>
      <c r="AH50" s="163"/>
      <c r="AI50" s="211">
        <v>590.48299999999995</v>
      </c>
      <c r="AJ50" s="247">
        <f t="shared" si="11"/>
        <v>19.682766666666666</v>
      </c>
      <c r="AK50" s="211">
        <v>422.96899999999999</v>
      </c>
      <c r="AL50" s="211">
        <v>51.57</v>
      </c>
      <c r="AM50" s="190">
        <f t="shared" ref="AM50" si="548">AK50*2/AJ50</f>
        <v>42.978612424066398</v>
      </c>
      <c r="AN50" s="190">
        <f t="shared" ref="AN50" si="549">AM50-J50</f>
        <v>-1.0464158654528219</v>
      </c>
      <c r="AO50" s="211">
        <v>237.892</v>
      </c>
      <c r="AP50" s="211">
        <v>136.40700000000001</v>
      </c>
      <c r="AQ50" s="190">
        <f t="shared" ref="AQ50" si="550">AO50/AJ50</f>
        <v>12.086309004662285</v>
      </c>
      <c r="AR50" s="190">
        <f t="shared" ref="AR50" si="551">AQ50-W50</f>
        <v>0.41913381605525224</v>
      </c>
      <c r="AS50" s="190">
        <f t="shared" ref="AS50" si="552">AM50+AQ50</f>
        <v>55.064921428728681</v>
      </c>
      <c r="AT50" s="211">
        <v>1018.7</v>
      </c>
      <c r="AU50" s="247">
        <f t="shared" si="16"/>
        <v>33.956666666666671</v>
      </c>
      <c r="AV50" s="211">
        <v>751.98299999999995</v>
      </c>
      <c r="AW50" s="211">
        <v>35.372999999999998</v>
      </c>
      <c r="AX50" s="190">
        <f t="shared" ref="AX50" si="553">AV50*2/AU50</f>
        <v>44.290743103956011</v>
      </c>
      <c r="AY50" s="190">
        <f t="shared" ref="AY50" si="554">AX50-J50</f>
        <v>0.2657148144367909</v>
      </c>
      <c r="AZ50" s="211">
        <v>395.43200000000002</v>
      </c>
      <c r="BA50" s="211">
        <v>184.517</v>
      </c>
      <c r="BB50" s="190">
        <f t="shared" ref="BB50" si="555">AZ50/AU50</f>
        <v>11.64519485618926</v>
      </c>
      <c r="BC50" s="190">
        <f t="shared" ref="BC50" si="556">BB50-W50</f>
        <v>-2.198033241777253E-2</v>
      </c>
      <c r="BD50" s="247">
        <f t="shared" ref="BD50" si="557">AX50+BB50</f>
        <v>55.935937960145267</v>
      </c>
      <c r="BE50" s="211">
        <v>1162.4860000000001</v>
      </c>
      <c r="BF50" s="247">
        <f t="shared" si="58"/>
        <v>38.749533333333339</v>
      </c>
      <c r="BG50" s="211">
        <v>848.29300000000001</v>
      </c>
      <c r="BH50" s="211">
        <v>67.968999999999994</v>
      </c>
      <c r="BI50" s="190">
        <f t="shared" ref="BI50" si="558">BG50*2/BF50</f>
        <v>43.783391799987264</v>
      </c>
      <c r="BJ50" s="190">
        <f t="shared" ref="BJ50" si="559">BI50-J50</f>
        <v>-0.24163648953195604</v>
      </c>
      <c r="BK50" s="211">
        <v>444.84</v>
      </c>
      <c r="BL50" s="211">
        <v>217.63800000000001</v>
      </c>
      <c r="BM50" s="190">
        <f t="shared" ref="BM50" si="560">BK50/BF50</f>
        <v>11.47988018780441</v>
      </c>
      <c r="BN50" s="190">
        <f t="shared" ref="BN50" si="561">BM50-W50</f>
        <v>-0.18729500080262262</v>
      </c>
      <c r="BO50" s="247">
        <f t="shared" ref="BO50" si="562">BM50+BI50</f>
        <v>55.263271987791676</v>
      </c>
      <c r="BP50" s="211">
        <v>633.55799999999999</v>
      </c>
      <c r="BQ50" s="247">
        <f t="shared" si="26"/>
        <v>21.118600000000001</v>
      </c>
      <c r="BR50" s="211">
        <v>465.846</v>
      </c>
      <c r="BS50" s="211">
        <v>34.125</v>
      </c>
      <c r="BT50" s="190">
        <f t="shared" ref="BT50" si="563">BR50*2/BQ50</f>
        <v>44.117128976352596</v>
      </c>
      <c r="BU50" s="190">
        <f t="shared" ref="BU50" si="564">BT50-J50</f>
        <v>9.2100686833376244E-2</v>
      </c>
      <c r="BV50" s="211">
        <v>239.732</v>
      </c>
      <c r="BW50" s="211">
        <v>210.66300000000001</v>
      </c>
      <c r="BX50" s="190">
        <f t="shared" ref="BX50" si="565">BV50/BQ50</f>
        <v>11.351699449774133</v>
      </c>
      <c r="BY50" s="190">
        <f t="shared" ref="BY50" si="566">BX50-W50</f>
        <v>-0.31547573883289992</v>
      </c>
      <c r="BZ50" s="194">
        <f t="shared" ref="BZ50" si="567">BT50+BX50</f>
        <v>55.468828426126727</v>
      </c>
      <c r="CA50" s="211">
        <v>645.697</v>
      </c>
      <c r="CB50" s="247">
        <f t="shared" si="32"/>
        <v>21.523233333333334</v>
      </c>
      <c r="CC50" s="211">
        <v>462.72399999999999</v>
      </c>
      <c r="CD50" s="211">
        <v>42.847000000000001</v>
      </c>
      <c r="CE50" s="190">
        <f t="shared" ref="CE50" si="568">CC50*2/CB50</f>
        <v>42.997628918827253</v>
      </c>
      <c r="CF50" s="190">
        <f t="shared" ref="CF50" si="569">CE50-J50</f>
        <v>-1.0273993706919669</v>
      </c>
      <c r="CG50" s="211">
        <v>250.88900000000001</v>
      </c>
      <c r="CH50" s="340">
        <f>AVERAGE(CH49/(T49+P49),CH48/(P48+T48),CH47/(P47+T47),CH46/(P46+T46),CH45/(P45+T45))*(P50+T50)</f>
        <v>50.011979599342958</v>
      </c>
      <c r="CI50" s="190">
        <f t="shared" ref="CI50" si="570">CG50/CB50</f>
        <v>11.656659392873127</v>
      </c>
      <c r="CJ50" s="190">
        <f t="shared" ref="CJ50" si="571">CI50-W50</f>
        <v>-1.0515795733905264E-2</v>
      </c>
      <c r="CK50" s="194">
        <f t="shared" ref="CK50" si="572">CI50+CE50</f>
        <v>54.654288311700384</v>
      </c>
      <c r="CL50" s="211">
        <v>832.51</v>
      </c>
      <c r="CM50" s="247">
        <f t="shared" si="60"/>
        <v>27.750333333333334</v>
      </c>
      <c r="CN50" s="211">
        <v>631.40700000000004</v>
      </c>
      <c r="CO50" s="211">
        <v>31.631</v>
      </c>
      <c r="CP50" s="190">
        <f t="shared" ref="CP50" si="573">CN50*2/CM50</f>
        <v>45.506264189018751</v>
      </c>
      <c r="CQ50" s="190">
        <f t="shared" ref="CQ50" si="574">CP50-J50</f>
        <v>1.4812358994995307</v>
      </c>
      <c r="CR50" s="211">
        <v>330.411</v>
      </c>
      <c r="CS50" s="340">
        <f>Q50-AP50-BA50-BL50-BW50-CH50</f>
        <v>52.46702040065697</v>
      </c>
      <c r="CT50" s="190">
        <f t="shared" ref="CT50" si="575">CR50/CM50</f>
        <v>11.906559680964794</v>
      </c>
      <c r="CU50" s="190">
        <f t="shared" ref="CU50" si="576">CT50-W50</f>
        <v>0.23938449235776105</v>
      </c>
      <c r="CV50" s="247">
        <f t="shared" ref="CV50" si="577">CP50+CT50</f>
        <v>57.412823869983541</v>
      </c>
      <c r="CW50" s="163"/>
      <c r="CX50" s="196">
        <f t="shared" ref="CX50" si="578">C50-AJ50-AU50-BF50-BQ50-CB50-CM50</f>
        <v>-2.8421709430404007E-14</v>
      </c>
      <c r="CY50" s="196">
        <f t="shared" ref="CY50" si="579">F50-AK50-AV50-BG50-BR50-CC50-CN50</f>
        <v>0</v>
      </c>
      <c r="CZ50" s="196">
        <f t="shared" ref="CZ50" si="580">I50-AL50-AW50-BH50-BS50-CD50-CO50</f>
        <v>0</v>
      </c>
      <c r="DA50" s="196">
        <f t="shared" ref="DA50" si="581">O50-AO50-AZ50-BK50-BV50-CG50-CR50</f>
        <v>0</v>
      </c>
      <c r="DB50" s="196">
        <f t="shared" ref="DB50" si="582">Q50-AP50-BA50-BL50-BW50-CH50-CS50</f>
        <v>0</v>
      </c>
      <c r="DC50" s="196">
        <f t="shared" ref="DC50" si="583">P50-Q50-R50-S50</f>
        <v>0</v>
      </c>
      <c r="DD50" s="163"/>
      <c r="DE50" s="200">
        <v>136.42099999999999</v>
      </c>
      <c r="DF50" s="200">
        <v>78.564999999999998</v>
      </c>
      <c r="DG50" s="206">
        <f t="shared" ref="DG50:DG63" si="584">FORECAST(DF50,DG31:DG49,DF31:DF49)</f>
        <v>47.406335691319057</v>
      </c>
      <c r="DH50" s="191">
        <f t="shared" si="61"/>
        <v>0.57590107094948728</v>
      </c>
      <c r="DI50" s="197">
        <v>115.595</v>
      </c>
      <c r="DJ50" s="191">
        <f t="shared" si="48"/>
        <v>0.42367010944062866</v>
      </c>
      <c r="DK50" s="197">
        <v>105.717</v>
      </c>
      <c r="DL50" s="197">
        <v>102.151</v>
      </c>
      <c r="DM50" s="191">
        <f t="shared" si="62"/>
        <v>3.3731566351674735E-2</v>
      </c>
      <c r="DN50" s="200">
        <v>138.636</v>
      </c>
      <c r="DO50" s="200">
        <v>97.983000000000004</v>
      </c>
      <c r="DP50" s="200">
        <v>99.974999999999994</v>
      </c>
      <c r="DQ50" s="200">
        <f t="shared" ref="DQ50" si="585">DP50+DO50</f>
        <v>197.958</v>
      </c>
      <c r="DR50" s="191">
        <f t="shared" ref="DR50" si="586">DJ50+DH50</f>
        <v>0.99957118039011594</v>
      </c>
      <c r="DS50" s="199">
        <f t="shared" si="51"/>
        <v>0.91454647692374236</v>
      </c>
      <c r="DT50" s="200">
        <v>136.983</v>
      </c>
      <c r="DU50" s="200">
        <v>66.168000000000006</v>
      </c>
      <c r="DV50" s="200">
        <v>39.683999999999997</v>
      </c>
      <c r="DW50" s="191">
        <f t="shared" si="63"/>
        <v>0.48303804121679333</v>
      </c>
      <c r="DX50" s="197">
        <v>35.152999999999999</v>
      </c>
      <c r="DY50" s="191">
        <f t="shared" si="64"/>
        <v>0.12831154230816963</v>
      </c>
      <c r="DZ50" s="197">
        <v>38.223999999999997</v>
      </c>
      <c r="EA50" s="197">
        <v>36.862000000000002</v>
      </c>
      <c r="EB50" s="191">
        <f t="shared" si="52"/>
        <v>3.563206362494753E-2</v>
      </c>
      <c r="EC50" s="200">
        <v>40.860999999999997</v>
      </c>
      <c r="ED50" s="206">
        <v>40</v>
      </c>
      <c r="EE50" s="200">
        <v>28.123000000000001</v>
      </c>
      <c r="EF50" s="204">
        <f t="shared" si="499"/>
        <v>68.123000000000005</v>
      </c>
      <c r="EG50" s="191">
        <f t="shared" si="500"/>
        <v>0.61134958352496294</v>
      </c>
      <c r="EJ50" s="202">
        <f t="shared" si="3"/>
        <v>11.627223809523811</v>
      </c>
      <c r="EK50" s="202">
        <f>'NOPA Crush'!B475*56/('NOPA Crush'!A475-'NOPA Crush'!A474)</f>
        <v>10.545024600385897</v>
      </c>
      <c r="EL50" s="203">
        <f t="shared" si="65"/>
        <v>1.1026265229479228</v>
      </c>
      <c r="EM50" s="202">
        <f t="shared" si="55"/>
        <v>4.872178571428571</v>
      </c>
      <c r="EN50" s="202">
        <f t="shared" si="56"/>
        <v>9.7844999999999998E-3</v>
      </c>
      <c r="EO50" s="202">
        <f t="shared" si="66"/>
        <v>16.509186880952381</v>
      </c>
    </row>
    <row r="51" spans="1:145">
      <c r="A51" s="157">
        <v>43525</v>
      </c>
      <c r="B51" s="186">
        <v>5383.0079999999998</v>
      </c>
      <c r="C51" s="187">
        <f t="shared" ref="C51" si="587">B51/30</f>
        <v>179.43359999999998</v>
      </c>
      <c r="D51" s="247">
        <f>C51-'NOPA Crush'!G476</f>
        <v>9.4225999999999885</v>
      </c>
      <c r="E51" s="188">
        <f>C51/'NOPA Crush'!G476-1</f>
        <v>5.5423472598831847E-2</v>
      </c>
      <c r="F51" s="189">
        <v>3926.558</v>
      </c>
      <c r="G51" s="189">
        <v>3879.5650000000001</v>
      </c>
      <c r="H51" s="189">
        <v>46.993000000000002</v>
      </c>
      <c r="I51" s="189">
        <v>465.15899999999999</v>
      </c>
      <c r="J51" s="190">
        <f t="shared" ref="J51:J52" si="588">F51*2/C51</f>
        <v>43.766139675066434</v>
      </c>
      <c r="K51" s="190">
        <f t="shared" ref="K51" si="589">(F51+M51)*2/C51</f>
        <v>46.823092219071576</v>
      </c>
      <c r="L51" s="190">
        <f>K51-'NOPA Crush'!J476</f>
        <v>-9.690778092842578E-2</v>
      </c>
      <c r="M51" s="189">
        <v>274.26</v>
      </c>
      <c r="N51" s="189">
        <v>44.933999999999997</v>
      </c>
      <c r="O51" s="189">
        <v>2094.4180000000001</v>
      </c>
      <c r="P51" s="189">
        <v>1893.9179999999999</v>
      </c>
      <c r="Q51" s="189">
        <v>942.47699999999998</v>
      </c>
      <c r="R51" s="210">
        <f>P51*AVERAGE(R50/P50,R49/P49,R47/P47,R46/P46,R45/P45,R44/P44)</f>
        <v>443.56929671052995</v>
      </c>
      <c r="S51" s="210">
        <f>P51-Q51-R51</f>
        <v>507.87170328946996</v>
      </c>
      <c r="T51" s="211">
        <v>339.01100000000002</v>
      </c>
      <c r="U51" s="211">
        <f>(P51+T51)-'NOPA Crush'!Q476</f>
        <v>472.33100000000013</v>
      </c>
      <c r="V51" s="191">
        <f>((P51+T51)/'NOPA Crush'!Q476)-1</f>
        <v>0.26827873256700285</v>
      </c>
      <c r="W51" s="190">
        <f t="shared" ref="W51" si="590">O51/C51</f>
        <v>11.672384659283436</v>
      </c>
      <c r="X51" s="190">
        <f>W51-'NOPA Crush'!O476</f>
        <v>-8.761534071656385E-2</v>
      </c>
      <c r="Y51" s="190">
        <f t="shared" si="121"/>
        <v>58.495476878355014</v>
      </c>
      <c r="Z51" s="211">
        <v>1443.0989999999999</v>
      </c>
      <c r="AA51" s="211">
        <v>1413.729</v>
      </c>
      <c r="AB51" s="191">
        <f t="shared" ref="AB51" si="591">(Z51-AA51)/Z51</f>
        <v>2.035203406003323E-2</v>
      </c>
      <c r="AC51" s="211">
        <v>99.527000000000001</v>
      </c>
      <c r="AD51" s="211">
        <v>1466.7439999999999</v>
      </c>
      <c r="AE51" s="211">
        <v>1060.6199999999999</v>
      </c>
      <c r="AF51" s="211">
        <v>406.12400000000002</v>
      </c>
      <c r="AG51" s="191">
        <f t="shared" si="122"/>
        <v>3.7500114944235996E-2</v>
      </c>
      <c r="AH51" s="163"/>
      <c r="AI51" s="211">
        <v>687.76599999999996</v>
      </c>
      <c r="AJ51" s="247">
        <f t="shared" si="11"/>
        <v>22.92553333333333</v>
      </c>
      <c r="AK51" s="211">
        <v>497.495</v>
      </c>
      <c r="AL51" s="211">
        <v>85.134</v>
      </c>
      <c r="AM51" s="190">
        <f t="shared" ref="AM51" si="592">AK51*2/AJ51</f>
        <v>43.400953231186193</v>
      </c>
      <c r="AN51" s="190">
        <f t="shared" ref="AN51" si="593">AM51-J51</f>
        <v>-0.36518644388024057</v>
      </c>
      <c r="AO51" s="211">
        <v>278.846</v>
      </c>
      <c r="AP51" s="211">
        <v>185.655</v>
      </c>
      <c r="AQ51" s="190">
        <f t="shared" ref="AQ51" si="594">AO51/AJ51</f>
        <v>12.163119433062992</v>
      </c>
      <c r="AR51" s="190">
        <f t="shared" ref="AR51" si="595">AQ51-W51</f>
        <v>0.49073477377955577</v>
      </c>
      <c r="AS51" s="190">
        <f t="shared" ref="AS51" si="596">AM51+AQ51</f>
        <v>55.564072664249181</v>
      </c>
      <c r="AT51" s="211">
        <v>1124.0060000000001</v>
      </c>
      <c r="AU51" s="247">
        <f t="shared" si="16"/>
        <v>37.466866666666668</v>
      </c>
      <c r="AV51" s="211">
        <v>825.24199999999996</v>
      </c>
      <c r="AW51" s="211">
        <v>97.918000000000006</v>
      </c>
      <c r="AX51" s="190">
        <f t="shared" ref="AX51" si="597">AV51*2/AU51</f>
        <v>44.051828904827907</v>
      </c>
      <c r="AY51" s="190">
        <f t="shared" ref="AY51" si="598">AX51-J51</f>
        <v>0.28568922976147348</v>
      </c>
      <c r="AZ51" s="211">
        <v>441.23500000000001</v>
      </c>
      <c r="BA51" s="211">
        <v>198.297</v>
      </c>
      <c r="BB51" s="190">
        <f t="shared" ref="BB51" si="599">AZ51/AU51</f>
        <v>11.77667201064763</v>
      </c>
      <c r="BC51" s="190">
        <f t="shared" ref="BC51" si="600">BB51-W51</f>
        <v>0.10428735136419398</v>
      </c>
      <c r="BD51" s="247">
        <f t="shared" ref="BD51" si="601">AX51+BB51</f>
        <v>55.828500915475537</v>
      </c>
      <c r="BE51" s="211">
        <v>1294.3579999999999</v>
      </c>
      <c r="BF51" s="247">
        <f t="shared" si="58"/>
        <v>43.145266666666664</v>
      </c>
      <c r="BG51" s="211">
        <v>941.71699999999998</v>
      </c>
      <c r="BH51" s="211">
        <v>108.89700000000001</v>
      </c>
      <c r="BI51" s="190">
        <f t="shared" ref="BI51" si="602">BG51*2/BF51</f>
        <v>43.653316933954905</v>
      </c>
      <c r="BJ51" s="190">
        <f t="shared" ref="BJ51" si="603">BI51-J51</f>
        <v>-0.11282274111152901</v>
      </c>
      <c r="BK51" s="211">
        <v>497.65600000000001</v>
      </c>
      <c r="BL51" s="211">
        <v>218.38399999999999</v>
      </c>
      <c r="BM51" s="190">
        <f t="shared" ref="BM51" si="604">BK51/BF51</f>
        <v>11.534428651115071</v>
      </c>
      <c r="BN51" s="190">
        <f t="shared" ref="BN51" si="605">BM51-W51</f>
        <v>-0.13795600816836462</v>
      </c>
      <c r="BO51" s="247">
        <f t="shared" ref="BO51" si="606">BM51+BI51</f>
        <v>55.187745585069976</v>
      </c>
      <c r="BP51" s="211">
        <v>725.09199999999998</v>
      </c>
      <c r="BQ51" s="247">
        <f t="shared" si="26"/>
        <v>24.169733333333333</v>
      </c>
      <c r="BR51" s="211">
        <v>537.55100000000004</v>
      </c>
      <c r="BS51" s="211">
        <v>51.210999999999999</v>
      </c>
      <c r="BT51" s="190">
        <f t="shared" ref="BT51" si="607">BR51*2/BQ51</f>
        <v>44.481334782344867</v>
      </c>
      <c r="BU51" s="190">
        <f t="shared" ref="BU51" si="608">BT51-J51</f>
        <v>0.71519510727843283</v>
      </c>
      <c r="BV51" s="211">
        <v>274.714</v>
      </c>
      <c r="BW51" s="211">
        <v>234.16800000000001</v>
      </c>
      <c r="BX51" s="190">
        <f t="shared" ref="BX51" si="609">BV51/BQ51</f>
        <v>11.366033551604486</v>
      </c>
      <c r="BY51" s="190">
        <f t="shared" ref="BY51" si="610">BX51-W51</f>
        <v>-0.30635110767894957</v>
      </c>
      <c r="BZ51" s="194">
        <f t="shared" ref="BZ51" si="611">BT51+BX51</f>
        <v>55.847368333949355</v>
      </c>
      <c r="CA51" s="211">
        <v>665.44299999999998</v>
      </c>
      <c r="CB51" s="247">
        <f t="shared" si="32"/>
        <v>22.181433333333334</v>
      </c>
      <c r="CC51" s="211">
        <v>478.00700000000001</v>
      </c>
      <c r="CD51" s="211">
        <v>69.224000000000004</v>
      </c>
      <c r="CE51" s="190">
        <f t="shared" ref="CE51" si="612">CC51*2/CB51</f>
        <v>43.099739571984372</v>
      </c>
      <c r="CF51" s="190">
        <f t="shared" ref="CF51" si="613">CE51-J51</f>
        <v>-0.66640010308206143</v>
      </c>
      <c r="CG51" s="211">
        <v>261.02600000000001</v>
      </c>
      <c r="CH51" s="211">
        <v>56.484999999999999</v>
      </c>
      <c r="CI51" s="190">
        <f t="shared" ref="CI51" si="614">CG51/CB51</f>
        <v>11.767769741360267</v>
      </c>
      <c r="CJ51" s="190">
        <f t="shared" ref="CJ51" si="615">CI51-W51</f>
        <v>9.538508207683094E-2</v>
      </c>
      <c r="CK51" s="194">
        <f t="shared" ref="CK51" si="616">CI51+CE51</f>
        <v>54.867509313344641</v>
      </c>
      <c r="CL51" s="211">
        <v>886.34299999999996</v>
      </c>
      <c r="CM51" s="247">
        <f t="shared" si="60"/>
        <v>29.544766666666664</v>
      </c>
      <c r="CN51" s="211">
        <v>646.54600000000005</v>
      </c>
      <c r="CO51" s="211">
        <v>52.774999999999999</v>
      </c>
      <c r="CP51" s="190">
        <f t="shared" ref="CP51" si="617">CN51*2/CM51</f>
        <v>43.767209759652872</v>
      </c>
      <c r="CQ51" s="190">
        <f t="shared" ref="CQ51" si="618">CP51-J51</f>
        <v>1.0700845864377584E-3</v>
      </c>
      <c r="CR51" s="211">
        <v>340.94099999999997</v>
      </c>
      <c r="CS51" s="211">
        <v>49.488</v>
      </c>
      <c r="CT51" s="190">
        <f t="shared" ref="CT51" si="619">CR51/CM51</f>
        <v>11.539810208914608</v>
      </c>
      <c r="CU51" s="190">
        <f t="shared" ref="CU51" si="620">CT51-W51</f>
        <v>-0.13257445036882842</v>
      </c>
      <c r="CV51" s="247">
        <f t="shared" ref="CV51" si="621">CP51+CT51</f>
        <v>55.307019968567481</v>
      </c>
      <c r="CW51" s="163"/>
      <c r="CX51" s="196">
        <f t="shared" ref="CX51" si="622">C51-AJ51-AU51-BF51-BQ51-CB51-CM51</f>
        <v>0</v>
      </c>
      <c r="CY51" s="196">
        <f t="shared" ref="CY51" si="623">F51-AK51-AV51-BG51-BR51-CC51-CN51</f>
        <v>0</v>
      </c>
      <c r="CZ51" s="196">
        <f t="shared" ref="CZ51" si="624">I51-AL51-AW51-BH51-BS51-CD51-CO51</f>
        <v>0</v>
      </c>
      <c r="DA51" s="196">
        <f t="shared" ref="DA51" si="625">O51-AO51-AZ51-BK51-BV51-CG51-CR51</f>
        <v>0</v>
      </c>
      <c r="DB51" s="196">
        <f t="shared" ref="DB51" si="626">Q51-AP51-BA51-BL51-BW51-CH51-CS51</f>
        <v>0</v>
      </c>
      <c r="DC51" s="196">
        <f t="shared" ref="DC51" si="627">P51-Q51-R51-S51</f>
        <v>0</v>
      </c>
      <c r="DD51" s="163"/>
      <c r="DE51" s="200">
        <v>142.92099999999999</v>
      </c>
      <c r="DF51" s="200">
        <v>81.313000000000002</v>
      </c>
      <c r="DG51" s="206">
        <f t="shared" si="584"/>
        <v>46.939911026351474</v>
      </c>
      <c r="DH51" s="191">
        <f t="shared" si="61"/>
        <v>0.56893668530167019</v>
      </c>
      <c r="DI51" s="197">
        <v>122.64100000000001</v>
      </c>
      <c r="DJ51" s="191">
        <f t="shared" si="48"/>
        <v>0.42905171388389396</v>
      </c>
      <c r="DK51" s="197">
        <v>126.726</v>
      </c>
      <c r="DL51" s="197">
        <v>122.86199999999999</v>
      </c>
      <c r="DM51" s="191">
        <f t="shared" si="62"/>
        <v>3.0490980540694101E-2</v>
      </c>
      <c r="DN51" s="200">
        <v>141.149</v>
      </c>
      <c r="DO51" s="200">
        <v>84.037000000000006</v>
      </c>
      <c r="DP51" s="200">
        <v>110.446</v>
      </c>
      <c r="DQ51" s="200">
        <f t="shared" ref="DQ51" si="628">DP51+DO51</f>
        <v>194.483</v>
      </c>
      <c r="DR51" s="191">
        <f t="shared" ref="DR51" si="629">DJ51+DH51</f>
        <v>0.99798839918556415</v>
      </c>
      <c r="DS51" s="199">
        <f t="shared" si="51"/>
        <v>1.0333085998972611</v>
      </c>
      <c r="DT51" s="200">
        <v>158.41300000000001</v>
      </c>
      <c r="DU51" s="200">
        <v>69.935000000000002</v>
      </c>
      <c r="DV51" s="200">
        <v>23.696000000000002</v>
      </c>
      <c r="DW51" s="191">
        <f t="shared" si="63"/>
        <v>0.44147260641487757</v>
      </c>
      <c r="DX51" s="197">
        <v>42.225999999999999</v>
      </c>
      <c r="DY51" s="191">
        <f t="shared" si="64"/>
        <v>0.13327820317776948</v>
      </c>
      <c r="DZ51" s="197">
        <v>47.265000000000001</v>
      </c>
      <c r="EA51" s="197">
        <v>45.661000000000001</v>
      </c>
      <c r="EB51" s="191">
        <f t="shared" si="52"/>
        <v>3.3936316513276221E-2</v>
      </c>
      <c r="EC51" s="200">
        <v>46.798999999999999</v>
      </c>
      <c r="ED51" s="206">
        <v>40</v>
      </c>
      <c r="EE51" s="200">
        <v>31.736000000000001</v>
      </c>
      <c r="EF51" s="204">
        <f t="shared" ref="EF51:EF54" si="630">EE51+ED51</f>
        <v>71.736000000000004</v>
      </c>
      <c r="EG51" s="191">
        <f t="shared" ref="EG51:EG52" si="631">DY51+DW51</f>
        <v>0.57475080959264702</v>
      </c>
      <c r="EJ51" s="202">
        <f t="shared" si="3"/>
        <v>11.576361290322579</v>
      </c>
      <c r="EK51" s="202">
        <f>'NOPA Crush'!B476*56/('NOPA Crush'!A476-'NOPA Crush'!A475)</f>
        <v>12.082581188043873</v>
      </c>
      <c r="EL51" s="203">
        <f t="shared" si="65"/>
        <v>0.95810333157767513</v>
      </c>
      <c r="EM51" s="202">
        <f t="shared" si="55"/>
        <v>4.6103548387096769</v>
      </c>
      <c r="EN51" s="202">
        <f t="shared" si="56"/>
        <v>1.0220193548387097E-2</v>
      </c>
      <c r="EO51" s="202">
        <f t="shared" si="66"/>
        <v>16.196936322580644</v>
      </c>
    </row>
    <row r="52" spans="1:145">
      <c r="A52" s="157">
        <v>43556</v>
      </c>
      <c r="B52" s="186">
        <v>5146.4030000000002</v>
      </c>
      <c r="C52" s="187">
        <f t="shared" ref="C52" si="632">B52/30</f>
        <v>171.54676666666668</v>
      </c>
      <c r="D52" s="247">
        <f>C52-'NOPA Crush'!G477</f>
        <v>11.556766666666675</v>
      </c>
      <c r="E52" s="188">
        <f>C52/'NOPA Crush'!G477-1</f>
        <v>7.2234306310811069E-2</v>
      </c>
      <c r="F52" s="189">
        <v>3763.527</v>
      </c>
      <c r="G52" s="189">
        <v>3722.5340000000001</v>
      </c>
      <c r="H52" s="189">
        <v>40.993000000000002</v>
      </c>
      <c r="I52" s="189">
        <v>337.32600000000002</v>
      </c>
      <c r="J52" s="190">
        <f t="shared" si="588"/>
        <v>43.877562639381324</v>
      </c>
      <c r="K52" s="190">
        <f t="shared" ref="K52" si="633">(F52+M52)*2/C52</f>
        <v>46.897392217438082</v>
      </c>
      <c r="L52" s="190">
        <f>K52-'NOPA Crush'!J477</f>
        <v>7.7392217438081445E-2</v>
      </c>
      <c r="M52" s="189">
        <v>259.02100000000002</v>
      </c>
      <c r="N52" s="189">
        <v>47.847000000000001</v>
      </c>
      <c r="O52" s="189">
        <v>1989.1010000000001</v>
      </c>
      <c r="P52" s="189">
        <v>1893.3510000000001</v>
      </c>
      <c r="Q52" s="189">
        <v>916.26599999999996</v>
      </c>
      <c r="R52" s="210">
        <f>P52*AVERAGE(R51/P51,R50/P50,R48/P48,R47/P47,R46/P46,R45/P45)</f>
        <v>446.28641700392586</v>
      </c>
      <c r="S52" s="210">
        <f>P52-Q52-R52</f>
        <v>530.79858299607429</v>
      </c>
      <c r="T52" s="211">
        <v>364.255</v>
      </c>
      <c r="U52" s="211">
        <f>(P52+T52)-'NOPA Crush'!Q477</f>
        <v>470.73800000000028</v>
      </c>
      <c r="V52" s="191">
        <f>((P52+T52)/'NOPA Crush'!Q477)-1</f>
        <v>0.2634430746982992</v>
      </c>
      <c r="W52" s="190">
        <f t="shared" ref="W52" si="634">O52/C52</f>
        <v>11.595094670976991</v>
      </c>
      <c r="X52" s="190">
        <f>W52-'NOPA Crush'!O477</f>
        <v>-9.4905329023008633E-2</v>
      </c>
      <c r="Y52" s="190">
        <f t="shared" si="121"/>
        <v>58.492486888415073</v>
      </c>
      <c r="Z52" s="211">
        <v>1496.9949999999999</v>
      </c>
      <c r="AA52" s="211">
        <v>1460.6510000000001</v>
      </c>
      <c r="AB52" s="191">
        <f t="shared" ref="AB52" si="635">(Z52-AA52)/Z52</f>
        <v>2.4277970200301154E-2</v>
      </c>
      <c r="AC52" s="211">
        <v>90.051000000000002</v>
      </c>
      <c r="AD52" s="211">
        <v>1528.83</v>
      </c>
      <c r="AE52" s="211">
        <v>1115.258</v>
      </c>
      <c r="AF52" s="211">
        <v>413.572</v>
      </c>
      <c r="AG52" s="191">
        <f t="shared" si="122"/>
        <v>4.6677132319767001E-2</v>
      </c>
      <c r="AH52" s="163"/>
      <c r="AI52" s="211">
        <v>597.03</v>
      </c>
      <c r="AJ52" s="247">
        <f t="shared" si="11"/>
        <v>19.901</v>
      </c>
      <c r="AK52" s="211">
        <v>431.47800000000001</v>
      </c>
      <c r="AL52" s="211">
        <v>66.795000000000002</v>
      </c>
      <c r="AM52" s="190">
        <f t="shared" ref="AM52" si="636">AK52*2/AJ52</f>
        <v>43.362444098286517</v>
      </c>
      <c r="AN52" s="190">
        <f t="shared" ref="AN52" si="637">AM52-J52</f>
        <v>-0.51511854109480737</v>
      </c>
      <c r="AO52" s="211">
        <v>242.119</v>
      </c>
      <c r="AP52" s="211">
        <v>202.12200000000001</v>
      </c>
      <c r="AQ52" s="190">
        <f t="shared" ref="AQ52" si="638">AO52/AJ52</f>
        <v>12.166172554143008</v>
      </c>
      <c r="AR52" s="190">
        <f t="shared" ref="AR52" si="639">AQ52-W52</f>
        <v>0.57107788316601749</v>
      </c>
      <c r="AS52" s="190">
        <f t="shared" ref="AS52" si="640">AM52+AQ52</f>
        <v>55.528616652429527</v>
      </c>
      <c r="AT52" s="211">
        <v>1147.4010000000001</v>
      </c>
      <c r="AU52" s="247">
        <f t="shared" si="16"/>
        <v>38.246700000000004</v>
      </c>
      <c r="AV52" s="211">
        <v>844.83</v>
      </c>
      <c r="AW52" s="211">
        <v>75.45</v>
      </c>
      <c r="AX52" s="190">
        <f t="shared" ref="AX52" si="641">AV52*2/AU52</f>
        <v>44.177929076234022</v>
      </c>
      <c r="AY52" s="190">
        <f t="shared" ref="AY52" si="642">AX52-J52</f>
        <v>0.30036643685269837</v>
      </c>
      <c r="AZ52" s="211">
        <v>446.12599999999998</v>
      </c>
      <c r="BA52" s="211">
        <v>165.01300000000001</v>
      </c>
      <c r="BB52" s="190">
        <f t="shared" ref="BB52" si="643">AZ52/AU52</f>
        <v>11.664431179683474</v>
      </c>
      <c r="BC52" s="190">
        <f t="shared" ref="BC52" si="644">BB52-W52</f>
        <v>6.9336508706483002E-2</v>
      </c>
      <c r="BD52" s="247">
        <f t="shared" ref="BD52:BD53" si="645">AX52+BB52</f>
        <v>55.842360255917498</v>
      </c>
      <c r="BE52" s="211">
        <v>1201.7829999999999</v>
      </c>
      <c r="BF52" s="247">
        <f t="shared" si="58"/>
        <v>40.059433333333331</v>
      </c>
      <c r="BG52" s="211">
        <v>884.97</v>
      </c>
      <c r="BH52" s="211">
        <v>83.71</v>
      </c>
      <c r="BI52" s="190">
        <f t="shared" ref="BI52" si="646">BG52*2/BF52</f>
        <v>44.182851646262264</v>
      </c>
      <c r="BJ52" s="190">
        <f t="shared" ref="BJ52" si="647">BI52-J52</f>
        <v>0.30528900688094041</v>
      </c>
      <c r="BK52" s="211">
        <v>461.6</v>
      </c>
      <c r="BL52" s="211">
        <v>207.46600000000001</v>
      </c>
      <c r="BM52" s="190">
        <f t="shared" ref="BM52" si="648">BK52/BF52</f>
        <v>11.522878922401134</v>
      </c>
      <c r="BN52" s="190">
        <f t="shared" ref="BN52" si="649">BM52-W52</f>
        <v>-7.2215748575857219E-2</v>
      </c>
      <c r="BO52" s="247">
        <f t="shared" ref="BO52" si="650">BM52+BI52</f>
        <v>55.705730568663398</v>
      </c>
      <c r="BP52" s="211">
        <v>694.30600000000004</v>
      </c>
      <c r="BQ52" s="247">
        <f t="shared" si="26"/>
        <v>23.143533333333334</v>
      </c>
      <c r="BR52" s="211">
        <v>513.56399999999996</v>
      </c>
      <c r="BS52" s="211">
        <v>33.887999999999998</v>
      </c>
      <c r="BT52" s="190">
        <f t="shared" ref="BT52" si="651">BR52*2/BQ52</f>
        <v>44.380777351772842</v>
      </c>
      <c r="BU52" s="190">
        <f t="shared" ref="BU52" si="652">BT52-J52</f>
        <v>0.50321471239151805</v>
      </c>
      <c r="BV52" s="211">
        <v>264.43</v>
      </c>
      <c r="BW52" s="211">
        <v>245.447</v>
      </c>
      <c r="BX52" s="190">
        <f t="shared" ref="BX52" si="653">BV52/BQ52</f>
        <v>11.425653818345225</v>
      </c>
      <c r="BY52" s="190">
        <f t="shared" ref="BY52" si="654">BX52-W52</f>
        <v>-0.16944085263176589</v>
      </c>
      <c r="BZ52" s="194">
        <f t="shared" ref="BZ52:BZ53" si="655">BT52+BX52</f>
        <v>55.806431170118067</v>
      </c>
      <c r="CA52" s="211">
        <v>672.91099999999994</v>
      </c>
      <c r="CB52" s="247">
        <f t="shared" si="32"/>
        <v>22.430366666666664</v>
      </c>
      <c r="CC52" s="211">
        <v>481.34399999999999</v>
      </c>
      <c r="CD52" s="340">
        <f>(SUM(CD46:CD51)/SUM(I46:I51))*I52-12</f>
        <v>41.820158916929671</v>
      </c>
      <c r="CE52" s="190">
        <f t="shared" ref="CE52" si="656">CC52*2/CB52</f>
        <v>42.918959565232257</v>
      </c>
      <c r="CF52" s="190">
        <f t="shared" ref="CF52" si="657">CE52-J52</f>
        <v>-0.95860307414906742</v>
      </c>
      <c r="CG52" s="211">
        <v>258.12099999999998</v>
      </c>
      <c r="CH52" s="340">
        <f>AVERAGE(CH51/(T51+P51),CH50/(P50+T50),CH49/(P49+T49),CH48/(P48+T48),CH47/(P47+T47))*(P52+T52)</f>
        <v>54.376561864768995</v>
      </c>
      <c r="CI52" s="190">
        <f t="shared" ref="CI52" si="658">CG52/CB52</f>
        <v>11.507658516505154</v>
      </c>
      <c r="CJ52" s="190">
        <f t="shared" ref="CJ52" si="659">CI52-W52</f>
        <v>-8.7436154471836502E-2</v>
      </c>
      <c r="CK52" s="194">
        <f t="shared" ref="CK52" si="660">CI52+CE52</f>
        <v>54.426618081737409</v>
      </c>
      <c r="CL52" s="211">
        <v>832.97199999999998</v>
      </c>
      <c r="CM52" s="247">
        <f t="shared" si="60"/>
        <v>27.765733333333333</v>
      </c>
      <c r="CN52" s="211">
        <v>607.34100000000001</v>
      </c>
      <c r="CO52" s="340">
        <f>I52-AL52-AW52-BH52-BS52-CD52</f>
        <v>35.662841083070361</v>
      </c>
      <c r="CP52" s="190">
        <f t="shared" ref="CP52" si="661">CN52*2/CM52</f>
        <v>43.747520925073111</v>
      </c>
      <c r="CQ52" s="190">
        <f t="shared" ref="CQ52" si="662">CP52-J52</f>
        <v>-0.13004171430821287</v>
      </c>
      <c r="CR52" s="211">
        <v>316.70499999999998</v>
      </c>
      <c r="CS52" s="340">
        <f>Q52-AP52-BA52-BL52-BW52-CH52</f>
        <v>41.841438135230966</v>
      </c>
      <c r="CT52" s="190">
        <f t="shared" ref="CT52" si="663">CR52/CM52</f>
        <v>11.406325782859447</v>
      </c>
      <c r="CU52" s="190">
        <f t="shared" ref="CU52" si="664">CT52-W52</f>
        <v>-0.18876888811754355</v>
      </c>
      <c r="CV52" s="247">
        <f t="shared" ref="CV52" si="665">CP52+CT52</f>
        <v>55.153846707932559</v>
      </c>
      <c r="CW52" s="163"/>
      <c r="CX52" s="196">
        <f t="shared" ref="CX52" si="666">C52-AJ52-AU52-BF52-BQ52-CB52-CM52</f>
        <v>0</v>
      </c>
      <c r="CY52" s="196">
        <f t="shared" ref="CY52" si="667">F52-AK52-AV52-BG52-BR52-CC52-CN52</f>
        <v>0</v>
      </c>
      <c r="CZ52" s="196">
        <f t="shared" ref="CZ52" si="668">I52-AL52-AW52-BH52-BS52-CD52-CO52</f>
        <v>0</v>
      </c>
      <c r="DA52" s="196">
        <f t="shared" ref="DA52" si="669">O52-AO52-AZ52-BK52-BV52-CG52-CR52</f>
        <v>0</v>
      </c>
      <c r="DB52" s="196">
        <f t="shared" ref="DB52" si="670">Q52-AP52-BA52-BL52-BW52-CH52-CS52</f>
        <v>0</v>
      </c>
      <c r="DC52" s="196">
        <f t="shared" ref="DC52" si="671">P52-Q52-R52-S52</f>
        <v>0</v>
      </c>
      <c r="DD52" s="163"/>
      <c r="DE52" s="200">
        <v>162.46700000000001</v>
      </c>
      <c r="DF52" s="200">
        <v>91.629000000000005</v>
      </c>
      <c r="DG52" s="206">
        <f t="shared" si="584"/>
        <v>46.313068213756964</v>
      </c>
      <c r="DH52" s="191">
        <f t="shared" si="61"/>
        <v>0.56398530163048499</v>
      </c>
      <c r="DI52" s="197">
        <v>138.93299999999999</v>
      </c>
      <c r="DJ52" s="191">
        <f t="shared" si="48"/>
        <v>0.42757298405214594</v>
      </c>
      <c r="DK52" s="197">
        <v>106.34</v>
      </c>
      <c r="DL52" s="197">
        <v>103.515</v>
      </c>
      <c r="DM52" s="191">
        <f t="shared" si="62"/>
        <v>2.6565732555952626E-2</v>
      </c>
      <c r="DN52" s="200">
        <v>142.81399999999999</v>
      </c>
      <c r="DO52" s="200">
        <v>87.825000000000003</v>
      </c>
      <c r="DP52" s="200">
        <v>108.334</v>
      </c>
      <c r="DQ52" s="200">
        <f t="shared" ref="DQ52" si="672">DP52+DO52</f>
        <v>196.15899999999999</v>
      </c>
      <c r="DR52" s="191">
        <f t="shared" ref="DR52" si="673">DJ52+DH52</f>
        <v>0.99155828568263094</v>
      </c>
      <c r="DS52" s="199">
        <f t="shared" si="51"/>
        <v>0.76540490740140943</v>
      </c>
      <c r="DT52" s="200">
        <v>133.625</v>
      </c>
      <c r="DU52" s="200">
        <v>59.88</v>
      </c>
      <c r="DV52" s="200">
        <v>25.748000000000001</v>
      </c>
      <c r="DW52" s="191">
        <f t="shared" si="63"/>
        <v>0.4481197380729654</v>
      </c>
      <c r="DX52" s="197">
        <v>37.831000000000003</v>
      </c>
      <c r="DY52" s="191">
        <f t="shared" si="64"/>
        <v>0.14155659494855005</v>
      </c>
      <c r="DZ52" s="197">
        <v>36.511000000000003</v>
      </c>
      <c r="EA52" s="197">
        <v>35.353999999999999</v>
      </c>
      <c r="EB52" s="191">
        <f t="shared" si="52"/>
        <v>3.168908000328674E-2</v>
      </c>
      <c r="EC52" s="200">
        <v>41.118000000000002</v>
      </c>
      <c r="ED52" s="200">
        <v>43.759</v>
      </c>
      <c r="EE52" s="200">
        <v>27.367000000000001</v>
      </c>
      <c r="EF52" s="195">
        <f t="shared" si="630"/>
        <v>71.126000000000005</v>
      </c>
      <c r="EG52" s="191">
        <f t="shared" si="631"/>
        <v>0.58967633302151545</v>
      </c>
      <c r="EJ52" s="202">
        <f t="shared" si="3"/>
        <v>11.436451111111113</v>
      </c>
      <c r="EK52" s="202">
        <f>'NOPA Crush'!B477*56/('NOPA Crush'!A477-'NOPA Crush'!A476)</f>
        <v>11.111044816587587</v>
      </c>
      <c r="EL52" s="203">
        <f t="shared" si="65"/>
        <v>1.0292867412466675</v>
      </c>
      <c r="EM52" s="202">
        <f t="shared" si="55"/>
        <v>5.4155666666666669</v>
      </c>
      <c r="EN52" s="202">
        <f t="shared" si="56"/>
        <v>8.9083333333333323E-3</v>
      </c>
      <c r="EO52" s="202">
        <f t="shared" si="66"/>
        <v>16.860926111111116</v>
      </c>
    </row>
    <row r="53" spans="1:145">
      <c r="A53" s="157">
        <v>43586</v>
      </c>
      <c r="B53" s="186">
        <v>4963.2709999999997</v>
      </c>
      <c r="C53" s="187">
        <f t="shared" ref="C53" si="674">B53/30</f>
        <v>165.44236666666666</v>
      </c>
      <c r="D53" s="247">
        <f>C53-'NOPA Crush'!G478</f>
        <v>10.646366666666665</v>
      </c>
      <c r="E53" s="188">
        <f>C53/'NOPA Crush'!G478-1</f>
        <v>6.8776755643987331E-2</v>
      </c>
      <c r="F53" s="189">
        <v>3660.3249999999998</v>
      </c>
      <c r="G53" s="189">
        <v>3619.2489999999998</v>
      </c>
      <c r="H53" s="189">
        <v>41.076000000000001</v>
      </c>
      <c r="I53" s="189">
        <v>276.27600000000001</v>
      </c>
      <c r="J53" s="190">
        <f t="shared" ref="J53" si="675">F53*2/C53</f>
        <v>44.248943892042163</v>
      </c>
      <c r="K53" s="190">
        <f t="shared" ref="K53" si="676">(F53+M53)*2/C53</f>
        <v>47.261799728445212</v>
      </c>
      <c r="L53" s="190">
        <f>K53-'NOPA Crush'!J478</f>
        <v>-9.8200271554787832E-2</v>
      </c>
      <c r="M53" s="189">
        <v>249.227</v>
      </c>
      <c r="N53" s="189">
        <v>35.829000000000001</v>
      </c>
      <c r="O53" s="189">
        <v>1915.9939999999999</v>
      </c>
      <c r="P53" s="189">
        <v>1662.7819999999999</v>
      </c>
      <c r="Q53" s="189">
        <v>810.91600000000005</v>
      </c>
      <c r="R53" s="189">
        <v>482.27600000000001</v>
      </c>
      <c r="S53" s="189">
        <v>369.59</v>
      </c>
      <c r="T53" s="189">
        <v>356.08499999999998</v>
      </c>
      <c r="U53" s="189">
        <f>(P53+T53)-'NOPA Crush'!Q478</f>
        <v>437.4849999999999</v>
      </c>
      <c r="V53" s="191">
        <f>((P53+T53)/'NOPA Crush'!Q478)-1</f>
        <v>0.27664726169894416</v>
      </c>
      <c r="W53" s="190">
        <f t="shared" ref="W53" si="677">O53/C53</f>
        <v>11.581035974058237</v>
      </c>
      <c r="X53" s="190">
        <f>W53-'NOPA Crush'!O478</f>
        <v>-0.18896402594176287</v>
      </c>
      <c r="Y53" s="190">
        <f t="shared" si="121"/>
        <v>58.84283570250345</v>
      </c>
      <c r="Z53" s="211">
        <v>1531.8409999999999</v>
      </c>
      <c r="AA53" s="211">
        <v>1493.7850000000001</v>
      </c>
      <c r="AB53" s="191">
        <f t="shared" ref="AB53" si="678">(Z53-AA53)/Z53</f>
        <v>2.4843309455746265E-2</v>
      </c>
      <c r="AC53" s="211">
        <v>94.210999999999999</v>
      </c>
      <c r="AD53" s="211">
        <v>1545.7570000000001</v>
      </c>
      <c r="AE53" s="211">
        <v>1121.029</v>
      </c>
      <c r="AF53" s="211">
        <v>424.72800000000001</v>
      </c>
      <c r="AG53" s="191">
        <f t="shared" si="122"/>
        <v>3.4792155497611832E-2</v>
      </c>
      <c r="AH53" s="163"/>
      <c r="AI53" s="211">
        <v>472.57</v>
      </c>
      <c r="AJ53" s="247">
        <f t="shared" si="11"/>
        <v>15.752333333333333</v>
      </c>
      <c r="AK53" s="211">
        <v>353.74799999999999</v>
      </c>
      <c r="AL53" s="211">
        <v>44.768999999999998</v>
      </c>
      <c r="AM53" s="190">
        <f t="shared" ref="AM53" si="679">AK53*2/AJ53</f>
        <v>44.913727066889564</v>
      </c>
      <c r="AN53" s="190">
        <f t="shared" ref="AN53" si="680">AM53-J53</f>
        <v>0.66478317484740046</v>
      </c>
      <c r="AO53" s="211">
        <v>196.66300000000001</v>
      </c>
      <c r="AP53" s="211">
        <v>177.85599999999999</v>
      </c>
      <c r="AQ53" s="190">
        <f t="shared" ref="AQ53" si="681">AO53/AJ53</f>
        <v>12.484690098821339</v>
      </c>
      <c r="AR53" s="190">
        <f t="shared" ref="AR53" si="682">AQ53-W53</f>
        <v>0.90365412476310247</v>
      </c>
      <c r="AS53" s="190">
        <f t="shared" ref="AS53" si="683">AM53+AQ53</f>
        <v>57.398417165710903</v>
      </c>
      <c r="AT53" s="211">
        <v>1126.0999999999999</v>
      </c>
      <c r="AU53" s="247">
        <f t="shared" si="16"/>
        <v>37.536666666666662</v>
      </c>
      <c r="AV53" s="211">
        <v>829.49599999999998</v>
      </c>
      <c r="AW53" s="211">
        <v>79.635999999999996</v>
      </c>
      <c r="AX53" s="190">
        <f t="shared" ref="AX53" si="684">AV53*2/AU53</f>
        <v>44.196572240475987</v>
      </c>
      <c r="AY53" s="190">
        <f t="shared" ref="AY53" si="685">AX53-J53</f>
        <v>-5.237165156617607E-2</v>
      </c>
      <c r="AZ53" s="211">
        <v>435.84100000000001</v>
      </c>
      <c r="BA53" s="211">
        <v>150.47</v>
      </c>
      <c r="BB53" s="190">
        <f t="shared" ref="BB53" si="686">AZ53/AU53</f>
        <v>11.611073616907914</v>
      </c>
      <c r="BC53" s="190">
        <f t="shared" ref="BC53" si="687">BB53-W53</f>
        <v>3.0037642849677582E-2</v>
      </c>
      <c r="BD53" s="247">
        <f t="shared" si="645"/>
        <v>55.807645857383903</v>
      </c>
      <c r="BE53" s="211">
        <v>1160.768</v>
      </c>
      <c r="BF53" s="247">
        <f t="shared" si="58"/>
        <v>38.692266666666669</v>
      </c>
      <c r="BG53" s="211">
        <v>850.46299999999997</v>
      </c>
      <c r="BH53" s="211">
        <v>67.263000000000005</v>
      </c>
      <c r="BI53" s="190">
        <f t="shared" ref="BI53" si="688">BG53*2/BF53</f>
        <v>43.960360726691292</v>
      </c>
      <c r="BJ53" s="190">
        <f t="shared" ref="BJ53" si="689">BI53-J53</f>
        <v>-0.2885831653508717</v>
      </c>
      <c r="BK53" s="211">
        <v>436.81299999999999</v>
      </c>
      <c r="BL53" s="211">
        <v>177.673</v>
      </c>
      <c r="BM53" s="190">
        <f t="shared" ref="BM53" si="690">BK53/BF53</f>
        <v>11.289413560677069</v>
      </c>
      <c r="BN53" s="190">
        <f t="shared" ref="BN53" si="691">BM53-W53</f>
        <v>-0.29162241338116779</v>
      </c>
      <c r="BO53" s="247">
        <f t="shared" ref="BO53" si="692">BM53+BI53</f>
        <v>55.249774287368361</v>
      </c>
      <c r="BP53" s="211">
        <v>686.49599999999998</v>
      </c>
      <c r="BQ53" s="247">
        <f t="shared" si="26"/>
        <v>22.883199999999999</v>
      </c>
      <c r="BR53" s="211">
        <v>515.10299999999995</v>
      </c>
      <c r="BS53" s="211">
        <v>24.175999999999998</v>
      </c>
      <c r="BT53" s="190">
        <f t="shared" ref="BT53" si="693">BR53*2/BQ53</f>
        <v>45.020189483988254</v>
      </c>
      <c r="BU53" s="190">
        <f t="shared" ref="BU53" si="694">BT53-J53</f>
        <v>0.77124559194609077</v>
      </c>
      <c r="BV53" s="211">
        <v>258.86</v>
      </c>
      <c r="BW53" s="211">
        <v>212.44900000000001</v>
      </c>
      <c r="BX53" s="190">
        <f t="shared" ref="BX53" si="695">BV53/BQ53</f>
        <v>11.312229058872886</v>
      </c>
      <c r="BY53" s="190">
        <f t="shared" ref="BY53" si="696">BX53-W53</f>
        <v>-0.26880691518535116</v>
      </c>
      <c r="BZ53" s="194">
        <f t="shared" si="655"/>
        <v>56.332418542861141</v>
      </c>
      <c r="CA53" s="211">
        <v>669.54600000000005</v>
      </c>
      <c r="CB53" s="247">
        <f t="shared" si="32"/>
        <v>22.318200000000001</v>
      </c>
      <c r="CC53" s="211">
        <v>486.25299999999999</v>
      </c>
      <c r="CD53" s="211">
        <v>25.721</v>
      </c>
      <c r="CE53" s="190">
        <f t="shared" ref="CE53" si="697">CC53*2/CB53</f>
        <v>43.574571426011055</v>
      </c>
      <c r="CF53" s="190">
        <f t="shared" ref="CF53" si="698">CE53-J53</f>
        <v>-0.67437246603110879</v>
      </c>
      <c r="CG53" s="211">
        <v>262.63200000000001</v>
      </c>
      <c r="CH53" s="211">
        <v>47.481999999999999</v>
      </c>
      <c r="CI53" s="190">
        <f t="shared" ref="CI53" si="699">CG53/CB53</f>
        <v>11.76761566793021</v>
      </c>
      <c r="CJ53" s="190">
        <f t="shared" ref="CJ53" si="700">CI53-W53</f>
        <v>0.18657969387197326</v>
      </c>
      <c r="CK53" s="194">
        <f t="shared" ref="CK53" si="701">CI53+CE53</f>
        <v>55.342187093941263</v>
      </c>
      <c r="CL53" s="211">
        <v>847.79100000000005</v>
      </c>
      <c r="CM53" s="247">
        <f t="shared" si="60"/>
        <v>28.259700000000002</v>
      </c>
      <c r="CN53" s="211">
        <v>625.26199999999994</v>
      </c>
      <c r="CO53" s="211">
        <v>34.710999999999999</v>
      </c>
      <c r="CP53" s="190">
        <f t="shared" ref="CP53" si="702">CN53*2/CM53</f>
        <v>44.251142085726308</v>
      </c>
      <c r="CQ53" s="190">
        <f t="shared" ref="CQ53" si="703">CP53-J53</f>
        <v>2.1981936841442007E-3</v>
      </c>
      <c r="CR53" s="211">
        <v>325.185</v>
      </c>
      <c r="CS53" s="211">
        <v>44.985999999999997</v>
      </c>
      <c r="CT53" s="190">
        <f t="shared" ref="CT53" si="704">CR53/CM53</f>
        <v>11.507022367541056</v>
      </c>
      <c r="CU53" s="190">
        <f t="shared" ref="CU53" si="705">CT53-W53</f>
        <v>-7.4013606517180364E-2</v>
      </c>
      <c r="CV53" s="247">
        <f t="shared" ref="CV53" si="706">CP53+CT53</f>
        <v>55.758164453267362</v>
      </c>
      <c r="CW53" s="163"/>
      <c r="CX53" s="196">
        <f t="shared" ref="CX53" si="707">C53-AJ53-AU53-BF53-BQ53-CB53-CM53</f>
        <v>0</v>
      </c>
      <c r="CY53" s="196">
        <f t="shared" ref="CY53" si="708">F53-AK53-AV53-BG53-BR53-CC53-CN53</f>
        <v>0</v>
      </c>
      <c r="CZ53" s="196">
        <f t="shared" ref="CZ53" si="709">I53-AL53-AW53-BH53-BS53-CD53-CO53</f>
        <v>0</v>
      </c>
      <c r="DA53" s="196">
        <f t="shared" ref="DA53" si="710">O53-AO53-AZ53-BK53-BV53-CG53-CR53</f>
        <v>0</v>
      </c>
      <c r="DB53" s="196">
        <f t="shared" ref="DB53" si="711">Q53-AP53-BA53-BL53-BW53-CH53-CS53</f>
        <v>0</v>
      </c>
      <c r="DC53" s="196">
        <f t="shared" ref="DC53" si="712">P53-Q53-R53-S53</f>
        <v>0</v>
      </c>
      <c r="DD53" s="163"/>
      <c r="DE53" s="200">
        <v>133.79</v>
      </c>
      <c r="DF53" s="200">
        <v>75.656999999999996</v>
      </c>
      <c r="DG53" s="206">
        <f t="shared" si="584"/>
        <v>46.935474749819662</v>
      </c>
      <c r="DH53" s="191">
        <f t="shared" si="61"/>
        <v>0.56549069437177668</v>
      </c>
      <c r="DI53" s="197">
        <v>113.16500000000001</v>
      </c>
      <c r="DJ53" s="191">
        <f t="shared" si="48"/>
        <v>0.422920248150086</v>
      </c>
      <c r="DK53" s="197">
        <v>118.24</v>
      </c>
      <c r="DL53" s="197">
        <v>115.34399999999999</v>
      </c>
      <c r="DM53" s="191">
        <f t="shared" si="62"/>
        <v>2.4492557510148893E-2</v>
      </c>
      <c r="DN53" s="200">
        <v>136.66300000000001</v>
      </c>
      <c r="DO53" s="200">
        <v>77.52</v>
      </c>
      <c r="DP53" s="200">
        <v>105.005</v>
      </c>
      <c r="DQ53" s="200">
        <f t="shared" ref="DQ53" si="713">DP53+DO53</f>
        <v>182.52499999999998</v>
      </c>
      <c r="DR53" s="191">
        <f t="shared" ref="DR53" si="714">DJ53+DH53</f>
        <v>0.98841094252186268</v>
      </c>
      <c r="DS53" s="199">
        <f t="shared" si="51"/>
        <v>1.0448460212963371</v>
      </c>
      <c r="DT53" s="200">
        <v>121.057</v>
      </c>
      <c r="DU53" s="200">
        <v>55.707999999999998</v>
      </c>
      <c r="DV53" s="200">
        <v>34.563000000000002</v>
      </c>
      <c r="DW53" s="191">
        <f t="shared" si="63"/>
        <v>0.46017991524653673</v>
      </c>
      <c r="DX53" s="197">
        <v>31.983000000000001</v>
      </c>
      <c r="DY53" s="191">
        <f t="shared" si="64"/>
        <v>0.13209892860388081</v>
      </c>
      <c r="DZ53" s="197">
        <v>39.741999999999997</v>
      </c>
      <c r="EA53" s="197">
        <v>38.462000000000003</v>
      </c>
      <c r="EB53" s="191">
        <f t="shared" si="52"/>
        <v>3.2207739922499923E-2</v>
      </c>
      <c r="EC53" s="200">
        <v>47.040999999999997</v>
      </c>
      <c r="ED53" s="200">
        <v>37.514000000000003</v>
      </c>
      <c r="EE53" s="200">
        <v>20.945</v>
      </c>
      <c r="EF53" s="195">
        <f t="shared" si="630"/>
        <v>58.459000000000003</v>
      </c>
      <c r="EG53" s="191">
        <f t="shared" ref="EG53" si="715">DY53+DW53</f>
        <v>0.59227884385041751</v>
      </c>
      <c r="EJ53" s="202">
        <f t="shared" si="3"/>
        <v>10.673701075268816</v>
      </c>
      <c r="EK53" s="202">
        <f>'NOPA Crush'!B478*56/('NOPA Crush'!A478-'NOPA Crush'!A477)</f>
        <v>11.681331848044788</v>
      </c>
      <c r="EL53" s="203">
        <f t="shared" si="65"/>
        <v>0.9137400781106455</v>
      </c>
      <c r="EM53" s="202">
        <f t="shared" si="55"/>
        <v>4.3158064516129029</v>
      </c>
      <c r="EN53" s="202">
        <f t="shared" si="56"/>
        <v>7.8101290322580641E-3</v>
      </c>
      <c r="EO53" s="202">
        <f t="shared" si="66"/>
        <v>14.997317655913978</v>
      </c>
    </row>
    <row r="54" spans="1:145">
      <c r="A54" s="157">
        <v>43617</v>
      </c>
      <c r="B54" s="186">
        <v>4729.1369999999997</v>
      </c>
      <c r="C54" s="187">
        <v>157.6379</v>
      </c>
      <c r="D54" s="247">
        <v>8.7949000000000126</v>
      </c>
      <c r="E54" s="188">
        <v>5.9088435465557865E-2</v>
      </c>
      <c r="F54" s="189">
        <v>3453.1779999999999</v>
      </c>
      <c r="G54" s="189">
        <v>3406.4470000000001</v>
      </c>
      <c r="H54" s="189">
        <v>46.731000000000002</v>
      </c>
      <c r="I54" s="189">
        <v>376.02499999999998</v>
      </c>
      <c r="J54" s="190">
        <v>43.81151994539384</v>
      </c>
      <c r="K54" s="190">
        <v>46.896374539371557</v>
      </c>
      <c r="L54" s="190">
        <v>-5.3625460628445865E-2</v>
      </c>
      <c r="M54" s="189">
        <v>243.14500000000001</v>
      </c>
      <c r="N54" s="189">
        <v>48.430999999999997</v>
      </c>
      <c r="O54" s="189">
        <v>1811.481</v>
      </c>
      <c r="P54" s="189">
        <v>1595.2729999999999</v>
      </c>
      <c r="Q54" s="189">
        <v>802.21500000000003</v>
      </c>
      <c r="R54" s="189">
        <v>402.875</v>
      </c>
      <c r="S54" s="189">
        <v>390.18299999999999</v>
      </c>
      <c r="T54" s="189">
        <v>419.14699999999999</v>
      </c>
      <c r="U54" s="189">
        <v>478.95299999999975</v>
      </c>
      <c r="V54" s="191">
        <v>0.31192659952965429</v>
      </c>
      <c r="W54" s="190">
        <v>11.491405302912561</v>
      </c>
      <c r="X54" s="190">
        <v>-0.1785946970874388</v>
      </c>
      <c r="Y54" s="190">
        <v>58.387779842284118</v>
      </c>
      <c r="Z54" s="211">
        <v>1438.2329999999999</v>
      </c>
      <c r="AA54" s="211">
        <v>1411.4960000000001</v>
      </c>
      <c r="AB54" s="191">
        <v>1.8590172802320525E-2</v>
      </c>
      <c r="AC54" s="211">
        <v>91.283000000000001</v>
      </c>
      <c r="AD54" s="211">
        <v>1455.63</v>
      </c>
      <c r="AE54" s="211">
        <v>1038.1780000000001</v>
      </c>
      <c r="AF54" s="211">
        <v>417.452</v>
      </c>
      <c r="AG54" s="191">
        <f t="shared" si="122"/>
        <v>3.126753458741649E-2</v>
      </c>
      <c r="AH54" s="163"/>
      <c r="AI54" s="211">
        <v>513.58799999999997</v>
      </c>
      <c r="AJ54" s="247">
        <v>17.119599999999998</v>
      </c>
      <c r="AK54" s="211">
        <v>374.72</v>
      </c>
      <c r="AL54" s="211">
        <v>77.453999999999994</v>
      </c>
      <c r="AM54" s="190">
        <v>43.776723755227934</v>
      </c>
      <c r="AN54" s="190">
        <v>-3.4796190165906182E-2</v>
      </c>
      <c r="AO54" s="211">
        <v>204.79499999999999</v>
      </c>
      <c r="AP54" s="211">
        <v>151.49199999999999</v>
      </c>
      <c r="AQ54" s="190">
        <v>11.962604266454823</v>
      </c>
      <c r="AR54" s="190">
        <v>0.47119896354226221</v>
      </c>
      <c r="AS54" s="190">
        <v>55.739328021682759</v>
      </c>
      <c r="AT54" s="211">
        <v>921.58799999999997</v>
      </c>
      <c r="AU54" s="247">
        <v>30.7196</v>
      </c>
      <c r="AV54" s="211">
        <v>679.98800000000006</v>
      </c>
      <c r="AW54" s="211">
        <v>85.736000000000004</v>
      </c>
      <c r="AX54" s="190">
        <v>44.270628523808909</v>
      </c>
      <c r="AY54" s="190">
        <v>0.45910857841506925</v>
      </c>
      <c r="AZ54" s="211">
        <v>357.53300000000002</v>
      </c>
      <c r="BA54" s="211">
        <v>146.37899999999999</v>
      </c>
      <c r="BB54" s="190">
        <v>11.638595554629617</v>
      </c>
      <c r="BC54" s="190">
        <v>0.14719025171705624</v>
      </c>
      <c r="BD54" s="247">
        <v>55.909224078438527</v>
      </c>
      <c r="BE54" s="211">
        <v>1212.672</v>
      </c>
      <c r="BF54" s="247">
        <v>40.422400000000003</v>
      </c>
      <c r="BG54" s="211">
        <v>883.79100000000005</v>
      </c>
      <c r="BH54" s="211">
        <v>92.581000000000003</v>
      </c>
      <c r="BI54" s="190">
        <v>43.727784594680173</v>
      </c>
      <c r="BJ54" s="190">
        <v>-8.373535071366689E-2</v>
      </c>
      <c r="BK54" s="211">
        <v>455.34399999999999</v>
      </c>
      <c r="BL54" s="211">
        <v>189.761</v>
      </c>
      <c r="BM54" s="190">
        <v>11.264645345155161</v>
      </c>
      <c r="BN54" s="190">
        <v>-0.22675995775739999</v>
      </c>
      <c r="BO54" s="247">
        <v>54.992429939835333</v>
      </c>
      <c r="BP54" s="211">
        <v>702.62900000000002</v>
      </c>
      <c r="BQ54" s="247">
        <v>23.420966666666668</v>
      </c>
      <c r="BR54" s="211">
        <v>516.09400000000005</v>
      </c>
      <c r="BS54" s="211">
        <v>30.992000000000001</v>
      </c>
      <c r="BT54" s="190">
        <v>44.071110073737351</v>
      </c>
      <c r="BU54" s="190">
        <v>0.25959012834351114</v>
      </c>
      <c r="BV54" s="211">
        <v>264.60000000000002</v>
      </c>
      <c r="BW54" s="211">
        <v>215.62200000000001</v>
      </c>
      <c r="BX54" s="190">
        <v>11.297569556622342</v>
      </c>
      <c r="BY54" s="190">
        <v>-0.19383574629021894</v>
      </c>
      <c r="BZ54" s="194">
        <v>55.368679630359694</v>
      </c>
      <c r="CA54" s="211">
        <v>516.57799999999997</v>
      </c>
      <c r="CB54" s="247">
        <v>17.219266666666666</v>
      </c>
      <c r="CC54" s="211">
        <v>365.78300000000002</v>
      </c>
      <c r="CD54" s="211">
        <v>31.48</v>
      </c>
      <c r="CE54" s="190">
        <v>42.485316835018139</v>
      </c>
      <c r="CF54" s="190">
        <v>-1.326203110375701</v>
      </c>
      <c r="CG54" s="211">
        <v>197.226</v>
      </c>
      <c r="CH54" s="211">
        <v>56.807000000000002</v>
      </c>
      <c r="CI54" s="190">
        <v>11.453797877571247</v>
      </c>
      <c r="CJ54" s="190">
        <v>-3.7607425341313672E-2</v>
      </c>
      <c r="CK54" s="194">
        <v>53.939114712589387</v>
      </c>
      <c r="CL54" s="211">
        <v>862.08199999999999</v>
      </c>
      <c r="CM54" s="247">
        <v>28.736066666666666</v>
      </c>
      <c r="CN54" s="211">
        <v>632.80200000000002</v>
      </c>
      <c r="CO54" s="211">
        <v>57.781999999999996</v>
      </c>
      <c r="CP54" s="190">
        <v>44.042353279618418</v>
      </c>
      <c r="CQ54" s="190">
        <v>0.23083333422457741</v>
      </c>
      <c r="CR54" s="211">
        <v>331.983</v>
      </c>
      <c r="CS54" s="211">
        <v>42.154000000000003</v>
      </c>
      <c r="CT54" s="190">
        <v>11.552833721154137</v>
      </c>
      <c r="CU54" s="190">
        <v>6.1428418241575855E-2</v>
      </c>
      <c r="CV54" s="247">
        <v>55.595187000772555</v>
      </c>
      <c r="CW54" s="163"/>
      <c r="CX54" s="196">
        <v>0</v>
      </c>
      <c r="CY54" s="196">
        <v>-9.0949470177292824E-13</v>
      </c>
      <c r="CZ54" s="196">
        <v>0</v>
      </c>
      <c r="DA54" s="196">
        <v>0</v>
      </c>
      <c r="DB54" s="196">
        <v>6.3948846218409017E-14</v>
      </c>
      <c r="DC54" s="196">
        <v>0</v>
      </c>
      <c r="DD54" s="163"/>
      <c r="DE54" s="200">
        <v>125.124</v>
      </c>
      <c r="DF54" s="200">
        <v>72.608000000000004</v>
      </c>
      <c r="DG54" s="206">
        <f t="shared" si="584"/>
        <v>46.459965030300758</v>
      </c>
      <c r="DH54" s="191">
        <v>0.58028835395287881</v>
      </c>
      <c r="DI54" s="197">
        <v>108.33199999999999</v>
      </c>
      <c r="DJ54" s="191">
        <v>0.43289856462389309</v>
      </c>
      <c r="DK54" s="197">
        <v>112.974</v>
      </c>
      <c r="DL54" s="197">
        <v>109.65600000000001</v>
      </c>
      <c r="DM54" s="191">
        <v>2.9369589463062229E-2</v>
      </c>
      <c r="DN54" s="200">
        <v>142.953</v>
      </c>
      <c r="DO54" s="200">
        <v>66.768000000000001</v>
      </c>
      <c r="DP54" s="200">
        <v>87.067999999999998</v>
      </c>
      <c r="DQ54" s="200">
        <v>153.83600000000001</v>
      </c>
      <c r="DR54" s="191">
        <v>1.0131869185767719</v>
      </c>
      <c r="DS54" s="199">
        <f t="shared" si="51"/>
        <v>1.0428497581508696</v>
      </c>
      <c r="DT54" s="200">
        <v>122.379</v>
      </c>
      <c r="DU54" s="200">
        <v>55.097000000000001</v>
      </c>
      <c r="DV54" s="200">
        <v>48.402000000000001</v>
      </c>
      <c r="DW54" s="191">
        <v>0.45021613185268716</v>
      </c>
      <c r="DX54" s="197">
        <v>35.572000000000003</v>
      </c>
      <c r="DY54" s="191">
        <v>0.1453353925101529</v>
      </c>
      <c r="DZ54" s="197">
        <v>41.564</v>
      </c>
      <c r="EA54" s="197">
        <v>40.295999999999999</v>
      </c>
      <c r="EB54" s="191">
        <v>3.0507169666057155E-2</v>
      </c>
      <c r="EC54" s="200">
        <v>38.671999999999997</v>
      </c>
      <c r="ED54" s="200">
        <v>33.015000000000001</v>
      </c>
      <c r="EE54" s="200">
        <v>24.596</v>
      </c>
      <c r="EF54" s="195">
        <f t="shared" si="630"/>
        <v>57.611000000000004</v>
      </c>
      <c r="EG54" s="191">
        <v>0.59555152436284009</v>
      </c>
      <c r="EJ54" s="202">
        <f t="shared" si="3"/>
        <v>10.509193333333334</v>
      </c>
      <c r="EK54" s="202">
        <f>'NOPA Crush'!B479*56/('NOPA Crush'!A479-'NOPA Crush'!A478)</f>
        <v>11.29754908924888</v>
      </c>
      <c r="EL54" s="203">
        <f t="shared" si="65"/>
        <v>0.93021886873978965</v>
      </c>
      <c r="EM54" s="202">
        <f t="shared" si="55"/>
        <v>4.1707999999999998</v>
      </c>
      <c r="EN54" s="202">
        <f t="shared" si="56"/>
        <v>8.1586000000000002E-3</v>
      </c>
      <c r="EO54" s="202">
        <f t="shared" si="66"/>
        <v>14.688151933333334</v>
      </c>
    </row>
    <row r="55" spans="1:145">
      <c r="A55" s="157">
        <v>43647</v>
      </c>
      <c r="B55" s="186">
        <v>5383.8959999999997</v>
      </c>
      <c r="C55" s="187">
        <f t="shared" ref="C55" si="716">B55/30</f>
        <v>179.4632</v>
      </c>
      <c r="D55" s="247">
        <f>C55-'NOPA Crush'!G480</f>
        <v>11.370200000000011</v>
      </c>
      <c r="E55" s="188">
        <f>C55/'NOPA Crush'!G480-1</f>
        <v>6.7642317050680356E-2</v>
      </c>
      <c r="F55" s="189">
        <v>3918.9070000000002</v>
      </c>
      <c r="G55" s="189">
        <v>3872.8560000000002</v>
      </c>
      <c r="H55" s="189">
        <v>46.051000000000002</v>
      </c>
      <c r="I55" s="189">
        <v>345.45</v>
      </c>
      <c r="J55" s="190">
        <f t="shared" ref="J55" si="717">F55*2/C55</f>
        <v>43.673655657538703</v>
      </c>
      <c r="K55" s="190">
        <f t="shared" ref="K55" si="718">(F55+M55)*2/C55</f>
        <v>46.653286021869668</v>
      </c>
      <c r="L55" s="190">
        <f>K55-'NOPA Crush'!J480</f>
        <v>-0.11671397813033479</v>
      </c>
      <c r="M55" s="189">
        <v>267.36700000000002</v>
      </c>
      <c r="N55" s="189">
        <v>39.762</v>
      </c>
      <c r="O55" s="189">
        <v>2090.1680000000001</v>
      </c>
      <c r="P55" s="189">
        <v>1652.854</v>
      </c>
      <c r="Q55" s="189">
        <v>790.11900000000003</v>
      </c>
      <c r="R55" s="189">
        <v>423.12400000000002</v>
      </c>
      <c r="S55" s="189">
        <v>439.61099999999999</v>
      </c>
      <c r="T55" s="189">
        <v>386.64699999999999</v>
      </c>
      <c r="U55" s="189">
        <f>(P55+T55)-'NOPA Crush'!Q480</f>
        <v>572.36999999999989</v>
      </c>
      <c r="V55" s="191">
        <f>((P55+T55)/'NOPA Crush'!Q480)-1</f>
        <v>0.39012876150800424</v>
      </c>
      <c r="W55" s="190">
        <f t="shared" ref="W55" si="719">O55/C55</f>
        <v>11.646777723789613</v>
      </c>
      <c r="X55" s="190">
        <f>W55-'NOPA Crush'!O480</f>
        <v>-8.3222276210387136E-2</v>
      </c>
      <c r="Y55" s="190">
        <f t="shared" ref="Y55:Y87" si="720">K55+W55</f>
        <v>58.30006374565928</v>
      </c>
      <c r="Z55" s="211">
        <v>1550.144</v>
      </c>
      <c r="AA55" s="211">
        <v>1514.4680000000001</v>
      </c>
      <c r="AB55" s="191">
        <f t="shared" ref="AB55" si="721">(Z55-AA55)/Z55</f>
        <v>2.3014636059617642E-2</v>
      </c>
      <c r="AC55" s="211">
        <v>97.319000000000003</v>
      </c>
      <c r="AD55" s="211">
        <v>1602.979</v>
      </c>
      <c r="AE55" s="211">
        <v>1131.172</v>
      </c>
      <c r="AF55" s="211">
        <v>471.80700000000002</v>
      </c>
      <c r="AG55" s="191">
        <f t="shared" si="122"/>
        <v>5.8443625088149709E-2</v>
      </c>
      <c r="AH55" s="163"/>
      <c r="AI55" s="211">
        <v>692.12599999999998</v>
      </c>
      <c r="AJ55" s="247">
        <f t="shared" si="11"/>
        <v>23.070866666666667</v>
      </c>
      <c r="AK55" s="211">
        <v>493.459</v>
      </c>
      <c r="AL55" s="211">
        <v>61.149000000000001</v>
      </c>
      <c r="AM55" s="190">
        <f t="shared" ref="AM55" si="722">AK55*2/AJ55</f>
        <v>42.777673429404473</v>
      </c>
      <c r="AN55" s="190">
        <f t="shared" ref="AN55" si="723">AM55-J55</f>
        <v>-0.89598222813422979</v>
      </c>
      <c r="AO55" s="211">
        <v>277.06400000000002</v>
      </c>
      <c r="AP55" s="340">
        <f>(SUM(AP45:AP54)/SUM(Q45:Q54))*Q55+25</f>
        <v>165.03307521668526</v>
      </c>
      <c r="AQ55" s="190">
        <f t="shared" ref="AQ55" si="724">AO55/AJ55</f>
        <v>12.009258429823472</v>
      </c>
      <c r="AR55" s="190">
        <f t="shared" ref="AR55" si="725">AQ55-W55</f>
        <v>0.36248070603385862</v>
      </c>
      <c r="AS55" s="190">
        <f t="shared" ref="AS55" si="726">AM55+AQ55</f>
        <v>54.786931859227948</v>
      </c>
      <c r="AT55" s="211">
        <v>1104.4000000000001</v>
      </c>
      <c r="AU55" s="247">
        <f t="shared" si="16"/>
        <v>36.81333333333334</v>
      </c>
      <c r="AV55" s="211">
        <v>806.23699999999997</v>
      </c>
      <c r="AW55" s="211">
        <v>67.870999999999995</v>
      </c>
      <c r="AX55" s="190">
        <f t="shared" ref="AX55" si="727">AV55*2/AU55</f>
        <v>43.801358203549427</v>
      </c>
      <c r="AY55" s="190">
        <f t="shared" ref="AY55" si="728">AX55-J55</f>
        <v>0.12770254601072395</v>
      </c>
      <c r="AZ55" s="211">
        <v>430.44299999999998</v>
      </c>
      <c r="BA55" s="211">
        <v>116.694</v>
      </c>
      <c r="BB55" s="190">
        <f t="shared" ref="BB55" si="729">AZ55/AU55</f>
        <v>11.692584208620064</v>
      </c>
      <c r="BC55" s="190">
        <f t="shared" ref="BC55" si="730">BB55-W55</f>
        <v>4.5806484830450245E-2</v>
      </c>
      <c r="BD55" s="247">
        <f t="shared" ref="BD55" si="731">AX55+BB55</f>
        <v>55.493942412169488</v>
      </c>
      <c r="BE55" s="211">
        <v>1266.2149999999999</v>
      </c>
      <c r="BF55" s="247">
        <f t="shared" si="58"/>
        <v>42.207166666666666</v>
      </c>
      <c r="BG55" s="211">
        <v>919.601</v>
      </c>
      <c r="BH55" s="211">
        <v>94.54</v>
      </c>
      <c r="BI55" s="190">
        <f t="shared" ref="BI55" si="732">BG55*2/BF55</f>
        <v>43.575585504831331</v>
      </c>
      <c r="BJ55" s="190">
        <f t="shared" ref="BJ55" si="733">BI55-J55</f>
        <v>-9.807015270737196E-2</v>
      </c>
      <c r="BK55" s="211">
        <v>490.88600000000002</v>
      </c>
      <c r="BL55" s="211">
        <v>199.453</v>
      </c>
      <c r="BM55" s="190">
        <f t="shared" ref="BM55" si="734">BK55/BF55</f>
        <v>11.63039452225728</v>
      </c>
      <c r="BN55" s="190">
        <f t="shared" ref="BN55" si="735">BM55-W55</f>
        <v>-1.6383201532333302E-2</v>
      </c>
      <c r="BO55" s="247">
        <f t="shared" ref="BO55" si="736">BM55+BI55</f>
        <v>55.205980027088614</v>
      </c>
      <c r="BP55" s="211">
        <v>766.90800000000002</v>
      </c>
      <c r="BQ55" s="247">
        <f t="shared" si="26"/>
        <v>25.563600000000001</v>
      </c>
      <c r="BR55" s="211">
        <v>571.22299999999996</v>
      </c>
      <c r="BS55" s="211">
        <v>32.82</v>
      </c>
      <c r="BT55" s="190">
        <f t="shared" ref="BT55" si="737">BR55*2/BQ55</f>
        <v>44.690340953543313</v>
      </c>
      <c r="BU55" s="190">
        <f t="shared" ref="BU55" si="738">BT55-J55</f>
        <v>1.01668529600461</v>
      </c>
      <c r="BV55" s="211">
        <v>291.82499999999999</v>
      </c>
      <c r="BW55" s="211">
        <v>209.971</v>
      </c>
      <c r="BX55" s="190">
        <f t="shared" ref="BX55" si="739">BV55/BQ55</f>
        <v>11.415645683706519</v>
      </c>
      <c r="BY55" s="190">
        <f t="shared" ref="BY55" si="740">BX55-W55</f>
        <v>-0.23113204008309474</v>
      </c>
      <c r="BZ55" s="194">
        <f t="shared" ref="BZ55" si="741">BT55+BX55</f>
        <v>56.105986637249828</v>
      </c>
      <c r="CA55" s="211">
        <v>645.22299999999996</v>
      </c>
      <c r="CB55" s="247">
        <f t="shared" si="32"/>
        <v>21.507433333333331</v>
      </c>
      <c r="CC55" s="211">
        <v>464.53899999999999</v>
      </c>
      <c r="CD55" s="211">
        <v>48.088000000000001</v>
      </c>
      <c r="CE55" s="190">
        <f t="shared" ref="CE55" si="742">CC55*2/CB55</f>
        <v>43.197995111767561</v>
      </c>
      <c r="CF55" s="190">
        <f t="shared" ref="CF55" si="743">CE55-J55</f>
        <v>-0.47566054577114159</v>
      </c>
      <c r="CG55" s="211">
        <v>248.74100000000001</v>
      </c>
      <c r="CH55" s="211">
        <v>54.633000000000003</v>
      </c>
      <c r="CI55" s="190">
        <f t="shared" ref="CI55" si="744">CG55/CB55</f>
        <v>11.565350274246271</v>
      </c>
      <c r="CJ55" s="190">
        <f t="shared" ref="CJ55" si="745">CI55-W55</f>
        <v>-8.1427449543342689E-2</v>
      </c>
      <c r="CK55" s="194">
        <f t="shared" ref="CK55" si="746">CI55+CE55</f>
        <v>54.763345386013832</v>
      </c>
      <c r="CL55" s="211">
        <v>909.024</v>
      </c>
      <c r="CM55" s="247">
        <f t="shared" si="60"/>
        <v>30.300799999999999</v>
      </c>
      <c r="CN55" s="211">
        <v>663.84799999999996</v>
      </c>
      <c r="CO55" s="211">
        <v>40.981999999999999</v>
      </c>
      <c r="CP55" s="190">
        <f t="shared" ref="CP55" si="747">CN55*2/CM55</f>
        <v>43.817192945400784</v>
      </c>
      <c r="CQ55" s="190">
        <f t="shared" ref="CQ55" si="748">CP55-J55</f>
        <v>0.14353728786208109</v>
      </c>
      <c r="CR55" s="211">
        <v>351.209</v>
      </c>
      <c r="CS55" s="340">
        <f>Q55-AP55-BA55-BL55-BW55-CH55</f>
        <v>44.33492478331474</v>
      </c>
      <c r="CT55" s="190">
        <f t="shared" ref="CT55" si="749">CR55/CM55</f>
        <v>11.590750079205829</v>
      </c>
      <c r="CU55" s="190">
        <f t="shared" ref="CU55" si="750">CT55-W55</f>
        <v>-5.6027644583783953E-2</v>
      </c>
      <c r="CV55" s="247">
        <f t="shared" ref="CV55" si="751">CP55+CT55</f>
        <v>55.40794302460661</v>
      </c>
      <c r="CW55" s="163"/>
      <c r="CX55" s="196">
        <f t="shared" ref="CX55" si="752">C55-AJ55-AU55-BF55-BQ55-CB55-CM55</f>
        <v>0</v>
      </c>
      <c r="CY55" s="196">
        <f t="shared" ref="CY55" si="753">F55-AK55-AV55-BG55-BR55-CC55-CN55</f>
        <v>0</v>
      </c>
      <c r="CZ55" s="196">
        <f t="shared" ref="CZ55" si="754">I55-AL55-AW55-BH55-BS55-CD55-CO55</f>
        <v>0</v>
      </c>
      <c r="DA55" s="196">
        <f t="shared" ref="DA55" si="755">O55-AO55-AZ55-BK55-BV55-CG55-CR55</f>
        <v>0</v>
      </c>
      <c r="DB55" s="196">
        <f t="shared" ref="DB55" si="756">Q55-AP55-BA55-BL55-BW55-CH55-CS55</f>
        <v>0</v>
      </c>
      <c r="DC55" s="196">
        <f t="shared" ref="DC55" si="757">P55-Q55-R55-S55</f>
        <v>0</v>
      </c>
      <c r="DD55" s="163"/>
      <c r="DE55" s="200">
        <v>145.547</v>
      </c>
      <c r="DF55" s="200">
        <v>84.447000000000003</v>
      </c>
      <c r="DG55" s="206">
        <f t="shared" si="584"/>
        <v>46.795668389490032</v>
      </c>
      <c r="DH55" s="191">
        <f t="shared" si="61"/>
        <v>0.58020433262107773</v>
      </c>
      <c r="DI55" s="197">
        <v>121.974</v>
      </c>
      <c r="DJ55" s="191">
        <f t="shared" si="48"/>
        <v>0.41901928586642118</v>
      </c>
      <c r="DK55" s="197">
        <v>106.28700000000001</v>
      </c>
      <c r="DL55" s="197">
        <v>102.407</v>
      </c>
      <c r="DM55" s="191">
        <f t="shared" si="62"/>
        <v>3.6504934752133456E-2</v>
      </c>
      <c r="DN55" s="200">
        <v>143.44499999999999</v>
      </c>
      <c r="DO55" s="200">
        <v>73.662999999999997</v>
      </c>
      <c r="DP55" s="200">
        <v>84.216999999999999</v>
      </c>
      <c r="DQ55" s="200">
        <f t="shared" ref="DQ55" si="758">DP55+DO55</f>
        <v>157.88</v>
      </c>
      <c r="DR55" s="191">
        <f t="shared" ref="DR55" si="759">DJ55+DH55</f>
        <v>0.99922361848749897</v>
      </c>
      <c r="DS55" s="199">
        <f t="shared" si="51"/>
        <v>0.87139062423139357</v>
      </c>
      <c r="DT55" s="200">
        <v>96.585999999999999</v>
      </c>
      <c r="DU55" s="200">
        <v>43.107999999999997</v>
      </c>
      <c r="DV55" s="200">
        <v>39.228000000000002</v>
      </c>
      <c r="DW55" s="191">
        <f t="shared" si="63"/>
        <v>0.44631727165427698</v>
      </c>
      <c r="DX55" s="197">
        <v>24.978000000000002</v>
      </c>
      <c r="DY55" s="191">
        <f t="shared" si="64"/>
        <v>0.12930445406166527</v>
      </c>
      <c r="DZ55" s="197">
        <v>35.113999999999997</v>
      </c>
      <c r="EA55" s="197">
        <v>33.981000000000002</v>
      </c>
      <c r="EB55" s="191">
        <f t="shared" si="52"/>
        <v>3.2266332516944662E-2</v>
      </c>
      <c r="EC55" s="200">
        <v>37.448</v>
      </c>
      <c r="ED55" s="206">
        <v>35</v>
      </c>
      <c r="EE55" s="200">
        <v>19.094000000000001</v>
      </c>
      <c r="EF55" s="205">
        <f t="shared" ref="EF55" si="760">EE55+ED55</f>
        <v>54.094000000000001</v>
      </c>
      <c r="EG55" s="191">
        <f t="shared" ref="EG55" si="761">DY55+DW55</f>
        <v>0.57562172571594228</v>
      </c>
      <c r="EJ55" s="202">
        <f t="shared" si="3"/>
        <v>11.578270967741936</v>
      </c>
      <c r="EK55" s="202">
        <f>'NOPA Crush'!B480*56/('NOPA Crush'!A480-'NOPA Crush'!A479)</f>
        <v>11.781237976383538</v>
      </c>
      <c r="EL55" s="203">
        <f t="shared" si="65"/>
        <v>0.98277201351432963</v>
      </c>
      <c r="EM55" s="202">
        <f t="shared" si="55"/>
        <v>4.6950645161290323</v>
      </c>
      <c r="EN55" s="202">
        <f t="shared" si="56"/>
        <v>6.2313548387096778E-3</v>
      </c>
      <c r="EO55" s="202">
        <f t="shared" si="66"/>
        <v>16.27956683870968</v>
      </c>
    </row>
    <row r="56" spans="1:145">
      <c r="A56" s="157">
        <v>43678</v>
      </c>
      <c r="B56" s="186">
        <v>5325.88</v>
      </c>
      <c r="C56" s="187">
        <f t="shared" ref="C56" si="762">B56/30</f>
        <v>177.52933333333334</v>
      </c>
      <c r="D56" s="247">
        <f>C56-'NOPA Crush'!G481</f>
        <v>9.4443333333333328</v>
      </c>
      <c r="E56" s="188">
        <f>C56/'NOPA Crush'!G481-1</f>
        <v>5.6187841469097943E-2</v>
      </c>
      <c r="F56" s="189">
        <v>3880.5</v>
      </c>
      <c r="G56" s="189">
        <v>3831.1819999999998</v>
      </c>
      <c r="H56" s="189">
        <v>49.317999999999998</v>
      </c>
      <c r="I56" s="189">
        <v>384.976</v>
      </c>
      <c r="J56" s="190">
        <f t="shared" ref="J56" si="763">F56*2/C56</f>
        <v>43.716719114963162</v>
      </c>
      <c r="K56" s="190">
        <f t="shared" ref="K56" si="764">(F56+M56)*2/C56</f>
        <v>46.761444118155119</v>
      </c>
      <c r="L56" s="190">
        <f>K56-'NOPA Crush'!J481</f>
        <v>-0.11855588184488397</v>
      </c>
      <c r="M56" s="189">
        <v>270.26400000000001</v>
      </c>
      <c r="N56" s="189">
        <v>48.338000000000001</v>
      </c>
      <c r="O56" s="189">
        <v>2049.8879999999999</v>
      </c>
      <c r="P56" s="189">
        <v>1439.479</v>
      </c>
      <c r="Q56" s="189">
        <v>731.43200000000002</v>
      </c>
      <c r="R56" s="189">
        <v>420.79500000000002</v>
      </c>
      <c r="S56" s="189">
        <v>287.25200000000001</v>
      </c>
      <c r="T56" s="189">
        <v>366.66800000000001</v>
      </c>
      <c r="U56" s="189">
        <f>(P56+T56)-'NOPA Crush'!Q481</f>
        <v>405.50099999999998</v>
      </c>
      <c r="V56" s="191">
        <f>((P56+T56)/'NOPA Crush'!Q481)-1</f>
        <v>0.28950998325058586</v>
      </c>
      <c r="W56" s="190">
        <f t="shared" ref="W56" si="765">O56/C56</f>
        <v>11.546756592337792</v>
      </c>
      <c r="X56" s="190">
        <f>W56-'NOPA Crush'!O481</f>
        <v>-0.143243407662208</v>
      </c>
      <c r="Y56" s="190">
        <f t="shared" si="720"/>
        <v>58.308200710492912</v>
      </c>
      <c r="Z56" s="211">
        <v>1559.7239999999999</v>
      </c>
      <c r="AA56" s="211">
        <v>1516.6469999999999</v>
      </c>
      <c r="AB56" s="191">
        <f t="shared" ref="AB56" si="766">(Z56-AA56)/Z56</f>
        <v>2.7618347861544736E-2</v>
      </c>
      <c r="AC56" s="211">
        <v>90.067999999999998</v>
      </c>
      <c r="AD56" s="211">
        <v>1569.905</v>
      </c>
      <c r="AE56" s="211">
        <v>1142.855</v>
      </c>
      <c r="AF56" s="211">
        <v>427.05</v>
      </c>
      <c r="AG56" s="191">
        <f t="shared" si="122"/>
        <v>3.5115620180569351E-2</v>
      </c>
      <c r="AH56" s="163"/>
      <c r="AI56" s="211">
        <v>679.23500000000001</v>
      </c>
      <c r="AJ56" s="247">
        <f t="shared" si="11"/>
        <v>22.641166666666667</v>
      </c>
      <c r="AK56" s="211">
        <v>491.36200000000002</v>
      </c>
      <c r="AL56" s="211">
        <v>82.619</v>
      </c>
      <c r="AM56" s="190">
        <f t="shared" ref="AM56" si="767">AK56*2/AJ56</f>
        <v>43.404300426214789</v>
      </c>
      <c r="AN56" s="190">
        <f t="shared" ref="AN56" si="768">AM56-J56</f>
        <v>-0.31241868874837309</v>
      </c>
      <c r="AO56" s="211">
        <v>270.64400000000001</v>
      </c>
      <c r="AP56" s="340">
        <f>(SUM(AP46:AP55)/SUM(P46:P55))*P56+55</f>
        <v>179.4888382146917</v>
      </c>
      <c r="AQ56" s="190">
        <f t="shared" ref="AQ56" si="769">AO56/AJ56</f>
        <v>11.953624297923399</v>
      </c>
      <c r="AR56" s="190">
        <f t="shared" ref="AR56" si="770">AQ56-W56</f>
        <v>0.40686770558560781</v>
      </c>
      <c r="AS56" s="190">
        <f t="shared" ref="AS56:AS57" si="771">AM56+AQ56</f>
        <v>55.357924724138186</v>
      </c>
      <c r="AT56" s="211">
        <v>1014.706</v>
      </c>
      <c r="AU56" s="247">
        <f t="shared" si="16"/>
        <v>33.823533333333337</v>
      </c>
      <c r="AV56" s="211">
        <v>736.12199999999996</v>
      </c>
      <c r="AW56" s="211">
        <v>43.152000000000001</v>
      </c>
      <c r="AX56" s="190">
        <f t="shared" ref="AX56" si="772">AV56*2/AU56</f>
        <v>43.527208866410561</v>
      </c>
      <c r="AY56" s="190">
        <f t="shared" ref="AY56" si="773">AX56-J56</f>
        <v>-0.18951024855260101</v>
      </c>
      <c r="AZ56" s="211">
        <v>390.67500000000001</v>
      </c>
      <c r="BA56" s="211">
        <v>92.338999999999999</v>
      </c>
      <c r="BB56" s="190">
        <f t="shared" ref="BB56" si="774">AZ56/AU56</f>
        <v>11.550389965172178</v>
      </c>
      <c r="BC56" s="190">
        <f t="shared" ref="BC56" si="775">BB56-W56</f>
        <v>3.6333728343862504E-3</v>
      </c>
      <c r="BD56" s="247">
        <f t="shared" ref="BD56" si="776">AX56+BB56</f>
        <v>55.077598831582741</v>
      </c>
      <c r="BE56" s="211">
        <v>1237.662</v>
      </c>
      <c r="BF56" s="247">
        <f t="shared" si="58"/>
        <v>41.255400000000002</v>
      </c>
      <c r="BG56" s="211">
        <v>900.20299999999997</v>
      </c>
      <c r="BH56" s="211">
        <v>126.443</v>
      </c>
      <c r="BI56" s="190">
        <f t="shared" ref="BI56" si="777">BG56*2/BF56</f>
        <v>43.640493123324461</v>
      </c>
      <c r="BJ56" s="190">
        <f t="shared" ref="BJ56" si="778">BI56-J56</f>
        <v>-7.6225991638700918E-2</v>
      </c>
      <c r="BK56" s="211">
        <v>470.07900000000001</v>
      </c>
      <c r="BL56" s="211">
        <v>167.71700000000001</v>
      </c>
      <c r="BM56" s="190">
        <f t="shared" ref="BM56" si="779">BK56/BF56</f>
        <v>11.39436291976323</v>
      </c>
      <c r="BN56" s="190">
        <f t="shared" ref="BN56" si="780">BM56-W56</f>
        <v>-0.15239367257456138</v>
      </c>
      <c r="BO56" s="247">
        <f t="shared" ref="BO56" si="781">BM56+BI56</f>
        <v>55.034856043087693</v>
      </c>
      <c r="BP56" s="211">
        <v>829.75599999999997</v>
      </c>
      <c r="BQ56" s="247">
        <f t="shared" si="26"/>
        <v>27.658533333333331</v>
      </c>
      <c r="BR56" s="211">
        <v>613.30999999999995</v>
      </c>
      <c r="BS56" s="211">
        <v>29.698</v>
      </c>
      <c r="BT56" s="190">
        <f t="shared" ref="BT56" si="782">BR56*2/BQ56</f>
        <v>44.348700099788374</v>
      </c>
      <c r="BU56" s="190">
        <f t="shared" ref="BU56" si="783">BT56-J56</f>
        <v>0.63198098482521203</v>
      </c>
      <c r="BV56" s="211">
        <v>306.38200000000001</v>
      </c>
      <c r="BW56" s="211">
        <v>199.738</v>
      </c>
      <c r="BX56" s="190">
        <f t="shared" ref="BX56" si="784">BV56/BQ56</f>
        <v>11.077304653416187</v>
      </c>
      <c r="BY56" s="190">
        <f t="shared" ref="BY56" si="785">BX56-W56</f>
        <v>-0.46945193892160475</v>
      </c>
      <c r="BZ56" s="194">
        <f t="shared" ref="BZ56" si="786">BT56+BX56</f>
        <v>55.426004753204559</v>
      </c>
      <c r="CA56" s="211">
        <v>656.38499999999999</v>
      </c>
      <c r="CB56" s="247">
        <f t="shared" si="32"/>
        <v>21.8795</v>
      </c>
      <c r="CC56" s="211">
        <v>473.26499999999999</v>
      </c>
      <c r="CD56" s="211">
        <v>52.002000000000002</v>
      </c>
      <c r="CE56" s="190">
        <f t="shared" ref="CE56" si="787">CC56*2/CB56</f>
        <v>43.261043442491825</v>
      </c>
      <c r="CF56" s="190">
        <f t="shared" ref="CF56" si="788">CE56-J56</f>
        <v>-0.45567567247133667</v>
      </c>
      <c r="CG56" s="211">
        <v>255.95400000000001</v>
      </c>
      <c r="CH56" s="211">
        <v>49.456000000000003</v>
      </c>
      <c r="CI56" s="190">
        <f t="shared" ref="CI56" si="789">CG56/CB56</f>
        <v>11.69834776845906</v>
      </c>
      <c r="CJ56" s="190">
        <f t="shared" ref="CJ56" si="790">CI56-W56</f>
        <v>0.15159117612126849</v>
      </c>
      <c r="CK56" s="194">
        <f t="shared" ref="CK56" si="791">CI56+CE56</f>
        <v>54.959391210950884</v>
      </c>
      <c r="CL56" s="211">
        <v>908.13599999999997</v>
      </c>
      <c r="CM56" s="247">
        <f t="shared" si="60"/>
        <v>30.2712</v>
      </c>
      <c r="CN56" s="211">
        <v>661.89099999999996</v>
      </c>
      <c r="CO56" s="211">
        <v>50.96</v>
      </c>
      <c r="CP56" s="190">
        <f t="shared" ref="CP56" si="792">CN56*2/CM56</f>
        <v>43.730740770104916</v>
      </c>
      <c r="CQ56" s="190">
        <f t="shared" ref="CQ56" si="793">CP56-J56</f>
        <v>1.4021655141753797E-2</v>
      </c>
      <c r="CR56" s="211">
        <v>354.43299999999999</v>
      </c>
      <c r="CS56" s="340">
        <f>Q56-AP56-BA56-BL56-BW56-CH56</f>
        <v>42.693161785308305</v>
      </c>
      <c r="CT56" s="190">
        <f t="shared" ref="CT56" si="794">CR56/CM56</f>
        <v>11.708587700520626</v>
      </c>
      <c r="CU56" s="190">
        <f t="shared" ref="CU56" si="795">CT56-W56</f>
        <v>0.16183110818283453</v>
      </c>
      <c r="CV56" s="247">
        <f t="shared" ref="CV56" si="796">CP56+CT56</f>
        <v>55.43932847062554</v>
      </c>
      <c r="CW56" s="163"/>
      <c r="CX56" s="196">
        <f t="shared" ref="CX56" si="797">C56-AJ56-AU56-BF56-BQ56-CB56-CM56</f>
        <v>0</v>
      </c>
      <c r="CY56" s="196">
        <f t="shared" ref="CY56" si="798">F56-AK56-AV56-BG56-BR56-CC56-CN56</f>
        <v>4.3470000000002074</v>
      </c>
      <c r="CZ56" s="196">
        <f t="shared" ref="CZ56" si="799">I56-AL56-AW56-BH56-BS56-CD56-CO56</f>
        <v>0.10199999999998965</v>
      </c>
      <c r="DA56" s="196">
        <f t="shared" ref="DA56" si="800">O56-AO56-AZ56-BK56-BV56-CG56-CR56</f>
        <v>1.7209999999999468</v>
      </c>
      <c r="DB56" s="196">
        <f t="shared" ref="DB56" si="801">Q56-AP56-BA56-BL56-BW56-CH56-CS56</f>
        <v>0</v>
      </c>
      <c r="DC56" s="196">
        <f t="shared" ref="DC56" si="802">P56-Q56-R56-S56</f>
        <v>0</v>
      </c>
      <c r="DD56" s="163"/>
      <c r="DE56" s="200">
        <v>156.13200000000001</v>
      </c>
      <c r="DF56" s="200">
        <v>85.658000000000001</v>
      </c>
      <c r="DG56" s="206">
        <f t="shared" si="584"/>
        <v>46.134907653583426</v>
      </c>
      <c r="DH56" s="191">
        <f t="shared" si="61"/>
        <v>0.54862552199421</v>
      </c>
      <c r="DI56" s="197">
        <v>126.47499999999999</v>
      </c>
      <c r="DJ56" s="191">
        <f t="shared" si="48"/>
        <v>0.40502587554120867</v>
      </c>
      <c r="DK56" s="197">
        <v>75.838999999999999</v>
      </c>
      <c r="DL56" s="197">
        <v>72.802000000000007</v>
      </c>
      <c r="DM56" s="191">
        <f t="shared" si="62"/>
        <v>4.0045359247880219E-2</v>
      </c>
      <c r="DN56" s="200">
        <v>114.735</v>
      </c>
      <c r="DO56" s="200">
        <v>70.349999999999994</v>
      </c>
      <c r="DP56" s="200">
        <v>89.807000000000002</v>
      </c>
      <c r="DQ56" s="200">
        <f t="shared" ref="DQ56:DQ57" si="803">DP56+DO56</f>
        <v>160.15699999999998</v>
      </c>
      <c r="DR56" s="191">
        <f t="shared" ref="DR56:DR57" si="804">DJ56+DH56</f>
        <v>0.95365139753541861</v>
      </c>
      <c r="DS56" s="199">
        <f t="shared" si="51"/>
        <v>0.59963629175726429</v>
      </c>
      <c r="DT56" s="200">
        <v>132.99100000000001</v>
      </c>
      <c r="DU56" s="200">
        <v>51.698999999999998</v>
      </c>
      <c r="DV56" s="200">
        <v>40.073999999999998</v>
      </c>
      <c r="DW56" s="191">
        <f t="shared" si="63"/>
        <v>0.38874059146859558</v>
      </c>
      <c r="DX56" s="197">
        <v>34.377000000000002</v>
      </c>
      <c r="DY56" s="191">
        <f t="shared" si="64"/>
        <v>0.12924558804731145</v>
      </c>
      <c r="DZ56" s="197">
        <v>40.848999999999997</v>
      </c>
      <c r="EA56" s="197">
        <v>39.573</v>
      </c>
      <c r="EB56" s="191">
        <f t="shared" si="52"/>
        <v>3.1236994785673988E-2</v>
      </c>
      <c r="EC56" s="200">
        <v>44.74</v>
      </c>
      <c r="ED56" s="206">
        <v>40</v>
      </c>
      <c r="EE56" s="200">
        <v>18.202999999999999</v>
      </c>
      <c r="EF56" s="205">
        <f t="shared" ref="EF56:EF60" si="805">EE56+ED56</f>
        <v>58.203000000000003</v>
      </c>
      <c r="EG56" s="191">
        <f t="shared" ref="EG56:EG63" si="806">DY56+DW56</f>
        <v>0.51798617951590709</v>
      </c>
      <c r="EJ56" s="202">
        <f t="shared" si="3"/>
        <v>11.453505376344086</v>
      </c>
      <c r="EK56" s="202">
        <f>'NOPA Crush'!B481*56/('NOPA Crush'!A481-'NOPA Crush'!A480)</f>
        <v>11.262828617842796</v>
      </c>
      <c r="EL56" s="203">
        <f t="shared" si="65"/>
        <v>1.0169297398523152</v>
      </c>
      <c r="EM56" s="202">
        <f t="shared" si="55"/>
        <v>5.0365161290322584</v>
      </c>
      <c r="EN56" s="202">
        <f t="shared" si="56"/>
        <v>8.580064516129032E-3</v>
      </c>
      <c r="EO56" s="202">
        <f t="shared" si="66"/>
        <v>16.498601569892472</v>
      </c>
    </row>
    <row r="57" spans="1:145">
      <c r="A57" s="157">
        <v>43709</v>
      </c>
      <c r="B57" s="186">
        <v>4870.0339999999997</v>
      </c>
      <c r="C57" s="187">
        <f t="shared" ref="C57" si="807">B57/30</f>
        <v>162.33446666666666</v>
      </c>
      <c r="D57" s="247">
        <f>C57-'NOPA Crush'!G482</f>
        <v>9.7684666666666544</v>
      </c>
      <c r="E57" s="188">
        <f>C57/'NOPA Crush'!G482-1</f>
        <v>6.402780872977365E-2</v>
      </c>
      <c r="F57" s="189">
        <v>3553.4839999999999</v>
      </c>
      <c r="G57" s="189">
        <v>3514.4720000000002</v>
      </c>
      <c r="H57" s="189">
        <v>39.012</v>
      </c>
      <c r="I57" s="189">
        <v>360.387</v>
      </c>
      <c r="J57" s="190">
        <f t="shared" ref="J57:J58" si="808">F57*2/C57</f>
        <v>43.779784699655075</v>
      </c>
      <c r="K57" s="190">
        <f t="shared" ref="K57" si="809">(F57+M57)*2/C57</f>
        <v>46.811365177327303</v>
      </c>
      <c r="L57" s="190">
        <f>K57-'NOPA Crush'!J482</f>
        <v>-6.8634822672699158E-2</v>
      </c>
      <c r="M57" s="189">
        <v>246.065</v>
      </c>
      <c r="N57" s="189">
        <v>41.628</v>
      </c>
      <c r="O57" s="189">
        <v>1900.6679999999999</v>
      </c>
      <c r="P57" s="189">
        <v>1400.569</v>
      </c>
      <c r="Q57" s="189">
        <v>697.66899999999998</v>
      </c>
      <c r="R57" s="189">
        <v>410.77</v>
      </c>
      <c r="S57" s="189">
        <v>292.13</v>
      </c>
      <c r="T57" s="189">
        <v>374.74700000000001</v>
      </c>
      <c r="U57" s="189">
        <f>(P57+T57)-'NOPA Crush'!Q482</f>
        <v>333.51099999999997</v>
      </c>
      <c r="V57" s="191">
        <f>((P57+T57)/'NOPA Crush'!Q482)-1</f>
        <v>0.231314914291461</v>
      </c>
      <c r="W57" s="190">
        <f t="shared" ref="W57" si="810">O57/C57</f>
        <v>11.708345362681246</v>
      </c>
      <c r="X57" s="190">
        <f>W57-'NOPA Crush'!O482</f>
        <v>-0.15165463731875306</v>
      </c>
      <c r="Y57" s="190">
        <f t="shared" si="720"/>
        <v>58.519710540008546</v>
      </c>
      <c r="Z57" s="211">
        <v>1448.211</v>
      </c>
      <c r="AA57" s="211">
        <v>1412.136</v>
      </c>
      <c r="AB57" s="191">
        <f t="shared" ref="AB57" si="811">(Z57-AA57)/Z57</f>
        <v>2.4910044185550342E-2</v>
      </c>
      <c r="AC57" s="211">
        <v>82.646000000000001</v>
      </c>
      <c r="AD57" s="211">
        <v>1493.9549999999999</v>
      </c>
      <c r="AE57" s="211">
        <v>1067.45</v>
      </c>
      <c r="AF57" s="211">
        <v>426.505</v>
      </c>
      <c r="AG57" s="191">
        <f t="shared" si="122"/>
        <v>5.7939886809768915E-2</v>
      </c>
      <c r="AH57" s="163"/>
      <c r="AI57" s="211">
        <v>525.26499999999999</v>
      </c>
      <c r="AJ57" s="247">
        <f t="shared" si="11"/>
        <v>17.508833333333332</v>
      </c>
      <c r="AK57" s="211">
        <v>372.22800000000001</v>
      </c>
      <c r="AL57" s="211">
        <v>69.793999999999997</v>
      </c>
      <c r="AM57" s="190">
        <f t="shared" ref="AM57" si="812">AK57*2/AJ57</f>
        <v>42.518880945808313</v>
      </c>
      <c r="AN57" s="190">
        <f t="shared" ref="AN57" si="813">AM57-J57</f>
        <v>-1.2609037538467618</v>
      </c>
      <c r="AO57" s="211">
        <v>214.27799999999999</v>
      </c>
      <c r="AP57" s="211">
        <v>123.925</v>
      </c>
      <c r="AQ57" s="190">
        <f t="shared" ref="AQ57" si="814">AO57/AJ57</f>
        <v>12.238279725471905</v>
      </c>
      <c r="AR57" s="190">
        <f t="shared" ref="AR57" si="815">AQ57-W57</f>
        <v>0.52993436279065875</v>
      </c>
      <c r="AS57" s="190">
        <f t="shared" si="771"/>
        <v>54.757160671280218</v>
      </c>
      <c r="AT57" s="211">
        <v>1094.9190000000001</v>
      </c>
      <c r="AU57" s="247">
        <f t="shared" si="16"/>
        <v>36.497300000000003</v>
      </c>
      <c r="AV57" s="211">
        <v>808.327</v>
      </c>
      <c r="AW57" s="211">
        <v>49.61</v>
      </c>
      <c r="AX57" s="190">
        <f t="shared" ref="AX57" si="816">AV57*2/AU57</f>
        <v>44.295167039753622</v>
      </c>
      <c r="AY57" s="190">
        <f t="shared" ref="AY57" si="817">AX57-J57</f>
        <v>0.51538234009854733</v>
      </c>
      <c r="AZ57" s="211">
        <v>425.524</v>
      </c>
      <c r="BA57" s="211">
        <v>101.846</v>
      </c>
      <c r="BB57" s="190">
        <f t="shared" ref="BB57" si="818">AZ57/AU57</f>
        <v>11.659054231408899</v>
      </c>
      <c r="BC57" s="190">
        <f t="shared" ref="BC57" si="819">BB57-W57</f>
        <v>-4.9291131272347855E-2</v>
      </c>
      <c r="BD57" s="247">
        <f t="shared" ref="BD57" si="820">AX57+BB57</f>
        <v>55.954221271162524</v>
      </c>
      <c r="BE57" s="211">
        <v>1226.24</v>
      </c>
      <c r="BF57" s="247">
        <f t="shared" si="58"/>
        <v>40.87466666666667</v>
      </c>
      <c r="BG57" s="211">
        <v>891.79200000000003</v>
      </c>
      <c r="BH57" s="211">
        <v>81.632999999999996</v>
      </c>
      <c r="BI57" s="190">
        <f t="shared" ref="BI57" si="821">BG57*2/BF57</f>
        <v>43.635438413361165</v>
      </c>
      <c r="BJ57" s="190">
        <f t="shared" ref="BJ57" si="822">BI57-J57</f>
        <v>-0.14434628629391</v>
      </c>
      <c r="BK57" s="211">
        <v>477.82900000000001</v>
      </c>
      <c r="BL57" s="211">
        <v>168.12</v>
      </c>
      <c r="BM57" s="190">
        <f t="shared" ref="BM57" si="823">BK57/BF57</f>
        <v>11.690101448329854</v>
      </c>
      <c r="BN57" s="190">
        <f t="shared" ref="BN57" si="824">BM57-W57</f>
        <v>-1.8243914351392831E-2</v>
      </c>
      <c r="BO57" s="247">
        <f t="shared" ref="BO57" si="825">BM57+BI57</f>
        <v>55.32553986169102</v>
      </c>
      <c r="BP57" s="211">
        <v>749.42</v>
      </c>
      <c r="BQ57" s="247">
        <f t="shared" si="26"/>
        <v>24.980666666666664</v>
      </c>
      <c r="BR57" s="211">
        <v>549.55499999999995</v>
      </c>
      <c r="BS57" s="211">
        <v>49.4</v>
      </c>
      <c r="BT57" s="190">
        <f t="shared" ref="BT57" si="826">BR57*2/BQ57</f>
        <v>43.998425449013901</v>
      </c>
      <c r="BU57" s="190">
        <f t="shared" ref="BU57" si="827">BT57-J57</f>
        <v>0.21864074935882627</v>
      </c>
      <c r="BV57" s="211">
        <v>287.61799999999999</v>
      </c>
      <c r="BW57" s="211">
        <v>214.666</v>
      </c>
      <c r="BX57" s="190">
        <f t="shared" ref="BX57" si="828">BV57/BQ57</f>
        <v>11.513623869125459</v>
      </c>
      <c r="BY57" s="190">
        <f t="shared" ref="BY57" si="829">BX57-W57</f>
        <v>-0.19472149355578772</v>
      </c>
      <c r="BZ57" s="194">
        <f t="shared" ref="BZ57" si="830">BT57+BX57</f>
        <v>55.512049318139361</v>
      </c>
      <c r="CA57" s="211">
        <v>543.19399999999996</v>
      </c>
      <c r="CB57" s="247">
        <f t="shared" si="32"/>
        <v>18.106466666666666</v>
      </c>
      <c r="CC57" s="211">
        <v>392.077</v>
      </c>
      <c r="CD57" s="211">
        <v>49.05</v>
      </c>
      <c r="CE57" s="190">
        <f t="shared" ref="CE57" si="831">CC57*2/CB57</f>
        <v>43.307952591523474</v>
      </c>
      <c r="CF57" s="190">
        <f t="shared" ref="CF57" si="832">CE57-J57</f>
        <v>-0.47183210813160059</v>
      </c>
      <c r="CG57" s="211">
        <v>212.57300000000001</v>
      </c>
      <c r="CH57" s="211">
        <v>48.371000000000002</v>
      </c>
      <c r="CI57" s="190">
        <f t="shared" ref="CI57" si="833">CG57/CB57</f>
        <v>11.740170178610221</v>
      </c>
      <c r="CJ57" s="190">
        <f t="shared" ref="CJ57" si="834">CI57-W57</f>
        <v>3.1824815928974459E-2</v>
      </c>
      <c r="CK57" s="194">
        <f t="shared" ref="CK57" si="835">CI57+CE57</f>
        <v>55.048122770133695</v>
      </c>
      <c r="CL57" s="211">
        <v>730.99599999999998</v>
      </c>
      <c r="CM57" s="247">
        <f t="shared" si="60"/>
        <v>24.366533333333333</v>
      </c>
      <c r="CN57" s="211">
        <v>539.505</v>
      </c>
      <c r="CO57" s="211">
        <v>60.9</v>
      </c>
      <c r="CP57" s="190">
        <f t="shared" ref="CP57" si="836">CN57*2/CM57</f>
        <v>44.282458453945026</v>
      </c>
      <c r="CQ57" s="190">
        <f t="shared" ref="CQ57" si="837">CP57-J57</f>
        <v>0.50267375428995109</v>
      </c>
      <c r="CR57" s="211">
        <v>282.846</v>
      </c>
      <c r="CS57" s="211">
        <v>40.741</v>
      </c>
      <c r="CT57" s="190">
        <f t="shared" ref="CT57" si="838">CR57/CM57</f>
        <v>11.607970495050589</v>
      </c>
      <c r="CU57" s="190">
        <f t="shared" ref="CU57" si="839">CT57-W57</f>
        <v>-0.1003748676306575</v>
      </c>
      <c r="CV57" s="247">
        <f t="shared" ref="CV57" si="840">CP57+CT57</f>
        <v>55.890428948995613</v>
      </c>
      <c r="CW57" s="163"/>
      <c r="CX57" s="196">
        <f t="shared" ref="CX57" si="841">C57-AJ57-AU57-BF57-BQ57-CB57-CM57</f>
        <v>0</v>
      </c>
      <c r="CY57" s="196">
        <f t="shared" ref="CY57" si="842">F57-AK57-AV57-BG57-BR57-CC57-CN57</f>
        <v>0</v>
      </c>
      <c r="CZ57" s="196">
        <f t="shared" ref="CZ57" si="843">I57-AL57-AW57-BH57-BS57-CD57-CO57</f>
        <v>0</v>
      </c>
      <c r="DA57" s="196">
        <f t="shared" ref="DA57" si="844">O57-AO57-AZ57-BK57-BV57-CG57-CR57</f>
        <v>0</v>
      </c>
      <c r="DB57" s="196">
        <f t="shared" ref="DB57" si="845">Q57-AP57-BA57-BL57-BW57-CH57-CS57</f>
        <v>0</v>
      </c>
      <c r="DC57" s="196">
        <f t="shared" ref="DC57" si="846">P57-Q57-R57-S57</f>
        <v>0</v>
      </c>
      <c r="DD57" s="163"/>
      <c r="DE57" s="200">
        <v>163.321</v>
      </c>
      <c r="DF57" s="200">
        <v>91.757999999999996</v>
      </c>
      <c r="DG57" s="206">
        <f t="shared" si="584"/>
        <v>45.688922312064228</v>
      </c>
      <c r="DH57" s="191">
        <f t="shared" si="61"/>
        <v>0.56182609707263609</v>
      </c>
      <c r="DI57" s="197">
        <v>134.20699999999999</v>
      </c>
      <c r="DJ57" s="191">
        <f t="shared" si="48"/>
        <v>0.4108687798874609</v>
      </c>
      <c r="DK57" s="197">
        <v>124.663</v>
      </c>
      <c r="DL57" s="197">
        <v>119.864</v>
      </c>
      <c r="DM57" s="191">
        <f t="shared" si="62"/>
        <v>3.8495784635376951E-2</v>
      </c>
      <c r="DN57" s="200">
        <v>144.417</v>
      </c>
      <c r="DO57" s="200">
        <v>63.427999999999997</v>
      </c>
      <c r="DP57" s="200">
        <v>94.501999999999995</v>
      </c>
      <c r="DQ57" s="200">
        <f t="shared" si="803"/>
        <v>157.93</v>
      </c>
      <c r="DR57" s="191">
        <f t="shared" si="804"/>
        <v>0.97269487696009693</v>
      </c>
      <c r="DS57" s="199">
        <f t="shared" si="51"/>
        <v>0.92888597465109868</v>
      </c>
      <c r="DT57" s="200">
        <v>132.202</v>
      </c>
      <c r="DU57" s="200">
        <v>56.536000000000001</v>
      </c>
      <c r="DV57" s="200">
        <v>43</v>
      </c>
      <c r="DW57" s="191">
        <f t="shared" si="63"/>
        <v>0.42764859835705965</v>
      </c>
      <c r="DX57" s="197">
        <v>35.424999999999997</v>
      </c>
      <c r="DY57" s="191">
        <f t="shared" si="64"/>
        <v>0.13398057518040574</v>
      </c>
      <c r="DZ57" s="197">
        <v>42.085000000000001</v>
      </c>
      <c r="EA57" s="197">
        <v>40.728000000000002</v>
      </c>
      <c r="EB57" s="191">
        <f t="shared" si="52"/>
        <v>3.2244267553760197E-2</v>
      </c>
      <c r="EC57" s="200">
        <v>38.362000000000002</v>
      </c>
      <c r="ED57" s="200">
        <v>15.14</v>
      </c>
      <c r="EE57" s="200">
        <v>19.901</v>
      </c>
      <c r="EF57" s="195">
        <f t="shared" si="805"/>
        <v>35.040999999999997</v>
      </c>
      <c r="EG57" s="191">
        <f t="shared" si="806"/>
        <v>0.56162917353746544</v>
      </c>
      <c r="EJ57" s="202">
        <f t="shared" si="3"/>
        <v>10.822297777777777</v>
      </c>
      <c r="EK57" s="202">
        <f>'NOPA Crush'!B482*56/('NOPA Crush'!A482-'NOPA Crush'!A481)</f>
        <v>11.357169249380849</v>
      </c>
      <c r="EL57" s="203">
        <f t="shared" si="65"/>
        <v>0.95290450816938987</v>
      </c>
      <c r="EM57" s="202">
        <f t="shared" si="55"/>
        <v>5.4440333333333335</v>
      </c>
      <c r="EN57" s="202">
        <f t="shared" si="56"/>
        <v>8.8134666666666653E-3</v>
      </c>
      <c r="EO57" s="202">
        <f t="shared" si="66"/>
        <v>16.275144577777777</v>
      </c>
    </row>
    <row r="58" spans="1:145">
      <c r="A58" s="157">
        <v>43739</v>
      </c>
      <c r="B58" s="186">
        <v>5615.616</v>
      </c>
      <c r="C58" s="187">
        <f t="shared" ref="C58" si="847">B58/30</f>
        <v>187.18719999999999</v>
      </c>
      <c r="D58" s="247">
        <f>C58-'NOPA Crush'!G483</f>
        <v>11.790199999999999</v>
      </c>
      <c r="E58" s="188">
        <f>C58/'NOPA Crush'!G483-1</f>
        <v>6.7220077880465468E-2</v>
      </c>
      <c r="F58" s="189">
        <v>4105.4530000000004</v>
      </c>
      <c r="G58" s="189">
        <v>4057.404</v>
      </c>
      <c r="H58" s="189">
        <v>48.048999999999999</v>
      </c>
      <c r="I58" s="189">
        <v>335.18299999999999</v>
      </c>
      <c r="J58" s="190">
        <f t="shared" si="808"/>
        <v>43.864676644556901</v>
      </c>
      <c r="K58" s="190">
        <f t="shared" ref="K58" si="848">(F58+M58)*2/C58</f>
        <v>46.817645650984687</v>
      </c>
      <c r="L58" s="190">
        <f>K58-'NOPA Crush'!J483</f>
        <v>-0.10235434901531448</v>
      </c>
      <c r="M58" s="189">
        <v>276.37900000000002</v>
      </c>
      <c r="N58" s="189">
        <v>30.175999999999998</v>
      </c>
      <c r="O58" s="189">
        <v>2149.9690000000001</v>
      </c>
      <c r="P58" s="189">
        <v>1471.9290000000001</v>
      </c>
      <c r="Q58" s="189">
        <v>646.00400000000002</v>
      </c>
      <c r="R58" s="189">
        <v>412.87</v>
      </c>
      <c r="S58" s="189">
        <v>413.05500000000001</v>
      </c>
      <c r="T58" s="189">
        <v>349.029</v>
      </c>
      <c r="U58" s="189">
        <f>(P58+T58)-'NOPA Crush'!Q483</f>
        <v>397.86900000000014</v>
      </c>
      <c r="V58" s="191">
        <f>((P58+T58)/'NOPA Crush'!Q483)-1</f>
        <v>0.2795812489591305</v>
      </c>
      <c r="W58" s="190">
        <f t="shared" ref="W58" si="849">O58/C58</f>
        <v>11.485662481195297</v>
      </c>
      <c r="X58" s="190">
        <f>W58-'NOPA Crush'!O483</f>
        <v>-8.4337518804703748E-2</v>
      </c>
      <c r="Y58" s="190">
        <f t="shared" si="720"/>
        <v>58.303308132179986</v>
      </c>
      <c r="Z58" s="211">
        <v>1610.8679999999999</v>
      </c>
      <c r="AA58" s="211">
        <v>1566.0029999999999</v>
      </c>
      <c r="AB58" s="191">
        <f t="shared" ref="AB58" si="850">(Z58-AA58)/Z58</f>
        <v>2.7851444066180477E-2</v>
      </c>
      <c r="AC58" s="344">
        <f>FORECAST(S58,AC59:AC$87,S59:S$87)</f>
        <v>92.323792143395679</v>
      </c>
      <c r="AD58" s="211">
        <v>1624.992</v>
      </c>
      <c r="AE58" s="211">
        <v>1137.5160000000001</v>
      </c>
      <c r="AF58" s="211">
        <v>487.476</v>
      </c>
      <c r="AG58" s="191">
        <f t="shared" si="122"/>
        <v>3.7668510213582085E-2</v>
      </c>
      <c r="AH58" s="163"/>
      <c r="AI58" s="211">
        <v>650.01900000000001</v>
      </c>
      <c r="AJ58" s="247">
        <f t="shared" si="11"/>
        <v>21.667300000000001</v>
      </c>
      <c r="AK58" s="211">
        <v>466.76100000000002</v>
      </c>
      <c r="AL58" s="211">
        <v>72.400000000000006</v>
      </c>
      <c r="AM58" s="190">
        <f t="shared" ref="AM58" si="851">AK58*2/AJ58</f>
        <v>43.084371379913513</v>
      </c>
      <c r="AN58" s="190">
        <f t="shared" ref="AN58" si="852">AM58-J58</f>
        <v>-0.78030526464338834</v>
      </c>
      <c r="AO58" s="211">
        <v>255.86699999999999</v>
      </c>
      <c r="AP58" s="211">
        <v>99.68</v>
      </c>
      <c r="AQ58" s="190">
        <f t="shared" ref="AQ58" si="853">AO58/AJ58</f>
        <v>11.808900970587013</v>
      </c>
      <c r="AR58" s="190">
        <f t="shared" ref="AR58" si="854">AQ58-W58</f>
        <v>0.3232384893917164</v>
      </c>
      <c r="AS58" s="190">
        <f t="shared" ref="AS58" si="855">AM58+AQ58</f>
        <v>54.893272350500524</v>
      </c>
      <c r="AT58" s="211">
        <v>1175.367</v>
      </c>
      <c r="AU58" s="247">
        <f t="shared" si="16"/>
        <v>39.178899999999999</v>
      </c>
      <c r="AV58" s="211">
        <v>858.33199999999999</v>
      </c>
      <c r="AW58" s="211">
        <v>36.329000000000001</v>
      </c>
      <c r="AX58" s="190">
        <f t="shared" ref="AX58" si="856">AV58*2/AU58</f>
        <v>43.816033630346951</v>
      </c>
      <c r="AY58" s="190">
        <f t="shared" ref="AY58" si="857">AX58-J58</f>
        <v>-4.8643014209950763E-2</v>
      </c>
      <c r="AZ58" s="211">
        <v>451.05599999999998</v>
      </c>
      <c r="BA58" s="211">
        <v>97.55</v>
      </c>
      <c r="BB58" s="190">
        <f t="shared" ref="BB58" si="858">AZ58/AU58</f>
        <v>11.512727514044549</v>
      </c>
      <c r="BC58" s="190">
        <f t="shared" ref="BC58" si="859">BB58-W58</f>
        <v>2.7065032849252546E-2</v>
      </c>
      <c r="BD58" s="247">
        <f t="shared" ref="BD58:BD59" si="860">AX58+BB58</f>
        <v>55.3287611443915</v>
      </c>
      <c r="BE58" s="211">
        <v>1339.3969999999999</v>
      </c>
      <c r="BF58" s="247">
        <f t="shared" si="58"/>
        <v>44.646566666666665</v>
      </c>
      <c r="BG58" s="211">
        <v>982.99900000000002</v>
      </c>
      <c r="BH58" s="211">
        <v>98.909000000000006</v>
      </c>
      <c r="BI58" s="190">
        <f t="shared" ref="BI58" si="861">BG58*2/BF58</f>
        <v>44.034696210309569</v>
      </c>
      <c r="BJ58" s="190">
        <f t="shared" ref="BJ58" si="862">BI58-J58</f>
        <v>0.17001956575266775</v>
      </c>
      <c r="BK58" s="211">
        <v>516.04899999999998</v>
      </c>
      <c r="BL58" s="211">
        <v>181.614</v>
      </c>
      <c r="BM58" s="190">
        <f t="shared" ref="BM58" si="863">BK58/BF58</f>
        <v>11.5585371626187</v>
      </c>
      <c r="BN58" s="190">
        <f t="shared" ref="BN58" si="864">BM58-W58</f>
        <v>7.2874681423403587E-2</v>
      </c>
      <c r="BO58" s="247">
        <f t="shared" ref="BO58" si="865">BM58+BI58</f>
        <v>55.593233372928267</v>
      </c>
      <c r="BP58" s="211">
        <v>863.53700000000003</v>
      </c>
      <c r="BQ58" s="247">
        <f t="shared" si="26"/>
        <v>28.784566666666667</v>
      </c>
      <c r="BR58" s="211">
        <v>632.99300000000005</v>
      </c>
      <c r="BS58" s="211">
        <v>32.418999999999997</v>
      </c>
      <c r="BT58" s="190">
        <f t="shared" ref="BT58" si="866">BR58*2/BQ58</f>
        <v>43.981415967121272</v>
      </c>
      <c r="BU58" s="190">
        <f t="shared" ref="BU58" si="867">BT58-J58</f>
        <v>0.1167393225643707</v>
      </c>
      <c r="BV58" s="211">
        <v>311.88900000000001</v>
      </c>
      <c r="BW58" s="211">
        <v>171.529</v>
      </c>
      <c r="BX58" s="190">
        <f t="shared" ref="BX58" si="868">BV58/BQ58</f>
        <v>10.835285575487791</v>
      </c>
      <c r="BY58" s="190">
        <f t="shared" ref="BY58" si="869">BX58-W58</f>
        <v>-0.65037690570750506</v>
      </c>
      <c r="BZ58" s="194">
        <f t="shared" ref="BZ58" si="870">BT58+BX58</f>
        <v>54.816701542609067</v>
      </c>
      <c r="CA58" s="211">
        <v>623.94600000000003</v>
      </c>
      <c r="CB58" s="247">
        <f t="shared" si="32"/>
        <v>20.798200000000001</v>
      </c>
      <c r="CC58" s="211">
        <v>455.12299999999999</v>
      </c>
      <c r="CD58" s="211">
        <v>47.497</v>
      </c>
      <c r="CE58" s="190">
        <f t="shared" ref="CE58" si="871">CC58*2/CB58</f>
        <v>43.765614332009498</v>
      </c>
      <c r="CF58" s="190">
        <f t="shared" ref="CF58" si="872">CE58-J58</f>
        <v>-9.9062312547403053E-2</v>
      </c>
      <c r="CG58" s="211">
        <v>242.80099999999999</v>
      </c>
      <c r="CH58" s="211">
        <v>55.456000000000003</v>
      </c>
      <c r="CI58" s="190">
        <f t="shared" ref="CI58" si="873">CG58/CB58</f>
        <v>11.674135261705338</v>
      </c>
      <c r="CJ58" s="190">
        <f t="shared" ref="CJ58" si="874">CI58-W58</f>
        <v>0.18847278051004146</v>
      </c>
      <c r="CK58" s="194">
        <f t="shared" ref="CK58" si="875">CI58+CE58</f>
        <v>55.439749593714836</v>
      </c>
      <c r="CL58" s="211">
        <v>963.35</v>
      </c>
      <c r="CM58" s="247">
        <f t="shared" si="60"/>
        <v>32.111666666666665</v>
      </c>
      <c r="CN58" s="211">
        <v>704.75900000000001</v>
      </c>
      <c r="CO58" s="211">
        <v>47.533000000000001</v>
      </c>
      <c r="CP58" s="190">
        <f t="shared" ref="CP58" si="876">CN58*2/CM58</f>
        <v>43.894264805107184</v>
      </c>
      <c r="CQ58" s="190">
        <f t="shared" ref="CQ58" si="877">CP58-J58</f>
        <v>2.9588160550282794E-2</v>
      </c>
      <c r="CR58" s="211">
        <v>370.57900000000001</v>
      </c>
      <c r="CS58" s="211">
        <v>40.033000000000001</v>
      </c>
      <c r="CT58" s="190">
        <f t="shared" ref="CT58" si="878">CR58/CM58</f>
        <v>11.540322831784918</v>
      </c>
      <c r="CU58" s="190">
        <f t="shared" ref="CU58" si="879">CT58-W58</f>
        <v>5.4660350589621487E-2</v>
      </c>
      <c r="CV58" s="247">
        <f t="shared" ref="CV58" si="880">CP58+CT58</f>
        <v>55.434587636892104</v>
      </c>
      <c r="CW58" s="163"/>
      <c r="CX58" s="196">
        <f t="shared" ref="CX58" si="881">C58-AJ58-AU58-BF58-BQ58-CB58-CM58</f>
        <v>0</v>
      </c>
      <c r="CY58" s="196">
        <f t="shared" ref="CY58" si="882">F58-AK58-AV58-BG58-BR58-CC58-CN58</f>
        <v>4.4860000000003311</v>
      </c>
      <c r="CZ58" s="196">
        <f t="shared" ref="CZ58" si="883">I58-AL58-AW58-BH58-BS58-CD58-CO58</f>
        <v>9.6000000000003638E-2</v>
      </c>
      <c r="DA58" s="196">
        <f t="shared" ref="DA58" si="884">O58-AO58-AZ58-BK58-BV58-CG58-CR58</f>
        <v>1.7280000000000655</v>
      </c>
      <c r="DB58" s="196">
        <f t="shared" ref="DB58" si="885">Q58-AP58-BA58-BL58-BW58-CH58-CS58</f>
        <v>0.14200000000008117</v>
      </c>
      <c r="DC58" s="196">
        <f t="shared" ref="DC58" si="886">P58-Q58-R58-S58</f>
        <v>0</v>
      </c>
      <c r="DD58" s="163"/>
      <c r="DE58" s="200">
        <v>188.29900000000001</v>
      </c>
      <c r="DF58" s="200">
        <v>104.798</v>
      </c>
      <c r="DG58" s="206">
        <f t="shared" si="584"/>
        <v>44.680377146387691</v>
      </c>
      <c r="DH58" s="191">
        <f t="shared" si="61"/>
        <v>0.55655101726509437</v>
      </c>
      <c r="DI58" s="197">
        <v>157.494</v>
      </c>
      <c r="DJ58" s="191">
        <f t="shared" si="48"/>
        <v>0.41820190229369247</v>
      </c>
      <c r="DK58" s="197">
        <v>126.65600000000001</v>
      </c>
      <c r="DL58" s="197">
        <v>122.81399999999999</v>
      </c>
      <c r="DM58" s="191">
        <f t="shared" si="62"/>
        <v>3.0334133400707564E-2</v>
      </c>
      <c r="DN58" s="200">
        <v>164.83</v>
      </c>
      <c r="DO58" s="200">
        <v>49.976999999999997</v>
      </c>
      <c r="DP58" s="200">
        <v>96.590999999999994</v>
      </c>
      <c r="DQ58" s="200">
        <f t="shared" ref="DQ58" si="887">DP58+DO58</f>
        <v>146.56799999999998</v>
      </c>
      <c r="DR58" s="191">
        <f t="shared" ref="DR58" si="888">DJ58+DH58</f>
        <v>0.97475291955878685</v>
      </c>
      <c r="DS58" s="199">
        <f t="shared" si="51"/>
        <v>0.80419571539233248</v>
      </c>
      <c r="DT58" s="200">
        <v>145.48500000000001</v>
      </c>
      <c r="DU58" s="200">
        <v>67.941999999999993</v>
      </c>
      <c r="DV58" s="200">
        <v>36.31</v>
      </c>
      <c r="DW58" s="191">
        <f t="shared" si="63"/>
        <v>0.46700347114822827</v>
      </c>
      <c r="DX58" s="197">
        <v>39.875999999999998</v>
      </c>
      <c r="DY58" s="191">
        <f t="shared" si="64"/>
        <v>0.13704505619135993</v>
      </c>
      <c r="DZ58" s="197">
        <v>44.145000000000003</v>
      </c>
      <c r="EA58" s="197">
        <v>42.662999999999997</v>
      </c>
      <c r="EB58" s="191">
        <f t="shared" si="52"/>
        <v>3.3571185864764042E-2</v>
      </c>
      <c r="EC58" s="200">
        <v>44.234999999999999</v>
      </c>
      <c r="ED58" s="200">
        <v>10.242000000000001</v>
      </c>
      <c r="EE58" s="200">
        <v>22.131</v>
      </c>
      <c r="EF58" s="195">
        <f t="shared" si="805"/>
        <v>32.373000000000005</v>
      </c>
      <c r="EG58" s="191">
        <f t="shared" si="806"/>
        <v>0.60404852733958814</v>
      </c>
      <c r="EJ58" s="202">
        <f t="shared" si="3"/>
        <v>12.076593548387097</v>
      </c>
      <c r="EK58" s="202">
        <f>'NOPA Crush'!B483*56/('NOPA Crush'!A483-'NOPA Crush'!A482)</f>
        <v>11.775904992654697</v>
      </c>
      <c r="EL58" s="203">
        <f t="shared" si="65"/>
        <v>1.0255342205902609</v>
      </c>
      <c r="EM58" s="202">
        <f t="shared" si="55"/>
        <v>6.0741612903225812</v>
      </c>
      <c r="EN58" s="202">
        <f t="shared" si="56"/>
        <v>9.3861290322580643E-3</v>
      </c>
      <c r="EO58" s="202">
        <f t="shared" si="66"/>
        <v>18.160140967741935</v>
      </c>
    </row>
    <row r="59" spans="1:145">
      <c r="A59" s="157">
        <v>43770</v>
      </c>
      <c r="B59" s="186">
        <v>5239.4520000000002</v>
      </c>
      <c r="C59" s="187">
        <f t="shared" ref="C59" si="889">B59/30</f>
        <v>174.64840000000001</v>
      </c>
      <c r="D59" s="247">
        <f>C59-'NOPA Crush'!G484</f>
        <v>9.7394000000000176</v>
      </c>
      <c r="E59" s="188">
        <f>C59/'NOPA Crush'!G484-1</f>
        <v>5.9059238731664188E-2</v>
      </c>
      <c r="F59" s="189">
        <v>3855.8270000000002</v>
      </c>
      <c r="G59" s="189">
        <v>3813.221</v>
      </c>
      <c r="H59" s="189">
        <v>42.606000000000002</v>
      </c>
      <c r="I59" s="189">
        <v>426.33199999999999</v>
      </c>
      <c r="J59" s="190">
        <f t="shared" ref="J59" si="890">F59*2/C59</f>
        <v>44.155308608610213</v>
      </c>
      <c r="K59" s="190">
        <f t="shared" ref="K59" si="891">(F59+M59)*2/C59</f>
        <v>47.086283069298084</v>
      </c>
      <c r="L59" s="190">
        <f>K59-'NOPA Crush'!J484</f>
        <v>-0.13371693070191526</v>
      </c>
      <c r="M59" s="189">
        <v>255.94499999999999</v>
      </c>
      <c r="N59" s="189">
        <v>41.081000000000003</v>
      </c>
      <c r="O59" s="189">
        <v>1999.6479999999999</v>
      </c>
      <c r="P59" s="189">
        <v>1522.923</v>
      </c>
      <c r="Q59" s="189">
        <v>739.83199999999999</v>
      </c>
      <c r="R59" s="189">
        <v>392.63</v>
      </c>
      <c r="S59" s="189">
        <v>390.46100000000001</v>
      </c>
      <c r="T59" s="189">
        <v>357.435</v>
      </c>
      <c r="U59" s="189">
        <f>(P59+T59)-'NOPA Crush'!Q484</f>
        <v>432.26499999999987</v>
      </c>
      <c r="V59" s="191">
        <f>((P59+T59)/'NOPA Crush'!Q484)-1</f>
        <v>0.29850638046037092</v>
      </c>
      <c r="W59" s="190">
        <f t="shared" ref="W59" si="892">O59/C59</f>
        <v>11.449563809344946</v>
      </c>
      <c r="X59" s="190">
        <f>W59-'NOPA Crush'!O484</f>
        <v>-8.0436190655053252E-2</v>
      </c>
      <c r="Y59" s="190">
        <f t="shared" si="720"/>
        <v>58.535846878643028</v>
      </c>
      <c r="Z59" s="211">
        <v>1397.17</v>
      </c>
      <c r="AA59" s="211">
        <v>1362.3430000000001</v>
      </c>
      <c r="AB59" s="191">
        <f t="shared" ref="AB59" si="893">(Z59-AA59)/Z59</f>
        <v>2.4926816350193604E-2</v>
      </c>
      <c r="AC59" s="211">
        <v>106.331</v>
      </c>
      <c r="AD59" s="211">
        <v>1400.4010000000001</v>
      </c>
      <c r="AE59" s="211">
        <v>1013.3440000000001</v>
      </c>
      <c r="AF59" s="211">
        <v>387.05700000000002</v>
      </c>
      <c r="AG59" s="191">
        <f t="shared" si="122"/>
        <v>2.7935696076538674E-2</v>
      </c>
      <c r="AH59" s="163"/>
      <c r="AI59" s="211">
        <v>613.80799999999999</v>
      </c>
      <c r="AJ59" s="247">
        <f t="shared" si="11"/>
        <v>20.460266666666666</v>
      </c>
      <c r="AK59" s="211">
        <v>447.21</v>
      </c>
      <c r="AL59" s="211">
        <v>88.658000000000001</v>
      </c>
      <c r="AM59" s="190">
        <f t="shared" ref="AM59" si="894">AK59*2/AJ59</f>
        <v>43.714972760211666</v>
      </c>
      <c r="AN59" s="190">
        <f t="shared" ref="AN59" si="895">AM59-J59</f>
        <v>-0.44033584839854711</v>
      </c>
      <c r="AO59" s="211">
        <v>234.749</v>
      </c>
      <c r="AP59" s="211">
        <v>117.15300000000001</v>
      </c>
      <c r="AQ59" s="190">
        <f t="shared" ref="AQ59" si="896">AO59/AJ59</f>
        <v>11.473408622891849</v>
      </c>
      <c r="AR59" s="190">
        <f t="shared" ref="AR59" si="897">AQ59-W59</f>
        <v>2.3844813546903154E-2</v>
      </c>
      <c r="AS59" s="190">
        <f t="shared" ref="AS59" si="898">AM59+AQ59</f>
        <v>55.188381383103518</v>
      </c>
      <c r="AT59" s="211">
        <v>1040.2639999999999</v>
      </c>
      <c r="AU59" s="247">
        <f t="shared" si="16"/>
        <v>34.675466666666665</v>
      </c>
      <c r="AV59" s="211">
        <v>767.35699999999997</v>
      </c>
      <c r="AW59" s="211">
        <v>62.898000000000003</v>
      </c>
      <c r="AX59" s="190">
        <f t="shared" ref="AX59" si="899">AV59*2/AU59</f>
        <v>44.259361085262974</v>
      </c>
      <c r="AY59" s="190">
        <f t="shared" ref="AY59" si="900">AX59-J59</f>
        <v>0.10405247665276107</v>
      </c>
      <c r="AZ59" s="211">
        <v>397.63600000000002</v>
      </c>
      <c r="BA59" s="211">
        <v>150.24799999999999</v>
      </c>
      <c r="BB59" s="190">
        <f t="shared" ref="BB59" si="901">AZ59/AU59</f>
        <v>11.467358285973562</v>
      </c>
      <c r="BC59" s="190">
        <f t="shared" ref="BC59" si="902">BB59-W59</f>
        <v>1.7794476628615996E-2</v>
      </c>
      <c r="BD59" s="247">
        <f t="shared" si="860"/>
        <v>55.726719371236534</v>
      </c>
      <c r="BE59" s="211">
        <v>1227.011</v>
      </c>
      <c r="BF59" s="247">
        <f t="shared" si="58"/>
        <v>40.900366666666663</v>
      </c>
      <c r="BG59" s="211">
        <v>903.97799999999995</v>
      </c>
      <c r="BH59" s="211">
        <v>110.754</v>
      </c>
      <c r="BI59" s="190">
        <f t="shared" ref="BI59" si="903">BG59*2/BF59</f>
        <v>44.203906892440251</v>
      </c>
      <c r="BJ59" s="190">
        <f t="shared" ref="BJ59" si="904">BI59-J59</f>
        <v>4.8598283830038724E-2</v>
      </c>
      <c r="BK59" s="211">
        <v>467.44499999999999</v>
      </c>
      <c r="BL59" s="211">
        <v>193.446</v>
      </c>
      <c r="BM59" s="190">
        <f t="shared" ref="BM59" si="905">BK59/BF59</f>
        <v>11.428870645821432</v>
      </c>
      <c r="BN59" s="190">
        <f t="shared" ref="BN59" si="906">BM59-W59</f>
        <v>-2.0693163523514357E-2</v>
      </c>
      <c r="BO59" s="247">
        <f t="shared" ref="BO59" si="907">BM59+BI59</f>
        <v>55.632777538261685</v>
      </c>
      <c r="BP59" s="211">
        <v>775.26599999999996</v>
      </c>
      <c r="BQ59" s="247">
        <f t="shared" si="26"/>
        <v>25.842199999999998</v>
      </c>
      <c r="BR59" s="211">
        <v>570.69299999999998</v>
      </c>
      <c r="BS59" s="211">
        <v>51.933999999999997</v>
      </c>
      <c r="BT59" s="190">
        <f t="shared" ref="BT59" si="908">BR59*2/BQ59</f>
        <v>44.167524436773959</v>
      </c>
      <c r="BU59" s="190">
        <f t="shared" ref="BU59" si="909">BT59-J59</f>
        <v>1.2215828163746778E-2</v>
      </c>
      <c r="BV59" s="211">
        <v>290.75400000000002</v>
      </c>
      <c r="BW59" s="211">
        <v>176.423</v>
      </c>
      <c r="BX59" s="190">
        <f t="shared" ref="BX59" si="910">BV59/BQ59</f>
        <v>11.251131869577669</v>
      </c>
      <c r="BY59" s="190">
        <f t="shared" ref="BY59" si="911">BX59-W59</f>
        <v>-0.19843193976727669</v>
      </c>
      <c r="BZ59" s="194">
        <f t="shared" ref="BZ59" si="912">BT59+BX59</f>
        <v>55.418656306351629</v>
      </c>
      <c r="CA59" s="211">
        <v>653.67600000000004</v>
      </c>
      <c r="CB59" s="247">
        <f t="shared" si="32"/>
        <v>21.789200000000001</v>
      </c>
      <c r="CC59" s="211">
        <v>476.279</v>
      </c>
      <c r="CD59" s="211">
        <v>70.733000000000004</v>
      </c>
      <c r="CE59" s="190">
        <f t="shared" ref="CE59" si="913">CC59*2/CB59</f>
        <v>43.716979053843183</v>
      </c>
      <c r="CF59" s="190">
        <f t="shared" ref="CF59" si="914">CE59-J59</f>
        <v>-0.43832955476703006</v>
      </c>
      <c r="CG59" s="211">
        <v>252.65799999999999</v>
      </c>
      <c r="CH59" s="211">
        <v>62.768000000000001</v>
      </c>
      <c r="CI59" s="190">
        <f t="shared" ref="CI59" si="915">CG59/CB59</f>
        <v>11.595561103666036</v>
      </c>
      <c r="CJ59" s="190">
        <f t="shared" ref="CJ59" si="916">CI59-W59</f>
        <v>0.14599729432108965</v>
      </c>
      <c r="CK59" s="194">
        <f t="shared" ref="CK59" si="917">CI59+CE59</f>
        <v>55.312540157509218</v>
      </c>
      <c r="CL59" s="211">
        <v>929.42700000000002</v>
      </c>
      <c r="CM59" s="247">
        <f t="shared" si="60"/>
        <v>30.980900000000002</v>
      </c>
      <c r="CN59" s="211">
        <v>690.31</v>
      </c>
      <c r="CO59" s="211">
        <v>41.354999999999997</v>
      </c>
      <c r="CP59" s="190">
        <f t="shared" ref="CP59" si="918">CN59*2/CM59</f>
        <v>44.563585951344209</v>
      </c>
      <c r="CQ59" s="190">
        <f t="shared" ref="CQ59" si="919">CP59-J59</f>
        <v>0.40827734273399585</v>
      </c>
      <c r="CR59" s="211">
        <v>356.40600000000001</v>
      </c>
      <c r="CS59" s="211">
        <v>39.793999999999997</v>
      </c>
      <c r="CT59" s="190">
        <f t="shared" ref="CT59" si="920">CR59/CM59</f>
        <v>11.504055724656158</v>
      </c>
      <c r="CU59" s="190">
        <f t="shared" ref="CU59" si="921">CT59-W59</f>
        <v>5.4491915311212225E-2</v>
      </c>
      <c r="CV59" s="247">
        <f t="shared" ref="CV59" si="922">CP59+CT59</f>
        <v>56.067641676000363</v>
      </c>
      <c r="CW59" s="163"/>
      <c r="CX59" s="196">
        <f t="shared" ref="CX59" si="923">C59-AJ59-AU59-BF59-BQ59-CB59-CM59</f>
        <v>3.1974423109204508E-14</v>
      </c>
      <c r="CY59" s="196">
        <f t="shared" ref="CY59" si="924">F59-AK59-AV59-BG59-BR59-CC59-CN59</f>
        <v>0</v>
      </c>
      <c r="CZ59" s="196">
        <f t="shared" ref="CZ59" si="925">I59-AL59-AW59-BH59-BS59-CD59-CO59</f>
        <v>-6.3948846218409017E-14</v>
      </c>
      <c r="DA59" s="196">
        <f t="shared" ref="DA59" si="926">O59-AO59-AZ59-BK59-BV59-CG59-CR59</f>
        <v>0</v>
      </c>
      <c r="DB59" s="196">
        <f t="shared" ref="DB59" si="927">Q59-AP59-BA59-BL59-BW59-CH59-CS59</f>
        <v>0</v>
      </c>
      <c r="DC59" s="196">
        <f t="shared" ref="DC59" si="928">P59-Q59-R59-S59</f>
        <v>0</v>
      </c>
      <c r="DD59" s="163"/>
      <c r="DE59" s="200">
        <v>152.43</v>
      </c>
      <c r="DF59" s="200">
        <v>85.254999999999995</v>
      </c>
      <c r="DG59" s="206">
        <f t="shared" si="584"/>
        <v>46.260442468963291</v>
      </c>
      <c r="DH59" s="191">
        <f t="shared" si="61"/>
        <v>0.55930591090992576</v>
      </c>
      <c r="DI59" s="197">
        <v>126.68</v>
      </c>
      <c r="DJ59" s="191">
        <f t="shared" si="48"/>
        <v>0.4155349996719806</v>
      </c>
      <c r="DK59" s="197">
        <v>99.525999999999996</v>
      </c>
      <c r="DL59" s="197">
        <v>96.257999999999996</v>
      </c>
      <c r="DM59" s="191">
        <f t="shared" si="62"/>
        <v>3.2835640938046362E-2</v>
      </c>
      <c r="DN59" s="200">
        <v>159.52000000000001</v>
      </c>
      <c r="DO59" s="200">
        <v>39.936999999999998</v>
      </c>
      <c r="DP59" s="200">
        <v>101.435</v>
      </c>
      <c r="DQ59" s="200">
        <f t="shared" ref="DQ59" si="929">DP59+DO59</f>
        <v>141.37200000000001</v>
      </c>
      <c r="DR59" s="191">
        <f t="shared" ref="DR59" si="930">DJ59+DH59</f>
        <v>0.97484091058190636</v>
      </c>
      <c r="DS59" s="199">
        <f t="shared" si="51"/>
        <v>0.78564887906536152</v>
      </c>
      <c r="DT59" s="200">
        <v>166.80199999999999</v>
      </c>
      <c r="DU59" s="200">
        <v>83.584000000000003</v>
      </c>
      <c r="DV59" s="200">
        <v>37.279000000000003</v>
      </c>
      <c r="DW59" s="191">
        <f t="shared" si="63"/>
        <v>0.50109710914737238</v>
      </c>
      <c r="DX59" s="197">
        <v>46.500999999999998</v>
      </c>
      <c r="DY59" s="191">
        <f t="shared" si="64"/>
        <v>0.1393898154698385</v>
      </c>
      <c r="DZ59" s="197">
        <v>42.46</v>
      </c>
      <c r="EA59" s="197">
        <v>41.244999999999997</v>
      </c>
      <c r="EB59" s="191">
        <f t="shared" si="52"/>
        <v>2.8615167216203607E-2</v>
      </c>
      <c r="EC59" s="200">
        <v>36.762</v>
      </c>
      <c r="ED59" s="206">
        <v>20</v>
      </c>
      <c r="EE59" s="200">
        <v>28.744</v>
      </c>
      <c r="EF59" s="205">
        <f t="shared" si="805"/>
        <v>48.744</v>
      </c>
      <c r="EG59" s="191">
        <f t="shared" si="806"/>
        <v>0.64048692461721091</v>
      </c>
      <c r="EJ59" s="202">
        <f t="shared" si="3"/>
        <v>11.643226666666667</v>
      </c>
      <c r="EK59" s="202">
        <f>'NOPA Crush'!B484*56/('NOPA Crush'!A484-'NOPA Crush'!A483)</f>
        <v>11.29719853420016</v>
      </c>
      <c r="EL59" s="203">
        <f t="shared" si="65"/>
        <v>1.0306295522220816</v>
      </c>
      <c r="EM59" s="202">
        <f t="shared" si="55"/>
        <v>5.0810000000000004</v>
      </c>
      <c r="EN59" s="202">
        <f t="shared" si="56"/>
        <v>1.1120133333333334E-2</v>
      </c>
      <c r="EO59" s="202">
        <f t="shared" si="66"/>
        <v>16.735346799999999</v>
      </c>
    </row>
    <row r="60" spans="1:145">
      <c r="A60" s="157">
        <v>43800</v>
      </c>
      <c r="B60" s="186">
        <v>5542.2740000000003</v>
      </c>
      <c r="C60" s="187">
        <f t="shared" ref="C60" si="931">B60/30</f>
        <v>184.74246666666667</v>
      </c>
      <c r="D60" s="247">
        <f>C60-'NOPA Crush'!G485</f>
        <v>9.9304666666666606</v>
      </c>
      <c r="E60" s="188">
        <f>C60/'NOPA Crush'!G485-1</f>
        <v>5.6806550274961953E-2</v>
      </c>
      <c r="F60" s="189">
        <v>4062.9290000000001</v>
      </c>
      <c r="G60" s="189">
        <v>4013.049</v>
      </c>
      <c r="H60" s="189">
        <v>49.88</v>
      </c>
      <c r="I60" s="189">
        <v>342.08499999999998</v>
      </c>
      <c r="J60" s="190">
        <f t="shared" ref="J60" si="932">F60*2/C60</f>
        <v>43.984786749987457</v>
      </c>
      <c r="K60" s="190">
        <f t="shared" ref="K60" si="933">(F60+M60)*2/C60</f>
        <v>46.958039245262867</v>
      </c>
      <c r="L60" s="190">
        <f>K60-'NOPA Crush'!J485</f>
        <v>-8.1960754737131936E-2</v>
      </c>
      <c r="M60" s="189">
        <v>274.64299999999997</v>
      </c>
      <c r="N60" s="189">
        <v>34.987000000000002</v>
      </c>
      <c r="O60" s="189">
        <v>2110.9360000000001</v>
      </c>
      <c r="P60" s="189">
        <v>1749.423</v>
      </c>
      <c r="Q60" s="189">
        <v>830.21900000000005</v>
      </c>
      <c r="R60" s="189">
        <v>413.42500000000001</v>
      </c>
      <c r="S60" s="189">
        <v>505.779</v>
      </c>
      <c r="T60" s="189">
        <v>384.64100000000002</v>
      </c>
      <c r="U60" s="189">
        <f>(P60+T60)-'NOPA Crush'!Q485</f>
        <v>376.99499999999989</v>
      </c>
      <c r="V60" s="191">
        <f>((P60+T60)/'NOPA Crush'!Q485)-1</f>
        <v>0.21455901845630421</v>
      </c>
      <c r="W60" s="190">
        <f t="shared" ref="W60" si="934">O60/C60</f>
        <v>11.426371197093468</v>
      </c>
      <c r="X60" s="190">
        <f>W60-'NOPA Crush'!O485</f>
        <v>-8.3628802906531519E-2</v>
      </c>
      <c r="Y60" s="190">
        <f t="shared" si="720"/>
        <v>58.384410442356334</v>
      </c>
      <c r="Z60" s="211">
        <v>1389.8720000000001</v>
      </c>
      <c r="AA60" s="211">
        <v>1363.403</v>
      </c>
      <c r="AB60" s="191">
        <f t="shared" ref="AB60" si="935">(Z60-AA60)/Z60</f>
        <v>1.9044199753646414E-2</v>
      </c>
      <c r="AC60" s="211">
        <v>112.13200000000001</v>
      </c>
      <c r="AD60" s="211">
        <v>1407.06</v>
      </c>
      <c r="AE60" s="211">
        <v>1018.05</v>
      </c>
      <c r="AF60" s="211">
        <v>389.01</v>
      </c>
      <c r="AG60" s="191">
        <f t="shared" si="122"/>
        <v>3.2020613127593078E-2</v>
      </c>
      <c r="AH60" s="195"/>
      <c r="AI60" s="211">
        <v>671.35199999999998</v>
      </c>
      <c r="AJ60" s="247">
        <f t="shared" si="11"/>
        <v>22.378399999999999</v>
      </c>
      <c r="AK60" s="211">
        <v>493.44099999999997</v>
      </c>
      <c r="AL60" s="211">
        <v>99.599000000000004</v>
      </c>
      <c r="AM60" s="190">
        <f t="shared" ref="AM60" si="936">AK60*2/AJ60</f>
        <v>44.099756908447432</v>
      </c>
      <c r="AN60" s="190">
        <f t="shared" ref="AN60" si="937">AM60-J60</f>
        <v>0.11497015845997538</v>
      </c>
      <c r="AO60" s="211">
        <v>263.71899999999999</v>
      </c>
      <c r="AP60" s="211">
        <v>156.36699999999999</v>
      </c>
      <c r="AQ60" s="190">
        <f t="shared" ref="AQ60" si="938">AO60/AJ60</f>
        <v>11.784533299967826</v>
      </c>
      <c r="AR60" s="190">
        <f t="shared" ref="AR60" si="939">AQ60-W60</f>
        <v>0.35816210287435801</v>
      </c>
      <c r="AS60" s="190">
        <f t="shared" ref="AS60" si="940">AM60+AQ60</f>
        <v>55.884290208415258</v>
      </c>
      <c r="AT60" s="211">
        <v>1132.5409999999999</v>
      </c>
      <c r="AU60" s="247">
        <f t="shared" si="16"/>
        <v>37.751366666666662</v>
      </c>
      <c r="AV60" s="211">
        <v>831.94200000000001</v>
      </c>
      <c r="AW60" s="211">
        <v>43.441000000000003</v>
      </c>
      <c r="AX60" s="190">
        <f t="shared" ref="AX60" si="941">AV60*2/AU60</f>
        <v>44.074801706958077</v>
      </c>
      <c r="AY60" s="190">
        <f t="shared" ref="AY60" si="942">AX60-J60</f>
        <v>9.0014956970620119E-2</v>
      </c>
      <c r="AZ60" s="211">
        <v>429.60199999999998</v>
      </c>
      <c r="BA60" s="211">
        <v>160.31100000000001</v>
      </c>
      <c r="BB60" s="190">
        <f t="shared" ref="BB60" si="943">AZ60/AU60</f>
        <v>11.3797734474955</v>
      </c>
      <c r="BC60" s="190">
        <f t="shared" ref="BC60" si="944">BB60-W60</f>
        <v>-4.6597749597967919E-2</v>
      </c>
      <c r="BD60" s="247">
        <f t="shared" ref="BD60" si="945">AX60+BB60</f>
        <v>55.454575154453579</v>
      </c>
      <c r="BE60" s="211">
        <v>1303.3109999999999</v>
      </c>
      <c r="BF60" s="247">
        <f t="shared" si="58"/>
        <v>43.4437</v>
      </c>
      <c r="BG60" s="211">
        <v>949.86300000000006</v>
      </c>
      <c r="BH60" s="211">
        <v>54.872</v>
      </c>
      <c r="BI60" s="190">
        <f t="shared" ref="BI60" si="946">BG60*2/BF60</f>
        <v>43.728457751066323</v>
      </c>
      <c r="BJ60" s="190">
        <f t="shared" ref="BJ60" si="947">BI60-J60</f>
        <v>-0.25632899892113414</v>
      </c>
      <c r="BK60" s="211">
        <v>497.54</v>
      </c>
      <c r="BL60" s="211">
        <v>224.72</v>
      </c>
      <c r="BM60" s="190">
        <f t="shared" ref="BM60" si="948">BK60/BF60</f>
        <v>11.4525236110184</v>
      </c>
      <c r="BN60" s="190">
        <f t="shared" ref="BN60" si="949">BM60-W60</f>
        <v>2.6152413924931395E-2</v>
      </c>
      <c r="BO60" s="247">
        <f t="shared" ref="BO60" si="950">BM60+BI60</f>
        <v>55.180981362084722</v>
      </c>
      <c r="BP60" s="211">
        <v>819.14700000000005</v>
      </c>
      <c r="BQ60" s="247">
        <f t="shared" si="26"/>
        <v>27.3049</v>
      </c>
      <c r="BR60" s="211">
        <v>605.57000000000005</v>
      </c>
      <c r="BS60" s="211">
        <v>38.530999999999999</v>
      </c>
      <c r="BT60" s="190">
        <f t="shared" ref="BT60" si="951">BR60*2/BQ60</f>
        <v>44.35614120542467</v>
      </c>
      <c r="BU60" s="190">
        <f t="shared" ref="BU60" si="952">BT60-J60</f>
        <v>0.37135445543721346</v>
      </c>
      <c r="BV60" s="211">
        <v>297.572</v>
      </c>
      <c r="BW60" s="211">
        <v>189.297</v>
      </c>
      <c r="BX60" s="190">
        <f t="shared" ref="BX60" si="953">BV60/BQ60</f>
        <v>10.898117187757508</v>
      </c>
      <c r="BY60" s="190">
        <f t="shared" ref="BY60" si="954">BX60-W60</f>
        <v>-0.52825400933596001</v>
      </c>
      <c r="BZ60" s="194">
        <f t="shared" ref="BZ60" si="955">BT60+BX60</f>
        <v>55.254258393182177</v>
      </c>
      <c r="CA60" s="211">
        <v>680.36400000000003</v>
      </c>
      <c r="CB60" s="247">
        <f t="shared" si="32"/>
        <v>22.678800000000003</v>
      </c>
      <c r="CC60" s="211">
        <v>487.15600000000001</v>
      </c>
      <c r="CD60" s="211">
        <v>61.569000000000003</v>
      </c>
      <c r="CE60" s="190">
        <f t="shared" ref="CE60" si="956">CC60*2/CB60</f>
        <v>42.961355980034213</v>
      </c>
      <c r="CF60" s="190">
        <f t="shared" ref="CF60" si="957">CE60-J60</f>
        <v>-1.0234307699532437</v>
      </c>
      <c r="CG60" s="211">
        <v>260.95299999999997</v>
      </c>
      <c r="CH60" s="211">
        <v>51.79</v>
      </c>
      <c r="CI60" s="190">
        <f t="shared" ref="CI60" si="958">CG60/CB60</f>
        <v>11.506473005626397</v>
      </c>
      <c r="CJ60" s="190">
        <f t="shared" ref="CJ60" si="959">CI60-W60</f>
        <v>8.0101808532928587E-2</v>
      </c>
      <c r="CK60" s="194">
        <f t="shared" ref="CK60:CK61" si="960">CI60+CE60</f>
        <v>54.46782898566061</v>
      </c>
      <c r="CL60" s="211">
        <v>935.55899999999997</v>
      </c>
      <c r="CM60" s="247">
        <f t="shared" si="60"/>
        <v>31.185299999999998</v>
      </c>
      <c r="CN60" s="211">
        <v>694.95699999999999</v>
      </c>
      <c r="CO60" s="211">
        <v>44.073</v>
      </c>
      <c r="CP60" s="190">
        <f t="shared" ref="CP60" si="961">CN60*2/CM60</f>
        <v>44.569524744030041</v>
      </c>
      <c r="CQ60" s="190">
        <f t="shared" ref="CQ60" si="962">CP60-J60</f>
        <v>0.58473799404258386</v>
      </c>
      <c r="CR60" s="211">
        <v>361.55</v>
      </c>
      <c r="CS60" s="211">
        <v>47.734000000000002</v>
      </c>
      <c r="CT60" s="190">
        <f t="shared" ref="CT60" si="963">CR60/CM60</f>
        <v>11.593603396472057</v>
      </c>
      <c r="CU60" s="190">
        <f t="shared" ref="CU60" si="964">CT60-W60</f>
        <v>0.16723219937858858</v>
      </c>
      <c r="CV60" s="247">
        <f t="shared" ref="CV60" si="965">CP60+CT60</f>
        <v>56.163128140502096</v>
      </c>
      <c r="CW60" s="163"/>
      <c r="CX60" s="196">
        <f t="shared" ref="CX60" si="966">C60-AJ60-AU60-BF60-BQ60-CB60-CM60</f>
        <v>0</v>
      </c>
      <c r="CY60" s="196">
        <f t="shared" ref="CY60" si="967">F60-AK60-AV60-BG60-BR60-CC60-CN60</f>
        <v>0</v>
      </c>
      <c r="CZ60" s="196">
        <f t="shared" ref="CZ60" si="968">I60-AL60-AW60-BH60-BS60-CD60-CO60</f>
        <v>0</v>
      </c>
      <c r="DA60" s="196">
        <f t="shared" ref="DA60" si="969">O60-AO60-AZ60-BK60-BV60-CG60-CR60</f>
        <v>0</v>
      </c>
      <c r="DB60" s="196">
        <f t="shared" ref="DB60" si="970">Q60-AP60-BA60-BL60-BW60-CH60-CS60</f>
        <v>0</v>
      </c>
      <c r="DC60" s="196">
        <f t="shared" ref="DC60" si="971">P60-Q60-R60-S60</f>
        <v>0</v>
      </c>
      <c r="DD60" s="163"/>
      <c r="DE60" s="200">
        <v>176.63800000000001</v>
      </c>
      <c r="DF60" s="200">
        <v>98.584999999999994</v>
      </c>
      <c r="DG60" s="206">
        <f t="shared" si="584"/>
        <v>45.239149794747931</v>
      </c>
      <c r="DH60" s="191">
        <f t="shared" si="61"/>
        <v>0.55811886457047744</v>
      </c>
      <c r="DI60" s="197">
        <v>146.68</v>
      </c>
      <c r="DJ60" s="191">
        <f t="shared" si="48"/>
        <v>0.41519944745751197</v>
      </c>
      <c r="DK60" s="197">
        <v>108.75700000000001</v>
      </c>
      <c r="DL60" s="197">
        <v>104.895</v>
      </c>
      <c r="DM60" s="191">
        <f t="shared" si="62"/>
        <v>3.5510357953970839E-2</v>
      </c>
      <c r="DN60" s="200">
        <v>149.17099999999999</v>
      </c>
      <c r="DO60" s="200">
        <v>37.28</v>
      </c>
      <c r="DP60" s="200">
        <v>93.468999999999994</v>
      </c>
      <c r="DQ60" s="200">
        <f t="shared" ref="DQ60" si="972">DP60+DO60</f>
        <v>130.749</v>
      </c>
      <c r="DR60" s="191">
        <f t="shared" ref="DR60" si="973">DJ60+DH60</f>
        <v>0.97331831202798935</v>
      </c>
      <c r="DS60" s="199">
        <f t="shared" si="51"/>
        <v>0.74145759476411233</v>
      </c>
      <c r="DT60" s="200">
        <v>180.22399999999999</v>
      </c>
      <c r="DU60" s="200">
        <v>81.474000000000004</v>
      </c>
      <c r="DV60" s="200">
        <v>30.832999999999998</v>
      </c>
      <c r="DW60" s="191">
        <f t="shared" si="63"/>
        <v>0.45207075639204553</v>
      </c>
      <c r="DX60" s="197">
        <v>50.329000000000001</v>
      </c>
      <c r="DY60" s="191">
        <f t="shared" si="64"/>
        <v>0.13962901722301138</v>
      </c>
      <c r="DZ60" s="197">
        <v>53.311</v>
      </c>
      <c r="EA60" s="197">
        <v>51.625999999999998</v>
      </c>
      <c r="EB60" s="191">
        <f t="shared" si="52"/>
        <v>3.1606985425146839E-2</v>
      </c>
      <c r="EC60" s="200">
        <v>46.475999999999999</v>
      </c>
      <c r="ED60" s="206">
        <v>20</v>
      </c>
      <c r="EE60" s="200">
        <v>30.271999999999998</v>
      </c>
      <c r="EF60" s="205">
        <f t="shared" si="805"/>
        <v>50.271999999999998</v>
      </c>
      <c r="EG60" s="191">
        <f t="shared" si="806"/>
        <v>0.59169977361505688</v>
      </c>
      <c r="EJ60" s="202">
        <f t="shared" si="3"/>
        <v>11.918868817204302</v>
      </c>
      <c r="EK60" s="202">
        <f>'NOPA Crush'!B485*56/('NOPA Crush'!A485-'NOPA Crush'!A484)</f>
        <v>11.645890612511847</v>
      </c>
      <c r="EL60" s="203">
        <f t="shared" si="65"/>
        <v>1.0234398736666115</v>
      </c>
      <c r="EM60" s="202">
        <f t="shared" si="55"/>
        <v>5.6980000000000004</v>
      </c>
      <c r="EN60" s="202">
        <f t="shared" si="56"/>
        <v>1.1627354838709678E-2</v>
      </c>
      <c r="EO60" s="202">
        <f t="shared" si="66"/>
        <v>17.628496172043011</v>
      </c>
    </row>
    <row r="61" spans="1:145">
      <c r="A61" s="157">
        <v>43831</v>
      </c>
      <c r="B61" s="186">
        <v>5663.4030000000002</v>
      </c>
      <c r="C61" s="187">
        <f t="shared" ref="C61" si="974">B61/30</f>
        <v>188.7801</v>
      </c>
      <c r="D61" s="247">
        <f>C61-'NOPA Crush'!G486</f>
        <v>11.840100000000007</v>
      </c>
      <c r="E61" s="188">
        <f>C61/'NOPA Crush'!G486-1</f>
        <v>6.6915903696168177E-2</v>
      </c>
      <c r="F61" s="189">
        <v>4144.3549999999996</v>
      </c>
      <c r="G61" s="189">
        <v>4089.0680000000002</v>
      </c>
      <c r="H61" s="189">
        <v>55.286999999999999</v>
      </c>
      <c r="I61" s="189">
        <v>302.32100000000003</v>
      </c>
      <c r="J61" s="190">
        <f t="shared" ref="J61" si="975">F61*2/C61</f>
        <v>43.906693555093987</v>
      </c>
      <c r="K61" s="190">
        <f t="shared" ref="K61" si="976">(F61+M61)*2/C61</f>
        <v>46.887876423415392</v>
      </c>
      <c r="L61" s="190">
        <f>K61-'NOPA Crush'!J486</f>
        <v>-3.2123576584609737E-2</v>
      </c>
      <c r="M61" s="189">
        <v>281.39400000000001</v>
      </c>
      <c r="N61" s="189">
        <v>42.612000000000002</v>
      </c>
      <c r="O61" s="189">
        <v>2154.4270000000001</v>
      </c>
      <c r="P61" s="189">
        <v>1989.164</v>
      </c>
      <c r="Q61" s="189">
        <v>862.56700000000001</v>
      </c>
      <c r="R61" s="189">
        <v>467.76400000000001</v>
      </c>
      <c r="S61" s="189">
        <v>658.83299999999997</v>
      </c>
      <c r="T61" s="189">
        <v>366.733</v>
      </c>
      <c r="U61" s="189">
        <f>(P61+T61)-'NOPA Crush'!Q486</f>
        <v>343.16899999999987</v>
      </c>
      <c r="V61" s="191">
        <f>((P61+T61)/'NOPA Crush'!Q486)-1</f>
        <v>0.17049944155395069</v>
      </c>
      <c r="W61" s="190">
        <f t="shared" ref="W61" si="977">O61/C61</f>
        <v>11.412362849685957</v>
      </c>
      <c r="X61" s="190">
        <f>W61-'NOPA Crush'!O486</f>
        <v>-8.7637150314042955E-2</v>
      </c>
      <c r="Y61" s="190">
        <f t="shared" si="720"/>
        <v>58.300239273101347</v>
      </c>
      <c r="Z61" s="211">
        <v>1442.6420000000001</v>
      </c>
      <c r="AA61" s="211">
        <v>1408.135</v>
      </c>
      <c r="AB61" s="191">
        <f t="shared" ref="AB61" si="978">(Z61-AA61)/Z61</f>
        <v>2.3919309156395046E-2</v>
      </c>
      <c r="AC61" s="211">
        <v>95.471999999999994</v>
      </c>
      <c r="AD61" s="211">
        <v>1428.4639999999999</v>
      </c>
      <c r="AE61" s="211">
        <v>1086.568</v>
      </c>
      <c r="AF61" s="211">
        <v>341.89600000000002</v>
      </c>
      <c r="AG61" s="191">
        <f t="shared" si="122"/>
        <v>1.4436826014551096E-2</v>
      </c>
      <c r="AH61" s="163"/>
      <c r="AI61" s="211">
        <v>680.08199999999999</v>
      </c>
      <c r="AJ61" s="247">
        <f t="shared" si="11"/>
        <v>22.6694</v>
      </c>
      <c r="AK61" s="211">
        <v>494.22899999999998</v>
      </c>
      <c r="AL61" s="340">
        <f>I61-AW61-BH61-BS61-CD61-CO61</f>
        <v>57.934565488356142</v>
      </c>
      <c r="AM61" s="190">
        <f t="shared" ref="AM61" si="979">AK61*2/AJ61</f>
        <v>43.603183145561857</v>
      </c>
      <c r="AN61" s="190">
        <f t="shared" ref="AN61" si="980">AM61-J61</f>
        <v>-0.30351040953213015</v>
      </c>
      <c r="AO61" s="211">
        <v>262.99200000000002</v>
      </c>
      <c r="AP61" s="211">
        <v>188.98099999999999</v>
      </c>
      <c r="AQ61" s="190">
        <f t="shared" ref="AQ61" si="981">AO61/AJ61</f>
        <v>11.601189268352934</v>
      </c>
      <c r="AR61" s="190">
        <f t="shared" ref="AR61" si="982">AQ61-W61</f>
        <v>0.18882641866697725</v>
      </c>
      <c r="AS61" s="190">
        <f t="shared" ref="AS61" si="983">AM61+AQ61</f>
        <v>55.20437241391479</v>
      </c>
      <c r="AT61" s="211">
        <v>1149.329</v>
      </c>
      <c r="AU61" s="247">
        <f t="shared" si="16"/>
        <v>38.310966666666666</v>
      </c>
      <c r="AV61" s="211">
        <v>839.81</v>
      </c>
      <c r="AW61" s="211">
        <v>45.618000000000002</v>
      </c>
      <c r="AX61" s="190">
        <f t="shared" ref="AX61" si="984">AV61*2/AU61</f>
        <v>43.84175462378483</v>
      </c>
      <c r="AY61" s="190">
        <f t="shared" ref="AY61" si="985">AX61-J61</f>
        <v>-6.493893130915751E-2</v>
      </c>
      <c r="AZ61" s="211">
        <v>437.67700000000002</v>
      </c>
      <c r="BA61" s="211">
        <v>175.85499999999999</v>
      </c>
      <c r="BB61" s="190">
        <f t="shared" ref="BB61" si="986">AZ61/AU61</f>
        <v>11.424326715848988</v>
      </c>
      <c r="BC61" s="190">
        <f t="shared" ref="BC61" si="987">BB61-W61</f>
        <v>1.1963866163030801E-2</v>
      </c>
      <c r="BD61" s="247">
        <f t="shared" ref="BD61" si="988">AX61+BB61</f>
        <v>55.266081339633814</v>
      </c>
      <c r="BE61" s="211">
        <v>1331.4690000000001</v>
      </c>
      <c r="BF61" s="247">
        <f t="shared" si="58"/>
        <v>44.382300000000001</v>
      </c>
      <c r="BG61" s="211">
        <v>978.89300000000003</v>
      </c>
      <c r="BH61" s="211">
        <v>68.352000000000004</v>
      </c>
      <c r="BI61" s="190">
        <f t="shared" ref="BI61" si="989">BG61*2/BF61</f>
        <v>44.111864414417461</v>
      </c>
      <c r="BJ61" s="190">
        <f t="shared" ref="BJ61" si="990">BI61-J61</f>
        <v>0.20517085932347356</v>
      </c>
      <c r="BK61" s="211">
        <v>505.36500000000001</v>
      </c>
      <c r="BL61" s="211">
        <v>202.07599999999999</v>
      </c>
      <c r="BM61" s="190">
        <f t="shared" ref="BM61" si="991">BK61/BF61</f>
        <v>11.386633860795857</v>
      </c>
      <c r="BN61" s="190">
        <f t="shared" ref="BN61" si="992">BM61-W61</f>
        <v>-2.5728988890099558E-2</v>
      </c>
      <c r="BO61" s="247">
        <f t="shared" ref="BO61" si="993">BM61+BI61</f>
        <v>55.498498275213322</v>
      </c>
      <c r="BP61" s="211">
        <v>819.48699999999997</v>
      </c>
      <c r="BQ61" s="247">
        <f t="shared" si="26"/>
        <v>27.316233333333333</v>
      </c>
      <c r="BR61" s="211">
        <v>602.35299999999995</v>
      </c>
      <c r="BS61" s="211">
        <v>35.194000000000003</v>
      </c>
      <c r="BT61" s="190">
        <f t="shared" ref="BT61" si="994">BR61*2/BQ61</f>
        <v>44.102200523010126</v>
      </c>
      <c r="BU61" s="190">
        <f t="shared" ref="BU61" si="995">BT61-J61</f>
        <v>0.19550696791613831</v>
      </c>
      <c r="BV61" s="211">
        <v>301.55599999999998</v>
      </c>
      <c r="BW61" s="211">
        <v>190.08799999999999</v>
      </c>
      <c r="BX61" s="190">
        <f t="shared" ref="BX61" si="996">BV61/BQ61</f>
        <v>11.039442968588885</v>
      </c>
      <c r="BY61" s="190">
        <f t="shared" ref="BY61" si="997">BX61-W61</f>
        <v>-0.37291988109707219</v>
      </c>
      <c r="BZ61" s="194">
        <f t="shared" ref="BZ61" si="998">BT61+BX61</f>
        <v>55.141643491599012</v>
      </c>
      <c r="CA61" s="211">
        <v>688.34699999999998</v>
      </c>
      <c r="CB61" s="247">
        <f t="shared" si="32"/>
        <v>22.944900000000001</v>
      </c>
      <c r="CC61" s="211">
        <v>500.25700000000001</v>
      </c>
      <c r="CD61" s="340">
        <f>(SUM(CD55:CD60)/SUM(I55:I60))*I61+5</f>
        <v>50.317434511643896</v>
      </c>
      <c r="CE61" s="190">
        <f t="shared" ref="CE61" si="999">CC61*2/CB61</f>
        <v>43.605071279456439</v>
      </c>
      <c r="CF61" s="190">
        <f t="shared" ref="CF61" si="1000">CE61-J61</f>
        <v>-0.3016222756375484</v>
      </c>
      <c r="CG61" s="211">
        <v>264.03500000000003</v>
      </c>
      <c r="CH61" s="340">
        <f>AVERAGE(CH60/(T60+P60),CH59/(P59+T59),CH58/(P58+T58),CH57/(P57+T57),CH56/(P56+T56))*(P61+T61)-7</f>
        <v>60.252326418538544</v>
      </c>
      <c r="CI61" s="190">
        <f t="shared" ref="CI61" si="1001">CG61/CB61</f>
        <v>11.50735021725961</v>
      </c>
      <c r="CJ61" s="190">
        <f t="shared" ref="CJ61" si="1002">CI61-W61</f>
        <v>9.4987367573653003E-2</v>
      </c>
      <c r="CK61" s="194">
        <f t="shared" si="960"/>
        <v>55.112421496716053</v>
      </c>
      <c r="CL61" s="211">
        <v>994.68899999999996</v>
      </c>
      <c r="CM61" s="247">
        <f t="shared" si="60"/>
        <v>33.156300000000002</v>
      </c>
      <c r="CN61" s="211">
        <v>728.81299999999999</v>
      </c>
      <c r="CO61" s="211">
        <v>44.905000000000001</v>
      </c>
      <c r="CP61" s="190">
        <f t="shared" ref="CP61" si="1003">CN61*2/CM61</f>
        <v>43.962263581883377</v>
      </c>
      <c r="CQ61" s="190">
        <f t="shared" ref="CQ61" si="1004">CP61-J61</f>
        <v>5.5570026789389715E-2</v>
      </c>
      <c r="CR61" s="211">
        <v>382.80200000000002</v>
      </c>
      <c r="CS61" s="340">
        <f>Q61-AP61-BA61-BL61-BW61-CH61</f>
        <v>45.314673581461435</v>
      </c>
      <c r="CT61" s="190">
        <f t="shared" ref="CT61" si="1005">CR61/CM61</f>
        <v>11.54537749990198</v>
      </c>
      <c r="CU61" s="190">
        <f t="shared" ref="CU61" si="1006">CT61-W61</f>
        <v>0.13301465021602255</v>
      </c>
      <c r="CV61" s="247">
        <f t="shared" ref="CV61" si="1007">CP61+CT61</f>
        <v>55.507641081785358</v>
      </c>
      <c r="CW61" s="163"/>
      <c r="CX61" s="196">
        <f t="shared" ref="CX61" si="1008">C61-AJ61-AU61-BF61-BQ61-CB61-CM61</f>
        <v>0</v>
      </c>
      <c r="CY61" s="196">
        <f t="shared" ref="CY61" si="1009">F61-AK61-AV61-BG61-BR61-CC61-CN61</f>
        <v>0</v>
      </c>
      <c r="CZ61" s="196">
        <f t="shared" ref="CZ61" si="1010">I61-AL61-AW61-BH61-BS61-CD61-CO61</f>
        <v>0</v>
      </c>
      <c r="DA61" s="196">
        <f t="shared" ref="DA61" si="1011">O61-AO61-AZ61-BK61-BV61-CG61-CR61</f>
        <v>0</v>
      </c>
      <c r="DB61" s="196">
        <f t="shared" ref="DB61" si="1012">Q61-AP61-BA61-BL61-BW61-CH61-CS61</f>
        <v>0</v>
      </c>
      <c r="DC61" s="196">
        <f t="shared" ref="DC61" si="1013">P61-Q61-R61-S61</f>
        <v>0</v>
      </c>
      <c r="DD61" s="163"/>
      <c r="DE61" s="200">
        <v>167.209</v>
      </c>
      <c r="DF61" s="200">
        <v>94.338999999999999</v>
      </c>
      <c r="DG61" s="206">
        <f t="shared" si="584"/>
        <v>45.572689930570434</v>
      </c>
      <c r="DH61" s="191">
        <f t="shared" si="61"/>
        <v>0.56419809938460252</v>
      </c>
      <c r="DI61" s="197">
        <v>139.25899999999999</v>
      </c>
      <c r="DJ61" s="191">
        <f t="shared" si="48"/>
        <v>0.41642196293261724</v>
      </c>
      <c r="DK61" s="197">
        <v>103.581</v>
      </c>
      <c r="DL61" s="197">
        <v>100.61</v>
      </c>
      <c r="DM61" s="191">
        <f t="shared" si="62"/>
        <v>2.8682866548884522E-2</v>
      </c>
      <c r="DN61" s="200">
        <v>161.22999999999999</v>
      </c>
      <c r="DO61" s="200">
        <v>48.991</v>
      </c>
      <c r="DP61" s="200">
        <v>85.492000000000004</v>
      </c>
      <c r="DQ61" s="200">
        <f t="shared" ref="DQ61:DQ62" si="1014">DP61+DO61</f>
        <v>134.483</v>
      </c>
      <c r="DR61" s="191">
        <f t="shared" ref="DR61:DR62" si="1015">DJ61+DH61</f>
        <v>0.98062006231721977</v>
      </c>
      <c r="DS61" s="199">
        <f t="shared" si="51"/>
        <v>0.74380111877867872</v>
      </c>
      <c r="DT61" s="200">
        <v>156.04</v>
      </c>
      <c r="DU61" s="200">
        <v>68.924000000000007</v>
      </c>
      <c r="DV61" s="200">
        <v>20.751999999999999</v>
      </c>
      <c r="DW61" s="191">
        <f t="shared" si="63"/>
        <v>0.44170725455011545</v>
      </c>
      <c r="DX61" s="197">
        <v>44.332999999999998</v>
      </c>
      <c r="DY61" s="191">
        <f t="shared" si="64"/>
        <v>0.14205652396821328</v>
      </c>
      <c r="DZ61" s="197">
        <v>44.505000000000003</v>
      </c>
      <c r="EA61" s="197">
        <v>43.281999999999996</v>
      </c>
      <c r="EB61" s="191">
        <f t="shared" si="52"/>
        <v>2.7480058420402353E-2</v>
      </c>
      <c r="EC61" s="200">
        <v>49.113999999999997</v>
      </c>
      <c r="ED61" s="206">
        <v>25</v>
      </c>
      <c r="EE61" s="200">
        <v>25.847999999999999</v>
      </c>
      <c r="EF61" s="205">
        <f t="shared" ref="EF61:EF67" si="1016">EE61+ED61</f>
        <v>50.847999999999999</v>
      </c>
      <c r="EG61" s="191">
        <f t="shared" si="806"/>
        <v>0.58376377851832872</v>
      </c>
      <c r="EJ61" s="202">
        <f t="shared" si="3"/>
        <v>12.17936129032258</v>
      </c>
      <c r="EK61" s="202">
        <f>'NOPA Crush'!B486*56/('NOPA Crush'!A486-'NOPA Crush'!A485)</f>
        <v>11.392322118743383</v>
      </c>
      <c r="EL61" s="203">
        <f t="shared" si="65"/>
        <v>1.0690850524920033</v>
      </c>
      <c r="EM61" s="202">
        <f t="shared" si="55"/>
        <v>5.3938387096774196</v>
      </c>
      <c r="EN61" s="202">
        <f t="shared" si="56"/>
        <v>1.0067096774193549E-2</v>
      </c>
      <c r="EO61" s="202">
        <f t="shared" si="66"/>
        <v>17.583267096774193</v>
      </c>
    </row>
    <row r="62" spans="1:145">
      <c r="A62" s="157">
        <v>43862</v>
      </c>
      <c r="B62" s="186">
        <v>5258.777</v>
      </c>
      <c r="C62" s="187">
        <f t="shared" ref="C62" si="1017">B62/30</f>
        <v>175.29256666666666</v>
      </c>
      <c r="D62" s="247">
        <f>C62-'NOPA Crush'!G487</f>
        <v>9.0045666666666477</v>
      </c>
      <c r="E62" s="188">
        <f>C62/'NOPA Crush'!G487-1</f>
        <v>5.4150429776451903E-2</v>
      </c>
      <c r="F62" s="189">
        <v>3863.4749999999999</v>
      </c>
      <c r="G62" s="189">
        <v>3813.5590000000002</v>
      </c>
      <c r="H62" s="189">
        <v>49.915999999999997</v>
      </c>
      <c r="I62" s="189">
        <v>396.51100000000002</v>
      </c>
      <c r="J62" s="190">
        <f t="shared" ref="J62" si="1018">F62*2/C62</f>
        <v>44.080306124408779</v>
      </c>
      <c r="K62" s="190">
        <f t="shared" ref="K62" si="1019">(F62+M62)*2/C62</f>
        <v>47.037111480483006</v>
      </c>
      <c r="L62" s="190">
        <f>K62-'NOPA Crush'!J487</f>
        <v>-2.8885195169934264E-3</v>
      </c>
      <c r="M62" s="189">
        <v>259.15300000000002</v>
      </c>
      <c r="N62" s="189">
        <v>45.837000000000003</v>
      </c>
      <c r="O62" s="189">
        <v>1999.5239999999999</v>
      </c>
      <c r="P62" s="189">
        <v>1996.7470000000001</v>
      </c>
      <c r="Q62" s="189">
        <v>947.48500000000001</v>
      </c>
      <c r="R62" s="189">
        <v>463.06799999999998</v>
      </c>
      <c r="S62" s="189">
        <v>586.19399999999996</v>
      </c>
      <c r="T62" s="189">
        <v>380.05099999999999</v>
      </c>
      <c r="U62" s="189">
        <f>(P62+T62)-'NOPA Crush'!Q487</f>
        <v>454.67800000000034</v>
      </c>
      <c r="V62" s="191">
        <f>((P62+T62)/'NOPA Crush'!Q487)-1</f>
        <v>0.23655026741306484</v>
      </c>
      <c r="W62" s="190">
        <f t="shared" ref="W62" si="1020">O62/C62</f>
        <v>11.406781462686096</v>
      </c>
      <c r="X62" s="190">
        <f>W62-'NOPA Crush'!O487</f>
        <v>-8.3218537313904051E-2</v>
      </c>
      <c r="Y62" s="190">
        <f t="shared" si="720"/>
        <v>58.443892943169104</v>
      </c>
      <c r="Z62" s="211">
        <v>1469.241</v>
      </c>
      <c r="AA62" s="211">
        <v>1428.5229999999999</v>
      </c>
      <c r="AB62" s="191">
        <f t="shared" ref="AB62" si="1021">(Z62-AA62)/Z62</f>
        <v>2.7713629009808515E-2</v>
      </c>
      <c r="AC62" s="211">
        <v>86.465999999999994</v>
      </c>
      <c r="AD62" s="211">
        <v>1410.0350000000001</v>
      </c>
      <c r="AE62" s="211">
        <v>1085.193</v>
      </c>
      <c r="AF62" s="211">
        <v>324.84199999999998</v>
      </c>
      <c r="AG62" s="191">
        <f t="shared" si="122"/>
        <v>-1.2942038735113015E-2</v>
      </c>
      <c r="AH62" s="163"/>
      <c r="AI62" s="211">
        <v>640.98400000000004</v>
      </c>
      <c r="AJ62" s="247">
        <f t="shared" si="11"/>
        <v>21.366133333333334</v>
      </c>
      <c r="AK62" s="211">
        <v>470.01</v>
      </c>
      <c r="AL62" s="211">
        <v>104.176</v>
      </c>
      <c r="AM62" s="190">
        <f t="shared" ref="AM62" si="1022">AK62*2/AJ62</f>
        <v>43.995793966776077</v>
      </c>
      <c r="AN62" s="190">
        <f t="shared" ref="AN62" si="1023">AM62-J62</f>
        <v>-8.4512157632701701E-2</v>
      </c>
      <c r="AO62" s="211">
        <v>247.577</v>
      </c>
      <c r="AP62" s="211">
        <v>207.636</v>
      </c>
      <c r="AQ62" s="190">
        <f t="shared" ref="AQ62" si="1024">AO62/AJ62</f>
        <v>11.5873563146662</v>
      </c>
      <c r="AR62" s="190">
        <f t="shared" ref="AR62" si="1025">AQ62-W62</f>
        <v>0.18057485198010426</v>
      </c>
      <c r="AS62" s="190">
        <f t="shared" ref="AS62" si="1026">AM62+AQ62</f>
        <v>55.583150281442279</v>
      </c>
      <c r="AT62" s="211">
        <v>1088.1210000000001</v>
      </c>
      <c r="AU62" s="247">
        <f t="shared" si="16"/>
        <v>36.270700000000005</v>
      </c>
      <c r="AV62" s="211">
        <v>795.18700000000001</v>
      </c>
      <c r="AW62" s="211">
        <v>57.048000000000002</v>
      </c>
      <c r="AX62" s="190">
        <f t="shared" ref="AX62" si="1027">AV62*2/AU62</f>
        <v>43.847347859291375</v>
      </c>
      <c r="AY62" s="190">
        <f t="shared" ref="AY62" si="1028">AX62-J62</f>
        <v>-0.23295826511740358</v>
      </c>
      <c r="AZ62" s="211">
        <v>415.77</v>
      </c>
      <c r="BA62" s="211">
        <v>220.73500000000001</v>
      </c>
      <c r="BB62" s="190">
        <f t="shared" ref="BB62" si="1029">AZ62/AU62</f>
        <v>11.462971489383991</v>
      </c>
      <c r="BC62" s="190">
        <f t="shared" ref="BC62" si="1030">BB62-W62</f>
        <v>5.6190026697894524E-2</v>
      </c>
      <c r="BD62" s="247">
        <f t="shared" ref="BD62" si="1031">AX62+BB62</f>
        <v>55.310319348675364</v>
      </c>
      <c r="BE62" s="211">
        <v>1219.1110000000001</v>
      </c>
      <c r="BF62" s="247">
        <f t="shared" si="58"/>
        <v>40.637033333333335</v>
      </c>
      <c r="BG62" s="211">
        <v>903.27700000000004</v>
      </c>
      <c r="BH62" s="211">
        <v>91.35</v>
      </c>
      <c r="BI62" s="190">
        <f t="shared" ref="BI62" si="1032">BG62*2/BF62</f>
        <v>44.455853486680049</v>
      </c>
      <c r="BJ62" s="190">
        <f t="shared" ref="BJ62" si="1033">BI62-J62</f>
        <v>0.37554736227126995</v>
      </c>
      <c r="BK62" s="211">
        <v>463.12700000000001</v>
      </c>
      <c r="BL62" s="211">
        <v>202.995</v>
      </c>
      <c r="BM62" s="190">
        <f t="shared" ref="BM62" si="1034">BK62/BF62</f>
        <v>11.396673477640674</v>
      </c>
      <c r="BN62" s="190">
        <f t="shared" ref="BN62" si="1035">BM62-W62</f>
        <v>-1.0107985045422652E-2</v>
      </c>
      <c r="BO62" s="247">
        <f t="shared" ref="BO62" si="1036">BM62+BI62</f>
        <v>55.852526964320724</v>
      </c>
      <c r="BP62" s="211">
        <v>779.178</v>
      </c>
      <c r="BQ62" s="247">
        <f t="shared" si="26"/>
        <v>25.9726</v>
      </c>
      <c r="BR62" s="211">
        <v>575.31100000000004</v>
      </c>
      <c r="BS62" s="211">
        <v>37.048999999999999</v>
      </c>
      <c r="BT62" s="190">
        <f t="shared" ref="BT62" si="1037">BR62*2/BQ62</f>
        <v>44.301379145715103</v>
      </c>
      <c r="BU62" s="190">
        <f t="shared" ref="BU62" si="1038">BT62-J62</f>
        <v>0.22107302130632434</v>
      </c>
      <c r="BV62" s="211">
        <v>284.673</v>
      </c>
      <c r="BW62" s="211">
        <v>197.7</v>
      </c>
      <c r="BX62" s="190">
        <f t="shared" ref="BX62" si="1039">BV62/BQ62</f>
        <v>10.960512232121543</v>
      </c>
      <c r="BY62" s="190">
        <f t="shared" ref="BY62" si="1040">BX62-W62</f>
        <v>-0.44626923056455325</v>
      </c>
      <c r="BZ62" s="194">
        <f t="shared" ref="BZ62" si="1041">BT62+BX62</f>
        <v>55.261891377836648</v>
      </c>
      <c r="CA62" s="211">
        <v>612.83600000000001</v>
      </c>
      <c r="CB62" s="247">
        <f t="shared" si="32"/>
        <v>20.427866666666667</v>
      </c>
      <c r="CC62" s="211">
        <v>444.767</v>
      </c>
      <c r="CD62" s="211">
        <v>32.756</v>
      </c>
      <c r="CE62" s="190">
        <f t="shared" ref="CE62" si="1042">CC62*2/CB62</f>
        <v>43.545124633670348</v>
      </c>
      <c r="CF62" s="190">
        <f t="shared" ref="CF62" si="1043">CE62-J62</f>
        <v>-0.53518149073843091</v>
      </c>
      <c r="CG62" s="211">
        <v>234.11699999999999</v>
      </c>
      <c r="CH62" s="211">
        <v>50.183999999999997</v>
      </c>
      <c r="CI62" s="190">
        <f t="shared" ref="CI62" si="1044">CG62/CB62</f>
        <v>11.460668106964995</v>
      </c>
      <c r="CJ62" s="190">
        <f t="shared" ref="CJ62" si="1045">CI62-W62</f>
        <v>5.3886644278898999E-2</v>
      </c>
      <c r="CK62" s="194">
        <f t="shared" ref="CK62" si="1046">CI62+CE62</f>
        <v>55.005792740635343</v>
      </c>
      <c r="CL62" s="211">
        <v>918.54700000000003</v>
      </c>
      <c r="CM62" s="247">
        <f t="shared" si="60"/>
        <v>30.618233333333333</v>
      </c>
      <c r="CN62" s="211">
        <v>674.923</v>
      </c>
      <c r="CO62" s="211">
        <v>74.132000000000005</v>
      </c>
      <c r="CP62" s="190">
        <f t="shared" ref="CP62" si="1047">CN62*2/CM62</f>
        <v>44.086345064542151</v>
      </c>
      <c r="CQ62" s="190">
        <f t="shared" ref="CQ62" si="1048">CP62-J62</f>
        <v>6.0389401333722503E-3</v>
      </c>
      <c r="CR62" s="211">
        <v>354.26</v>
      </c>
      <c r="CS62" s="211">
        <v>68.234999999999999</v>
      </c>
      <c r="CT62" s="190">
        <f t="shared" ref="CT62" si="1049">CR62/CM62</f>
        <v>11.570229939240997</v>
      </c>
      <c r="CU62" s="190">
        <f t="shared" ref="CU62" si="1050">CT62-W62</f>
        <v>0.16344847655490113</v>
      </c>
      <c r="CV62" s="247">
        <f t="shared" ref="CV62" si="1051">CP62+CT62</f>
        <v>55.656575003783146</v>
      </c>
      <c r="CW62" s="163"/>
      <c r="CX62" s="196">
        <f t="shared" ref="CX62" si="1052">C62-AJ62-AU62-BF62-BQ62-CB62-CM62</f>
        <v>0</v>
      </c>
      <c r="CY62" s="196">
        <f t="shared" ref="CY62" si="1053">F62-AK62-AV62-BG62-BR62-CC62-CN62</f>
        <v>0</v>
      </c>
      <c r="CZ62" s="196">
        <f t="shared" ref="CZ62" si="1054">I62-AL62-AW62-BH62-BS62-CD62-CO62</f>
        <v>0</v>
      </c>
      <c r="DA62" s="196">
        <f t="shared" ref="DA62" si="1055">O62-AO62-AZ62-BK62-BV62-CG62-CR62</f>
        <v>0</v>
      </c>
      <c r="DB62" s="196">
        <f t="shared" ref="DB62" si="1056">Q62-AP62-BA62-BL62-BW62-CH62-CS62</f>
        <v>0</v>
      </c>
      <c r="DC62" s="196">
        <f t="shared" ref="DC62" si="1057">P62-Q62-R62-S62</f>
        <v>0</v>
      </c>
      <c r="DD62" s="163"/>
      <c r="DE62" s="200">
        <v>175.34100000000001</v>
      </c>
      <c r="DF62" s="200">
        <v>97.233000000000004</v>
      </c>
      <c r="DG62" s="206">
        <f t="shared" si="584"/>
        <v>45.352061585593589</v>
      </c>
      <c r="DH62" s="191">
        <f t="shared" si="61"/>
        <v>0.55453658870429623</v>
      </c>
      <c r="DI62" s="197">
        <v>146.78899999999999</v>
      </c>
      <c r="DJ62" s="191">
        <f t="shared" si="48"/>
        <v>0.41858150689228413</v>
      </c>
      <c r="DK62" s="197">
        <v>145.03200000000001</v>
      </c>
      <c r="DL62" s="197">
        <v>140.22300000000001</v>
      </c>
      <c r="DM62" s="191">
        <f t="shared" si="62"/>
        <v>3.315819956975008E-2</v>
      </c>
      <c r="DN62" s="200">
        <v>139.858</v>
      </c>
      <c r="DO62" s="200">
        <v>50.341999999999999</v>
      </c>
      <c r="DP62" s="200">
        <v>91.781000000000006</v>
      </c>
      <c r="DQ62" s="200">
        <f t="shared" si="1014"/>
        <v>142.12299999999999</v>
      </c>
      <c r="DR62" s="191">
        <f t="shared" si="1015"/>
        <v>0.97311809559658036</v>
      </c>
      <c r="DS62" s="199">
        <f t="shared" si="51"/>
        <v>0.98803043824809778</v>
      </c>
      <c r="DT62" s="200">
        <v>158</v>
      </c>
      <c r="DU62" s="200">
        <v>72.582999999999998</v>
      </c>
      <c r="DV62" s="200">
        <v>25.466000000000001</v>
      </c>
      <c r="DW62" s="191">
        <f t="shared" si="63"/>
        <v>0.45938607594936709</v>
      </c>
      <c r="DX62" s="197">
        <v>46.792999999999999</v>
      </c>
      <c r="DY62" s="191">
        <f t="shared" si="64"/>
        <v>0.14807911392405063</v>
      </c>
      <c r="DZ62" s="197">
        <v>40.316000000000003</v>
      </c>
      <c r="EA62" s="197">
        <v>39.113</v>
      </c>
      <c r="EB62" s="191">
        <f t="shared" si="52"/>
        <v>2.9839269768826338E-2</v>
      </c>
      <c r="EC62" s="200">
        <v>41.076000000000001</v>
      </c>
      <c r="ED62" s="200">
        <v>27.788</v>
      </c>
      <c r="EE62" s="200">
        <v>32.68</v>
      </c>
      <c r="EF62" s="195">
        <f t="shared" si="1016"/>
        <v>60.468000000000004</v>
      </c>
      <c r="EG62" s="191">
        <f t="shared" si="806"/>
        <v>0.60746518987341769</v>
      </c>
      <c r="EJ62" s="202">
        <f t="shared" si="3"/>
        <v>12.089142528735632</v>
      </c>
      <c r="EK62" s="202">
        <f>'NOPA Crush'!B487*56/('NOPA Crush'!A487-'NOPA Crush'!A486)</f>
        <v>11.481121613495</v>
      </c>
      <c r="EL62" s="203">
        <f t="shared" si="65"/>
        <v>1.0529583202503454</v>
      </c>
      <c r="EM62" s="202">
        <f t="shared" si="55"/>
        <v>6.0462413793103451</v>
      </c>
      <c r="EN62" s="202">
        <f t="shared" si="56"/>
        <v>1.0896551724137931E-2</v>
      </c>
      <c r="EO62" s="202">
        <f t="shared" si="66"/>
        <v>18.146280459770114</v>
      </c>
    </row>
    <row r="63" spans="1:145">
      <c r="A63" s="157">
        <v>43891</v>
      </c>
      <c r="B63" s="186">
        <v>5764.8670000000002</v>
      </c>
      <c r="C63" s="187">
        <f t="shared" ref="C63" si="1058">B63/30</f>
        <v>192.16223333333335</v>
      </c>
      <c r="D63" s="247">
        <f>C63-'NOPA Crush'!G488</f>
        <v>10.788233333333352</v>
      </c>
      <c r="E63" s="188">
        <f>C63/'NOPA Crush'!G488-1</f>
        <v>5.948059442551501E-2</v>
      </c>
      <c r="F63" s="189">
        <v>4234.6049999999996</v>
      </c>
      <c r="G63" s="189">
        <v>4179.5829999999996</v>
      </c>
      <c r="H63" s="189">
        <v>55.021999999999998</v>
      </c>
      <c r="I63" s="189">
        <v>368.55200000000002</v>
      </c>
      <c r="J63" s="190">
        <f t="shared" ref="J63" si="1059">F63*2/C63</f>
        <v>44.07322840232046</v>
      </c>
      <c r="K63" s="190">
        <f t="shared" ref="K63" si="1060">(F63+M63)*2/C63</f>
        <v>47.021861909390097</v>
      </c>
      <c r="L63" s="190">
        <f>K63-'NOPA Crush'!J488</f>
        <v>-4.8138090609903372E-2</v>
      </c>
      <c r="M63" s="189">
        <v>283.30799999999999</v>
      </c>
      <c r="N63" s="189">
        <v>46.497</v>
      </c>
      <c r="O63" s="189">
        <v>2201.0680000000002</v>
      </c>
      <c r="P63" s="189">
        <v>1933.6479999999999</v>
      </c>
      <c r="Q63" s="189">
        <v>856.12400000000002</v>
      </c>
      <c r="R63" s="189">
        <v>407.46499999999997</v>
      </c>
      <c r="S63" s="189">
        <v>670.05899999999997</v>
      </c>
      <c r="T63" s="189">
        <v>392.94600000000003</v>
      </c>
      <c r="U63" s="189">
        <f>(P63+T63)-'NOPA Crush'!Q488</f>
        <v>427.73199999999997</v>
      </c>
      <c r="V63" s="191">
        <f>((P63+T63)/'NOPA Crush'!Q488)-1</f>
        <v>0.2252570223639212</v>
      </c>
      <c r="W63" s="190">
        <f t="shared" ref="W63" si="1061">O63/C63</f>
        <v>11.454217417331572</v>
      </c>
      <c r="X63" s="190">
        <f>W63-'NOPA Crush'!O488</f>
        <v>-0.10578258266842866</v>
      </c>
      <c r="Y63" s="190">
        <f t="shared" si="720"/>
        <v>58.476079326721667</v>
      </c>
      <c r="Z63" s="211">
        <v>1634.117</v>
      </c>
      <c r="AA63" s="211">
        <v>1596.7380000000001</v>
      </c>
      <c r="AB63" s="191">
        <f t="shared" ref="AB63" si="1062">(Z63-AA63)/Z63</f>
        <v>2.2874127127984048E-2</v>
      </c>
      <c r="AC63" s="211">
        <v>107.89700000000001</v>
      </c>
      <c r="AD63" s="211">
        <v>1583.4590000000001</v>
      </c>
      <c r="AE63" s="211">
        <v>1182.3119999999999</v>
      </c>
      <c r="AF63" s="211">
        <v>401.14699999999999</v>
      </c>
      <c r="AG63" s="191">
        <f t="shared" si="122"/>
        <v>-8.3163299176195471E-3</v>
      </c>
      <c r="AH63" s="163"/>
      <c r="AI63" s="211">
        <v>635.91200000000003</v>
      </c>
      <c r="AJ63" s="247">
        <f t="shared" si="11"/>
        <v>21.197066666666668</v>
      </c>
      <c r="AK63" s="211">
        <v>461.60399999999998</v>
      </c>
      <c r="AL63" s="211">
        <v>64.793000000000006</v>
      </c>
      <c r="AM63" s="190">
        <f t="shared" ref="AM63" si="1063">AK63*2/AJ63</f>
        <v>43.553573450414518</v>
      </c>
      <c r="AN63" s="190">
        <f t="shared" ref="AN63" si="1064">AM63-J63</f>
        <v>-0.51965495190594169</v>
      </c>
      <c r="AO63" s="211">
        <v>249.56100000000001</v>
      </c>
      <c r="AP63" s="211">
        <v>125.429</v>
      </c>
      <c r="AQ63" s="190">
        <f t="shared" ref="AQ63" si="1065">AO63/AJ63</f>
        <v>11.773374303362729</v>
      </c>
      <c r="AR63" s="190">
        <f t="shared" ref="AR63" si="1066">AQ63-W63</f>
        <v>0.31915688603115733</v>
      </c>
      <c r="AS63" s="190">
        <f t="shared" ref="AS63" si="1067">AM63+AQ63</f>
        <v>55.326947753777247</v>
      </c>
      <c r="AT63" s="211">
        <v>1195.9739999999999</v>
      </c>
      <c r="AU63" s="247">
        <f t="shared" si="16"/>
        <v>39.8658</v>
      </c>
      <c r="AV63" s="211">
        <v>874.779</v>
      </c>
      <c r="AW63" s="211">
        <v>59.253999999999998</v>
      </c>
      <c r="AX63" s="190">
        <f t="shared" ref="AX63" si="1068">AV63*2/AU63</f>
        <v>43.886188161281098</v>
      </c>
      <c r="AY63" s="190">
        <f t="shared" ref="AY63" si="1069">AX63-J63</f>
        <v>-0.18704024103936234</v>
      </c>
      <c r="AZ63" s="211">
        <v>454.26900000000001</v>
      </c>
      <c r="BA63" s="211">
        <v>201.124</v>
      </c>
      <c r="BB63" s="190">
        <f t="shared" ref="BB63" si="1070">AZ63/AU63</f>
        <v>11.39495507427419</v>
      </c>
      <c r="BC63" s="190">
        <f t="shared" ref="BC63" si="1071">BB63-W63</f>
        <v>-5.9262343057381983E-2</v>
      </c>
      <c r="BD63" s="247">
        <f t="shared" ref="BD63" si="1072">AX63+BB63</f>
        <v>55.281143235555291</v>
      </c>
      <c r="BE63" s="211">
        <v>1315.3979999999999</v>
      </c>
      <c r="BF63" s="247">
        <f t="shared" si="58"/>
        <v>43.846599999999995</v>
      </c>
      <c r="BG63" s="211">
        <v>971.21600000000001</v>
      </c>
      <c r="BH63" s="211">
        <v>101.508</v>
      </c>
      <c r="BI63" s="190">
        <f t="shared" ref="BI63" si="1073">BG63*2/BF63</f>
        <v>44.300629923414817</v>
      </c>
      <c r="BJ63" s="190">
        <f t="shared" ref="BJ63" si="1074">BI63-J63</f>
        <v>0.22740152109435741</v>
      </c>
      <c r="BK63" s="211">
        <v>505.28100000000001</v>
      </c>
      <c r="BL63" s="211">
        <v>189.32599999999999</v>
      </c>
      <c r="BM63" s="190">
        <f t="shared" ref="BM63" si="1075">BK63/BF63</f>
        <v>11.523835371499731</v>
      </c>
      <c r="BN63" s="190">
        <f t="shared" ref="BN63" si="1076">BM63-W63</f>
        <v>6.9617954168158747E-2</v>
      </c>
      <c r="BO63" s="247">
        <f t="shared" ref="BO63" si="1077">BM63+BI63</f>
        <v>55.824465294914546</v>
      </c>
      <c r="BP63" s="211">
        <v>917.47199999999998</v>
      </c>
      <c r="BQ63" s="247">
        <f t="shared" si="26"/>
        <v>30.5824</v>
      </c>
      <c r="BR63" s="211">
        <v>677.06299999999999</v>
      </c>
      <c r="BS63" s="211">
        <v>50.887999999999998</v>
      </c>
      <c r="BT63" s="190">
        <f t="shared" ref="BT63" si="1078">BR63*2/BQ63</f>
        <v>44.277950716752116</v>
      </c>
      <c r="BU63" s="190">
        <f t="shared" ref="BU63" si="1079">BT63-J63</f>
        <v>0.20472231443165612</v>
      </c>
      <c r="BV63" s="211">
        <v>337.35700000000003</v>
      </c>
      <c r="BW63" s="211">
        <v>206.518</v>
      </c>
      <c r="BX63" s="190">
        <f t="shared" ref="BX63" si="1080">BV63/BQ63</f>
        <v>11.031083237417601</v>
      </c>
      <c r="BY63" s="190">
        <f t="shared" ref="BY63" si="1081">BX63-W63</f>
        <v>-0.42313417991397095</v>
      </c>
      <c r="BZ63" s="194">
        <f t="shared" ref="BZ63" si="1082">BT63+BX63</f>
        <v>55.30903395416972</v>
      </c>
      <c r="CA63" s="211">
        <v>717.31100000000004</v>
      </c>
      <c r="CB63" s="247">
        <f t="shared" si="32"/>
        <v>23.910366666666668</v>
      </c>
      <c r="CC63" s="211">
        <v>524.54100000000005</v>
      </c>
      <c r="CD63" s="211">
        <v>39.831000000000003</v>
      </c>
      <c r="CE63" s="190">
        <f t="shared" ref="CE63" si="1083">CC63*2/CB63</f>
        <v>43.875613227735251</v>
      </c>
      <c r="CF63" s="190">
        <f t="shared" ref="CF63" si="1084">CE63-J63</f>
        <v>-0.19761517458520927</v>
      </c>
      <c r="CG63" s="211">
        <v>275.26600000000002</v>
      </c>
      <c r="CH63" s="211">
        <v>60.372</v>
      </c>
      <c r="CI63" s="190">
        <f t="shared" ref="CI63" si="1085">CG63/CB63</f>
        <v>11.512412328822505</v>
      </c>
      <c r="CJ63" s="190">
        <f t="shared" ref="CJ63" si="1086">CI63-W63</f>
        <v>5.819491149093281E-2</v>
      </c>
      <c r="CK63" s="194">
        <f t="shared" ref="CK63" si="1087">CI63+CE63</f>
        <v>55.388025556557757</v>
      </c>
      <c r="CL63" s="211">
        <v>982.8</v>
      </c>
      <c r="CM63" s="247">
        <f t="shared" si="60"/>
        <v>32.76</v>
      </c>
      <c r="CN63" s="211">
        <v>725.40200000000004</v>
      </c>
      <c r="CO63" s="211">
        <v>52.277999999999999</v>
      </c>
      <c r="CP63" s="190">
        <f t="shared" ref="CP63" si="1088">CN63*2/CM63</f>
        <v>44.28583638583639</v>
      </c>
      <c r="CQ63" s="190">
        <f t="shared" ref="CQ63" si="1089">CP63-J63</f>
        <v>0.21260798351593024</v>
      </c>
      <c r="CR63" s="211">
        <v>379.334</v>
      </c>
      <c r="CS63" s="211">
        <v>73.355000000000004</v>
      </c>
      <c r="CT63" s="190">
        <f t="shared" ref="CT63" si="1090">CR63/CM63</f>
        <v>11.57918192918193</v>
      </c>
      <c r="CU63" s="190">
        <f t="shared" ref="CU63" si="1091">CT63-W63</f>
        <v>0.12496451185035795</v>
      </c>
      <c r="CV63" s="247">
        <f t="shared" ref="CV63" si="1092">CP63+CT63</f>
        <v>55.865018315018318</v>
      </c>
      <c r="CW63" s="163"/>
      <c r="CX63" s="196">
        <f t="shared" ref="CX63" si="1093">C63-AJ63-AU63-BF63-BQ63-CB63-CM63</f>
        <v>0</v>
      </c>
      <c r="CY63" s="196">
        <f t="shared" ref="CY63" si="1094">F63-AK63-AV63-BG63-BR63-CC63-CN63</f>
        <v>0</v>
      </c>
      <c r="CZ63" s="196">
        <f t="shared" ref="CZ63" si="1095">I63-AL63-AW63-BH63-BS63-CD63-CO63</f>
        <v>0</v>
      </c>
      <c r="DA63" s="196">
        <f t="shared" ref="DA63" si="1096">O63-AO63-AZ63-BK63-BV63-CG63-CR63</f>
        <v>0</v>
      </c>
      <c r="DB63" s="196">
        <f t="shared" ref="DB63" si="1097">Q63-AP63-BA63-BL63-BW63-CH63-CS63</f>
        <v>0</v>
      </c>
      <c r="DC63" s="196">
        <f t="shared" ref="DC63" si="1098">P63-Q63-R63-S63</f>
        <v>0</v>
      </c>
      <c r="DD63" s="163"/>
      <c r="DE63" s="200">
        <v>187.95400000000001</v>
      </c>
      <c r="DF63" s="200">
        <v>104.05500000000001</v>
      </c>
      <c r="DG63" s="206">
        <f t="shared" si="584"/>
        <v>44.914198838692897</v>
      </c>
      <c r="DH63" s="191">
        <f t="shared" si="61"/>
        <v>0.55361950264426407</v>
      </c>
      <c r="DI63" s="197">
        <v>160.87200000000001</v>
      </c>
      <c r="DJ63" s="191">
        <f t="shared" si="48"/>
        <v>0.42795577641337779</v>
      </c>
      <c r="DK63" s="197">
        <v>126.79600000000001</v>
      </c>
      <c r="DL63" s="197">
        <v>122.378</v>
      </c>
      <c r="DM63" s="191">
        <f t="shared" si="62"/>
        <v>3.4843370453326639E-2</v>
      </c>
      <c r="DN63" s="200">
        <v>163.28399999999999</v>
      </c>
      <c r="DO63" s="200">
        <v>59.058</v>
      </c>
      <c r="DP63" s="200">
        <v>74.608999999999995</v>
      </c>
      <c r="DQ63" s="200">
        <f t="shared" ref="DQ63" si="1099">DP63+DO63</f>
        <v>133.667</v>
      </c>
      <c r="DR63" s="191">
        <f t="shared" ref="DR63" si="1100">DJ63+DH63</f>
        <v>0.98157527905764186</v>
      </c>
      <c r="DS63" s="199">
        <f t="shared" si="51"/>
        <v>0.78817942214928638</v>
      </c>
      <c r="DT63" s="200">
        <v>157.79900000000001</v>
      </c>
      <c r="DU63" s="200">
        <v>70.760000000000005</v>
      </c>
      <c r="DV63" s="200">
        <v>24.175000000000001</v>
      </c>
      <c r="DW63" s="191">
        <f t="shared" si="63"/>
        <v>0.4484185577855373</v>
      </c>
      <c r="DX63" s="197">
        <v>43.497</v>
      </c>
      <c r="DY63" s="191">
        <f t="shared" si="64"/>
        <v>0.13782406732615543</v>
      </c>
      <c r="DZ63" s="197">
        <v>44.506</v>
      </c>
      <c r="EA63" s="197">
        <v>43.095999999999997</v>
      </c>
      <c r="EB63" s="191">
        <f t="shared" si="52"/>
        <v>3.1681121646519705E-2</v>
      </c>
      <c r="EC63" s="200">
        <v>45.506</v>
      </c>
      <c r="ED63" s="200">
        <v>30.646999999999998</v>
      </c>
      <c r="EE63" s="200">
        <v>34.101999999999997</v>
      </c>
      <c r="EF63" s="195">
        <f t="shared" si="1016"/>
        <v>64.748999999999995</v>
      </c>
      <c r="EG63" s="191">
        <f t="shared" si="806"/>
        <v>0.58624262511169278</v>
      </c>
      <c r="EJ63" s="202">
        <f t="shared" si="3"/>
        <v>12.397563440860216</v>
      </c>
      <c r="EK63" s="202">
        <f>'NOPA Crush'!B488*56/('NOPA Crush'!A488-'NOPA Crush'!A487)</f>
        <v>12.342476906461028</v>
      </c>
      <c r="EL63" s="203">
        <f t="shared" si="65"/>
        <v>1.0044631669005069</v>
      </c>
      <c r="EM63" s="202">
        <f t="shared" si="55"/>
        <v>6.0630322580645162</v>
      </c>
      <c r="EN63" s="202">
        <f t="shared" si="56"/>
        <v>1.0180580645161291E-2</v>
      </c>
      <c r="EO63" s="202">
        <f t="shared" si="66"/>
        <v>18.470776279569893</v>
      </c>
    </row>
    <row r="64" spans="1:145">
      <c r="A64" s="157">
        <v>43922</v>
      </c>
      <c r="B64" s="186">
        <v>5501.8249999999998</v>
      </c>
      <c r="C64" s="187">
        <f t="shared" ref="C64" si="1101">B64/30</f>
        <v>183.39416666666665</v>
      </c>
      <c r="D64" s="247">
        <f>C64-'NOPA Crush'!G489</f>
        <v>11.640166666666659</v>
      </c>
      <c r="E64" s="188">
        <f>C64/'NOPA Crush'!G489-1</f>
        <v>6.7772317772317736E-2</v>
      </c>
      <c r="F64" s="189">
        <v>4038.22</v>
      </c>
      <c r="G64" s="189">
        <v>3984.61</v>
      </c>
      <c r="H64" s="189">
        <v>53.61</v>
      </c>
      <c r="I64" s="189">
        <v>341.68099999999998</v>
      </c>
      <c r="J64" s="190">
        <f t="shared" ref="J64" si="1102">F64*2/C64</f>
        <v>44.038696250789513</v>
      </c>
      <c r="K64" s="190">
        <f t="shared" ref="K64" si="1103">(F64+M64)*2/C64</f>
        <v>47.026326718861469</v>
      </c>
      <c r="L64" s="190">
        <f>K64-'NOPA Crush'!J489</f>
        <v>-8.3673281138530342E-2</v>
      </c>
      <c r="M64" s="189">
        <v>273.95699999999999</v>
      </c>
      <c r="N64" s="189">
        <v>44.512</v>
      </c>
      <c r="O64" s="189">
        <v>2099.4650000000001</v>
      </c>
      <c r="P64" s="189">
        <v>2223.538</v>
      </c>
      <c r="Q64" s="189">
        <v>939.27300000000002</v>
      </c>
      <c r="R64" s="189">
        <v>443.346</v>
      </c>
      <c r="S64" s="189">
        <v>840.91899999999998</v>
      </c>
      <c r="T64" s="189">
        <v>377.06299999999999</v>
      </c>
      <c r="U64" s="189">
        <f>(P64+T64)-'NOPA Crush'!Q489</f>
        <v>489.76900000000023</v>
      </c>
      <c r="V64" s="191">
        <f>((P64+T64)/'NOPA Crush'!Q489)-1</f>
        <v>0.23202651845338718</v>
      </c>
      <c r="W64" s="190">
        <f t="shared" ref="W64" si="1104">O64/C64</f>
        <v>11.447828675030561</v>
      </c>
      <c r="X64" s="190">
        <f>W64-'NOPA Crush'!O489</f>
        <v>-0.11217132496943982</v>
      </c>
      <c r="Y64" s="190">
        <f t="shared" si="720"/>
        <v>58.474155393892033</v>
      </c>
      <c r="Z64" s="211">
        <v>1288.7550000000001</v>
      </c>
      <c r="AA64" s="211">
        <v>1261.415</v>
      </c>
      <c r="AB64" s="191">
        <f t="shared" ref="AB64" si="1105">(Z64-AA64)/Z64</f>
        <v>2.1214272689533808E-2</v>
      </c>
      <c r="AC64" s="211">
        <v>117.42100000000001</v>
      </c>
      <c r="AD64" s="211">
        <v>1277.068</v>
      </c>
      <c r="AE64" s="211">
        <v>924.93700000000001</v>
      </c>
      <c r="AF64" s="211">
        <v>352.13099999999997</v>
      </c>
      <c r="AG64" s="191">
        <f t="shared" si="122"/>
        <v>1.2409080278893203E-2</v>
      </c>
      <c r="AH64" s="163"/>
      <c r="AI64" s="211">
        <v>671.32299999999998</v>
      </c>
      <c r="AJ64" s="247">
        <f t="shared" si="11"/>
        <v>22.377433333333332</v>
      </c>
      <c r="AK64" s="211">
        <v>488.00099999999998</v>
      </c>
      <c r="AL64" s="211">
        <v>64.584999999999994</v>
      </c>
      <c r="AM64" s="190">
        <f t="shared" ref="AM64" si="1106">AK64*2/AJ64</f>
        <v>43.615457834753165</v>
      </c>
      <c r="AN64" s="190">
        <f t="shared" ref="AN64" si="1107">AM64-J64</f>
        <v>-0.42323841603634804</v>
      </c>
      <c r="AO64" s="211">
        <v>264.30900000000003</v>
      </c>
      <c r="AP64" s="211">
        <v>155.73400000000001</v>
      </c>
      <c r="AQ64" s="190">
        <f t="shared" ref="AQ64" si="1108">AO64/AJ64</f>
        <v>11.811408219292355</v>
      </c>
      <c r="AR64" s="190">
        <f t="shared" ref="AR64" si="1109">AQ64-W64</f>
        <v>0.3635795442617944</v>
      </c>
      <c r="AS64" s="190">
        <f t="shared" ref="AS64" si="1110">AM64+AQ64</f>
        <v>55.426866054045519</v>
      </c>
      <c r="AT64" s="211">
        <v>1112.0640000000001</v>
      </c>
      <c r="AU64" s="247">
        <f t="shared" si="16"/>
        <v>37.068800000000003</v>
      </c>
      <c r="AV64" s="211">
        <v>815.39</v>
      </c>
      <c r="AW64" s="211">
        <v>41.710999999999999</v>
      </c>
      <c r="AX64" s="190">
        <f t="shared" ref="AX64" si="1111">AV64*2/AU64</f>
        <v>43.993331319060772</v>
      </c>
      <c r="AY64" s="190">
        <f t="shared" ref="AY64" si="1112">AX64-J64</f>
        <v>-4.5364931728741453E-2</v>
      </c>
      <c r="AZ64" s="211">
        <v>423.25299999999999</v>
      </c>
      <c r="BA64" s="211">
        <v>203.994</v>
      </c>
      <c r="BB64" s="190">
        <f t="shared" ref="BB64" si="1113">AZ64/AU64</f>
        <v>11.418038889848065</v>
      </c>
      <c r="BC64" s="190">
        <f t="shared" ref="BC64" si="1114">BB64-W64</f>
        <v>-2.9789785182495976E-2</v>
      </c>
      <c r="BD64" s="247">
        <f t="shared" ref="BD64:BD65" si="1115">AX64+BB64</f>
        <v>55.411370208908835</v>
      </c>
      <c r="BE64" s="211">
        <v>1277.645</v>
      </c>
      <c r="BF64" s="247">
        <f t="shared" si="58"/>
        <v>42.588166666666666</v>
      </c>
      <c r="BG64" s="211">
        <v>942.85900000000004</v>
      </c>
      <c r="BH64" s="211">
        <v>101.387</v>
      </c>
      <c r="BI64" s="190">
        <f t="shared" ref="BI64" si="1116">BG64*2/BF64</f>
        <v>44.277980190115407</v>
      </c>
      <c r="BJ64" s="190">
        <f t="shared" ref="BJ64" si="1117">BI64-J64</f>
        <v>0.23928393932589387</v>
      </c>
      <c r="BK64" s="211">
        <v>489.298</v>
      </c>
      <c r="BL64" s="211">
        <v>197.39699999999999</v>
      </c>
      <c r="BM64" s="190">
        <f t="shared" ref="BM64" si="1118">BK64/BF64</f>
        <v>11.489059950142645</v>
      </c>
      <c r="BN64" s="190">
        <f t="shared" ref="BN64" si="1119">BM64-W64</f>
        <v>4.123127511208402E-2</v>
      </c>
      <c r="BO64" s="247">
        <f t="shared" ref="BO64" si="1120">BM64+BI64</f>
        <v>55.767040140258054</v>
      </c>
      <c r="BP64" s="211">
        <v>863.84299999999996</v>
      </c>
      <c r="BQ64" s="247">
        <f t="shared" si="26"/>
        <v>28.794766666666664</v>
      </c>
      <c r="BR64" s="211">
        <v>636.00599999999997</v>
      </c>
      <c r="BS64" s="211">
        <v>36.106000000000002</v>
      </c>
      <c r="BT64" s="190">
        <f t="shared" ref="BT64" si="1121">BR64*2/BQ64</f>
        <v>44.175110523555787</v>
      </c>
      <c r="BU64" s="190">
        <f t="shared" ref="BU64" si="1122">BT64-J64</f>
        <v>0.13641427276627383</v>
      </c>
      <c r="BV64" s="211">
        <v>313.346</v>
      </c>
      <c r="BW64" s="211">
        <v>251.13300000000001</v>
      </c>
      <c r="BX64" s="190">
        <f t="shared" ref="BX64:BX65" si="1123">BV64/BQ64</f>
        <v>10.882046853421283</v>
      </c>
      <c r="BY64" s="190">
        <f t="shared" ref="BY64:BY65" si="1124">BX64-W64</f>
        <v>-0.56578182160927781</v>
      </c>
      <c r="BZ64" s="194">
        <f t="shared" ref="BZ64:BZ65" si="1125">BT64+BX64</f>
        <v>55.057157376977074</v>
      </c>
      <c r="CA64" s="211">
        <v>650.33799999999997</v>
      </c>
      <c r="CB64" s="247">
        <f t="shared" si="32"/>
        <v>21.677933333333332</v>
      </c>
      <c r="CC64" s="211">
        <v>473.16800000000001</v>
      </c>
      <c r="CD64" s="340">
        <f>(SUM(CD58:CD63)/SUM(I58:I63))*I64</f>
        <v>47.641075294600505</v>
      </c>
      <c r="CE64" s="190">
        <f t="shared" ref="CE64" si="1126">CC64*2/CB64</f>
        <v>43.654345893981287</v>
      </c>
      <c r="CF64" s="190">
        <f t="shared" ref="CF64" si="1127">CE64-J64</f>
        <v>-0.38435035680822693</v>
      </c>
      <c r="CG64" s="211">
        <v>250.523</v>
      </c>
      <c r="CH64" s="211">
        <v>62.372</v>
      </c>
      <c r="CI64" s="190">
        <f t="shared" ref="CI64" si="1128">CG64/CB64</f>
        <v>11.556590572902092</v>
      </c>
      <c r="CJ64" s="190">
        <f t="shared" ref="CJ64" si="1129">CI64-W64</f>
        <v>0.10876189787153123</v>
      </c>
      <c r="CK64" s="194">
        <f t="shared" ref="CK64" si="1130">CI64+CE64</f>
        <v>55.210936466883382</v>
      </c>
      <c r="CL64" s="211">
        <v>926.61199999999997</v>
      </c>
      <c r="CM64" s="247">
        <f t="shared" si="60"/>
        <v>30.887066666666666</v>
      </c>
      <c r="CN64" s="211">
        <v>683.84100000000001</v>
      </c>
      <c r="CO64" s="340">
        <f>$I64-$AL64-$AW64-$BH64-$BS64-CD64</f>
        <v>50.250924705399491</v>
      </c>
      <c r="CP64" s="190">
        <f t="shared" ref="CP64" si="1131">CN64*2/CM64</f>
        <v>44.280087026716686</v>
      </c>
      <c r="CQ64" s="190">
        <f t="shared" ref="CQ64" si="1132">CP64-J64</f>
        <v>0.24139077592717229</v>
      </c>
      <c r="CR64" s="211">
        <v>358.73599999999999</v>
      </c>
      <c r="CS64" s="211">
        <v>68.697000000000003</v>
      </c>
      <c r="CT64" s="190">
        <f t="shared" ref="CT64" si="1133">CR64/CM64</f>
        <v>11.61444056411961</v>
      </c>
      <c r="CU64" s="190">
        <f t="shared" ref="CU64" si="1134">CT64-W64</f>
        <v>0.16661188908904911</v>
      </c>
      <c r="CV64" s="247">
        <f t="shared" ref="CV64" si="1135">CP64+CT64</f>
        <v>55.894527590836297</v>
      </c>
      <c r="CW64" s="163"/>
      <c r="CX64" s="196">
        <f t="shared" ref="CX64" si="1136">C64-AJ64-AU64-BF64-BQ64-CB64-CM64</f>
        <v>0</v>
      </c>
      <c r="CY64" s="196">
        <f t="shared" ref="CY64" si="1137">F64-AK64-AV64-BG64-BR64-CC64-CN64</f>
        <v>-1.044999999999618</v>
      </c>
      <c r="CZ64" s="196">
        <f t="shared" ref="CZ64" si="1138">I64-AL64-AW64-BH64-BS64-CD64-CO64</f>
        <v>0</v>
      </c>
      <c r="DA64" s="196">
        <f t="shared" ref="DA64" si="1139">O64-AO64-AZ64-BK64-BV64-CG64-CR64</f>
        <v>0</v>
      </c>
      <c r="DB64" s="196">
        <f t="shared" ref="DB64" si="1140">Q64-AP64-BA64-BL64-BW64-CH64-CS64</f>
        <v>-5.4000000000044679E-2</v>
      </c>
      <c r="DC64" s="196">
        <f t="shared" ref="DC64" si="1141">P64-Q64-R64-S64</f>
        <v>0</v>
      </c>
      <c r="DD64" s="163"/>
      <c r="DE64" s="200">
        <v>177.35</v>
      </c>
      <c r="DF64" s="200">
        <v>98.804000000000002</v>
      </c>
      <c r="DG64" s="206">
        <f>FORECAST(DF64,DG45:DG63,DF45:DF63)</f>
        <v>45.351145692717559</v>
      </c>
      <c r="DH64" s="191">
        <f t="shared" si="61"/>
        <v>0.55711305328446581</v>
      </c>
      <c r="DI64" s="197">
        <v>146.98699999999999</v>
      </c>
      <c r="DJ64" s="191">
        <f t="shared" si="48"/>
        <v>0.41439808288694674</v>
      </c>
      <c r="DK64" s="197">
        <v>139.72</v>
      </c>
      <c r="DL64" s="197">
        <v>135.02500000000001</v>
      </c>
      <c r="DM64" s="191">
        <f t="shared" si="62"/>
        <v>3.3602920125966218E-2</v>
      </c>
      <c r="DN64" s="200">
        <v>147.584</v>
      </c>
      <c r="DO64" s="200">
        <v>60.325000000000003</v>
      </c>
      <c r="DP64" s="200">
        <v>93.302000000000007</v>
      </c>
      <c r="DQ64" s="200">
        <f t="shared" ref="DQ64" si="1142">DP64+DO64</f>
        <v>153.62700000000001</v>
      </c>
      <c r="DR64" s="191">
        <f t="shared" ref="DR64" si="1143">DJ64+DH64</f>
        <v>0.9715111361714126</v>
      </c>
      <c r="DS64" s="199">
        <f t="shared" si="51"/>
        <v>0.95056025362787189</v>
      </c>
      <c r="DT64" s="200">
        <v>142.392</v>
      </c>
      <c r="DU64" s="200">
        <v>62.741</v>
      </c>
      <c r="DV64" s="200">
        <v>23.198</v>
      </c>
      <c r="DW64" s="191">
        <f t="shared" si="63"/>
        <v>0.44062166413843473</v>
      </c>
      <c r="DX64" s="197">
        <v>40.994</v>
      </c>
      <c r="DY64" s="191">
        <f t="shared" si="64"/>
        <v>0.14394769369065677</v>
      </c>
      <c r="DZ64" s="197">
        <v>36.567</v>
      </c>
      <c r="EA64" s="197">
        <v>35.540999999999997</v>
      </c>
      <c r="EB64" s="191">
        <f t="shared" si="52"/>
        <v>2.8058085158749746E-2</v>
      </c>
      <c r="EC64" s="200">
        <v>32.582000000000001</v>
      </c>
      <c r="ED64" s="206">
        <v>25</v>
      </c>
      <c r="EE64" s="200">
        <v>39.988999999999997</v>
      </c>
      <c r="EF64" s="205">
        <f t="shared" si="1016"/>
        <v>64.989000000000004</v>
      </c>
      <c r="EG64" s="191">
        <f t="shared" ref="EG64" si="1144">DY64+DW64</f>
        <v>0.58456935782909147</v>
      </c>
      <c r="EJ64" s="202">
        <f t="shared" si="3"/>
        <v>12.226277777777776</v>
      </c>
      <c r="EK64" s="202">
        <f>'NOPA Crush'!B489*56/('NOPA Crush'!A489-'NOPA Crush'!A488)</f>
        <v>11.648885943676889</v>
      </c>
      <c r="EL64" s="203">
        <f t="shared" si="65"/>
        <v>1.0495662707054232</v>
      </c>
      <c r="EM64" s="202">
        <f t="shared" si="55"/>
        <v>5.9116666666666662</v>
      </c>
      <c r="EN64" s="202">
        <f t="shared" si="56"/>
        <v>9.4927999999999992E-3</v>
      </c>
      <c r="EO64" s="202">
        <f t="shared" si="66"/>
        <v>18.147437244444443</v>
      </c>
    </row>
    <row r="65" spans="1:145">
      <c r="A65" s="157">
        <v>43952</v>
      </c>
      <c r="B65" s="186">
        <v>5386.5339999999997</v>
      </c>
      <c r="C65" s="187">
        <f t="shared" ref="C65" si="1145">B65/30</f>
        <v>179.55113333333333</v>
      </c>
      <c r="D65" s="247">
        <f>C65-'NOPA Crush'!G490</f>
        <v>9.9671333333333223</v>
      </c>
      <c r="E65" s="188">
        <f>C65/'NOPA Crush'!G490-1</f>
        <v>5.8774019561593782E-2</v>
      </c>
      <c r="F65" s="189">
        <v>3970.047</v>
      </c>
      <c r="G65" s="189">
        <v>3914.54</v>
      </c>
      <c r="H65" s="189">
        <v>55.506999999999998</v>
      </c>
      <c r="I65" s="189">
        <v>442.173</v>
      </c>
      <c r="J65" s="190">
        <f t="shared" ref="J65" si="1146">F65*2/C65</f>
        <v>44.221909673270417</v>
      </c>
      <c r="K65" s="190">
        <f t="shared" ref="K65" si="1147">(F65+M65)*2/C65</f>
        <v>47.239802069382648</v>
      </c>
      <c r="L65" s="190">
        <f>K65-'NOPA Crush'!J490</f>
        <v>0.12980206938264871</v>
      </c>
      <c r="M65" s="189">
        <v>270.93299999999999</v>
      </c>
      <c r="N65" s="189">
        <v>55.673999999999999</v>
      </c>
      <c r="O65" s="189">
        <v>2057.6170000000002</v>
      </c>
      <c r="P65" s="189">
        <v>2048.9380000000001</v>
      </c>
      <c r="Q65" s="189">
        <v>875.53</v>
      </c>
      <c r="R65" s="189">
        <v>431.34500000000003</v>
      </c>
      <c r="S65" s="189">
        <v>742.06299999999999</v>
      </c>
      <c r="T65" s="189">
        <v>396.47699999999998</v>
      </c>
      <c r="U65" s="189">
        <f>(P65+T65)-'NOPA Crush'!Q490</f>
        <v>565.19000000000005</v>
      </c>
      <c r="V65" s="191">
        <f>((P65+T65)/'NOPA Crush'!Q490)-1</f>
        <v>0.30059700301825587</v>
      </c>
      <c r="W65" s="190">
        <f t="shared" ref="W65" si="1148">O65/C65</f>
        <v>11.459782858513472</v>
      </c>
      <c r="X65" s="190">
        <f>W65-'NOPA Crush'!O490</f>
        <v>-8.02171414865267E-2</v>
      </c>
      <c r="Y65" s="190">
        <f t="shared" si="720"/>
        <v>58.699584927896119</v>
      </c>
      <c r="Z65" s="211">
        <v>1570.271</v>
      </c>
      <c r="AA65" s="211">
        <v>1532.758</v>
      </c>
      <c r="AB65" s="191">
        <f t="shared" ref="AB65" si="1149">(Z65-AA65)/Z65</f>
        <v>2.388950697045282E-2</v>
      </c>
      <c r="AC65" s="344">
        <f>FORECAST(S65,AC66:AC$87,S66:S$87)</f>
        <v>158.93108048655216</v>
      </c>
      <c r="AD65" s="211">
        <v>1513.117</v>
      </c>
      <c r="AE65" s="211">
        <v>1073.8720000000001</v>
      </c>
      <c r="AF65" s="211">
        <v>439.245</v>
      </c>
      <c r="AG65" s="191">
        <f t="shared" si="122"/>
        <v>-1.2814155920243153E-2</v>
      </c>
      <c r="AH65" s="163"/>
      <c r="AI65" s="211">
        <v>576.48299999999995</v>
      </c>
      <c r="AJ65" s="247">
        <f t="shared" si="11"/>
        <v>19.216099999999997</v>
      </c>
      <c r="AK65" s="211">
        <v>418.99900000000002</v>
      </c>
      <c r="AL65" s="340">
        <f>I65-AW65-BH65-BS65-CD65-CO65</f>
        <v>90.79790635166836</v>
      </c>
      <c r="AM65" s="190">
        <f t="shared" ref="AM65" si="1150">AK65*2/AJ65</f>
        <v>43.609161068062726</v>
      </c>
      <c r="AN65" s="190">
        <f t="shared" ref="AN65" si="1151">AM65-J65</f>
        <v>-0.61274860520769181</v>
      </c>
      <c r="AO65" s="211">
        <v>229.13200000000001</v>
      </c>
      <c r="AP65" s="211">
        <v>108.904</v>
      </c>
      <c r="AQ65" s="190">
        <f t="shared" ref="AQ65" si="1152">AO65/AJ65</f>
        <v>11.92395959638012</v>
      </c>
      <c r="AR65" s="190">
        <f t="shared" ref="AR65" si="1153">AQ65-W65</f>
        <v>0.46417673786664793</v>
      </c>
      <c r="AS65" s="190">
        <f t="shared" ref="AS65" si="1154">AM65+AQ65</f>
        <v>55.533120664442848</v>
      </c>
      <c r="AT65" s="211">
        <v>1100.0509999999999</v>
      </c>
      <c r="AU65" s="247">
        <f t="shared" si="16"/>
        <v>36.668366666666664</v>
      </c>
      <c r="AV65" s="211">
        <v>806.87599999999998</v>
      </c>
      <c r="AW65" s="211">
        <v>82.284000000000006</v>
      </c>
      <c r="AX65" s="190">
        <f t="shared" ref="AX65" si="1155">AV65*2/AU65</f>
        <v>44.009377747031728</v>
      </c>
      <c r="AY65" s="190">
        <f t="shared" ref="AY65" si="1156">AX65-J65</f>
        <v>-0.21253192623868955</v>
      </c>
      <c r="AZ65" s="211">
        <v>419.55700000000002</v>
      </c>
      <c r="BA65" s="211">
        <v>173.673</v>
      </c>
      <c r="BB65" s="190">
        <f t="shared" ref="BB65" si="1157">AZ65/AU65</f>
        <v>11.441933146735925</v>
      </c>
      <c r="BC65" s="190">
        <f t="shared" ref="BC65" si="1158">BB65-W65</f>
        <v>-1.7849711777547128E-2</v>
      </c>
      <c r="BD65" s="247">
        <f t="shared" si="1115"/>
        <v>55.451310893767655</v>
      </c>
      <c r="BE65" s="211">
        <v>1242.434</v>
      </c>
      <c r="BF65" s="247">
        <f t="shared" si="58"/>
        <v>41.414466666666662</v>
      </c>
      <c r="BG65" s="211">
        <v>923.78</v>
      </c>
      <c r="BH65" s="211">
        <v>78.56</v>
      </c>
      <c r="BI65" s="190">
        <f t="shared" ref="BI65" si="1159">BG65*2/BF65</f>
        <v>44.611464270939145</v>
      </c>
      <c r="BJ65" s="190">
        <f t="shared" ref="BJ65" si="1160">BI65-J65</f>
        <v>0.38955459766872735</v>
      </c>
      <c r="BK65" s="211">
        <v>476.06099999999998</v>
      </c>
      <c r="BL65" s="211">
        <v>221.161</v>
      </c>
      <c r="BM65" s="190">
        <f t="shared" ref="BM65" si="1161">BK65/BF65</f>
        <v>11.495041185286302</v>
      </c>
      <c r="BN65" s="190">
        <f t="shared" ref="BN65" si="1162">BM65-W65</f>
        <v>3.5258326772829918E-2</v>
      </c>
      <c r="BO65" s="247">
        <f t="shared" ref="BO65" si="1163">BM65+BI65</f>
        <v>56.106505456225449</v>
      </c>
      <c r="BP65" s="211">
        <v>854.16499999999996</v>
      </c>
      <c r="BQ65" s="247">
        <f t="shared" si="26"/>
        <v>28.472166666666666</v>
      </c>
      <c r="BR65" s="211">
        <v>632.245</v>
      </c>
      <c r="BS65" s="211">
        <v>56.372999999999998</v>
      </c>
      <c r="BT65" s="190">
        <f t="shared" ref="BT65" si="1164">BR65*2/BQ65</f>
        <v>44.411442754034645</v>
      </c>
      <c r="BU65" s="190">
        <f t="shared" ref="BU65" si="1165">BT65-J65</f>
        <v>0.18953308076422815</v>
      </c>
      <c r="BV65" s="211">
        <v>313.37200000000001</v>
      </c>
      <c r="BW65" s="211">
        <v>240.29300000000001</v>
      </c>
      <c r="BX65" s="190">
        <f t="shared" si="1123"/>
        <v>11.006257573185509</v>
      </c>
      <c r="BY65" s="190">
        <f t="shared" si="1124"/>
        <v>-0.45352528532796299</v>
      </c>
      <c r="BZ65" s="194">
        <f t="shared" si="1125"/>
        <v>55.417700327220153</v>
      </c>
      <c r="CA65" s="211">
        <v>635.74400000000003</v>
      </c>
      <c r="CB65" s="247">
        <f t="shared" si="32"/>
        <v>21.191466666666667</v>
      </c>
      <c r="CC65" s="211">
        <v>463.113</v>
      </c>
      <c r="CD65" s="340">
        <f>(SUM(CD59:CD64)/SUM(I59:I64))*I65</f>
        <v>61.498093648331654</v>
      </c>
      <c r="CE65" s="190">
        <f t="shared" ref="CE65" si="1166">CC65*2/CB65</f>
        <v>43.707498615795039</v>
      </c>
      <c r="CF65" s="190">
        <f t="shared" ref="CF65" si="1167">CE65-J65</f>
        <v>-0.51441105747537819</v>
      </c>
      <c r="CG65" s="211">
        <v>243.751</v>
      </c>
      <c r="CH65" s="211">
        <v>61.539000000000001</v>
      </c>
      <c r="CI65" s="190">
        <f t="shared" ref="CI65" si="1168">CG65/CB65</f>
        <v>11.502318543313033</v>
      </c>
      <c r="CJ65" s="190">
        <f t="shared" ref="CJ65" si="1169">CI65-W65</f>
        <v>4.2535684799560158E-2</v>
      </c>
      <c r="CK65" s="194">
        <f t="shared" ref="CK65" si="1170">CI65+CE65</f>
        <v>55.20981715910807</v>
      </c>
      <c r="CL65" s="211">
        <v>977.65700000000004</v>
      </c>
      <c r="CM65" s="247">
        <f t="shared" si="60"/>
        <v>32.588566666666665</v>
      </c>
      <c r="CN65" s="211">
        <v>725.03399999999999</v>
      </c>
      <c r="CO65" s="211">
        <v>72.66</v>
      </c>
      <c r="CP65" s="190">
        <f t="shared" ref="CP65" si="1171">CN65*2/CM65</f>
        <v>44.4962190215996</v>
      </c>
      <c r="CQ65" s="190">
        <f t="shared" ref="CQ65" si="1172">CP65-J65</f>
        <v>0.27430934832918297</v>
      </c>
      <c r="CR65" s="211">
        <v>375.74400000000003</v>
      </c>
      <c r="CS65" s="211">
        <v>70.013999999999996</v>
      </c>
      <c r="CT65" s="190">
        <f t="shared" ref="CT65" si="1173">CR65/CM65</f>
        <v>11.529933299715546</v>
      </c>
      <c r="CU65" s="190">
        <f t="shared" ref="CU65" si="1174">CT65-W65</f>
        <v>7.0150441202073921E-2</v>
      </c>
      <c r="CV65" s="247">
        <f t="shared" ref="CV65" si="1175">CP65+CT65</f>
        <v>56.026152321315145</v>
      </c>
      <c r="CW65" s="163"/>
      <c r="CX65" s="196">
        <f t="shared" ref="CX65" si="1176">C65-AJ65-AU65-BF65-BQ65-CB65-CM65</f>
        <v>0</v>
      </c>
      <c r="CY65" s="196">
        <f t="shared" ref="CY65" si="1177">F65-AK65-AV65-BG65-BR65-CC65-CN65</f>
        <v>0</v>
      </c>
      <c r="CZ65" s="196">
        <f t="shared" ref="CZ65" si="1178">I65-AL65-AW65-BH65-BS65-CD65-CO65</f>
        <v>0</v>
      </c>
      <c r="DA65" s="196">
        <f t="shared" ref="DA65" si="1179">O65-AO65-AZ65-BK65-BV65-CG65-CR65</f>
        <v>0</v>
      </c>
      <c r="DB65" s="196">
        <f t="shared" ref="DB65" si="1180">Q65-AP65-BA65-BL65-BW65-CH65-CS65</f>
        <v>-5.4000000000030468E-2</v>
      </c>
      <c r="DC65" s="196">
        <f t="shared" ref="DC65" si="1181">P65-Q65-R65-S65</f>
        <v>0</v>
      </c>
      <c r="DD65" s="163"/>
      <c r="DE65" s="200">
        <v>194.81299999999999</v>
      </c>
      <c r="DF65" s="200">
        <v>107.328</v>
      </c>
      <c r="DG65" s="200">
        <v>63.238999999999997</v>
      </c>
      <c r="DH65" s="191">
        <f t="shared" si="61"/>
        <v>0.55092832613839948</v>
      </c>
      <c r="DI65" s="197">
        <v>161.642</v>
      </c>
      <c r="DJ65" s="191">
        <f t="shared" si="48"/>
        <v>0.41486451109525546</v>
      </c>
      <c r="DK65" s="197">
        <v>126.876</v>
      </c>
      <c r="DL65" s="197">
        <v>122.62</v>
      </c>
      <c r="DM65" s="191">
        <f t="shared" si="62"/>
        <v>3.3544563195560984E-2</v>
      </c>
      <c r="DN65" s="200">
        <v>150.691</v>
      </c>
      <c r="DO65" s="200">
        <v>54.628999999999998</v>
      </c>
      <c r="DP65" s="200">
        <v>123.80800000000001</v>
      </c>
      <c r="DQ65" s="200">
        <f t="shared" ref="DQ65" si="1182">DP65+DO65</f>
        <v>178.43700000000001</v>
      </c>
      <c r="DR65" s="191">
        <f t="shared" ref="DR65" si="1183">DJ65+DH65</f>
        <v>0.96579283723365494</v>
      </c>
      <c r="DS65" s="199">
        <f t="shared" si="51"/>
        <v>0.78491976095321769</v>
      </c>
      <c r="DT65" s="200">
        <v>93.724999999999994</v>
      </c>
      <c r="DU65" s="200">
        <v>39.902999999999999</v>
      </c>
      <c r="DV65" s="200">
        <v>18.181999999999999</v>
      </c>
      <c r="DW65" s="191">
        <f t="shared" si="63"/>
        <v>0.42574553214190453</v>
      </c>
      <c r="DX65" s="197">
        <v>26.346</v>
      </c>
      <c r="DY65" s="191">
        <f t="shared" si="64"/>
        <v>0.14054947986129634</v>
      </c>
      <c r="DZ65" s="197">
        <v>36.732999999999997</v>
      </c>
      <c r="EA65" s="197">
        <v>35.514000000000003</v>
      </c>
      <c r="EB65" s="191">
        <f t="shared" si="52"/>
        <v>3.3185419105436376E-2</v>
      </c>
      <c r="EC65" s="200">
        <v>36.405999999999999</v>
      </c>
      <c r="ED65" s="200">
        <v>21.9</v>
      </c>
      <c r="EE65" s="200">
        <v>40.258000000000003</v>
      </c>
      <c r="EF65" s="195">
        <f t="shared" si="1016"/>
        <v>62.158000000000001</v>
      </c>
      <c r="EG65" s="191">
        <f t="shared" ref="EG65" si="1184">DY65+DW65</f>
        <v>0.56629501200320087</v>
      </c>
      <c r="EJ65" s="202">
        <f t="shared" si="3"/>
        <v>11.583944086021505</v>
      </c>
      <c r="EK65" s="202">
        <f>'NOPA Crush'!B490*56/('NOPA Crush'!A490-'NOPA Crush'!A489)</f>
        <v>12.16207511604906</v>
      </c>
      <c r="EL65" s="203">
        <f t="shared" si="65"/>
        <v>0.95246444175758682</v>
      </c>
      <c r="EM65" s="202">
        <f t="shared" si="55"/>
        <v>6.2842903225806444</v>
      </c>
      <c r="EN65" s="202">
        <f t="shared" si="56"/>
        <v>6.0467741935483869E-3</v>
      </c>
      <c r="EO65" s="202">
        <f t="shared" si="66"/>
        <v>17.874281182795698</v>
      </c>
    </row>
    <row r="66" spans="1:145">
      <c r="A66" s="157">
        <v>43983</v>
      </c>
      <c r="B66" s="186">
        <v>5318.4189999999999</v>
      </c>
      <c r="C66" s="187">
        <f t="shared" ref="C66" si="1185">B66/30</f>
        <v>177.28063333333333</v>
      </c>
      <c r="D66" s="247">
        <f>C66-'NOPA Crush'!G491</f>
        <v>10.017633333333322</v>
      </c>
      <c r="E66" s="188">
        <f>C66/'NOPA Crush'!G491-1</f>
        <v>5.9891508183718578E-2</v>
      </c>
      <c r="F66" s="189">
        <v>3904.7249999999999</v>
      </c>
      <c r="G66" s="189">
        <v>3847.451</v>
      </c>
      <c r="H66" s="189">
        <v>57.274000000000001</v>
      </c>
      <c r="I66" s="189">
        <v>420.42599999999999</v>
      </c>
      <c r="J66" s="190">
        <f t="shared" ref="J66" si="1186">F66*2/C66</f>
        <v>44.05134307770787</v>
      </c>
      <c r="K66" s="190">
        <f t="shared" ref="K66" si="1187">(F66+M66)*2/C66</f>
        <v>47.015581134167874</v>
      </c>
      <c r="L66" s="190">
        <f>K66-'NOPA Crush'!J491</f>
        <v>-4.4418865832128063E-2</v>
      </c>
      <c r="M66" s="189">
        <v>262.75099999999998</v>
      </c>
      <c r="N66" s="189">
        <v>41.877000000000002</v>
      </c>
      <c r="O66" s="189">
        <v>2035.269</v>
      </c>
      <c r="P66" s="189">
        <v>1925.7280000000001</v>
      </c>
      <c r="Q66" s="189">
        <v>773.30600000000004</v>
      </c>
      <c r="R66" s="189">
        <v>450.97699999999998</v>
      </c>
      <c r="S66" s="189">
        <v>701.44500000000005</v>
      </c>
      <c r="T66" s="189">
        <v>345.08300000000003</v>
      </c>
      <c r="U66" s="189">
        <f>(P66+T66)-'NOPA Crush'!Q491</f>
        <v>493.11500000000024</v>
      </c>
      <c r="V66" s="191">
        <f>((P66+T66)/'NOPA Crush'!Q491)-1</f>
        <v>0.27738994743758227</v>
      </c>
      <c r="W66" s="190">
        <f t="shared" ref="W66" si="1188">O66/C66</f>
        <v>11.480492605039204</v>
      </c>
      <c r="X66" s="190">
        <f>W66-'NOPA Crush'!O491</f>
        <v>-7.9507394960796063E-2</v>
      </c>
      <c r="Y66" s="190">
        <f t="shared" si="720"/>
        <v>58.496073739207077</v>
      </c>
      <c r="Z66" s="211">
        <v>1602.0119999999999</v>
      </c>
      <c r="AA66" s="211">
        <v>1567.576</v>
      </c>
      <c r="AB66" s="191">
        <f t="shared" ref="AB66" si="1189">(Z66-AA66)/Z66</f>
        <v>2.1495469447170134E-2</v>
      </c>
      <c r="AC66" s="344">
        <f>FORECAST(S66,AC67:AC$87,S67:S$87)</f>
        <v>147.67482154692479</v>
      </c>
      <c r="AD66" s="211">
        <v>1622.194</v>
      </c>
      <c r="AE66" s="211">
        <v>1169.175</v>
      </c>
      <c r="AF66" s="211">
        <v>453.01900000000001</v>
      </c>
      <c r="AG66" s="191">
        <f t="shared" si="122"/>
        <v>3.4842329813673967E-2</v>
      </c>
      <c r="AH66" s="163"/>
      <c r="AI66" s="211">
        <v>667.19399999999996</v>
      </c>
      <c r="AJ66" s="247">
        <f t="shared" si="11"/>
        <v>22.239799999999999</v>
      </c>
      <c r="AK66" s="211">
        <v>481.99200000000002</v>
      </c>
      <c r="AL66" s="211">
        <v>82.686000000000007</v>
      </c>
      <c r="AM66" s="190">
        <f t="shared" ref="AM66" si="1190">AK66*2/AJ66</f>
        <v>43.344994109659261</v>
      </c>
      <c r="AN66" s="190">
        <f t="shared" ref="AN66" si="1191">AM66-J66</f>
        <v>-0.70634896804860858</v>
      </c>
      <c r="AO66" s="211">
        <v>256.20999999999998</v>
      </c>
      <c r="AP66" s="211">
        <v>108.765</v>
      </c>
      <c r="AQ66" s="190">
        <f t="shared" ref="AQ66" si="1192">AO66/AJ66</f>
        <v>11.520337413106233</v>
      </c>
      <c r="AR66" s="190">
        <f t="shared" ref="AR66" si="1193">AQ66-W66</f>
        <v>3.9844808067028836E-2</v>
      </c>
      <c r="AS66" s="190">
        <f t="shared" ref="AS66" si="1194">AM66+AQ66</f>
        <v>54.865331522765494</v>
      </c>
      <c r="AT66" s="211">
        <v>982.154</v>
      </c>
      <c r="AU66" s="247">
        <f t="shared" si="16"/>
        <v>32.738466666666667</v>
      </c>
      <c r="AV66" s="211">
        <v>720.8</v>
      </c>
      <c r="AW66" s="211">
        <v>49.375999999999998</v>
      </c>
      <c r="AX66" s="190">
        <f t="shared" ref="AX66" si="1195">AV66*2/AU66</f>
        <v>44.033827688936761</v>
      </c>
      <c r="AY66" s="190">
        <f t="shared" ref="AY66" si="1196">AX66-J66</f>
        <v>-1.7515388771109031E-2</v>
      </c>
      <c r="AZ66" s="211">
        <v>374.07900000000001</v>
      </c>
      <c r="BA66" s="211">
        <v>129.90100000000001</v>
      </c>
      <c r="BB66" s="190">
        <f t="shared" ref="BB66" si="1197">AZ66/AU66</f>
        <v>11.426283454529534</v>
      </c>
      <c r="BC66" s="190">
        <f t="shared" ref="BC66" si="1198">BB66-W66</f>
        <v>-5.4209150509670678E-2</v>
      </c>
      <c r="BD66" s="247">
        <f t="shared" ref="BD66" si="1199">AX66+BB66</f>
        <v>55.460111143466293</v>
      </c>
      <c r="BE66" s="211">
        <v>1174.6510000000001</v>
      </c>
      <c r="BF66" s="247">
        <f t="shared" si="58"/>
        <v>39.155033333333336</v>
      </c>
      <c r="BG66" s="211">
        <v>876.5</v>
      </c>
      <c r="BH66" s="211">
        <v>116.07599999999999</v>
      </c>
      <c r="BI66" s="190">
        <f t="shared" ref="BI66" si="1200">BG66*2/BF66</f>
        <v>44.770744672247332</v>
      </c>
      <c r="BJ66" s="190">
        <f t="shared" ref="BJ66" si="1201">BI66-J66</f>
        <v>0.71940159453946251</v>
      </c>
      <c r="BK66" s="211">
        <v>458.04599999999999</v>
      </c>
      <c r="BL66" s="211">
        <v>191.839</v>
      </c>
      <c r="BM66" s="190">
        <f t="shared" ref="BM66" si="1202">BK66/BF66</f>
        <v>11.6982661232996</v>
      </c>
      <c r="BN66" s="190">
        <f t="shared" ref="BN66" si="1203">BM66-W66</f>
        <v>0.2177735182603957</v>
      </c>
      <c r="BO66" s="247">
        <f t="shared" ref="BO66" si="1204">BM66+BI66</f>
        <v>56.469010795546936</v>
      </c>
      <c r="BP66" s="211">
        <v>903.05700000000002</v>
      </c>
      <c r="BQ66" s="247">
        <f t="shared" si="26"/>
        <v>30.101900000000001</v>
      </c>
      <c r="BR66" s="211">
        <v>659.98500000000001</v>
      </c>
      <c r="BS66" s="211">
        <v>64.44</v>
      </c>
      <c r="BT66" s="190">
        <f t="shared" ref="BT66" si="1205">BR66*2/BQ66</f>
        <v>43.850055976533042</v>
      </c>
      <c r="BU66" s="190">
        <f t="shared" ref="BU66" si="1206">BT66-J66</f>
        <v>-0.2012871011748274</v>
      </c>
      <c r="BV66" s="211">
        <v>332.74299999999999</v>
      </c>
      <c r="BW66" s="211">
        <v>231.375</v>
      </c>
      <c r="BX66" s="190">
        <f t="shared" ref="BX66" si="1207">BV66/BQ66</f>
        <v>11.053886963945796</v>
      </c>
      <c r="BY66" s="190">
        <f t="shared" ref="BY66" si="1208">BX66-W66</f>
        <v>-0.42660564109340804</v>
      </c>
      <c r="BZ66" s="194">
        <f t="shared" ref="BZ66" si="1209">BT66+BX66</f>
        <v>54.903942940478842</v>
      </c>
      <c r="CA66" s="211">
        <v>649.99900000000002</v>
      </c>
      <c r="CB66" s="247">
        <f t="shared" si="32"/>
        <v>21.666633333333333</v>
      </c>
      <c r="CC66" s="211">
        <v>472.29399999999998</v>
      </c>
      <c r="CD66" s="340">
        <f>(SUM(CD60:CD65)/SUM(I60:I65))*I66</f>
        <v>56.280982062374569</v>
      </c>
      <c r="CE66" s="190">
        <f t="shared" ref="CE66" si="1210">CC66*2/CB66</f>
        <v>43.596436302209696</v>
      </c>
      <c r="CF66" s="190">
        <f t="shared" ref="CF66" si="1211">CE66-J66</f>
        <v>-0.45490677549817349</v>
      </c>
      <c r="CG66" s="211">
        <v>249.48099999999999</v>
      </c>
      <c r="CH66" s="211">
        <v>39.877000000000002</v>
      </c>
      <c r="CI66" s="190">
        <f t="shared" ref="CI66" si="1212">CG66/CB66</f>
        <v>11.514525406962164</v>
      </c>
      <c r="CJ66" s="190">
        <f t="shared" ref="CJ66" si="1213">CI66-W66</f>
        <v>3.4032801922959877E-2</v>
      </c>
      <c r="CK66" s="194">
        <f t="shared" ref="CK66" si="1214">CI66+CE66</f>
        <v>55.11096170917186</v>
      </c>
      <c r="CL66" s="211">
        <v>941.36400000000003</v>
      </c>
      <c r="CM66" s="247">
        <f t="shared" si="60"/>
        <v>31.378800000000002</v>
      </c>
      <c r="CN66" s="211">
        <v>693.154</v>
      </c>
      <c r="CO66" s="340">
        <f>$I66-$AL66-$AW66-$BH66-$BS66-CD66</f>
        <v>51.567017937625472</v>
      </c>
      <c r="CP66" s="190">
        <f t="shared" ref="CP66" si="1215">CN66*2/CM66</f>
        <v>44.179764681887129</v>
      </c>
      <c r="CQ66" s="190">
        <f t="shared" ref="CQ66" si="1216">CP66-J66</f>
        <v>0.12842160417925896</v>
      </c>
      <c r="CR66" s="211">
        <v>364.71</v>
      </c>
      <c r="CS66" s="211">
        <v>71.403999999999996</v>
      </c>
      <c r="CT66" s="190">
        <f t="shared" ref="CT66" si="1217">CR66/CM66</f>
        <v>11.622815404030746</v>
      </c>
      <c r="CU66" s="190">
        <f t="shared" ref="CU66" si="1218">CT66-W66</f>
        <v>0.14232279899154143</v>
      </c>
      <c r="CV66" s="247">
        <f t="shared" ref="CV66" si="1219">CP66+CT66</f>
        <v>55.802580085917874</v>
      </c>
      <c r="CW66" s="163"/>
      <c r="CX66" s="196">
        <f t="shared" ref="CX66" si="1220">C66-AJ66-AU66-BF66-BQ66-CB66-CM66</f>
        <v>0</v>
      </c>
      <c r="CY66" s="196">
        <f t="shared" ref="CY66" si="1221">F66-AK66-AV66-BG66-BR66-CC66-CN66</f>
        <v>0</v>
      </c>
      <c r="CZ66" s="196">
        <f t="shared" ref="CZ66" si="1222">I66-AL66-AW66-BH66-BS66-CD66-CO66</f>
        <v>0</v>
      </c>
      <c r="DA66" s="196">
        <f t="shared" ref="DA66" si="1223">O66-AO66-AZ66-BK66-BV66-CG66-CR66</f>
        <v>0</v>
      </c>
      <c r="DB66" s="196">
        <f t="shared" ref="DB66" si="1224">Q66-AP66-BA66-BL66-BW66-CH66-CS66</f>
        <v>0.1450000000000955</v>
      </c>
      <c r="DC66" s="196">
        <f t="shared" ref="DC66" si="1225">P66-Q66-R66-S66</f>
        <v>0</v>
      </c>
      <c r="DD66" s="163"/>
      <c r="DE66" s="200">
        <v>123.242</v>
      </c>
      <c r="DF66" s="200">
        <v>68.665999999999997</v>
      </c>
      <c r="DG66" s="200">
        <f>AVERAGE(DG65,DG67)</f>
        <v>60.625</v>
      </c>
      <c r="DH66" s="191">
        <f t="shared" si="61"/>
        <v>0.55716395384690276</v>
      </c>
      <c r="DI66" s="197">
        <v>105.607</v>
      </c>
      <c r="DJ66" s="191">
        <f t="shared" si="48"/>
        <v>0.42845377387578909</v>
      </c>
      <c r="DK66" s="197">
        <v>119.752</v>
      </c>
      <c r="DL66" s="197">
        <v>115.913</v>
      </c>
      <c r="DM66" s="191">
        <f t="shared" si="62"/>
        <v>3.205791970071481E-2</v>
      </c>
      <c r="DN66" s="200">
        <v>143.27500000000001</v>
      </c>
      <c r="DO66" s="200">
        <v>46.476999999999997</v>
      </c>
      <c r="DP66" s="200">
        <v>75.75</v>
      </c>
      <c r="DQ66" s="200">
        <f t="shared" ref="DQ66" si="1226">DP66+DO66</f>
        <v>122.227</v>
      </c>
      <c r="DR66" s="191">
        <f t="shared" ref="DR66" si="1227">DJ66+DH66</f>
        <v>0.98561772772269185</v>
      </c>
      <c r="DS66" s="199">
        <f t="shared" si="51"/>
        <v>1.1339399850388705</v>
      </c>
      <c r="DT66" s="200">
        <v>130.78800000000001</v>
      </c>
      <c r="DU66" s="200">
        <v>62.368000000000002</v>
      </c>
      <c r="DV66" s="200">
        <v>22.527000000000001</v>
      </c>
      <c r="DW66" s="191">
        <f t="shared" si="63"/>
        <v>0.4768633207939566</v>
      </c>
      <c r="DX66" s="197">
        <v>37.558999999999997</v>
      </c>
      <c r="DY66" s="191">
        <f t="shared" si="64"/>
        <v>0.14358733217114719</v>
      </c>
      <c r="DZ66" s="197">
        <v>41.39</v>
      </c>
      <c r="EA66" s="197">
        <v>40.048000000000002</v>
      </c>
      <c r="EB66" s="191">
        <f t="shared" si="52"/>
        <v>3.2423290649915448E-2</v>
      </c>
      <c r="EC66" s="200">
        <v>45.241</v>
      </c>
      <c r="ED66" s="200">
        <v>22.527000000000001</v>
      </c>
      <c r="EE66" s="200">
        <v>41.067</v>
      </c>
      <c r="EF66" s="195">
        <f t="shared" si="1016"/>
        <v>63.594000000000001</v>
      </c>
      <c r="EG66" s="191">
        <f t="shared" ref="EG66" si="1228">DY66+DW66</f>
        <v>0.62045065296510382</v>
      </c>
      <c r="EJ66" s="202">
        <f t="shared" si="3"/>
        <v>11.818708888888889</v>
      </c>
      <c r="EK66" s="202">
        <f>'NOPA Crush'!B491*56/('NOPA Crush'!A491-'NOPA Crush'!A490)</f>
        <v>11.783740584628946</v>
      </c>
      <c r="EL66" s="203">
        <f t="shared" si="65"/>
        <v>1.002967504588955</v>
      </c>
      <c r="EM66" s="202">
        <f t="shared" si="55"/>
        <v>4.1080666666666668</v>
      </c>
      <c r="EN66" s="202">
        <f t="shared" si="56"/>
        <v>8.7192000000000016E-3</v>
      </c>
      <c r="EO66" s="202">
        <f t="shared" si="66"/>
        <v>15.935494755555554</v>
      </c>
    </row>
    <row r="67" spans="1:145">
      <c r="A67" s="157">
        <v>44013</v>
      </c>
      <c r="B67" s="186">
        <v>5535.1959999999999</v>
      </c>
      <c r="C67" s="187">
        <f t="shared" ref="C67" si="1229">B67/30</f>
        <v>184.50653333333332</v>
      </c>
      <c r="D67" s="247">
        <f>C67-'NOPA Crush'!G492</f>
        <v>11.712533333333312</v>
      </c>
      <c r="E67" s="188">
        <f>C67/'NOPA Crush'!G492-1</f>
        <v>6.7783217781481442E-2</v>
      </c>
      <c r="F67" s="189">
        <v>4080.7460000000001</v>
      </c>
      <c r="G67" s="189">
        <v>4024.7269999999999</v>
      </c>
      <c r="H67" s="189">
        <v>56.018999999999998</v>
      </c>
      <c r="I67" s="189">
        <v>411.92500000000001</v>
      </c>
      <c r="J67" s="190">
        <f t="shared" ref="J67" si="1230">F67*2/C67</f>
        <v>44.234162620438376</v>
      </c>
      <c r="K67" s="190">
        <f t="shared" ref="K67" si="1231">(F67+M67)*2/C67</f>
        <v>47.273881539154175</v>
      </c>
      <c r="L67" s="190">
        <f>K67-'NOPA Crush'!J492</f>
        <v>5.3881539154176039E-2</v>
      </c>
      <c r="M67" s="189">
        <v>280.42399999999998</v>
      </c>
      <c r="N67" s="189">
        <v>38.594999999999999</v>
      </c>
      <c r="O67" s="189">
        <v>2122.7579999999998</v>
      </c>
      <c r="P67" s="189">
        <v>1776.46</v>
      </c>
      <c r="Q67" s="189">
        <v>729.37400000000002</v>
      </c>
      <c r="R67" s="189">
        <v>380.94</v>
      </c>
      <c r="S67" s="189">
        <v>666.14599999999996</v>
      </c>
      <c r="T67" s="189">
        <v>346.76400000000001</v>
      </c>
      <c r="U67" s="189">
        <f>(P67+T67)-'NOPA Crush'!Q492</f>
        <v>504.27000000000021</v>
      </c>
      <c r="V67" s="191">
        <f>((P67+T67)/'NOPA Crush'!Q492)-1</f>
        <v>0.31147889316188127</v>
      </c>
      <c r="W67" s="190">
        <f t="shared" ref="W67" si="1232">O67/C67</f>
        <v>11.505056008856776</v>
      </c>
      <c r="X67" s="190">
        <f>W67-'NOPA Crush'!O492</f>
        <v>-9.4943991143223272E-2</v>
      </c>
      <c r="Y67" s="190">
        <f t="shared" si="720"/>
        <v>58.778937548010951</v>
      </c>
      <c r="Z67" s="211">
        <v>1712.925</v>
      </c>
      <c r="AA67" s="211">
        <v>1667.5509999999999</v>
      </c>
      <c r="AB67" s="191">
        <f t="shared" ref="AB67" si="1233">(Z67-AA67)/Z67</f>
        <v>2.6489192463184333E-2</v>
      </c>
      <c r="AC67" s="211">
        <v>116.577</v>
      </c>
      <c r="AD67" s="211">
        <v>1667.6959999999999</v>
      </c>
      <c r="AE67" s="211">
        <v>1186.8869999999999</v>
      </c>
      <c r="AF67" s="211">
        <v>480.80900000000003</v>
      </c>
      <c r="AG67" s="191">
        <f t="shared" si="122"/>
        <v>8.6953862280747529E-5</v>
      </c>
      <c r="AH67" s="163"/>
      <c r="AI67" s="211">
        <v>684.43899999999996</v>
      </c>
      <c r="AJ67" s="247">
        <f t="shared" si="11"/>
        <v>22.814633333333333</v>
      </c>
      <c r="AK67" s="211">
        <v>493.12900000000002</v>
      </c>
      <c r="AL67" s="211">
        <v>59.768000000000001</v>
      </c>
      <c r="AM67" s="190">
        <f t="shared" ref="AM67" si="1234">AK67*2/AJ67</f>
        <v>43.229184777606186</v>
      </c>
      <c r="AN67" s="190">
        <f t="shared" ref="AN67" si="1235">AM67-J67</f>
        <v>-1.00497784283219</v>
      </c>
      <c r="AO67" s="211">
        <v>269.86</v>
      </c>
      <c r="AP67" s="211">
        <v>135.05099999999999</v>
      </c>
      <c r="AQ67" s="190">
        <f t="shared" ref="AQ67" si="1236">AO67/AJ67</f>
        <v>11.82837331011237</v>
      </c>
      <c r="AR67" s="190">
        <f t="shared" ref="AR67" si="1237">AQ67-W67</f>
        <v>0.3233173012555941</v>
      </c>
      <c r="AS67" s="190">
        <f t="shared" ref="AS67" si="1238">AM67+AQ67</f>
        <v>55.057558087718554</v>
      </c>
      <c r="AT67" s="211">
        <v>1109.8620000000001</v>
      </c>
      <c r="AU67" s="247">
        <f t="shared" si="16"/>
        <v>36.995400000000004</v>
      </c>
      <c r="AV67" s="211">
        <v>809.59199999999998</v>
      </c>
      <c r="AW67" s="211">
        <v>49.142000000000003</v>
      </c>
      <c r="AX67" s="190">
        <f t="shared" ref="AX67" si="1239">AV67*2/AU67</f>
        <v>43.767171053698561</v>
      </c>
      <c r="AY67" s="190">
        <f t="shared" ref="AY67" si="1240">AX67-J67</f>
        <v>-0.46699156673981435</v>
      </c>
      <c r="AZ67" s="211">
        <v>418.53500000000003</v>
      </c>
      <c r="BA67" s="211">
        <v>112.28100000000001</v>
      </c>
      <c r="BB67" s="190">
        <f t="shared" ref="BB67" si="1241">AZ67/AU67</f>
        <v>11.313163258134795</v>
      </c>
      <c r="BC67" s="190">
        <f t="shared" ref="BC67" si="1242">BB67-W67</f>
        <v>-0.19189275072198164</v>
      </c>
      <c r="BD67" s="247">
        <f t="shared" ref="BD67" si="1243">AX67+BB67</f>
        <v>55.080334311833354</v>
      </c>
      <c r="BE67" s="211">
        <v>1218.596</v>
      </c>
      <c r="BF67" s="247">
        <f t="shared" si="58"/>
        <v>40.619866666666667</v>
      </c>
      <c r="BG67" s="211">
        <v>913.11199999999997</v>
      </c>
      <c r="BH67" s="211">
        <v>117.21899999999999</v>
      </c>
      <c r="BI67" s="190">
        <f t="shared" ref="BI67" si="1244">BG67*2/BF67</f>
        <v>44.958887112710038</v>
      </c>
      <c r="BJ67" s="190">
        <f t="shared" ref="BJ67" si="1245">BI67-J67</f>
        <v>0.7247244922716618</v>
      </c>
      <c r="BK67" s="211">
        <v>467.55900000000003</v>
      </c>
      <c r="BL67" s="211">
        <v>164.51300000000001</v>
      </c>
      <c r="BM67" s="190">
        <f t="shared" ref="BM67" si="1246">BK67/BF67</f>
        <v>11.510599082878986</v>
      </c>
      <c r="BN67" s="190">
        <f t="shared" ref="BN67" si="1247">BM67-W67</f>
        <v>5.5430740222099928E-3</v>
      </c>
      <c r="BO67" s="247">
        <f t="shared" ref="BO67" si="1248">BM67+BI67</f>
        <v>56.469486195589027</v>
      </c>
      <c r="BP67" s="211">
        <v>865.76800000000003</v>
      </c>
      <c r="BQ67" s="247">
        <f t="shared" si="26"/>
        <v>28.858933333333333</v>
      </c>
      <c r="BR67" s="211">
        <v>640.95399999999995</v>
      </c>
      <c r="BS67" s="211">
        <v>66.781999999999996</v>
      </c>
      <c r="BT67" s="190">
        <f t="shared" ref="BT67" si="1249">BR67*2/BQ67</f>
        <v>44.419798375546335</v>
      </c>
      <c r="BU67" s="190">
        <f t="shared" ref="BU67" si="1250">BT67-J67</f>
        <v>0.18563575510795971</v>
      </c>
      <c r="BV67" s="211">
        <v>316.05700000000002</v>
      </c>
      <c r="BW67" s="211">
        <v>198.511</v>
      </c>
      <c r="BX67" s="190">
        <f t="shared" ref="BX67" si="1251">BV67/BQ67</f>
        <v>10.951790779978008</v>
      </c>
      <c r="BY67" s="190">
        <f t="shared" ref="BY67" si="1252">BX67-W67</f>
        <v>-0.55326522887876806</v>
      </c>
      <c r="BZ67" s="194">
        <f t="shared" ref="BZ67" si="1253">BT67+BX67</f>
        <v>55.371589155524347</v>
      </c>
      <c r="CA67" s="211">
        <v>676.38900000000001</v>
      </c>
      <c r="CB67" s="247">
        <f t="shared" si="32"/>
        <v>22.546299999999999</v>
      </c>
      <c r="CC67" s="211">
        <v>503.02600000000001</v>
      </c>
      <c r="CD67" s="211">
        <v>78.072999999999993</v>
      </c>
      <c r="CE67" s="190">
        <f t="shared" ref="CE67" si="1254">CC67*2/CB67</f>
        <v>44.621600883515256</v>
      </c>
      <c r="CF67" s="190">
        <f t="shared" ref="CF67" si="1255">CE67-J67</f>
        <v>0.38743826307688067</v>
      </c>
      <c r="CG67" s="211">
        <v>267.536</v>
      </c>
      <c r="CH67" s="211">
        <v>46.091999999999999</v>
      </c>
      <c r="CI67" s="190">
        <f t="shared" ref="CI67" si="1256">CG67/CB67</f>
        <v>11.866071151364082</v>
      </c>
      <c r="CJ67" s="190">
        <f t="shared" ref="CJ67" si="1257">CI67-W67</f>
        <v>0.3610151425073056</v>
      </c>
      <c r="CK67" s="194">
        <f t="shared" ref="CK67" si="1258">CI67+CE67</f>
        <v>56.487672034879338</v>
      </c>
      <c r="CL67" s="211">
        <v>980.14200000000005</v>
      </c>
      <c r="CM67" s="247">
        <f t="shared" si="60"/>
        <v>32.671399999999998</v>
      </c>
      <c r="CN67" s="211">
        <v>720.93299999999999</v>
      </c>
      <c r="CO67" s="211">
        <v>40.941000000000003</v>
      </c>
      <c r="CP67" s="190">
        <f t="shared" ref="CP67" si="1259">CN67*2/CM67</f>
        <v>44.132360413083006</v>
      </c>
      <c r="CQ67" s="190">
        <f t="shared" ref="CQ67" si="1260">CP67-J67</f>
        <v>-0.10180220735536949</v>
      </c>
      <c r="CR67" s="211">
        <v>383.69</v>
      </c>
      <c r="CS67" s="211">
        <v>72.78</v>
      </c>
      <c r="CT67" s="190">
        <f t="shared" ref="CT67" si="1261">CR67/CM67</f>
        <v>11.74391057622263</v>
      </c>
      <c r="CU67" s="190">
        <f t="shared" ref="CU67" si="1262">CT67-W67</f>
        <v>0.23885456736585375</v>
      </c>
      <c r="CV67" s="247">
        <f t="shared" ref="CV67" si="1263">CP67+CT67</f>
        <v>55.876270989305638</v>
      </c>
      <c r="CW67" s="163"/>
      <c r="CX67" s="196">
        <f t="shared" ref="CX67" si="1264">C67-AJ67-AU67-BF67-BQ67-CB67-CM67</f>
        <v>0</v>
      </c>
      <c r="CY67" s="196">
        <f t="shared" ref="CY67" si="1265">F67-AK67-AV67-BG67-BR67-CC67-CN67</f>
        <v>0</v>
      </c>
      <c r="CZ67" s="196">
        <f t="shared" ref="CZ67" si="1266">I67-AL67-AW67-BH67-BS67-CD67-CO67</f>
        <v>5.6843418860808015E-14</v>
      </c>
      <c r="DA67" s="196">
        <f t="shared" ref="DA67" si="1267">O67-AO67-AZ67-BK67-BV67-CG67-CR67</f>
        <v>-0.4790000000003829</v>
      </c>
      <c r="DB67" s="196">
        <f t="shared" ref="DB67" si="1268">Q67-AP67-BA67-BL67-BW67-CH67-CS67</f>
        <v>0.14600000000011448</v>
      </c>
      <c r="DC67" s="196">
        <f t="shared" ref="DC67" si="1269">P67-Q67-R67-S67</f>
        <v>0</v>
      </c>
      <c r="DD67" s="163"/>
      <c r="DE67" s="200">
        <v>202.71100000000001</v>
      </c>
      <c r="DF67" s="200">
        <v>114.53100000000001</v>
      </c>
      <c r="DG67" s="200">
        <v>58.011000000000003</v>
      </c>
      <c r="DH67" s="191">
        <f t="shared" si="61"/>
        <v>0.56499647281104626</v>
      </c>
      <c r="DI67" s="197">
        <v>173.23400000000001</v>
      </c>
      <c r="DJ67" s="191">
        <f t="shared" si="48"/>
        <v>0.4272930428047812</v>
      </c>
      <c r="DK67" s="197">
        <v>167.67099999999999</v>
      </c>
      <c r="DL67" s="197">
        <v>160.55500000000001</v>
      </c>
      <c r="DM67" s="191">
        <f t="shared" si="62"/>
        <v>4.24402550232299E-2</v>
      </c>
      <c r="DN67" s="200">
        <v>158.221</v>
      </c>
      <c r="DO67" s="200">
        <v>39.107999999999997</v>
      </c>
      <c r="DP67" s="200">
        <v>88.364000000000004</v>
      </c>
      <c r="DQ67" s="200">
        <f t="shared" ref="DQ67" si="1270">DP67+DO67</f>
        <v>127.47200000000001</v>
      </c>
      <c r="DR67" s="191">
        <f t="shared" ref="DR67" si="1271">DJ67+DH67</f>
        <v>0.99228951561582746</v>
      </c>
      <c r="DS67" s="199">
        <f t="shared" si="51"/>
        <v>0.96788736622141136</v>
      </c>
      <c r="DT67" s="200">
        <v>115.562</v>
      </c>
      <c r="DU67" s="200">
        <v>47.302</v>
      </c>
      <c r="DV67" s="200">
        <v>19.27</v>
      </c>
      <c r="DW67" s="191">
        <f t="shared" si="63"/>
        <v>0.40932140322943528</v>
      </c>
      <c r="DX67" s="197">
        <v>29.158000000000001</v>
      </c>
      <c r="DY67" s="191">
        <f t="shared" si="64"/>
        <v>0.12615738737647325</v>
      </c>
      <c r="DZ67" s="197">
        <v>38.588999999999999</v>
      </c>
      <c r="EA67" s="197">
        <v>37.204999999999998</v>
      </c>
      <c r="EB67" s="191">
        <f t="shared" si="52"/>
        <v>3.5865142916375103E-2</v>
      </c>
      <c r="EC67" s="200">
        <v>47.834000000000003</v>
      </c>
      <c r="ED67" s="206">
        <v>20</v>
      </c>
      <c r="EE67" s="200">
        <v>34.997999999999998</v>
      </c>
      <c r="EF67" s="205">
        <f t="shared" si="1016"/>
        <v>54.997999999999998</v>
      </c>
      <c r="EG67" s="191">
        <f>DY67+DW67</f>
        <v>0.53547879060590853</v>
      </c>
      <c r="EJ67" s="202">
        <f t="shared" si="3"/>
        <v>11.903647311827957</v>
      </c>
      <c r="EK67" s="202">
        <f>'NOPA Crush'!B492*56/('NOPA Crush'!A492-'NOPA Crush'!A491)</f>
        <v>12.279612739888966</v>
      </c>
      <c r="EL67" s="203">
        <f t="shared" si="65"/>
        <v>0.96938295726218404</v>
      </c>
      <c r="EM67" s="202">
        <f t="shared" si="55"/>
        <v>6.5390645161290326</v>
      </c>
      <c r="EN67" s="202">
        <f t="shared" si="56"/>
        <v>7.4556129032258061E-3</v>
      </c>
      <c r="EO67" s="202">
        <f t="shared" si="66"/>
        <v>18.450167440860216</v>
      </c>
    </row>
    <row r="68" spans="1:145">
      <c r="A68" s="157">
        <v>44044</v>
      </c>
      <c r="B68" s="186">
        <v>5240.2299999999996</v>
      </c>
      <c r="C68" s="187">
        <f t="shared" ref="C68" si="1272">B68/30</f>
        <v>174.67433333333332</v>
      </c>
      <c r="D68" s="247">
        <f>C68-'NOPA Crush'!G493</f>
        <v>9.6193333333333157</v>
      </c>
      <c r="E68" s="188">
        <f>C68/'NOPA Crush'!G493-1</f>
        <v>5.8279563377863886E-2</v>
      </c>
      <c r="F68" s="189">
        <v>3851.2049999999999</v>
      </c>
      <c r="G68" s="189">
        <v>3805.9839999999999</v>
      </c>
      <c r="H68" s="189">
        <v>45.220999999999997</v>
      </c>
      <c r="I68" s="189">
        <v>388.13799999999998</v>
      </c>
      <c r="J68" s="190">
        <f t="shared" ref="J68" si="1273">F68*2/C68</f>
        <v>44.095831671510602</v>
      </c>
      <c r="K68" s="190">
        <f t="shared" ref="K68" si="1274">(F68+M68)*2/C68</f>
        <v>47.078983174402651</v>
      </c>
      <c r="L68" s="190">
        <f>K68-'NOPA Crush'!J493</f>
        <v>1.8983174402649183E-2</v>
      </c>
      <c r="M68" s="189">
        <v>260.54000000000002</v>
      </c>
      <c r="N68" s="189">
        <v>32.959000000000003</v>
      </c>
      <c r="O68" s="189">
        <v>2012.8230000000001</v>
      </c>
      <c r="P68" s="189">
        <v>1575.6279999999999</v>
      </c>
      <c r="Q68" s="189">
        <v>656.30200000000002</v>
      </c>
      <c r="R68" s="189">
        <v>322.52800000000002</v>
      </c>
      <c r="S68" s="189">
        <v>596.798</v>
      </c>
      <c r="T68" s="189">
        <v>369.47899999999998</v>
      </c>
      <c r="U68" s="189">
        <f>(P68+T68)-'NOPA Crush'!Q493</f>
        <v>426.59699999999998</v>
      </c>
      <c r="V68" s="191">
        <f>((P68+T68)/'NOPA Crush'!Q493)-1</f>
        <v>0.28093130766343322</v>
      </c>
      <c r="W68" s="190">
        <f t="shared" ref="W68" si="1275">O68/C68</f>
        <v>11.523290008262997</v>
      </c>
      <c r="X68" s="190">
        <f>W68-'NOPA Crush'!O493</f>
        <v>-7.6709991737002881E-2</v>
      </c>
      <c r="Y68" s="190">
        <f t="shared" si="720"/>
        <v>58.602273182665648</v>
      </c>
      <c r="Z68" s="211">
        <v>1682.55</v>
      </c>
      <c r="AA68" s="211">
        <v>1639.547</v>
      </c>
      <c r="AB68" s="191">
        <f t="shared" ref="AB68" si="1276">(Z68-AA68)/Z68</f>
        <v>2.5558230067457093E-2</v>
      </c>
      <c r="AC68" s="211">
        <v>119.84</v>
      </c>
      <c r="AD68" s="211">
        <v>1610.021</v>
      </c>
      <c r="AE68" s="211">
        <v>1137.884</v>
      </c>
      <c r="AF68" s="211">
        <v>472.137</v>
      </c>
      <c r="AG68" s="191">
        <f t="shared" si="122"/>
        <v>-1.8008632872372754E-2</v>
      </c>
      <c r="AH68" s="163"/>
      <c r="AI68" s="211">
        <v>683.79300000000001</v>
      </c>
      <c r="AJ68" s="247">
        <f t="shared" si="11"/>
        <v>22.793099999999999</v>
      </c>
      <c r="AK68" s="211">
        <v>494.12099999999998</v>
      </c>
      <c r="AL68" s="211">
        <v>79.781000000000006</v>
      </c>
      <c r="AM68" s="190">
        <f t="shared" ref="AM68" si="1277">AK68*2/AJ68</f>
        <v>43.357068586545928</v>
      </c>
      <c r="AN68" s="190">
        <f t="shared" ref="AN68" si="1278">AM68-J68</f>
        <v>-0.73876308496467402</v>
      </c>
      <c r="AO68" s="211">
        <v>270.56200000000001</v>
      </c>
      <c r="AP68" s="211">
        <v>111.723</v>
      </c>
      <c r="AQ68" s="190">
        <f t="shared" ref="AQ68" si="1279">AO68/AJ68</f>
        <v>11.870346727737781</v>
      </c>
      <c r="AR68" s="190">
        <f t="shared" ref="AR68" si="1280">AQ68-W68</f>
        <v>0.347056719474784</v>
      </c>
      <c r="AS68" s="190">
        <f t="shared" ref="AS68" si="1281">AM68+AQ68</f>
        <v>55.227415314283711</v>
      </c>
      <c r="AT68" s="211">
        <v>1100.944</v>
      </c>
      <c r="AU68" s="247">
        <f t="shared" si="16"/>
        <v>36.698133333333331</v>
      </c>
      <c r="AV68" s="211">
        <v>808.54600000000005</v>
      </c>
      <c r="AW68" s="211">
        <v>56.515000000000001</v>
      </c>
      <c r="AX68" s="190">
        <f t="shared" ref="AX68" si="1282">AV68*2/AU68</f>
        <v>44.064693572061799</v>
      </c>
      <c r="AY68" s="190">
        <f t="shared" ref="AY68" si="1283">AX68-J68</f>
        <v>-3.1138099448803302E-2</v>
      </c>
      <c r="AZ68" s="211">
        <v>420.08499999999998</v>
      </c>
      <c r="BA68" s="211">
        <v>102.529</v>
      </c>
      <c r="BB68" s="190">
        <f t="shared" ref="BB68" si="1284">AZ68/AU68</f>
        <v>11.447039994768126</v>
      </c>
      <c r="BC68" s="190">
        <f t="shared" ref="BC68" si="1285">BB68-W68</f>
        <v>-7.6250013494870927E-2</v>
      </c>
      <c r="BD68" s="247">
        <f t="shared" ref="BD68" si="1286">AX68+BB68</f>
        <v>55.511733566829925</v>
      </c>
      <c r="BE68" s="211">
        <v>1136.32</v>
      </c>
      <c r="BF68" s="247">
        <f t="shared" si="58"/>
        <v>37.877333333333333</v>
      </c>
      <c r="BG68" s="211">
        <v>843.23</v>
      </c>
      <c r="BH68" s="211">
        <v>86.188000000000002</v>
      </c>
      <c r="BI68" s="190">
        <f t="shared" ref="BI68" si="1287">BG68*2/BF68</f>
        <v>44.524253731343286</v>
      </c>
      <c r="BJ68" s="190">
        <f t="shared" ref="BJ68" si="1288">BI68-J68</f>
        <v>0.428422059832684</v>
      </c>
      <c r="BK68" s="211">
        <v>446.33800000000002</v>
      </c>
      <c r="BL68" s="211">
        <v>151.24100000000001</v>
      </c>
      <c r="BM68" s="190">
        <f t="shared" ref="BM68" si="1289">BK68/BF68</f>
        <v>11.783775696986766</v>
      </c>
      <c r="BN68" s="190">
        <f t="shared" ref="BN68" si="1290">BM68-W68</f>
        <v>0.26048568872376876</v>
      </c>
      <c r="BO68" s="247">
        <f t="shared" ref="BO68" si="1291">BM68+BI68</f>
        <v>56.308029428330052</v>
      </c>
      <c r="BP68" s="211">
        <v>850.28300000000002</v>
      </c>
      <c r="BQ68" s="247">
        <f t="shared" si="26"/>
        <v>28.342766666666666</v>
      </c>
      <c r="BR68" s="211">
        <v>628.14400000000001</v>
      </c>
      <c r="BS68" s="211">
        <v>73.353999999999999</v>
      </c>
      <c r="BT68" s="190">
        <f t="shared" ref="BT68" si="1292">BR68*2/BQ68</f>
        <v>44.32481891323242</v>
      </c>
      <c r="BU68" s="190">
        <f t="shared" ref="BU68" si="1293">BT68-J68</f>
        <v>0.22898724172181772</v>
      </c>
      <c r="BV68" s="211">
        <v>311.733</v>
      </c>
      <c r="BW68" s="211">
        <v>164.82900000000001</v>
      </c>
      <c r="BX68" s="190">
        <f t="shared" ref="BX68" si="1294">BV68/BQ68</f>
        <v>10.998679263257058</v>
      </c>
      <c r="BY68" s="190">
        <f t="shared" ref="BY68" si="1295">BX68-W68</f>
        <v>-0.52461074500593874</v>
      </c>
      <c r="BZ68" s="194">
        <f t="shared" ref="BZ68" si="1296">BT68+BX68</f>
        <v>55.32349817648948</v>
      </c>
      <c r="CA68" s="211">
        <v>528.476</v>
      </c>
      <c r="CB68" s="247">
        <f t="shared" si="32"/>
        <v>17.615866666666665</v>
      </c>
      <c r="CC68" s="211">
        <v>382.73599999999999</v>
      </c>
      <c r="CD68" s="211">
        <v>34.549999999999997</v>
      </c>
      <c r="CE68" s="190">
        <f t="shared" ref="CE68" si="1297">CC68*2/CB68</f>
        <v>43.453553236097761</v>
      </c>
      <c r="CF68" s="190">
        <f t="shared" ref="CF68" si="1298">CE68-J68</f>
        <v>-0.64227843541284102</v>
      </c>
      <c r="CG68" s="211">
        <v>202.36799999999999</v>
      </c>
      <c r="CH68" s="211">
        <v>40.97</v>
      </c>
      <c r="CI68" s="190">
        <f t="shared" ref="CI68" si="1299">CG68/CB68</f>
        <v>11.487825369553207</v>
      </c>
      <c r="CJ68" s="190">
        <f t="shared" ref="CJ68" si="1300">CI68-W68</f>
        <v>-3.5464638709790108E-2</v>
      </c>
      <c r="CK68" s="194">
        <f t="shared" ref="CK68" si="1301">CI68+CE68</f>
        <v>54.941378605650968</v>
      </c>
      <c r="CL68" s="211">
        <v>940.41399999999999</v>
      </c>
      <c r="CM68" s="247">
        <f t="shared" si="60"/>
        <v>31.347133333333332</v>
      </c>
      <c r="CN68" s="211">
        <v>694.428</v>
      </c>
      <c r="CO68" s="211">
        <v>57.75</v>
      </c>
      <c r="CP68" s="190">
        <f t="shared" ref="CP68" si="1302">CN68*2/CM68</f>
        <v>44.305678137501147</v>
      </c>
      <c r="CQ68" s="190">
        <f t="shared" ref="CQ68" si="1303">CP68-J68</f>
        <v>0.20984646599054457</v>
      </c>
      <c r="CR68" s="211">
        <v>361.73700000000002</v>
      </c>
      <c r="CS68" s="211">
        <v>81.864999999999995</v>
      </c>
      <c r="CT68" s="190">
        <f t="shared" ref="CT68" si="1304">CR68/CM68</f>
        <v>11.539715487008914</v>
      </c>
      <c r="CU68" s="190">
        <f t="shared" ref="CU68" si="1305">CT68-W68</f>
        <v>1.6425478745917488E-2</v>
      </c>
      <c r="CV68" s="247">
        <f t="shared" ref="CV68" si="1306">CP68+CT68</f>
        <v>55.845393624510059</v>
      </c>
      <c r="CW68" s="163"/>
      <c r="CX68" s="196">
        <f t="shared" ref="CX68" si="1307">C68-AJ68-AU68-BF68-BQ68-CB68-CM68</f>
        <v>0</v>
      </c>
      <c r="CY68" s="196">
        <f t="shared" ref="CY68" si="1308">F68-AK68-AV68-BG68-BR68-CC68-CN68</f>
        <v>0</v>
      </c>
      <c r="CZ68" s="196">
        <f t="shared" ref="CZ68" si="1309">I68-AL68-AW68-BH68-BS68-CD68-CO68</f>
        <v>0</v>
      </c>
      <c r="DA68" s="196">
        <f t="shared" ref="DA68" si="1310">O68-AO68-AZ68-BK68-BV68-CG68-CR68</f>
        <v>0</v>
      </c>
      <c r="DB68" s="196">
        <f t="shared" ref="DB68" si="1311">Q68-AP68-BA68-BL68-BW68-CH68-CS68</f>
        <v>3.1450000000000813</v>
      </c>
      <c r="DC68" s="196">
        <f t="shared" ref="DC68" si="1312">P68-Q68-R68-S68</f>
        <v>0</v>
      </c>
      <c r="DD68" s="163"/>
      <c r="DE68" s="200">
        <v>202.58</v>
      </c>
      <c r="DF68" s="200">
        <v>115.60599999999999</v>
      </c>
      <c r="DG68" s="200">
        <v>25.292000000000002</v>
      </c>
      <c r="DH68" s="191">
        <f t="shared" si="61"/>
        <v>0.57066837792477043</v>
      </c>
      <c r="DI68" s="197">
        <v>171.51900000000001</v>
      </c>
      <c r="DJ68" s="191">
        <f t="shared" si="48"/>
        <v>0.42333645967025374</v>
      </c>
      <c r="DK68" s="197">
        <v>131.124</v>
      </c>
      <c r="DL68" s="197">
        <v>125.964</v>
      </c>
      <c r="DM68" s="191">
        <f t="shared" si="62"/>
        <v>3.9352063695433315E-2</v>
      </c>
      <c r="DN68" s="200">
        <v>162.10499999999999</v>
      </c>
      <c r="DO68" s="200">
        <v>53.405000000000001</v>
      </c>
      <c r="DP68" s="200">
        <v>98.512</v>
      </c>
      <c r="DQ68" s="200">
        <f t="shared" ref="DQ68" si="1313">DP68+DO68</f>
        <v>151.917</v>
      </c>
      <c r="DR68" s="191">
        <f t="shared" ref="DR68" si="1314">DJ68+DH68</f>
        <v>0.99400483759502412</v>
      </c>
      <c r="DS68" s="199">
        <f t="shared" si="51"/>
        <v>0.76448673324821148</v>
      </c>
      <c r="DT68" s="200">
        <v>138.56200000000001</v>
      </c>
      <c r="DU68" s="200">
        <v>61.29</v>
      </c>
      <c r="DV68" s="200">
        <v>23.827000000000002</v>
      </c>
      <c r="DW68" s="191">
        <f t="shared" si="63"/>
        <v>0.4423290656890056</v>
      </c>
      <c r="DX68" s="197">
        <v>38.256999999999998</v>
      </c>
      <c r="DY68" s="191">
        <f t="shared" si="64"/>
        <v>0.13805011475007575</v>
      </c>
      <c r="DZ68" s="197">
        <v>40.587000000000003</v>
      </c>
      <c r="EA68" s="197">
        <v>39.340000000000003</v>
      </c>
      <c r="EB68" s="191">
        <f t="shared" si="52"/>
        <v>3.0724123487816279E-2</v>
      </c>
      <c r="EC68" s="200">
        <v>48.28</v>
      </c>
      <c r="ED68" s="200">
        <v>15.906000000000001</v>
      </c>
      <c r="EE68" s="200">
        <v>30.035</v>
      </c>
      <c r="EF68" s="195">
        <f t="shared" ref="EF68" si="1315">EE68+ED68</f>
        <v>45.941000000000003</v>
      </c>
      <c r="EG68" s="191">
        <f t="shared" ref="EG68" si="1316">DY68+DW68</f>
        <v>0.58037918043908132</v>
      </c>
      <c r="EJ68" s="202">
        <f t="shared" si="3"/>
        <v>11.269311827956988</v>
      </c>
      <c r="EK68" s="202">
        <f>'NOPA Crush'!B493*56/('NOPA Crush'!A493-'NOPA Crush'!A492)</f>
        <v>11.763570331663994</v>
      </c>
      <c r="EL68" s="203">
        <f t="shared" si="65"/>
        <v>0.95798397172186667</v>
      </c>
      <c r="EM68" s="202">
        <f t="shared" si="55"/>
        <v>6.5348387096774196</v>
      </c>
      <c r="EN68" s="202">
        <f t="shared" si="56"/>
        <v>8.9394838709677422E-3</v>
      </c>
      <c r="EO68" s="202">
        <f t="shared" si="66"/>
        <v>17.813090021505374</v>
      </c>
    </row>
    <row r="69" spans="1:145">
      <c r="A69" s="157">
        <v>44075</v>
      </c>
      <c r="B69" s="186">
        <v>5131.665</v>
      </c>
      <c r="C69" s="187">
        <f t="shared" ref="C69" si="1317">B69/30</f>
        <v>171.05549999999999</v>
      </c>
      <c r="D69" s="247">
        <f>C69-'NOPA Crush'!G494</f>
        <v>9.5644999999999811</v>
      </c>
      <c r="E69" s="188">
        <f>C69/'NOPA Crush'!G494-1</f>
        <v>5.9226210748586583E-2</v>
      </c>
      <c r="F69" s="189">
        <v>3754.1680000000001</v>
      </c>
      <c r="G69" s="189">
        <v>3704.259</v>
      </c>
      <c r="H69" s="189">
        <v>49.908999999999999</v>
      </c>
      <c r="I69" s="189">
        <v>312.94400000000002</v>
      </c>
      <c r="J69" s="190">
        <f t="shared" ref="J69" si="1318">F69*2/C69</f>
        <v>43.894151313462594</v>
      </c>
      <c r="K69" s="190">
        <f t="shared" ref="K69" si="1319">(F69+M69)*2/C69</f>
        <v>46.878539421415859</v>
      </c>
      <c r="L69" s="190">
        <f>K69-'NOPA Crush'!J494</f>
        <v>-4.1460578584143093E-2</v>
      </c>
      <c r="M69" s="189">
        <v>255.24799999999999</v>
      </c>
      <c r="N69" s="189">
        <v>28.391999999999999</v>
      </c>
      <c r="O69" s="189">
        <v>1967.6210000000001</v>
      </c>
      <c r="P69" s="189">
        <v>1507.489</v>
      </c>
      <c r="Q69" s="189">
        <v>604.95100000000002</v>
      </c>
      <c r="R69" s="189">
        <v>328.13600000000002</v>
      </c>
      <c r="S69" s="189">
        <v>574.40200000000004</v>
      </c>
      <c r="T69" s="189">
        <v>345.18599999999998</v>
      </c>
      <c r="U69" s="189">
        <f>(P69+T69)-'NOPA Crush'!Q494</f>
        <v>419.38099999999986</v>
      </c>
      <c r="V69" s="191">
        <f>((P69+T69)/'NOPA Crush'!Q494)-1</f>
        <v>0.2925994248214252</v>
      </c>
      <c r="W69" s="190">
        <f t="shared" ref="W69" si="1320">O69/C69</f>
        <v>11.502822183443387</v>
      </c>
      <c r="X69" s="190">
        <f>W69-'NOPA Crush'!O494</f>
        <v>-9.7177816556612839E-2</v>
      </c>
      <c r="Y69" s="190">
        <f t="shared" si="720"/>
        <v>58.381361604859244</v>
      </c>
      <c r="Z69" s="211">
        <v>1576.9079999999999</v>
      </c>
      <c r="AA69" s="211">
        <v>1540.809</v>
      </c>
      <c r="AB69" s="191">
        <f t="shared" ref="AB69" si="1321">(Z69-AA69)/Z69</f>
        <v>2.2892267652900446E-2</v>
      </c>
      <c r="AC69" s="211">
        <v>134.97200000000001</v>
      </c>
      <c r="AD69" s="211">
        <v>1564.674</v>
      </c>
      <c r="AE69" s="211">
        <v>1111.4649999999999</v>
      </c>
      <c r="AF69" s="211">
        <v>453.209</v>
      </c>
      <c r="AG69" s="191">
        <f t="shared" ref="AG69:AG120" si="1322">AD69/AA69-1</f>
        <v>1.5488616694217194E-2</v>
      </c>
      <c r="AH69" s="163"/>
      <c r="AI69" s="211">
        <v>596.32100000000003</v>
      </c>
      <c r="AJ69" s="247">
        <f t="shared" si="11"/>
        <v>19.877366666666667</v>
      </c>
      <c r="AK69" s="211">
        <v>428.80200000000002</v>
      </c>
      <c r="AL69" s="340">
        <f>I69-AW69-BH69-BS69-CD69-CO69</f>
        <v>64.413512211331224</v>
      </c>
      <c r="AM69" s="190">
        <f t="shared" ref="AM69:AM70" si="1323">AK69*2/AJ69</f>
        <v>43.144749220637877</v>
      </c>
      <c r="AN69" s="190">
        <f t="shared" ref="AN69:AN70" si="1324">AM69-J69</f>
        <v>-0.7494020928247167</v>
      </c>
      <c r="AO69" s="211">
        <v>234.411</v>
      </c>
      <c r="AP69" s="211">
        <v>70.521000000000001</v>
      </c>
      <c r="AQ69" s="190">
        <f t="shared" ref="AQ69" si="1325">AO69/AJ69</f>
        <v>11.792859885866839</v>
      </c>
      <c r="AR69" s="190">
        <f t="shared" ref="AR69" si="1326">AQ69-W69</f>
        <v>0.29003770242345261</v>
      </c>
      <c r="AS69" s="190">
        <f t="shared" ref="AS69" si="1327">AM69+AQ69</f>
        <v>54.937609106504716</v>
      </c>
      <c r="AT69" s="211">
        <v>1129.883</v>
      </c>
      <c r="AU69" s="247">
        <f t="shared" si="16"/>
        <v>37.66276666666667</v>
      </c>
      <c r="AV69" s="211">
        <v>827.995</v>
      </c>
      <c r="AW69" s="211">
        <v>30.215</v>
      </c>
      <c r="AX69" s="190">
        <f t="shared" ref="AX69" si="1328">AV69*2/AU69</f>
        <v>43.968888814151548</v>
      </c>
      <c r="AY69" s="190">
        <f t="shared" ref="AY69" si="1329">AX69-J69</f>
        <v>7.4737500688954128E-2</v>
      </c>
      <c r="AZ69" s="211">
        <v>435.255</v>
      </c>
      <c r="BA69" s="211">
        <v>98.426000000000002</v>
      </c>
      <c r="BB69" s="190">
        <f t="shared" ref="BB69" si="1330">AZ69/AU69</f>
        <v>11.556639050237944</v>
      </c>
      <c r="BC69" s="190">
        <f t="shared" ref="BC69" si="1331">BB69-W69</f>
        <v>5.3816866794557328E-2</v>
      </c>
      <c r="BD69" s="247">
        <f t="shared" ref="BD69" si="1332">AX69+BB69</f>
        <v>55.525527864389488</v>
      </c>
      <c r="BE69" s="211">
        <v>1197.0519999999999</v>
      </c>
      <c r="BF69" s="247">
        <f t="shared" si="58"/>
        <v>39.901733333333333</v>
      </c>
      <c r="BG69" s="211">
        <v>873.75099999999998</v>
      </c>
      <c r="BH69" s="211">
        <v>91.692999999999998</v>
      </c>
      <c r="BI69" s="190">
        <f t="shared" ref="BI69" si="1333">BG69*2/BF69</f>
        <v>43.79514006074924</v>
      </c>
      <c r="BJ69" s="190">
        <f t="shared" ref="BJ69" si="1334">BI69-J69</f>
        <v>-9.9011252713353315E-2</v>
      </c>
      <c r="BK69" s="211">
        <v>459.483</v>
      </c>
      <c r="BL69" s="211">
        <v>128.751</v>
      </c>
      <c r="BM69" s="190">
        <f t="shared" ref="BM69" si="1335">BK69/BF69</f>
        <v>11.515364411905248</v>
      </c>
      <c r="BN69" s="190">
        <f t="shared" ref="BN69" si="1336">BM69-W69</f>
        <v>1.2542228461860816E-2</v>
      </c>
      <c r="BO69" s="247">
        <f t="shared" ref="BO69" si="1337">BM69+BI69</f>
        <v>55.310504472654486</v>
      </c>
      <c r="BP69" s="211">
        <v>785.03200000000004</v>
      </c>
      <c r="BQ69" s="247">
        <f t="shared" si="26"/>
        <v>26.167733333333334</v>
      </c>
      <c r="BR69" s="211">
        <v>581.94100000000003</v>
      </c>
      <c r="BS69" s="211">
        <v>57.606000000000002</v>
      </c>
      <c r="BT69" s="190">
        <f t="shared" ref="BT69" si="1338">BR69*2/BQ69</f>
        <v>44.477753773094598</v>
      </c>
      <c r="BU69" s="190">
        <f t="shared" ref="BU69" si="1339">BT69-J69</f>
        <v>0.58360245963200441</v>
      </c>
      <c r="BV69" s="211">
        <v>288.81200000000001</v>
      </c>
      <c r="BW69" s="211">
        <v>145.07900000000001</v>
      </c>
      <c r="BX69" s="190">
        <f t="shared" ref="BX69" si="1340">BV69/BQ69</f>
        <v>11.036951359944563</v>
      </c>
      <c r="BY69" s="190">
        <f t="shared" ref="BY69" si="1341">BX69-W69</f>
        <v>-0.46587082349882358</v>
      </c>
      <c r="BZ69" s="194">
        <f t="shared" ref="BZ69" si="1342">BT69+BX69</f>
        <v>55.514705133039158</v>
      </c>
      <c r="CA69" s="211">
        <v>582.09699999999998</v>
      </c>
      <c r="CB69" s="247">
        <f t="shared" si="32"/>
        <v>19.403233333333333</v>
      </c>
      <c r="CC69" s="211">
        <v>424.57100000000003</v>
      </c>
      <c r="CD69" s="211">
        <v>20.3</v>
      </c>
      <c r="CE69" s="190">
        <f t="shared" ref="CE69" si="1343">CC69*2/CB69</f>
        <v>43.76291236683921</v>
      </c>
      <c r="CF69" s="190">
        <f t="shared" ref="CF69" si="1344">CE69-J69</f>
        <v>-0.13123894662338387</v>
      </c>
      <c r="CG69" s="211">
        <v>225.88</v>
      </c>
      <c r="CH69" s="211">
        <v>57.438000000000002</v>
      </c>
      <c r="CI69" s="190">
        <f t="shared" ref="CI69" si="1345">CG69/CB69</f>
        <v>11.641358742615063</v>
      </c>
      <c r="CJ69" s="190">
        <f t="shared" ref="CJ69" si="1346">CI69-W69</f>
        <v>0.13853655917167629</v>
      </c>
      <c r="CK69" s="194">
        <f t="shared" ref="CK69" si="1347">CI69+CE69</f>
        <v>55.404271109454271</v>
      </c>
      <c r="CL69" s="211">
        <v>841.28</v>
      </c>
      <c r="CM69" s="247">
        <f t="shared" si="60"/>
        <v>28.042666666666666</v>
      </c>
      <c r="CN69" s="211">
        <v>617.10799999999995</v>
      </c>
      <c r="CO69" s="340">
        <f>FORECAST(CN69,CO42:CO68,CN42:CN68)</f>
        <v>48.716487788668843</v>
      </c>
      <c r="CP69" s="190">
        <f t="shared" ref="CP69" si="1348">CN69*2/CM69</f>
        <v>44.012076835298593</v>
      </c>
      <c r="CQ69" s="190">
        <f t="shared" ref="CQ69" si="1349">CP69-J69</f>
        <v>0.1179255218359998</v>
      </c>
      <c r="CR69" s="211">
        <v>323.77999999999997</v>
      </c>
      <c r="CS69" s="211">
        <v>100.59099999999999</v>
      </c>
      <c r="CT69" s="190">
        <f t="shared" ref="CT69" si="1350">CR69/CM69</f>
        <v>11.545977558006847</v>
      </c>
      <c r="CU69" s="190">
        <f t="shared" ref="CU69" si="1351">CT69-W69</f>
        <v>4.3155374563459858E-2</v>
      </c>
      <c r="CV69" s="247">
        <f t="shared" ref="CV69" si="1352">CP69+CT69</f>
        <v>55.55805439330544</v>
      </c>
      <c r="CW69" s="163"/>
      <c r="CX69" s="196">
        <f t="shared" ref="CX69" si="1353">C69-AJ69-AU69-BF69-BQ69-CB69-CM69</f>
        <v>0</v>
      </c>
      <c r="CY69" s="196">
        <f t="shared" ref="CY69" si="1354">F69-AK69-AV69-BG69-BR69-CC69-CN69</f>
        <v>0</v>
      </c>
      <c r="CZ69" s="196">
        <f t="shared" ref="CZ69" si="1355">I69-AL69-AW69-BH69-BS69-CD69-CO69</f>
        <v>-7.1054273576010019E-14</v>
      </c>
      <c r="DA69" s="196">
        <f t="shared" ref="DA69" si="1356">O69-AO69-AZ69-BK69-BV69-CG69-CR69</f>
        <v>0</v>
      </c>
      <c r="DB69" s="196">
        <f t="shared" ref="DB69" si="1357">Q69-AP69-BA69-BL69-BW69-CH69-CS69</f>
        <v>4.1450000000000387</v>
      </c>
      <c r="DC69" s="196">
        <f t="shared" ref="DC69" si="1358">P69-Q69-R69-S69</f>
        <v>0</v>
      </c>
      <c r="DD69" s="163"/>
      <c r="DE69" s="200">
        <v>208.33799999999999</v>
      </c>
      <c r="DF69" s="200">
        <v>121.434</v>
      </c>
      <c r="DG69" s="200">
        <v>42.075000000000003</v>
      </c>
      <c r="DH69" s="191">
        <f t="shared" si="61"/>
        <v>0.58287014370878087</v>
      </c>
      <c r="DI69" s="197">
        <v>174.43600000000001</v>
      </c>
      <c r="DJ69" s="191">
        <f t="shared" si="48"/>
        <v>0.41863702253069535</v>
      </c>
      <c r="DK69" s="197">
        <v>169.51</v>
      </c>
      <c r="DL69" s="197">
        <v>163.92400000000001</v>
      </c>
      <c r="DM69" s="191">
        <f t="shared" si="62"/>
        <v>3.2953808034924092E-2</v>
      </c>
      <c r="DN69" s="200">
        <v>174.345</v>
      </c>
      <c r="DO69" s="200">
        <v>39.854999999999997</v>
      </c>
      <c r="DP69" s="200">
        <v>92.021000000000001</v>
      </c>
      <c r="DQ69" s="200">
        <f t="shared" ref="DQ69" si="1359">DP69+DO69</f>
        <v>131.876</v>
      </c>
      <c r="DR69" s="191">
        <f t="shared" ref="DR69" si="1360">DJ69+DH69</f>
        <v>1.0015071662394761</v>
      </c>
      <c r="DS69" s="199">
        <f t="shared" si="51"/>
        <v>0.97176041642780153</v>
      </c>
      <c r="DT69" s="200">
        <v>148.95500000000001</v>
      </c>
      <c r="DU69" s="200">
        <v>61.104999999999997</v>
      </c>
      <c r="DV69" s="200">
        <v>24.872</v>
      </c>
      <c r="DW69" s="191">
        <f t="shared" si="63"/>
        <v>0.41022456446577821</v>
      </c>
      <c r="DX69" s="197">
        <v>37.704999999999998</v>
      </c>
      <c r="DY69" s="191">
        <f t="shared" si="64"/>
        <v>0.12656506998758013</v>
      </c>
      <c r="DZ69" s="197">
        <v>38.576000000000001</v>
      </c>
      <c r="EA69" s="197">
        <v>37.591999999999999</v>
      </c>
      <c r="EB69" s="191">
        <f t="shared" si="52"/>
        <v>2.5508087930319445E-2</v>
      </c>
      <c r="EC69" s="200">
        <v>39.530999999999999</v>
      </c>
      <c r="ED69" s="206">
        <v>20</v>
      </c>
      <c r="EE69" s="200">
        <v>28.538</v>
      </c>
      <c r="EF69" s="205">
        <f t="shared" ref="EF69:EF70" si="1361">EE69+ED69</f>
        <v>48.537999999999997</v>
      </c>
      <c r="EG69" s="191">
        <f t="shared" ref="EG69:EG70" si="1362">DY69+DW69</f>
        <v>0.53678963445335837</v>
      </c>
      <c r="EJ69" s="202">
        <f t="shared" ref="EJ69:EJ108" si="1363">(C69*2000/1000)/(A70-A69)</f>
        <v>11.403699999999999</v>
      </c>
      <c r="EK69" s="202">
        <f>'NOPA Crush'!B494*56/('NOPA Crush'!A494-'NOPA Crush'!A493)</f>
        <v>11.775407346100421</v>
      </c>
      <c r="EL69" s="203">
        <f t="shared" si="65"/>
        <v>0.96843358915957012</v>
      </c>
      <c r="EM69" s="202">
        <f t="shared" si="55"/>
        <v>6.9445999999999994</v>
      </c>
      <c r="EN69" s="202">
        <f t="shared" si="56"/>
        <v>9.9303333333333344E-3</v>
      </c>
      <c r="EO69" s="202">
        <f t="shared" si="66"/>
        <v>18.358230333333331</v>
      </c>
    </row>
    <row r="70" spans="1:145">
      <c r="A70" s="157">
        <v>44105</v>
      </c>
      <c r="B70" s="186">
        <v>5897.0789999999997</v>
      </c>
      <c r="C70" s="187">
        <f t="shared" ref="C70" si="1364">B70/30</f>
        <v>196.5693</v>
      </c>
      <c r="D70" s="247">
        <f>C70-'NOPA Crush'!G495</f>
        <v>11.324299999999994</v>
      </c>
      <c r="E70" s="188">
        <f>C70/'NOPA Crush'!G495-1</f>
        <v>6.1131474533725472E-2</v>
      </c>
      <c r="F70" s="189">
        <v>4335.0540000000001</v>
      </c>
      <c r="G70" s="189">
        <v>4289.0309999999999</v>
      </c>
      <c r="H70" s="189">
        <v>46.023000000000003</v>
      </c>
      <c r="I70" s="189">
        <v>342.91399999999999</v>
      </c>
      <c r="J70" s="190">
        <f t="shared" ref="J70:J72" si="1365">F70*2/C70</f>
        <v>44.107131683330003</v>
      </c>
      <c r="K70" s="190">
        <f t="shared" ref="K70:K71" si="1366">(F70+M70)*2/C70</f>
        <v>46.9614736380503</v>
      </c>
      <c r="L70" s="190">
        <f>K70-'NOPA Crush'!J495</f>
        <v>1.1473638050297552E-2</v>
      </c>
      <c r="M70" s="189">
        <v>280.53800000000001</v>
      </c>
      <c r="N70" s="189">
        <v>31.285</v>
      </c>
      <c r="O70" s="189">
        <v>2282.471</v>
      </c>
      <c r="P70" s="189">
        <v>1568.4639999999999</v>
      </c>
      <c r="Q70" s="189">
        <v>693.17</v>
      </c>
      <c r="R70" s="189">
        <v>288.339</v>
      </c>
      <c r="S70" s="189">
        <v>586.95500000000004</v>
      </c>
      <c r="T70" s="189">
        <v>399.54700000000003</v>
      </c>
      <c r="U70" s="189">
        <f>(P70+T70)-'NOPA Crush'!Q495</f>
        <v>480.67899999999986</v>
      </c>
      <c r="V70" s="191">
        <f>((P70+T70)/'NOPA Crush'!Q495)-1</f>
        <v>0.3231820467790647</v>
      </c>
      <c r="W70" s="190">
        <f t="shared" ref="W70" si="1367">O70/C70</f>
        <v>11.611533438843196</v>
      </c>
      <c r="X70" s="190">
        <f>W70-'NOPA Crush'!O495</f>
        <v>-5.846656115680382E-2</v>
      </c>
      <c r="Y70" s="190">
        <f t="shared" si="720"/>
        <v>58.573007076893497</v>
      </c>
      <c r="Z70" s="211">
        <v>1692.8579999999999</v>
      </c>
      <c r="AA70" s="211">
        <v>1650.7059999999999</v>
      </c>
      <c r="AB70" s="191">
        <f t="shared" ref="AB70" si="1368">(Z70-AA70)/Z70</f>
        <v>2.4899903004268548E-2</v>
      </c>
      <c r="AC70" s="211">
        <v>113.41</v>
      </c>
      <c r="AD70" s="211">
        <v>1595.1289999999999</v>
      </c>
      <c r="AE70" s="211">
        <v>1159.944</v>
      </c>
      <c r="AF70" s="211">
        <v>435.185</v>
      </c>
      <c r="AG70" s="191">
        <f t="shared" si="1322"/>
        <v>-3.3668624212912501E-2</v>
      </c>
      <c r="AH70" s="163"/>
      <c r="AI70" s="211">
        <v>701.83699999999999</v>
      </c>
      <c r="AJ70" s="247">
        <f t="shared" si="11"/>
        <v>23.394566666666666</v>
      </c>
      <c r="AK70" s="211">
        <v>508.75</v>
      </c>
      <c r="AL70" s="211">
        <v>67.834999999999994</v>
      </c>
      <c r="AM70" s="190">
        <f t="shared" si="1323"/>
        <v>43.493004786011568</v>
      </c>
      <c r="AN70" s="190">
        <f t="shared" si="1324"/>
        <v>-0.61412689731843528</v>
      </c>
      <c r="AO70" s="211">
        <v>273.52800000000002</v>
      </c>
      <c r="AP70" s="211">
        <v>85.74</v>
      </c>
      <c r="AQ70" s="190">
        <f t="shared" ref="AQ70" si="1369">AO70/AJ70</f>
        <v>11.691945565708279</v>
      </c>
      <c r="AR70" s="190">
        <f t="shared" ref="AR70" si="1370">AQ70-W70</f>
        <v>8.0412126865082811E-2</v>
      </c>
      <c r="AS70" s="190">
        <f t="shared" ref="AS70" si="1371">AM70+AQ70</f>
        <v>55.184950351719849</v>
      </c>
      <c r="AT70" s="211">
        <v>1179.232</v>
      </c>
      <c r="AU70" s="247">
        <f t="shared" si="16"/>
        <v>39.307733333333331</v>
      </c>
      <c r="AV70" s="211">
        <v>865.39700000000005</v>
      </c>
      <c r="AW70" s="211">
        <v>57.555</v>
      </c>
      <c r="AX70" s="190">
        <f t="shared" ref="AX70" si="1372">AV70*2/AU70</f>
        <v>44.031895335269063</v>
      </c>
      <c r="AY70" s="190">
        <f t="shared" ref="AY70" si="1373">AX70-J70</f>
        <v>-7.5236348060940372E-2</v>
      </c>
      <c r="AZ70" s="211">
        <v>465.88600000000002</v>
      </c>
      <c r="BA70" s="211">
        <v>118.238</v>
      </c>
      <c r="BB70" s="190">
        <f t="shared" ref="BB70" si="1374">AZ70/AU70</f>
        <v>11.852273344006948</v>
      </c>
      <c r="BC70" s="190">
        <f t="shared" ref="BC70" si="1375">BB70-W70</f>
        <v>0.24073990516375154</v>
      </c>
      <c r="BD70" s="247">
        <f t="shared" ref="BD70" si="1376">AX70+BB70</f>
        <v>55.884168679276009</v>
      </c>
      <c r="BE70" s="211">
        <v>1353.433</v>
      </c>
      <c r="BF70" s="247">
        <f t="shared" si="58"/>
        <v>45.114433333333331</v>
      </c>
      <c r="BG70" s="211">
        <v>988.46799999999996</v>
      </c>
      <c r="BH70" s="211">
        <v>70.233999999999995</v>
      </c>
      <c r="BI70" s="190">
        <f t="shared" ref="BI70" si="1377">BG70*2/BF70</f>
        <v>43.820477260418507</v>
      </c>
      <c r="BJ70" s="190">
        <f t="shared" ref="BJ70" si="1378">BI70-J70</f>
        <v>-0.28665442291149645</v>
      </c>
      <c r="BK70" s="211">
        <v>518.76400000000001</v>
      </c>
      <c r="BL70" s="211">
        <v>155.64400000000001</v>
      </c>
      <c r="BM70" s="190">
        <f t="shared" ref="BM70" si="1379">BK70/BF70</f>
        <v>11.498847744956715</v>
      </c>
      <c r="BN70" s="190">
        <f t="shared" ref="BN70" si="1380">BM70-W70</f>
        <v>-0.11268569388648153</v>
      </c>
      <c r="BO70" s="247">
        <f t="shared" ref="BO70" si="1381">BM70+BI70</f>
        <v>55.319325005375219</v>
      </c>
      <c r="BP70" s="211">
        <v>945.36199999999997</v>
      </c>
      <c r="BQ70" s="247">
        <f t="shared" si="26"/>
        <v>31.512066666666666</v>
      </c>
      <c r="BR70" s="211">
        <v>706.83900000000006</v>
      </c>
      <c r="BS70" s="211">
        <v>56.981999999999999</v>
      </c>
      <c r="BT70" s="190">
        <f t="shared" ref="BT70" si="1382">BR70*2/BQ70</f>
        <v>44.861481633490669</v>
      </c>
      <c r="BU70" s="190">
        <f t="shared" ref="BU70" si="1383">BT70-J70</f>
        <v>0.75434995016066608</v>
      </c>
      <c r="BV70" s="211">
        <v>357.60500000000002</v>
      </c>
      <c r="BW70" s="211">
        <v>167.48500000000001</v>
      </c>
      <c r="BX70" s="190">
        <f t="shared" ref="BX70" si="1384">BV70/BQ70</f>
        <v>11.348192544231734</v>
      </c>
      <c r="BY70" s="190">
        <f t="shared" ref="BY70" si="1385">BX70-W70</f>
        <v>-0.26334089461146171</v>
      </c>
      <c r="BZ70" s="194">
        <f t="shared" ref="BZ70" si="1386">BT70+BX70</f>
        <v>56.209674177722405</v>
      </c>
      <c r="CA70" s="211">
        <v>736.78399999999999</v>
      </c>
      <c r="CB70" s="247">
        <f t="shared" si="32"/>
        <v>24.559466666666665</v>
      </c>
      <c r="CC70" s="211">
        <v>539.61500000000001</v>
      </c>
      <c r="CD70" s="340">
        <f>(SUM(CD64:CD69)/SUM(I64:I69))*I70</f>
        <v>44.149060208698259</v>
      </c>
      <c r="CE70" s="190">
        <f t="shared" ref="CE70" si="1387">CC70*2/CB70</f>
        <v>43.943543833742318</v>
      </c>
      <c r="CF70" s="190">
        <f t="shared" ref="CF70" si="1388">CE70-J70</f>
        <v>-0.16358784958768524</v>
      </c>
      <c r="CG70" s="211">
        <v>287.80500000000001</v>
      </c>
      <c r="CH70" s="211">
        <v>50.435000000000002</v>
      </c>
      <c r="CI70" s="190">
        <f t="shared" ref="CI70" si="1389">CG70/CB70</f>
        <v>11.718699103129277</v>
      </c>
      <c r="CJ70" s="190">
        <f t="shared" ref="CJ70" si="1390">CI70-W70</f>
        <v>0.10716566428608054</v>
      </c>
      <c r="CK70" s="194">
        <f t="shared" ref="CK70" si="1391">CI70+CE70</f>
        <v>55.662242936871593</v>
      </c>
      <c r="CL70" s="211">
        <v>980.43100000000004</v>
      </c>
      <c r="CM70" s="247">
        <f t="shared" si="60"/>
        <v>32.681033333333332</v>
      </c>
      <c r="CN70" s="211">
        <v>725.98500000000001</v>
      </c>
      <c r="CO70" s="340">
        <f>$I70-$AL70-$AW70-$BH70-$BS70-CD70</f>
        <v>46.158939791301762</v>
      </c>
      <c r="CP70" s="190">
        <f t="shared" ref="CP70" si="1392">CN70*2/CM70</f>
        <v>44.428521741968588</v>
      </c>
      <c r="CQ70" s="190">
        <f t="shared" ref="CQ70" si="1393">CP70-J70</f>
        <v>0.32139005863858472</v>
      </c>
      <c r="CR70" s="211">
        <v>378.88299999999998</v>
      </c>
      <c r="CS70" s="211">
        <v>111.483</v>
      </c>
      <c r="CT70" s="190">
        <f t="shared" ref="CT70" si="1394">CR70/CM70</f>
        <v>11.593360471058137</v>
      </c>
      <c r="CU70" s="190">
        <f t="shared" ref="CU70" si="1395">CT70-W70</f>
        <v>-1.8172967785059058E-2</v>
      </c>
      <c r="CV70" s="247">
        <f t="shared" ref="CV70" si="1396">CP70+CT70</f>
        <v>56.021882213026728</v>
      </c>
      <c r="CW70" s="163"/>
      <c r="CX70" s="196">
        <f t="shared" ref="CX70" si="1397">C70-AJ70-AU70-BF70-BQ70-CB70-CM70</f>
        <v>0</v>
      </c>
      <c r="CY70" s="196">
        <f t="shared" ref="CY70" si="1398">F70-AK70-AV70-BG70-BR70-CC70-CN70</f>
        <v>0</v>
      </c>
      <c r="CZ70" s="196">
        <f t="shared" ref="CZ70" si="1399">I70-AL70-AW70-BH70-BS70-CD70-CO70</f>
        <v>0</v>
      </c>
      <c r="DA70" s="196">
        <f t="shared" ref="DA70" si="1400">O70-AO70-AZ70-BK70-BV70-CG70-CR70</f>
        <v>0</v>
      </c>
      <c r="DB70" s="196">
        <f t="shared" ref="DB70" si="1401">Q70-AP70-BA70-BL70-BW70-CH70-CS70</f>
        <v>4.144999999999925</v>
      </c>
      <c r="DC70" s="196">
        <f t="shared" ref="DC70" si="1402">P70-Q70-R70-S70</f>
        <v>0</v>
      </c>
      <c r="DD70" s="163"/>
      <c r="DE70" s="200">
        <v>215.87799999999999</v>
      </c>
      <c r="DF70" s="200">
        <v>123.169</v>
      </c>
      <c r="DG70" s="200">
        <v>33.734000000000002</v>
      </c>
      <c r="DH70" s="191">
        <f t="shared" si="61"/>
        <v>0.57054910643974843</v>
      </c>
      <c r="DI70" s="197">
        <v>179.03800000000001</v>
      </c>
      <c r="DJ70" s="191">
        <f t="shared" si="48"/>
        <v>0.41467402884962806</v>
      </c>
      <c r="DK70" s="197">
        <v>159.03</v>
      </c>
      <c r="DL70" s="197">
        <v>154.477</v>
      </c>
      <c r="DM70" s="191">
        <f t="shared" si="62"/>
        <v>2.8629818273281704E-2</v>
      </c>
      <c r="DN70" s="200">
        <v>172.38200000000001</v>
      </c>
      <c r="DO70" s="200">
        <v>57.142000000000003</v>
      </c>
      <c r="DP70" s="200">
        <v>93.197999999999993</v>
      </c>
      <c r="DQ70" s="200">
        <f t="shared" ref="DQ70" si="1403">DP70+DO70</f>
        <v>150.34</v>
      </c>
      <c r="DR70" s="191">
        <f t="shared" ref="DR70" si="1404">DJ70+DH70</f>
        <v>0.98522313528937655</v>
      </c>
      <c r="DS70" s="199">
        <f t="shared" ref="DS70:DS89" si="1405">DK70/DI70</f>
        <v>0.88824718774785238</v>
      </c>
      <c r="DT70" s="200">
        <v>141.29900000000001</v>
      </c>
      <c r="DU70" s="200">
        <v>64.119</v>
      </c>
      <c r="DV70" s="200">
        <v>24.068999999999999</v>
      </c>
      <c r="DW70" s="191">
        <f t="shared" si="63"/>
        <v>0.45378240468793124</v>
      </c>
      <c r="DX70" s="197">
        <v>40.744</v>
      </c>
      <c r="DY70" s="191">
        <f t="shared" si="64"/>
        <v>0.14417653345034287</v>
      </c>
      <c r="DZ70" s="197">
        <v>43.771000000000001</v>
      </c>
      <c r="EA70" s="197">
        <v>42.457000000000001</v>
      </c>
      <c r="EB70" s="191">
        <f t="shared" si="52"/>
        <v>3.0019876173722371E-2</v>
      </c>
      <c r="EC70" s="200">
        <v>46.723999999999997</v>
      </c>
      <c r="ED70" s="206">
        <v>20</v>
      </c>
      <c r="EE70" s="200">
        <v>26.305</v>
      </c>
      <c r="EF70" s="205">
        <f t="shared" si="1361"/>
        <v>46.305</v>
      </c>
      <c r="EG70" s="191">
        <f t="shared" si="1362"/>
        <v>0.59795893813827417</v>
      </c>
      <c r="EJ70" s="202">
        <f t="shared" si="1363"/>
        <v>12.681890322580646</v>
      </c>
      <c r="EK70" s="202">
        <f>'NOPA Crush'!B495*56/('NOPA Crush'!A495-'NOPA Crush'!A494)</f>
        <v>12.192613518046858</v>
      </c>
      <c r="EL70" s="203">
        <f t="shared" si="65"/>
        <v>1.0401289521569421</v>
      </c>
      <c r="EM70" s="202">
        <f t="shared" ref="EM70:EM114" si="1406">DE70/($A71-$A70)</f>
        <v>6.9638064516129026</v>
      </c>
      <c r="EN70" s="202">
        <f t="shared" ref="EN70:EN114" si="1407">(DT70*2000/1000000)/($A71-$A70)</f>
        <v>9.116064516129032E-3</v>
      </c>
      <c r="EO70" s="202">
        <f t="shared" si="66"/>
        <v>19.654812838709677</v>
      </c>
    </row>
    <row r="71" spans="1:145">
      <c r="A71" s="157">
        <v>44136</v>
      </c>
      <c r="B71" s="186">
        <v>5731.2070000000003</v>
      </c>
      <c r="C71" s="187">
        <f t="shared" ref="C71" si="1408">B71/30</f>
        <v>191.04023333333333</v>
      </c>
      <c r="D71" s="247">
        <f>C71-'NOPA Crush'!G496</f>
        <v>10.022233333333332</v>
      </c>
      <c r="E71" s="188">
        <f>C71/'NOPA Crush'!G496-1</f>
        <v>5.5365948874329218E-2</v>
      </c>
      <c r="F71" s="189">
        <v>4230.2740000000003</v>
      </c>
      <c r="G71" s="189">
        <v>4191.0259999999998</v>
      </c>
      <c r="H71" s="189">
        <v>39.247999999999998</v>
      </c>
      <c r="I71" s="189">
        <v>415.10700000000003</v>
      </c>
      <c r="J71" s="190">
        <f t="shared" si="1365"/>
        <v>44.286734016063285</v>
      </c>
      <c r="K71" s="190">
        <f t="shared" si="1366"/>
        <v>47.281077092486797</v>
      </c>
      <c r="L71" s="190">
        <f>K71-'NOPA Crush'!J496</f>
        <v>-2.8922907513205587E-2</v>
      </c>
      <c r="M71" s="189">
        <v>286.02</v>
      </c>
      <c r="N71" s="189">
        <v>43.31</v>
      </c>
      <c r="O71" s="189">
        <v>2206.7919999999999</v>
      </c>
      <c r="P71" s="189">
        <v>1684.5350000000001</v>
      </c>
      <c r="Q71" s="189">
        <v>759.56899999999996</v>
      </c>
      <c r="R71" s="189">
        <v>267.25299999999999</v>
      </c>
      <c r="S71" s="189">
        <v>657.71299999999997</v>
      </c>
      <c r="T71" s="189">
        <v>432.56200000000001</v>
      </c>
      <c r="U71" s="189">
        <f>(P71+T71)-'NOPA Crush'!Q496</f>
        <v>559.26700000000028</v>
      </c>
      <c r="V71" s="191">
        <f>((P71+T71)/'NOPA Crush'!Q496)-1</f>
        <v>0.35900387076895446</v>
      </c>
      <c r="W71" s="190">
        <f t="shared" ref="W71" si="1409">O71/C71</f>
        <v>11.551451552875337</v>
      </c>
      <c r="X71" s="190">
        <f>W71-'NOPA Crush'!O496</f>
        <v>-7.8548447124664023E-2</v>
      </c>
      <c r="Y71" s="190">
        <f t="shared" si="720"/>
        <v>58.832528645362132</v>
      </c>
      <c r="Z71" s="211">
        <v>1617.0809999999999</v>
      </c>
      <c r="AA71" s="211">
        <v>1580.598</v>
      </c>
      <c r="AB71" s="191">
        <f t="shared" ref="AB71" si="1410">(Z71-AA71)/Z71</f>
        <v>2.256102198962201E-2</v>
      </c>
      <c r="AC71" s="211">
        <v>135.477</v>
      </c>
      <c r="AD71" s="211">
        <v>1547.0940000000001</v>
      </c>
      <c r="AE71" s="211">
        <v>1072.405</v>
      </c>
      <c r="AF71" s="211">
        <v>474.68900000000002</v>
      </c>
      <c r="AG71" s="191">
        <f t="shared" si="1322"/>
        <v>-2.119704061374228E-2</v>
      </c>
      <c r="AH71" s="163"/>
      <c r="AI71" s="211">
        <v>699.51800000000003</v>
      </c>
      <c r="AJ71" s="247">
        <f t="shared" si="11"/>
        <v>23.317266666666669</v>
      </c>
      <c r="AK71" s="211">
        <v>509.63499999999999</v>
      </c>
      <c r="AL71" s="211">
        <v>87.936999999999998</v>
      </c>
      <c r="AM71" s="190">
        <f t="shared" ref="AM71" si="1411">AK71*2/AJ71</f>
        <v>43.71309959143295</v>
      </c>
      <c r="AN71" s="190">
        <f t="shared" ref="AN71" si="1412">AM71-J71</f>
        <v>-0.57363442463033465</v>
      </c>
      <c r="AO71" s="211">
        <v>269.90100000000001</v>
      </c>
      <c r="AP71" s="211">
        <v>97.960999999999999</v>
      </c>
      <c r="AQ71" s="190">
        <f t="shared" ref="AQ71" si="1413">AO71/AJ71</f>
        <v>11.575156036013368</v>
      </c>
      <c r="AR71" s="190">
        <f t="shared" ref="AR71" si="1414">AQ71-W71</f>
        <v>2.3704483138031307E-2</v>
      </c>
      <c r="AS71" s="190">
        <f t="shared" ref="AS71" si="1415">AM71+AQ71</f>
        <v>55.288255627446318</v>
      </c>
      <c r="AT71" s="211">
        <v>1161.4570000000001</v>
      </c>
      <c r="AU71" s="247">
        <f t="shared" si="16"/>
        <v>38.715233333333337</v>
      </c>
      <c r="AV71" s="211">
        <v>863.83</v>
      </c>
      <c r="AW71" s="211">
        <v>60.49</v>
      </c>
      <c r="AX71" s="190">
        <f t="shared" ref="AX71" si="1416">AV71*2/AU71</f>
        <v>44.624811766600054</v>
      </c>
      <c r="AY71" s="190">
        <f t="shared" ref="AY71" si="1417">AX71-J71</f>
        <v>0.33807775053676892</v>
      </c>
      <c r="AZ71" s="211">
        <v>460.839</v>
      </c>
      <c r="BA71" s="211">
        <v>123.657</v>
      </c>
      <c r="BB71" s="190">
        <f t="shared" ref="BB71" si="1418">AZ71/AU71</f>
        <v>11.903299045939711</v>
      </c>
      <c r="BC71" s="190">
        <f t="shared" ref="BC71" si="1419">BB71-W71</f>
        <v>0.35184749306437446</v>
      </c>
      <c r="BD71" s="247">
        <f t="shared" ref="BD71" si="1420">AX71+BB71</f>
        <v>56.528110812539765</v>
      </c>
      <c r="BE71" s="211">
        <v>1258.202</v>
      </c>
      <c r="BF71" s="247">
        <f t="shared" si="58"/>
        <v>41.940066666666667</v>
      </c>
      <c r="BG71" s="211">
        <v>933.35400000000004</v>
      </c>
      <c r="BH71" s="211">
        <v>93.138000000000005</v>
      </c>
      <c r="BI71" s="190">
        <f t="shared" ref="BI71" si="1421">BG71*2/BF71</f>
        <v>44.508942125350302</v>
      </c>
      <c r="BJ71" s="190">
        <f t="shared" ref="BJ71" si="1422">BI71-J71</f>
        <v>0.22220810928701695</v>
      </c>
      <c r="BK71" s="211">
        <v>481.274</v>
      </c>
      <c r="BL71" s="211">
        <v>169.071</v>
      </c>
      <c r="BM71" s="190">
        <f t="shared" ref="BM71" si="1423">BK71/BF71</f>
        <v>11.475279804037825</v>
      </c>
      <c r="BN71" s="190">
        <f t="shared" ref="BN71" si="1424">BM71-W71</f>
        <v>-7.6171748837511544E-2</v>
      </c>
      <c r="BO71" s="247">
        <f t="shared" ref="BO71" si="1425">BM71+BI71</f>
        <v>55.984221929388127</v>
      </c>
      <c r="BP71" s="211">
        <v>930.68399999999997</v>
      </c>
      <c r="BQ71" s="247">
        <f t="shared" si="26"/>
        <v>31.0228</v>
      </c>
      <c r="BR71" s="211">
        <v>690.98</v>
      </c>
      <c r="BS71" s="211">
        <v>66.881</v>
      </c>
      <c r="BT71" s="190">
        <f t="shared" ref="BT71" si="1426">BR71*2/BQ71</f>
        <v>44.546591539126062</v>
      </c>
      <c r="BU71" s="190">
        <f t="shared" ref="BU71" si="1427">BT71-J71</f>
        <v>0.25985752306277732</v>
      </c>
      <c r="BV71" s="211">
        <v>352.779</v>
      </c>
      <c r="BW71" s="211">
        <v>191.47499999999999</v>
      </c>
      <c r="BX71" s="190">
        <f t="shared" ref="BX71" si="1428">BV71/BQ71</f>
        <v>11.371604110525162</v>
      </c>
      <c r="BY71" s="190">
        <f t="shared" ref="BY71" si="1429">BX71-W71</f>
        <v>-0.1798474423501748</v>
      </c>
      <c r="BZ71" s="194">
        <f t="shared" ref="BZ71" si="1430">BT71+BX71</f>
        <v>55.918195649651224</v>
      </c>
      <c r="CA71" s="211">
        <v>737.32299999999998</v>
      </c>
      <c r="CB71" s="247">
        <f t="shared" si="32"/>
        <v>24.577433333333332</v>
      </c>
      <c r="CC71" s="211">
        <v>534.22299999999996</v>
      </c>
      <c r="CD71" s="211">
        <v>59.92</v>
      </c>
      <c r="CE71" s="190">
        <f t="shared" ref="CE71" si="1431">CC71*2/CB71</f>
        <v>43.472643603956477</v>
      </c>
      <c r="CF71" s="190">
        <f t="shared" ref="CF71" si="1432">CE71-J71</f>
        <v>-0.81409041210680755</v>
      </c>
      <c r="CG71" s="211">
        <v>280.18400000000003</v>
      </c>
      <c r="CH71" s="211">
        <v>55.36</v>
      </c>
      <c r="CI71" s="190">
        <f t="shared" ref="CI71" si="1433">CG71/CB71</f>
        <v>11.40005126654126</v>
      </c>
      <c r="CJ71" s="190">
        <f t="shared" ref="CJ71" si="1434">CI71-W71</f>
        <v>-0.15140028633407709</v>
      </c>
      <c r="CK71" s="194">
        <f t="shared" ref="CK71" si="1435">CI71+CE71</f>
        <v>54.872694870497739</v>
      </c>
      <c r="CL71" s="211">
        <v>944.02300000000002</v>
      </c>
      <c r="CM71" s="247">
        <f t="shared" si="60"/>
        <v>31.467433333333336</v>
      </c>
      <c r="CN71" s="211">
        <v>698.25199999999995</v>
      </c>
      <c r="CO71" s="211">
        <v>46.741</v>
      </c>
      <c r="CP71" s="190">
        <f t="shared" ref="CP71" si="1436">CN71*2/CM71</f>
        <v>44.37934245246143</v>
      </c>
      <c r="CQ71" s="190">
        <f t="shared" ref="CQ71" si="1437">CP71-J71</f>
        <v>9.2608436398144534E-2</v>
      </c>
      <c r="CR71" s="211">
        <v>361.815</v>
      </c>
      <c r="CS71" s="211">
        <v>122.64100000000001</v>
      </c>
      <c r="CT71" s="190">
        <f t="shared" ref="CT71" si="1438">CR71/CM71</f>
        <v>11.498077907000146</v>
      </c>
      <c r="CU71" s="190">
        <f t="shared" ref="CU71" si="1439">CT71-W71</f>
        <v>-5.3373645875190334E-2</v>
      </c>
      <c r="CV71" s="247">
        <f t="shared" ref="CV71" si="1440">CP71+CT71</f>
        <v>55.877420359461574</v>
      </c>
      <c r="CW71" s="163"/>
      <c r="CX71" s="196">
        <f t="shared" ref="CX71" si="1441">C71-AJ71-AU71-BF71-BQ71-CB71-CM71</f>
        <v>-3.1974423109204508E-14</v>
      </c>
      <c r="CY71" s="196">
        <f t="shared" ref="CY71" si="1442">F71-AK71-AV71-BG71-BR71-CC71-CN71</f>
        <v>0</v>
      </c>
      <c r="CZ71" s="196">
        <f t="shared" ref="CZ71" si="1443">I71-AL71-AW71-BH71-BS71-CD71-CO71</f>
        <v>0</v>
      </c>
      <c r="DA71" s="196">
        <f t="shared" ref="DA71" si="1444">O71-AO71-AZ71-BK71-BV71-CG71-CR71</f>
        <v>0</v>
      </c>
      <c r="DB71" s="196">
        <f t="shared" ref="DB71" si="1445">Q71-AP71-BA71-BL71-BW71-CH71-CS71</f>
        <v>-0.59600000000011732</v>
      </c>
      <c r="DC71" s="196">
        <f t="shared" ref="DC71" si="1446">P71-Q71-R71-S71</f>
        <v>0</v>
      </c>
      <c r="DD71" s="163"/>
      <c r="DE71" s="200">
        <v>207.7</v>
      </c>
      <c r="DF71" s="200">
        <v>117.446</v>
      </c>
      <c r="DG71" s="200">
        <v>67.564999999999998</v>
      </c>
      <c r="DH71" s="191">
        <f t="shared" si="61"/>
        <v>0.56545979778526723</v>
      </c>
      <c r="DI71" s="197">
        <v>173.51300000000001</v>
      </c>
      <c r="DJ71" s="191">
        <f t="shared" si="48"/>
        <v>0.41770101107366397</v>
      </c>
      <c r="DK71" s="197">
        <v>152.24199999999999</v>
      </c>
      <c r="DL71" s="197">
        <v>146.857</v>
      </c>
      <c r="DM71" s="191">
        <f t="shared" si="62"/>
        <v>3.5371316719433499E-2</v>
      </c>
      <c r="DN71" s="200">
        <v>154.27799999999999</v>
      </c>
      <c r="DO71" s="200">
        <v>56.25</v>
      </c>
      <c r="DP71" s="200">
        <v>74.28</v>
      </c>
      <c r="DQ71" s="200">
        <f t="shared" ref="DQ71" si="1447">DP71+DO71</f>
        <v>130.53</v>
      </c>
      <c r="DR71" s="191">
        <f t="shared" ref="DR71" si="1448">DJ71+DH71</f>
        <v>0.9831608088589312</v>
      </c>
      <c r="DS71" s="199">
        <f t="shared" si="1405"/>
        <v>0.87740976180459096</v>
      </c>
      <c r="DT71" s="200">
        <v>142.892</v>
      </c>
      <c r="DU71" s="200">
        <v>62.962000000000003</v>
      </c>
      <c r="DV71" s="200">
        <v>18.951000000000001</v>
      </c>
      <c r="DW71" s="191">
        <f t="shared" si="63"/>
        <v>0.44062648713713859</v>
      </c>
      <c r="DX71" s="197">
        <v>38.619</v>
      </c>
      <c r="DY71" s="191">
        <f t="shared" si="64"/>
        <v>0.1351335274193097</v>
      </c>
      <c r="DZ71" s="197">
        <v>45.649000000000001</v>
      </c>
      <c r="EA71" s="197">
        <v>44.106000000000002</v>
      </c>
      <c r="EB71" s="191">
        <f t="shared" si="52"/>
        <v>3.3801397620977447E-2</v>
      </c>
      <c r="EC71" s="200">
        <v>36.494</v>
      </c>
      <c r="ED71" s="206">
        <v>25</v>
      </c>
      <c r="EE71" s="200">
        <v>35.014000000000003</v>
      </c>
      <c r="EF71" s="205">
        <f t="shared" ref="EF71:EF73" si="1449">EE71+ED71</f>
        <v>60.014000000000003</v>
      </c>
      <c r="EG71" s="191">
        <f t="shared" ref="EG71:EG73" si="1450">DY71+DW71</f>
        <v>0.57576001455644832</v>
      </c>
      <c r="EJ71" s="202">
        <f t="shared" si="1363"/>
        <v>12.736015555555555</v>
      </c>
      <c r="EK71" s="202">
        <f>'NOPA Crush'!B496*56/('NOPA Crush'!A496-'NOPA Crush'!A495)</f>
        <v>11.727286959186745</v>
      </c>
      <c r="EL71" s="203">
        <f t="shared" ref="EL71:EL115" si="1451">EJ71/EK71</f>
        <v>1.0860155123584323</v>
      </c>
      <c r="EM71" s="202">
        <f t="shared" si="1406"/>
        <v>6.9233333333333329</v>
      </c>
      <c r="EN71" s="202">
        <f t="shared" si="1407"/>
        <v>9.5261333333333323E-3</v>
      </c>
      <c r="EO71" s="202">
        <f t="shared" ref="EO71:EO115" si="1452">EJ71+EM71+EN71</f>
        <v>19.668875022222224</v>
      </c>
    </row>
    <row r="72" spans="1:145">
      <c r="A72" s="157">
        <v>44166</v>
      </c>
      <c r="B72" s="186">
        <v>5794.2330000000002</v>
      </c>
      <c r="C72" s="187">
        <f t="shared" ref="C72:C73" si="1453">B72/30</f>
        <v>193.14109999999999</v>
      </c>
      <c r="D72" s="247">
        <f>C72-'NOPA Crush'!G497</f>
        <v>9.9821000000000026</v>
      </c>
      <c r="E72" s="188">
        <f>C72/'NOPA Crush'!G497-1</f>
        <v>5.4499642387215497E-2</v>
      </c>
      <c r="F72" s="189">
        <v>4235.8220000000001</v>
      </c>
      <c r="G72" s="189">
        <v>4190.5559999999996</v>
      </c>
      <c r="H72" s="189">
        <v>45.265999999999998</v>
      </c>
      <c r="I72" s="189">
        <v>308.93299999999999</v>
      </c>
      <c r="J72" s="190">
        <f t="shared" si="1365"/>
        <v>43.862461174757733</v>
      </c>
      <c r="K72" s="190">
        <f t="shared" ref="K72" si="1454">(F72+M72)*2/C72</f>
        <v>47.021902640090595</v>
      </c>
      <c r="L72" s="190">
        <f>K72-'NOPA Crush'!J497</f>
        <v>3.1902640090592627E-2</v>
      </c>
      <c r="M72" s="189">
        <v>305.10899999999998</v>
      </c>
      <c r="N72" s="189">
        <v>50.46</v>
      </c>
      <c r="O72" s="189">
        <v>2233.4859999999999</v>
      </c>
      <c r="P72" s="189">
        <v>1717.3050000000001</v>
      </c>
      <c r="Q72" s="189">
        <v>781.38099999999997</v>
      </c>
      <c r="R72" s="189">
        <v>277.49</v>
      </c>
      <c r="S72" s="189">
        <v>658.43399999999997</v>
      </c>
      <c r="T72" s="189">
        <v>393.48099999999999</v>
      </c>
      <c r="U72" s="189">
        <f>(P72+T72)-'NOPA Crush'!Q497</f>
        <v>412.03400000000011</v>
      </c>
      <c r="V72" s="191">
        <f>((P72+T72)/'NOPA Crush'!Q497)-1</f>
        <v>0.24255100214745884</v>
      </c>
      <c r="W72" s="190">
        <f t="shared" ref="W72" si="1455">O72/C72</f>
        <v>11.564012009872574</v>
      </c>
      <c r="X72" s="190">
        <f>W72-'NOPA Crush'!O497</f>
        <v>-2.5987990127426031E-2</v>
      </c>
      <c r="Y72" s="190">
        <f t="shared" si="720"/>
        <v>58.585914649963172</v>
      </c>
      <c r="Z72" s="211">
        <v>1614.33</v>
      </c>
      <c r="AA72" s="211">
        <v>1576.008</v>
      </c>
      <c r="AB72" s="191">
        <f t="shared" ref="AB72" si="1456">(Z72-AA72)/Z72</f>
        <v>2.3738640798349711E-2</v>
      </c>
      <c r="AC72" s="211">
        <v>148.65100000000001</v>
      </c>
      <c r="AD72" s="211">
        <v>1614.4459999999999</v>
      </c>
      <c r="AE72" s="211">
        <v>1118.6600000000001</v>
      </c>
      <c r="AF72" s="211">
        <v>495.786</v>
      </c>
      <c r="AG72" s="191">
        <f t="shared" si="1322"/>
        <v>2.4389470104212663E-2</v>
      </c>
      <c r="AH72" s="163"/>
      <c r="AI72" s="211">
        <v>676.65300000000002</v>
      </c>
      <c r="AJ72" s="247">
        <f t="shared" si="11"/>
        <v>22.555099999999999</v>
      </c>
      <c r="AK72" s="211">
        <v>479.154</v>
      </c>
      <c r="AL72" s="211">
        <v>59.441000000000003</v>
      </c>
      <c r="AM72" s="190">
        <f t="shared" ref="AM72" si="1457">AK72*2/AJ72</f>
        <v>42.487419696653973</v>
      </c>
      <c r="AN72" s="190">
        <f t="shared" ref="AN72" si="1458">AM72-J72</f>
        <v>-1.3750414781037605</v>
      </c>
      <c r="AO72" s="211">
        <v>256.30799999999999</v>
      </c>
      <c r="AP72" s="211">
        <v>97.207999999999998</v>
      </c>
      <c r="AQ72" s="190">
        <f t="shared" ref="AQ72" si="1459">AO72/AJ72</f>
        <v>11.36363837890322</v>
      </c>
      <c r="AR72" s="190">
        <f t="shared" ref="AR72" si="1460">AQ72-W72</f>
        <v>-0.20037363096935401</v>
      </c>
      <c r="AS72" s="190">
        <f t="shared" ref="AS72" si="1461">AM72+AQ72</f>
        <v>53.851058075557191</v>
      </c>
      <c r="AT72" s="211">
        <v>1206.3889999999999</v>
      </c>
      <c r="AU72" s="247">
        <f t="shared" si="16"/>
        <v>40.212966666666667</v>
      </c>
      <c r="AV72" s="211">
        <v>884.34299999999996</v>
      </c>
      <c r="AW72" s="211">
        <v>35.518000000000001</v>
      </c>
      <c r="AX72" s="190">
        <f t="shared" ref="AX72" si="1462">AV72*2/AU72</f>
        <v>43.982977298367274</v>
      </c>
      <c r="AY72" s="190">
        <f t="shared" ref="AY72" si="1463">AX72-J72</f>
        <v>0.12051612360954067</v>
      </c>
      <c r="AZ72" s="211">
        <v>479.68900000000002</v>
      </c>
      <c r="BA72" s="211">
        <v>131.34899999999999</v>
      </c>
      <c r="BB72" s="190">
        <f t="shared" ref="BB72" si="1464">AZ72/AU72</f>
        <v>11.928714535692883</v>
      </c>
      <c r="BC72" s="190">
        <f t="shared" ref="BC72" si="1465">BB72-W72</f>
        <v>0.36470252582030938</v>
      </c>
      <c r="BD72" s="247">
        <f t="shared" ref="BD72" si="1466">AX72+BB72</f>
        <v>55.911691834060157</v>
      </c>
      <c r="BE72" s="211">
        <v>1286.9490000000001</v>
      </c>
      <c r="BF72" s="247">
        <f t="shared" si="58"/>
        <v>42.898299999999999</v>
      </c>
      <c r="BG72" s="211">
        <v>947.899</v>
      </c>
      <c r="BH72" s="211">
        <v>95.399000000000001</v>
      </c>
      <c r="BI72" s="190">
        <f t="shared" ref="BI72" si="1467">BG72*2/BF72</f>
        <v>44.192846802787059</v>
      </c>
      <c r="BJ72" s="190">
        <f t="shared" ref="BJ72" si="1468">BI72-J72</f>
        <v>0.33038562802932603</v>
      </c>
      <c r="BK72" s="211">
        <v>496.70299999999997</v>
      </c>
      <c r="BL72" s="211">
        <v>191.11099999999999</v>
      </c>
      <c r="BM72" s="190">
        <f t="shared" ref="BM72" si="1469">BK72/BF72</f>
        <v>11.578617334486449</v>
      </c>
      <c r="BN72" s="190">
        <f t="shared" ref="BN72" si="1470">BM72-W72</f>
        <v>1.460532461387487E-2</v>
      </c>
      <c r="BO72" s="247">
        <f t="shared" ref="BO72" si="1471">BM72+BI72</f>
        <v>55.771464137273512</v>
      </c>
      <c r="BP72" s="211">
        <v>932.89499999999998</v>
      </c>
      <c r="BQ72" s="247">
        <f t="shared" si="26"/>
        <v>31.096499999999999</v>
      </c>
      <c r="BR72" s="211">
        <v>695.89</v>
      </c>
      <c r="BS72" s="211">
        <v>39.779000000000003</v>
      </c>
      <c r="BT72" s="190">
        <f t="shared" ref="BT72" si="1472">BR72*2/BQ72</f>
        <v>44.756805428263633</v>
      </c>
      <c r="BU72" s="190">
        <f t="shared" ref="BU72" si="1473">BT72-J72</f>
        <v>0.89434425350589919</v>
      </c>
      <c r="BV72" s="211">
        <v>355.53300000000002</v>
      </c>
      <c r="BW72" s="211">
        <v>195.61600000000001</v>
      </c>
      <c r="BX72" s="190">
        <f t="shared" ref="BX72" si="1474">BV72/BQ72</f>
        <v>11.433215956779703</v>
      </c>
      <c r="BY72" s="190">
        <f t="shared" ref="BY72" si="1475">BX72-W72</f>
        <v>-0.13079605309287068</v>
      </c>
      <c r="BZ72" s="194">
        <f t="shared" ref="BZ72" si="1476">BT72+BX72</f>
        <v>56.190021385043337</v>
      </c>
      <c r="CA72" s="211">
        <v>726.26599999999996</v>
      </c>
      <c r="CB72" s="247">
        <f t="shared" si="32"/>
        <v>24.208866666666665</v>
      </c>
      <c r="CC72" s="211">
        <v>524.96299999999997</v>
      </c>
      <c r="CD72" s="211">
        <v>21.579000000000001</v>
      </c>
      <c r="CE72" s="190">
        <f t="shared" ref="CE72" si="1477">CC72*2/CB72</f>
        <v>43.369481705050212</v>
      </c>
      <c r="CF72" s="190">
        <f t="shared" ref="CF72" si="1478">CE72-J72</f>
        <v>-0.49297946970752093</v>
      </c>
      <c r="CG72" s="211">
        <v>272.54300000000001</v>
      </c>
      <c r="CH72" s="211">
        <v>53.892000000000003</v>
      </c>
      <c r="CI72" s="190">
        <f t="shared" ref="CI72" si="1479">CG72/CB72</f>
        <v>11.25798261243126</v>
      </c>
      <c r="CJ72" s="190">
        <f t="shared" ref="CJ72" si="1480">CI72-W72</f>
        <v>-0.30602939744131419</v>
      </c>
      <c r="CK72" s="194">
        <f t="shared" ref="CK72" si="1481">CI72+CE72</f>
        <v>54.627464317481468</v>
      </c>
      <c r="CL72" s="211">
        <v>965.08100000000002</v>
      </c>
      <c r="CM72" s="247">
        <f t="shared" si="60"/>
        <v>32.169366666666669</v>
      </c>
      <c r="CN72" s="211">
        <v>703.57299999999998</v>
      </c>
      <c r="CO72" s="211">
        <v>57.216999999999999</v>
      </c>
      <c r="CP72" s="190">
        <f t="shared" ref="CP72" si="1482">CN72*2/CM72</f>
        <v>43.741799911095541</v>
      </c>
      <c r="CQ72" s="190">
        <f t="shared" ref="CQ72" si="1483">CP72-J72</f>
        <v>-0.12066126366219265</v>
      </c>
      <c r="CR72" s="211">
        <v>372.71</v>
      </c>
      <c r="CS72" s="211">
        <v>112.205</v>
      </c>
      <c r="CT72" s="190">
        <f t="shared" ref="CT72" si="1484">CR72/CM72</f>
        <v>11.585866885784716</v>
      </c>
      <c r="CU72" s="190">
        <f t="shared" ref="CU72" si="1485">CT72-W72</f>
        <v>2.1854875912142191E-2</v>
      </c>
      <c r="CV72" s="247">
        <f t="shared" ref="CV72" si="1486">CP72+CT72</f>
        <v>55.327666796880258</v>
      </c>
      <c r="CW72" s="163"/>
      <c r="CX72" s="196">
        <f t="shared" ref="CX72" si="1487">C72-AJ72-AU72-BF72-BQ72-CB72-CM72</f>
        <v>0</v>
      </c>
      <c r="CY72" s="196">
        <f t="shared" ref="CY72" si="1488">F72-AK72-AV72-BG72-BR72-CC72-CN72</f>
        <v>0</v>
      </c>
      <c r="CZ72" s="196">
        <f t="shared" ref="CZ72" si="1489">I72-AL72-AW72-BH72-BS72-CD72-CO72</f>
        <v>0</v>
      </c>
      <c r="DA72" s="196">
        <f t="shared" ref="DA72" si="1490">O72-AO72-AZ72-BK72-BV72-CG72-CR72</f>
        <v>0</v>
      </c>
      <c r="DB72" s="196">
        <f t="shared" ref="DB72" si="1491">Q72-AP72-BA72-BL72-BW72-CH72-CS72</f>
        <v>0</v>
      </c>
      <c r="DC72" s="196">
        <f t="shared" ref="DC72" si="1492">P72-Q72-R72-S72</f>
        <v>0</v>
      </c>
      <c r="DD72" s="163"/>
      <c r="DE72" s="200">
        <v>215.50200000000001</v>
      </c>
      <c r="DF72" s="200">
        <v>118.867</v>
      </c>
      <c r="DG72" s="200">
        <v>32.636000000000003</v>
      </c>
      <c r="DH72" s="191">
        <f t="shared" si="61"/>
        <v>0.55158188787111029</v>
      </c>
      <c r="DI72" s="197">
        <v>176.69200000000001</v>
      </c>
      <c r="DJ72" s="191">
        <f t="shared" si="48"/>
        <v>0.40995443197742942</v>
      </c>
      <c r="DK72" s="197">
        <v>148.43899999999999</v>
      </c>
      <c r="DL72" s="197">
        <v>143.441</v>
      </c>
      <c r="DM72" s="191">
        <f t="shared" si="62"/>
        <v>3.3670396593887042E-2</v>
      </c>
      <c r="DN72" s="200">
        <v>164.19200000000001</v>
      </c>
      <c r="DO72" s="200">
        <v>66.052000000000007</v>
      </c>
      <c r="DP72" s="200">
        <v>98.555000000000007</v>
      </c>
      <c r="DQ72" s="200">
        <f t="shared" ref="DQ72" si="1493">DP72+DO72</f>
        <v>164.60700000000003</v>
      </c>
      <c r="DR72" s="191">
        <f t="shared" ref="DR72" si="1494">DJ72+DH72</f>
        <v>0.96153631984853971</v>
      </c>
      <c r="DS72" s="199">
        <f t="shared" si="1405"/>
        <v>0.84010028750594246</v>
      </c>
      <c r="DT72" s="200">
        <v>158.99799999999999</v>
      </c>
      <c r="DU72" s="200">
        <v>69.927000000000007</v>
      </c>
      <c r="DV72" s="200">
        <v>15.677</v>
      </c>
      <c r="DW72" s="191">
        <f t="shared" si="63"/>
        <v>0.43979798488031302</v>
      </c>
      <c r="DX72" s="197">
        <v>42.473999999999997</v>
      </c>
      <c r="DY72" s="191">
        <f t="shared" si="64"/>
        <v>0.1335677178329287</v>
      </c>
      <c r="DZ72" s="197">
        <v>35.697000000000003</v>
      </c>
      <c r="EA72" s="197">
        <v>34.654000000000003</v>
      </c>
      <c r="EB72" s="191">
        <f t="shared" si="52"/>
        <v>2.9218141580524937E-2</v>
      </c>
      <c r="EC72" s="200">
        <v>44.584000000000003</v>
      </c>
      <c r="ED72" s="200">
        <v>27.085000000000001</v>
      </c>
      <c r="EE72" s="200">
        <v>24.337</v>
      </c>
      <c r="EF72" s="195">
        <f t="shared" si="1449"/>
        <v>51.421999999999997</v>
      </c>
      <c r="EG72" s="191">
        <f t="shared" si="1450"/>
        <v>0.57336570271324172</v>
      </c>
      <c r="EJ72" s="202">
        <f t="shared" si="1363"/>
        <v>12.460716129032258</v>
      </c>
      <c r="EK72" s="202">
        <f>'NOPA Crush'!B497*56/('NOPA Crush'!A497-'NOPA Crush'!A496)</f>
        <v>12.107093332223648</v>
      </c>
      <c r="EL72" s="203">
        <f t="shared" si="1451"/>
        <v>1.0292079021037548</v>
      </c>
      <c r="EM72" s="202">
        <f t="shared" si="1406"/>
        <v>6.951677419354839</v>
      </c>
      <c r="EN72" s="202">
        <f t="shared" si="1407"/>
        <v>1.0257935483870969E-2</v>
      </c>
      <c r="EO72" s="202">
        <f t="shared" si="1452"/>
        <v>19.422651483870968</v>
      </c>
    </row>
    <row r="73" spans="1:145">
      <c r="A73" s="157">
        <v>44197</v>
      </c>
      <c r="B73" s="186">
        <v>5895.36</v>
      </c>
      <c r="C73" s="187">
        <f t="shared" si="1453"/>
        <v>196.512</v>
      </c>
      <c r="D73" s="247">
        <f>C73-'NOPA Crush'!G498</f>
        <v>11.858000000000004</v>
      </c>
      <c r="E73" s="188">
        <f>C73/'NOPA Crush'!G498-1</f>
        <v>6.4217401193583656E-2</v>
      </c>
      <c r="F73" s="189">
        <v>4353.0680000000002</v>
      </c>
      <c r="G73" s="189">
        <v>4294.634</v>
      </c>
      <c r="H73" s="189">
        <v>58.433999999999997</v>
      </c>
      <c r="I73" s="189">
        <v>512.39599999999996</v>
      </c>
      <c r="J73" s="190">
        <f t="shared" ref="J73" si="1495">F73*2/C73</f>
        <v>44.30333007653477</v>
      </c>
      <c r="K73" s="190">
        <f t="shared" ref="K73" si="1496">(F73+M73)*2/C73</f>
        <v>47.484672691744024</v>
      </c>
      <c r="L73" s="190">
        <f>K73-'NOPA Crush'!J498</f>
        <v>5.4672691744023894E-2</v>
      </c>
      <c r="M73" s="189">
        <v>312.58600000000001</v>
      </c>
      <c r="N73" s="189">
        <v>43.408000000000001</v>
      </c>
      <c r="O73" s="189">
        <v>2308.752</v>
      </c>
      <c r="P73" s="189">
        <v>1882.069</v>
      </c>
      <c r="Q73" s="189">
        <v>915.44399999999996</v>
      </c>
      <c r="R73" s="189">
        <v>287.88900000000001</v>
      </c>
      <c r="S73" s="189">
        <v>678.73599999999999</v>
      </c>
      <c r="T73" s="189">
        <v>423.92200000000003</v>
      </c>
      <c r="U73" s="189">
        <f>(P73+T73)-'NOPA Crush'!Q498</f>
        <v>507.10500000000002</v>
      </c>
      <c r="V73" s="191">
        <f>((P73+T73)/'NOPA Crush'!Q498)-1</f>
        <v>0.28189946444632952</v>
      </c>
      <c r="W73" s="190">
        <f t="shared" ref="W73" si="1497">O73/C73</f>
        <v>11.748656570591109</v>
      </c>
      <c r="X73" s="190">
        <f>W73-'NOPA Crush'!O498</f>
        <v>-2.1343429408890557E-2</v>
      </c>
      <c r="Y73" s="190">
        <f t="shared" si="720"/>
        <v>59.233329262335133</v>
      </c>
      <c r="Z73" s="211">
        <v>1620.6780000000001</v>
      </c>
      <c r="AA73" s="211">
        <v>1587.925</v>
      </c>
      <c r="AB73" s="191">
        <f t="shared" ref="AB73" si="1498">(Z73-AA73)/Z73</f>
        <v>2.0209443208336359E-2</v>
      </c>
      <c r="AC73" s="211">
        <v>109.089</v>
      </c>
      <c r="AD73" s="211">
        <v>1559.029</v>
      </c>
      <c r="AE73" s="211">
        <v>1147.1579999999999</v>
      </c>
      <c r="AF73" s="211">
        <v>411.87099999999998</v>
      </c>
      <c r="AG73" s="191">
        <f t="shared" si="1322"/>
        <v>-1.8197332997465177E-2</v>
      </c>
      <c r="AH73" s="163"/>
      <c r="AI73" s="211">
        <v>687.83</v>
      </c>
      <c r="AJ73" s="247">
        <f t="shared" si="11"/>
        <v>22.927666666666667</v>
      </c>
      <c r="AK73" s="211">
        <v>504.38</v>
      </c>
      <c r="AL73" s="211">
        <v>100.435</v>
      </c>
      <c r="AM73" s="190">
        <f t="shared" ref="AM73" si="1499">AK73*2/AJ73</f>
        <v>43.997499382114768</v>
      </c>
      <c r="AN73" s="190">
        <f t="shared" ref="AN73" si="1500">AM73-J73</f>
        <v>-0.30583069442000266</v>
      </c>
      <c r="AO73" s="211">
        <v>268.99700000000001</v>
      </c>
      <c r="AP73" s="211">
        <v>160.38200000000001</v>
      </c>
      <c r="AQ73" s="190">
        <f t="shared" ref="AQ73" si="1501">AO73/AJ73</f>
        <v>11.732419347803964</v>
      </c>
      <c r="AR73" s="190">
        <f t="shared" ref="AR73" si="1502">AQ73-W73</f>
        <v>-1.6237222787145456E-2</v>
      </c>
      <c r="AS73" s="190">
        <f t="shared" ref="AS73" si="1503">AM73+AQ73</f>
        <v>55.72991872991873</v>
      </c>
      <c r="AT73" s="211">
        <v>1208.731</v>
      </c>
      <c r="AU73" s="247">
        <f t="shared" si="16"/>
        <v>40.291033333333331</v>
      </c>
      <c r="AV73" s="211">
        <v>893.53800000000001</v>
      </c>
      <c r="AW73" s="211">
        <v>71.099999999999994</v>
      </c>
      <c r="AX73" s="190">
        <f t="shared" ref="AX73" si="1504">AV73*2/AU73</f>
        <v>44.354186332608336</v>
      </c>
      <c r="AY73" s="190">
        <f t="shared" ref="AY73" si="1505">AX73-J73</f>
        <v>5.0856256073565476E-2</v>
      </c>
      <c r="AZ73" s="211">
        <v>481.25900000000001</v>
      </c>
      <c r="BA73" s="211">
        <v>150.24</v>
      </c>
      <c r="BB73" s="190">
        <f t="shared" ref="BB73" si="1506">AZ73/AU73</f>
        <v>11.944568311725273</v>
      </c>
      <c r="BC73" s="190">
        <f t="shared" ref="BC73" si="1507">BB73-W73</f>
        <v>0.19591174113416443</v>
      </c>
      <c r="BD73" s="247">
        <f t="shared" ref="BD73" si="1508">AX73+BB73</f>
        <v>56.298754644333613</v>
      </c>
      <c r="BE73" s="211">
        <v>1317.875</v>
      </c>
      <c r="BF73" s="247">
        <f t="shared" si="58"/>
        <v>43.929166666666667</v>
      </c>
      <c r="BG73" s="211">
        <v>974.20899999999995</v>
      </c>
      <c r="BH73" s="211">
        <v>131.14500000000001</v>
      </c>
      <c r="BI73" s="190">
        <f t="shared" ref="BI73" si="1509">BG73*2/BF73</f>
        <v>44.353629896613867</v>
      </c>
      <c r="BJ73" s="190">
        <f t="shared" ref="BJ73" si="1510">BI73-J73</f>
        <v>5.0299820079096946E-2</v>
      </c>
      <c r="BK73" s="211">
        <v>512.98699999999997</v>
      </c>
      <c r="BL73" s="211">
        <v>211.88499999999999</v>
      </c>
      <c r="BM73" s="190">
        <f t="shared" ref="BM73" si="1511">BK73/BF73</f>
        <v>11.677594612539124</v>
      </c>
      <c r="BN73" s="190">
        <f t="shared" ref="BN73" si="1512">BM73-W73</f>
        <v>-7.1061958051984675E-2</v>
      </c>
      <c r="BO73" s="247">
        <f t="shared" ref="BO73" si="1513">BM73+BI73</f>
        <v>56.031224509152992</v>
      </c>
      <c r="BP73" s="211">
        <v>960.83399999999995</v>
      </c>
      <c r="BQ73" s="247">
        <f t="shared" si="26"/>
        <v>32.027799999999999</v>
      </c>
      <c r="BR73" s="211">
        <v>716.11</v>
      </c>
      <c r="BS73" s="211">
        <v>83.150999999999996</v>
      </c>
      <c r="BT73" s="190">
        <f t="shared" ref="BT73" si="1514">BR73*2/BQ73</f>
        <v>44.71802621472596</v>
      </c>
      <c r="BU73" s="190">
        <f t="shared" ref="BU73" si="1515">BT73-J73</f>
        <v>0.41469613819118933</v>
      </c>
      <c r="BV73" s="211">
        <v>374.03500000000003</v>
      </c>
      <c r="BW73" s="211">
        <v>217.14699999999999</v>
      </c>
      <c r="BX73" s="190">
        <f t="shared" ref="BX73" si="1516">BV73/BQ73</f>
        <v>11.678448098214677</v>
      </c>
      <c r="BY73" s="190">
        <f t="shared" ref="BY73" si="1517">BX73-W73</f>
        <v>-7.020847237643224E-2</v>
      </c>
      <c r="BZ73" s="194">
        <f t="shared" ref="BZ73" si="1518">BT73+BX73</f>
        <v>56.39647431294064</v>
      </c>
      <c r="CA73" s="211">
        <v>745.37800000000004</v>
      </c>
      <c r="CB73" s="247">
        <f t="shared" si="32"/>
        <v>24.845933333333335</v>
      </c>
      <c r="CC73" s="211">
        <v>545.471</v>
      </c>
      <c r="CD73" s="211">
        <v>64.494</v>
      </c>
      <c r="CE73" s="190">
        <f t="shared" ref="CE73" si="1519">CC73*2/CB73</f>
        <v>43.908272044519691</v>
      </c>
      <c r="CF73" s="190">
        <f t="shared" ref="CF73" si="1520">CE73-J73</f>
        <v>-0.39505803201507916</v>
      </c>
      <c r="CG73" s="211">
        <v>281.12900000000002</v>
      </c>
      <c r="CH73" s="211">
        <v>60.877000000000002</v>
      </c>
      <c r="CI73" s="190">
        <f t="shared" ref="CI73" si="1521">CG73/CB73</f>
        <v>11.314889894791635</v>
      </c>
      <c r="CJ73" s="190">
        <f t="shared" ref="CJ73" si="1522">CI73-W73</f>
        <v>-0.43376667579947359</v>
      </c>
      <c r="CK73" s="194">
        <f t="shared" ref="CK73" si="1523">CI73+CE73</f>
        <v>55.223161939311325</v>
      </c>
      <c r="CL73" s="211">
        <v>974.71199999999999</v>
      </c>
      <c r="CM73" s="247">
        <f t="shared" si="60"/>
        <v>32.490400000000001</v>
      </c>
      <c r="CN73" s="211">
        <v>719.36</v>
      </c>
      <c r="CO73" s="211">
        <v>62.070999999999998</v>
      </c>
      <c r="CP73" s="190">
        <f t="shared" ref="CP73" si="1524">CN73*2/CM73</f>
        <v>44.281387732991895</v>
      </c>
      <c r="CQ73" s="190">
        <f t="shared" ref="CQ73" si="1525">CP73-J73</f>
        <v>-2.1942343542875165E-2</v>
      </c>
      <c r="CR73" s="211">
        <v>390.34500000000003</v>
      </c>
      <c r="CS73" s="211">
        <v>114.913</v>
      </c>
      <c r="CT73" s="190">
        <f t="shared" ref="CT73" si="1526">CR73/CM73</f>
        <v>12.014164183882009</v>
      </c>
      <c r="CU73" s="190">
        <f t="shared" ref="CU73" si="1527">CT73-W73</f>
        <v>0.26550761329090022</v>
      </c>
      <c r="CV73" s="247">
        <f t="shared" ref="CV73" si="1528">CP73+CT73</f>
        <v>56.295551916873904</v>
      </c>
      <c r="CW73" s="163"/>
      <c r="CX73" s="196">
        <f t="shared" ref="CX73" si="1529">C73-AJ73-AU73-BF73-BQ73-CB73-CM73</f>
        <v>0</v>
      </c>
      <c r="CY73" s="196">
        <f t="shared" ref="CY73" si="1530">F73-AK73-AV73-BG73-BR73-CC73-CN73</f>
        <v>0</v>
      </c>
      <c r="CZ73" s="196">
        <f t="shared" ref="CZ73" si="1531">I73-AL73-AW73-BH73-BS73-CD73-CO73</f>
        <v>0</v>
      </c>
      <c r="DA73" s="196">
        <f t="shared" ref="DA73" si="1532">O73-AO73-AZ73-BK73-BV73-CG73-CR73</f>
        <v>0</v>
      </c>
      <c r="DB73" s="196">
        <f t="shared" ref="DB73" si="1533">Q73-AP73-BA73-BL73-BW73-CH73-CS73</f>
        <v>0</v>
      </c>
      <c r="DC73" s="196">
        <f t="shared" ref="DC73" si="1534">P73-Q73-R73-S73</f>
        <v>0</v>
      </c>
      <c r="DD73" s="163"/>
      <c r="DE73" s="200">
        <v>186.114</v>
      </c>
      <c r="DF73" s="200">
        <v>105.473</v>
      </c>
      <c r="DG73" s="200">
        <v>34.393999999999998</v>
      </c>
      <c r="DH73" s="191">
        <f t="shared" si="61"/>
        <v>0.56671180029444312</v>
      </c>
      <c r="DI73" s="197">
        <v>156.81800000000001</v>
      </c>
      <c r="DJ73" s="191">
        <f t="shared" si="48"/>
        <v>0.42129555003922331</v>
      </c>
      <c r="DK73" s="197">
        <v>142.92500000000001</v>
      </c>
      <c r="DL73" s="197">
        <v>137.88200000000001</v>
      </c>
      <c r="DM73" s="191">
        <f t="shared" si="62"/>
        <v>3.5284239986006716E-2</v>
      </c>
      <c r="DN73" s="200">
        <v>143.15700000000001</v>
      </c>
      <c r="DO73" s="200">
        <v>67.096000000000004</v>
      </c>
      <c r="DP73" s="200">
        <v>117.91800000000001</v>
      </c>
      <c r="DQ73" s="200">
        <f t="shared" ref="DQ73" si="1535">DP73+DO73</f>
        <v>185.01400000000001</v>
      </c>
      <c r="DR73" s="191">
        <f t="shared" ref="DR73" si="1536">DJ73+DH73</f>
        <v>0.98800735033366638</v>
      </c>
      <c r="DS73" s="199">
        <f t="shared" si="1405"/>
        <v>0.91140685380504793</v>
      </c>
      <c r="DT73" s="200">
        <v>139.26599999999999</v>
      </c>
      <c r="DU73" s="200">
        <v>59.258000000000003</v>
      </c>
      <c r="DV73" s="200">
        <v>13.461</v>
      </c>
      <c r="DW73" s="191">
        <f t="shared" ref="DW73:DW120" si="1537">DU73/DT73</f>
        <v>0.42550227621960857</v>
      </c>
      <c r="DX73" s="197">
        <v>37.847999999999999</v>
      </c>
      <c r="DY73" s="191">
        <f t="shared" ref="DY73:DY101" si="1538">DX73/DT73/2</f>
        <v>0.13588384817543406</v>
      </c>
      <c r="DZ73" s="197">
        <v>41.232999999999997</v>
      </c>
      <c r="EA73" s="197">
        <v>39.883000000000003</v>
      </c>
      <c r="EB73" s="191">
        <f t="shared" si="52"/>
        <v>3.2740765891397516E-2</v>
      </c>
      <c r="EC73" s="200">
        <v>38.392000000000003</v>
      </c>
      <c r="ED73" s="200">
        <v>24.103999999999999</v>
      </c>
      <c r="EE73" s="200">
        <v>26.047000000000001</v>
      </c>
      <c r="EF73" s="195">
        <f t="shared" si="1449"/>
        <v>50.150999999999996</v>
      </c>
      <c r="EG73" s="191">
        <f t="shared" si="1450"/>
        <v>0.56138612439504265</v>
      </c>
      <c r="EJ73" s="202">
        <f t="shared" si="1363"/>
        <v>12.678193548387096</v>
      </c>
      <c r="EK73" s="202">
        <f>'NOPA Crush'!B498*56/('NOPA Crush'!A498-'NOPA Crush'!A497)</f>
        <v>11.838213921801627</v>
      </c>
      <c r="EL73" s="203">
        <f t="shared" si="1451"/>
        <v>1.0709549288544733</v>
      </c>
      <c r="EM73" s="202">
        <f t="shared" si="1406"/>
        <v>6.0036774193548386</v>
      </c>
      <c r="EN73" s="202">
        <f t="shared" si="1407"/>
        <v>8.9849032258064523E-3</v>
      </c>
      <c r="EO73" s="202">
        <f t="shared" si="1452"/>
        <v>18.690855870967741</v>
      </c>
    </row>
    <row r="74" spans="1:145">
      <c r="A74" s="157">
        <v>44228</v>
      </c>
      <c r="B74" s="186">
        <v>4930.4989999999998</v>
      </c>
      <c r="C74" s="187">
        <f t="shared" ref="C74:C75" si="1539">B74/30</f>
        <v>164.34996666666666</v>
      </c>
      <c r="D74" s="247">
        <f>C74-'NOPA Crush'!G499</f>
        <v>9.1919666666666728</v>
      </c>
      <c r="E74" s="188">
        <f>C74/'NOPA Crush'!G499-1</f>
        <v>5.9242621499804526E-2</v>
      </c>
      <c r="F74" s="189">
        <v>3652.5740000000001</v>
      </c>
      <c r="G74" s="189">
        <v>3607.78</v>
      </c>
      <c r="H74" s="189">
        <v>44.793999999999997</v>
      </c>
      <c r="I74" s="189">
        <v>544.178</v>
      </c>
      <c r="J74" s="190">
        <f t="shared" ref="J74" si="1540">F74*2/C74</f>
        <v>44.448734296467762</v>
      </c>
      <c r="K74" s="190">
        <f t="shared" ref="K74" si="1541">(F74+M74)*2/C74</f>
        <v>47.686909580551585</v>
      </c>
      <c r="L74" s="190">
        <f>K74-'NOPA Crush'!J499</f>
        <v>4.6909580551584895E-2</v>
      </c>
      <c r="M74" s="189">
        <v>266.09699999999998</v>
      </c>
      <c r="N74" s="189">
        <v>39.884999999999998</v>
      </c>
      <c r="O74" s="189">
        <v>1924.749</v>
      </c>
      <c r="P74" s="189">
        <v>1870.825</v>
      </c>
      <c r="Q74" s="189">
        <v>953.46400000000006</v>
      </c>
      <c r="R74" s="189">
        <v>293.65600000000001</v>
      </c>
      <c r="S74" s="189">
        <v>623.70500000000004</v>
      </c>
      <c r="T74" s="189">
        <v>435.16300000000001</v>
      </c>
      <c r="U74" s="189">
        <f>(P74+T74)-'NOPA Crush'!Q499</f>
        <v>548.66700000000037</v>
      </c>
      <c r="V74" s="191">
        <f>((P74+T74)/'NOPA Crush'!Q499)-1</f>
        <v>0.31221785888861531</v>
      </c>
      <c r="W74" s="190">
        <f t="shared" ref="W74" si="1542">O74/C74</f>
        <v>11.71128317843691</v>
      </c>
      <c r="X74" s="190">
        <f>W74-'NOPA Crush'!O499</f>
        <v>1.1283178436910291E-2</v>
      </c>
      <c r="Y74" s="190">
        <f t="shared" si="720"/>
        <v>59.398192758988493</v>
      </c>
      <c r="Z74" s="211">
        <v>1473.7139999999999</v>
      </c>
      <c r="AA74" s="211">
        <v>1444.5419999999999</v>
      </c>
      <c r="AB74" s="191">
        <f t="shared" ref="AB74:AB75" si="1543">(Z74-AA74)/Z74</f>
        <v>1.9794885574813043E-2</v>
      </c>
      <c r="AC74" s="211">
        <v>90.728999999999999</v>
      </c>
      <c r="AD74" s="211">
        <v>1435.7829999999999</v>
      </c>
      <c r="AE74" s="211">
        <v>1099.893</v>
      </c>
      <c r="AF74" s="211">
        <v>335.89</v>
      </c>
      <c r="AG74" s="191">
        <f t="shared" si="1322"/>
        <v>-6.0635135565459963E-3</v>
      </c>
      <c r="AI74" s="211">
        <v>564.36400000000003</v>
      </c>
      <c r="AJ74" s="247">
        <f t="shared" si="11"/>
        <v>18.812133333333335</v>
      </c>
      <c r="AK74" s="211">
        <v>412.46800000000002</v>
      </c>
      <c r="AL74" s="211">
        <v>115.901</v>
      </c>
      <c r="AM74" s="190">
        <f t="shared" ref="AM74" si="1544">AK74*2/AJ74</f>
        <v>43.851273291705347</v>
      </c>
      <c r="AN74" s="190">
        <f t="shared" ref="AN74" si="1545">AM74-J74</f>
        <v>-0.59746100476241537</v>
      </c>
      <c r="AO74" s="211">
        <v>218.358</v>
      </c>
      <c r="AP74" s="211">
        <v>165.256</v>
      </c>
      <c r="AQ74" s="190">
        <f t="shared" ref="AQ74" si="1546">AO74/AJ74</f>
        <v>11.607296000453607</v>
      </c>
      <c r="AR74" s="190">
        <f t="shared" ref="AR74" si="1547">AQ74-W74</f>
        <v>-0.10398717798330281</v>
      </c>
      <c r="AS74" s="190">
        <f t="shared" ref="AS74" si="1548">AM74+AQ74</f>
        <v>55.458569292158955</v>
      </c>
      <c r="AT74" s="211">
        <v>1006.599</v>
      </c>
      <c r="AU74" s="247">
        <f t="shared" si="16"/>
        <v>33.5533</v>
      </c>
      <c r="AV74" s="211">
        <v>745.79200000000003</v>
      </c>
      <c r="AW74" s="211">
        <v>77.897000000000006</v>
      </c>
      <c r="AX74" s="190">
        <f t="shared" ref="AX74" si="1549">AV74*2/AU74</f>
        <v>44.454166952281895</v>
      </c>
      <c r="AY74" s="190">
        <f t="shared" ref="AY74" si="1550">AX74-J74</f>
        <v>5.4326558141326586E-3</v>
      </c>
      <c r="AZ74" s="211">
        <v>403.78300000000002</v>
      </c>
      <c r="BA74" s="211">
        <v>167.119</v>
      </c>
      <c r="BB74" s="190">
        <f t="shared" ref="BB74" si="1551">AZ74/AU74</f>
        <v>12.034077125051784</v>
      </c>
      <c r="BC74" s="190">
        <f t="shared" ref="BC74" si="1552">BB74-W74</f>
        <v>0.32279394661487437</v>
      </c>
      <c r="BD74" s="247">
        <f t="shared" ref="BD74" si="1553">AX74+BB74</f>
        <v>56.488244077333675</v>
      </c>
      <c r="BE74" s="211">
        <v>1148.6569999999999</v>
      </c>
      <c r="BF74" s="247">
        <f t="shared" si="58"/>
        <v>38.288566666666661</v>
      </c>
      <c r="BG74" s="211">
        <v>852.00099999999998</v>
      </c>
      <c r="BH74" s="211">
        <v>145.74100000000001</v>
      </c>
      <c r="BI74" s="190">
        <f t="shared" ref="BI74" si="1554">BG74*2/BF74</f>
        <v>44.504199251821916</v>
      </c>
      <c r="BJ74" s="190">
        <f t="shared" ref="BJ74" si="1555">BI74-J74</f>
        <v>5.5464955354153744E-2</v>
      </c>
      <c r="BK74" s="211">
        <v>445.82600000000002</v>
      </c>
      <c r="BL74" s="211">
        <v>206.60300000000001</v>
      </c>
      <c r="BM74" s="190">
        <f t="shared" ref="BM74" si="1556">BK74/BF74</f>
        <v>11.643841460070329</v>
      </c>
      <c r="BN74" s="190">
        <f t="shared" ref="BN74" si="1557">BM74-W74</f>
        <v>-6.7441718366580972E-2</v>
      </c>
      <c r="BO74" s="247">
        <f t="shared" ref="BO74" si="1558">BM74+BI74</f>
        <v>56.148040711892243</v>
      </c>
      <c r="BP74" s="211">
        <v>834.27599999999995</v>
      </c>
      <c r="BQ74" s="247">
        <f t="shared" si="26"/>
        <v>27.809199999999997</v>
      </c>
      <c r="BR74" s="211">
        <v>629.94100000000003</v>
      </c>
      <c r="BS74" s="211">
        <v>88.176000000000002</v>
      </c>
      <c r="BT74" s="190">
        <f t="shared" ref="BT74" si="1559">BR74*2/BQ74</f>
        <v>45.304503545589235</v>
      </c>
      <c r="BU74" s="190">
        <f t="shared" ref="BU74" si="1560">BT74-J74</f>
        <v>0.85576924912147234</v>
      </c>
      <c r="BV74" s="211">
        <v>310.46100000000001</v>
      </c>
      <c r="BW74" s="211">
        <v>228.31800000000001</v>
      </c>
      <c r="BX74" s="190">
        <f t="shared" ref="BX74" si="1561">BV74/BQ74</f>
        <v>11.163967320167428</v>
      </c>
      <c r="BY74" s="190">
        <f t="shared" ref="BY74" si="1562">BX74-W74</f>
        <v>-0.54731585826948148</v>
      </c>
      <c r="BZ74" s="194">
        <f t="shared" ref="BZ74" si="1563">BT74+BX74</f>
        <v>56.468470865756665</v>
      </c>
      <c r="CA74" s="211">
        <v>634.44399999999996</v>
      </c>
      <c r="CB74" s="247">
        <f t="shared" si="32"/>
        <v>21.14813333333333</v>
      </c>
      <c r="CC74" s="211">
        <v>466.87400000000002</v>
      </c>
      <c r="CD74" s="211">
        <v>46.045000000000002</v>
      </c>
      <c r="CE74" s="190">
        <f t="shared" ref="CE74" si="1564">CC74*2/CB74</f>
        <v>44.1527384607625</v>
      </c>
      <c r="CF74" s="190">
        <f t="shared" ref="CF74" si="1565">CE74-J74</f>
        <v>-0.29599583570526278</v>
      </c>
      <c r="CG74" s="211">
        <v>240.881</v>
      </c>
      <c r="CH74" s="211">
        <v>63.473999999999997</v>
      </c>
      <c r="CI74" s="190">
        <f t="shared" ref="CI74" si="1566">CG74/CB74</f>
        <v>11.390177856516889</v>
      </c>
      <c r="CJ74" s="190">
        <f t="shared" ref="CJ74" si="1567">CI74-W74</f>
        <v>-0.32110532192002061</v>
      </c>
      <c r="CK74" s="194">
        <f t="shared" ref="CK74" si="1568">CI74+CE74</f>
        <v>55.542916317279392</v>
      </c>
      <c r="CL74" s="211">
        <v>742.15899999999999</v>
      </c>
      <c r="CM74" s="247">
        <f t="shared" si="60"/>
        <v>24.738633333333333</v>
      </c>
      <c r="CN74" s="211">
        <v>545.49800000000005</v>
      </c>
      <c r="CO74" s="211">
        <v>70.418000000000006</v>
      </c>
      <c r="CP74" s="190">
        <f t="shared" ref="CP74" si="1569">CN74*2/CM74</f>
        <v>44.100900211410227</v>
      </c>
      <c r="CQ74" s="190">
        <f t="shared" ref="CQ74" si="1570">CP74-J74</f>
        <v>-0.34783408505753499</v>
      </c>
      <c r="CR74" s="211">
        <v>305.44</v>
      </c>
      <c r="CS74" s="211">
        <v>122.694</v>
      </c>
      <c r="CT74" s="190">
        <f t="shared" ref="CT74" si="1571">CR74/CM74</f>
        <v>12.346680428317921</v>
      </c>
      <c r="CU74" s="190">
        <f t="shared" ref="CU74" si="1572">CT74-W74</f>
        <v>0.63539724988101121</v>
      </c>
      <c r="CV74" s="247">
        <f t="shared" ref="CV74" si="1573">CP74+CT74</f>
        <v>56.447580639728145</v>
      </c>
      <c r="CW74" s="163"/>
      <c r="CX74" s="196">
        <f t="shared" ref="CX74" si="1574">C74-AJ74-AU74-BF74-BQ74-CB74-CM74</f>
        <v>0</v>
      </c>
      <c r="CY74" s="196">
        <f t="shared" ref="CY74" si="1575">F74-AK74-AV74-BG74-BR74-CC74-CN74</f>
        <v>0</v>
      </c>
      <c r="CZ74" s="196">
        <f t="shared" ref="CZ74" si="1576">I74-AL74-AW74-BH74-BS74-CD74-CO74</f>
        <v>0</v>
      </c>
      <c r="DA74" s="196">
        <f t="shared" ref="DA74" si="1577">O74-AO74-AZ74-BK74-BV74-CG74-CR74</f>
        <v>0</v>
      </c>
      <c r="DB74" s="196">
        <f t="shared" ref="DB74" si="1578">Q74-AP74-BA74-BL74-BW74-CH74-CS74</f>
        <v>0</v>
      </c>
      <c r="DC74" s="196">
        <f t="shared" ref="DC74" si="1579">P74-Q74-R74-S74</f>
        <v>0</v>
      </c>
      <c r="DD74" s="163"/>
      <c r="DE74" s="200">
        <v>162.67500000000001</v>
      </c>
      <c r="DF74" s="200">
        <v>94.84</v>
      </c>
      <c r="DG74" s="200">
        <v>33.429000000000002</v>
      </c>
      <c r="DH74" s="191">
        <f t="shared" si="61"/>
        <v>0.58300291993238051</v>
      </c>
      <c r="DI74" s="197">
        <v>136.767</v>
      </c>
      <c r="DJ74" s="191">
        <f t="shared" si="48"/>
        <v>0.42036883356385429</v>
      </c>
      <c r="DK74" s="197">
        <v>140.84</v>
      </c>
      <c r="DL74" s="197">
        <v>136.03100000000001</v>
      </c>
      <c r="DM74" s="191">
        <f t="shared" si="62"/>
        <v>3.4145129224652071E-2</v>
      </c>
      <c r="DN74" s="200">
        <v>147.84899999999999</v>
      </c>
      <c r="DO74" s="200">
        <v>55.844000000000001</v>
      </c>
      <c r="DP74" s="200">
        <v>81.667000000000002</v>
      </c>
      <c r="DQ74" s="200">
        <f t="shared" ref="DQ74" si="1580">DP74+DO74</f>
        <v>137.511</v>
      </c>
      <c r="DR74" s="191">
        <f t="shared" ref="DR74" si="1581">DJ74+DH74</f>
        <v>1.0033717534962348</v>
      </c>
      <c r="DS74" s="199">
        <f t="shared" si="1405"/>
        <v>1.029780575723676</v>
      </c>
      <c r="DT74" s="200">
        <v>104.256</v>
      </c>
      <c r="DU74" s="200">
        <v>49.642000000000003</v>
      </c>
      <c r="DV74" s="200">
        <v>18.617000000000001</v>
      </c>
      <c r="DW74" s="191">
        <f t="shared" si="1537"/>
        <v>0.4761548496009822</v>
      </c>
      <c r="DX74" s="197">
        <v>30.911000000000001</v>
      </c>
      <c r="DY74" s="191">
        <f t="shared" si="1538"/>
        <v>0.14824566451810928</v>
      </c>
      <c r="DZ74" s="197">
        <v>25.577999999999999</v>
      </c>
      <c r="EA74" s="197">
        <v>24.925000000000001</v>
      </c>
      <c r="EB74" s="191">
        <f t="shared" si="52"/>
        <v>2.5529752130737271E-2</v>
      </c>
      <c r="EC74" s="200">
        <v>34.426000000000002</v>
      </c>
      <c r="ED74" s="200">
        <v>29.212</v>
      </c>
      <c r="EE74" s="200">
        <v>16.212</v>
      </c>
      <c r="EF74" s="195">
        <f t="shared" ref="EF74" si="1582">EE74+ED74</f>
        <v>45.423999999999999</v>
      </c>
      <c r="EG74" s="191">
        <f t="shared" ref="EG74" si="1583">DY74+DW74</f>
        <v>0.62440051411909148</v>
      </c>
      <c r="EJ74" s="202">
        <f t="shared" si="1363"/>
        <v>11.739283333333335</v>
      </c>
      <c r="EK74" s="202">
        <f>'NOPA Crush'!B499*56/('NOPA Crush'!A499-'NOPA Crush'!A498)</f>
        <v>11.775612758553052</v>
      </c>
      <c r="EL74" s="203">
        <f t="shared" si="1451"/>
        <v>0.99691485904261501</v>
      </c>
      <c r="EM74" s="202">
        <f t="shared" si="1406"/>
        <v>5.8098214285714294</v>
      </c>
      <c r="EN74" s="202">
        <f t="shared" si="1407"/>
        <v>7.4468571428571431E-3</v>
      </c>
      <c r="EO74" s="202">
        <f t="shared" si="1452"/>
        <v>17.556551619047621</v>
      </c>
    </row>
    <row r="75" spans="1:145">
      <c r="A75" s="157">
        <v>44256</v>
      </c>
      <c r="B75" s="186">
        <v>5646.7280000000001</v>
      </c>
      <c r="C75" s="187">
        <f t="shared" si="1539"/>
        <v>188.22426666666667</v>
      </c>
      <c r="D75" s="247">
        <f>C75-'NOPA Crush'!G500</f>
        <v>10.240266666666656</v>
      </c>
      <c r="E75" s="188">
        <f>C75/'NOPA Crush'!G500-1</f>
        <v>5.7534759678772529E-2</v>
      </c>
      <c r="F75" s="189">
        <v>4181.3</v>
      </c>
      <c r="G75" s="189">
        <v>4128.6859999999997</v>
      </c>
      <c r="H75" s="189">
        <v>52.613999999999997</v>
      </c>
      <c r="I75" s="189">
        <v>415.41800000000001</v>
      </c>
      <c r="J75" s="190">
        <f t="shared" ref="J75" si="1584">F75*2/C75</f>
        <v>44.428915293954304</v>
      </c>
      <c r="K75" s="190">
        <f t="shared" ref="K75" si="1585">(F75+M75)*2/C75</f>
        <v>47.566523480500571</v>
      </c>
      <c r="L75" s="190">
        <f>K75-'NOPA Crush'!J500</f>
        <v>-3.476519499429287E-3</v>
      </c>
      <c r="M75" s="189">
        <v>295.28699999999998</v>
      </c>
      <c r="N75" s="189">
        <v>32.322000000000003</v>
      </c>
      <c r="O75" s="189">
        <v>2222.123</v>
      </c>
      <c r="P75" s="189">
        <v>1864.1</v>
      </c>
      <c r="Q75" s="189">
        <v>881.36300000000006</v>
      </c>
      <c r="R75" s="189">
        <v>283.755</v>
      </c>
      <c r="S75" s="189">
        <v>698.98199999999997</v>
      </c>
      <c r="T75" s="189">
        <v>381.178</v>
      </c>
      <c r="U75" s="189">
        <f>(P75+T75)-'NOPA Crush'!Q500</f>
        <v>474.19699999999989</v>
      </c>
      <c r="V75" s="191">
        <f>((P75+T75)/'NOPA Crush'!Q500)-1</f>
        <v>0.26774438887888241</v>
      </c>
      <c r="W75" s="190">
        <f>O75/C75</f>
        <v>11.805720055933277</v>
      </c>
      <c r="X75" s="190">
        <f>W75-'NOPA Crush'!O500</f>
        <v>-3.4279944066723189E-2</v>
      </c>
      <c r="Y75" s="190">
        <f t="shared" si="720"/>
        <v>59.372243536433849</v>
      </c>
      <c r="Z75" s="211">
        <v>1799.682</v>
      </c>
      <c r="AA75" s="211">
        <v>1756.2929999999999</v>
      </c>
      <c r="AB75" s="191">
        <f t="shared" si="1543"/>
        <v>2.410925930247684E-2</v>
      </c>
      <c r="AC75" s="211">
        <v>168.184</v>
      </c>
      <c r="AD75" s="211">
        <v>1809.5820000000001</v>
      </c>
      <c r="AE75" s="211">
        <v>1262.8530000000001</v>
      </c>
      <c r="AF75" s="211">
        <v>546.72900000000004</v>
      </c>
      <c r="AG75" s="191">
        <f t="shared" si="1322"/>
        <v>3.0341748216271558E-2</v>
      </c>
      <c r="AI75" s="211">
        <v>650.30499999999995</v>
      </c>
      <c r="AJ75" s="247">
        <f t="shared" si="11"/>
        <v>21.676833333333331</v>
      </c>
      <c r="AK75" s="211">
        <v>474.1</v>
      </c>
      <c r="AL75" s="211">
        <v>71.221999999999994</v>
      </c>
      <c r="AM75" s="190">
        <f t="shared" ref="AM75" si="1586">AK75*2/AJ75</f>
        <v>43.742551571954706</v>
      </c>
      <c r="AN75" s="190">
        <f t="shared" ref="AN75" si="1587">AM75-J75</f>
        <v>-0.68636372199959794</v>
      </c>
      <c r="AO75" s="211">
        <v>257.14400000000001</v>
      </c>
      <c r="AP75" s="211">
        <v>116.301</v>
      </c>
      <c r="AQ75" s="190">
        <f t="shared" ref="AQ75" si="1588">AO75/AJ75</f>
        <v>11.862618309869985</v>
      </c>
      <c r="AR75" s="190">
        <f t="shared" ref="AR75" si="1589">AQ75-W75</f>
        <v>5.6898253936708443E-2</v>
      </c>
      <c r="AS75" s="190">
        <f t="shared" ref="AS75" si="1590">AM75+AQ75</f>
        <v>55.605169881824693</v>
      </c>
      <c r="AT75" s="211">
        <v>1184.1030000000001</v>
      </c>
      <c r="AU75" s="247">
        <f t="shared" si="16"/>
        <v>39.470100000000002</v>
      </c>
      <c r="AV75" s="211">
        <v>877.85900000000004</v>
      </c>
      <c r="AW75" s="211">
        <v>58.25</v>
      </c>
      <c r="AX75" s="190">
        <f t="shared" ref="AX75" si="1591">AV75*2/AU75</f>
        <v>44.482228319664756</v>
      </c>
      <c r="AY75" s="190">
        <f t="shared" ref="AY75" si="1592">AX75-J75</f>
        <v>5.3313025710451711E-2</v>
      </c>
      <c r="AZ75" s="211">
        <v>473.76</v>
      </c>
      <c r="BA75" s="211">
        <v>159.09100000000001</v>
      </c>
      <c r="BB75" s="190">
        <f t="shared" ref="BB75" si="1593">AZ75/AU75</f>
        <v>12.003009873296495</v>
      </c>
      <c r="BC75" s="190">
        <f t="shared" ref="BC75" si="1594">BB75-W75</f>
        <v>0.19728981736321849</v>
      </c>
      <c r="BD75" s="247">
        <f t="shared" ref="BD75" si="1595">AX75+BB75</f>
        <v>56.485238192961248</v>
      </c>
      <c r="BE75" s="211">
        <v>1249.03</v>
      </c>
      <c r="BF75" s="247">
        <f t="shared" si="58"/>
        <v>41.634333333333331</v>
      </c>
      <c r="BG75" s="211">
        <v>922.99900000000002</v>
      </c>
      <c r="BH75" s="211">
        <v>137.61600000000001</v>
      </c>
      <c r="BI75" s="190">
        <f t="shared" ref="BI75" si="1596">BG75*2/BF75</f>
        <v>44.338358566247415</v>
      </c>
      <c r="BJ75" s="190">
        <f t="shared" ref="BJ75" si="1597">BI75-J75</f>
        <v>-9.0556727706889717E-2</v>
      </c>
      <c r="BK75" s="211">
        <v>486.45699999999999</v>
      </c>
      <c r="BL75" s="211">
        <v>186.154</v>
      </c>
      <c r="BM75" s="190">
        <f t="shared" ref="BM75" si="1598">BK75/BF75</f>
        <v>11.684034811013348</v>
      </c>
      <c r="BN75" s="190">
        <f t="shared" ref="BN75" si="1599">BM75-W75</f>
        <v>-0.12168524491992905</v>
      </c>
      <c r="BO75" s="247">
        <f t="shared" ref="BO75" si="1600">BM75+BI75</f>
        <v>56.022393377260762</v>
      </c>
      <c r="BP75" s="211">
        <v>948.47500000000002</v>
      </c>
      <c r="BQ75" s="247">
        <f t="shared" si="26"/>
        <v>31.615833333333335</v>
      </c>
      <c r="BR75" s="211">
        <v>709.80100000000004</v>
      </c>
      <c r="BS75" s="211">
        <v>86.272999999999996</v>
      </c>
      <c r="BT75" s="190">
        <f t="shared" ref="BT75" si="1601">BR75*2/BQ75</f>
        <v>44.901615751601256</v>
      </c>
      <c r="BU75" s="190">
        <f t="shared" ref="BU75" si="1602">BT75-J75</f>
        <v>0.47270045764695112</v>
      </c>
      <c r="BV75" s="211">
        <v>365.803</v>
      </c>
      <c r="BW75" s="211">
        <v>253.489</v>
      </c>
      <c r="BX75" s="190">
        <f t="shared" ref="BX75" si="1603">BV75/BQ75</f>
        <v>11.57024697540789</v>
      </c>
      <c r="BY75" s="190">
        <f t="shared" ref="BY75" si="1604">BX75-W75</f>
        <v>-0.23547308052538618</v>
      </c>
      <c r="BZ75" s="194">
        <f t="shared" ref="BZ75" si="1605">BT75+BX75</f>
        <v>56.471862727009146</v>
      </c>
      <c r="CA75" s="211">
        <v>653.91999999999996</v>
      </c>
      <c r="CB75" s="247">
        <f t="shared" si="32"/>
        <v>21.797333333333331</v>
      </c>
      <c r="CC75" s="211">
        <v>479.92899999999997</v>
      </c>
      <c r="CD75" s="211">
        <v>18.042000000000002</v>
      </c>
      <c r="CE75" s="190">
        <f t="shared" ref="CE75" si="1606">CC75*2/CB75</f>
        <v>44.035570100318083</v>
      </c>
      <c r="CF75" s="190">
        <f t="shared" ref="CF75" si="1607">CE75-J75</f>
        <v>-0.39334519363622178</v>
      </c>
      <c r="CG75" s="211">
        <v>252.52</v>
      </c>
      <c r="CH75" s="211">
        <v>68.88</v>
      </c>
      <c r="CI75" s="190">
        <f t="shared" ref="CI75" si="1608">CG75/CB75</f>
        <v>11.584903352092001</v>
      </c>
      <c r="CJ75" s="190">
        <f t="shared" ref="CJ75" si="1609">CI75-W75</f>
        <v>-0.22081670384127605</v>
      </c>
      <c r="CK75" s="194">
        <f t="shared" ref="CK75" si="1610">CI75+CE75</f>
        <v>55.620473452410081</v>
      </c>
      <c r="CL75" s="211">
        <v>960.89499999999998</v>
      </c>
      <c r="CM75" s="247">
        <f t="shared" si="60"/>
        <v>32.029833333333336</v>
      </c>
      <c r="CN75" s="211">
        <v>716.61199999999997</v>
      </c>
      <c r="CO75" s="211">
        <v>44.015000000000001</v>
      </c>
      <c r="CP75" s="190">
        <f t="shared" ref="CP75" si="1611">CN75*2/CM75</f>
        <v>44.74653318000405</v>
      </c>
      <c r="CQ75" s="190">
        <f t="shared" ref="CQ75" si="1612">CP75-J75</f>
        <v>0.31761788604974583</v>
      </c>
      <c r="CR75" s="211">
        <v>386.43900000000002</v>
      </c>
      <c r="CS75" s="211">
        <v>97.447999999999993</v>
      </c>
      <c r="CT75" s="190">
        <f t="shared" ref="CT75" si="1613">CR75/CM75</f>
        <v>12.06497067837797</v>
      </c>
      <c r="CU75" s="190">
        <f t="shared" ref="CU75" si="1614">CT75-W75</f>
        <v>0.25925062244469288</v>
      </c>
      <c r="CV75" s="247">
        <f t="shared" ref="CV75" si="1615">CP75+CT75</f>
        <v>56.811503858382018</v>
      </c>
      <c r="CW75" s="163"/>
      <c r="CX75" s="196">
        <f t="shared" ref="CX75" si="1616">C75-AJ75-AU75-BF75-BQ75-CB75-CM75</f>
        <v>0</v>
      </c>
      <c r="CY75" s="196">
        <f t="shared" ref="CY75" si="1617">F75-AK75-AV75-BG75-BR75-CC75-CN75</f>
        <v>0</v>
      </c>
      <c r="CZ75" s="196">
        <f t="shared" ref="CZ75" si="1618">I75-AL75-AW75-BH75-BS75-CD75-CO75</f>
        <v>0</v>
      </c>
      <c r="DA75" s="196">
        <f t="shared" ref="DA75" si="1619">O75-AO75-AZ75-BK75-BV75-CG75-CR75</f>
        <v>0</v>
      </c>
      <c r="DB75" s="196">
        <f t="shared" ref="DB75" si="1620">Q75-AP75-BA75-BL75-BW75-CH75-CS75</f>
        <v>0</v>
      </c>
      <c r="DC75" s="196">
        <f t="shared" ref="DC75" si="1621">P75-Q75-R75-S75</f>
        <v>0</v>
      </c>
      <c r="DD75" s="163"/>
      <c r="DE75" s="200">
        <v>207.096</v>
      </c>
      <c r="DF75" s="200">
        <v>115.712</v>
      </c>
      <c r="DG75" s="200">
        <v>28.741</v>
      </c>
      <c r="DH75" s="191">
        <f t="shared" si="61"/>
        <v>0.55873604511917174</v>
      </c>
      <c r="DI75" s="197">
        <v>172.196</v>
      </c>
      <c r="DJ75" s="191">
        <f t="shared" si="48"/>
        <v>0.41573956039711052</v>
      </c>
      <c r="DK75" s="197">
        <v>160.68600000000001</v>
      </c>
      <c r="DL75" s="197">
        <v>155.434</v>
      </c>
      <c r="DM75" s="191">
        <f t="shared" si="62"/>
        <v>3.2684863647113094E-2</v>
      </c>
      <c r="DN75" s="200">
        <v>156.72200000000001</v>
      </c>
      <c r="DO75" s="200">
        <v>49.784999999999997</v>
      </c>
      <c r="DP75" s="200">
        <v>78.543000000000006</v>
      </c>
      <c r="DQ75" s="200">
        <f t="shared" ref="DQ75" si="1622">DP75+DO75</f>
        <v>128.328</v>
      </c>
      <c r="DR75" s="191">
        <f t="shared" ref="DR75" si="1623">DJ75+DH75</f>
        <v>0.97447560551628221</v>
      </c>
      <c r="DS75" s="199">
        <f t="shared" si="1405"/>
        <v>0.93315756463564781</v>
      </c>
      <c r="DT75" s="200">
        <v>161.25299999999999</v>
      </c>
      <c r="DU75" s="200">
        <v>70.174999999999997</v>
      </c>
      <c r="DV75" s="200">
        <v>20.344999999999999</v>
      </c>
      <c r="DW75" s="191">
        <f t="shared" si="1537"/>
        <v>0.43518570197143619</v>
      </c>
      <c r="DX75" s="197">
        <v>43.654000000000003</v>
      </c>
      <c r="DY75" s="191">
        <f t="shared" si="1538"/>
        <v>0.13535872200827273</v>
      </c>
      <c r="DZ75" s="197">
        <v>44.451999999999998</v>
      </c>
      <c r="EA75" s="197">
        <v>43.209000000000003</v>
      </c>
      <c r="EB75" s="191">
        <f t="shared" si="52"/>
        <v>2.7962746333123234E-2</v>
      </c>
      <c r="EC75" s="200">
        <v>40.351999999999997</v>
      </c>
      <c r="ED75" s="200">
        <v>29.202000000000002</v>
      </c>
      <c r="EE75" s="200">
        <v>20.989000000000001</v>
      </c>
      <c r="EF75" s="195">
        <f t="shared" ref="EF75" si="1624">EE75+ED75</f>
        <v>50.191000000000003</v>
      </c>
      <c r="EG75" s="191">
        <f t="shared" ref="EG75" si="1625">DY75+DW75</f>
        <v>0.57054442397970895</v>
      </c>
      <c r="EJ75" s="202">
        <f t="shared" si="1363"/>
        <v>12.143501075268818</v>
      </c>
      <c r="EK75" s="202">
        <f>'NOPA Crush'!B500*56/('NOPA Crush'!A500-'NOPA Crush'!A499)</f>
        <v>13.219503539885137</v>
      </c>
      <c r="EL75" s="203">
        <f t="shared" si="1451"/>
        <v>0.91860492632194046</v>
      </c>
      <c r="EM75" s="202">
        <f t="shared" si="1406"/>
        <v>6.6805161290322586</v>
      </c>
      <c r="EN75" s="202">
        <f t="shared" si="1407"/>
        <v>1.0403419354838709E-2</v>
      </c>
      <c r="EO75" s="202">
        <f t="shared" si="1452"/>
        <v>18.834420623655912</v>
      </c>
    </row>
    <row r="76" spans="1:145">
      <c r="A76" s="157">
        <v>44287</v>
      </c>
      <c r="B76" s="186">
        <v>5095.6310000000003</v>
      </c>
      <c r="C76" s="187">
        <f t="shared" ref="C76" si="1626">B76/30</f>
        <v>169.85436666666666</v>
      </c>
      <c r="D76" s="247">
        <f>C76-'NOPA Crush'!G501</f>
        <v>9.5443666666666616</v>
      </c>
      <c r="E76" s="188">
        <f>C76/'NOPA Crush'!G501-1</f>
        <v>5.9536938847649212E-2</v>
      </c>
      <c r="F76" s="189">
        <v>3773.9430000000002</v>
      </c>
      <c r="G76" s="189">
        <v>3731.721</v>
      </c>
      <c r="H76" s="189">
        <v>42.222000000000001</v>
      </c>
      <c r="I76" s="189">
        <v>417.60300000000001</v>
      </c>
      <c r="J76" s="190">
        <f t="shared" ref="J76" si="1627">F76*2/C76</f>
        <v>44.437397448912613</v>
      </c>
      <c r="K76" s="190">
        <f t="shared" ref="K76" si="1628">(F76+M76)*2/C76</f>
        <v>47.625611038161914</v>
      </c>
      <c r="L76" s="190">
        <f>K76-'NOPA Crush'!J501</f>
        <v>8.5611038161914621E-2</v>
      </c>
      <c r="M76" s="189">
        <v>270.76600000000002</v>
      </c>
      <c r="N76" s="189">
        <v>34.402999999999999</v>
      </c>
      <c r="O76" s="189">
        <v>1991.877</v>
      </c>
      <c r="P76" s="189">
        <v>1814.8879999999999</v>
      </c>
      <c r="Q76" s="189">
        <v>945.71799999999996</v>
      </c>
      <c r="R76" s="189">
        <v>264.72399999999999</v>
      </c>
      <c r="S76" s="189">
        <v>604.44600000000003</v>
      </c>
      <c r="T76" s="189">
        <v>362.7</v>
      </c>
      <c r="U76" s="189">
        <f>(P76+T76)-'NOPA Crush'!Q501</f>
        <v>475.32299999999964</v>
      </c>
      <c r="V76" s="191">
        <f>((P76+T76)/'NOPA Crush'!Q501)-1</f>
        <v>0.2792297321509869</v>
      </c>
      <c r="W76" s="190">
        <f t="shared" ref="W76" si="1629">O76/C76</f>
        <v>11.726969633397708</v>
      </c>
      <c r="X76" s="190">
        <f>W76-'NOPA Crush'!O501</f>
        <v>-6.303036660229111E-2</v>
      </c>
      <c r="Y76" s="190">
        <f t="shared" si="720"/>
        <v>59.352580671559622</v>
      </c>
      <c r="Z76" s="211">
        <v>1678.886</v>
      </c>
      <c r="AA76" s="211">
        <v>1642.251</v>
      </c>
      <c r="AB76" s="191">
        <f t="shared" ref="AB76" si="1630">(Z76-AA76)/Z76</f>
        <v>2.1821017031531619E-2</v>
      </c>
      <c r="AC76" s="211">
        <v>107.443</v>
      </c>
      <c r="AD76" s="211">
        <v>1664.1759999999999</v>
      </c>
      <c r="AE76" s="211">
        <v>1215.1410000000001</v>
      </c>
      <c r="AF76" s="211">
        <v>449.03500000000003</v>
      </c>
      <c r="AG76" s="191">
        <f t="shared" si="1322"/>
        <v>1.3350577956719123E-2</v>
      </c>
      <c r="AI76" s="211">
        <v>602.95899999999995</v>
      </c>
      <c r="AJ76" s="247">
        <f t="shared" si="11"/>
        <v>20.098633333333332</v>
      </c>
      <c r="AK76" s="211">
        <v>441.94799999999998</v>
      </c>
      <c r="AL76" s="211">
        <v>59.854999999999997</v>
      </c>
      <c r="AM76" s="190">
        <f t="shared" ref="AM76" si="1631">AK76*2/AJ76</f>
        <v>43.977915579666281</v>
      </c>
      <c r="AN76" s="190">
        <f t="shared" ref="AN76" si="1632">AM76-J76</f>
        <v>-0.45948186924633205</v>
      </c>
      <c r="AO76" s="211">
        <v>236.61099999999999</v>
      </c>
      <c r="AP76" s="211">
        <v>159.97</v>
      </c>
      <c r="AQ76" s="190">
        <f t="shared" ref="AQ76" si="1633">AO76/AJ76</f>
        <v>11.772491993651309</v>
      </c>
      <c r="AR76" s="190">
        <f t="shared" ref="AR76" si="1634">AQ76-W76</f>
        <v>4.5522360253601235E-2</v>
      </c>
      <c r="AS76" s="190">
        <f t="shared" ref="AS76" si="1635">AM76+AQ76</f>
        <v>55.750407573317588</v>
      </c>
      <c r="AT76" s="211">
        <v>1077.6469999999999</v>
      </c>
      <c r="AU76" s="247">
        <f t="shared" si="16"/>
        <v>35.921566666666664</v>
      </c>
      <c r="AV76" s="211">
        <v>796.327</v>
      </c>
      <c r="AW76" s="211">
        <v>48.654000000000003</v>
      </c>
      <c r="AX76" s="190">
        <f t="shared" ref="AX76" si="1636">AV76*2/AU76</f>
        <v>44.336986044595314</v>
      </c>
      <c r="AY76" s="190">
        <f t="shared" ref="AY76" si="1637">AX76-J76</f>
        <v>-0.100411404317299</v>
      </c>
      <c r="AZ76" s="211">
        <v>431.29199999999997</v>
      </c>
      <c r="BA76" s="211">
        <v>189.51400000000001</v>
      </c>
      <c r="BB76" s="190">
        <f t="shared" ref="BB76" si="1638">AZ76/AU76</f>
        <v>12.006491921751742</v>
      </c>
      <c r="BC76" s="190">
        <f t="shared" ref="BC76" si="1639">BB76-W76</f>
        <v>0.27952228835403403</v>
      </c>
      <c r="BD76" s="247">
        <f t="shared" ref="BD76" si="1640">AX76+BB76</f>
        <v>56.343477966347052</v>
      </c>
      <c r="BE76" s="211">
        <v>1181.213</v>
      </c>
      <c r="BF76" s="247">
        <f t="shared" si="58"/>
        <v>39.373766666666668</v>
      </c>
      <c r="BG76" s="211">
        <v>878.41499999999996</v>
      </c>
      <c r="BH76" s="211">
        <v>136.328</v>
      </c>
      <c r="BI76" s="190">
        <f t="shared" ref="BI76" si="1641">BG76*2/BF76</f>
        <v>44.61930236121681</v>
      </c>
      <c r="BJ76" s="190">
        <f t="shared" ref="BJ76" si="1642">BI76-J76</f>
        <v>0.18190491230419781</v>
      </c>
      <c r="BK76" s="211">
        <v>460.822</v>
      </c>
      <c r="BL76" s="211">
        <v>210.36500000000001</v>
      </c>
      <c r="BM76" s="190">
        <f t="shared" ref="BM76" si="1643">BK76/BF76</f>
        <v>11.703782467683643</v>
      </c>
      <c r="BN76" s="190">
        <f t="shared" ref="BN76" si="1644">BM76-W76</f>
        <v>-2.3187165714064761E-2</v>
      </c>
      <c r="BO76" s="247">
        <f t="shared" ref="BO76" si="1645">BM76+BI76</f>
        <v>56.323084828900456</v>
      </c>
      <c r="BP76" s="211">
        <v>740.68700000000001</v>
      </c>
      <c r="BQ76" s="247">
        <f t="shared" si="26"/>
        <v>24.689566666666668</v>
      </c>
      <c r="BR76" s="211">
        <v>558.51499999999999</v>
      </c>
      <c r="BS76" s="211">
        <v>70.046000000000006</v>
      </c>
      <c r="BT76" s="190">
        <f t="shared" ref="BT76" si="1646">BR76*2/BQ76</f>
        <v>45.242997379459879</v>
      </c>
      <c r="BU76" s="190">
        <f t="shared" ref="BU76" si="1647">BT76-J76</f>
        <v>0.80559993054726675</v>
      </c>
      <c r="BV76" s="211">
        <v>283.19299999999998</v>
      </c>
      <c r="BW76" s="211">
        <v>230.583</v>
      </c>
      <c r="BX76" s="190">
        <f t="shared" ref="BX76" si="1648">BV76/BQ76</f>
        <v>11.470148659285229</v>
      </c>
      <c r="BY76" s="190">
        <f t="shared" ref="BY76" si="1649">BX76-W76</f>
        <v>-0.25682097411247895</v>
      </c>
      <c r="BZ76" s="194">
        <f t="shared" ref="BZ76" si="1650">BT76+BX76</f>
        <v>56.713146038745109</v>
      </c>
      <c r="CA76" s="211">
        <v>599.822</v>
      </c>
      <c r="CB76" s="247">
        <f t="shared" si="32"/>
        <v>19.994066666666665</v>
      </c>
      <c r="CC76" s="211">
        <v>439.03699999999998</v>
      </c>
      <c r="CD76" s="211">
        <v>43.069000000000003</v>
      </c>
      <c r="CE76" s="190">
        <f t="shared" ref="CE76" si="1651">CC76*2/CB76</f>
        <v>43.91672862949342</v>
      </c>
      <c r="CF76" s="190">
        <f t="shared" ref="CF76" si="1652">CE76-J76</f>
        <v>-0.52066881941919263</v>
      </c>
      <c r="CG76" s="211">
        <v>230.15899999999999</v>
      </c>
      <c r="CH76" s="211">
        <v>52.723999999999997</v>
      </c>
      <c r="CI76" s="190">
        <f t="shared" ref="CI76" si="1653">CG76/CB76</f>
        <v>11.511365038294695</v>
      </c>
      <c r="CJ76" s="190">
        <f t="shared" ref="CJ76" si="1654">CI76-W76</f>
        <v>-0.215604595103013</v>
      </c>
      <c r="CK76" s="194">
        <f t="shared" ref="CK76" si="1655">CI76+CE76</f>
        <v>55.428093667788119</v>
      </c>
      <c r="CL76" s="211">
        <v>893.303</v>
      </c>
      <c r="CM76" s="247">
        <f t="shared" si="60"/>
        <v>29.776766666666667</v>
      </c>
      <c r="CN76" s="211">
        <v>659.70100000000002</v>
      </c>
      <c r="CO76" s="211">
        <v>59.651000000000003</v>
      </c>
      <c r="CP76" s="190">
        <f t="shared" ref="CP76" si="1656">CN76*2/CM76</f>
        <v>44.309780667925665</v>
      </c>
      <c r="CQ76" s="190">
        <f t="shared" ref="CQ76" si="1657">CP76-J76</f>
        <v>-0.12761678098694773</v>
      </c>
      <c r="CR76" s="211">
        <v>349.8</v>
      </c>
      <c r="CS76" s="211">
        <v>102.562</v>
      </c>
      <c r="CT76" s="190">
        <f t="shared" ref="CT76" si="1658">CR76/CM76</f>
        <v>11.74741381143912</v>
      </c>
      <c r="CU76" s="190">
        <f t="shared" ref="CU76" si="1659">CT76-W76</f>
        <v>2.0444178041412187E-2</v>
      </c>
      <c r="CV76" s="247">
        <f t="shared" ref="CV76" si="1660">CP76+CT76</f>
        <v>56.057194479364782</v>
      </c>
      <c r="CW76" s="163"/>
      <c r="CX76" s="196">
        <f t="shared" ref="CX76" si="1661">C76-AJ76-AU76-BF76-BQ76-CB76-CM76</f>
        <v>0</v>
      </c>
      <c r="CY76" s="196">
        <f t="shared" ref="CY76" si="1662">F76-AK76-AV76-BG76-BR76-CC76-CN76</f>
        <v>0</v>
      </c>
      <c r="CZ76" s="196">
        <f t="shared" ref="CZ76" si="1663">I76-AL76-AW76-BH76-BS76-CD76-CO76</f>
        <v>0</v>
      </c>
      <c r="DA76" s="196">
        <f t="shared" ref="DA76" si="1664">O76-AO76-AZ76-BK76-BV76-CG76-CR76</f>
        <v>0</v>
      </c>
      <c r="DB76" s="196">
        <f t="shared" ref="DB76" si="1665">Q76-AP76-BA76-BL76-BW76-CH76-CS76</f>
        <v>0</v>
      </c>
      <c r="DC76" s="196">
        <f t="shared" ref="DC76" si="1666">P76-Q76-R76-S76</f>
        <v>0</v>
      </c>
      <c r="DD76" s="163"/>
      <c r="DE76" s="200">
        <v>193.14599999999999</v>
      </c>
      <c r="DF76" s="200">
        <v>111.658</v>
      </c>
      <c r="DG76" s="200">
        <v>33.418999999999997</v>
      </c>
      <c r="DH76" s="191">
        <f t="shared" si="61"/>
        <v>0.57810153976784406</v>
      </c>
      <c r="DI76" s="197">
        <v>160.03</v>
      </c>
      <c r="DJ76" s="191">
        <f t="shared" si="48"/>
        <v>0.4142721050397109</v>
      </c>
      <c r="DK76" s="197">
        <v>150.34200000000001</v>
      </c>
      <c r="DL76" s="197">
        <v>144.334</v>
      </c>
      <c r="DM76" s="191">
        <f t="shared" si="62"/>
        <v>3.9962219472935101E-2</v>
      </c>
      <c r="DN76" s="200">
        <v>148.155</v>
      </c>
      <c r="DO76" s="200">
        <v>66.275999999999996</v>
      </c>
      <c r="DP76" s="200">
        <v>95.834000000000003</v>
      </c>
      <c r="DQ76" s="200">
        <f t="shared" ref="DQ76" si="1667">DP76+DO76</f>
        <v>162.11000000000001</v>
      </c>
      <c r="DR76" s="191">
        <f t="shared" ref="DR76" si="1668">DJ76+DH76</f>
        <v>0.99237364480755497</v>
      </c>
      <c r="DS76" s="199">
        <f t="shared" si="1405"/>
        <v>0.93946135099668815</v>
      </c>
      <c r="DT76" s="200">
        <v>95.786000000000001</v>
      </c>
      <c r="DU76" s="200">
        <v>43.8</v>
      </c>
      <c r="DV76" s="200">
        <v>18.773</v>
      </c>
      <c r="DW76" s="191">
        <f t="shared" si="1537"/>
        <v>0.45726932954711541</v>
      </c>
      <c r="DX76" s="197">
        <v>27.788</v>
      </c>
      <c r="DY76" s="191">
        <f t="shared" si="1538"/>
        <v>0.14505251289332471</v>
      </c>
      <c r="DZ76" s="197">
        <v>34.124000000000002</v>
      </c>
      <c r="EA76" s="197">
        <v>32.896999999999998</v>
      </c>
      <c r="EB76" s="191">
        <f t="shared" si="52"/>
        <v>3.5957097643887104E-2</v>
      </c>
      <c r="EC76" s="200">
        <v>35.826000000000001</v>
      </c>
      <c r="ED76" s="200">
        <v>25.286000000000001</v>
      </c>
      <c r="EE76" s="200">
        <v>19.091999999999999</v>
      </c>
      <c r="EF76" s="195">
        <f t="shared" ref="EF76" si="1669">EE76+ED76</f>
        <v>44.378</v>
      </c>
      <c r="EG76" s="191">
        <f t="shared" ref="EG76" si="1670">DY76+DW76</f>
        <v>0.60232184244044018</v>
      </c>
      <c r="EJ76" s="202">
        <f t="shared" si="1363"/>
        <v>11.323624444444444</v>
      </c>
      <c r="EK76" s="202">
        <f>'NOPA Crush'!B501*56/('NOPA Crush'!A501-'NOPA Crush'!A500)</f>
        <v>11.965616577893925</v>
      </c>
      <c r="EL76" s="203">
        <f t="shared" si="1451"/>
        <v>0.94634692418311817</v>
      </c>
      <c r="EM76" s="202">
        <f t="shared" si="1406"/>
        <v>6.4381999999999993</v>
      </c>
      <c r="EN76" s="202">
        <f t="shared" si="1407"/>
        <v>6.3857333333333334E-3</v>
      </c>
      <c r="EO76" s="202">
        <f t="shared" si="1452"/>
        <v>17.768210177777775</v>
      </c>
    </row>
    <row r="77" spans="1:145">
      <c r="A77" s="157">
        <v>44317</v>
      </c>
      <c r="B77" s="186">
        <v>5205.0320000000002</v>
      </c>
      <c r="C77" s="187">
        <f t="shared" ref="C77" si="1671">B77/30</f>
        <v>173.50106666666667</v>
      </c>
      <c r="D77" s="247">
        <f>C77-'NOPA Crush'!G502</f>
        <v>9.9800666666666871</v>
      </c>
      <c r="E77" s="188">
        <f>C77/'NOPA Crush'!G502-1</f>
        <v>6.1032324084776102E-2</v>
      </c>
      <c r="F77" s="189">
        <v>3849.6750000000002</v>
      </c>
      <c r="G77" s="189">
        <v>3800.1610000000001</v>
      </c>
      <c r="H77" s="189">
        <v>49.514000000000003</v>
      </c>
      <c r="I77" s="189">
        <v>592.86</v>
      </c>
      <c r="J77" s="190">
        <f t="shared" ref="J77" si="1672">F77*2/C77</f>
        <v>44.376384237407187</v>
      </c>
      <c r="K77" s="190">
        <f t="shared" ref="K77" si="1673">(F77+M77)*2/C77</f>
        <v>47.525748160626101</v>
      </c>
      <c r="L77" s="190">
        <f>K77-'NOPA Crush'!J502</f>
        <v>-0.10425183937390159</v>
      </c>
      <c r="M77" s="189">
        <v>273.209</v>
      </c>
      <c r="N77" s="189">
        <v>48.594000000000001</v>
      </c>
      <c r="O77" s="189">
        <v>2043.135</v>
      </c>
      <c r="P77" s="189">
        <v>1721.223</v>
      </c>
      <c r="Q77" s="189">
        <v>893.077</v>
      </c>
      <c r="R77" s="189">
        <v>248.304</v>
      </c>
      <c r="S77" s="189">
        <v>579.84199999999998</v>
      </c>
      <c r="T77" s="189">
        <v>425.76499999999999</v>
      </c>
      <c r="U77" s="189">
        <f>(P77+T77)-'NOPA Crush'!Q502</f>
        <v>476.43799999999987</v>
      </c>
      <c r="V77" s="191">
        <f>((P77+T77)/'NOPA Crush'!Q502)-1</f>
        <v>0.28519828798898561</v>
      </c>
      <c r="W77" s="190">
        <f t="shared" ref="W77" si="1674">O77/C77</f>
        <v>11.775921838712998</v>
      </c>
      <c r="X77" s="190">
        <f>W77-'NOPA Crush'!O502</f>
        <v>-4.407816128700226E-2</v>
      </c>
      <c r="Y77" s="190">
        <f t="shared" si="720"/>
        <v>59.301669999339097</v>
      </c>
      <c r="Z77" s="211">
        <v>1752.28</v>
      </c>
      <c r="AA77" s="211">
        <v>1711.86</v>
      </c>
      <c r="AB77" s="191">
        <f t="shared" ref="AB77" si="1675">(Z77-AA77)/Z77</f>
        <v>2.3067089734517356E-2</v>
      </c>
      <c r="AC77" s="211">
        <v>102.003</v>
      </c>
      <c r="AD77" s="211">
        <v>1649.4970000000001</v>
      </c>
      <c r="AE77" s="211">
        <v>1222.088</v>
      </c>
      <c r="AF77" s="211">
        <v>427.40899999999999</v>
      </c>
      <c r="AG77" s="191">
        <f t="shared" si="1322"/>
        <v>-3.6429965067236725E-2</v>
      </c>
      <c r="AI77" s="211">
        <v>582.79200000000003</v>
      </c>
      <c r="AJ77" s="247">
        <f t="shared" si="11"/>
        <v>19.426400000000001</v>
      </c>
      <c r="AK77" s="211">
        <v>419.54599999999999</v>
      </c>
      <c r="AL77" s="211">
        <v>89.891999999999996</v>
      </c>
      <c r="AM77" s="190">
        <f t="shared" ref="AM77" si="1676">AK77*2/AJ77</f>
        <v>43.193386319647487</v>
      </c>
      <c r="AN77" s="190">
        <f t="shared" ref="AN77" si="1677">AM77-J77</f>
        <v>-1.1829979177596996</v>
      </c>
      <c r="AO77" s="211">
        <v>228.67</v>
      </c>
      <c r="AP77" s="211">
        <v>140.864</v>
      </c>
      <c r="AQ77" s="190">
        <f t="shared" ref="AQ77" si="1678">AO77/AJ77</f>
        <v>11.771095004735821</v>
      </c>
      <c r="AR77" s="190">
        <f t="shared" ref="AR77" si="1679">AQ77-W77</f>
        <v>-4.8268339771766477E-3</v>
      </c>
      <c r="AS77" s="190">
        <f t="shared" ref="AS77" si="1680">AM77+AQ77</f>
        <v>54.964481324383307</v>
      </c>
      <c r="AT77" s="211">
        <v>1044.6859999999999</v>
      </c>
      <c r="AU77" s="247">
        <f t="shared" si="16"/>
        <v>34.822866666666663</v>
      </c>
      <c r="AV77" s="211">
        <v>779.35799999999995</v>
      </c>
      <c r="AW77" s="211">
        <v>87.394999999999996</v>
      </c>
      <c r="AX77" s="190">
        <f t="shared" ref="AX77" si="1681">AV77*2/AU77</f>
        <v>44.76127755134079</v>
      </c>
      <c r="AY77" s="190">
        <f t="shared" ref="AY77" si="1682">AX77-J77</f>
        <v>0.3848933139336026</v>
      </c>
      <c r="AZ77" s="211">
        <v>420.02499999999998</v>
      </c>
      <c r="BA77" s="211">
        <v>175.56299999999999</v>
      </c>
      <c r="BB77" s="190">
        <f t="shared" ref="BB77" si="1683">AZ77/AU77</f>
        <v>12.061758269949058</v>
      </c>
      <c r="BC77" s="190">
        <f t="shared" ref="BC77" si="1684">BB77-W77</f>
        <v>0.28583643123605995</v>
      </c>
      <c r="BD77" s="247">
        <f t="shared" ref="BD77" si="1685">AX77+BB77</f>
        <v>56.823035821289849</v>
      </c>
      <c r="BE77" s="211">
        <v>1140.335</v>
      </c>
      <c r="BF77" s="247">
        <f t="shared" si="58"/>
        <v>38.011166666666668</v>
      </c>
      <c r="BG77" s="211">
        <v>841.58299999999997</v>
      </c>
      <c r="BH77" s="211">
        <v>149.45599999999999</v>
      </c>
      <c r="BI77" s="190">
        <f t="shared" ref="BI77" si="1686">BG77*2/BF77</f>
        <v>44.280829756168139</v>
      </c>
      <c r="BJ77" s="190">
        <f t="shared" ref="BJ77" si="1687">BI77-J77</f>
        <v>-9.5554481239048528E-2</v>
      </c>
      <c r="BK77" s="211">
        <v>446.077</v>
      </c>
      <c r="BL77" s="211">
        <v>216.42599999999999</v>
      </c>
      <c r="BM77" s="190">
        <f t="shared" ref="BM77" si="1688">BK77/BF77</f>
        <v>11.735419854691823</v>
      </c>
      <c r="BN77" s="190">
        <f t="shared" ref="BN77" si="1689">BM77-W77</f>
        <v>-4.0501984021174664E-2</v>
      </c>
      <c r="BO77" s="247">
        <f t="shared" ref="BO77" si="1690">BM77+BI77</f>
        <v>56.016249610859958</v>
      </c>
      <c r="BP77" s="211">
        <v>866.67200000000003</v>
      </c>
      <c r="BQ77" s="247">
        <f t="shared" si="26"/>
        <v>28.889066666666668</v>
      </c>
      <c r="BR77" s="211">
        <v>646.49699999999996</v>
      </c>
      <c r="BS77" s="211">
        <v>106.917</v>
      </c>
      <c r="BT77" s="190">
        <f t="shared" ref="BT77" si="1691">BR77*2/BQ77</f>
        <v>44.757209186404999</v>
      </c>
      <c r="BU77" s="190">
        <f t="shared" ref="BU77" si="1692">BT77-J77</f>
        <v>0.38082494899781238</v>
      </c>
      <c r="BV77" s="211">
        <v>334.255</v>
      </c>
      <c r="BW77" s="211">
        <v>191.988</v>
      </c>
      <c r="BX77" s="190">
        <f t="shared" ref="BX77" si="1693">BV77/BQ77</f>
        <v>11.570294182805029</v>
      </c>
      <c r="BY77" s="190">
        <f t="shared" ref="BY77" si="1694">BX77-W77</f>
        <v>-0.2056276559079695</v>
      </c>
      <c r="BZ77" s="194">
        <f t="shared" ref="BZ77" si="1695">BT77+BX77</f>
        <v>56.327503369210028</v>
      </c>
      <c r="CA77" s="211">
        <v>684.56399999999996</v>
      </c>
      <c r="CB77" s="247">
        <f t="shared" si="32"/>
        <v>22.8188</v>
      </c>
      <c r="CC77" s="211">
        <v>504.54700000000003</v>
      </c>
      <c r="CD77" s="211">
        <v>89.507999999999996</v>
      </c>
      <c r="CE77" s="190">
        <f t="shared" ref="CE77" si="1696">CC77*2/CB77</f>
        <v>44.222044980454719</v>
      </c>
      <c r="CF77" s="190">
        <f t="shared" ref="CF77" si="1697">CE77-J77</f>
        <v>-0.15433925695246842</v>
      </c>
      <c r="CG77" s="211">
        <v>263.86500000000001</v>
      </c>
      <c r="CH77" s="211">
        <v>68.519000000000005</v>
      </c>
      <c r="CI77" s="190">
        <f t="shared" ref="CI77" si="1698">CG77/CB77</f>
        <v>11.563491507002999</v>
      </c>
      <c r="CJ77" s="190">
        <f t="shared" ref="CJ77" si="1699">CI77-W77</f>
        <v>-0.21243033170999936</v>
      </c>
      <c r="CK77" s="194">
        <f t="shared" ref="CK77" si="1700">CI77+CE77</f>
        <v>55.785536487457719</v>
      </c>
      <c r="CL77" s="211">
        <v>885.98299999999995</v>
      </c>
      <c r="CM77" s="247">
        <f t="shared" si="60"/>
        <v>29.532766666666664</v>
      </c>
      <c r="CN77" s="211">
        <v>658.14400000000001</v>
      </c>
      <c r="CO77" s="211">
        <v>69.691999999999993</v>
      </c>
      <c r="CP77" s="190">
        <f t="shared" ref="CP77" si="1701">CN77*2/CM77</f>
        <v>44.570426294861193</v>
      </c>
      <c r="CQ77" s="190">
        <f t="shared" ref="CQ77" si="1702">CP77-J77</f>
        <v>0.1940420574540056</v>
      </c>
      <c r="CR77" s="211">
        <v>350.24299999999999</v>
      </c>
      <c r="CS77" s="211">
        <v>99.716999999999999</v>
      </c>
      <c r="CT77" s="190">
        <f t="shared" ref="CT77" si="1703">CR77/CM77</f>
        <v>11.859471344258299</v>
      </c>
      <c r="CU77" s="190">
        <f t="shared" ref="CU77" si="1704">CT77-W77</f>
        <v>8.3549505545301272E-2</v>
      </c>
      <c r="CV77" s="247">
        <f t="shared" ref="CV77" si="1705">CP77+CT77</f>
        <v>56.429897639119488</v>
      </c>
      <c r="CW77" s="163"/>
      <c r="CX77" s="196">
        <f t="shared" ref="CX77" si="1706">C77-AJ77-AU77-BF77-BQ77-CB77-CM77</f>
        <v>0</v>
      </c>
      <c r="CY77" s="196">
        <f t="shared" ref="CY77" si="1707">F77-AK77-AV77-BG77-BR77-CC77-CN77</f>
        <v>0</v>
      </c>
      <c r="CZ77" s="196">
        <f t="shared" ref="CZ77" si="1708">I77-AL77-AW77-BH77-BS77-CD77-CO77</f>
        <v>0</v>
      </c>
      <c r="DA77" s="196">
        <f t="shared" ref="DA77" si="1709">O77-AO77-AZ77-BK77-BV77-CG77-CR77</f>
        <v>0</v>
      </c>
      <c r="DB77" s="196">
        <f t="shared" ref="DB77" si="1710">Q77-AP77-BA77-BL77-BW77-CH77-CS77</f>
        <v>0</v>
      </c>
      <c r="DC77" s="196">
        <f t="shared" ref="DC77" si="1711">P77-Q77-R77-S77</f>
        <v>0</v>
      </c>
      <c r="DD77" s="163"/>
      <c r="DE77" s="200">
        <v>159.12</v>
      </c>
      <c r="DF77" s="200">
        <v>90.475999999999999</v>
      </c>
      <c r="DG77" s="200">
        <v>37.701999999999998</v>
      </c>
      <c r="DH77" s="191">
        <f t="shared" si="61"/>
        <v>0.56860231271995976</v>
      </c>
      <c r="DI77" s="197">
        <v>133.761</v>
      </c>
      <c r="DJ77" s="191">
        <f t="shared" si="48"/>
        <v>0.42031485671191549</v>
      </c>
      <c r="DK77" s="197">
        <v>153.601</v>
      </c>
      <c r="DL77" s="197">
        <v>148.50200000000001</v>
      </c>
      <c r="DM77" s="191">
        <f t="shared" si="62"/>
        <v>3.3196398460947463E-2</v>
      </c>
      <c r="DN77" s="200">
        <v>142.90600000000001</v>
      </c>
      <c r="DO77" s="200">
        <v>69.078999999999994</v>
      </c>
      <c r="DP77" s="200">
        <v>116.197</v>
      </c>
      <c r="DQ77" s="200">
        <f t="shared" ref="DQ77" si="1712">DP77+DO77</f>
        <v>185.27600000000001</v>
      </c>
      <c r="DR77" s="191">
        <f t="shared" ref="DR77" si="1713">DJ77+DH77</f>
        <v>0.98891716943187524</v>
      </c>
      <c r="DS77" s="199">
        <f t="shared" si="1405"/>
        <v>1.1483242499682269</v>
      </c>
      <c r="DT77" s="200">
        <v>125.509</v>
      </c>
      <c r="DU77" s="200">
        <v>55.034999999999997</v>
      </c>
      <c r="DV77" s="200">
        <v>36.756</v>
      </c>
      <c r="DW77" s="191">
        <f t="shared" si="1537"/>
        <v>0.43849445059716829</v>
      </c>
      <c r="DX77" s="197">
        <v>34.223999999999997</v>
      </c>
      <c r="DY77" s="191">
        <f t="shared" si="1538"/>
        <v>0.13634082018022611</v>
      </c>
      <c r="DZ77" s="197">
        <v>41.000999999999998</v>
      </c>
      <c r="EA77" s="197">
        <v>39.835000000000001</v>
      </c>
      <c r="EB77" s="191">
        <f t="shared" si="52"/>
        <v>2.8438330772420084E-2</v>
      </c>
      <c r="EC77" s="200">
        <v>39.619999999999997</v>
      </c>
      <c r="ED77" s="200">
        <v>24.481999999999999</v>
      </c>
      <c r="EE77" s="200">
        <v>18.745999999999999</v>
      </c>
      <c r="EF77" s="195">
        <f t="shared" ref="EF77" si="1714">EE77+ED77</f>
        <v>43.227999999999994</v>
      </c>
      <c r="EG77" s="191">
        <f t="shared" ref="EG77" si="1715">DY77+DW77</f>
        <v>0.57483527077739438</v>
      </c>
      <c r="EJ77" s="202">
        <f t="shared" si="1363"/>
        <v>11.193617204301075</v>
      </c>
      <c r="EK77" s="202">
        <f>'NOPA Crush'!B502*56/('NOPA Crush'!A502-'NOPA Crush'!A501)</f>
        <v>12.384161926129359</v>
      </c>
      <c r="EL77" s="203">
        <f t="shared" si="1451"/>
        <v>0.90386553979754158</v>
      </c>
      <c r="EM77" s="202">
        <f t="shared" si="1406"/>
        <v>5.1329032258064515</v>
      </c>
      <c r="EN77" s="202">
        <f t="shared" si="1407"/>
        <v>8.0973548387096774E-3</v>
      </c>
      <c r="EO77" s="202">
        <f t="shared" si="1452"/>
        <v>16.334617784946239</v>
      </c>
    </row>
    <row r="78" spans="1:145">
      <c r="A78" s="157">
        <v>44348</v>
      </c>
      <c r="B78" s="186">
        <v>4852.3339999999998</v>
      </c>
      <c r="C78" s="187">
        <f t="shared" ref="C78:C79" si="1716">B78/30</f>
        <v>161.74446666666665</v>
      </c>
      <c r="D78" s="247">
        <f>C78-'NOPA Crush'!G503</f>
        <v>9.3344666666666569</v>
      </c>
      <c r="E78" s="188">
        <f>C78/'NOPA Crush'!G503-1</f>
        <v>6.1245762526518366E-2</v>
      </c>
      <c r="F78" s="189">
        <v>3579.777</v>
      </c>
      <c r="G78" s="189">
        <v>3542.326</v>
      </c>
      <c r="H78" s="189">
        <v>37.451000000000001</v>
      </c>
      <c r="I78" s="189">
        <v>390.755</v>
      </c>
      <c r="J78" s="190">
        <f t="shared" ref="J78" si="1717">F78*2/C78</f>
        <v>44.264599262952636</v>
      </c>
      <c r="K78" s="190">
        <f t="shared" ref="K78" si="1718">(F78+M78)*2/C78</f>
        <v>47.407507397470994</v>
      </c>
      <c r="L78" s="190">
        <f>K78-'NOPA Crush'!J503</f>
        <v>-5.2492602529007115E-2</v>
      </c>
      <c r="M78" s="189">
        <v>254.17400000000001</v>
      </c>
      <c r="N78" s="189">
        <v>48.244999999999997</v>
      </c>
      <c r="O78" s="189">
        <v>1908.6489999999999</v>
      </c>
      <c r="P78" s="189">
        <v>1682.521</v>
      </c>
      <c r="Q78" s="189">
        <v>831.49599999999998</v>
      </c>
      <c r="R78" s="189">
        <v>290.68099999999998</v>
      </c>
      <c r="S78" s="189">
        <v>560.34400000000005</v>
      </c>
      <c r="T78" s="189">
        <v>418.13299999999998</v>
      </c>
      <c r="U78" s="189">
        <f>(P78+T78)-'NOPA Crush'!Q503</f>
        <v>563.36899999999991</v>
      </c>
      <c r="V78" s="191">
        <f>((P78+T78)/'NOPA Crush'!Q503)-1</f>
        <v>0.36647010801510449</v>
      </c>
      <c r="W78" s="190">
        <f t="shared" ref="W78" si="1719">O78/C78</f>
        <v>11.800397499430172</v>
      </c>
      <c r="X78" s="190">
        <f>W78-'NOPA Crush'!O503</f>
        <v>3.9749943017142186E-4</v>
      </c>
      <c r="Y78" s="190">
        <f t="shared" si="720"/>
        <v>59.207904896901169</v>
      </c>
      <c r="Z78" s="211">
        <v>1639.231</v>
      </c>
      <c r="AA78" s="211">
        <v>1599.354</v>
      </c>
      <c r="AB78" s="191">
        <f t="shared" ref="AB78" si="1720">(Z78-AA78)/Z78</f>
        <v>2.4326650728298791E-2</v>
      </c>
      <c r="AC78" s="211">
        <v>144.54</v>
      </c>
      <c r="AD78" s="211">
        <v>1608.3910000000001</v>
      </c>
      <c r="AE78" s="211">
        <v>1216.0550000000001</v>
      </c>
      <c r="AF78" s="211">
        <v>392.33600000000001</v>
      </c>
      <c r="AG78" s="191">
        <f t="shared" si="1322"/>
        <v>5.650406351564552E-3</v>
      </c>
      <c r="AI78" s="211">
        <v>535.73199999999997</v>
      </c>
      <c r="AJ78" s="247">
        <f t="shared" si="11"/>
        <v>17.857733333333332</v>
      </c>
      <c r="AK78" s="211">
        <v>386.67899999999997</v>
      </c>
      <c r="AL78" s="211">
        <v>46.661999999999999</v>
      </c>
      <c r="AM78" s="190">
        <f t="shared" ref="AM78" si="1721">AK78*2/AJ78</f>
        <v>43.306615994564446</v>
      </c>
      <c r="AN78" s="190">
        <f t="shared" ref="AN78" si="1722">AM78-J78</f>
        <v>-0.95798326838819037</v>
      </c>
      <c r="AO78" s="211">
        <v>215.26499999999999</v>
      </c>
      <c r="AP78" s="211">
        <v>138</v>
      </c>
      <c r="AQ78" s="190">
        <f t="shared" ref="AQ78" si="1723">AO78/AJ78</f>
        <v>12.05444139980438</v>
      </c>
      <c r="AR78" s="190">
        <f t="shared" ref="AR78" si="1724">AQ78-W78</f>
        <v>0.25404390037420832</v>
      </c>
      <c r="AS78" s="190">
        <f t="shared" ref="AS78" si="1725">AM78+AQ78</f>
        <v>55.361057394368828</v>
      </c>
      <c r="AT78" s="211">
        <v>1052.0809999999999</v>
      </c>
      <c r="AU78" s="247">
        <f t="shared" si="16"/>
        <v>35.06936666666666</v>
      </c>
      <c r="AV78" s="211">
        <v>776.97500000000002</v>
      </c>
      <c r="AW78" s="211">
        <v>66.789000000000001</v>
      </c>
      <c r="AX78" s="190">
        <f t="shared" ref="AX78" si="1726">AV78*2/AU78</f>
        <v>44.310751738696936</v>
      </c>
      <c r="AY78" s="190">
        <f t="shared" ref="AY78" si="1727">AX78-J78</f>
        <v>4.6152475744300148E-2</v>
      </c>
      <c r="AZ78" s="211">
        <v>416.5</v>
      </c>
      <c r="BA78" s="211">
        <v>149.13399999999999</v>
      </c>
      <c r="BB78" s="190">
        <f t="shared" ref="BB78" si="1728">AZ78/AU78</f>
        <v>11.876461983440441</v>
      </c>
      <c r="BC78" s="190">
        <f t="shared" ref="BC78" si="1729">BB78-W78</f>
        <v>7.6064484010268885E-2</v>
      </c>
      <c r="BD78" s="247">
        <f t="shared" ref="BD78" si="1730">AX78+BB78</f>
        <v>56.187213722137379</v>
      </c>
      <c r="BE78" s="211">
        <v>1067.029</v>
      </c>
      <c r="BF78" s="247">
        <f t="shared" si="58"/>
        <v>35.567633333333333</v>
      </c>
      <c r="BG78" s="211">
        <v>788.99300000000005</v>
      </c>
      <c r="BH78" s="211">
        <v>118.855</v>
      </c>
      <c r="BI78" s="190">
        <f t="shared" ref="BI78" si="1731">BG78*2/BF78</f>
        <v>44.365785747154014</v>
      </c>
      <c r="BJ78" s="190">
        <f t="shared" ref="BJ78" si="1732">BI78-J78</f>
        <v>0.10118648420137788</v>
      </c>
      <c r="BK78" s="211">
        <v>417.35899999999998</v>
      </c>
      <c r="BL78" s="211">
        <v>184.364</v>
      </c>
      <c r="BM78" s="190">
        <f t="shared" ref="BM78" si="1733">BK78/BF78</f>
        <v>11.734235901742126</v>
      </c>
      <c r="BN78" s="190">
        <f t="shared" ref="BN78" si="1734">BM78-W78</f>
        <v>-6.6161597688045859E-2</v>
      </c>
      <c r="BO78" s="247">
        <f t="shared" ref="BO78" si="1735">BM78+BI78</f>
        <v>56.100021648896139</v>
      </c>
      <c r="BP78" s="211">
        <v>747.58600000000001</v>
      </c>
      <c r="BQ78" s="247">
        <f t="shared" si="26"/>
        <v>24.919533333333334</v>
      </c>
      <c r="BR78" s="211">
        <v>559.65099999999995</v>
      </c>
      <c r="BS78" s="211">
        <v>65.837999999999994</v>
      </c>
      <c r="BT78" s="190">
        <f t="shared" ref="BT78" si="1736">BR78*2/BQ78</f>
        <v>44.916651729700661</v>
      </c>
      <c r="BU78" s="190">
        <f t="shared" ref="BU78" si="1737">BT78-J78</f>
        <v>0.65205246674802453</v>
      </c>
      <c r="BV78" s="211">
        <v>280.16899999999998</v>
      </c>
      <c r="BW78" s="211">
        <v>166.541</v>
      </c>
      <c r="BX78" s="190">
        <f t="shared" ref="BX78" si="1738">BV78/BQ78</f>
        <v>11.242947299708661</v>
      </c>
      <c r="BY78" s="190">
        <f t="shared" ref="BY78" si="1739">BX78-W78</f>
        <v>-0.55745019972151155</v>
      </c>
      <c r="BZ78" s="194">
        <f t="shared" ref="BZ78" si="1740">BT78+BX78</f>
        <v>56.159599029409321</v>
      </c>
      <c r="CA78" s="211">
        <v>591.10599999999999</v>
      </c>
      <c r="CB78" s="247">
        <f t="shared" si="32"/>
        <v>19.703533333333333</v>
      </c>
      <c r="CC78" s="211">
        <v>433.01600000000002</v>
      </c>
      <c r="CD78" s="211">
        <v>40.902000000000001</v>
      </c>
      <c r="CE78" s="190">
        <f t="shared" ref="CE78" si="1741">CC78*2/CB78</f>
        <v>43.953131925576805</v>
      </c>
      <c r="CF78" s="190">
        <f t="shared" ref="CF78" si="1742">CE78-J78</f>
        <v>-0.31146733737583077</v>
      </c>
      <c r="CG78" s="211">
        <v>230.07900000000001</v>
      </c>
      <c r="CH78" s="211">
        <v>71.150999999999996</v>
      </c>
      <c r="CI78" s="190">
        <f t="shared" ref="CI78" si="1743">CG78/CB78</f>
        <v>11.677042696233841</v>
      </c>
      <c r="CJ78" s="190">
        <f t="shared" ref="CJ78" si="1744">CI78-W78</f>
        <v>-0.12335480319633163</v>
      </c>
      <c r="CK78" s="194">
        <f t="shared" ref="CK78" si="1745">CI78+CE78</f>
        <v>55.630174621810646</v>
      </c>
      <c r="CL78" s="211">
        <v>858.8</v>
      </c>
      <c r="CM78" s="247">
        <f t="shared" si="60"/>
        <v>28.626666666666665</v>
      </c>
      <c r="CN78" s="211">
        <v>634.46299999999997</v>
      </c>
      <c r="CO78" s="211">
        <v>51.709000000000003</v>
      </c>
      <c r="CP78" s="190">
        <f t="shared" ref="CP78" si="1746">CN78*2/CM78</f>
        <v>44.326711690731251</v>
      </c>
      <c r="CQ78" s="190">
        <f t="shared" ref="CQ78" si="1747">CP78-J78</f>
        <v>6.2112427778615142E-2</v>
      </c>
      <c r="CR78" s="211">
        <v>349.27699999999999</v>
      </c>
      <c r="CS78" s="211">
        <v>122.306</v>
      </c>
      <c r="CT78" s="190">
        <f t="shared" ref="CT78" si="1748">CR78/CM78</f>
        <v>12.201106194690265</v>
      </c>
      <c r="CU78" s="190">
        <f t="shared" ref="CU78" si="1749">CT78-W78</f>
        <v>0.4007086952600929</v>
      </c>
      <c r="CV78" s="247">
        <f t="shared" ref="CV78" si="1750">CP78+CT78</f>
        <v>56.527817885421513</v>
      </c>
      <c r="CW78" s="163"/>
      <c r="CX78" s="196">
        <f t="shared" ref="CX78" si="1751">C78-AJ78-AU78-BF78-BQ78-CB78-CM78</f>
        <v>0</v>
      </c>
      <c r="CY78" s="196">
        <f t="shared" ref="CY78" si="1752">F78-AK78-AV78-BG78-BR78-CC78-CN78</f>
        <v>0</v>
      </c>
      <c r="CZ78" s="196">
        <f t="shared" ref="CZ78" si="1753">I78-AL78-AW78-BH78-BS78-CD78-CO78</f>
        <v>0</v>
      </c>
      <c r="DA78" s="196">
        <f t="shared" ref="DA78" si="1754">O78-AO78-AZ78-BK78-BV78-CG78-CR78</f>
        <v>0</v>
      </c>
      <c r="DB78" s="196">
        <f t="shared" ref="DB78" si="1755">Q78-AP78-BA78-BL78-BW78-CH78-CS78</f>
        <v>0</v>
      </c>
      <c r="DC78" s="196">
        <f t="shared" ref="DC78" si="1756">P78-Q78-R78-S78</f>
        <v>0</v>
      </c>
      <c r="DD78" s="163"/>
      <c r="DE78" s="200">
        <v>163.53700000000001</v>
      </c>
      <c r="DF78" s="200">
        <v>92.081999999999994</v>
      </c>
      <c r="DG78" s="200">
        <v>32.051000000000002</v>
      </c>
      <c r="DH78" s="191">
        <f t="shared" si="61"/>
        <v>0.56306523905905081</v>
      </c>
      <c r="DI78" s="197">
        <v>134.53100000000001</v>
      </c>
      <c r="DJ78" s="191">
        <f t="shared" si="48"/>
        <v>0.41131670508814522</v>
      </c>
      <c r="DK78" s="197">
        <v>161.25700000000001</v>
      </c>
      <c r="DL78" s="197">
        <v>156.727</v>
      </c>
      <c r="DM78" s="191">
        <f t="shared" si="62"/>
        <v>2.8091803766658208E-2</v>
      </c>
      <c r="DN78" s="200">
        <v>150.19499999999999</v>
      </c>
      <c r="DO78" s="200">
        <v>58.289000000000001</v>
      </c>
      <c r="DP78" s="200">
        <v>126.97199999999999</v>
      </c>
      <c r="DQ78" s="200">
        <f t="shared" ref="DQ78" si="1757">DP78+DO78</f>
        <v>185.261</v>
      </c>
      <c r="DR78" s="191">
        <f t="shared" ref="DR78" si="1758">DJ78+DH78</f>
        <v>0.97438194414719603</v>
      </c>
      <c r="DS78" s="199">
        <f t="shared" si="1405"/>
        <v>1.1986605317733459</v>
      </c>
      <c r="DT78" s="200">
        <v>109.373</v>
      </c>
      <c r="DU78" s="200">
        <v>46.8</v>
      </c>
      <c r="DV78" s="200">
        <v>46.459000000000003</v>
      </c>
      <c r="DW78" s="191">
        <f t="shared" si="1537"/>
        <v>0.42789353862470625</v>
      </c>
      <c r="DX78" s="197">
        <v>29.335999999999999</v>
      </c>
      <c r="DY78" s="191">
        <f t="shared" si="1538"/>
        <v>0.13410988086639297</v>
      </c>
      <c r="DZ78" s="197">
        <v>40.290999999999997</v>
      </c>
      <c r="EA78" s="197">
        <v>39.868000000000002</v>
      </c>
      <c r="EB78" s="191">
        <f t="shared" si="52"/>
        <v>1.0498622521158407E-2</v>
      </c>
      <c r="EC78" s="200">
        <v>41.655999999999999</v>
      </c>
      <c r="ED78" s="200">
        <v>19.998000000000001</v>
      </c>
      <c r="EE78" s="200">
        <v>17.786000000000001</v>
      </c>
      <c r="EF78" s="195">
        <f t="shared" ref="EF78" si="1759">EE78+ED78</f>
        <v>37.784000000000006</v>
      </c>
      <c r="EG78" s="191">
        <f t="shared" ref="EG78" si="1760">DY78+DW78</f>
        <v>0.56200341949109922</v>
      </c>
      <c r="EJ78" s="202">
        <f t="shared" si="1363"/>
        <v>10.782964444444444</v>
      </c>
      <c r="EK78" s="202">
        <f>'NOPA Crush'!B503*56/('NOPA Crush'!A503-'NOPA Crush'!A502)</f>
        <v>11.987397708805894</v>
      </c>
      <c r="EL78" s="203">
        <f t="shared" si="1451"/>
        <v>0.89952504341482908</v>
      </c>
      <c r="EM78" s="202">
        <f t="shared" si="1406"/>
        <v>5.4512333333333336</v>
      </c>
      <c r="EN78" s="202">
        <f t="shared" si="1407"/>
        <v>7.2915333333333334E-3</v>
      </c>
      <c r="EO78" s="202">
        <f t="shared" si="1452"/>
        <v>16.24148931111111</v>
      </c>
    </row>
    <row r="79" spans="1:145">
      <c r="A79" s="157">
        <v>44378</v>
      </c>
      <c r="B79" s="186">
        <v>4989.9960000000001</v>
      </c>
      <c r="C79" s="187">
        <f t="shared" si="1716"/>
        <v>166.33320000000001</v>
      </c>
      <c r="D79" s="247">
        <f>C79-'NOPA Crush'!G504</f>
        <v>11.228200000000015</v>
      </c>
      <c r="E79" s="188">
        <f>C79/'NOPA Crush'!G504-1</f>
        <v>7.2390960961929096E-2</v>
      </c>
      <c r="F79" s="189">
        <v>3698.7489999999998</v>
      </c>
      <c r="G79" s="189">
        <v>3639.2020000000002</v>
      </c>
      <c r="H79" s="189">
        <v>59.546999999999997</v>
      </c>
      <c r="I79" s="189">
        <v>442.29</v>
      </c>
      <c r="J79" s="190">
        <f t="shared" ref="J79" si="1761">F79*2/C79</f>
        <v>44.47397152222166</v>
      </c>
      <c r="K79" s="190">
        <f t="shared" ref="K79" si="1762">(F79+M79)*2/C79</f>
        <v>47.693412980691761</v>
      </c>
      <c r="L79" s="190">
        <f>K79-'NOPA Crush'!J504</f>
        <v>-6.5870193082417927E-3</v>
      </c>
      <c r="M79" s="189">
        <v>267.75</v>
      </c>
      <c r="N79" s="189">
        <v>34.536000000000001</v>
      </c>
      <c r="O79" s="189">
        <v>1972.6880000000001</v>
      </c>
      <c r="P79" s="189">
        <v>1671.3579999999999</v>
      </c>
      <c r="Q79" s="189">
        <v>822.59699999999998</v>
      </c>
      <c r="R79" s="189">
        <v>262.85599999999999</v>
      </c>
      <c r="S79" s="189">
        <v>585.90499999999997</v>
      </c>
      <c r="T79" s="189">
        <v>398.75299999999999</v>
      </c>
      <c r="U79" s="189">
        <f>(P79+T79)-'NOPA Crush'!Q504</f>
        <v>453.30799999999977</v>
      </c>
      <c r="V79" s="191">
        <f>((P79+T79)/'NOPA Crush'!Q504)-1</f>
        <v>0.28037305719991834</v>
      </c>
      <c r="W79" s="190">
        <f t="shared" ref="W79" si="1763">O79/C79</f>
        <v>11.859857202290343</v>
      </c>
      <c r="X79" s="190">
        <f>W79-'NOPA Crush'!O504</f>
        <v>2.9857202290342499E-2</v>
      </c>
      <c r="Y79" s="190">
        <f t="shared" si="720"/>
        <v>59.553270182982104</v>
      </c>
      <c r="Z79" s="211">
        <v>1615.578</v>
      </c>
      <c r="AA79" s="211">
        <v>1580.058</v>
      </c>
      <c r="AB79" s="191">
        <f t="shared" ref="AB79" si="1764">(Z79-AA79)/Z79</f>
        <v>2.1985939397540684E-2</v>
      </c>
      <c r="AC79" s="211">
        <v>117.57</v>
      </c>
      <c r="AD79" s="211">
        <v>1600.617</v>
      </c>
      <c r="AE79" s="211">
        <v>1208.117</v>
      </c>
      <c r="AF79" s="211">
        <v>392.5</v>
      </c>
      <c r="AG79" s="191">
        <f t="shared" si="1322"/>
        <v>1.3011547677363788E-2</v>
      </c>
      <c r="AI79" s="211">
        <v>540.91099999999994</v>
      </c>
      <c r="AJ79" s="247">
        <f t="shared" si="11"/>
        <v>18.030366666666666</v>
      </c>
      <c r="AK79" s="211">
        <v>399.38799999999998</v>
      </c>
      <c r="AL79" s="211">
        <v>50.548999999999999</v>
      </c>
      <c r="AM79" s="190">
        <f t="shared" ref="AM79" si="1765">AK79*2/AJ79</f>
        <v>44.301705825912208</v>
      </c>
      <c r="AN79" s="190">
        <f t="shared" ref="AN79" si="1766">AM79-J79</f>
        <v>-0.17226569630945221</v>
      </c>
      <c r="AO79" s="211">
        <v>219.02099999999999</v>
      </c>
      <c r="AP79" s="211">
        <v>124.28700000000001</v>
      </c>
      <c r="AQ79" s="190">
        <f t="shared" ref="AQ79" si="1767">AO79/AJ79</f>
        <v>12.147340320311475</v>
      </c>
      <c r="AR79" s="190">
        <f t="shared" ref="AR79" si="1768">AQ79-W79</f>
        <v>0.28748311802113236</v>
      </c>
      <c r="AS79" s="190">
        <f t="shared" ref="AS79" si="1769">AM79+AQ79</f>
        <v>56.449046146223679</v>
      </c>
      <c r="AT79" s="211">
        <v>1008.359</v>
      </c>
      <c r="AU79" s="247">
        <f t="shared" si="16"/>
        <v>33.611966666666667</v>
      </c>
      <c r="AV79" s="211">
        <v>740.90700000000004</v>
      </c>
      <c r="AW79" s="211">
        <v>56.689</v>
      </c>
      <c r="AX79" s="190">
        <f t="shared" ref="AX79" si="1770">AV79*2/AU79</f>
        <v>44.0859059124776</v>
      </c>
      <c r="AY79" s="190">
        <f t="shared" ref="AY79" si="1771">AX79-J79</f>
        <v>-0.38806560974406068</v>
      </c>
      <c r="AZ79" s="211">
        <v>399.197</v>
      </c>
      <c r="BA79" s="211">
        <v>143.44499999999999</v>
      </c>
      <c r="BB79" s="190">
        <f t="shared" ref="BB79" si="1772">AZ79/AU79</f>
        <v>11.876633222889863</v>
      </c>
      <c r="BC79" s="190">
        <f t="shared" ref="BC79" si="1773">BB79-W79</f>
        <v>1.6776020599520436E-2</v>
      </c>
      <c r="BD79" s="247">
        <f t="shared" ref="BD79" si="1774">AX79+BB79</f>
        <v>55.962539135367464</v>
      </c>
      <c r="BE79" s="211">
        <v>1075.2460000000001</v>
      </c>
      <c r="BF79" s="247">
        <f t="shared" si="58"/>
        <v>35.841533333333338</v>
      </c>
      <c r="BG79" s="211">
        <v>802.13300000000004</v>
      </c>
      <c r="BH79" s="211">
        <v>158.614</v>
      </c>
      <c r="BI79" s="190">
        <f t="shared" ref="BI79" si="1775">BG79*2/BF79</f>
        <v>44.759971206589</v>
      </c>
      <c r="BJ79" s="190">
        <f t="shared" ref="BJ79" si="1776">BI79-J79</f>
        <v>0.28599968436734002</v>
      </c>
      <c r="BK79" s="211">
        <v>424.37099999999998</v>
      </c>
      <c r="BL79" s="211">
        <v>197.27699999999999</v>
      </c>
      <c r="BM79" s="190">
        <f t="shared" ref="BM79" si="1777">BK79/BF79</f>
        <v>11.840202149089601</v>
      </c>
      <c r="BN79" s="190">
        <f t="shared" ref="BN79" si="1778">BM79-W79</f>
        <v>-1.965505320074179E-2</v>
      </c>
      <c r="BO79" s="247">
        <f t="shared" ref="BO79" si="1779">BM79+BI79</f>
        <v>56.600173355678599</v>
      </c>
      <c r="BP79" s="211">
        <v>816.91</v>
      </c>
      <c r="BQ79" s="247">
        <f t="shared" si="26"/>
        <v>27.230333333333331</v>
      </c>
      <c r="BR79" s="211">
        <v>612.44100000000003</v>
      </c>
      <c r="BS79" s="211">
        <v>86.506</v>
      </c>
      <c r="BT79" s="190">
        <f t="shared" ref="BT79" si="1780">BR79*2/BQ79</f>
        <v>44.982262427929641</v>
      </c>
      <c r="BU79" s="190">
        <f t="shared" ref="BU79" si="1781">BT79-J79</f>
        <v>0.5082909057079803</v>
      </c>
      <c r="BV79" s="211">
        <v>308.61599999999999</v>
      </c>
      <c r="BW79" s="211">
        <v>160.28</v>
      </c>
      <c r="BX79" s="190">
        <f t="shared" ref="BX79" si="1782">BV79/BQ79</f>
        <v>11.333537354176103</v>
      </c>
      <c r="BY79" s="190">
        <f t="shared" ref="BY79" si="1783">BX79-W79</f>
        <v>-0.52631984811423926</v>
      </c>
      <c r="BZ79" s="194">
        <f t="shared" ref="BZ79" si="1784">BT79+BX79</f>
        <v>56.315799782105742</v>
      </c>
      <c r="CA79" s="211">
        <v>659.89099999999996</v>
      </c>
      <c r="CB79" s="247">
        <f t="shared" si="32"/>
        <v>21.996366666666667</v>
      </c>
      <c r="CC79" s="211">
        <v>485.512</v>
      </c>
      <c r="CD79" s="211">
        <v>44.884999999999998</v>
      </c>
      <c r="CE79" s="190">
        <f t="shared" ref="CE79" si="1785">CC79*2/CB79</f>
        <v>44.144745116996596</v>
      </c>
      <c r="CF79" s="190">
        <f t="shared" ref="CF79" si="1786">CE79-J79</f>
        <v>-0.32922640522506441</v>
      </c>
      <c r="CG79" s="211">
        <v>257.47000000000003</v>
      </c>
      <c r="CH79" s="211">
        <v>70.073999999999998</v>
      </c>
      <c r="CI79" s="190">
        <f t="shared" ref="CI79" si="1787">CG79/CB79</f>
        <v>11.705114935648464</v>
      </c>
      <c r="CJ79" s="190">
        <f t="shared" ref="CJ79" si="1788">CI79-W79</f>
        <v>-0.15474226664187896</v>
      </c>
      <c r="CK79" s="194">
        <f t="shared" ref="CK79" si="1789">CI79+CE79</f>
        <v>55.849860052645056</v>
      </c>
      <c r="CL79" s="211">
        <v>888.67899999999997</v>
      </c>
      <c r="CM79" s="247">
        <f t="shared" si="60"/>
        <v>29.622633333333333</v>
      </c>
      <c r="CN79" s="211">
        <v>658.36800000000005</v>
      </c>
      <c r="CO79" s="211">
        <v>45.046999999999997</v>
      </c>
      <c r="CP79" s="190">
        <f t="shared" ref="CP79" si="1790">CN79*2/CM79</f>
        <v>44.450335835549176</v>
      </c>
      <c r="CQ79" s="190">
        <f t="shared" ref="CQ79" si="1791">CP79-J79</f>
        <v>-2.3635686672484724E-2</v>
      </c>
      <c r="CR79" s="211">
        <v>364.01299999999998</v>
      </c>
      <c r="CS79" s="211">
        <v>127.23399999999999</v>
      </c>
      <c r="CT79" s="190">
        <f t="shared" ref="CT79" si="1792">CR79/CM79</f>
        <v>12.28834033436145</v>
      </c>
      <c r="CU79" s="190">
        <f t="shared" ref="CU79" si="1793">CT79-W79</f>
        <v>0.42848313207110778</v>
      </c>
      <c r="CV79" s="247">
        <f t="shared" ref="CV79" si="1794">CP79+CT79</f>
        <v>56.738676169910626</v>
      </c>
      <c r="CW79" s="163"/>
      <c r="CX79" s="196">
        <f t="shared" ref="CX79" si="1795">C79-AJ79-AU79-BF79-BQ79-CB79-CM79</f>
        <v>2.8421709430404007E-14</v>
      </c>
      <c r="CY79" s="196">
        <f t="shared" ref="CY79" si="1796">F79-AK79-AV79-BG79-BR79-CC79-CN79</f>
        <v>0</v>
      </c>
      <c r="CZ79" s="196">
        <f t="shared" ref="CZ79" si="1797">I79-AL79-AW79-BH79-BS79-CD79-CO79</f>
        <v>0</v>
      </c>
      <c r="DA79" s="196">
        <f t="shared" ref="DA79" si="1798">O79-AO79-AZ79-BK79-BV79-CG79-CR79</f>
        <v>0</v>
      </c>
      <c r="DB79" s="196">
        <f t="shared" ref="DB79" si="1799">Q79-AP79-BA79-BL79-BW79-CH79-CS79</f>
        <v>0</v>
      </c>
      <c r="DC79" s="196">
        <f t="shared" ref="DC79" si="1800">P79-Q79-R79-S79</f>
        <v>0</v>
      </c>
      <c r="DD79" s="163"/>
      <c r="DE79" s="200">
        <v>145.96700000000001</v>
      </c>
      <c r="DF79" s="200">
        <v>87.751000000000005</v>
      </c>
      <c r="DG79" s="200">
        <v>30.292000000000002</v>
      </c>
      <c r="DH79" s="191">
        <f t="shared" si="61"/>
        <v>0.60117012749457066</v>
      </c>
      <c r="DI79" s="197">
        <v>124.634</v>
      </c>
      <c r="DJ79" s="191">
        <f t="shared" si="48"/>
        <v>0.42692526392951829</v>
      </c>
      <c r="DK79" s="197">
        <v>151.30799999999999</v>
      </c>
      <c r="DL79" s="197">
        <v>147.02000000000001</v>
      </c>
      <c r="DM79" s="191">
        <f t="shared" si="62"/>
        <v>2.8339545827054669E-2</v>
      </c>
      <c r="DN79" s="200">
        <v>152.983</v>
      </c>
      <c r="DO79" s="200">
        <v>47.186</v>
      </c>
      <c r="DP79" s="200">
        <v>108.223</v>
      </c>
      <c r="DQ79" s="200">
        <f t="shared" ref="DQ79" si="1801">DP79+DO79</f>
        <v>155.40899999999999</v>
      </c>
      <c r="DR79" s="191">
        <f t="shared" ref="DR79" si="1802">DJ79+DH79</f>
        <v>1.0280953914240889</v>
      </c>
      <c r="DS79" s="199">
        <f t="shared" si="1405"/>
        <v>1.2140186465972367</v>
      </c>
      <c r="DT79" s="200">
        <v>96.593999999999994</v>
      </c>
      <c r="DU79" s="200">
        <v>41.716999999999999</v>
      </c>
      <c r="DV79" s="200">
        <v>50.527000000000001</v>
      </c>
      <c r="DW79" s="191">
        <f t="shared" si="1537"/>
        <v>0.43187982690436261</v>
      </c>
      <c r="DX79" s="197">
        <v>24.274000000000001</v>
      </c>
      <c r="DY79" s="191">
        <f t="shared" si="1538"/>
        <v>0.12564962627078288</v>
      </c>
      <c r="DZ79" s="197">
        <v>33.274000000000001</v>
      </c>
      <c r="EA79" s="197">
        <v>32.854999999999997</v>
      </c>
      <c r="EB79" s="191">
        <f t="shared" si="52"/>
        <v>1.2592414497806237E-2</v>
      </c>
      <c r="EC79" s="200">
        <v>36.807000000000002</v>
      </c>
      <c r="ED79" s="200">
        <v>22</v>
      </c>
      <c r="EE79" s="200">
        <v>14.55</v>
      </c>
      <c r="EF79" s="195">
        <f t="shared" ref="EF79" si="1803">EE79+ED79</f>
        <v>36.549999999999997</v>
      </c>
      <c r="EG79" s="191">
        <f t="shared" ref="EG79" si="1804">DY79+DW79</f>
        <v>0.55752945317514546</v>
      </c>
      <c r="EJ79" s="202">
        <f t="shared" si="1363"/>
        <v>10.731174193548387</v>
      </c>
      <c r="EK79" s="202">
        <f>'NOPA Crush'!B504*56/('NOPA Crush'!A504-'NOPA Crush'!A503)</f>
        <v>12.535806845946697</v>
      </c>
      <c r="EL79" s="203">
        <f t="shared" si="1451"/>
        <v>0.8560417630412186</v>
      </c>
      <c r="EM79" s="202">
        <f t="shared" si="1406"/>
        <v>4.7086129032258066</v>
      </c>
      <c r="EN79" s="202">
        <f t="shared" si="1407"/>
        <v>6.2318709677419357E-3</v>
      </c>
      <c r="EO79" s="202">
        <f t="shared" si="1452"/>
        <v>15.446018967741935</v>
      </c>
    </row>
    <row r="80" spans="1:145">
      <c r="A80" s="157">
        <v>44409</v>
      </c>
      <c r="B80" s="186">
        <v>5047.7759999999998</v>
      </c>
      <c r="C80" s="187">
        <f t="shared" ref="C80" si="1805">B80/30</f>
        <v>168.25919999999999</v>
      </c>
      <c r="D80" s="247">
        <f>C80-'NOPA Crush'!G505</f>
        <v>9.4162000000000035</v>
      </c>
      <c r="E80" s="188">
        <f>C80/'NOPA Crush'!G505-1</f>
        <v>5.9279917906360335E-2</v>
      </c>
      <c r="F80" s="189">
        <v>3728.116</v>
      </c>
      <c r="G80" s="189">
        <v>3672.915</v>
      </c>
      <c r="H80" s="189">
        <v>55.201000000000001</v>
      </c>
      <c r="I80" s="189">
        <v>344.74099999999999</v>
      </c>
      <c r="J80" s="190">
        <f t="shared" ref="J80" si="1806">F80*2/C80</f>
        <v>44.313963218653129</v>
      </c>
      <c r="K80" s="190">
        <f t="shared" ref="K80" si="1807">(F80+M80)*2/C80</f>
        <v>47.489753903501267</v>
      </c>
      <c r="L80" s="190">
        <f>K80-'NOPA Crush'!J505</f>
        <v>-5.0246096498732129E-2</v>
      </c>
      <c r="M80" s="189">
        <v>267.178</v>
      </c>
      <c r="N80" s="189">
        <v>38.771000000000001</v>
      </c>
      <c r="O80" s="189">
        <v>1989.7329999999999</v>
      </c>
      <c r="P80" s="189">
        <v>1753.4690000000001</v>
      </c>
      <c r="Q80" s="189">
        <v>872.12</v>
      </c>
      <c r="R80" s="189">
        <v>282.75099999999998</v>
      </c>
      <c r="S80" s="189">
        <v>598.59799999999996</v>
      </c>
      <c r="T80" s="189">
        <v>429.97199999999998</v>
      </c>
      <c r="U80" s="189">
        <f>(P80+T80)-'NOPA Crush'!Q505</f>
        <v>515.61299999999983</v>
      </c>
      <c r="V80" s="191">
        <f>((P80+T80)/'NOPA Crush'!Q505)-1</f>
        <v>0.30915238261979039</v>
      </c>
      <c r="W80" s="190">
        <f t="shared" ref="W80" si="1808">O80/C80</f>
        <v>11.825403900648524</v>
      </c>
      <c r="X80" s="190">
        <f>W80-'NOPA Crush'!O505</f>
        <v>3.5403900648525166E-2</v>
      </c>
      <c r="Y80" s="190">
        <f t="shared" si="720"/>
        <v>59.315157804149791</v>
      </c>
      <c r="Z80" s="211">
        <v>1670.68</v>
      </c>
      <c r="AA80" s="211">
        <v>1629.162</v>
      </c>
      <c r="AB80" s="191">
        <f t="shared" ref="AB80" si="1809">(Z80-AA80)/Z80</f>
        <v>2.485095889099051E-2</v>
      </c>
      <c r="AC80" s="211">
        <v>109.209</v>
      </c>
      <c r="AD80" s="211">
        <v>1598.981</v>
      </c>
      <c r="AE80" s="211">
        <v>1189.4590000000001</v>
      </c>
      <c r="AF80" s="211">
        <v>409.52199999999999</v>
      </c>
      <c r="AG80" s="191">
        <f t="shared" si="1322"/>
        <v>-1.8525475060184315E-2</v>
      </c>
      <c r="AI80" s="211">
        <v>523.92700000000002</v>
      </c>
      <c r="AJ80" s="247">
        <f t="shared" si="11"/>
        <v>17.464233333333333</v>
      </c>
      <c r="AK80" s="211">
        <v>388.67</v>
      </c>
      <c r="AL80" s="211">
        <v>45.926000000000002</v>
      </c>
      <c r="AM80" s="190">
        <f t="shared" ref="AM80" si="1810">AK80*2/AJ80</f>
        <v>44.510399349527702</v>
      </c>
      <c r="AN80" s="190">
        <f t="shared" ref="AN80" si="1811">AM80-J80</f>
        <v>0.19643613087457368</v>
      </c>
      <c r="AO80" s="211">
        <v>211.99600000000001</v>
      </c>
      <c r="AP80" s="211">
        <v>112.312</v>
      </c>
      <c r="AQ80" s="190">
        <f t="shared" ref="AQ80" si="1812">AO80/AJ80</f>
        <v>12.138866674174075</v>
      </c>
      <c r="AR80" s="190">
        <f t="shared" ref="AR80" si="1813">AQ80-W80</f>
        <v>0.31346277352555063</v>
      </c>
      <c r="AS80" s="190">
        <f t="shared" ref="AS80" si="1814">AM80+AQ80</f>
        <v>56.649266023701777</v>
      </c>
      <c r="AT80" s="211">
        <v>1127.643</v>
      </c>
      <c r="AU80" s="247">
        <f t="shared" si="16"/>
        <v>37.588100000000004</v>
      </c>
      <c r="AV80" s="211">
        <v>832.10599999999999</v>
      </c>
      <c r="AW80" s="211">
        <v>50.247999999999998</v>
      </c>
      <c r="AX80" s="190">
        <f t="shared" ref="AX80" si="1815">AV80*2/AU80</f>
        <v>44.274970003804391</v>
      </c>
      <c r="AY80" s="190">
        <f t="shared" ref="AY80" si="1816">AX80-J80</f>
        <v>-3.8993214848737523E-2</v>
      </c>
      <c r="AZ80" s="211">
        <v>445.12099999999998</v>
      </c>
      <c r="BA80" s="211">
        <v>145.44399999999999</v>
      </c>
      <c r="BB80" s="190">
        <f t="shared" ref="BB80" si="1817">AZ80/AU80</f>
        <v>11.84207235800692</v>
      </c>
      <c r="BC80" s="190">
        <f t="shared" ref="BC80" si="1818">BB80-W80</f>
        <v>1.6668457358395727E-2</v>
      </c>
      <c r="BD80" s="247">
        <f t="shared" ref="BD80" si="1819">AX80+BB80</f>
        <v>56.117042361811315</v>
      </c>
      <c r="BE80" s="211">
        <v>1095.4939999999999</v>
      </c>
      <c r="BF80" s="247">
        <f t="shared" si="58"/>
        <v>36.516466666666666</v>
      </c>
      <c r="BG80" s="211">
        <v>811.54100000000005</v>
      </c>
      <c r="BH80" s="211">
        <v>89.272000000000006</v>
      </c>
      <c r="BI80" s="190">
        <f t="shared" ref="BI80" si="1820">BG80*2/BF80</f>
        <v>44.447947683875952</v>
      </c>
      <c r="BJ80" s="190">
        <f t="shared" ref="BJ80" si="1821">BI80-J80</f>
        <v>0.1339844652228237</v>
      </c>
      <c r="BK80" s="211">
        <v>427.19600000000003</v>
      </c>
      <c r="BL80" s="211">
        <v>211.38</v>
      </c>
      <c r="BM80" s="190">
        <f t="shared" ref="BM80" si="1822">BK80/BF80</f>
        <v>11.698722220295137</v>
      </c>
      <c r="BN80" s="190">
        <f t="shared" ref="BN80" si="1823">BM80-W80</f>
        <v>-0.12668168035338745</v>
      </c>
      <c r="BO80" s="247">
        <f t="shared" ref="BO80" si="1824">BM80+BI80</f>
        <v>56.146669904171091</v>
      </c>
      <c r="BP80" s="211">
        <v>892.79200000000003</v>
      </c>
      <c r="BQ80" s="247">
        <f t="shared" si="26"/>
        <v>29.759733333333333</v>
      </c>
      <c r="BR80" s="211">
        <v>663.14499999999998</v>
      </c>
      <c r="BS80" s="211">
        <v>76.153000000000006</v>
      </c>
      <c r="BT80" s="190">
        <f t="shared" ref="BT80" si="1825">BR80*2/BQ80</f>
        <v>44.566595578813427</v>
      </c>
      <c r="BU80" s="190">
        <f t="shared" ref="BU80" si="1826">BT80-J80</f>
        <v>0.25263236016029822</v>
      </c>
      <c r="BV80" s="211">
        <v>341.41199999999998</v>
      </c>
      <c r="BW80" s="211">
        <v>179.71100000000001</v>
      </c>
      <c r="BX80" s="190">
        <f t="shared" ref="BX80" si="1827">BV80/BQ80</f>
        <v>11.472280217564673</v>
      </c>
      <c r="BY80" s="190">
        <f t="shared" ref="BY80" si="1828">BX80-W80</f>
        <v>-0.35312368308385089</v>
      </c>
      <c r="BZ80" s="194">
        <f t="shared" ref="BZ80" si="1829">BT80+BX80</f>
        <v>56.0388757963781</v>
      </c>
      <c r="CA80" s="211">
        <v>680.53200000000004</v>
      </c>
      <c r="CB80" s="247">
        <f t="shared" si="32"/>
        <v>22.6844</v>
      </c>
      <c r="CC80" s="211">
        <v>492.36</v>
      </c>
      <c r="CD80" s="211">
        <v>43.427</v>
      </c>
      <c r="CE80" s="190">
        <f t="shared" ref="CE80" si="1830">CC80*2/CB80</f>
        <v>43.409567808714357</v>
      </c>
      <c r="CF80" s="190">
        <f t="shared" ref="CF80" si="1831">CE80-J80</f>
        <v>-0.90439540993877188</v>
      </c>
      <c r="CG80" s="211">
        <v>261.75700000000001</v>
      </c>
      <c r="CH80" s="211">
        <v>68.778000000000006</v>
      </c>
      <c r="CI80" s="190">
        <f t="shared" ref="CI80" si="1832">CG80/CB80</f>
        <v>11.539075311667931</v>
      </c>
      <c r="CJ80" s="190">
        <f t="shared" ref="CJ80" si="1833">CI80-W80</f>
        <v>-0.28632858898059332</v>
      </c>
      <c r="CK80" s="194">
        <f t="shared" ref="CK80" si="1834">CI80+CE80</f>
        <v>54.948643120382286</v>
      </c>
      <c r="CL80" s="211">
        <v>727.38800000000003</v>
      </c>
      <c r="CM80" s="247">
        <f t="shared" si="60"/>
        <v>24.246266666666667</v>
      </c>
      <c r="CN80" s="211">
        <v>540.29399999999998</v>
      </c>
      <c r="CO80" s="211">
        <v>39.715000000000003</v>
      </c>
      <c r="CP80" s="190">
        <f t="shared" ref="CP80" si="1835">CN80*2/CM80</f>
        <v>44.567191100210614</v>
      </c>
      <c r="CQ80" s="190">
        <f t="shared" ref="CQ80" si="1836">CP80-J80</f>
        <v>0.25322788155748555</v>
      </c>
      <c r="CR80" s="211">
        <v>302.25099999999998</v>
      </c>
      <c r="CS80" s="211">
        <v>154.495</v>
      </c>
      <c r="CT80" s="190">
        <f t="shared" ref="CT80" si="1837">CR80/CM80</f>
        <v>12.465877908351525</v>
      </c>
      <c r="CU80" s="190">
        <f t="shared" ref="CU80" si="1838">CT80-W80</f>
        <v>0.64047400770300023</v>
      </c>
      <c r="CV80" s="247">
        <f t="shared" ref="CV80" si="1839">CP80+CT80</f>
        <v>57.033069008562137</v>
      </c>
      <c r="CW80" s="163"/>
      <c r="CX80" s="196">
        <f t="shared" ref="CX80" si="1840">C80-AJ80-AU80-BF80-BQ80-CB80-CM80</f>
        <v>0</v>
      </c>
      <c r="CY80" s="196">
        <f t="shared" ref="CY80" si="1841">F80-AK80-AV80-BG80-BR80-CC80-CN80</f>
        <v>0</v>
      </c>
      <c r="CZ80" s="196">
        <f t="shared" ref="CZ80" si="1842">I80-AL80-AW80-BH80-BS80-CD80-CO80</f>
        <v>0</v>
      </c>
      <c r="DA80" s="196">
        <f t="shared" ref="DA80" si="1843">O80-AO80-AZ80-BK80-BV80-CG80-CR80</f>
        <v>0</v>
      </c>
      <c r="DB80" s="196">
        <f t="shared" ref="DB80" si="1844">Q80-AP80-BA80-BL80-BW80-CH80-CS80</f>
        <v>0</v>
      </c>
      <c r="DC80" s="196">
        <f t="shared" ref="DC80" si="1845">P80-Q80-R80-S80</f>
        <v>0</v>
      </c>
      <c r="DD80" s="163"/>
      <c r="DE80" s="200">
        <v>131.15</v>
      </c>
      <c r="DF80" s="200">
        <v>74.518000000000001</v>
      </c>
      <c r="DG80" s="200">
        <v>31.170999999999999</v>
      </c>
      <c r="DH80" s="191">
        <f t="shared" si="61"/>
        <v>0.56818909645444149</v>
      </c>
      <c r="DI80" s="197">
        <v>103.99</v>
      </c>
      <c r="DJ80" s="191">
        <f t="shared" si="48"/>
        <v>0.39645444147922221</v>
      </c>
      <c r="DK80" s="197">
        <v>120.96</v>
      </c>
      <c r="DL80" s="197">
        <v>117.319</v>
      </c>
      <c r="DM80" s="191">
        <f t="shared" si="62"/>
        <v>3.0100859788359746E-2</v>
      </c>
      <c r="DN80" s="200">
        <v>123.949</v>
      </c>
      <c r="DO80" s="200">
        <v>27.228999999999999</v>
      </c>
      <c r="DP80" s="200">
        <v>100.83199999999999</v>
      </c>
      <c r="DQ80" s="200">
        <f t="shared" ref="DQ80" si="1846">DP80+DO80</f>
        <v>128.06099999999998</v>
      </c>
      <c r="DR80" s="191">
        <f t="shared" ref="DR80" si="1847">DJ80+DH80</f>
        <v>0.96464353793366375</v>
      </c>
      <c r="DS80" s="199">
        <f t="shared" si="1405"/>
        <v>1.1631887681507838</v>
      </c>
      <c r="DT80" s="200">
        <v>115.26300000000001</v>
      </c>
      <c r="DU80" s="200">
        <v>49.597999999999999</v>
      </c>
      <c r="DV80" s="200">
        <v>57.832999999999998</v>
      </c>
      <c r="DW80" s="191">
        <f t="shared" si="1537"/>
        <v>0.43030287256101263</v>
      </c>
      <c r="DX80" s="197">
        <v>27.981999999999999</v>
      </c>
      <c r="DY80" s="191">
        <f t="shared" si="1538"/>
        <v>0.12138327130128487</v>
      </c>
      <c r="DZ80" s="197">
        <v>34.604999999999997</v>
      </c>
      <c r="EA80" s="197">
        <v>33.445</v>
      </c>
      <c r="EB80" s="191">
        <f t="shared" si="52"/>
        <v>3.3521167461349366E-2</v>
      </c>
      <c r="EC80" s="200">
        <v>34.929000000000002</v>
      </c>
      <c r="ED80" s="200">
        <v>18.37</v>
      </c>
      <c r="EE80" s="200">
        <v>13.605</v>
      </c>
      <c r="EF80" s="195">
        <f t="shared" ref="EF80:EF81" si="1848">EE80+ED80</f>
        <v>31.975000000000001</v>
      </c>
      <c r="EG80" s="191">
        <f t="shared" ref="EG80:EG81" si="1849">DY80+DW80</f>
        <v>0.55168614386229753</v>
      </c>
      <c r="EJ80" s="202">
        <f t="shared" si="1363"/>
        <v>10.855432258064516</v>
      </c>
      <c r="EK80" s="202">
        <f>'NOPA Crush'!B505*56/('NOPA Crush'!A505-'NOPA Crush'!A504)</f>
        <v>11.962347365197724</v>
      </c>
      <c r="EL80" s="203">
        <f t="shared" si="1451"/>
        <v>0.90746673095670372</v>
      </c>
      <c r="EM80" s="202">
        <f t="shared" si="1406"/>
        <v>4.2306451612903224</v>
      </c>
      <c r="EN80" s="202">
        <f t="shared" si="1407"/>
        <v>7.4363225806451617E-3</v>
      </c>
      <c r="EO80" s="202">
        <f t="shared" si="1452"/>
        <v>15.093513741935483</v>
      </c>
    </row>
    <row r="81" spans="1:145">
      <c r="A81" s="157">
        <v>44440</v>
      </c>
      <c r="B81" s="186">
        <v>4924.5739999999996</v>
      </c>
      <c r="C81" s="187">
        <f t="shared" ref="C81" si="1850">B81/30</f>
        <v>164.15246666666664</v>
      </c>
      <c r="D81" s="247">
        <f>C81-'NOPA Crush'!G506</f>
        <v>10.352466666666629</v>
      </c>
      <c r="E81" s="188">
        <f>C81/'NOPA Crush'!G506-1</f>
        <v>6.7311226701343596E-2</v>
      </c>
      <c r="F81" s="189">
        <v>3604.2660000000001</v>
      </c>
      <c r="G81" s="189">
        <v>3548.7339999999999</v>
      </c>
      <c r="H81" s="189">
        <v>55.531999999999996</v>
      </c>
      <c r="I81" s="189">
        <v>306.923</v>
      </c>
      <c r="J81" s="190">
        <f t="shared" ref="J81:J82" si="1851">F81*2/C81</f>
        <v>43.913638012140751</v>
      </c>
      <c r="K81" s="190">
        <f t="shared" ref="K81" si="1852">(F81+M81)*2/C81</f>
        <v>47.122666854026363</v>
      </c>
      <c r="L81" s="190">
        <f>K81-'NOPA Crush'!J506</f>
        <v>6.2666854026360852E-2</v>
      </c>
      <c r="M81" s="189">
        <v>263.38499999999999</v>
      </c>
      <c r="N81" s="189">
        <v>33.863</v>
      </c>
      <c r="O81" s="189">
        <v>1938.212</v>
      </c>
      <c r="P81" s="189">
        <v>1741.5889999999999</v>
      </c>
      <c r="Q81" s="189">
        <v>841.38400000000001</v>
      </c>
      <c r="R81" s="189">
        <v>267.363</v>
      </c>
      <c r="S81" s="189">
        <v>632.84199999999998</v>
      </c>
      <c r="T81" s="189">
        <v>389.64400000000001</v>
      </c>
      <c r="U81" s="189">
        <f>(P81+T81)-'NOPA Crush'!Q506</f>
        <v>447.08600000000024</v>
      </c>
      <c r="V81" s="191">
        <f>((P81+T81)/'NOPA Crush'!Q506)-1</f>
        <v>0.26546732559568742</v>
      </c>
      <c r="W81" s="190">
        <f t="shared" ref="W81" si="1853">O81/C81</f>
        <v>11.807388821855456</v>
      </c>
      <c r="X81" s="190">
        <f>W81-'NOPA Crush'!O506</f>
        <v>1.7388821855456982E-2</v>
      </c>
      <c r="Y81" s="190">
        <f t="shared" si="720"/>
        <v>58.930055675881817</v>
      </c>
      <c r="Z81" s="211">
        <v>1650.106</v>
      </c>
      <c r="AA81" s="211">
        <v>1609.23</v>
      </c>
      <c r="AB81" s="191">
        <f t="shared" ref="AB81" si="1854">(Z81-AA81)/Z81</f>
        <v>2.4771741936578606E-2</v>
      </c>
      <c r="AC81" s="211">
        <v>122.583</v>
      </c>
      <c r="AD81" s="211">
        <v>1651.1890000000001</v>
      </c>
      <c r="AE81" s="211">
        <v>1257.386</v>
      </c>
      <c r="AF81" s="211">
        <v>393.803</v>
      </c>
      <c r="AG81" s="191">
        <f t="shared" si="1322"/>
        <v>2.6073960838413512E-2</v>
      </c>
      <c r="AI81" s="211">
        <v>567.43600000000004</v>
      </c>
      <c r="AJ81" s="247">
        <f t="shared" si="11"/>
        <v>18.914533333333335</v>
      </c>
      <c r="AK81" s="211">
        <v>415.15</v>
      </c>
      <c r="AL81" s="211">
        <v>42.048999999999999</v>
      </c>
      <c r="AM81" s="190">
        <f t="shared" ref="AM81" si="1855">AK81*2/AJ81</f>
        <v>43.897461563947296</v>
      </c>
      <c r="AN81" s="190">
        <f t="shared" ref="AN81" si="1856">AM81-J81</f>
        <v>-1.6176448193455428E-2</v>
      </c>
      <c r="AO81" s="211">
        <v>223.398</v>
      </c>
      <c r="AP81" s="211">
        <v>108.843</v>
      </c>
      <c r="AQ81" s="190">
        <f t="shared" ref="AQ81" si="1857">AO81/AJ81</f>
        <v>11.810917883250269</v>
      </c>
      <c r="AR81" s="190">
        <f t="shared" ref="AR81" si="1858">AQ81-W81</f>
        <v>3.5290613948131266E-3</v>
      </c>
      <c r="AS81" s="190">
        <f t="shared" ref="AS81" si="1859">AM81+AQ81</f>
        <v>55.708379447197565</v>
      </c>
      <c r="AT81" s="211">
        <v>1054.8620000000001</v>
      </c>
      <c r="AU81" s="247">
        <f t="shared" si="16"/>
        <v>35.162066666666668</v>
      </c>
      <c r="AV81" s="211">
        <v>777.83100000000002</v>
      </c>
      <c r="AW81" s="211">
        <v>42.677</v>
      </c>
      <c r="AX81" s="190">
        <f t="shared" ref="AX81" si="1860">AV81*2/AU81</f>
        <v>44.242621309706863</v>
      </c>
      <c r="AY81" s="190">
        <f t="shared" ref="AY81" si="1861">AX81-J81</f>
        <v>0.32898329756611133</v>
      </c>
      <c r="AZ81" s="211">
        <v>419.24900000000002</v>
      </c>
      <c r="BA81" s="211">
        <v>107.518</v>
      </c>
      <c r="BB81" s="190">
        <f t="shared" ref="BB81" si="1862">AZ81/AU81</f>
        <v>11.923332151504178</v>
      </c>
      <c r="BC81" s="190">
        <f t="shared" ref="BC81" si="1863">BB81-W81</f>
        <v>0.11594332964872223</v>
      </c>
      <c r="BD81" s="247">
        <f t="shared" ref="BD81" si="1864">AX81+BB81</f>
        <v>56.165953461211039</v>
      </c>
      <c r="BE81" s="211">
        <v>1181.329</v>
      </c>
      <c r="BF81" s="247">
        <f t="shared" si="58"/>
        <v>39.377633333333328</v>
      </c>
      <c r="BG81" s="211">
        <v>864.91499999999996</v>
      </c>
      <c r="BH81" s="211">
        <v>83.545000000000002</v>
      </c>
      <c r="BI81" s="190">
        <f t="shared" ref="BI81" si="1865">BG81*2/BF81</f>
        <v>43.929252562156691</v>
      </c>
      <c r="BJ81" s="190">
        <f t="shared" ref="BJ81" si="1866">BI81-J81</f>
        <v>1.5614550015939699E-2</v>
      </c>
      <c r="BK81" s="211">
        <v>464.28</v>
      </c>
      <c r="BL81" s="211">
        <v>241.363</v>
      </c>
      <c r="BM81" s="190">
        <f t="shared" ref="BM81" si="1867">BK81/BF81</f>
        <v>11.790449569933525</v>
      </c>
      <c r="BN81" s="190">
        <f t="shared" ref="BN81" si="1868">BM81-W81</f>
        <v>-1.6939251921931131E-2</v>
      </c>
      <c r="BO81" s="247">
        <f t="shared" ref="BO81" si="1869">BM81+BI81</f>
        <v>55.719702132090219</v>
      </c>
      <c r="BP81" s="211">
        <v>803.971</v>
      </c>
      <c r="BQ81" s="247">
        <f t="shared" si="26"/>
        <v>26.799033333333334</v>
      </c>
      <c r="BR81" s="211">
        <v>589.21500000000003</v>
      </c>
      <c r="BS81" s="211">
        <v>57.74</v>
      </c>
      <c r="BT81" s="190">
        <f t="shared" ref="BT81" si="1870">BR81*2/BQ81</f>
        <v>43.972854742273043</v>
      </c>
      <c r="BU81" s="190">
        <f t="shared" ref="BU81" si="1871">BT81-J81</f>
        <v>5.9216730132291673E-2</v>
      </c>
      <c r="BV81" s="211">
        <v>308.351</v>
      </c>
      <c r="BW81" s="211">
        <v>179.751</v>
      </c>
      <c r="BX81" s="190">
        <f t="shared" ref="BX81" si="1872">BV81/BQ81</f>
        <v>11.506049347551093</v>
      </c>
      <c r="BY81" s="190">
        <f t="shared" ref="BY81" si="1873">BX81-W81</f>
        <v>-0.30133947430436336</v>
      </c>
      <c r="BZ81" s="194">
        <f t="shared" ref="BZ81" si="1874">BT81+BX81</f>
        <v>55.478904089824134</v>
      </c>
      <c r="CA81" s="211">
        <v>537.59199999999998</v>
      </c>
      <c r="CB81" s="247">
        <f t="shared" si="32"/>
        <v>17.919733333333333</v>
      </c>
      <c r="CC81" s="211">
        <v>388.31700000000001</v>
      </c>
      <c r="CD81" s="211">
        <v>37.664999999999999</v>
      </c>
      <c r="CE81" s="190">
        <f t="shared" ref="CE81" si="1875">CC81*2/CB81</f>
        <v>43.33959582731886</v>
      </c>
      <c r="CF81" s="190">
        <f t="shared" ref="CF81" si="1876">CE81-J81</f>
        <v>-0.57404218482189151</v>
      </c>
      <c r="CG81" s="211">
        <v>207.227</v>
      </c>
      <c r="CH81" s="340">
        <f>(SUM(CH71:CH80)/SUM($P71:$P80))*$P81</f>
        <v>62.488797767141563</v>
      </c>
      <c r="CI81" s="190">
        <f t="shared" ref="CI81" si="1877">CG81/CB81</f>
        <v>11.564178782422358</v>
      </c>
      <c r="CJ81" s="190">
        <f t="shared" ref="CJ81" si="1878">CI81-W81</f>
        <v>-0.24321003943309805</v>
      </c>
      <c r="CK81" s="194">
        <f t="shared" ref="CK81" si="1879">CI81+CE81</f>
        <v>54.90377460974122</v>
      </c>
      <c r="CL81" s="211">
        <v>779.38400000000001</v>
      </c>
      <c r="CM81" s="247">
        <f t="shared" si="60"/>
        <v>25.979466666666667</v>
      </c>
      <c r="CN81" s="211">
        <v>568.83799999999997</v>
      </c>
      <c r="CO81" s="211">
        <v>43.247</v>
      </c>
      <c r="CP81" s="190">
        <f t="shared" ref="CP81:CP82" si="1880">CN81*2/CM81</f>
        <v>43.791353171222397</v>
      </c>
      <c r="CQ81" s="190">
        <f t="shared" ref="CQ81:CQ82" si="1881">CP81-J81</f>
        <v>-0.12228484091835412</v>
      </c>
      <c r="CR81" s="211">
        <v>315.70699999999999</v>
      </c>
      <c r="CS81" s="340">
        <f>Q81-AP81-BA81-BL81-BW81-CH81</f>
        <v>141.42020223285846</v>
      </c>
      <c r="CT81" s="190">
        <f t="shared" ref="CT81" si="1882">CR81/CM81</f>
        <v>12.152174024614311</v>
      </c>
      <c r="CU81" s="190">
        <f t="shared" ref="CU81" si="1883">CT81-W81</f>
        <v>0.34478520275885494</v>
      </c>
      <c r="CV81" s="247">
        <f t="shared" ref="CV81" si="1884">CP81+CT81</f>
        <v>55.943527195836708</v>
      </c>
      <c r="CW81" s="163"/>
      <c r="CX81" s="196">
        <f t="shared" ref="CX81" si="1885">C81-AJ81-AU81-BF81-BQ81-CB81-CM81</f>
        <v>-4.2632564145606011E-14</v>
      </c>
      <c r="CY81" s="196">
        <f t="shared" ref="CY81" si="1886">F81-AK81-AV81-BG81-BR81-CC81-CN81</f>
        <v>0</v>
      </c>
      <c r="CZ81" s="196">
        <f t="shared" ref="CZ81" si="1887">I81-AL81-AW81-BH81-BS81-CD81-CO81</f>
        <v>0</v>
      </c>
      <c r="DA81" s="196">
        <f t="shared" ref="DA81" si="1888">O81-AO81-AZ81-BK81-BV81-CG81-CR81</f>
        <v>0</v>
      </c>
      <c r="DB81" s="196">
        <f t="shared" ref="DB81" si="1889">Q81-AP81-BA81-BL81-BW81-CH81-CS81</f>
        <v>0</v>
      </c>
      <c r="DC81" s="196">
        <f t="shared" ref="DC81" si="1890">P81-Q81-R81-S81</f>
        <v>0</v>
      </c>
      <c r="DD81" s="163"/>
      <c r="DE81" s="200">
        <v>168.464</v>
      </c>
      <c r="DF81" s="200">
        <v>97.932000000000002</v>
      </c>
      <c r="DG81" s="200">
        <v>36.402999999999999</v>
      </c>
      <c r="DH81" s="191">
        <f t="shared" si="61"/>
        <v>0.58132301263177888</v>
      </c>
      <c r="DI81" s="197">
        <v>135.81200000000001</v>
      </c>
      <c r="DJ81" s="191">
        <f t="shared" si="48"/>
        <v>0.40308908728274295</v>
      </c>
      <c r="DK81" s="197">
        <v>143.631</v>
      </c>
      <c r="DL81" s="197">
        <v>139.33099999999999</v>
      </c>
      <c r="DM81" s="191">
        <f t="shared" si="62"/>
        <v>2.993782679226642E-2</v>
      </c>
      <c r="DN81" s="200">
        <v>141.095</v>
      </c>
      <c r="DO81" s="200">
        <v>34.600999999999999</v>
      </c>
      <c r="DP81" s="200">
        <v>103.791</v>
      </c>
      <c r="DQ81" s="200">
        <f t="shared" ref="DQ81" si="1891">DP81+DO81</f>
        <v>138.392</v>
      </c>
      <c r="DR81" s="191">
        <f t="shared" ref="DR81" si="1892">DJ81+DH81</f>
        <v>0.98441209991452183</v>
      </c>
      <c r="DS81" s="199">
        <f t="shared" si="1405"/>
        <v>1.0575722322033398</v>
      </c>
      <c r="DT81" s="200">
        <v>83.03</v>
      </c>
      <c r="DU81" s="200">
        <v>35.537999999999997</v>
      </c>
      <c r="DV81" s="200">
        <v>39.305999999999997</v>
      </c>
      <c r="DW81" s="191">
        <f t="shared" si="1537"/>
        <v>0.42801397085390819</v>
      </c>
      <c r="DX81" s="197">
        <v>22.064</v>
      </c>
      <c r="DY81" s="191">
        <f t="shared" si="1538"/>
        <v>0.13286763820305914</v>
      </c>
      <c r="DZ81" s="197">
        <v>24.609000000000002</v>
      </c>
      <c r="EA81" s="197">
        <v>23.798999999999999</v>
      </c>
      <c r="EB81" s="191">
        <f t="shared" si="52"/>
        <v>3.2914787272949053E-2</v>
      </c>
      <c r="EC81" s="200">
        <v>24.241</v>
      </c>
      <c r="ED81" s="200">
        <v>34.680999999999997</v>
      </c>
      <c r="EE81" s="200">
        <v>13.526999999999999</v>
      </c>
      <c r="EF81" s="195">
        <f t="shared" si="1848"/>
        <v>48.207999999999998</v>
      </c>
      <c r="EG81" s="191">
        <f t="shared" si="1849"/>
        <v>0.56088160905696727</v>
      </c>
      <c r="EJ81" s="202">
        <f t="shared" si="1363"/>
        <v>10.943497777777775</v>
      </c>
      <c r="EK81" s="202">
        <f>'NOPA Crush'!B506*56/('NOPA Crush'!A506-'NOPA Crush'!A505)</f>
        <v>12.098280150765325</v>
      </c>
      <c r="EL81" s="203">
        <f t="shared" si="1451"/>
        <v>0.90454987332108527</v>
      </c>
      <c r="EM81" s="202">
        <f t="shared" si="1406"/>
        <v>5.6154666666666664</v>
      </c>
      <c r="EN81" s="202">
        <f t="shared" si="1407"/>
        <v>5.5353333333333339E-3</v>
      </c>
      <c r="EO81" s="202">
        <f t="shared" si="1452"/>
        <v>16.564499777777776</v>
      </c>
    </row>
    <row r="82" spans="1:145">
      <c r="A82" s="157">
        <v>44470</v>
      </c>
      <c r="B82" s="186">
        <v>5908.1570000000002</v>
      </c>
      <c r="C82" s="187">
        <f t="shared" ref="C82" si="1893">B82/30</f>
        <v>196.93856666666667</v>
      </c>
      <c r="D82" s="247">
        <f>C82-'NOPA Crush'!G507</f>
        <v>12.945566666666679</v>
      </c>
      <c r="E82" s="188">
        <f>C82/'NOPA Crush'!G507-1</f>
        <v>7.035901728145455E-2</v>
      </c>
      <c r="F82" s="189">
        <v>4284.2560000000003</v>
      </c>
      <c r="G82" s="189">
        <v>4231.3990000000003</v>
      </c>
      <c r="H82" s="189">
        <v>52.856999999999999</v>
      </c>
      <c r="I82" s="189">
        <v>363.96899999999999</v>
      </c>
      <c r="J82" s="190">
        <f t="shared" si="1851"/>
        <v>43.508552667100759</v>
      </c>
      <c r="K82" s="190">
        <f t="shared" ref="K82" si="1894">(F82+M82)*2/C82</f>
        <v>46.63016571834499</v>
      </c>
      <c r="L82" s="190">
        <f>K82-'NOPA Crush'!J507</f>
        <v>1.0165718344993024E-2</v>
      </c>
      <c r="M82" s="189">
        <v>307.38299999999998</v>
      </c>
      <c r="N82" s="189">
        <v>47.512</v>
      </c>
      <c r="O82" s="189">
        <v>2347.58</v>
      </c>
      <c r="P82" s="189">
        <v>1960.22</v>
      </c>
      <c r="Q82" s="189">
        <v>957.16200000000003</v>
      </c>
      <c r="R82" s="189">
        <v>292.91199999999998</v>
      </c>
      <c r="S82" s="189">
        <v>710.14599999999996</v>
      </c>
      <c r="T82" s="189">
        <v>426.11700000000002</v>
      </c>
      <c r="U82" s="189">
        <f>(P82+T82)-'NOPA Crush'!Q507</f>
        <v>551.84300000000007</v>
      </c>
      <c r="V82" s="191">
        <f>((P82+T82)/'NOPA Crush'!Q507)-1</f>
        <v>0.3008148295933375</v>
      </c>
      <c r="W82" s="190">
        <f t="shared" ref="W82" si="1895">O82/C82</f>
        <v>11.920367045086987</v>
      </c>
      <c r="X82" s="190">
        <f>W82-'NOPA Crush'!O507</f>
        <v>3.0367045086986622E-2</v>
      </c>
      <c r="Y82" s="190">
        <f t="shared" si="720"/>
        <v>58.550532763431974</v>
      </c>
      <c r="Z82" s="211">
        <v>1772.2529999999999</v>
      </c>
      <c r="AA82" s="211">
        <v>1731.222</v>
      </c>
      <c r="AB82" s="191">
        <f t="shared" ref="AB82" si="1896">(Z82-AA82)/Z82</f>
        <v>2.3151886327742118E-2</v>
      </c>
      <c r="AC82" s="211">
        <v>142.92699999999999</v>
      </c>
      <c r="AD82" s="211">
        <v>1686.7170000000001</v>
      </c>
      <c r="AE82" s="211">
        <v>1274.866</v>
      </c>
      <c r="AF82" s="211">
        <v>411.851</v>
      </c>
      <c r="AG82" s="191">
        <f t="shared" si="1322"/>
        <v>-2.5707274976865979E-2</v>
      </c>
      <c r="AI82" s="211">
        <v>674.43799999999999</v>
      </c>
      <c r="AJ82" s="247">
        <f t="shared" si="11"/>
        <v>22.481266666666667</v>
      </c>
      <c r="AK82" s="211">
        <v>482.26900000000001</v>
      </c>
      <c r="AL82" s="211">
        <v>53.908000000000001</v>
      </c>
      <c r="AM82" s="190">
        <f t="shared" ref="AM82" si="1897">AK82*2/AJ82</f>
        <v>42.904077172401315</v>
      </c>
      <c r="AN82" s="190">
        <f t="shared" ref="AN82" si="1898">AM82-J82</f>
        <v>-0.60447549469944306</v>
      </c>
      <c r="AO82" s="211">
        <v>268.20100000000002</v>
      </c>
      <c r="AP82" s="211">
        <v>127.80500000000001</v>
      </c>
      <c r="AQ82" s="190">
        <f t="shared" ref="AQ82" si="1899">AO82/AJ82</f>
        <v>11.929977255136871</v>
      </c>
      <c r="AR82" s="190">
        <f t="shared" ref="AR82" si="1900">AQ82-W82</f>
        <v>9.6102100498836052E-3</v>
      </c>
      <c r="AS82" s="190">
        <f t="shared" ref="AS82" si="1901">AM82+AQ82</f>
        <v>54.834054427538184</v>
      </c>
      <c r="AT82" s="211">
        <v>1215.3240000000001</v>
      </c>
      <c r="AU82" s="247">
        <f t="shared" si="16"/>
        <v>40.510800000000003</v>
      </c>
      <c r="AV82" s="211">
        <v>889.10299999999995</v>
      </c>
      <c r="AW82" s="211">
        <v>65.957999999999998</v>
      </c>
      <c r="AX82" s="190">
        <f t="shared" ref="AX82" si="1902">AV82*2/AU82</f>
        <v>43.894615756785839</v>
      </c>
      <c r="AY82" s="190">
        <f t="shared" ref="AY82" si="1903">AX82-J82</f>
        <v>0.38606308968508074</v>
      </c>
      <c r="AZ82" s="211">
        <v>482.83</v>
      </c>
      <c r="BA82" s="211">
        <v>138.81299999999999</v>
      </c>
      <c r="BB82" s="190">
        <f t="shared" ref="BB82" si="1904">AZ82/AU82</f>
        <v>11.918550115031053</v>
      </c>
      <c r="BC82" s="190">
        <f t="shared" ref="BC82" si="1905">BB82-W82</f>
        <v>-1.8169300559343071E-3</v>
      </c>
      <c r="BD82" s="247">
        <f t="shared" ref="BD82" si="1906">AX82+BB82</f>
        <v>55.813165871816892</v>
      </c>
      <c r="BE82" s="211">
        <v>1373.5630000000001</v>
      </c>
      <c r="BF82" s="247">
        <f t="shared" si="58"/>
        <v>45.785433333333337</v>
      </c>
      <c r="BG82" s="211">
        <v>997.21600000000001</v>
      </c>
      <c r="BH82" s="211">
        <v>84.421000000000006</v>
      </c>
      <c r="BI82" s="190">
        <f t="shared" ref="BI82" si="1907">BG82*2/BF82</f>
        <v>43.560404582825832</v>
      </c>
      <c r="BJ82" s="190">
        <f t="shared" ref="BJ82" si="1908">BI82-J82</f>
        <v>5.1851915725073638E-2</v>
      </c>
      <c r="BK82" s="211">
        <v>540.67600000000004</v>
      </c>
      <c r="BL82" s="211">
        <v>296.88799999999998</v>
      </c>
      <c r="BM82" s="190">
        <f t="shared" ref="BM82" si="1909">BK82/BF82</f>
        <v>11.808908655809745</v>
      </c>
      <c r="BN82" s="190">
        <f t="shared" ref="BN82" si="1910">BM82-W82</f>
        <v>-0.11145838927724228</v>
      </c>
      <c r="BO82" s="247">
        <f t="shared" ref="BO82" si="1911">BM82+BI82</f>
        <v>55.369313238635577</v>
      </c>
      <c r="BP82" s="211">
        <v>979.30499999999995</v>
      </c>
      <c r="BQ82" s="247">
        <f t="shared" si="26"/>
        <v>32.643499999999996</v>
      </c>
      <c r="BR82" s="211">
        <v>718.12400000000002</v>
      </c>
      <c r="BS82" s="211">
        <v>64.941000000000003</v>
      </c>
      <c r="BT82" s="190">
        <f t="shared" ref="BT82" si="1912">BR82*2/BQ82</f>
        <v>43.997978157979389</v>
      </c>
      <c r="BU82" s="190">
        <f t="shared" ref="BU82" si="1913">BT82-J82</f>
        <v>0.48942549087863085</v>
      </c>
      <c r="BV82" s="211">
        <v>379.02800000000002</v>
      </c>
      <c r="BW82" s="211">
        <v>186.333</v>
      </c>
      <c r="BX82" s="190">
        <f t="shared" ref="BX82" si="1914">BV82/BQ82</f>
        <v>11.611132384701397</v>
      </c>
      <c r="BY82" s="190">
        <f t="shared" ref="BY82" si="1915">BX82-W82</f>
        <v>-0.30923466038558978</v>
      </c>
      <c r="BZ82" s="194">
        <f t="shared" ref="BZ82" si="1916">BT82+BX82</f>
        <v>55.609110542680789</v>
      </c>
      <c r="CA82" s="211">
        <v>697.65099999999995</v>
      </c>
      <c r="CB82" s="247">
        <f t="shared" si="32"/>
        <v>23.255033333333333</v>
      </c>
      <c r="CC82" s="211">
        <v>496.62799999999999</v>
      </c>
      <c r="CD82" s="211">
        <v>43.189</v>
      </c>
      <c r="CE82" s="190">
        <f t="shared" ref="CE82" si="1917">CC82*2/CB82</f>
        <v>42.711441680725748</v>
      </c>
      <c r="CF82" s="190">
        <f t="shared" ref="CF82" si="1918">CE82-J82</f>
        <v>-0.7971109863750101</v>
      </c>
      <c r="CG82" s="211">
        <v>274.18299999999999</v>
      </c>
      <c r="CH82" s="211">
        <v>70.057000000000002</v>
      </c>
      <c r="CI82" s="190">
        <f t="shared" ref="CI82" si="1919">CG82/CB82</f>
        <v>11.790264759887107</v>
      </c>
      <c r="CJ82" s="190">
        <f t="shared" ref="CJ82" si="1920">CI82-W82</f>
        <v>-0.13010228519988054</v>
      </c>
      <c r="CK82" s="194">
        <f t="shared" ref="CK82" si="1921">CI82+CE82</f>
        <v>54.501706440612857</v>
      </c>
      <c r="CL82" s="211">
        <v>967.87599999999998</v>
      </c>
      <c r="CM82" s="247">
        <f t="shared" si="60"/>
        <v>32.26253333333333</v>
      </c>
      <c r="CN82" s="211">
        <v>700.91600000000005</v>
      </c>
      <c r="CO82" s="211">
        <v>51.552</v>
      </c>
      <c r="CP82" s="190">
        <f t="shared" si="1880"/>
        <v>43.450772619633099</v>
      </c>
      <c r="CQ82" s="190">
        <f t="shared" si="1881"/>
        <v>-5.7780047467659301E-2</v>
      </c>
      <c r="CR82" s="211">
        <v>402.66199999999998</v>
      </c>
      <c r="CS82" s="211">
        <v>137.26599999999999</v>
      </c>
      <c r="CT82" s="190">
        <f t="shared" ref="CT82" si="1922">CR82/CM82</f>
        <v>12.480792994143879</v>
      </c>
      <c r="CU82" s="190">
        <f t="shared" ref="CU82" si="1923">CT82-W82</f>
        <v>0.56042594905689214</v>
      </c>
      <c r="CV82" s="247">
        <f t="shared" ref="CV82" si="1924">CP82+CT82</f>
        <v>55.931565613776982</v>
      </c>
      <c r="CW82" s="163"/>
      <c r="CX82" s="196">
        <f t="shared" ref="CX82" si="1925">C82-AJ82-AU82-BF82-BQ82-CB82-CM82</f>
        <v>0</v>
      </c>
      <c r="CY82" s="196">
        <f t="shared" ref="CY82" si="1926">F82-AK82-AV82-BG82-BR82-CC82-CN82</f>
        <v>0</v>
      </c>
      <c r="CZ82" s="196">
        <f t="shared" ref="CZ82" si="1927">I82-AL82-AW82-BH82-BS82-CD82-CO82</f>
        <v>0</v>
      </c>
      <c r="DA82" s="196">
        <f t="shared" ref="DA82" si="1928">O82-AO82-AZ82-BK82-BV82-CG82-CR82</f>
        <v>0</v>
      </c>
      <c r="DB82" s="196">
        <f t="shared" ref="DB82" si="1929">Q82-AP82-BA82-BL82-BW82-CH82-CS82</f>
        <v>0</v>
      </c>
      <c r="DC82" s="196">
        <f t="shared" ref="DC82" si="1930">P82-Q82-R82-S82</f>
        <v>0</v>
      </c>
      <c r="DD82" s="163"/>
      <c r="DE82" s="200">
        <v>196.64599999999999</v>
      </c>
      <c r="DF82" s="200">
        <v>115.60599999999999</v>
      </c>
      <c r="DG82" s="200">
        <v>44.073</v>
      </c>
      <c r="DH82" s="191">
        <f t="shared" si="61"/>
        <v>0.58788889679932466</v>
      </c>
      <c r="DI82" s="197">
        <v>156.61500000000001</v>
      </c>
      <c r="DJ82" s="191">
        <f t="shared" si="48"/>
        <v>0.39821557519603762</v>
      </c>
      <c r="DK82" s="197">
        <v>152.40600000000001</v>
      </c>
      <c r="DL82" s="197">
        <v>147.96199999999999</v>
      </c>
      <c r="DM82" s="191">
        <f t="shared" si="62"/>
        <v>2.9158956996443774E-2</v>
      </c>
      <c r="DN82" s="200">
        <v>157.94399999999999</v>
      </c>
      <c r="DO82" s="200">
        <v>51.295999999999999</v>
      </c>
      <c r="DP82" s="200">
        <v>81.986000000000004</v>
      </c>
      <c r="DQ82" s="200">
        <f t="shared" ref="DQ82" si="1931">DP82+DO82</f>
        <v>133.28200000000001</v>
      </c>
      <c r="DR82" s="191">
        <f t="shared" ref="DR82" si="1932">DJ82+DH82</f>
        <v>0.98610447199536222</v>
      </c>
      <c r="DS82" s="199">
        <f t="shared" si="1405"/>
        <v>0.97312517958049993</v>
      </c>
      <c r="DT82" s="200">
        <v>110.59399999999999</v>
      </c>
      <c r="DU82" s="200">
        <v>49.627000000000002</v>
      </c>
      <c r="DV82" s="200">
        <v>38.529000000000003</v>
      </c>
      <c r="DW82" s="191">
        <f t="shared" si="1537"/>
        <v>0.44873139591659589</v>
      </c>
      <c r="DX82" s="197">
        <v>30.632000000000001</v>
      </c>
      <c r="DY82" s="191">
        <f t="shared" si="1538"/>
        <v>0.13848852559813374</v>
      </c>
      <c r="DZ82" s="197">
        <v>38.664999999999999</v>
      </c>
      <c r="EA82" s="197">
        <v>37.585999999999999</v>
      </c>
      <c r="EB82" s="191">
        <f t="shared" si="52"/>
        <v>2.7906375274796336E-2</v>
      </c>
      <c r="EC82" s="200">
        <v>34.064</v>
      </c>
      <c r="ED82" s="206">
        <f t="shared" ref="ED82:ED101" si="1933">MROUND(FORECAST(DZ82,ED67:ED81,DZ67:DZ81),2.5)</f>
        <v>22.5</v>
      </c>
      <c r="EE82" s="200">
        <v>19.552</v>
      </c>
      <c r="EF82" s="205">
        <f t="shared" ref="EF82" si="1934">EE82+ED82</f>
        <v>42.052</v>
      </c>
      <c r="EG82" s="191">
        <f t="shared" ref="EG82" si="1935">DY82+DW82</f>
        <v>0.58721992151472957</v>
      </c>
      <c r="EJ82" s="202">
        <f t="shared" si="1363"/>
        <v>12.705713978494623</v>
      </c>
      <c r="EK82" s="202">
        <f>'NOPA Crush'!B507*56/('NOPA Crush'!A507-'NOPA Crush'!A506)</f>
        <v>12.673058339306285</v>
      </c>
      <c r="EL82" s="203">
        <f t="shared" si="1451"/>
        <v>1.0025767765218168</v>
      </c>
      <c r="EM82" s="202">
        <f t="shared" si="1406"/>
        <v>6.3434193548387094</v>
      </c>
      <c r="EN82" s="202">
        <f t="shared" si="1407"/>
        <v>7.1350967741935483E-3</v>
      </c>
      <c r="EO82" s="202">
        <f t="shared" si="1452"/>
        <v>19.056268430107526</v>
      </c>
    </row>
    <row r="83" spans="1:145">
      <c r="A83" s="157">
        <v>44501</v>
      </c>
      <c r="B83" s="186">
        <v>5717.9430000000002</v>
      </c>
      <c r="C83" s="187">
        <f t="shared" ref="C83" si="1936">B83/30</f>
        <v>190.59810000000002</v>
      </c>
      <c r="D83" s="247">
        <f>C83-'NOPA Crush'!G508</f>
        <v>11.136100000000027</v>
      </c>
      <c r="E83" s="188">
        <f>C83/'NOPA Crush'!G508-1</f>
        <v>6.2052690820340928E-2</v>
      </c>
      <c r="F83" s="189">
        <v>4164.9589999999998</v>
      </c>
      <c r="G83" s="189">
        <v>4115.13</v>
      </c>
      <c r="H83" s="189">
        <v>49.829000000000001</v>
      </c>
      <c r="I83" s="189">
        <v>333.52499999999998</v>
      </c>
      <c r="J83" s="190">
        <f t="shared" ref="J83" si="1937">F83*2/C83</f>
        <v>43.704097784815268</v>
      </c>
      <c r="K83" s="190">
        <f t="shared" ref="K83" si="1938">(F83+M83)*2/C83</f>
        <v>46.766153492610883</v>
      </c>
      <c r="L83" s="190">
        <f>K83-'NOPA Crush'!J508</f>
        <v>-6.3846507389115459E-2</v>
      </c>
      <c r="M83" s="189">
        <v>291.81099999999998</v>
      </c>
      <c r="N83" s="189">
        <v>42.087000000000003</v>
      </c>
      <c r="O83" s="189">
        <v>2235.37</v>
      </c>
      <c r="P83" s="189">
        <v>1940.7719999999999</v>
      </c>
      <c r="Q83" s="189">
        <v>937.36300000000006</v>
      </c>
      <c r="R83" s="189">
        <v>338.06900000000002</v>
      </c>
      <c r="S83" s="189">
        <v>665.34</v>
      </c>
      <c r="T83" s="189">
        <v>465.19099999999997</v>
      </c>
      <c r="U83" s="189">
        <f>(P83+T83)-'NOPA Crush'!Q508</f>
        <v>573.76299999999969</v>
      </c>
      <c r="V83" s="191">
        <f>((P83+T83)/'NOPA Crush'!Q508)-1</f>
        <v>0.31315522322890499</v>
      </c>
      <c r="W83" s="190">
        <f t="shared" ref="W83" si="1939">O83/C83</f>
        <v>11.728186167648049</v>
      </c>
      <c r="X83" s="190">
        <f>W83-'NOPA Crush'!O508</f>
        <v>-3.1813832351950566E-2</v>
      </c>
      <c r="Y83" s="190">
        <f t="shared" si="720"/>
        <v>58.49433966025893</v>
      </c>
      <c r="Z83" s="211">
        <v>1701.596</v>
      </c>
      <c r="AA83" s="211">
        <v>1663.4860000000001</v>
      </c>
      <c r="AB83" s="191">
        <f t="shared" ref="AB83" si="1940">(Z83-AA83)/Z83</f>
        <v>2.2396620584439492E-2</v>
      </c>
      <c r="AC83" s="211">
        <v>155.107</v>
      </c>
      <c r="AD83" s="211">
        <v>1625.636</v>
      </c>
      <c r="AE83" s="211">
        <v>1201.2840000000001</v>
      </c>
      <c r="AF83" s="211">
        <v>424.35199999999998</v>
      </c>
      <c r="AG83" s="191">
        <f t="shared" si="1322"/>
        <v>-2.2753422631750508E-2</v>
      </c>
      <c r="AI83" s="211">
        <v>667.54200000000003</v>
      </c>
      <c r="AJ83" s="247">
        <f t="shared" si="11"/>
        <v>22.2514</v>
      </c>
      <c r="AK83" s="211">
        <v>479.21</v>
      </c>
      <c r="AL83" s="211">
        <v>72.108000000000004</v>
      </c>
      <c r="AM83" s="190">
        <f t="shared" ref="AM83" si="1941">AK83*2/AJ83</f>
        <v>43.072346009689277</v>
      </c>
      <c r="AN83" s="190">
        <f t="shared" ref="AN83" si="1942">AM83-J83</f>
        <v>-0.63175177512599134</v>
      </c>
      <c r="AO83" s="211">
        <v>258.90499999999997</v>
      </c>
      <c r="AP83" s="211">
        <v>130.22399999999999</v>
      </c>
      <c r="AQ83" s="190">
        <f t="shared" ref="AQ83" si="1943">AO83/AJ83</f>
        <v>11.635447657226061</v>
      </c>
      <c r="AR83" s="190">
        <f t="shared" ref="AR83" si="1944">AQ83-W83</f>
        <v>-9.2738510421987996E-2</v>
      </c>
      <c r="AS83" s="190">
        <f t="shared" ref="AS83" si="1945">AM83+AQ83</f>
        <v>54.707793666915336</v>
      </c>
      <c r="AT83" s="211">
        <v>1195.0920000000001</v>
      </c>
      <c r="AU83" s="247">
        <f t="shared" si="16"/>
        <v>39.836400000000005</v>
      </c>
      <c r="AV83" s="211">
        <v>870.60400000000004</v>
      </c>
      <c r="AW83" s="211">
        <v>48.377000000000002</v>
      </c>
      <c r="AX83" s="190">
        <f t="shared" ref="AX83" si="1946">AV83*2/AU83</f>
        <v>43.708969686015799</v>
      </c>
      <c r="AY83" s="190">
        <f t="shared" ref="AY83" si="1947">AX83-J83</f>
        <v>4.871901200530715E-3</v>
      </c>
      <c r="AZ83" s="211">
        <v>466.01799999999997</v>
      </c>
      <c r="BA83" s="211">
        <v>142.26499999999999</v>
      </c>
      <c r="BB83" s="190">
        <f t="shared" ref="BB83" si="1948">AZ83/AU83</f>
        <v>11.69829603076583</v>
      </c>
      <c r="BC83" s="190">
        <f t="shared" ref="BC83" si="1949">BB83-W83</f>
        <v>-2.9890136882219309E-2</v>
      </c>
      <c r="BD83" s="247">
        <f t="shared" ref="BD83" si="1950">AX83+BB83</f>
        <v>55.40726571678163</v>
      </c>
      <c r="BE83" s="211">
        <v>1284.894</v>
      </c>
      <c r="BF83" s="247">
        <f t="shared" si="58"/>
        <v>42.829799999999999</v>
      </c>
      <c r="BG83" s="211">
        <v>939.34799999999996</v>
      </c>
      <c r="BH83" s="211">
        <v>104.593</v>
      </c>
      <c r="BI83" s="190">
        <f t="shared" ref="BI83" si="1951">BG83*2/BF83</f>
        <v>43.864225375789751</v>
      </c>
      <c r="BJ83" s="190">
        <f t="shared" ref="BJ83" si="1952">BI83-J83</f>
        <v>0.16012759097448281</v>
      </c>
      <c r="BK83" s="211">
        <v>497.334</v>
      </c>
      <c r="BL83" s="211">
        <v>257.43400000000003</v>
      </c>
      <c r="BM83" s="190">
        <f t="shared" ref="BM83" si="1953">BK83/BF83</f>
        <v>11.61186837202135</v>
      </c>
      <c r="BN83" s="190">
        <f t="shared" ref="BN83" si="1954">BM83-W83</f>
        <v>-0.11631779562669919</v>
      </c>
      <c r="BO83" s="247">
        <f t="shared" ref="BO83" si="1955">BM83+BI83</f>
        <v>55.476093747811099</v>
      </c>
      <c r="BP83" s="211">
        <v>938.42600000000004</v>
      </c>
      <c r="BQ83" s="247">
        <f t="shared" si="26"/>
        <v>31.280866666666668</v>
      </c>
      <c r="BR83" s="211">
        <v>688.68100000000004</v>
      </c>
      <c r="BS83" s="211">
        <v>40.451000000000001</v>
      </c>
      <c r="BT83" s="190">
        <f t="shared" ref="BT83" si="1956">BR83*2/BQ83</f>
        <v>44.032092034960669</v>
      </c>
      <c r="BU83" s="190">
        <f t="shared" ref="BU83" si="1957">BT83-J83</f>
        <v>0.32799425014540162</v>
      </c>
      <c r="BV83" s="211">
        <v>367.976</v>
      </c>
      <c r="BW83" s="211">
        <v>192.59</v>
      </c>
      <c r="BX83" s="190">
        <f t="shared" ref="BX83" si="1958">BV83/BQ83</f>
        <v>11.763612687628006</v>
      </c>
      <c r="BY83" s="190">
        <f t="shared" ref="BY83" si="1959">BX83-W83</f>
        <v>3.542651997995705E-2</v>
      </c>
      <c r="BZ83" s="194">
        <f t="shared" ref="BZ83" si="1960">BT83+BX83</f>
        <v>55.795704722588674</v>
      </c>
      <c r="CA83" s="211">
        <v>685.24300000000005</v>
      </c>
      <c r="CB83" s="247">
        <f t="shared" si="32"/>
        <v>22.841433333333335</v>
      </c>
      <c r="CC83" s="211">
        <v>490.26600000000002</v>
      </c>
      <c r="CD83" s="211">
        <v>25.209</v>
      </c>
      <c r="CE83" s="190">
        <f t="shared" ref="CE83" si="1961">CC83*2/CB83</f>
        <v>42.927778904709719</v>
      </c>
      <c r="CF83" s="190">
        <f t="shared" ref="CF83" si="1962">CE83-J83</f>
        <v>-0.77631888010554917</v>
      </c>
      <c r="CG83" s="211">
        <v>262.298</v>
      </c>
      <c r="CH83" s="211">
        <v>71.626999999999995</v>
      </c>
      <c r="CI83" s="190">
        <f t="shared" ref="CI83" si="1963">CG83/CB83</f>
        <v>11.483429965720189</v>
      </c>
      <c r="CJ83" s="190">
        <f t="shared" ref="CJ83" si="1964">CI83-W83</f>
        <v>-0.24475620192785996</v>
      </c>
      <c r="CK83" s="194">
        <f t="shared" ref="CK83:CK84" si="1965">CI83+CE83</f>
        <v>54.41120887042991</v>
      </c>
      <c r="CL83" s="211">
        <v>946.74599999999998</v>
      </c>
      <c r="CM83" s="247">
        <f t="shared" si="60"/>
        <v>31.558199999999999</v>
      </c>
      <c r="CN83" s="211">
        <v>696.85</v>
      </c>
      <c r="CO83" s="211">
        <v>42.786999999999999</v>
      </c>
      <c r="CP83" s="190">
        <f t="shared" ref="CP83" si="1966">CN83*2/CM83</f>
        <v>44.162848324682649</v>
      </c>
      <c r="CQ83" s="190">
        <f t="shared" ref="CQ83" si="1967">CP83-J83</f>
        <v>0.45875053986738124</v>
      </c>
      <c r="CR83" s="211">
        <v>382.839</v>
      </c>
      <c r="CS83" s="211">
        <v>143.22300000000001</v>
      </c>
      <c r="CT83" s="190">
        <f t="shared" ref="CT83" si="1968">CR83/CM83</f>
        <v>12.131205201817595</v>
      </c>
      <c r="CU83" s="190">
        <f t="shared" ref="CU83" si="1969">CT83-W83</f>
        <v>0.40301903416954588</v>
      </c>
      <c r="CV83" s="247">
        <f t="shared" ref="CV83" si="1970">CP83+CT83</f>
        <v>56.294053526500242</v>
      </c>
      <c r="CW83" s="163"/>
      <c r="CX83" s="196">
        <f t="shared" ref="CX83" si="1971">C83-AJ83-AU83-BF83-BQ83-CB83-CM83</f>
        <v>0</v>
      </c>
      <c r="CY83" s="196">
        <f t="shared" ref="CY83" si="1972">F83-AK83-AV83-BG83-BR83-CC83-CN83</f>
        <v>0</v>
      </c>
      <c r="CZ83" s="196">
        <f t="shared" ref="CZ83" si="1973">I83-AL83-AW83-BH83-BS83-CD83-CO83</f>
        <v>0</v>
      </c>
      <c r="DA83" s="196">
        <f t="shared" ref="DA83" si="1974">O83-AO83-AZ83-BK83-BV83-CG83-CR83</f>
        <v>0</v>
      </c>
      <c r="DB83" s="196">
        <f t="shared" ref="DB83" si="1975">Q83-AP83-BA83-BL83-BW83-CH83-CS83</f>
        <v>0</v>
      </c>
      <c r="DC83" s="196">
        <f t="shared" ref="DC83" si="1976">P83-Q83-R83-S83</f>
        <v>0</v>
      </c>
      <c r="DD83" s="163"/>
      <c r="DE83" s="200">
        <v>160.197</v>
      </c>
      <c r="DF83" s="200">
        <v>93.909000000000006</v>
      </c>
      <c r="DG83" s="200">
        <v>37.100999999999999</v>
      </c>
      <c r="DH83" s="191">
        <f t="shared" si="61"/>
        <v>0.5862094795782693</v>
      </c>
      <c r="DI83" s="197">
        <v>125.126</v>
      </c>
      <c r="DJ83" s="191">
        <f t="shared" si="48"/>
        <v>0.390537900210366</v>
      </c>
      <c r="DK83" s="197">
        <v>144.298</v>
      </c>
      <c r="DL83" s="197">
        <v>139.91800000000001</v>
      </c>
      <c r="DM83" s="191">
        <f t="shared" si="62"/>
        <v>3.0353851058226744E-2</v>
      </c>
      <c r="DN83" s="200">
        <v>141.559</v>
      </c>
      <c r="DO83" s="200">
        <v>39.881999999999998</v>
      </c>
      <c r="DP83" s="200">
        <v>88.87</v>
      </c>
      <c r="DQ83" s="200">
        <f t="shared" ref="DQ83" si="1977">DP83+DO83</f>
        <v>128.75200000000001</v>
      </c>
      <c r="DR83" s="191">
        <f t="shared" ref="DR83" si="1978">DJ83+DH83</f>
        <v>0.97674737978863524</v>
      </c>
      <c r="DS83" s="199">
        <f t="shared" si="1405"/>
        <v>1.1532215526749037</v>
      </c>
      <c r="DT83" s="200">
        <v>135.47999999999999</v>
      </c>
      <c r="DU83" s="200">
        <v>58.686</v>
      </c>
      <c r="DV83" s="200">
        <v>40.930999999999997</v>
      </c>
      <c r="DW83" s="191">
        <f t="shared" si="1537"/>
        <v>0.43317094774136405</v>
      </c>
      <c r="DX83" s="197">
        <v>35.171999999999997</v>
      </c>
      <c r="DY83" s="191">
        <f t="shared" si="1538"/>
        <v>0.12980513728963686</v>
      </c>
      <c r="DZ83" s="197">
        <v>33.14</v>
      </c>
      <c r="EA83" s="197">
        <v>32.28</v>
      </c>
      <c r="EB83" s="191">
        <f t="shared" si="52"/>
        <v>2.5950512975256523E-2</v>
      </c>
      <c r="EC83" s="200">
        <v>37.695</v>
      </c>
      <c r="ED83" s="206">
        <f t="shared" si="1933"/>
        <v>25</v>
      </c>
      <c r="EE83" s="200">
        <v>15.901</v>
      </c>
      <c r="EF83" s="205">
        <f t="shared" ref="EF83" si="1979">EE83+ED83</f>
        <v>40.900999999999996</v>
      </c>
      <c r="EG83" s="191">
        <f t="shared" ref="EG83" si="1980">DY83+DW83</f>
        <v>0.56297608503100094</v>
      </c>
      <c r="EJ83" s="202">
        <f t="shared" si="1363"/>
        <v>12.70654</v>
      </c>
      <c r="EK83" s="202">
        <f>'NOPA Crush'!B508*56/('NOPA Crush'!A508-'NOPA Crush'!A507)</f>
        <v>12.155639571748727</v>
      </c>
      <c r="EL83" s="203">
        <f t="shared" si="1451"/>
        <v>1.0453205629370286</v>
      </c>
      <c r="EM83" s="202">
        <f t="shared" si="1406"/>
        <v>5.3399000000000001</v>
      </c>
      <c r="EN83" s="202">
        <f t="shared" si="1407"/>
        <v>9.0320000000000001E-3</v>
      </c>
      <c r="EO83" s="202">
        <f t="shared" si="1452"/>
        <v>18.055472000000002</v>
      </c>
    </row>
    <row r="84" spans="1:145">
      <c r="A84" s="157">
        <v>44531</v>
      </c>
      <c r="B84" s="186">
        <v>5947.2219999999998</v>
      </c>
      <c r="C84" s="187">
        <f t="shared" ref="C84" si="1981">B84/30</f>
        <v>198.24073333333334</v>
      </c>
      <c r="D84" s="247">
        <f>C84-'NOPA Crush'!G509</f>
        <v>11.80273333333335</v>
      </c>
      <c r="E84" s="188">
        <f>C84/'NOPA Crush'!G509-1</f>
        <v>6.3306479008213623E-2</v>
      </c>
      <c r="F84" s="189">
        <v>4322.2449999999999</v>
      </c>
      <c r="G84" s="189">
        <v>4268.9570000000003</v>
      </c>
      <c r="H84" s="189">
        <v>53.287999999999997</v>
      </c>
      <c r="I84" s="189">
        <v>372.83199999999999</v>
      </c>
      <c r="J84" s="190">
        <f t="shared" ref="J84" si="1982">F84*2/C84</f>
        <v>43.606023114657567</v>
      </c>
      <c r="K84" s="190">
        <f t="shared" ref="K84" si="1983">(F84+M84)*2/C84</f>
        <v>46.706364753157018</v>
      </c>
      <c r="L84" s="190">
        <f>K84-'NOPA Crush'!J509</f>
        <v>-3.363524684298369E-2</v>
      </c>
      <c r="M84" s="189">
        <v>307.30700000000002</v>
      </c>
      <c r="N84" s="189">
        <v>38.476999999999997</v>
      </c>
      <c r="O84" s="189">
        <v>2324.183</v>
      </c>
      <c r="P84" s="189">
        <v>2035.694</v>
      </c>
      <c r="Q84" s="189">
        <v>954.64099999999996</v>
      </c>
      <c r="R84" s="189">
        <v>341.87200000000001</v>
      </c>
      <c r="S84" s="189">
        <v>739.18100000000004</v>
      </c>
      <c r="T84" s="189">
        <v>430.197</v>
      </c>
      <c r="U84" s="189">
        <f>(P84+T84)-'NOPA Crush'!Q509</f>
        <v>434.47800000000007</v>
      </c>
      <c r="V84" s="191">
        <f>((P84+T84)/'NOPA Crush'!Q509)-1</f>
        <v>0.21387969851527</v>
      </c>
      <c r="W84" s="190">
        <f t="shared" ref="W84" si="1984">O84/C84</f>
        <v>11.724043595480376</v>
      </c>
      <c r="X84" s="190">
        <f>W84-'NOPA Crush'!O509</f>
        <v>-2.5956404519623888E-2</v>
      </c>
      <c r="Y84" s="190">
        <f t="shared" si="720"/>
        <v>58.430408348637393</v>
      </c>
      <c r="Z84" s="211">
        <v>1673.5730000000001</v>
      </c>
      <c r="AA84" s="211">
        <v>1640.1089999999999</v>
      </c>
      <c r="AB84" s="191">
        <f t="shared" ref="AB84" si="1985">(Z84-AA84)/Z84</f>
        <v>1.9995542471108321E-2</v>
      </c>
      <c r="AC84" s="211">
        <v>177.666</v>
      </c>
      <c r="AD84" s="211">
        <v>1677.0930000000001</v>
      </c>
      <c r="AE84" s="211">
        <v>1226.4829999999999</v>
      </c>
      <c r="AF84" s="211">
        <v>450.61</v>
      </c>
      <c r="AG84" s="191">
        <f t="shared" si="1322"/>
        <v>2.2549720780753013E-2</v>
      </c>
      <c r="AI84" s="211">
        <v>690.99</v>
      </c>
      <c r="AJ84" s="247">
        <f t="shared" si="11"/>
        <v>23.033000000000001</v>
      </c>
      <c r="AK84" s="211">
        <v>489.73399999999998</v>
      </c>
      <c r="AL84" s="211">
        <v>67.918999999999997</v>
      </c>
      <c r="AM84" s="190">
        <f t="shared" ref="AM84" si="1986">AK84*2/AJ84</f>
        <v>42.524551730126333</v>
      </c>
      <c r="AN84" s="190">
        <f t="shared" ref="AN84" si="1987">AM84-J84</f>
        <v>-1.081471384531234</v>
      </c>
      <c r="AO84" s="211">
        <v>266.24700000000001</v>
      </c>
      <c r="AP84" s="211">
        <v>111.914</v>
      </c>
      <c r="AQ84" s="190">
        <f t="shared" ref="AQ84" si="1988">AO84/AJ84</f>
        <v>11.559371336777668</v>
      </c>
      <c r="AR84" s="190">
        <f t="shared" ref="AR84" si="1989">AQ84-W84</f>
        <v>-0.16467225870270852</v>
      </c>
      <c r="AS84" s="190">
        <f t="shared" ref="AS84" si="1990">AM84+AQ84</f>
        <v>54.083923066903999</v>
      </c>
      <c r="AT84" s="211">
        <v>1224.279</v>
      </c>
      <c r="AU84" s="247">
        <f t="shared" si="16"/>
        <v>40.8093</v>
      </c>
      <c r="AV84" s="211">
        <v>896.06799999999998</v>
      </c>
      <c r="AW84" s="211">
        <v>50.962000000000003</v>
      </c>
      <c r="AX84" s="190">
        <f t="shared" ref="AX84" si="1991">AV84*2/AU84</f>
        <v>43.914891948648958</v>
      </c>
      <c r="AY84" s="190">
        <f t="shared" ref="AY84" si="1992">AX84-J84</f>
        <v>0.30886883399139009</v>
      </c>
      <c r="AZ84" s="211">
        <v>479.96499999999997</v>
      </c>
      <c r="BA84" s="211">
        <v>152.785</v>
      </c>
      <c r="BB84" s="190">
        <f t="shared" ref="BB84" si="1993">AZ84/AU84</f>
        <v>11.761167184930885</v>
      </c>
      <c r="BC84" s="190">
        <f t="shared" ref="BC84" si="1994">BB84-W84</f>
        <v>3.7123589450509087E-2</v>
      </c>
      <c r="BD84" s="247">
        <f t="shared" ref="BD84" si="1995">AX84+BB84</f>
        <v>55.676059133579841</v>
      </c>
      <c r="BE84" s="211">
        <v>1340.4090000000001</v>
      </c>
      <c r="BF84" s="247">
        <f t="shared" si="58"/>
        <v>44.680300000000003</v>
      </c>
      <c r="BG84" s="211">
        <v>973.83100000000002</v>
      </c>
      <c r="BH84" s="211">
        <v>105.01</v>
      </c>
      <c r="BI84" s="190">
        <f t="shared" ref="BI84" si="1996">BG84*2/BF84</f>
        <v>43.591068099363703</v>
      </c>
      <c r="BJ84" s="190">
        <f t="shared" ref="BJ84" si="1997">BI84-J84</f>
        <v>-1.4955015293864449E-2</v>
      </c>
      <c r="BK84" s="211">
        <v>513.178</v>
      </c>
      <c r="BL84" s="211">
        <v>276.80700000000002</v>
      </c>
      <c r="BM84" s="190">
        <f t="shared" ref="BM84" si="1998">BK84/BF84</f>
        <v>11.485554036118826</v>
      </c>
      <c r="BN84" s="190">
        <f t="shared" ref="BN84" si="1999">BM84-W84</f>
        <v>-0.23848955936155036</v>
      </c>
      <c r="BO84" s="247">
        <f t="shared" ref="BO84" si="2000">BM84+BI84</f>
        <v>55.07662213548253</v>
      </c>
      <c r="BP84" s="211">
        <v>988.79</v>
      </c>
      <c r="BQ84" s="247">
        <f t="shared" si="26"/>
        <v>32.959666666666664</v>
      </c>
      <c r="BR84" s="211">
        <v>722.43299999999999</v>
      </c>
      <c r="BS84" s="211">
        <v>58.676000000000002</v>
      </c>
      <c r="BT84" s="190">
        <f t="shared" ref="BT84" si="2001">BR84*2/BQ84</f>
        <v>43.837397222868361</v>
      </c>
      <c r="BU84" s="190">
        <f t="shared" ref="BU84" si="2002">BT84-J84</f>
        <v>0.23137410821079385</v>
      </c>
      <c r="BV84" s="211">
        <v>388.26600000000002</v>
      </c>
      <c r="BW84" s="211">
        <v>214.73699999999999</v>
      </c>
      <c r="BX84" s="190">
        <f t="shared" ref="BX84" si="2003">BV84/BQ84</f>
        <v>11.780034183193601</v>
      </c>
      <c r="BY84" s="190">
        <f t="shared" ref="BY84" si="2004">BX84-W84</f>
        <v>5.5990587713225182E-2</v>
      </c>
      <c r="BZ84" s="194">
        <f t="shared" ref="BZ84" si="2005">BT84+BX84</f>
        <v>55.617431406061961</v>
      </c>
      <c r="CA84" s="211">
        <v>686.56799999999998</v>
      </c>
      <c r="CB84" s="247">
        <f t="shared" si="32"/>
        <v>22.8856</v>
      </c>
      <c r="CC84" s="211">
        <v>495.221</v>
      </c>
      <c r="CD84" s="211">
        <v>31.308</v>
      </c>
      <c r="CE84" s="190">
        <f t="shared" ref="CE84" si="2006">CC84*2/CB84</f>
        <v>43.277956444226938</v>
      </c>
      <c r="CF84" s="190">
        <f t="shared" ref="CF84" si="2007">CE84-J84</f>
        <v>-0.32806667043062987</v>
      </c>
      <c r="CG84" s="211">
        <v>266.05</v>
      </c>
      <c r="CH84" s="211">
        <v>62.9</v>
      </c>
      <c r="CI84" s="190">
        <f t="shared" ref="CI84" si="2008">CG84/CB84</f>
        <v>11.625214108434999</v>
      </c>
      <c r="CJ84" s="190">
        <f t="shared" ref="CJ84" si="2009">CI84-W84</f>
        <v>-9.8829487045376752E-2</v>
      </c>
      <c r="CK84" s="194">
        <f t="shared" si="1965"/>
        <v>54.903170552661933</v>
      </c>
      <c r="CL84" s="211">
        <v>1016.186</v>
      </c>
      <c r="CM84" s="247">
        <f t="shared" si="60"/>
        <v>33.872866666666667</v>
      </c>
      <c r="CN84" s="211">
        <v>744.95799999999997</v>
      </c>
      <c r="CO84" s="211">
        <v>58.957000000000001</v>
      </c>
      <c r="CP84" s="190">
        <f t="shared" ref="CP84" si="2010">CN84*2/CM84</f>
        <v>43.985530208052459</v>
      </c>
      <c r="CQ84" s="190">
        <f t="shared" ref="CQ84" si="2011">CP84-J84</f>
        <v>0.37950709339489208</v>
      </c>
      <c r="CR84" s="211">
        <v>410.47699999999998</v>
      </c>
      <c r="CS84" s="211">
        <v>135.49799999999999</v>
      </c>
      <c r="CT84" s="190">
        <f t="shared" ref="CT84" si="2012">CR84/CM84</f>
        <v>12.118165375236423</v>
      </c>
      <c r="CU84" s="190">
        <f t="shared" ref="CU84" si="2013">CT84-W84</f>
        <v>0.39412177975604656</v>
      </c>
      <c r="CV84" s="247">
        <f t="shared" ref="CV84" si="2014">CP84+CT84</f>
        <v>56.103695583288882</v>
      </c>
      <c r="CW84" s="163"/>
      <c r="CX84" s="196">
        <f t="shared" ref="CX84" si="2015">C84-AJ84-AU84-BF84-BQ84-CB84-CM84</f>
        <v>0</v>
      </c>
      <c r="CY84" s="196">
        <f t="shared" ref="CY84" si="2016">F84-AK84-AV84-BG84-BR84-CC84-CN84</f>
        <v>0</v>
      </c>
      <c r="CZ84" s="196">
        <f t="shared" ref="CZ84" si="2017">I84-AL84-AW84-BH84-BS84-CD84-CO84</f>
        <v>0</v>
      </c>
      <c r="DA84" s="196">
        <f t="shared" ref="DA84" si="2018">O84-AO84-AZ84-BK84-BV84-CG84-CR84</f>
        <v>0</v>
      </c>
      <c r="DB84" s="196">
        <f t="shared" ref="DB84" si="2019">Q84-AP84-BA84-BL84-BW84-CH84-CS84</f>
        <v>0</v>
      </c>
      <c r="DC84" s="196">
        <f t="shared" ref="DC84" si="2020">P84-Q84-R84-S84</f>
        <v>0</v>
      </c>
      <c r="DD84" s="163"/>
      <c r="DE84" s="200">
        <v>176.93100000000001</v>
      </c>
      <c r="DF84" s="200">
        <v>102.961</v>
      </c>
      <c r="DG84" s="206">
        <f>FORECAST(DF84,DG65:DG83,DF65:DF83)</f>
        <v>40.095692291576526</v>
      </c>
      <c r="DH84" s="191">
        <f t="shared" si="61"/>
        <v>0.58192741803301851</v>
      </c>
      <c r="DI84" s="197">
        <v>140.696</v>
      </c>
      <c r="DJ84" s="191">
        <f t="shared" si="48"/>
        <v>0.39760132481023674</v>
      </c>
      <c r="DK84" s="197">
        <v>152.553</v>
      </c>
      <c r="DL84" s="197">
        <v>148.16300000000001</v>
      </c>
      <c r="DM84" s="191">
        <f t="shared" si="62"/>
        <v>2.8776884099296574E-2</v>
      </c>
      <c r="DN84" s="200">
        <v>143.85599999999999</v>
      </c>
      <c r="DO84" s="200">
        <v>39.951000000000001</v>
      </c>
      <c r="DP84" s="200">
        <v>99.22</v>
      </c>
      <c r="DQ84" s="200">
        <f t="shared" ref="DQ84" si="2021">DP84+DO84</f>
        <v>139.17099999999999</v>
      </c>
      <c r="DR84" s="191">
        <f t="shared" ref="DR84" si="2022">DJ84+DH84</f>
        <v>0.97952874284325531</v>
      </c>
      <c r="DS84" s="199">
        <f t="shared" si="1405"/>
        <v>1.0842738954909876</v>
      </c>
      <c r="DT84" s="200">
        <v>147.66399999999999</v>
      </c>
      <c r="DU84" s="200">
        <v>62.493000000000002</v>
      </c>
      <c r="DV84" s="200">
        <v>33.667000000000002</v>
      </c>
      <c r="DW84" s="191">
        <f t="shared" si="1537"/>
        <v>0.42321080290388996</v>
      </c>
      <c r="DX84" s="197">
        <v>41.365000000000002</v>
      </c>
      <c r="DY84" s="191">
        <f t="shared" si="1538"/>
        <v>0.14006460613284213</v>
      </c>
      <c r="DZ84" s="197">
        <v>54.527999999999999</v>
      </c>
      <c r="EA84" s="197">
        <v>53.078000000000003</v>
      </c>
      <c r="EB84" s="191">
        <f t="shared" si="52"/>
        <v>2.6591842723004633E-2</v>
      </c>
      <c r="EC84" s="200">
        <v>46.222000000000001</v>
      </c>
      <c r="ED84" s="206">
        <f t="shared" si="1933"/>
        <v>17.5</v>
      </c>
      <c r="EE84" s="200">
        <v>23.274999999999999</v>
      </c>
      <c r="EF84" s="205">
        <f t="shared" ref="EF84" si="2023">EE84+ED84</f>
        <v>40.774999999999999</v>
      </c>
      <c r="EG84" s="191">
        <f t="shared" ref="EG84" si="2024">DY84+DW84</f>
        <v>0.56327540903673212</v>
      </c>
      <c r="EJ84" s="202">
        <f t="shared" si="1363"/>
        <v>12.789724731182796</v>
      </c>
      <c r="EK84" s="202">
        <f>'NOPA Crush'!B509*56/('NOPA Crush'!A509-'NOPA Crush'!A508)</f>
        <v>12.577640545786865</v>
      </c>
      <c r="EL84" s="203">
        <f t="shared" si="1451"/>
        <v>1.0168620008358382</v>
      </c>
      <c r="EM84" s="202">
        <f t="shared" si="1406"/>
        <v>5.7074516129032258</v>
      </c>
      <c r="EN84" s="202">
        <f t="shared" si="1407"/>
        <v>9.5267096774193545E-3</v>
      </c>
      <c r="EO84" s="202">
        <f t="shared" si="1452"/>
        <v>18.506703053763442</v>
      </c>
    </row>
    <row r="85" spans="1:145">
      <c r="A85" s="157">
        <v>44562</v>
      </c>
      <c r="B85" s="186">
        <v>5828.9740000000002</v>
      </c>
      <c r="C85" s="187">
        <f t="shared" ref="C85" si="2025">B85/30</f>
        <v>194.29913333333334</v>
      </c>
      <c r="D85" s="247">
        <f>C85-'NOPA Crush'!G510</f>
        <v>12.083133333333336</v>
      </c>
      <c r="E85" s="188">
        <f>C85/'NOPA Crush'!G510-1</f>
        <v>6.6312142365836824E-2</v>
      </c>
      <c r="F85" s="189">
        <v>4231.0169999999998</v>
      </c>
      <c r="G85" s="189">
        <v>4171.1890000000003</v>
      </c>
      <c r="H85" s="189">
        <v>59.828000000000003</v>
      </c>
      <c r="I85" s="189">
        <v>396.46199999999999</v>
      </c>
      <c r="J85" s="190">
        <f t="shared" ref="J85" si="2026">F85*2/C85</f>
        <v>43.551578716940575</v>
      </c>
      <c r="K85" s="190">
        <f t="shared" ref="K85" si="2027">(F85+M85)*2/C85</f>
        <v>46.661587442318321</v>
      </c>
      <c r="L85" s="190">
        <f>K85-'NOPA Crush'!J510</f>
        <v>-0.21841255768168111</v>
      </c>
      <c r="M85" s="189">
        <v>302.13600000000002</v>
      </c>
      <c r="N85" s="189">
        <v>34.292000000000002</v>
      </c>
      <c r="O85" s="189">
        <v>2277.355</v>
      </c>
      <c r="P85" s="189">
        <v>2113.7240000000002</v>
      </c>
      <c r="Q85" s="189">
        <v>957.23599999999999</v>
      </c>
      <c r="R85" s="189">
        <v>372.83100000000002</v>
      </c>
      <c r="S85" s="189">
        <v>783.65700000000004</v>
      </c>
      <c r="T85" s="189">
        <v>386.2</v>
      </c>
      <c r="U85" s="189">
        <f>(P85+T85)-'NOPA Crush'!Q510</f>
        <v>473.86699999999996</v>
      </c>
      <c r="V85" s="191">
        <f>((P85+T85)/'NOPA Crush'!Q510)-1</f>
        <v>0.23388631218174027</v>
      </c>
      <c r="W85" s="190">
        <f t="shared" ref="W85" si="2028">O85/C85</f>
        <v>11.72087060261377</v>
      </c>
      <c r="X85" s="190">
        <f>W85-'NOPA Crush'!O510</f>
        <v>-8.912939738623038E-2</v>
      </c>
      <c r="Y85" s="190">
        <f t="shared" si="720"/>
        <v>58.382458044932093</v>
      </c>
      <c r="Z85" s="211">
        <v>1628.0440000000001</v>
      </c>
      <c r="AA85" s="211">
        <v>1590.136</v>
      </c>
      <c r="AB85" s="191">
        <f t="shared" ref="AB85" si="2029">(Z85-AA85)/Z85</f>
        <v>2.3284382977364328E-2</v>
      </c>
      <c r="AC85" s="211">
        <v>180.56399999999999</v>
      </c>
      <c r="AD85" s="211">
        <v>1629.6189999999999</v>
      </c>
      <c r="AE85" s="211">
        <v>1208.1500000000001</v>
      </c>
      <c r="AF85" s="211">
        <v>421.46899999999999</v>
      </c>
      <c r="AG85" s="191">
        <f t="shared" si="1322"/>
        <v>2.4829951651934135E-2</v>
      </c>
      <c r="AI85" s="211">
        <v>679.95899999999995</v>
      </c>
      <c r="AJ85" s="247">
        <f t="shared" si="11"/>
        <v>22.665299999999998</v>
      </c>
      <c r="AK85" s="211">
        <v>489.334</v>
      </c>
      <c r="AL85" s="211">
        <v>59.750999999999998</v>
      </c>
      <c r="AM85" s="190">
        <f t="shared" ref="AM85" si="2030">AK85*2/AJ85</f>
        <v>43.179132859481236</v>
      </c>
      <c r="AN85" s="190">
        <f t="shared" ref="AN85" si="2031">AM85-J85</f>
        <v>-0.37244585745933989</v>
      </c>
      <c r="AO85" s="211">
        <v>268.62099999999998</v>
      </c>
      <c r="AP85" s="211">
        <v>116.762</v>
      </c>
      <c r="AQ85" s="190">
        <f t="shared" ref="AQ85" si="2032">AO85/AJ85</f>
        <v>11.851641054828306</v>
      </c>
      <c r="AR85" s="190">
        <f t="shared" ref="AR85" si="2033">AQ85-W85</f>
        <v>0.13077045221453609</v>
      </c>
      <c r="AS85" s="190">
        <f t="shared" ref="AS85" si="2034">AM85+AQ85</f>
        <v>55.030773914309542</v>
      </c>
      <c r="AT85" s="211">
        <v>1151.328</v>
      </c>
      <c r="AU85" s="247">
        <f t="shared" si="16"/>
        <v>38.377600000000001</v>
      </c>
      <c r="AV85" s="211">
        <v>846.01400000000001</v>
      </c>
      <c r="AW85" s="211">
        <v>43.975999999999999</v>
      </c>
      <c r="AX85" s="190">
        <f t="shared" ref="AX85" si="2035">AV85*2/AU85</f>
        <v>44.088947719503039</v>
      </c>
      <c r="AY85" s="190">
        <f t="shared" ref="AY85" si="2036">AX85-J85</f>
        <v>0.537369002562464</v>
      </c>
      <c r="AZ85" s="211">
        <v>452.387</v>
      </c>
      <c r="BA85" s="211">
        <v>186.959</v>
      </c>
      <c r="BB85" s="190">
        <f t="shared" ref="BB85" si="2037">AZ85/AU85</f>
        <v>11.787787667806221</v>
      </c>
      <c r="BC85" s="190">
        <f t="shared" ref="BC85" si="2038">BB85-W85</f>
        <v>6.6917065192450664E-2</v>
      </c>
      <c r="BD85" s="247">
        <f t="shared" ref="BD85" si="2039">AX85+BB85</f>
        <v>55.87673538730926</v>
      </c>
      <c r="BE85" s="211">
        <v>1353.3710000000001</v>
      </c>
      <c r="BF85" s="247">
        <f t="shared" si="58"/>
        <v>45.112366666666667</v>
      </c>
      <c r="BG85" s="211">
        <v>978.03599999999994</v>
      </c>
      <c r="BH85" s="211">
        <v>126.846</v>
      </c>
      <c r="BI85" s="190">
        <f t="shared" ref="BI85" si="2040">BG85*2/BF85</f>
        <v>43.359995152844263</v>
      </c>
      <c r="BJ85" s="190">
        <f t="shared" ref="BJ85" si="2041">BI85-J85</f>
        <v>-0.19158356409631239</v>
      </c>
      <c r="BK85" s="211">
        <v>520.10500000000002</v>
      </c>
      <c r="BL85" s="211">
        <v>238.84399999999999</v>
      </c>
      <c r="BM85" s="190">
        <f t="shared" ref="BM85" si="2042">BK85/BF85</f>
        <v>11.529100298439969</v>
      </c>
      <c r="BN85" s="190">
        <f t="shared" ref="BN85" si="2043">BM85-W85</f>
        <v>-0.19177030417380081</v>
      </c>
      <c r="BO85" s="247">
        <f t="shared" ref="BO85" si="2044">BM85+BI85</f>
        <v>54.889095451284234</v>
      </c>
      <c r="BP85" s="211">
        <v>935.755</v>
      </c>
      <c r="BQ85" s="247">
        <f t="shared" si="26"/>
        <v>31.191833333333332</v>
      </c>
      <c r="BR85" s="211">
        <v>674.47299999999996</v>
      </c>
      <c r="BS85" s="211">
        <v>60.048999999999999</v>
      </c>
      <c r="BT85" s="190">
        <f t="shared" ref="BT85" si="2045">BR85*2/BQ85</f>
        <v>43.246768652051017</v>
      </c>
      <c r="BU85" s="190">
        <f t="shared" ref="BU85" si="2046">BT85-J85</f>
        <v>-0.30481006488955842</v>
      </c>
      <c r="BV85" s="211">
        <v>366.00700000000001</v>
      </c>
      <c r="BW85" s="211">
        <v>224.04499999999999</v>
      </c>
      <c r="BX85" s="190">
        <f t="shared" ref="BX85" si="2047">BV85/BQ85</f>
        <v>11.734065006331786</v>
      </c>
      <c r="BY85" s="190">
        <f t="shared" ref="BY85" si="2048">BX85-W85</f>
        <v>1.3194403718015835E-2</v>
      </c>
      <c r="BZ85" s="194">
        <f t="shared" ref="BZ85" si="2049">BT85+BX85</f>
        <v>54.980833658382807</v>
      </c>
      <c r="CA85" s="211">
        <v>711.50699999999995</v>
      </c>
      <c r="CB85" s="247">
        <f t="shared" si="32"/>
        <v>23.716899999999999</v>
      </c>
      <c r="CC85" s="211">
        <v>509.58699999999999</v>
      </c>
      <c r="CD85" s="211">
        <v>62.377000000000002</v>
      </c>
      <c r="CE85" s="190">
        <f t="shared" ref="CE85" si="2050">CC85*2/CB85</f>
        <v>42.972479539906146</v>
      </c>
      <c r="CF85" s="190">
        <f t="shared" ref="CF85" si="2051">CE85-J85</f>
        <v>-0.57909917703442915</v>
      </c>
      <c r="CG85" s="211">
        <v>273.53300000000002</v>
      </c>
      <c r="CH85" s="211">
        <v>61.372</v>
      </c>
      <c r="CI85" s="190">
        <f t="shared" ref="CI85" si="2052">CG85/CB85</f>
        <v>11.533252659495972</v>
      </c>
      <c r="CJ85" s="190">
        <f t="shared" ref="CJ85" si="2053">CI85-W85</f>
        <v>-0.18761794311779845</v>
      </c>
      <c r="CK85" s="194">
        <f t="shared" ref="CK85" si="2054">CI85+CE85</f>
        <v>54.505732199402118</v>
      </c>
      <c r="CL85" s="211">
        <v>997.05399999999997</v>
      </c>
      <c r="CM85" s="247">
        <f t="shared" si="60"/>
        <v>33.23513333333333</v>
      </c>
      <c r="CN85" s="211">
        <v>733.57299999999998</v>
      </c>
      <c r="CO85" s="211">
        <v>43.463000000000001</v>
      </c>
      <c r="CP85" s="190">
        <f t="shared" ref="CP85" si="2055">CN85*2/CM85</f>
        <v>44.14442948927541</v>
      </c>
      <c r="CQ85" s="190">
        <f t="shared" ref="CQ85" si="2056">CP85-J85</f>
        <v>0.59285077233483463</v>
      </c>
      <c r="CR85" s="211">
        <v>396.702</v>
      </c>
      <c r="CS85" s="211">
        <v>129.25399999999999</v>
      </c>
      <c r="CT85" s="190">
        <f t="shared" ref="CT85" si="2057">CR85/CM85</f>
        <v>11.936224116246462</v>
      </c>
      <c r="CU85" s="190">
        <f t="shared" ref="CU85" si="2058">CT85-W85</f>
        <v>0.21535351363269228</v>
      </c>
      <c r="CV85" s="247">
        <f t="shared" ref="CV85" si="2059">CP85+CT85</f>
        <v>56.080653605521874</v>
      </c>
      <c r="CW85" s="163"/>
      <c r="CX85" s="196">
        <f t="shared" ref="CX85" si="2060">C85-AJ85-AU85-BF85-BQ85-CB85-CM85</f>
        <v>0</v>
      </c>
      <c r="CY85" s="196">
        <f t="shared" ref="CY85" si="2061">F85-AK85-AV85-BG85-BR85-CC85-CN85</f>
        <v>0</v>
      </c>
      <c r="CZ85" s="196">
        <f t="shared" ref="CZ85" si="2062">I85-AL85-AW85-BH85-BS85-CD85-CO85</f>
        <v>0</v>
      </c>
      <c r="DA85" s="196">
        <f t="shared" ref="DA85" si="2063">O85-AO85-AZ85-BK85-BV85-CG85-CR85</f>
        <v>0</v>
      </c>
      <c r="DB85" s="196">
        <f t="shared" ref="DB85" si="2064">Q85-AP85-BA85-BL85-BW85-CH85-CS85</f>
        <v>0</v>
      </c>
      <c r="DC85" s="196">
        <f t="shared" ref="DC85" si="2065">P85-Q85-R85-S85</f>
        <v>0</v>
      </c>
      <c r="DD85" s="163"/>
      <c r="DE85" s="200">
        <v>136.63200000000001</v>
      </c>
      <c r="DF85" s="200">
        <v>84.79</v>
      </c>
      <c r="DG85" s="200">
        <v>35.33</v>
      </c>
      <c r="DH85" s="191">
        <f t="shared" si="61"/>
        <v>0.62057204754376727</v>
      </c>
      <c r="DI85" s="197">
        <v>113.003</v>
      </c>
      <c r="DJ85" s="191">
        <f t="shared" si="48"/>
        <v>0.41353050529890506</v>
      </c>
      <c r="DK85" s="197">
        <v>126.895</v>
      </c>
      <c r="DL85" s="197">
        <v>123.268</v>
      </c>
      <c r="DM85" s="191">
        <f t="shared" si="62"/>
        <v>2.8582686473068275E-2</v>
      </c>
      <c r="DN85" s="200">
        <v>131.62700000000001</v>
      </c>
      <c r="DO85" s="200">
        <v>35.247999999999998</v>
      </c>
      <c r="DP85" s="200">
        <v>90.021000000000001</v>
      </c>
      <c r="DQ85" s="200">
        <f t="shared" ref="DQ85" si="2066">DP85+DO85</f>
        <v>125.26900000000001</v>
      </c>
      <c r="DR85" s="191">
        <f t="shared" ref="DR85" si="2067">DJ85+DH85</f>
        <v>1.0341025528426724</v>
      </c>
      <c r="DS85" s="199">
        <f t="shared" si="1405"/>
        <v>1.1229347893418757</v>
      </c>
      <c r="DT85" s="200">
        <v>137.32400000000001</v>
      </c>
      <c r="DU85" s="200">
        <v>60.587000000000003</v>
      </c>
      <c r="DV85" s="200">
        <v>23.122</v>
      </c>
      <c r="DW85" s="191">
        <f t="shared" si="1537"/>
        <v>0.44119746002155485</v>
      </c>
      <c r="DX85" s="197">
        <v>36.453000000000003</v>
      </c>
      <c r="DY85" s="191">
        <f t="shared" si="1538"/>
        <v>0.13272625324051149</v>
      </c>
      <c r="DZ85" s="197">
        <v>40.408000000000001</v>
      </c>
      <c r="EA85" s="197">
        <v>39.381999999999998</v>
      </c>
      <c r="EB85" s="191">
        <f t="shared" si="52"/>
        <v>2.5391011680855335E-2</v>
      </c>
      <c r="EC85" s="200">
        <v>44.859000000000002</v>
      </c>
      <c r="ED85" s="206">
        <f t="shared" si="1933"/>
        <v>22.5</v>
      </c>
      <c r="EE85" s="200">
        <v>22.856999999999999</v>
      </c>
      <c r="EF85" s="205">
        <f t="shared" ref="EF85:EF86" si="2068">EE85+ED85</f>
        <v>45.356999999999999</v>
      </c>
      <c r="EG85" s="191">
        <f t="shared" ref="EG85:EG86" si="2069">DY85+DW85</f>
        <v>0.57392371326206637</v>
      </c>
      <c r="EJ85" s="202">
        <f t="shared" si="1363"/>
        <v>12.535427956989247</v>
      </c>
      <c r="EK85" s="202">
        <f>'NOPA Crush'!B510*56/('NOPA Crush'!A510-'NOPA Crush'!A509)</f>
        <v>12.211093176866363</v>
      </c>
      <c r="EL85" s="203">
        <f t="shared" si="1451"/>
        <v>1.0265606670447269</v>
      </c>
      <c r="EM85" s="202">
        <f t="shared" si="1406"/>
        <v>4.4074838709677424</v>
      </c>
      <c r="EN85" s="202">
        <f t="shared" si="1407"/>
        <v>8.859612903225806E-3</v>
      </c>
      <c r="EO85" s="202">
        <f t="shared" si="1452"/>
        <v>16.951771440860217</v>
      </c>
    </row>
    <row r="86" spans="1:145">
      <c r="A86" s="157">
        <v>44593</v>
      </c>
      <c r="B86" s="186">
        <v>5232.4530000000004</v>
      </c>
      <c r="C86" s="187">
        <f t="shared" ref="C86" si="2070">B86/30</f>
        <v>174.41510000000002</v>
      </c>
      <c r="D86" s="247">
        <f>C86-'NOPA Crush'!G511</f>
        <v>9.3581000000000358</v>
      </c>
      <c r="E86" s="188">
        <f>C86/'NOPA Crush'!G511-1</f>
        <v>5.6696171625559844E-2</v>
      </c>
      <c r="F86" s="189">
        <v>3817.7840000000001</v>
      </c>
      <c r="G86" s="189">
        <v>3763.1350000000002</v>
      </c>
      <c r="H86" s="189">
        <v>54.649000000000001</v>
      </c>
      <c r="I86" s="189">
        <v>347.16</v>
      </c>
      <c r="J86" s="190">
        <f t="shared" ref="J86" si="2071">F86*2/C86</f>
        <v>43.778136182016347</v>
      </c>
      <c r="K86" s="190">
        <f t="shared" ref="K86" si="2072">(F86+M86)*2/C86</f>
        <v>46.899093025775855</v>
      </c>
      <c r="L86" s="190">
        <f>K86-'NOPA Crush'!J511</f>
        <v>-9.0906974224147064E-2</v>
      </c>
      <c r="M86" s="189">
        <v>272.17099999999999</v>
      </c>
      <c r="N86" s="189">
        <v>38.716000000000001</v>
      </c>
      <c r="O86" s="189">
        <v>2064.1990000000001</v>
      </c>
      <c r="P86" s="189">
        <v>2172.3110000000001</v>
      </c>
      <c r="Q86" s="189">
        <v>1019.221</v>
      </c>
      <c r="R86" s="189">
        <v>397.32299999999998</v>
      </c>
      <c r="S86" s="189">
        <v>755.76700000000005</v>
      </c>
      <c r="T86" s="189">
        <v>393.79599999999999</v>
      </c>
      <c r="U86" s="189">
        <f>(P86+T86)-'NOPA Crush'!Q511</f>
        <v>506.77399999999989</v>
      </c>
      <c r="V86" s="191">
        <f>((P86+T86)/'NOPA Crush'!Q511)-1</f>
        <v>0.24608647557243035</v>
      </c>
      <c r="W86" s="190">
        <f t="shared" ref="W86" si="2073">O86/C86</f>
        <v>11.834978737506098</v>
      </c>
      <c r="X86" s="190">
        <f>W86-'NOPA Crush'!O511</f>
        <v>-9.5021262493901304E-2</v>
      </c>
      <c r="Y86" s="190">
        <f t="shared" si="720"/>
        <v>58.734071763281953</v>
      </c>
      <c r="Z86" s="211">
        <v>1574.8430000000001</v>
      </c>
      <c r="AA86" s="211">
        <v>1544.9829999999999</v>
      </c>
      <c r="AB86" s="191">
        <f t="shared" ref="AB86" si="2074">(Z86-AA86)/Z86</f>
        <v>1.8960620201505882E-2</v>
      </c>
      <c r="AC86" s="211">
        <v>148.21799999999999</v>
      </c>
      <c r="AD86" s="211">
        <v>1526.96</v>
      </c>
      <c r="AE86" s="211">
        <v>1153.9159999999999</v>
      </c>
      <c r="AF86" s="211">
        <v>373.04399999999998</v>
      </c>
      <c r="AG86" s="191">
        <f t="shared" si="1322"/>
        <v>-1.1665500526542916E-2</v>
      </c>
      <c r="AI86" s="211">
        <v>595.94799999999998</v>
      </c>
      <c r="AJ86" s="247">
        <f t="shared" si="11"/>
        <v>19.864933333333333</v>
      </c>
      <c r="AK86" s="211">
        <v>424.03100000000001</v>
      </c>
      <c r="AL86" s="211">
        <v>40.707000000000001</v>
      </c>
      <c r="AM86" s="190">
        <f t="shared" ref="AM86" si="2075">AK86*2/AJ86</f>
        <v>42.691409317591472</v>
      </c>
      <c r="AN86" s="190">
        <f t="shared" ref="AN86" si="2076">AM86-J86</f>
        <v>-1.0867268644248753</v>
      </c>
      <c r="AO86" s="211">
        <v>238.97200000000001</v>
      </c>
      <c r="AP86" s="211">
        <v>126.32</v>
      </c>
      <c r="AQ86" s="190">
        <f t="shared" ref="AQ86" si="2077">AO86/AJ86</f>
        <v>12.029841529797903</v>
      </c>
      <c r="AR86" s="190">
        <f t="shared" ref="AR86" si="2078">AQ86-W86</f>
        <v>0.19486279229180425</v>
      </c>
      <c r="AS86" s="190">
        <f t="shared" ref="AS86" si="2079">AM86+AQ86</f>
        <v>54.721250847389371</v>
      </c>
      <c r="AT86" s="211">
        <v>1056.55</v>
      </c>
      <c r="AU86" s="247">
        <f t="shared" si="16"/>
        <v>35.218333333333334</v>
      </c>
      <c r="AV86" s="211">
        <v>783.30100000000004</v>
      </c>
      <c r="AW86" s="211">
        <v>49.401000000000003</v>
      </c>
      <c r="AX86" s="190">
        <f t="shared" ref="AX86" si="2080">AV86*2/AU86</f>
        <v>44.48257063082675</v>
      </c>
      <c r="AY86" s="190">
        <f t="shared" ref="AY86" si="2081">AX86-J86</f>
        <v>0.70443444881040307</v>
      </c>
      <c r="AZ86" s="211">
        <v>421.06099999999998</v>
      </c>
      <c r="BA86" s="211">
        <v>205.63200000000001</v>
      </c>
      <c r="BB86" s="190">
        <f t="shared" ref="BB86" si="2082">AZ86/AU86</f>
        <v>11.955733282854574</v>
      </c>
      <c r="BC86" s="190">
        <f t="shared" ref="BC86" si="2083">BB86-W86</f>
        <v>0.12075454534847552</v>
      </c>
      <c r="BD86" s="247">
        <f t="shared" ref="BD86" si="2084">AX86+BB86</f>
        <v>56.438303913681324</v>
      </c>
      <c r="BE86" s="211">
        <v>1175.0709999999999</v>
      </c>
      <c r="BF86" s="247">
        <f t="shared" si="58"/>
        <v>39.169033333333331</v>
      </c>
      <c r="BG86" s="211">
        <v>851.90700000000004</v>
      </c>
      <c r="BH86" s="211">
        <v>119.05</v>
      </c>
      <c r="BI86" s="190">
        <f t="shared" ref="BI86" si="2085">BG86*2/BF86</f>
        <v>43.499005592002533</v>
      </c>
      <c r="BJ86" s="190">
        <f t="shared" ref="BJ86" si="2086">BI86-J86</f>
        <v>-0.27913059001381413</v>
      </c>
      <c r="BK86" s="211">
        <v>449.51400000000001</v>
      </c>
      <c r="BL86" s="211">
        <v>237.21</v>
      </c>
      <c r="BM86" s="190">
        <f t="shared" ref="BM86" si="2087">BK86/BF86</f>
        <v>11.476259732390639</v>
      </c>
      <c r="BN86" s="190">
        <f t="shared" ref="BN86" si="2088">BM86-W86</f>
        <v>-0.35871900511545896</v>
      </c>
      <c r="BO86" s="247">
        <f t="shared" ref="BO86" si="2089">BM86+BI86</f>
        <v>54.97526532439317</v>
      </c>
      <c r="BP86" s="211">
        <v>886.47400000000005</v>
      </c>
      <c r="BQ86" s="247">
        <f t="shared" si="26"/>
        <v>29.549133333333334</v>
      </c>
      <c r="BR86" s="211">
        <v>650.07000000000005</v>
      </c>
      <c r="BS86" s="211">
        <v>49.290999999999997</v>
      </c>
      <c r="BT86" s="190">
        <f t="shared" ref="BT86" si="2090">BR86*2/BQ86</f>
        <v>43.999259989576686</v>
      </c>
      <c r="BU86" s="190">
        <f t="shared" ref="BU86" si="2091">BT86-J86</f>
        <v>0.221123807560339</v>
      </c>
      <c r="BV86" s="211">
        <v>350.53199999999998</v>
      </c>
      <c r="BW86" s="211">
        <v>256.30799999999999</v>
      </c>
      <c r="BX86" s="190">
        <f t="shared" ref="BX86" si="2092">BV86/BQ86</f>
        <v>11.862682943887807</v>
      </c>
      <c r="BY86" s="190">
        <f t="shared" ref="BY86" si="2093">BX86-W86</f>
        <v>2.7704206381708119E-2</v>
      </c>
      <c r="BZ86" s="194">
        <f t="shared" ref="BZ86" si="2094">BT86+BX86</f>
        <v>55.861942933464491</v>
      </c>
      <c r="CA86" s="211">
        <v>637.43100000000004</v>
      </c>
      <c r="CB86" s="247">
        <f t="shared" si="32"/>
        <v>21.247700000000002</v>
      </c>
      <c r="CC86" s="211">
        <v>460.44400000000002</v>
      </c>
      <c r="CD86" s="211">
        <v>52.807000000000002</v>
      </c>
      <c r="CE86" s="190">
        <f t="shared" ref="CE86" si="2095">CC86*2/CB86</f>
        <v>43.340596864601814</v>
      </c>
      <c r="CF86" s="190">
        <f t="shared" ref="CF86" si="2096">CE86-J86</f>
        <v>-0.437539317414533</v>
      </c>
      <c r="CG86" s="211">
        <v>248.26300000000001</v>
      </c>
      <c r="CH86" s="211">
        <v>58.886000000000003</v>
      </c>
      <c r="CI86" s="190">
        <f t="shared" ref="CI86" si="2097">CG86/CB86</f>
        <v>11.684229351882792</v>
      </c>
      <c r="CJ86" s="190">
        <f t="shared" ref="CJ86" si="2098">CI86-W86</f>
        <v>-0.15074938562330686</v>
      </c>
      <c r="CK86" s="194">
        <f t="shared" ref="CK86" si="2099">CI86+CE86</f>
        <v>55.024826216484605</v>
      </c>
      <c r="CL86" s="211">
        <v>880.97900000000004</v>
      </c>
      <c r="CM86" s="247">
        <f t="shared" si="60"/>
        <v>29.365966666666669</v>
      </c>
      <c r="CN86" s="211">
        <v>648.03099999999995</v>
      </c>
      <c r="CO86" s="211">
        <v>35.904000000000003</v>
      </c>
      <c r="CP86" s="190">
        <f t="shared" ref="CP86" si="2100">CN86*2/CM86</f>
        <v>44.134831817784523</v>
      </c>
      <c r="CQ86" s="190">
        <f t="shared" ref="CQ86" si="2101">CP86-J86</f>
        <v>0.35669563576817609</v>
      </c>
      <c r="CR86" s="211">
        <v>355.85700000000003</v>
      </c>
      <c r="CS86" s="211">
        <v>134.86500000000001</v>
      </c>
      <c r="CT86" s="190">
        <f t="shared" ref="CT86" si="2102">CR86/CM86</f>
        <v>12.11800735318322</v>
      </c>
      <c r="CU86" s="190">
        <f t="shared" ref="CU86" si="2103">CT86-W86</f>
        <v>0.28302861567712156</v>
      </c>
      <c r="CV86" s="247">
        <f t="shared" ref="CV86" si="2104">CP86+CT86</f>
        <v>56.252839170967746</v>
      </c>
      <c r="CW86" s="163"/>
      <c r="CX86" s="196">
        <f t="shared" ref="CX86" si="2105">C86-AJ86-AU86-BF86-BQ86-CB86-CM86</f>
        <v>0</v>
      </c>
      <c r="CY86" s="196">
        <f t="shared" ref="CY86" si="2106">F86-AK86-AV86-BG86-BR86-CC86-CN86</f>
        <v>0</v>
      </c>
      <c r="CZ86" s="196">
        <f t="shared" ref="CZ86" si="2107">I86-AL86-AW86-BH86-BS86-CD86-CO86</f>
        <v>0</v>
      </c>
      <c r="DA86" s="196">
        <f t="shared" ref="DA86" si="2108">O86-AO86-AZ86-BK86-BV86-CG86-CR86</f>
        <v>0</v>
      </c>
      <c r="DB86" s="196">
        <f t="shared" ref="DB86" si="2109">Q86-AP86-BA86-BL86-BW86-CH86-CS86</f>
        <v>0</v>
      </c>
      <c r="DC86" s="196">
        <f t="shared" ref="DC86" si="2110">P86-Q86-R86-S86</f>
        <v>0</v>
      </c>
      <c r="DD86" s="163"/>
      <c r="DE86" s="200">
        <v>130.398</v>
      </c>
      <c r="DF86" s="200">
        <v>75.575000000000003</v>
      </c>
      <c r="DG86" s="200">
        <v>37.972000000000001</v>
      </c>
      <c r="DH86" s="191">
        <f t="shared" si="61"/>
        <v>0.57957177257319903</v>
      </c>
      <c r="DI86" s="197">
        <v>101.075</v>
      </c>
      <c r="DJ86" s="191">
        <f t="shared" si="48"/>
        <v>0.38756345956226324</v>
      </c>
      <c r="DK86" s="197">
        <v>100.227</v>
      </c>
      <c r="DL86" s="197">
        <v>97.093999999999994</v>
      </c>
      <c r="DM86" s="191">
        <f t="shared" si="62"/>
        <v>3.1259041974717516E-2</v>
      </c>
      <c r="DN86" s="200">
        <v>102.485</v>
      </c>
      <c r="DO86" s="200">
        <v>47.545999999999999</v>
      </c>
      <c r="DP86" s="200">
        <v>89.372</v>
      </c>
      <c r="DQ86" s="200">
        <f t="shared" ref="DQ86" si="2111">DP86+DO86</f>
        <v>136.91800000000001</v>
      </c>
      <c r="DR86" s="191">
        <f t="shared" ref="DR86" si="2112">DJ86+DH86</f>
        <v>0.96713523213546226</v>
      </c>
      <c r="DS86" s="199">
        <f t="shared" si="1405"/>
        <v>0.99161019045263421</v>
      </c>
      <c r="DT86" s="200">
        <v>143.834</v>
      </c>
      <c r="DU86" s="200">
        <v>62.356999999999999</v>
      </c>
      <c r="DV86" s="200">
        <v>17.442</v>
      </c>
      <c r="DW86" s="191">
        <f t="shared" si="1537"/>
        <v>0.43353449114951959</v>
      </c>
      <c r="DX86" s="197">
        <v>40.353000000000002</v>
      </c>
      <c r="DY86" s="191">
        <f t="shared" si="1538"/>
        <v>0.14027629072402908</v>
      </c>
      <c r="DZ86" s="197">
        <v>45.186</v>
      </c>
      <c r="EA86" s="197">
        <v>44.334000000000003</v>
      </c>
      <c r="EB86" s="191">
        <f t="shared" si="52"/>
        <v>1.8855397689549802E-2</v>
      </c>
      <c r="EC86" s="200">
        <v>41.070999999999998</v>
      </c>
      <c r="ED86" s="206">
        <f t="shared" si="1933"/>
        <v>22.5</v>
      </c>
      <c r="EE86" s="200">
        <v>25.311</v>
      </c>
      <c r="EF86" s="205">
        <f t="shared" si="2068"/>
        <v>47.811</v>
      </c>
      <c r="EG86" s="191">
        <f t="shared" si="2069"/>
        <v>0.57381078187354873</v>
      </c>
      <c r="EJ86" s="202">
        <f t="shared" si="1363"/>
        <v>12.458221428571431</v>
      </c>
      <c r="EK86" s="202">
        <f>'NOPA Crush'!B511*56/('NOPA Crush'!A511-'NOPA Crush'!A510)</f>
        <v>12.086614179576708</v>
      </c>
      <c r="EL86" s="203">
        <f t="shared" si="1451"/>
        <v>1.0307453554381378</v>
      </c>
      <c r="EM86" s="202">
        <f t="shared" si="1406"/>
        <v>4.6570714285714283</v>
      </c>
      <c r="EN86" s="202">
        <f t="shared" si="1407"/>
        <v>1.0273857142857142E-2</v>
      </c>
      <c r="EO86" s="202">
        <f t="shared" si="1452"/>
        <v>17.125566714285714</v>
      </c>
    </row>
    <row r="87" spans="1:145">
      <c r="A87" s="157">
        <v>44621</v>
      </c>
      <c r="B87" s="186">
        <v>5786.1589999999997</v>
      </c>
      <c r="C87" s="187">
        <f t="shared" ref="C87" si="2113">B87/30</f>
        <v>192.87196666666665</v>
      </c>
      <c r="D87" s="247">
        <f>C87-'NOPA Crush'!G512</f>
        <v>10.406966666666648</v>
      </c>
      <c r="E87" s="188">
        <f>C87/'NOPA Crush'!G512-1</f>
        <v>5.7035413184263639E-2</v>
      </c>
      <c r="F87" s="189">
        <v>4249.0540000000001</v>
      </c>
      <c r="G87" s="189">
        <v>4190.8760000000002</v>
      </c>
      <c r="H87" s="189">
        <v>58.177999999999997</v>
      </c>
      <c r="I87" s="189">
        <v>347.19099999999997</v>
      </c>
      <c r="J87" s="190">
        <f t="shared" ref="J87" si="2114">F87*2/C87</f>
        <v>44.060876999750619</v>
      </c>
      <c r="K87" s="190">
        <f t="shared" ref="K87" si="2115">(F87+M87)*2/C87</f>
        <v>47.177732239988572</v>
      </c>
      <c r="L87" s="190">
        <f>K87-'NOPA Crush'!J512</f>
        <v>-6.2267760011430084E-2</v>
      </c>
      <c r="M87" s="189">
        <v>300.577</v>
      </c>
      <c r="N87" s="189">
        <v>33.777000000000001</v>
      </c>
      <c r="O87" s="189">
        <v>2277.5410000000002</v>
      </c>
      <c r="P87" s="189">
        <v>2084.2530000000002</v>
      </c>
      <c r="Q87" s="189">
        <v>986.20299999999997</v>
      </c>
      <c r="R87" s="189">
        <v>390.61599999999999</v>
      </c>
      <c r="S87" s="189">
        <v>707.43399999999997</v>
      </c>
      <c r="T87" s="189">
        <v>349.46499999999997</v>
      </c>
      <c r="U87" s="189">
        <f>(P87+T87)-'NOPA Crush'!Q512</f>
        <v>526.09500000000025</v>
      </c>
      <c r="V87" s="191">
        <f>((P87+T87)/'NOPA Crush'!Q512)-1</f>
        <v>0.27578562430836717</v>
      </c>
      <c r="W87" s="190">
        <f t="shared" ref="W87" si="2116">O87/C87</f>
        <v>11.808564196040933</v>
      </c>
      <c r="X87" s="190">
        <f>W87-'NOPA Crush'!O512</f>
        <v>-1.1435803959066959E-2</v>
      </c>
      <c r="Y87" s="190">
        <f t="shared" si="720"/>
        <v>58.986296436029505</v>
      </c>
      <c r="Z87" s="211">
        <v>1831.1089999999999</v>
      </c>
      <c r="AA87" s="211">
        <v>1787.9390000000001</v>
      </c>
      <c r="AB87" s="191">
        <f t="shared" ref="AB87:AB100" si="2117">(Z87-AA87)/Z87</f>
        <v>2.3575876695488825E-2</v>
      </c>
      <c r="AC87" s="211">
        <v>161.28200000000001</v>
      </c>
      <c r="AD87" s="211">
        <v>1831.9</v>
      </c>
      <c r="AE87" s="211">
        <v>1386.18</v>
      </c>
      <c r="AF87" s="211">
        <v>445.72</v>
      </c>
      <c r="AG87" s="191">
        <f t="shared" si="1322"/>
        <v>2.4587527874273096E-2</v>
      </c>
      <c r="AI87" s="211">
        <v>675.52499999999998</v>
      </c>
      <c r="AJ87" s="247">
        <f t="shared" si="11"/>
        <v>22.517499999999998</v>
      </c>
      <c r="AK87" s="211">
        <v>487.91699999999997</v>
      </c>
      <c r="AL87" s="211">
        <v>42.072000000000003</v>
      </c>
      <c r="AM87" s="190">
        <f t="shared" ref="AM87" si="2118">AK87*2/AJ87</f>
        <v>43.336693682691241</v>
      </c>
      <c r="AN87" s="190">
        <f t="shared" ref="AN87" si="2119">AM87-J87</f>
        <v>-0.72418331705937788</v>
      </c>
      <c r="AO87" s="211">
        <v>265</v>
      </c>
      <c r="AP87" s="211">
        <v>136.29300000000001</v>
      </c>
      <c r="AQ87" s="190">
        <f t="shared" ref="AQ87" si="2120">AO87/AJ87</f>
        <v>11.768624403241924</v>
      </c>
      <c r="AR87" s="190">
        <f t="shared" ref="AR87" si="2121">AQ87-W87</f>
        <v>-3.9939792799009055E-2</v>
      </c>
      <c r="AS87" s="190">
        <f t="shared" ref="AS87:AS88" si="2122">AM87+AQ87</f>
        <v>55.105318085933163</v>
      </c>
      <c r="AT87" s="211">
        <v>1201.7429999999999</v>
      </c>
      <c r="AU87" s="247">
        <f t="shared" si="16"/>
        <v>40.058099999999996</v>
      </c>
      <c r="AV87" s="211">
        <v>886.16300000000001</v>
      </c>
      <c r="AW87" s="211">
        <v>50.613</v>
      </c>
      <c r="AX87" s="190">
        <f t="shared" ref="AX87" si="2123">AV87*2/AU87</f>
        <v>44.243885755939502</v>
      </c>
      <c r="AY87" s="190">
        <f t="shared" ref="AY87" si="2124">AX87-J87</f>
        <v>0.18300875618888313</v>
      </c>
      <c r="AZ87" s="211">
        <v>478.31700000000001</v>
      </c>
      <c r="BA87" s="211">
        <v>205.61199999999999</v>
      </c>
      <c r="BB87" s="190">
        <f t="shared" ref="BB87" si="2125">AZ87/AU87</f>
        <v>11.94058130565354</v>
      </c>
      <c r="BC87" s="190">
        <f t="shared" ref="BC87" si="2126">BB87-W87</f>
        <v>0.13201710961260638</v>
      </c>
      <c r="BD87" s="247">
        <f t="shared" ref="BD87" si="2127">AX87+BB87</f>
        <v>56.18446706159304</v>
      </c>
      <c r="BE87" s="211">
        <v>1307.652</v>
      </c>
      <c r="BF87" s="247">
        <f t="shared" si="58"/>
        <v>43.5884</v>
      </c>
      <c r="BG87" s="211">
        <v>954.19600000000003</v>
      </c>
      <c r="BH87" s="211">
        <v>117.923</v>
      </c>
      <c r="BI87" s="190">
        <f t="shared" ref="BI87" si="2128">BG87*2/BF87</f>
        <v>43.782107166126771</v>
      </c>
      <c r="BJ87" s="190">
        <f t="shared" ref="BJ87" si="2129">BI87-J87</f>
        <v>-0.27876983362384777</v>
      </c>
      <c r="BK87" s="211">
        <v>512.55200000000002</v>
      </c>
      <c r="BL87" s="211">
        <v>209.32499999999999</v>
      </c>
      <c r="BM87" s="190">
        <f t="shared" ref="BM87" si="2130">BK87/BF87</f>
        <v>11.758908333409806</v>
      </c>
      <c r="BN87" s="190">
        <f t="shared" ref="BN87" si="2131">BM87-W87</f>
        <v>-4.9655862631126979E-2</v>
      </c>
      <c r="BO87" s="247">
        <f t="shared" ref="BO87" si="2132">BM87+BI87</f>
        <v>55.541015499536577</v>
      </c>
      <c r="BP87" s="211">
        <v>964.38900000000001</v>
      </c>
      <c r="BQ87" s="247">
        <f t="shared" si="26"/>
        <v>32.146300000000004</v>
      </c>
      <c r="BR87" s="211">
        <v>710.46600000000001</v>
      </c>
      <c r="BS87" s="211">
        <v>38.942999999999998</v>
      </c>
      <c r="BT87" s="190">
        <f t="shared" ref="BT87" si="2133">BR87*2/BQ87</f>
        <v>44.202038803843671</v>
      </c>
      <c r="BU87" s="190">
        <f t="shared" ref="BU87" si="2134">BT87-J87</f>
        <v>0.14116180409305201</v>
      </c>
      <c r="BV87" s="211">
        <v>374.48899999999998</v>
      </c>
      <c r="BW87" s="211">
        <v>252.01900000000001</v>
      </c>
      <c r="BX87" s="190">
        <f t="shared" ref="BX87" si="2135">BV87/BQ87</f>
        <v>11.649521095740409</v>
      </c>
      <c r="BY87" s="190">
        <f t="shared" ref="BY87" si="2136">BX87-W87</f>
        <v>-0.15904310030052393</v>
      </c>
      <c r="BZ87" s="194">
        <f t="shared" ref="BZ87" si="2137">BT87+BX87</f>
        <v>55.851559899584082</v>
      </c>
      <c r="CA87" s="211">
        <v>669.125</v>
      </c>
      <c r="CB87" s="247">
        <f t="shared" si="32"/>
        <v>22.304166666666667</v>
      </c>
      <c r="CC87" s="211">
        <v>491.19099999999997</v>
      </c>
      <c r="CD87" s="211">
        <v>55.829000000000001</v>
      </c>
      <c r="CE87" s="190">
        <f t="shared" ref="CE87" si="2138">CC87*2/CB87</f>
        <v>44.044774892583597</v>
      </c>
      <c r="CF87" s="190">
        <f t="shared" ref="CF87" si="2139">CE87-J87</f>
        <v>-1.6102107167021984E-2</v>
      </c>
      <c r="CG87" s="211">
        <v>257.83800000000002</v>
      </c>
      <c r="CH87" s="211">
        <v>63.585000000000001</v>
      </c>
      <c r="CI87" s="190">
        <f t="shared" ref="CI87" si="2140">CG87/CB87</f>
        <v>11.560082196898936</v>
      </c>
      <c r="CJ87" s="190">
        <f t="shared" ref="CJ87" si="2141">CI87-W87</f>
        <v>-0.24848199914199753</v>
      </c>
      <c r="CK87" s="194">
        <f t="shared" ref="CK87" si="2142">CI87+CE87</f>
        <v>55.604857089482536</v>
      </c>
      <c r="CL87" s="211">
        <v>967.72500000000002</v>
      </c>
      <c r="CM87" s="247">
        <f t="shared" si="60"/>
        <v>32.2575</v>
      </c>
      <c r="CN87" s="211">
        <v>719.12099999999998</v>
      </c>
      <c r="CO87" s="211">
        <v>41.811</v>
      </c>
      <c r="CP87" s="190">
        <f t="shared" ref="CP87" si="2143">CN87*2/CM87</f>
        <v>44.586282259939544</v>
      </c>
      <c r="CQ87" s="190">
        <f t="shared" ref="CQ87" si="2144">CP87-J87</f>
        <v>0.52540526018892564</v>
      </c>
      <c r="CR87" s="211">
        <v>389.34500000000003</v>
      </c>
      <c r="CS87" s="211">
        <v>119.369</v>
      </c>
      <c r="CT87" s="190">
        <f t="shared" ref="CT87" si="2145">CR87/CM87</f>
        <v>12.06990622335891</v>
      </c>
      <c r="CU87" s="190">
        <f t="shared" ref="CU87" si="2146">CT87-W87</f>
        <v>0.26134202731797629</v>
      </c>
      <c r="CV87" s="247">
        <f t="shared" ref="CV87" si="2147">CP87+CT87</f>
        <v>56.65618848329845</v>
      </c>
      <c r="CW87" s="163"/>
      <c r="CX87" s="196">
        <f t="shared" ref="CX87" si="2148">C87-AJ87-AU87-BF87-BQ87-CB87-CM87</f>
        <v>0</v>
      </c>
      <c r="CY87" s="196">
        <f t="shared" ref="CY87" si="2149">F87-AK87-AV87-BG87-BR87-CC87-CN87</f>
        <v>0</v>
      </c>
      <c r="CZ87" s="196">
        <f t="shared" ref="CZ87" si="2150">I87-AL87-AW87-BH87-BS87-CD87-CO87</f>
        <v>0</v>
      </c>
      <c r="DA87" s="196">
        <f t="shared" ref="DA87" si="2151">O87-AO87-AZ87-BK87-BV87-CG87-CR87</f>
        <v>0</v>
      </c>
      <c r="DB87" s="196">
        <f t="shared" ref="DB87" si="2152">Q87-AP87-BA87-BL87-BW87-CH87-CS87</f>
        <v>0</v>
      </c>
      <c r="DC87" s="196">
        <f t="shared" ref="DC87" si="2153">P87-Q87-R87-S87</f>
        <v>0</v>
      </c>
      <c r="DD87" s="163"/>
      <c r="DE87" s="200">
        <v>163.923</v>
      </c>
      <c r="DF87" s="200">
        <v>94.188000000000002</v>
      </c>
      <c r="DG87" s="200">
        <v>38.634</v>
      </c>
      <c r="DH87" s="191">
        <f t="shared" si="61"/>
        <v>0.57458684870335464</v>
      </c>
      <c r="DI87" s="197">
        <v>124.42700000000001</v>
      </c>
      <c r="DJ87" s="191">
        <f t="shared" si="48"/>
        <v>0.37952880315758009</v>
      </c>
      <c r="DK87" s="197">
        <v>155.43299999999999</v>
      </c>
      <c r="DL87" s="197">
        <v>150.79499999999999</v>
      </c>
      <c r="DM87" s="191">
        <f t="shared" si="62"/>
        <v>2.9839223330952902E-2</v>
      </c>
      <c r="DN87" s="200">
        <v>144.66800000000001</v>
      </c>
      <c r="DO87" s="200">
        <v>52.639000000000003</v>
      </c>
      <c r="DP87" s="200">
        <v>84.414000000000001</v>
      </c>
      <c r="DQ87" s="200">
        <f t="shared" ref="DQ87" si="2154">DP87+DO87</f>
        <v>137.053</v>
      </c>
      <c r="DR87" s="191">
        <f t="shared" ref="DR87" si="2155">DJ87+DH87</f>
        <v>0.95411565186093472</v>
      </c>
      <c r="DS87" s="199">
        <f t="shared" si="1405"/>
        <v>1.2491902882814823</v>
      </c>
      <c r="DT87" s="200">
        <v>132.45500000000001</v>
      </c>
      <c r="DU87" s="200">
        <v>56.954000000000001</v>
      </c>
      <c r="DV87" s="200">
        <v>8.593</v>
      </c>
      <c r="DW87" s="191">
        <f t="shared" si="1537"/>
        <v>0.42998754293911134</v>
      </c>
      <c r="DX87" s="197">
        <v>34.759</v>
      </c>
      <c r="DY87" s="191">
        <f t="shared" si="1538"/>
        <v>0.13121059982635611</v>
      </c>
      <c r="DZ87" s="197">
        <v>48.588000000000001</v>
      </c>
      <c r="EA87" s="197">
        <v>47.265999999999998</v>
      </c>
      <c r="EB87" s="191">
        <f t="shared" si="52"/>
        <v>2.7208364205153601E-2</v>
      </c>
      <c r="EC87" s="200">
        <v>46.454000000000001</v>
      </c>
      <c r="ED87" s="206">
        <f t="shared" si="1933"/>
        <v>20</v>
      </c>
      <c r="EE87" s="200">
        <v>25.085999999999999</v>
      </c>
      <c r="EF87" s="205">
        <f t="shared" ref="EF87" si="2156">EE87+ED87</f>
        <v>45.085999999999999</v>
      </c>
      <c r="EG87" s="191">
        <f t="shared" ref="EG87" si="2157">DY87+DW87</f>
        <v>0.56119814276546742</v>
      </c>
      <c r="EJ87" s="202">
        <f t="shared" si="1363"/>
        <v>12.443352688172043</v>
      </c>
      <c r="EK87" s="202">
        <f>'NOPA Crush'!B512*56/('NOPA Crush'!A512-'NOPA Crush'!A511)</f>
        <v>13.436265537213625</v>
      </c>
      <c r="EL87" s="203">
        <f t="shared" si="1451"/>
        <v>0.92610202244875472</v>
      </c>
      <c r="EM87" s="202">
        <f t="shared" si="1406"/>
        <v>5.2878387096774198</v>
      </c>
      <c r="EN87" s="202">
        <f t="shared" si="1407"/>
        <v>8.5454838709677419E-3</v>
      </c>
      <c r="EO87" s="202">
        <f t="shared" si="1452"/>
        <v>17.739736881720432</v>
      </c>
    </row>
    <row r="88" spans="1:145">
      <c r="A88" s="157">
        <v>44652</v>
      </c>
      <c r="B88" s="186">
        <v>5426.7120000000004</v>
      </c>
      <c r="C88" s="187">
        <f t="shared" ref="C88" si="2158">B88/30</f>
        <v>180.89040000000003</v>
      </c>
      <c r="D88" s="247">
        <f>C88-'NOPA Crush'!G513</f>
        <v>11.102400000000017</v>
      </c>
      <c r="E88" s="188">
        <f>C88/'NOPA Crush'!G513-1</f>
        <v>6.5389780196480451E-2</v>
      </c>
      <c r="F88" s="189">
        <v>3975.098</v>
      </c>
      <c r="G88" s="189">
        <v>3923.4650000000001</v>
      </c>
      <c r="H88" s="189">
        <v>51.633000000000003</v>
      </c>
      <c r="I88" s="189">
        <v>406.86700000000002</v>
      </c>
      <c r="J88" s="190">
        <f t="shared" ref="J88" si="2159">F88*2/C88</f>
        <v>43.950347834932082</v>
      </c>
      <c r="K88" s="190">
        <f t="shared" ref="K88" si="2160">(F88+M88)*2/C88</f>
        <v>47.040030869520983</v>
      </c>
      <c r="L88" s="190">
        <f>K88-'NOPA Crush'!J513</f>
        <v>-2.9969130479017281E-2</v>
      </c>
      <c r="M88" s="189">
        <v>279.447</v>
      </c>
      <c r="N88" s="189">
        <v>38.149000000000001</v>
      </c>
      <c r="O88" s="189">
        <v>2143.1179999999999</v>
      </c>
      <c r="P88" s="189">
        <v>2018.9760000000001</v>
      </c>
      <c r="Q88" s="189">
        <v>1006.0359999999999</v>
      </c>
      <c r="R88" s="189">
        <v>367.76900000000001</v>
      </c>
      <c r="S88" s="189">
        <v>645.17100000000005</v>
      </c>
      <c r="T88" s="189">
        <v>405.21600000000001</v>
      </c>
      <c r="U88" s="189">
        <f>(P88+T88)-'NOPA Crush'!Q513</f>
        <v>609.99399999999991</v>
      </c>
      <c r="V88" s="191">
        <f>((P88+T88)/'NOPA Crush'!Q513)-1</f>
        <v>0.33623342104886</v>
      </c>
      <c r="W88" s="190">
        <f t="shared" ref="W88" si="2161">O88/C88</f>
        <v>11.847604958582654</v>
      </c>
      <c r="X88" s="190">
        <f>W88-'NOPA Crush'!O513</f>
        <v>-3.2395041417347059E-2</v>
      </c>
      <c r="Y88" s="190">
        <f t="shared" ref="Y88:Y89" si="2162">K88+W88</f>
        <v>58.88763582810364</v>
      </c>
      <c r="Z88" s="211">
        <v>1738.58</v>
      </c>
      <c r="AA88" s="211">
        <v>1700.0540000000001</v>
      </c>
      <c r="AB88" s="191">
        <f t="shared" si="2117"/>
        <v>2.2159463470188222E-2</v>
      </c>
      <c r="AC88" s="211">
        <v>126.614</v>
      </c>
      <c r="AD88" s="211">
        <v>1645.056</v>
      </c>
      <c r="AE88" s="211">
        <v>1200.615</v>
      </c>
      <c r="AF88" s="211">
        <v>444.44099999999997</v>
      </c>
      <c r="AG88" s="191">
        <f t="shared" si="1322"/>
        <v>-3.2350737094233528E-2</v>
      </c>
      <c r="AI88" s="211">
        <v>653.41899999999998</v>
      </c>
      <c r="AJ88" s="247">
        <f t="shared" si="11"/>
        <v>21.780633333333334</v>
      </c>
      <c r="AK88" s="211">
        <v>470.70699999999999</v>
      </c>
      <c r="AL88" s="211">
        <v>61.558999999999997</v>
      </c>
      <c r="AM88" s="190">
        <f t="shared" ref="AM88" si="2163">AK88*2/AJ88</f>
        <v>43.222526434033902</v>
      </c>
      <c r="AN88" s="190">
        <f t="shared" ref="AN88" si="2164">AM88-J88</f>
        <v>-0.72782140089817915</v>
      </c>
      <c r="AO88" s="211">
        <v>261.64600000000002</v>
      </c>
      <c r="AP88" s="211">
        <v>144.52799999999999</v>
      </c>
      <c r="AQ88" s="190">
        <f t="shared" ref="AQ88" si="2165">AO88/AJ88</f>
        <v>12.012781997462579</v>
      </c>
      <c r="AR88" s="190">
        <f t="shared" ref="AR88" si="2166">AQ88-W88</f>
        <v>0.16517703887992496</v>
      </c>
      <c r="AS88" s="190">
        <f t="shared" si="2122"/>
        <v>55.235308431496478</v>
      </c>
      <c r="AT88" s="211">
        <v>1110.4860000000001</v>
      </c>
      <c r="AU88" s="247">
        <f t="shared" si="16"/>
        <v>37.016200000000005</v>
      </c>
      <c r="AV88" s="211">
        <v>822.74599999999998</v>
      </c>
      <c r="AW88" s="211">
        <v>55.87</v>
      </c>
      <c r="AX88" s="190">
        <f t="shared" ref="AX88" si="2167">AV88*2/AU88</f>
        <v>44.453293422879703</v>
      </c>
      <c r="AY88" s="190">
        <f t="shared" ref="AY88" si="2168">AX88-J88</f>
        <v>0.50294558794762168</v>
      </c>
      <c r="AZ88" s="211">
        <v>440.69600000000003</v>
      </c>
      <c r="BA88" s="211">
        <v>202.28299999999999</v>
      </c>
      <c r="BB88" s="190">
        <f t="shared" ref="BB88" si="2169">AZ88/AU88</f>
        <v>11.90549002869014</v>
      </c>
      <c r="BC88" s="190">
        <f t="shared" ref="BC88" si="2170">BB88-W88</f>
        <v>5.7885070107486669E-2</v>
      </c>
      <c r="BD88" s="247">
        <f t="shared" ref="BD88" si="2171">AX88+BB88</f>
        <v>56.358783451569842</v>
      </c>
      <c r="BE88" s="211">
        <v>1298.8340000000001</v>
      </c>
      <c r="BF88" s="247">
        <f t="shared" si="58"/>
        <v>43.294466666666672</v>
      </c>
      <c r="BG88" s="211">
        <v>939.15099999999995</v>
      </c>
      <c r="BH88" s="211">
        <v>121.964</v>
      </c>
      <c r="BI88" s="190">
        <f t="shared" ref="BI88" si="2172">BG88*2/BF88</f>
        <v>43.384343187813059</v>
      </c>
      <c r="BJ88" s="190">
        <f t="shared" ref="BJ88" si="2173">BI88-J88</f>
        <v>-0.56600464711902276</v>
      </c>
      <c r="BK88" s="211">
        <v>509.78</v>
      </c>
      <c r="BL88" s="211">
        <v>192.298</v>
      </c>
      <c r="BM88" s="190">
        <f t="shared" ref="BM88" si="2174">BK88/BF88</f>
        <v>11.77471485963564</v>
      </c>
      <c r="BN88" s="190">
        <f t="shared" ref="BN88" si="2175">BM88-W88</f>
        <v>-7.2890098947013371E-2</v>
      </c>
      <c r="BO88" s="247">
        <f t="shared" ref="BO88" si="2176">BM88+BI88</f>
        <v>55.159058047448696</v>
      </c>
      <c r="BP88" s="211">
        <v>881.35299999999995</v>
      </c>
      <c r="BQ88" s="247">
        <f t="shared" si="26"/>
        <v>29.37843333333333</v>
      </c>
      <c r="BR88" s="211">
        <v>653.46</v>
      </c>
      <c r="BS88" s="211">
        <v>53.073</v>
      </c>
      <c r="BT88" s="190">
        <f t="shared" ref="BT88" si="2177">BR88*2/BQ88</f>
        <v>44.485694154328634</v>
      </c>
      <c r="BU88" s="190">
        <f t="shared" ref="BU88" si="2178">BT88-J88</f>
        <v>0.53534631939655242</v>
      </c>
      <c r="BV88" s="211">
        <v>339.642</v>
      </c>
      <c r="BW88" s="211">
        <v>275.85899999999998</v>
      </c>
      <c r="BX88" s="190">
        <f t="shared" ref="BX88" si="2179">BV88/BQ88</f>
        <v>11.560929616169686</v>
      </c>
      <c r="BY88" s="190">
        <f t="shared" ref="BY88" si="2180">BX88-W88</f>
        <v>-0.28667534241296799</v>
      </c>
      <c r="BZ88" s="194">
        <f t="shared" ref="BZ88" si="2181">BT88+BX88</f>
        <v>56.046623770498321</v>
      </c>
      <c r="CA88" s="211">
        <v>582.22799999999995</v>
      </c>
      <c r="CB88" s="247">
        <f t="shared" si="32"/>
        <v>19.407599999999999</v>
      </c>
      <c r="CC88" s="211">
        <v>424.226</v>
      </c>
      <c r="CD88" s="211">
        <v>73.728999999999999</v>
      </c>
      <c r="CE88" s="190">
        <f t="shared" ref="CE88" si="2182">CC88*2/CB88</f>
        <v>43.717512726972942</v>
      </c>
      <c r="CF88" s="190">
        <f t="shared" ref="CF88" si="2183">CE88-J88</f>
        <v>-0.23283510795913998</v>
      </c>
      <c r="CG88" s="211">
        <v>224.499</v>
      </c>
      <c r="CH88" s="211">
        <v>70.968000000000004</v>
      </c>
      <c r="CI88" s="190">
        <f t="shared" ref="CI88" si="2184">CG88/CB88</f>
        <v>11.567581772089286</v>
      </c>
      <c r="CJ88" s="190">
        <f t="shared" ref="CJ88" si="2185">CI88-W88</f>
        <v>-0.28002318649336821</v>
      </c>
      <c r="CK88" s="194">
        <f t="shared" ref="CK88" si="2186">CI88+CE88</f>
        <v>55.285094499062225</v>
      </c>
      <c r="CL88" s="211">
        <v>900.39200000000005</v>
      </c>
      <c r="CM88" s="247">
        <f t="shared" si="60"/>
        <v>30.013066666666667</v>
      </c>
      <c r="CN88" s="211">
        <v>664.80799999999999</v>
      </c>
      <c r="CO88" s="211">
        <v>40.671999999999997</v>
      </c>
      <c r="CP88" s="190">
        <f t="shared" ref="CP88" si="2187">CN88*2/CM88</f>
        <v>44.301237683142453</v>
      </c>
      <c r="CQ88" s="190">
        <f t="shared" ref="CQ88" si="2188">CP88-J88</f>
        <v>0.35088984821037172</v>
      </c>
      <c r="CR88" s="211">
        <v>366.85500000000002</v>
      </c>
      <c r="CS88" s="211">
        <v>120.1</v>
      </c>
      <c r="CT88" s="190">
        <f t="shared" ref="CT88" si="2189">CR88/CM88</f>
        <v>12.223176127731033</v>
      </c>
      <c r="CU88" s="190">
        <f t="shared" ref="CU88" si="2190">CT88-W88</f>
        <v>0.37557116914837962</v>
      </c>
      <c r="CV88" s="247">
        <f t="shared" ref="CV88" si="2191">CP88+CT88</f>
        <v>56.524413810873483</v>
      </c>
      <c r="CW88" s="163"/>
      <c r="CX88" s="196">
        <f t="shared" ref="CX88" si="2192">C88-AJ88-AU88-BF88-BQ88-CB88-CM88</f>
        <v>3.907985046680551E-14</v>
      </c>
      <c r="CY88" s="196">
        <f t="shared" ref="CY88" si="2193">F88-AK88-AV88-BG88-BR88-CC88-CN88</f>
        <v>0</v>
      </c>
      <c r="CZ88" s="196">
        <f t="shared" ref="CZ88" si="2194">I88-AL88-AW88-BH88-BS88-CD88-CO88</f>
        <v>0</v>
      </c>
      <c r="DA88" s="196">
        <f t="shared" ref="DA88" si="2195">O88-AO88-AZ88-BK88-BV88-CG88-CR88</f>
        <v>0</v>
      </c>
      <c r="DB88" s="196">
        <f t="shared" ref="DB88" si="2196">Q88-AP88-BA88-BL88-BW88-CH88-CS88</f>
        <v>0</v>
      </c>
      <c r="DC88" s="196">
        <f t="shared" ref="DC88" si="2197">P88-Q88-R88-S88</f>
        <v>0</v>
      </c>
      <c r="DD88" s="163"/>
      <c r="DE88" s="200">
        <v>145.19800000000001</v>
      </c>
      <c r="DF88" s="200">
        <v>84.805000000000007</v>
      </c>
      <c r="DG88" s="200">
        <v>41.076999999999998</v>
      </c>
      <c r="DH88" s="191">
        <f t="shared" si="61"/>
        <v>0.58406451879502475</v>
      </c>
      <c r="DI88" s="197">
        <v>113.295</v>
      </c>
      <c r="DJ88" s="191">
        <f t="shared" si="48"/>
        <v>0.39013967134533534</v>
      </c>
      <c r="DK88" s="197">
        <v>128.62200000000001</v>
      </c>
      <c r="DL88" s="197">
        <v>125.2</v>
      </c>
      <c r="DM88" s="191">
        <f t="shared" si="62"/>
        <v>2.660509088647367E-2</v>
      </c>
      <c r="DN88" s="200">
        <v>129.434</v>
      </c>
      <c r="DO88" s="200">
        <v>61.319000000000003</v>
      </c>
      <c r="DP88" s="200">
        <v>89.036000000000001</v>
      </c>
      <c r="DQ88" s="200">
        <f t="shared" ref="DQ88" si="2198">DP88+DO88</f>
        <v>150.35500000000002</v>
      </c>
      <c r="DR88" s="191">
        <f t="shared" ref="DR88" si="2199">DJ88+DH88</f>
        <v>0.97420419014036008</v>
      </c>
      <c r="DS88" s="199">
        <f t="shared" si="1405"/>
        <v>1.1352839931153185</v>
      </c>
      <c r="DT88" s="200">
        <v>126.849</v>
      </c>
      <c r="DU88" s="200">
        <v>56.677</v>
      </c>
      <c r="DV88" s="200">
        <v>10.93</v>
      </c>
      <c r="DW88" s="191">
        <f t="shared" si="1537"/>
        <v>0.44680683332150822</v>
      </c>
      <c r="DX88" s="197">
        <v>35.304000000000002</v>
      </c>
      <c r="DY88" s="191">
        <f t="shared" si="1538"/>
        <v>0.13915758106094647</v>
      </c>
      <c r="DZ88" s="197">
        <v>43.106999999999999</v>
      </c>
      <c r="EA88" s="197">
        <v>42.014000000000003</v>
      </c>
      <c r="EB88" s="191">
        <f t="shared" si="52"/>
        <v>2.5355510705917794E-2</v>
      </c>
      <c r="EC88" s="200">
        <v>43.417999999999999</v>
      </c>
      <c r="ED88" s="206">
        <f t="shared" si="1933"/>
        <v>22.5</v>
      </c>
      <c r="EE88" s="200">
        <v>24.748000000000001</v>
      </c>
      <c r="EF88" s="205">
        <f t="shared" ref="EF88" si="2200">EE88+ED88</f>
        <v>47.248000000000005</v>
      </c>
      <c r="EG88" s="191">
        <f t="shared" ref="EG88" si="2201">DY88+DW88</f>
        <v>0.58596441438245472</v>
      </c>
      <c r="EJ88" s="202">
        <f t="shared" si="1363"/>
        <v>12.059360000000002</v>
      </c>
      <c r="EK88" s="202">
        <f>'NOPA Crush'!B513*56/('NOPA Crush'!A513-'NOPA Crush'!A512)</f>
        <v>12.244463839683377</v>
      </c>
      <c r="EL88" s="203">
        <f t="shared" si="1451"/>
        <v>0.98488265046906609</v>
      </c>
      <c r="EM88" s="202">
        <f t="shared" si="1406"/>
        <v>4.8399333333333336</v>
      </c>
      <c r="EN88" s="202">
        <f t="shared" si="1407"/>
        <v>8.4565999999999999E-3</v>
      </c>
      <c r="EO88" s="202">
        <f t="shared" si="1452"/>
        <v>16.907749933333335</v>
      </c>
    </row>
    <row r="89" spans="1:145">
      <c r="A89" s="157">
        <v>44682</v>
      </c>
      <c r="B89" s="186">
        <v>5427.16</v>
      </c>
      <c r="C89" s="187">
        <f t="shared" ref="C89" si="2202">B89/30</f>
        <v>180.90533333333332</v>
      </c>
      <c r="D89" s="247">
        <f>C89-'NOPA Crush'!G514</f>
        <v>9.8283333333333189</v>
      </c>
      <c r="E89" s="188">
        <f>C89/'NOPA Crush'!G514-1</f>
        <v>5.7449764336137132E-2</v>
      </c>
      <c r="F89" s="189">
        <v>3978.1350000000002</v>
      </c>
      <c r="G89" s="189">
        <v>3925.03</v>
      </c>
      <c r="H89" s="189">
        <v>53.104999999999997</v>
      </c>
      <c r="I89" s="189">
        <v>414.54300000000001</v>
      </c>
      <c r="J89" s="190">
        <f t="shared" ref="J89" si="2203">F89*2/C89</f>
        <v>43.980295403120607</v>
      </c>
      <c r="K89" s="190">
        <f t="shared" ref="K89" si="2204">(F89+M89)*2/C89</f>
        <v>47.097439544807969</v>
      </c>
      <c r="L89" s="190">
        <f>K89-'NOPA Crush'!J514</f>
        <v>-0.23256045519202928</v>
      </c>
      <c r="M89" s="189">
        <v>281.95400000000001</v>
      </c>
      <c r="N89" s="189">
        <v>49.212000000000003</v>
      </c>
      <c r="O89" s="189">
        <v>2158.7739999999999</v>
      </c>
      <c r="P89" s="189">
        <v>1967.5530000000001</v>
      </c>
      <c r="Q89" s="189">
        <v>1010.927</v>
      </c>
      <c r="R89" s="189">
        <v>337.86</v>
      </c>
      <c r="S89" s="189">
        <v>618.76599999999996</v>
      </c>
      <c r="T89" s="189">
        <v>416.82</v>
      </c>
      <c r="U89" s="189">
        <f>(P89+T89)-'NOPA Crush'!Q514</f>
        <v>476.37300000000005</v>
      </c>
      <c r="V89" s="191">
        <f>((P89+T89)/'NOPA Crush'!Q514)-1</f>
        <v>0.24967138364779884</v>
      </c>
      <c r="W89" s="190">
        <f t="shared" ref="W89" si="2205">O89/C89</f>
        <v>11.933169466166467</v>
      </c>
      <c r="X89" s="190">
        <f>W89-'NOPA Crush'!O514</f>
        <v>-6.6830533833533323E-2</v>
      </c>
      <c r="Y89" s="190">
        <f t="shared" si="2162"/>
        <v>59.030609010974437</v>
      </c>
      <c r="Z89" s="211">
        <v>1795.117</v>
      </c>
      <c r="AA89" s="211">
        <v>1757.4</v>
      </c>
      <c r="AB89" s="191">
        <f t="shared" si="2117"/>
        <v>2.1010886755570734E-2</v>
      </c>
      <c r="AC89" s="211">
        <v>167.82300000000001</v>
      </c>
      <c r="AD89" s="211">
        <v>1746.3050000000001</v>
      </c>
      <c r="AE89" s="211">
        <v>1221.104</v>
      </c>
      <c r="AF89" s="211">
        <v>525.20100000000002</v>
      </c>
      <c r="AG89" s="191">
        <f t="shared" si="1322"/>
        <v>-6.3133037441674977E-3</v>
      </c>
      <c r="AI89" s="211">
        <v>626.572</v>
      </c>
      <c r="AJ89" s="247">
        <f t="shared" si="11"/>
        <v>20.885733333333334</v>
      </c>
      <c r="AK89" s="211">
        <v>454.66399999999999</v>
      </c>
      <c r="AL89" s="211">
        <v>53.058999999999997</v>
      </c>
      <c r="AM89" s="190">
        <f t="shared" ref="AM89" si="2206">AK89*2/AJ89</f>
        <v>43.538236627235172</v>
      </c>
      <c r="AN89" s="190">
        <f t="shared" ref="AN89" si="2207">AM89-J89</f>
        <v>-0.4420587758854353</v>
      </c>
      <c r="AO89" s="211">
        <v>253.13200000000001</v>
      </c>
      <c r="AP89" s="211">
        <v>162.52600000000001</v>
      </c>
      <c r="AQ89" s="190">
        <f t="shared" ref="AQ89" si="2208">AO89/AJ89</f>
        <v>12.119852147877658</v>
      </c>
      <c r="AR89" s="190">
        <f t="shared" ref="AR89" si="2209">AQ89-W89</f>
        <v>0.18668268171119173</v>
      </c>
      <c r="AS89" s="190">
        <f t="shared" ref="AS89" si="2210">AM89+AQ89</f>
        <v>55.65808877511283</v>
      </c>
      <c r="AT89" s="211">
        <v>1086.3119999999999</v>
      </c>
      <c r="AU89" s="247">
        <f t="shared" si="16"/>
        <v>36.2104</v>
      </c>
      <c r="AV89" s="211">
        <v>799.49400000000003</v>
      </c>
      <c r="AW89" s="211">
        <v>69.938000000000002</v>
      </c>
      <c r="AX89" s="190">
        <f t="shared" ref="AX89" si="2211">AV89*2/AU89</f>
        <v>44.158252877626317</v>
      </c>
      <c r="AY89" s="190">
        <f t="shared" ref="AY89" si="2212">AX89-J89</f>
        <v>0.17795747450571042</v>
      </c>
      <c r="AZ89" s="211">
        <v>430.39800000000002</v>
      </c>
      <c r="BA89" s="211">
        <v>182.137</v>
      </c>
      <c r="BB89" s="190">
        <f t="shared" ref="BB89" si="2213">AZ89/AU89</f>
        <v>11.886032741974683</v>
      </c>
      <c r="BC89" s="190">
        <f t="shared" ref="BC89" si="2214">BB89-W89</f>
        <v>-4.7136724191783941E-2</v>
      </c>
      <c r="BD89" s="247">
        <f t="shared" ref="BD89" si="2215">AX89+BB89</f>
        <v>56.044285619600998</v>
      </c>
      <c r="BE89" s="211">
        <v>1132.8230000000001</v>
      </c>
      <c r="BF89" s="247">
        <f t="shared" si="58"/>
        <v>37.760766666666669</v>
      </c>
      <c r="BG89" s="211">
        <v>825.17499999999995</v>
      </c>
      <c r="BH89" s="211">
        <v>116.23</v>
      </c>
      <c r="BI89" s="190">
        <f t="shared" ref="BI89" si="2216">BG89*2/BF89</f>
        <v>43.705415585665186</v>
      </c>
      <c r="BJ89" s="190">
        <f t="shared" ref="BJ89" si="2217">BI89-J89</f>
        <v>-0.274879817455421</v>
      </c>
      <c r="BK89" s="211">
        <v>449.68400000000003</v>
      </c>
      <c r="BL89" s="211">
        <v>217.71899999999999</v>
      </c>
      <c r="BM89" s="190">
        <f t="shared" ref="BM89" si="2218">BK89/BF89</f>
        <v>11.908762445677745</v>
      </c>
      <c r="BN89" s="190">
        <f t="shared" ref="BN89" si="2219">BM89-W89</f>
        <v>-2.4407020488721898E-2</v>
      </c>
      <c r="BO89" s="247">
        <f t="shared" ref="BO89" si="2220">BM89+BI89</f>
        <v>55.614178031342931</v>
      </c>
      <c r="BP89" s="211">
        <v>968.54300000000001</v>
      </c>
      <c r="BQ89" s="247">
        <f t="shared" si="26"/>
        <v>32.28476666666667</v>
      </c>
      <c r="BR89" s="211">
        <v>710.08199999999999</v>
      </c>
      <c r="BS89" s="211">
        <v>50.804000000000002</v>
      </c>
      <c r="BT89" s="190">
        <f t="shared" ref="BT89" si="2221">BR89*2/BQ89</f>
        <v>43.988671643902229</v>
      </c>
      <c r="BU89" s="190">
        <f t="shared" ref="BU89" si="2222">BT89-J89</f>
        <v>8.3762407816223572E-3</v>
      </c>
      <c r="BV89" s="211">
        <v>381.16899999999998</v>
      </c>
      <c r="BW89" s="211">
        <v>235.94900000000001</v>
      </c>
      <c r="BX89" s="190">
        <f t="shared" ref="BX89" si="2223">BV89/BQ89</f>
        <v>11.806466000993243</v>
      </c>
      <c r="BY89" s="190">
        <f t="shared" ref="BY89" si="2224">BX89-W89</f>
        <v>-0.12670346517322351</v>
      </c>
      <c r="BZ89" s="194">
        <f t="shared" ref="BZ89" si="2225">BT89+BX89</f>
        <v>55.795137644895476</v>
      </c>
      <c r="CA89" s="211">
        <v>648.95299999999997</v>
      </c>
      <c r="CB89" s="247">
        <f t="shared" si="32"/>
        <v>21.631766666666667</v>
      </c>
      <c r="CC89" s="211">
        <v>474.54</v>
      </c>
      <c r="CD89" s="211">
        <v>62.523000000000003</v>
      </c>
      <c r="CE89" s="190">
        <f t="shared" ref="CE89" si="2226">CC89*2/CB89</f>
        <v>43.874363782893369</v>
      </c>
      <c r="CF89" s="190">
        <f t="shared" ref="CF89" si="2227">CE89-J89</f>
        <v>-0.10593162022723845</v>
      </c>
      <c r="CG89" s="211">
        <v>257.53800000000001</v>
      </c>
      <c r="CH89" s="211">
        <v>85.977000000000004</v>
      </c>
      <c r="CI89" s="190">
        <f t="shared" ref="CI89" si="2228">CG89/CB89</f>
        <v>11.905546318454496</v>
      </c>
      <c r="CJ89" s="190">
        <f t="shared" ref="CJ89" si="2229">CI89-W89</f>
        <v>-2.762314771197083E-2</v>
      </c>
      <c r="CK89" s="194">
        <f t="shared" ref="CK89" si="2230">CI89+CE89</f>
        <v>55.779910101347866</v>
      </c>
      <c r="CL89" s="211">
        <v>963.95699999999999</v>
      </c>
      <c r="CM89" s="247">
        <f t="shared" si="60"/>
        <v>32.131900000000002</v>
      </c>
      <c r="CN89" s="211">
        <v>714.18</v>
      </c>
      <c r="CO89" s="211">
        <v>61.988999999999997</v>
      </c>
      <c r="CP89" s="190">
        <f t="shared" ref="CP89" si="2231">CN89*2/CM89</f>
        <v>44.453020207332891</v>
      </c>
      <c r="CQ89" s="190">
        <f t="shared" ref="CQ89" si="2232">CP89-J89</f>
        <v>0.4727248042122838</v>
      </c>
      <c r="CR89" s="211">
        <v>386.85300000000001</v>
      </c>
      <c r="CS89" s="211">
        <v>126.619</v>
      </c>
      <c r="CT89" s="190">
        <f t="shared" ref="CT89" si="2233">CR89/CM89</f>
        <v>12.039530808946871</v>
      </c>
      <c r="CU89" s="190">
        <f t="shared" ref="CU89" si="2234">CT89-W89</f>
        <v>0.10636134278040466</v>
      </c>
      <c r="CV89" s="247">
        <f t="shared" ref="CV89" si="2235">CP89+CT89</f>
        <v>56.492551016279762</v>
      </c>
      <c r="CW89" s="163"/>
      <c r="CX89" s="196">
        <f t="shared" ref="CX89" si="2236">C89-AJ89-AU89-BF89-BQ89-CB89-CM89</f>
        <v>0</v>
      </c>
      <c r="CY89" s="196">
        <f t="shared" ref="CY89" si="2237">F89-AK89-AV89-BG89-BR89-CC89-CN89</f>
        <v>0</v>
      </c>
      <c r="CZ89" s="196">
        <f t="shared" ref="CZ89" si="2238">I89-AL89-AW89-BH89-BS89-CD89-CO89</f>
        <v>0</v>
      </c>
      <c r="DA89" s="196">
        <f t="shared" ref="DA89" si="2239">O89-AO89-AZ89-BK89-BV89-CG89-CR89</f>
        <v>0</v>
      </c>
      <c r="DB89" s="196">
        <f t="shared" ref="DB89" si="2240">Q89-AP89-BA89-BL89-BW89-CH89-CS89</f>
        <v>1.1368683772161603E-13</v>
      </c>
      <c r="DC89" s="196">
        <f t="shared" ref="DC89" si="2241">P89-Q89-R89-S89</f>
        <v>0</v>
      </c>
      <c r="DD89" s="163"/>
      <c r="DE89" s="200">
        <v>97.792000000000002</v>
      </c>
      <c r="DF89" s="200">
        <v>56.819000000000003</v>
      </c>
      <c r="DG89" s="200">
        <v>31.177</v>
      </c>
      <c r="DH89" s="191">
        <f t="shared" si="61"/>
        <v>0.58101889725130895</v>
      </c>
      <c r="DI89" s="197">
        <v>76.861000000000004</v>
      </c>
      <c r="DJ89" s="191">
        <f t="shared" si="48"/>
        <v>0.3929820435209424</v>
      </c>
      <c r="DK89" s="197">
        <v>93.710999999999999</v>
      </c>
      <c r="DL89" s="197">
        <v>91.441999999999993</v>
      </c>
      <c r="DM89" s="191">
        <f t="shared" si="62"/>
        <v>2.4212739166159847E-2</v>
      </c>
      <c r="DN89" s="200">
        <v>100.474</v>
      </c>
      <c r="DO89" s="200">
        <v>48.003</v>
      </c>
      <c r="DP89" s="200">
        <v>77.027000000000001</v>
      </c>
      <c r="DQ89" s="200">
        <f t="shared" ref="DQ89" si="2242">DP89+DO89</f>
        <v>125.03</v>
      </c>
      <c r="DR89" s="191">
        <f t="shared" ref="DR89" si="2243">DJ89+DH89</f>
        <v>0.97400094077225141</v>
      </c>
      <c r="DS89" s="199">
        <f t="shared" si="1405"/>
        <v>1.2192269161213098</v>
      </c>
      <c r="DT89" s="200">
        <v>145.6</v>
      </c>
      <c r="DU89" s="200">
        <v>62.212000000000003</v>
      </c>
      <c r="DV89" s="200">
        <v>11.439</v>
      </c>
      <c r="DW89" s="191">
        <f t="shared" si="1537"/>
        <v>0.42728021978021979</v>
      </c>
      <c r="DX89" s="197">
        <v>39.625999999999998</v>
      </c>
      <c r="DY89" s="191">
        <f t="shared" si="1538"/>
        <v>0.13607829670329671</v>
      </c>
      <c r="DZ89" s="197">
        <v>39.036999999999999</v>
      </c>
      <c r="EA89" s="197">
        <v>37.984000000000002</v>
      </c>
      <c r="EB89" s="191">
        <f t="shared" si="52"/>
        <v>2.6974408894126056E-2</v>
      </c>
      <c r="EC89" s="200">
        <v>41.429000000000002</v>
      </c>
      <c r="ED89" s="206">
        <f t="shared" si="1933"/>
        <v>22.5</v>
      </c>
      <c r="EE89" s="200">
        <v>22.367999999999999</v>
      </c>
      <c r="EF89" s="205">
        <f t="shared" ref="EF89" si="2244">EE89+ED89</f>
        <v>44.867999999999995</v>
      </c>
      <c r="EG89" s="191">
        <f t="shared" ref="EG89" si="2245">DY89+DW89</f>
        <v>0.56335851648351654</v>
      </c>
      <c r="EJ89" s="202">
        <f t="shared" si="1363"/>
        <v>11.671311827956988</v>
      </c>
      <c r="EK89" s="202">
        <f>'NOPA Crush'!B514*56/('NOPA Crush'!A514-'NOPA Crush'!A513)</f>
        <v>12.546027392311858</v>
      </c>
      <c r="EL89" s="203">
        <f t="shared" si="1451"/>
        <v>0.93027947915282794</v>
      </c>
      <c r="EM89" s="202">
        <f t="shared" si="1406"/>
        <v>3.1545806451612903</v>
      </c>
      <c r="EN89" s="202">
        <f t="shared" si="1407"/>
        <v>9.3935483870967746E-3</v>
      </c>
      <c r="EO89" s="202">
        <f t="shared" si="1452"/>
        <v>14.835286021505375</v>
      </c>
    </row>
    <row r="90" spans="1:145">
      <c r="A90" s="157">
        <v>44713</v>
      </c>
      <c r="B90" s="186">
        <v>5222.4120000000003</v>
      </c>
      <c r="C90" s="187">
        <f t="shared" ref="C90" si="2246">B90/30</f>
        <v>174.0804</v>
      </c>
      <c r="D90" s="247">
        <f>C90-'NOPA Crush'!G515</f>
        <v>9.4034000000000049</v>
      </c>
      <c r="E90" s="188">
        <f>C90/'NOPA Crush'!G515-1</f>
        <v>5.7102084686993404E-2</v>
      </c>
      <c r="F90" s="189">
        <v>3837.4740000000002</v>
      </c>
      <c r="G90" s="189">
        <v>3777.123</v>
      </c>
      <c r="H90" s="189">
        <v>60.350999999999999</v>
      </c>
      <c r="I90" s="189">
        <v>324.07299999999998</v>
      </c>
      <c r="J90" s="190">
        <f t="shared" ref="J90:J91" si="2247">F90*2/C90</f>
        <v>44.088524612765141</v>
      </c>
      <c r="K90" s="190">
        <f t="shared" ref="K90" si="2248">(F90+M90)*2/C90</f>
        <v>47.180096093529201</v>
      </c>
      <c r="L90" s="190">
        <f>K90-'NOPA Crush'!J515</f>
        <v>0.13009609352920393</v>
      </c>
      <c r="M90" s="189">
        <v>269.09100000000001</v>
      </c>
      <c r="N90" s="189">
        <v>33.231000000000002</v>
      </c>
      <c r="O90" s="189">
        <v>2068.578</v>
      </c>
      <c r="P90" s="189">
        <v>1911.6849999999999</v>
      </c>
      <c r="Q90" s="189">
        <v>961.721</v>
      </c>
      <c r="R90" s="189">
        <v>327.58300000000003</v>
      </c>
      <c r="S90" s="189">
        <v>622.38099999999997</v>
      </c>
      <c r="T90" s="189">
        <v>403.81900000000002</v>
      </c>
      <c r="U90" s="189">
        <f>(P90+T90)-'NOPA Crush'!Q515</f>
        <v>548.6719999999998</v>
      </c>
      <c r="V90" s="191">
        <f>((P90+T90)/'NOPA Crush'!Q515)-1</f>
        <v>0.31053999474766125</v>
      </c>
      <c r="W90" s="190">
        <f t="shared" ref="W90" si="2249">O90/C90</f>
        <v>11.882888596303777</v>
      </c>
      <c r="X90" s="190">
        <f>W90-'NOPA Crush'!O515</f>
        <v>-7.7111403696223491E-2</v>
      </c>
      <c r="Y90" s="190">
        <f t="shared" ref="Y90" si="2250">K90+W90</f>
        <v>59.06298468983298</v>
      </c>
      <c r="Z90" s="211">
        <v>1678.171</v>
      </c>
      <c r="AA90" s="211">
        <v>1639.7170000000001</v>
      </c>
      <c r="AB90" s="191">
        <f t="shared" si="2117"/>
        <v>2.2914232220673549E-2</v>
      </c>
      <c r="AC90" s="211">
        <v>159.13900000000001</v>
      </c>
      <c r="AD90" s="211">
        <v>1653.3910000000001</v>
      </c>
      <c r="AE90" s="211">
        <v>1151.2929999999999</v>
      </c>
      <c r="AF90" s="211">
        <v>502.09800000000001</v>
      </c>
      <c r="AG90" s="191">
        <f t="shared" si="1322"/>
        <v>8.3392439061129586E-3</v>
      </c>
      <c r="AI90" s="211">
        <v>545.16999999999996</v>
      </c>
      <c r="AJ90" s="247">
        <f t="shared" si="11"/>
        <v>18.172333333333331</v>
      </c>
      <c r="AK90" s="211">
        <v>405.904</v>
      </c>
      <c r="AL90" s="211">
        <v>62.137999999999998</v>
      </c>
      <c r="AM90" s="190">
        <f t="shared" ref="AM90" si="2251">AK90*2/AJ90</f>
        <v>44.672744281600238</v>
      </c>
      <c r="AN90" s="190">
        <f t="shared" ref="AN90" si="2252">AM90-J90</f>
        <v>0.58421966883509668</v>
      </c>
      <c r="AO90" s="211">
        <v>226.095</v>
      </c>
      <c r="AP90" s="211">
        <v>161.68600000000001</v>
      </c>
      <c r="AQ90" s="190">
        <f t="shared" ref="AQ90" si="2253">AO90/AJ90</f>
        <v>12.441715428215053</v>
      </c>
      <c r="AR90" s="190">
        <f t="shared" ref="AR90" si="2254">AQ90-W90</f>
        <v>0.55882683191127569</v>
      </c>
      <c r="AS90" s="190">
        <f t="shared" ref="AS90" si="2255">AM90+AQ90</f>
        <v>57.114459709815293</v>
      </c>
      <c r="AT90" s="211">
        <v>1046.066</v>
      </c>
      <c r="AU90" s="247">
        <f t="shared" si="16"/>
        <v>34.868866666666669</v>
      </c>
      <c r="AV90" s="211">
        <v>773.01499999999999</v>
      </c>
      <c r="AW90" s="211">
        <v>47.938000000000002</v>
      </c>
      <c r="AX90" s="190">
        <f t="shared" ref="AX90" si="2256">AV90*2/AU90</f>
        <v>44.338406945642049</v>
      </c>
      <c r="AY90" s="190">
        <f t="shared" ref="AY90" si="2257">AX90-J90</f>
        <v>0.24988233287690775</v>
      </c>
      <c r="AZ90" s="211">
        <v>418.18099999999998</v>
      </c>
      <c r="BA90" s="211">
        <v>165.16399999999999</v>
      </c>
      <c r="BB90" s="190">
        <f t="shared" ref="BB90" si="2258">AZ90/AU90</f>
        <v>11.992962203149704</v>
      </c>
      <c r="BC90" s="190">
        <f t="shared" ref="BC90" si="2259">BB90-W90</f>
        <v>0.11007360684592626</v>
      </c>
      <c r="BD90" s="247">
        <f t="shared" ref="BD90" si="2260">AX90+BB90</f>
        <v>56.331369148791751</v>
      </c>
      <c r="BE90" s="211">
        <v>1177.2460000000001</v>
      </c>
      <c r="BF90" s="247">
        <f t="shared" si="58"/>
        <v>39.241533333333336</v>
      </c>
      <c r="BG90" s="211">
        <v>849.83500000000004</v>
      </c>
      <c r="BH90" s="211">
        <v>103.651</v>
      </c>
      <c r="BI90" s="190">
        <f t="shared" ref="BI90" si="2261">BG90*2/BF90</f>
        <v>43.313037377064774</v>
      </c>
      <c r="BJ90" s="190">
        <f t="shared" ref="BJ90" si="2262">BI90-J90</f>
        <v>-0.77548723570036771</v>
      </c>
      <c r="BK90" s="211">
        <v>452.01100000000002</v>
      </c>
      <c r="BL90" s="211">
        <v>183.83500000000001</v>
      </c>
      <c r="BM90" s="190">
        <f t="shared" ref="BM90" si="2263">BK90/BF90</f>
        <v>11.518688532388303</v>
      </c>
      <c r="BN90" s="190">
        <f t="shared" ref="BN90" si="2264">BM90-W90</f>
        <v>-0.3642000639154741</v>
      </c>
      <c r="BO90" s="247">
        <f t="shared" ref="BO90" si="2265">BM90+BI90</f>
        <v>54.831725909453077</v>
      </c>
      <c r="BP90" s="211">
        <v>973.60699999999997</v>
      </c>
      <c r="BQ90" s="247">
        <f t="shared" si="26"/>
        <v>32.453566666666667</v>
      </c>
      <c r="BR90" s="211">
        <v>718.27800000000002</v>
      </c>
      <c r="BS90" s="211">
        <v>46.808999999999997</v>
      </c>
      <c r="BT90" s="190">
        <f t="shared" ref="BT90" si="2266">BR90*2/BQ90</f>
        <v>44.264965227242612</v>
      </c>
      <c r="BU90" s="190">
        <f t="shared" ref="BU90" si="2267">BT90-J90</f>
        <v>0.17644061447747106</v>
      </c>
      <c r="BV90" s="211">
        <v>380.05900000000003</v>
      </c>
      <c r="BW90" s="211">
        <v>253.77500000000001</v>
      </c>
      <c r="BX90" s="190">
        <f t="shared" ref="BX90" si="2268">BV90/BQ90</f>
        <v>11.710854585063585</v>
      </c>
      <c r="BY90" s="190">
        <f t="shared" ref="BY90" si="2269">BX90-W90</f>
        <v>-0.1720340112401928</v>
      </c>
      <c r="BZ90" s="194">
        <f t="shared" ref="BZ90" si="2270">BT90+BX90</f>
        <v>55.975819812306199</v>
      </c>
      <c r="CA90" s="211">
        <v>549.44899999999996</v>
      </c>
      <c r="CB90" s="247">
        <f t="shared" si="32"/>
        <v>18.314966666666667</v>
      </c>
      <c r="CC90" s="211">
        <v>403.84899999999999</v>
      </c>
      <c r="CD90" s="211">
        <v>18.774999999999999</v>
      </c>
      <c r="CE90" s="190">
        <f t="shared" ref="CE90" si="2271">CC90*2/CB90</f>
        <v>44.100435163227161</v>
      </c>
      <c r="CF90" s="190">
        <f t="shared" ref="CF90" si="2272">CE90-J90</f>
        <v>1.1910550462019387E-2</v>
      </c>
      <c r="CG90" s="211">
        <v>213.559</v>
      </c>
      <c r="CH90" s="211">
        <v>63.317</v>
      </c>
      <c r="CI90" s="190">
        <f t="shared" ref="CI90" si="2273">CG90/CB90</f>
        <v>11.660354282199076</v>
      </c>
      <c r="CJ90" s="190">
        <f t="shared" ref="CJ90" si="2274">CI90-W90</f>
        <v>-0.22253431410470093</v>
      </c>
      <c r="CK90" s="194">
        <f t="shared" ref="CK90" si="2275">CI90+CE90</f>
        <v>55.760789445426241</v>
      </c>
      <c r="CL90" s="211">
        <v>930.87400000000002</v>
      </c>
      <c r="CM90" s="247">
        <f t="shared" si="60"/>
        <v>31.029133333333334</v>
      </c>
      <c r="CN90" s="211">
        <v>686.59299999999996</v>
      </c>
      <c r="CO90" s="211">
        <v>44.762</v>
      </c>
      <c r="CP90" s="190">
        <f t="shared" ref="CP90" si="2276">CN90*2/CM90</f>
        <v>44.254732649101811</v>
      </c>
      <c r="CQ90" s="190">
        <f t="shared" ref="CQ90" si="2277">CP90-J90</f>
        <v>0.16620803633666981</v>
      </c>
      <c r="CR90" s="211">
        <v>378.673</v>
      </c>
      <c r="CS90" s="211">
        <v>133.94399999999999</v>
      </c>
      <c r="CT90" s="190">
        <f t="shared" ref="CT90" si="2278">CR90/CM90</f>
        <v>12.203789127207333</v>
      </c>
      <c r="CU90" s="190">
        <f t="shared" ref="CU90" si="2279">CT90-W90</f>
        <v>0.32090053090355575</v>
      </c>
      <c r="CV90" s="247">
        <f t="shared" ref="CV90" si="2280">CP90+CT90</f>
        <v>56.458521776309141</v>
      </c>
      <c r="CW90" s="163"/>
      <c r="CX90" s="196">
        <f t="shared" ref="CX90" si="2281">C90-AJ90-AU90-BF90-BQ90-CB90-CM90</f>
        <v>0</v>
      </c>
      <c r="CY90" s="196">
        <f t="shared" ref="CY90" si="2282">F90-AK90-AV90-BG90-BR90-CC90-CN90</f>
        <v>0</v>
      </c>
      <c r="CZ90" s="196">
        <f t="shared" ref="CZ90" si="2283">I90-AL90-AW90-BH90-BS90-CD90-CO90</f>
        <v>0</v>
      </c>
      <c r="DA90" s="196">
        <f t="shared" ref="DA90" si="2284">O90-AO90-AZ90-BK90-BV90-CG90-CR90</f>
        <v>0</v>
      </c>
      <c r="DB90" s="196">
        <f t="shared" ref="DB90" si="2285">Q90-AP90-BA90-BL90-BW90-CH90-CS90</f>
        <v>0</v>
      </c>
      <c r="DC90" s="196">
        <f t="shared" ref="DC90" si="2286">P90-Q90-R90-S90</f>
        <v>0</v>
      </c>
      <c r="DD90" s="163"/>
      <c r="DE90" s="200">
        <v>147.715</v>
      </c>
      <c r="DF90" s="200">
        <v>86.796999999999997</v>
      </c>
      <c r="DG90" s="200">
        <v>38.456000000000003</v>
      </c>
      <c r="DH90" s="191">
        <f t="shared" si="61"/>
        <v>0.58759773888907696</v>
      </c>
      <c r="DI90" s="197">
        <v>119.992</v>
      </c>
      <c r="DJ90" s="191">
        <f t="shared" si="48"/>
        <v>0.40616051179636464</v>
      </c>
      <c r="DK90" s="197">
        <v>127.61799999999999</v>
      </c>
      <c r="DL90" s="197">
        <v>124.41</v>
      </c>
      <c r="DM90" s="191">
        <f t="shared" si="62"/>
        <v>2.5137519785610185E-2</v>
      </c>
      <c r="DN90" s="200">
        <v>116.943</v>
      </c>
      <c r="DO90" s="200">
        <v>49.75</v>
      </c>
      <c r="DP90" s="200">
        <v>104.88200000000001</v>
      </c>
      <c r="DQ90" s="200">
        <f t="shared" ref="DQ90" si="2287">DP90+DO90</f>
        <v>154.63200000000001</v>
      </c>
      <c r="DR90" s="191">
        <f t="shared" ref="DR90" si="2288">DJ90+DH90</f>
        <v>0.99375825068544166</v>
      </c>
      <c r="DS90" s="199">
        <f t="shared" ref="DS90" si="2289">DK90/DI90</f>
        <v>1.0635542369491298</v>
      </c>
      <c r="DT90" s="200">
        <v>152.41</v>
      </c>
      <c r="DU90" s="200">
        <v>64.715000000000003</v>
      </c>
      <c r="DV90" s="200">
        <v>22.277000000000001</v>
      </c>
      <c r="DW90" s="191">
        <f t="shared" si="1537"/>
        <v>0.42461124598123484</v>
      </c>
      <c r="DX90" s="197">
        <v>40.412999999999997</v>
      </c>
      <c r="DY90" s="191">
        <f t="shared" si="1538"/>
        <v>0.13257988320976313</v>
      </c>
      <c r="DZ90" s="197">
        <v>43.435000000000002</v>
      </c>
      <c r="EA90" s="197">
        <v>42.447000000000003</v>
      </c>
      <c r="EB90" s="191">
        <f t="shared" si="52"/>
        <v>2.274663289973522E-2</v>
      </c>
      <c r="EC90" s="200">
        <v>43.646999999999998</v>
      </c>
      <c r="ED90" s="206">
        <f t="shared" si="1933"/>
        <v>22.5</v>
      </c>
      <c r="EE90" s="200">
        <v>23.280999999999999</v>
      </c>
      <c r="EF90" s="205">
        <f t="shared" ref="EF90" si="2290">EE90+ED90</f>
        <v>45.780999999999999</v>
      </c>
      <c r="EG90" s="191">
        <f t="shared" ref="EG90" si="2291">DY90+DW90</f>
        <v>0.557191129190998</v>
      </c>
      <c r="EJ90" s="202">
        <f t="shared" si="1363"/>
        <v>11.605359999999999</v>
      </c>
      <c r="EK90" s="202">
        <f>'NOPA Crush'!B515*56/('NOPA Crush'!A515-'NOPA Crush'!A514)</f>
        <v>12.136839900408326</v>
      </c>
      <c r="EL90" s="203">
        <f t="shared" si="1451"/>
        <v>0.95620936711948834</v>
      </c>
      <c r="EM90" s="202">
        <f t="shared" si="1406"/>
        <v>4.9238333333333335</v>
      </c>
      <c r="EN90" s="202">
        <f t="shared" si="1407"/>
        <v>1.0160666666666667E-2</v>
      </c>
      <c r="EO90" s="202">
        <f t="shared" si="1452"/>
        <v>16.539353999999999</v>
      </c>
    </row>
    <row r="91" spans="1:145">
      <c r="A91" s="157">
        <v>44743</v>
      </c>
      <c r="B91" s="186">
        <v>5441.78</v>
      </c>
      <c r="C91" s="187">
        <f t="shared" ref="C91" si="2292">B91/30</f>
        <v>181.39266666666666</v>
      </c>
      <c r="D91" s="247">
        <f>C91-'NOPA Crush'!G516</f>
        <v>11.172666666666657</v>
      </c>
      <c r="E91" s="188">
        <f>C91/'NOPA Crush'!G516-1</f>
        <v>6.5636627110014389E-2</v>
      </c>
      <c r="F91" s="189">
        <v>3988.4290000000001</v>
      </c>
      <c r="G91" s="189">
        <v>3931.4070000000002</v>
      </c>
      <c r="H91" s="189">
        <v>57.021999999999998</v>
      </c>
      <c r="I91" s="189">
        <v>479.12099999999998</v>
      </c>
      <c r="J91" s="190">
        <f t="shared" si="2247"/>
        <v>43.975636648302583</v>
      </c>
      <c r="K91" s="190">
        <f t="shared" ref="K91" si="2293">(F91+M91)*2/C91</f>
        <v>47.083270547504675</v>
      </c>
      <c r="L91" s="190">
        <f>K91-'NOPA Crush'!J516</f>
        <v>0.12327054750467425</v>
      </c>
      <c r="M91" s="189">
        <v>281.851</v>
      </c>
      <c r="N91" s="189">
        <v>47.601999999999997</v>
      </c>
      <c r="O91" s="189">
        <v>2169.9299999999998</v>
      </c>
      <c r="P91" s="189">
        <v>1863.249</v>
      </c>
      <c r="Q91" s="189">
        <v>911.06299999999999</v>
      </c>
      <c r="R91" s="189">
        <v>331.44</v>
      </c>
      <c r="S91" s="189">
        <v>620.74599999999998</v>
      </c>
      <c r="T91" s="189">
        <v>403.54500000000002</v>
      </c>
      <c r="U91" s="189">
        <f>(P91+T91)-'NOPA Crush'!Q516</f>
        <v>583.20899999999983</v>
      </c>
      <c r="V91" s="191">
        <f>((P91+T91)/'NOPA Crush'!Q516)-1</f>
        <v>0.34640900221848003</v>
      </c>
      <c r="W91" s="190">
        <f t="shared" ref="W91" si="2294">O91/C91</f>
        <v>11.962611498443524</v>
      </c>
      <c r="X91" s="190">
        <f>W91-'NOPA Crush'!O516</f>
        <v>2.6114984435228195E-3</v>
      </c>
      <c r="Y91" s="190">
        <f t="shared" ref="Y91:Y92" si="2295">K91+W91</f>
        <v>59.045882045948197</v>
      </c>
      <c r="Z91" s="211">
        <v>1724.576</v>
      </c>
      <c r="AA91" s="211">
        <v>1691.268</v>
      </c>
      <c r="AB91" s="191">
        <f t="shared" si="2117"/>
        <v>1.9313732766778613E-2</v>
      </c>
      <c r="AC91" s="211">
        <v>141.87</v>
      </c>
      <c r="AD91" s="211">
        <v>1692.867</v>
      </c>
      <c r="AE91" s="211">
        <v>1188.3330000000001</v>
      </c>
      <c r="AF91" s="211">
        <v>504.53399999999999</v>
      </c>
      <c r="AG91" s="191">
        <f t="shared" si="1322"/>
        <v>9.4544448307409823E-4</v>
      </c>
      <c r="AI91" s="211">
        <v>621.38699999999994</v>
      </c>
      <c r="AJ91" s="247">
        <f t="shared" si="11"/>
        <v>20.712899999999998</v>
      </c>
      <c r="AK91" s="211">
        <v>443.99</v>
      </c>
      <c r="AL91" s="211">
        <v>81.319999999999993</v>
      </c>
      <c r="AM91" s="190">
        <f t="shared" ref="AM91" si="2296">AK91*2/AJ91</f>
        <v>42.870867913232821</v>
      </c>
      <c r="AN91" s="190">
        <f t="shared" ref="AN91" si="2297">AM91-J91</f>
        <v>-1.1047687350697615</v>
      </c>
      <c r="AO91" s="211">
        <v>251.25899999999999</v>
      </c>
      <c r="AP91" s="211">
        <v>152.209</v>
      </c>
      <c r="AQ91" s="190">
        <f t="shared" ref="AQ91" si="2298">AO91/AJ91</f>
        <v>12.130556319974509</v>
      </c>
      <c r="AR91" s="190">
        <f t="shared" ref="AR91" si="2299">AQ91-W91</f>
        <v>0.16794482153098578</v>
      </c>
      <c r="AS91" s="190">
        <f t="shared" ref="AS91" si="2300">AM91+AQ91</f>
        <v>55.001424233207331</v>
      </c>
      <c r="AT91" s="211">
        <v>1044.4380000000001</v>
      </c>
      <c r="AU91" s="247">
        <f t="shared" si="16"/>
        <v>34.814600000000006</v>
      </c>
      <c r="AV91" s="211">
        <v>770.68899999999996</v>
      </c>
      <c r="AW91" s="211">
        <v>66.453000000000003</v>
      </c>
      <c r="AX91" s="190">
        <f t="shared" ref="AX91" si="2301">AV91*2/AU91</f>
        <v>44.273896583617208</v>
      </c>
      <c r="AY91" s="190">
        <f t="shared" ref="AY91" si="2302">AX91-J91</f>
        <v>0.29825993531462558</v>
      </c>
      <c r="AZ91" s="211">
        <v>414.197</v>
      </c>
      <c r="BA91" s="211">
        <v>134.45599999999999</v>
      </c>
      <c r="BB91" s="190">
        <f t="shared" ref="BB91:BB92" si="2303">AZ91/AU91</f>
        <v>11.897221280727049</v>
      </c>
      <c r="BC91" s="190">
        <f t="shared" ref="BC91" si="2304">BB91-W91</f>
        <v>-6.5390217716474908E-2</v>
      </c>
      <c r="BD91" s="247">
        <f t="shared" ref="BD91" si="2305">AX91+BB91</f>
        <v>56.171117864344254</v>
      </c>
      <c r="BE91" s="211">
        <v>1158.212</v>
      </c>
      <c r="BF91" s="247">
        <f t="shared" si="58"/>
        <v>38.607066666666668</v>
      </c>
      <c r="BG91" s="211">
        <v>845.00099999999998</v>
      </c>
      <c r="BH91" s="211">
        <v>107.56100000000001</v>
      </c>
      <c r="BI91" s="190">
        <f t="shared" ref="BI91" si="2306">BG91*2/BF91</f>
        <v>43.774421263119358</v>
      </c>
      <c r="BJ91" s="190">
        <f t="shared" ref="BJ91" si="2307">BI91-J91</f>
        <v>-0.20121538518322524</v>
      </c>
      <c r="BK91" s="211">
        <v>454.137</v>
      </c>
      <c r="BL91" s="211">
        <v>166.739</v>
      </c>
      <c r="BM91" s="190">
        <f t="shared" ref="BM91" si="2308">BK91/BF91</f>
        <v>11.763053741456659</v>
      </c>
      <c r="BN91" s="190">
        <f t="shared" ref="BN91" si="2309">BM91-W91</f>
        <v>-0.19955775698686473</v>
      </c>
      <c r="BO91" s="247">
        <f t="shared" ref="BO91" si="2310">BM91+BI91</f>
        <v>55.537475004576017</v>
      </c>
      <c r="BP91" s="211">
        <v>960.02099999999996</v>
      </c>
      <c r="BQ91" s="247">
        <f t="shared" si="26"/>
        <v>32.000700000000002</v>
      </c>
      <c r="BR91" s="211">
        <v>716.40599999999995</v>
      </c>
      <c r="BS91" s="211">
        <v>79.206999999999994</v>
      </c>
      <c r="BT91" s="190">
        <f t="shared" ref="BT91" si="2311">BR91*2/BQ91</f>
        <v>44.774395560097119</v>
      </c>
      <c r="BU91" s="190">
        <f t="shared" ref="BU91" si="2312">BT91-J91</f>
        <v>0.79875891179453617</v>
      </c>
      <c r="BV91" s="211">
        <v>387.483</v>
      </c>
      <c r="BW91" s="211">
        <v>262.423</v>
      </c>
      <c r="BX91" s="190">
        <f t="shared" ref="BX91" si="2313">BV91/BQ91</f>
        <v>12.108578874837113</v>
      </c>
      <c r="BY91" s="190">
        <f t="shared" ref="BY91" si="2314">BX91-W91</f>
        <v>0.14596737639358892</v>
      </c>
      <c r="BZ91" s="194">
        <f t="shared" ref="BZ91" si="2315">BT91+BX91</f>
        <v>56.882974434934233</v>
      </c>
      <c r="CA91" s="211">
        <v>673.45899999999995</v>
      </c>
      <c r="CB91" s="247">
        <f t="shared" si="32"/>
        <v>22.44863333333333</v>
      </c>
      <c r="CC91" s="211">
        <v>489.27800000000002</v>
      </c>
      <c r="CD91" s="211">
        <v>65.054000000000002</v>
      </c>
      <c r="CE91" s="190">
        <f t="shared" ref="CE91" si="2316">CC91*2/CB91</f>
        <v>43.59089417470107</v>
      </c>
      <c r="CF91" s="190">
        <f t="shared" ref="CF91" si="2317">CE91-J91</f>
        <v>-0.38474247360151281</v>
      </c>
      <c r="CG91" s="211">
        <v>259.827</v>
      </c>
      <c r="CH91" s="211">
        <v>60.697000000000003</v>
      </c>
      <c r="CI91" s="190">
        <f t="shared" ref="CI91" si="2318">CG91/CB91</f>
        <v>11.574290342841957</v>
      </c>
      <c r="CJ91" s="190">
        <f t="shared" ref="CJ91" si="2319">CI91-W91</f>
        <v>-0.38832115560156666</v>
      </c>
      <c r="CK91" s="194">
        <f t="shared" ref="CK91" si="2320">CI91+CE91</f>
        <v>55.165184517543025</v>
      </c>
      <c r="CL91" s="211">
        <v>984.26300000000003</v>
      </c>
      <c r="CM91" s="247">
        <f t="shared" si="60"/>
        <v>32.808766666666671</v>
      </c>
      <c r="CN91" s="211">
        <v>723.06500000000005</v>
      </c>
      <c r="CO91" s="211">
        <v>79.525999999999996</v>
      </c>
      <c r="CP91" s="190">
        <f t="shared" ref="CP91" si="2321">CN91*2/CM91</f>
        <v>44.077548378837768</v>
      </c>
      <c r="CQ91" s="190">
        <f t="shared" ref="CQ91" si="2322">CP91-J91</f>
        <v>0.10191173053518554</v>
      </c>
      <c r="CR91" s="211">
        <v>403.02699999999999</v>
      </c>
      <c r="CS91" s="211">
        <v>134.53899999999999</v>
      </c>
      <c r="CT91" s="190">
        <f t="shared" ref="CT91" si="2323">CR91/CM91</f>
        <v>12.284125279523865</v>
      </c>
      <c r="CU91" s="190">
        <f t="shared" ref="CU91" si="2324">CT91-W91</f>
        <v>0.32151378108034123</v>
      </c>
      <c r="CV91" s="247">
        <f t="shared" ref="CV91" si="2325">CP91+CT91</f>
        <v>56.361673658361632</v>
      </c>
      <c r="CW91" s="163"/>
      <c r="CX91" s="196">
        <f t="shared" ref="CX91" si="2326">C91-AJ91-AU91-BF91-BQ91-CB91-CM91</f>
        <v>0</v>
      </c>
      <c r="CY91" s="196">
        <f t="shared" ref="CY91" si="2327">F91-AK91-AV91-BG91-BR91-CC91-CN91</f>
        <v>0</v>
      </c>
      <c r="CZ91" s="196">
        <f t="shared" ref="CZ91" si="2328">I91-AL91-AW91-BH91-BS91-CD91-CO91</f>
        <v>0</v>
      </c>
      <c r="DA91" s="196">
        <f t="shared" ref="DA91" si="2329">O91-AO91-AZ91-BK91-BV91-CG91-CR91</f>
        <v>0</v>
      </c>
      <c r="DB91" s="196">
        <f t="shared" ref="DB91" si="2330">Q91-AP91-BA91-BL91-BW91-CH91-CS91</f>
        <v>0</v>
      </c>
      <c r="DC91" s="196">
        <f t="shared" ref="DC91" si="2331">P91-Q91-R91-S91</f>
        <v>0</v>
      </c>
      <c r="DD91" s="163"/>
      <c r="DE91" s="200">
        <v>151.56100000000001</v>
      </c>
      <c r="DF91" s="200">
        <v>88.603999999999999</v>
      </c>
      <c r="DG91" s="200">
        <v>48.256999999999998</v>
      </c>
      <c r="DH91" s="191">
        <f t="shared" si="61"/>
        <v>0.58460949716615751</v>
      </c>
      <c r="DI91" s="197">
        <v>119.152</v>
      </c>
      <c r="DJ91" s="191">
        <f t="shared" si="48"/>
        <v>0.39308265318914493</v>
      </c>
      <c r="DK91" s="197">
        <v>124.878</v>
      </c>
      <c r="DL91" s="197">
        <v>121.26600000000001</v>
      </c>
      <c r="DM91" s="191">
        <f t="shared" si="62"/>
        <v>2.8924230048527289E-2</v>
      </c>
      <c r="DN91" s="200">
        <v>117.738</v>
      </c>
      <c r="DO91" s="200">
        <v>51.057000000000002</v>
      </c>
      <c r="DP91" s="200">
        <v>107.91800000000001</v>
      </c>
      <c r="DQ91" s="200">
        <f t="shared" ref="DQ91" si="2332">DP91+DO91</f>
        <v>158.97500000000002</v>
      </c>
      <c r="DR91" s="191">
        <f t="shared" ref="DR91" si="2333">DJ91+DH91</f>
        <v>0.97769215035530244</v>
      </c>
      <c r="DS91" s="199">
        <f t="shared" ref="DS91:DS92" si="2334">DK91/DI91</f>
        <v>1.0480562642674902</v>
      </c>
      <c r="DT91" s="200">
        <v>126.48099999999999</v>
      </c>
      <c r="DU91" s="200">
        <v>53.921999999999997</v>
      </c>
      <c r="DV91" s="200">
        <v>24.177</v>
      </c>
      <c r="DW91" s="191">
        <f t="shared" si="1537"/>
        <v>0.42632490255453387</v>
      </c>
      <c r="DX91" s="197">
        <v>33.305</v>
      </c>
      <c r="DY91" s="191">
        <f t="shared" si="1538"/>
        <v>0.13166009123900033</v>
      </c>
      <c r="DZ91" s="197">
        <v>38.963000000000001</v>
      </c>
      <c r="EA91" s="197">
        <v>37.643999999999998</v>
      </c>
      <c r="EB91" s="191">
        <f t="shared" si="52"/>
        <v>3.3852629417652658E-2</v>
      </c>
      <c r="EC91" s="200">
        <v>38.511000000000003</v>
      </c>
      <c r="ED91" s="206">
        <f t="shared" si="1933"/>
        <v>22.5</v>
      </c>
      <c r="EE91" s="200">
        <v>23.466000000000001</v>
      </c>
      <c r="EF91" s="205">
        <f t="shared" ref="EF91" si="2335">EE91+ED91</f>
        <v>45.966000000000001</v>
      </c>
      <c r="EG91" s="191">
        <f t="shared" ref="EG91" si="2336">DY91+DW91</f>
        <v>0.55798499379353417</v>
      </c>
      <c r="EJ91" s="202">
        <f t="shared" si="1363"/>
        <v>11.702752688172042</v>
      </c>
      <c r="EK91" s="202">
        <f>'NOPA Crush'!B516*56/('NOPA Crush'!A516-'NOPA Crush'!A515)</f>
        <v>12.655955293595563</v>
      </c>
      <c r="EL91" s="203">
        <f t="shared" si="1451"/>
        <v>0.92468347245933458</v>
      </c>
      <c r="EM91" s="202">
        <f t="shared" si="1406"/>
        <v>4.8890645161290323</v>
      </c>
      <c r="EN91" s="202">
        <f t="shared" si="1407"/>
        <v>8.1600645161290335E-3</v>
      </c>
      <c r="EO91" s="202">
        <f t="shared" si="1452"/>
        <v>16.599977268817202</v>
      </c>
    </row>
    <row r="92" spans="1:145">
      <c r="A92" s="157">
        <v>44774</v>
      </c>
      <c r="B92" s="186">
        <v>5252.6189999999997</v>
      </c>
      <c r="C92" s="187">
        <f t="shared" ref="C92" si="2337">B92/30</f>
        <v>175.0873</v>
      </c>
      <c r="D92" s="247">
        <f>C92-'NOPA Crush'!G517</f>
        <v>9.5492999999999881</v>
      </c>
      <c r="E92" s="188">
        <f>C92/'NOPA Crush'!G517-1</f>
        <v>5.7686452657395915E-2</v>
      </c>
      <c r="F92" s="189">
        <v>3870.5120000000002</v>
      </c>
      <c r="G92" s="189">
        <v>3814.1950000000002</v>
      </c>
      <c r="H92" s="189">
        <v>56.317</v>
      </c>
      <c r="I92" s="189">
        <v>308.67</v>
      </c>
      <c r="J92" s="190">
        <f t="shared" ref="J92" si="2338">F92*2/C92</f>
        <v>44.212367201961541</v>
      </c>
      <c r="K92" s="190">
        <f t="shared" ref="K92" si="2339">(F92+M92)*2/C92</f>
        <v>47.373361745826223</v>
      </c>
      <c r="L92" s="190">
        <f>K92-'NOPA Crush'!J517</f>
        <v>4.3361745826224762E-2</v>
      </c>
      <c r="M92" s="189">
        <v>276.72500000000002</v>
      </c>
      <c r="N92" s="189">
        <v>39.262</v>
      </c>
      <c r="O92" s="189">
        <v>2095.5810000000001</v>
      </c>
      <c r="P92" s="189">
        <v>1690.2829999999999</v>
      </c>
      <c r="Q92" s="189">
        <v>824.98099999999999</v>
      </c>
      <c r="R92" s="189">
        <v>295.935</v>
      </c>
      <c r="S92" s="189">
        <v>569.36699999999996</v>
      </c>
      <c r="T92" s="189">
        <v>413.43</v>
      </c>
      <c r="U92" s="189">
        <f>(P92+T92)-'NOPA Crush'!Q517</f>
        <v>538.98299999999972</v>
      </c>
      <c r="V92" s="191">
        <f>((P92+T92)/'NOPA Crush'!Q517)-1</f>
        <v>0.34445751024138338</v>
      </c>
      <c r="W92" s="190">
        <f t="shared" ref="W92" si="2340">O92/C92</f>
        <v>11.968777861101291</v>
      </c>
      <c r="X92" s="190">
        <f>W92-'NOPA Crush'!O517</f>
        <v>-1.1222138898709488E-2</v>
      </c>
      <c r="Y92" s="190">
        <f t="shared" si="2295"/>
        <v>59.342139606927518</v>
      </c>
      <c r="Z92" s="211">
        <v>1782.0450000000001</v>
      </c>
      <c r="AA92" s="211">
        <v>1739.066</v>
      </c>
      <c r="AB92" s="191">
        <f t="shared" si="2117"/>
        <v>2.4117797249788887E-2</v>
      </c>
      <c r="AC92" s="211">
        <v>160.63999999999999</v>
      </c>
      <c r="AD92" s="211">
        <v>1729.5550000000001</v>
      </c>
      <c r="AE92" s="211">
        <v>1230.067</v>
      </c>
      <c r="AF92" s="211">
        <v>499.488</v>
      </c>
      <c r="AG92" s="191">
        <f t="shared" si="1322"/>
        <v>-5.4690276274735883E-3</v>
      </c>
      <c r="AI92" s="211">
        <v>527.08500000000004</v>
      </c>
      <c r="AJ92" s="247">
        <f t="shared" si="11"/>
        <v>17.569500000000001</v>
      </c>
      <c r="AK92" s="211">
        <v>390.83699999999999</v>
      </c>
      <c r="AL92" s="211">
        <v>55.832999999999998</v>
      </c>
      <c r="AM92" s="190">
        <f t="shared" ref="AM92" si="2341">AK92*2/AJ92</f>
        <v>44.490395287287626</v>
      </c>
      <c r="AN92" s="190">
        <f t="shared" ref="AN92" si="2342">AM92-J92</f>
        <v>0.27802808532608481</v>
      </c>
      <c r="AO92" s="211">
        <v>212.578</v>
      </c>
      <c r="AP92" s="211">
        <v>104.205</v>
      </c>
      <c r="AQ92" s="190">
        <f t="shared" ref="AQ92" si="2343">AO92/AJ92</f>
        <v>12.09926292723185</v>
      </c>
      <c r="AR92" s="190">
        <f t="shared" ref="AR92" si="2344">AQ92-W92</f>
        <v>0.13048506613055899</v>
      </c>
      <c r="AS92" s="190">
        <f t="shared" ref="AS92:AS93" si="2345">AM92+AQ92</f>
        <v>56.589658214519474</v>
      </c>
      <c r="AT92" s="211">
        <v>1198.817</v>
      </c>
      <c r="AU92" s="247">
        <f t="shared" si="16"/>
        <v>39.960566666666665</v>
      </c>
      <c r="AV92" s="211">
        <v>881.38199999999995</v>
      </c>
      <c r="AW92" s="211">
        <v>44.305999999999997</v>
      </c>
      <c r="AX92" s="190">
        <f t="shared" ref="AX92" si="2346">AV92*2/AU92</f>
        <v>44.11258765933416</v>
      </c>
      <c r="AY92" s="190">
        <f t="shared" ref="AY92" si="2347">AX92-J92</f>
        <v>-9.977954262738109E-2</v>
      </c>
      <c r="AZ92" s="211">
        <v>481.065</v>
      </c>
      <c r="BA92" s="211">
        <v>156.44999999999999</v>
      </c>
      <c r="BB92" s="190">
        <f t="shared" si="2303"/>
        <v>12.038492947630873</v>
      </c>
      <c r="BC92" s="190">
        <f t="shared" ref="BC92" si="2348">BB92-W92</f>
        <v>6.9715086529582138E-2</v>
      </c>
      <c r="BD92" s="247">
        <f t="shared" ref="BD92" si="2349">AX92+BB92</f>
        <v>56.151080606965031</v>
      </c>
      <c r="BE92" s="211">
        <v>1103.922</v>
      </c>
      <c r="BF92" s="247">
        <f t="shared" si="58"/>
        <v>36.797400000000003</v>
      </c>
      <c r="BG92" s="211">
        <v>810.87400000000002</v>
      </c>
      <c r="BH92" s="211">
        <v>73.599999999999994</v>
      </c>
      <c r="BI92" s="190">
        <f t="shared" ref="BI92" si="2350">BG92*2/BF92</f>
        <v>44.072352937979311</v>
      </c>
      <c r="BJ92" s="190">
        <f t="shared" ref="BJ92" si="2351">BI92-J92</f>
        <v>-0.1400142639822306</v>
      </c>
      <c r="BK92" s="211">
        <v>435.983</v>
      </c>
      <c r="BL92" s="211">
        <v>140.66900000000001</v>
      </c>
      <c r="BM92" s="190">
        <f t="shared" ref="BM92" si="2352">BK92/BF92</f>
        <v>11.848201231608755</v>
      </c>
      <c r="BN92" s="190">
        <f t="shared" ref="BN92" si="2353">BM92-W92</f>
        <v>-0.12057662949253611</v>
      </c>
      <c r="BO92" s="247">
        <f t="shared" ref="BO92:BO93" si="2354">BM92+BI92</f>
        <v>55.920554169588065</v>
      </c>
      <c r="BP92" s="211">
        <v>863.88800000000003</v>
      </c>
      <c r="BQ92" s="247">
        <f t="shared" si="26"/>
        <v>28.796266666666668</v>
      </c>
      <c r="BR92" s="211">
        <v>642.63300000000004</v>
      </c>
      <c r="BS92" s="211">
        <v>52.045999999999999</v>
      </c>
      <c r="BT92" s="190">
        <f t="shared" ref="BT92" si="2355">BR92*2/BQ92</f>
        <v>44.633077435963919</v>
      </c>
      <c r="BU92" s="190">
        <f t="shared" ref="BU92" si="2356">BT92-J92</f>
        <v>0.42071023400237806</v>
      </c>
      <c r="BV92" s="211">
        <v>342.803</v>
      </c>
      <c r="BW92" s="211">
        <v>220.05600000000001</v>
      </c>
      <c r="BX92" s="190">
        <f t="shared" ref="BX92" si="2357">BV92/BQ92</f>
        <v>11.904425110662492</v>
      </c>
      <c r="BY92" s="190">
        <f t="shared" ref="BY92" si="2358">BX92-W92</f>
        <v>-6.4352750438798623E-2</v>
      </c>
      <c r="BZ92" s="194">
        <f t="shared" ref="BZ92" si="2359">BT92+BX92</f>
        <v>56.537502546626413</v>
      </c>
      <c r="CA92" s="211">
        <v>652.25</v>
      </c>
      <c r="CB92" s="247">
        <f t="shared" si="32"/>
        <v>21.741666666666667</v>
      </c>
      <c r="CC92" s="211">
        <v>474.613</v>
      </c>
      <c r="CD92" s="211">
        <v>42.798999999999999</v>
      </c>
      <c r="CE92" s="190">
        <f t="shared" ref="CE92" si="2360">CC92*2/CB92</f>
        <v>43.659302414718283</v>
      </c>
      <c r="CF92" s="190">
        <f t="shared" ref="CF92" si="2361">CE92-J92</f>
        <v>-0.55306478724325814</v>
      </c>
      <c r="CG92" s="211">
        <v>255.709</v>
      </c>
      <c r="CH92" s="211">
        <v>60.173999999999999</v>
      </c>
      <c r="CI92" s="190">
        <f t="shared" ref="CI92" si="2362">CG92/CB92</f>
        <v>11.761241855116904</v>
      </c>
      <c r="CJ92" s="190">
        <f t="shared" ref="CJ92" si="2363">CI92-W92</f>
        <v>-0.20753600598438737</v>
      </c>
      <c r="CK92" s="194">
        <f t="shared" ref="CK92" si="2364">CI92+CE92</f>
        <v>55.42054426983519</v>
      </c>
      <c r="CL92" s="211">
        <v>906.65700000000004</v>
      </c>
      <c r="CM92" s="247">
        <f t="shared" si="60"/>
        <v>30.221900000000002</v>
      </c>
      <c r="CN92" s="211">
        <v>670.173</v>
      </c>
      <c r="CO92" s="211">
        <v>40.085999999999999</v>
      </c>
      <c r="CP92" s="190">
        <f t="shared" ref="CP92" si="2365">CN92*2/CM92</f>
        <v>44.350156674464543</v>
      </c>
      <c r="CQ92" s="190">
        <f t="shared" ref="CQ92" si="2366">CP92-J92</f>
        <v>0.13778947250300178</v>
      </c>
      <c r="CR92" s="211">
        <v>367.44299999999998</v>
      </c>
      <c r="CS92" s="211">
        <v>143.42699999999999</v>
      </c>
      <c r="CT92" s="190">
        <f t="shared" ref="CT92" si="2367">CR92/CM92</f>
        <v>12.158170068724996</v>
      </c>
      <c r="CU92" s="190">
        <f t="shared" ref="CU92" si="2368">CT92-W92</f>
        <v>0.18939220762370468</v>
      </c>
      <c r="CV92" s="247">
        <f t="shared" ref="CV92" si="2369">CP92+CT92</f>
        <v>56.508326743189542</v>
      </c>
      <c r="CW92" s="163"/>
      <c r="CX92" s="196">
        <f t="shared" ref="CX92" si="2370">C92-AJ92-AU92-BF92-BQ92-CB92-CM92</f>
        <v>0</v>
      </c>
      <c r="CY92" s="196">
        <f t="shared" ref="CY92" si="2371">F92-AK92-AV92-BG92-BR92-CC92-CN92</f>
        <v>0</v>
      </c>
      <c r="CZ92" s="196">
        <f t="shared" ref="CZ92" si="2372">I92-AL92-AW92-BH92-BS92-CD92-CO92</f>
        <v>0</v>
      </c>
      <c r="DA92" s="196">
        <f t="shared" ref="DA92" si="2373">O92-AO92-AZ92-BK92-BV92-CG92-CR92</f>
        <v>0</v>
      </c>
      <c r="DB92" s="196">
        <f t="shared" ref="DB92" si="2374">Q92-AP92-BA92-BL92-BW92-CH92-CS92</f>
        <v>0</v>
      </c>
      <c r="DC92" s="196">
        <f t="shared" ref="DC92" si="2375">P92-Q92-R92-S92</f>
        <v>0</v>
      </c>
      <c r="DD92" s="163"/>
      <c r="DE92" s="200">
        <v>171.334</v>
      </c>
      <c r="DF92" s="200">
        <v>98.045000000000002</v>
      </c>
      <c r="DG92" s="200">
        <v>41.820999999999998</v>
      </c>
      <c r="DH92" s="191">
        <f t="shared" si="61"/>
        <v>0.57224485507838496</v>
      </c>
      <c r="DI92" s="197">
        <v>136.548</v>
      </c>
      <c r="DJ92" s="191">
        <f t="shared" si="48"/>
        <v>0.39848483079832375</v>
      </c>
      <c r="DK92" s="197">
        <v>139.738</v>
      </c>
      <c r="DL92" s="197">
        <v>135.102</v>
      </c>
      <c r="DM92" s="191">
        <f t="shared" si="62"/>
        <v>3.3176372926476683E-2</v>
      </c>
      <c r="DN92" s="200">
        <v>141.56700000000001</v>
      </c>
      <c r="DO92" s="200">
        <v>47.622999999999998</v>
      </c>
      <c r="DP92" s="200">
        <v>91.224000000000004</v>
      </c>
      <c r="DQ92" s="200">
        <f t="shared" ref="DQ92" si="2376">DP92+DO92</f>
        <v>138.84700000000001</v>
      </c>
      <c r="DR92" s="191">
        <f t="shared" ref="DR92" si="2377">DJ92+DH92</f>
        <v>0.97072968587670871</v>
      </c>
      <c r="DS92" s="199">
        <f t="shared" si="2334"/>
        <v>1.0233617482496997</v>
      </c>
      <c r="DT92" s="200">
        <v>125.126</v>
      </c>
      <c r="DU92" s="200">
        <v>54.218000000000004</v>
      </c>
      <c r="DV92" s="200">
        <v>20.497</v>
      </c>
      <c r="DW92" s="191">
        <f t="shared" si="1537"/>
        <v>0.43330722631587359</v>
      </c>
      <c r="DX92" s="197">
        <v>34.869999999999997</v>
      </c>
      <c r="DY92" s="191">
        <f t="shared" si="1538"/>
        <v>0.1393395457378962</v>
      </c>
      <c r="DZ92" s="198">
        <f>MROUND(FORECAST(EA92,DZ77:DZ91,EA77:EA91),2.5)+1</f>
        <v>48.5</v>
      </c>
      <c r="EA92" s="197">
        <v>47.22</v>
      </c>
      <c r="EB92" s="191">
        <f t="shared" si="52"/>
        <v>2.6391752577319627E-2</v>
      </c>
      <c r="EC92" s="200">
        <v>42.558999999999997</v>
      </c>
      <c r="ED92" s="206">
        <f t="shared" si="1933"/>
        <v>20</v>
      </c>
      <c r="EE92" s="200">
        <v>28.937999999999999</v>
      </c>
      <c r="EF92" s="205">
        <f t="shared" ref="EF92" si="2378">EE92+ED92</f>
        <v>48.938000000000002</v>
      </c>
      <c r="EG92" s="191">
        <f t="shared" ref="EG92" si="2379">DY92+DW92</f>
        <v>0.57264677205376979</v>
      </c>
      <c r="EJ92" s="202">
        <f t="shared" si="1363"/>
        <v>11.295954838709678</v>
      </c>
      <c r="EK92" s="202">
        <f>'NOPA Crush'!B517*56/('NOPA Crush'!A517-'NOPA Crush'!A516)</f>
        <v>12.144366461519223</v>
      </c>
      <c r="EL92" s="203">
        <f t="shared" si="1451"/>
        <v>0.93013949097321535</v>
      </c>
      <c r="EM92" s="202">
        <f t="shared" si="1406"/>
        <v>5.5269032258064517</v>
      </c>
      <c r="EN92" s="202">
        <f t="shared" si="1407"/>
        <v>8.0726451612903212E-3</v>
      </c>
      <c r="EO92" s="202">
        <f t="shared" si="1452"/>
        <v>16.830930709677421</v>
      </c>
    </row>
    <row r="93" spans="1:145">
      <c r="A93" s="157">
        <v>44805</v>
      </c>
      <c r="B93" s="186">
        <v>5028.2870000000003</v>
      </c>
      <c r="C93" s="187">
        <f t="shared" ref="C93" si="2380">B93/30</f>
        <v>167.60956666666667</v>
      </c>
      <c r="D93" s="247">
        <f>C93-'NOPA Crush'!G518</f>
        <v>9.5005666666666571</v>
      </c>
      <c r="E93" s="188">
        <f>C93/'NOPA Crush'!G518-1</f>
        <v>6.0088715169070994E-2</v>
      </c>
      <c r="F93" s="189">
        <v>3666.107</v>
      </c>
      <c r="G93" s="189">
        <v>3620.8719999999998</v>
      </c>
      <c r="H93" s="189">
        <v>45.234999999999999</v>
      </c>
      <c r="I93" s="189">
        <v>276.97300000000001</v>
      </c>
      <c r="J93" s="190">
        <f t="shared" ref="J93" si="2381">F93*2/C93</f>
        <v>43.745796530707175</v>
      </c>
      <c r="K93" s="190">
        <f t="shared" ref="K93" si="2382">(F93+M93)*2/C93</f>
        <v>46.835500837561575</v>
      </c>
      <c r="L93" s="190">
        <f>K93-'NOPA Crush'!J518</f>
        <v>-4.4991624384280726E-3</v>
      </c>
      <c r="M93" s="189">
        <v>258.93200000000002</v>
      </c>
      <c r="N93" s="189">
        <v>33.954000000000001</v>
      </c>
      <c r="O93" s="189">
        <v>1992.9639999999999</v>
      </c>
      <c r="P93" s="189">
        <v>1590.0530000000001</v>
      </c>
      <c r="Q93" s="189">
        <v>747.22799999999995</v>
      </c>
      <c r="R93" s="189">
        <v>268.63299999999998</v>
      </c>
      <c r="S93" s="189">
        <v>574.19200000000001</v>
      </c>
      <c r="T93" s="189">
        <v>401.09500000000003</v>
      </c>
      <c r="U93" s="189">
        <f>(P93+T93)-'NOPA Crush'!Q518</f>
        <v>531.88900000000012</v>
      </c>
      <c r="V93" s="191">
        <f>((P93+T93)/'NOPA Crush'!Q518)-1</f>
        <v>0.36449252668648957</v>
      </c>
      <c r="W93" s="190">
        <f t="shared" ref="W93" si="2383">O93/C93</f>
        <v>11.890514602686759</v>
      </c>
      <c r="X93" s="190">
        <f>W93-'NOPA Crush'!O518</f>
        <v>2.0514602686759531E-2</v>
      </c>
      <c r="Y93" s="190">
        <f t="shared" ref="Y93" si="2384">K93+W93</f>
        <v>58.726015440248332</v>
      </c>
      <c r="Z93" s="211">
        <v>1701.2539999999999</v>
      </c>
      <c r="AA93" s="211">
        <v>1658.4670000000001</v>
      </c>
      <c r="AB93" s="191">
        <f t="shared" si="2117"/>
        <v>2.515027150560693E-2</v>
      </c>
      <c r="AC93" s="211">
        <v>164.392</v>
      </c>
      <c r="AD93" s="211">
        <v>1671.1690000000001</v>
      </c>
      <c r="AE93" s="211">
        <v>1213.6679999999999</v>
      </c>
      <c r="AF93" s="211">
        <v>457.50099999999998</v>
      </c>
      <c r="AG93" s="191">
        <f t="shared" si="1322"/>
        <v>7.6588801586043864E-3</v>
      </c>
      <c r="AI93" s="211">
        <v>450.904</v>
      </c>
      <c r="AJ93" s="247">
        <f t="shared" si="11"/>
        <v>15.030133333333334</v>
      </c>
      <c r="AK93" s="211">
        <v>319.08699999999999</v>
      </c>
      <c r="AL93" s="211">
        <v>73.658000000000001</v>
      </c>
      <c r="AM93" s="190">
        <f t="shared" ref="AM93" si="2385">AK93*2/AJ93</f>
        <v>42.45963664105885</v>
      </c>
      <c r="AN93" s="190">
        <f t="shared" ref="AN93" si="2386">AM93-J93</f>
        <v>-1.2861598896483244</v>
      </c>
      <c r="AO93" s="211">
        <v>175.57</v>
      </c>
      <c r="AP93" s="211">
        <v>70.180000000000007</v>
      </c>
      <c r="AQ93" s="190">
        <f t="shared" ref="AQ93" si="2387">AO93/AJ93</f>
        <v>11.681200432908113</v>
      </c>
      <c r="AR93" s="190">
        <f t="shared" ref="AR93" si="2388">AQ93-W93</f>
        <v>-0.20931416977864536</v>
      </c>
      <c r="AS93" s="190">
        <f t="shared" si="2345"/>
        <v>54.140837073966964</v>
      </c>
      <c r="AT93" s="211">
        <v>1121.0160000000001</v>
      </c>
      <c r="AU93" s="247">
        <f t="shared" si="16"/>
        <v>37.367200000000004</v>
      </c>
      <c r="AV93" s="211">
        <v>825.65599999999995</v>
      </c>
      <c r="AW93" s="211">
        <v>38.619</v>
      </c>
      <c r="AX93" s="190">
        <f t="shared" ref="AX93" si="2389">AV93*2/AU93</f>
        <v>44.19148344002226</v>
      </c>
      <c r="AY93" s="190">
        <f t="shared" ref="AY93" si="2390">AX93-J93</f>
        <v>0.4456869093150857</v>
      </c>
      <c r="AZ93" s="211">
        <v>446.59100000000001</v>
      </c>
      <c r="BA93" s="211">
        <v>156.47200000000001</v>
      </c>
      <c r="BB93" s="190">
        <f t="shared" ref="BB93" si="2391">AZ93/AU93</f>
        <v>11.951417285747928</v>
      </c>
      <c r="BC93" s="190">
        <f t="shared" ref="BC93" si="2392">BB93-W93</f>
        <v>6.0902683061168972E-2</v>
      </c>
      <c r="BD93" s="247">
        <f t="shared" ref="BD93" si="2393">AX93+BB93</f>
        <v>56.14290072577019</v>
      </c>
      <c r="BE93" s="211">
        <v>1184.202</v>
      </c>
      <c r="BF93" s="247">
        <f t="shared" si="58"/>
        <v>39.473399999999998</v>
      </c>
      <c r="BG93" s="211">
        <v>865.13199999999995</v>
      </c>
      <c r="BH93" s="211">
        <v>62.441000000000003</v>
      </c>
      <c r="BI93" s="190">
        <f t="shared" ref="BI93" si="2394">BG93*2/BF93</f>
        <v>43.8336702690926</v>
      </c>
      <c r="BJ93" s="190">
        <f t="shared" ref="BJ93" si="2395">BI93-J93</f>
        <v>8.7873738385425781E-2</v>
      </c>
      <c r="BK93" s="211">
        <v>467.892</v>
      </c>
      <c r="BL93" s="211">
        <v>125.113</v>
      </c>
      <c r="BM93" s="190">
        <f t="shared" ref="BM93" si="2396">BK93/BF93</f>
        <v>11.853349344115278</v>
      </c>
      <c r="BN93" s="190">
        <f t="shared" ref="BN93" si="2397">BM93-W93</f>
        <v>-3.7165258571480564E-2</v>
      </c>
      <c r="BO93" s="247">
        <f t="shared" si="2354"/>
        <v>55.68701961320788</v>
      </c>
      <c r="BP93" s="211">
        <v>902.87900000000002</v>
      </c>
      <c r="BQ93" s="247">
        <f t="shared" si="26"/>
        <v>30.095966666666666</v>
      </c>
      <c r="BR93" s="211">
        <v>674</v>
      </c>
      <c r="BS93" s="211">
        <v>32.104999999999997</v>
      </c>
      <c r="BT93" s="190">
        <f t="shared" ref="BT93" si="2398">BR93*2/BQ93</f>
        <v>44.790054924303256</v>
      </c>
      <c r="BU93" s="190">
        <f t="shared" ref="BU93" si="2399">BT93-J93</f>
        <v>1.0442583935960812</v>
      </c>
      <c r="BV93" s="211">
        <v>347.74900000000002</v>
      </c>
      <c r="BW93" s="211">
        <v>205.58199999999999</v>
      </c>
      <c r="BX93" s="190">
        <f t="shared" ref="BX93" si="2400">BV93/BQ93</f>
        <v>11.554671223940307</v>
      </c>
      <c r="BY93" s="190">
        <f t="shared" ref="BY93" si="2401">BX93-W93</f>
        <v>-0.33584337874645165</v>
      </c>
      <c r="BZ93" s="194">
        <f t="shared" ref="BZ93" si="2402">BT93+BX93</f>
        <v>56.344726148243566</v>
      </c>
      <c r="CA93" s="211">
        <v>636.00699999999995</v>
      </c>
      <c r="CB93" s="247">
        <f t="shared" si="32"/>
        <v>21.200233333333333</v>
      </c>
      <c r="CC93" s="211">
        <v>449.12099999999998</v>
      </c>
      <c r="CD93" s="211">
        <v>39.186999999999998</v>
      </c>
      <c r="CE93" s="190">
        <f t="shared" ref="CE93" si="2403">CC93*2/CB93</f>
        <v>42.369439330070264</v>
      </c>
      <c r="CF93" s="190">
        <f t="shared" ref="CF93" si="2404">CE93-J93</f>
        <v>-1.3763572006369102</v>
      </c>
      <c r="CG93" s="211">
        <v>240.61600000000001</v>
      </c>
      <c r="CH93" s="211">
        <v>55.37</v>
      </c>
      <c r="CI93" s="190">
        <f t="shared" ref="CI93" si="2405">CG93/CB93</f>
        <v>11.349686402822611</v>
      </c>
      <c r="CJ93" s="190">
        <f t="shared" ref="CJ93" si="2406">CI93-W93</f>
        <v>-0.54082819986414776</v>
      </c>
      <c r="CK93" s="194">
        <f t="shared" ref="CK93" si="2407">CI93+CE93</f>
        <v>53.719125732892877</v>
      </c>
      <c r="CL93" s="211">
        <v>733.279</v>
      </c>
      <c r="CM93" s="247">
        <f t="shared" si="60"/>
        <v>24.442633333333333</v>
      </c>
      <c r="CN93" s="211">
        <v>533.11099999999999</v>
      </c>
      <c r="CO93" s="211">
        <v>30.963000000000001</v>
      </c>
      <c r="CP93" s="190">
        <f t="shared" ref="CP93" si="2408">CN93*2/CM93</f>
        <v>43.621404676801056</v>
      </c>
      <c r="CQ93" s="190">
        <f t="shared" ref="CQ93" si="2409">CP93-J93</f>
        <v>-0.1243918539061184</v>
      </c>
      <c r="CR93" s="211">
        <v>314.54599999999999</v>
      </c>
      <c r="CS93" s="211">
        <v>134.511</v>
      </c>
      <c r="CT93" s="190">
        <f t="shared" ref="CT93" si="2410">CR93/CM93</f>
        <v>12.868744366059849</v>
      </c>
      <c r="CU93" s="190">
        <f t="shared" ref="CU93" si="2411">CT93-W93</f>
        <v>0.97822976337308987</v>
      </c>
      <c r="CV93" s="247">
        <f t="shared" ref="CV93" si="2412">CP93+CT93</f>
        <v>56.490149042860907</v>
      </c>
      <c r="CW93" s="163"/>
      <c r="CX93" s="196">
        <f t="shared" ref="CX93" si="2413">C93-AJ93-AU93-BF93-BQ93-CB93-CM93</f>
        <v>0</v>
      </c>
      <c r="CY93" s="196">
        <f t="shared" ref="CY93" si="2414">F93-AK93-AV93-BG93-BR93-CC93-CN93</f>
        <v>0</v>
      </c>
      <c r="CZ93" s="196">
        <f t="shared" ref="CZ93" si="2415">I93-AL93-AW93-BH93-BS93-CD93-CO93</f>
        <v>0</v>
      </c>
      <c r="DA93" s="196">
        <f t="shared" ref="DA93" si="2416">O93-AO93-AZ93-BK93-BV93-CG93-CR93</f>
        <v>0</v>
      </c>
      <c r="DB93" s="196">
        <f t="shared" ref="DB93" si="2417">Q93-AP93-BA93-BL93-BW93-CH93-CS93</f>
        <v>0</v>
      </c>
      <c r="DC93" s="196">
        <f t="shared" ref="DC93" si="2418">P93-Q93-R93-S93</f>
        <v>0</v>
      </c>
      <c r="DD93" s="163"/>
      <c r="DE93" s="200">
        <v>189.285</v>
      </c>
      <c r="DF93" s="200">
        <v>106.55500000000001</v>
      </c>
      <c r="DG93" s="200">
        <v>42.442</v>
      </c>
      <c r="DH93" s="191">
        <f t="shared" si="61"/>
        <v>0.56293419975169723</v>
      </c>
      <c r="DI93" s="197">
        <v>148.45699999999999</v>
      </c>
      <c r="DJ93" s="191">
        <f t="shared" si="48"/>
        <v>0.39215204585677682</v>
      </c>
      <c r="DK93" s="197">
        <v>161.809</v>
      </c>
      <c r="DL93" s="197">
        <v>156.67400000000001</v>
      </c>
      <c r="DM93" s="191">
        <f t="shared" si="62"/>
        <v>3.1734946758214866E-2</v>
      </c>
      <c r="DN93" s="200">
        <v>152.35599999999999</v>
      </c>
      <c r="DO93" s="200">
        <v>61.082000000000001</v>
      </c>
      <c r="DP93" s="200">
        <v>108.468</v>
      </c>
      <c r="DQ93" s="200">
        <f t="shared" ref="DQ93:DQ95" si="2419">DP93+DO93</f>
        <v>169.55</v>
      </c>
      <c r="DR93" s="191">
        <f t="shared" ref="DR93" si="2420">DJ93+DH93</f>
        <v>0.9550862456084741</v>
      </c>
      <c r="DS93" s="199">
        <f t="shared" ref="DS93" si="2421">DK93/DI93</f>
        <v>1.0899385007106435</v>
      </c>
      <c r="DT93" s="206">
        <f>MROUND(DT92*AVERAGE(DT81/DT80,DT69/DT68,DT57/DT56,DT45/DT44,DT33/DT32),1)</f>
        <v>109</v>
      </c>
      <c r="DU93" s="206">
        <f>DW93*DT93</f>
        <v>47.197000000000003</v>
      </c>
      <c r="DV93" s="200">
        <v>22.315999999999999</v>
      </c>
      <c r="DW93" s="213">
        <f>MROUND(FORECAST(DT93,DW78:DW92,DT78:DT92),0.001)</f>
        <v>0.433</v>
      </c>
      <c r="DX93" s="198">
        <f>DY93*DT93</f>
        <v>14.606000000000002</v>
      </c>
      <c r="DY93" s="213">
        <f>MROUND(FORECAST(DW93,DY78:DY92,DW78:DW92),0.001)</f>
        <v>0.13400000000000001</v>
      </c>
      <c r="DZ93" s="198">
        <f>MROUND(FORECAST(EC93,DZ78:DZ92,EC78:EC92),2.5)</f>
        <v>35</v>
      </c>
      <c r="EA93" s="198">
        <f>MROUND(FORECAST(DZ93,EA78:EA92,DZ78:DZ92),0.1)</f>
        <v>34.1</v>
      </c>
      <c r="EB93" s="191">
        <f t="shared" si="52"/>
        <v>2.571428571428569E-2</v>
      </c>
      <c r="EC93" s="200">
        <v>34.079000000000001</v>
      </c>
      <c r="ED93" s="206">
        <f t="shared" si="1933"/>
        <v>25</v>
      </c>
      <c r="EE93" s="200">
        <v>23.698</v>
      </c>
      <c r="EF93" s="205">
        <f t="shared" ref="EF93" si="2422">EE93+ED93</f>
        <v>48.698</v>
      </c>
      <c r="EG93" s="191">
        <f t="shared" ref="EG93" si="2423">DY93+DW93</f>
        <v>0.56699999999999995</v>
      </c>
      <c r="EJ93" s="202">
        <f t="shared" si="1363"/>
        <v>11.173971111111113</v>
      </c>
      <c r="EK93" s="202">
        <f>'NOPA Crush'!B518*56/('NOPA Crush'!A518-'NOPA Crush'!A517)</f>
        <v>12.333965434549029</v>
      </c>
      <c r="EL93" s="203">
        <f t="shared" si="1451"/>
        <v>0.9059512263437498</v>
      </c>
      <c r="EM93" s="202">
        <f t="shared" si="1406"/>
        <v>6.3094999999999999</v>
      </c>
      <c r="EN93" s="202">
        <f t="shared" si="1407"/>
        <v>7.2666666666666669E-3</v>
      </c>
      <c r="EO93" s="202">
        <f t="shared" si="1452"/>
        <v>17.490737777777781</v>
      </c>
    </row>
    <row r="94" spans="1:145">
      <c r="A94" s="157">
        <v>44835</v>
      </c>
      <c r="B94" s="186">
        <v>5899.6940000000004</v>
      </c>
      <c r="C94" s="187">
        <f t="shared" ref="C94" si="2424">B94/30</f>
        <v>196.65646666666669</v>
      </c>
      <c r="D94" s="247">
        <f>C94-'NOPA Crush'!G519</f>
        <v>12.192466666666689</v>
      </c>
      <c r="E94" s="188">
        <f>C94/'NOPA Crush'!G519-1</f>
        <v>6.6096727093994945E-2</v>
      </c>
      <c r="F94" s="189">
        <v>4325.8779999999997</v>
      </c>
      <c r="G94" s="189">
        <v>4287.3580000000002</v>
      </c>
      <c r="H94" s="189">
        <v>38.520000000000003</v>
      </c>
      <c r="I94" s="189">
        <v>352.20600000000002</v>
      </c>
      <c r="J94" s="190">
        <f t="shared" ref="J94" si="2425">F94*2/C94</f>
        <v>43.994261397286024</v>
      </c>
      <c r="K94" s="190">
        <f t="shared" ref="K94" si="2426">(F94+M94)*2/C94</f>
        <v>46.816624726638359</v>
      </c>
      <c r="L94" s="190">
        <f>K94-'NOPA Crush'!J519</f>
        <v>0.14662472663835757</v>
      </c>
      <c r="M94" s="189">
        <v>277.51799999999997</v>
      </c>
      <c r="N94" s="189">
        <v>26.007999999999999</v>
      </c>
      <c r="O94" s="189">
        <v>2338.085</v>
      </c>
      <c r="P94" s="189">
        <v>1640.3579999999999</v>
      </c>
      <c r="Q94" s="189">
        <v>825.22699999999998</v>
      </c>
      <c r="R94" s="189">
        <v>245.947</v>
      </c>
      <c r="S94" s="189">
        <v>569.18399999999997</v>
      </c>
      <c r="T94" s="189">
        <v>453.26499999999999</v>
      </c>
      <c r="U94" s="189">
        <f>(P94+T94)-'NOPA Crush'!Q519</f>
        <v>565.90100000000007</v>
      </c>
      <c r="V94" s="191">
        <f>((P94+T94)/'NOPA Crush'!Q519)-1</f>
        <v>0.37042145102315738</v>
      </c>
      <c r="W94" s="190">
        <f t="shared" ref="W94" si="2427">O94/C94</f>
        <v>11.889184422107315</v>
      </c>
      <c r="X94" s="190">
        <f>W94-'NOPA Crush'!O519</f>
        <v>-3.0815577892685297E-2</v>
      </c>
      <c r="Y94" s="190">
        <f t="shared" ref="Y94" si="2428">K94+W94</f>
        <v>58.705809148745672</v>
      </c>
      <c r="Z94" s="211">
        <v>1829.75</v>
      </c>
      <c r="AA94" s="211">
        <v>1787.5830000000001</v>
      </c>
      <c r="AB94" s="191">
        <f t="shared" si="2117"/>
        <v>2.3045224757480484E-2</v>
      </c>
      <c r="AC94" s="211">
        <v>176.792</v>
      </c>
      <c r="AD94" s="211">
        <v>1736.162</v>
      </c>
      <c r="AE94" s="211">
        <v>1243.6869999999999</v>
      </c>
      <c r="AF94" s="211">
        <v>492.47500000000002</v>
      </c>
      <c r="AG94" s="191">
        <f t="shared" si="1322"/>
        <v>-2.876565731493308E-2</v>
      </c>
      <c r="AI94" s="211">
        <v>684.07100000000003</v>
      </c>
      <c r="AJ94" s="247">
        <f t="shared" si="11"/>
        <v>22.802366666666668</v>
      </c>
      <c r="AK94" s="211">
        <v>490.97399999999999</v>
      </c>
      <c r="AL94" s="211">
        <v>50.908999999999999</v>
      </c>
      <c r="AM94" s="190">
        <f t="shared" ref="AM94" si="2429">AK94*2/AJ94</f>
        <v>43.063424702991355</v>
      </c>
      <c r="AN94" s="190">
        <f t="shared" ref="AN94" si="2430">AM94-J94</f>
        <v>-0.93083669429466909</v>
      </c>
      <c r="AO94" s="211">
        <v>275.51100000000002</v>
      </c>
      <c r="AP94" s="340">
        <f>Q94-BA94-BL94-BW94-CH94-CS94</f>
        <v>125.75126141121191</v>
      </c>
      <c r="AQ94" s="190">
        <f t="shared" ref="AQ94" si="2431">AO94/AJ94</f>
        <v>12.082561605447388</v>
      </c>
      <c r="AR94" s="190">
        <f t="shared" ref="AR94" si="2432">AQ94-W94</f>
        <v>0.1933771833400737</v>
      </c>
      <c r="AS94" s="190">
        <f t="shared" ref="AS94" si="2433">AM94+AQ94</f>
        <v>55.145986308438744</v>
      </c>
      <c r="AT94" s="211">
        <v>1213.8240000000001</v>
      </c>
      <c r="AU94" s="247">
        <f t="shared" si="16"/>
        <v>40.460799999999999</v>
      </c>
      <c r="AV94" s="211">
        <v>901.75199999999995</v>
      </c>
      <c r="AW94" s="211">
        <v>52.795000000000002</v>
      </c>
      <c r="AX94" s="190">
        <f t="shared" ref="AX94" si="2434">AV94*2/AU94</f>
        <v>44.574106295476113</v>
      </c>
      <c r="AY94" s="190">
        <f t="shared" ref="AY94" si="2435">AX94-J94</f>
        <v>0.579844898190089</v>
      </c>
      <c r="AZ94" s="211">
        <v>482.56200000000001</v>
      </c>
      <c r="BA94" s="211">
        <v>154.04400000000001</v>
      </c>
      <c r="BB94" s="190">
        <f t="shared" ref="BB94" si="2436">AZ94/AU94</f>
        <v>11.926654935147106</v>
      </c>
      <c r="BC94" s="190">
        <f t="shared" ref="BC94" si="2437">BB94-W94</f>
        <v>3.7470513039790987E-2</v>
      </c>
      <c r="BD94" s="247">
        <f t="shared" ref="BD94" si="2438">AX94+BB94</f>
        <v>56.500761230623219</v>
      </c>
      <c r="BE94" s="211">
        <v>1344.2750000000001</v>
      </c>
      <c r="BF94" s="247">
        <f t="shared" si="58"/>
        <v>44.80916666666667</v>
      </c>
      <c r="BG94" s="211">
        <v>981.99300000000005</v>
      </c>
      <c r="BH94" s="211">
        <v>99.025999999999996</v>
      </c>
      <c r="BI94" s="190">
        <f t="shared" ref="BI94" si="2439">BG94*2/BF94</f>
        <v>43.830005021294006</v>
      </c>
      <c r="BJ94" s="190">
        <f t="shared" ref="BJ94" si="2440">BI94-J94</f>
        <v>-0.16425637599201792</v>
      </c>
      <c r="BK94" s="211">
        <v>520.53599999999994</v>
      </c>
      <c r="BL94" s="211">
        <v>134.81299999999999</v>
      </c>
      <c r="BM94" s="190">
        <f t="shared" ref="BM94" si="2441">BK94/BF94</f>
        <v>11.616730207732791</v>
      </c>
      <c r="BN94" s="190">
        <f t="shared" ref="BN94" si="2442">BM94-W94</f>
        <v>-0.27245421437452322</v>
      </c>
      <c r="BO94" s="247">
        <f t="shared" ref="BO94" si="2443">BM94+BI94</f>
        <v>55.4467352290268</v>
      </c>
      <c r="BP94" s="211">
        <v>996.06</v>
      </c>
      <c r="BQ94" s="247">
        <f t="shared" si="26"/>
        <v>33.201999999999998</v>
      </c>
      <c r="BR94" s="211">
        <v>734.82500000000005</v>
      </c>
      <c r="BS94" s="211">
        <v>53.628</v>
      </c>
      <c r="BT94" s="190">
        <f t="shared" ref="BT94" si="2444">BR94*2/BQ94</f>
        <v>44.263899765074399</v>
      </c>
      <c r="BU94" s="190">
        <f t="shared" ref="BU94" si="2445">BT94-J94</f>
        <v>0.26963836778837447</v>
      </c>
      <c r="BV94" s="211">
        <v>386.49400000000003</v>
      </c>
      <c r="BW94" s="211">
        <v>207.06800000000001</v>
      </c>
      <c r="BX94" s="190">
        <f t="shared" ref="BX94" si="2446">BV94/BQ94</f>
        <v>11.640684296126741</v>
      </c>
      <c r="BY94" s="190">
        <f t="shared" ref="BY94" si="2447">BX94-W94</f>
        <v>-0.24850012598057347</v>
      </c>
      <c r="BZ94" s="194">
        <f t="shared" ref="BZ94" si="2448">BT94+BX94</f>
        <v>55.904584061201142</v>
      </c>
      <c r="CA94" s="211">
        <v>681.37199999999996</v>
      </c>
      <c r="CB94" s="247">
        <f t="shared" si="32"/>
        <v>22.712399999999999</v>
      </c>
      <c r="CC94" s="211">
        <v>495.26799999999997</v>
      </c>
      <c r="CD94" s="211">
        <v>45.917999999999999</v>
      </c>
      <c r="CE94" s="190">
        <f t="shared" ref="CE94" si="2449">CC94*2/CB94</f>
        <v>43.61212377379757</v>
      </c>
      <c r="CF94" s="190">
        <f t="shared" ref="CF94" si="2450">CE94-J94</f>
        <v>-0.38213762348845393</v>
      </c>
      <c r="CG94" s="211">
        <v>264.72000000000003</v>
      </c>
      <c r="CH94" s="340">
        <f>(SUM(CH84:CH93)/SUM($P84:$P93))*$P94</f>
        <v>54.255738588788098</v>
      </c>
      <c r="CI94" s="190">
        <f t="shared" ref="CI94" si="2451">CG94/CB94</f>
        <v>11.655307233053312</v>
      </c>
      <c r="CJ94" s="190">
        <f t="shared" ref="CJ94" si="2452">CI94-W94</f>
        <v>-0.23387718905400234</v>
      </c>
      <c r="CK94" s="194">
        <f t="shared" ref="CK94" si="2453">CI94+CE94</f>
        <v>55.267431006850885</v>
      </c>
      <c r="CL94" s="211">
        <v>980.09199999999998</v>
      </c>
      <c r="CM94" s="247">
        <f t="shared" si="60"/>
        <v>32.669733333333333</v>
      </c>
      <c r="CN94" s="211">
        <v>721.06600000000003</v>
      </c>
      <c r="CO94" s="211">
        <v>49.93</v>
      </c>
      <c r="CP94" s="190">
        <f t="shared" ref="CP94" si="2454">CN94*2/CM94</f>
        <v>44.142753945547973</v>
      </c>
      <c r="CQ94" s="190">
        <f t="shared" ref="CQ94" si="2455">CP94-J94</f>
        <v>0.1484925482619488</v>
      </c>
      <c r="CR94" s="211">
        <v>408.262</v>
      </c>
      <c r="CS94" s="211">
        <v>149.29499999999999</v>
      </c>
      <c r="CT94" s="190">
        <f t="shared" ref="CT94" si="2456">CR94/CM94</f>
        <v>12.496643172273624</v>
      </c>
      <c r="CU94" s="190">
        <f t="shared" ref="CU94" si="2457">CT94-W94</f>
        <v>0.6074587501663089</v>
      </c>
      <c r="CV94" s="247">
        <f t="shared" ref="CV94" si="2458">CP94+CT94</f>
        <v>56.639397117821595</v>
      </c>
      <c r="CW94" s="163"/>
      <c r="CX94" s="196">
        <f t="shared" ref="CX94" si="2459">C94-AJ94-AU94-BF94-BQ94-CB94-CM94</f>
        <v>0</v>
      </c>
      <c r="CY94" s="196">
        <f t="shared" ref="CY94" si="2460">F94-AK94-AV94-BG94-BR94-CC94-CN94</f>
        <v>0</v>
      </c>
      <c r="CZ94" s="196">
        <f t="shared" ref="CZ94" si="2461">I94-AL94-AW94-BH94-BS94-CD94-CO94</f>
        <v>0</v>
      </c>
      <c r="DA94" s="196">
        <f t="shared" ref="DA94" si="2462">O94-AO94-AZ94-BK94-BV94-CG94-CR94</f>
        <v>0</v>
      </c>
      <c r="DB94" s="196">
        <f t="shared" ref="DB94" si="2463">Q94-AP94-BA94-BL94-BW94-CH94-CS94</f>
        <v>0</v>
      </c>
      <c r="DC94" s="196">
        <f t="shared" ref="DC94" si="2464">P94-Q94-R94-S94</f>
        <v>0</v>
      </c>
      <c r="DD94" s="163"/>
      <c r="DE94" s="200">
        <v>208.459</v>
      </c>
      <c r="DF94" s="200">
        <v>120.679</v>
      </c>
      <c r="DG94" s="200">
        <v>51.079000000000001</v>
      </c>
      <c r="DH94" s="191">
        <f t="shared" si="61"/>
        <v>0.57891000148710303</v>
      </c>
      <c r="DI94" s="197">
        <v>171.28200000000001</v>
      </c>
      <c r="DJ94" s="191">
        <f t="shared" si="48"/>
        <v>0.41082898795446587</v>
      </c>
      <c r="DK94" s="197">
        <v>165.41</v>
      </c>
      <c r="DL94" s="197">
        <v>160.29</v>
      </c>
      <c r="DM94" s="191">
        <f t="shared" si="62"/>
        <v>3.0953388549664451E-2</v>
      </c>
      <c r="DN94" s="200">
        <v>163.786</v>
      </c>
      <c r="DO94" s="200">
        <v>59.847999999999999</v>
      </c>
      <c r="DP94" s="200">
        <v>114.767</v>
      </c>
      <c r="DQ94" s="200">
        <f t="shared" si="2419"/>
        <v>174.61500000000001</v>
      </c>
      <c r="DR94" s="191">
        <f t="shared" ref="DR94" si="2465">DJ94+DH94</f>
        <v>0.98973898944156891</v>
      </c>
      <c r="DS94" s="199">
        <f t="shared" ref="DS94" si="2466">DK94/DI94</f>
        <v>0.96571735500519607</v>
      </c>
      <c r="DT94" s="200">
        <v>113.241</v>
      </c>
      <c r="DU94" s="200">
        <v>51.725999999999999</v>
      </c>
      <c r="DV94" s="200">
        <v>36.122</v>
      </c>
      <c r="DW94" s="191">
        <f t="shared" si="1537"/>
        <v>0.4567780220944711</v>
      </c>
      <c r="DX94" s="197">
        <v>29.254999999999999</v>
      </c>
      <c r="DY94" s="191">
        <f t="shared" si="1538"/>
        <v>0.12917141318073841</v>
      </c>
      <c r="DZ94" s="197">
        <v>40.965000000000003</v>
      </c>
      <c r="EA94" s="197">
        <v>39.832999999999998</v>
      </c>
      <c r="EB94" s="191">
        <f t="shared" si="52"/>
        <v>2.7633345538874754E-2</v>
      </c>
      <c r="EC94" s="200">
        <v>32.271999999999998</v>
      </c>
      <c r="ED94" s="206">
        <f t="shared" si="1933"/>
        <v>22.5</v>
      </c>
      <c r="EE94" s="200">
        <v>31.66</v>
      </c>
      <c r="EF94" s="205">
        <f t="shared" ref="EF94" si="2467">EE94+ED94</f>
        <v>54.16</v>
      </c>
      <c r="EG94" s="191">
        <f t="shared" ref="EG94" si="2468">DY94+DW94</f>
        <v>0.58594943527520948</v>
      </c>
      <c r="EJ94" s="202">
        <f t="shared" si="1363"/>
        <v>12.687513978494625</v>
      </c>
      <c r="EK94" s="202">
        <f>'NOPA Crush'!B519*56/('NOPA Crush'!A519-'NOPA Crush'!A518)</f>
        <v>12.917034799259081</v>
      </c>
      <c r="EL94" s="203">
        <f t="shared" si="1451"/>
        <v>0.98223115255696136</v>
      </c>
      <c r="EM94" s="202">
        <f t="shared" si="1406"/>
        <v>6.7244838709677417</v>
      </c>
      <c r="EN94" s="202">
        <f t="shared" si="1407"/>
        <v>7.3058709677419351E-3</v>
      </c>
      <c r="EO94" s="202">
        <f t="shared" si="1452"/>
        <v>19.419303720430108</v>
      </c>
    </row>
    <row r="95" spans="1:145" s="222" customFormat="1">
      <c r="A95" s="214">
        <v>44866</v>
      </c>
      <c r="B95" s="215">
        <v>5687.098</v>
      </c>
      <c r="C95" s="216">
        <f t="shared" ref="C95" si="2469">B95/30</f>
        <v>189.56993333333332</v>
      </c>
      <c r="D95" s="330">
        <f>C95-'NOPA Crush'!G520</f>
        <v>10.385933333333327</v>
      </c>
      <c r="E95" s="217">
        <f>C95/'NOPA Crush'!G520-1</f>
        <v>5.7962392475518598E-2</v>
      </c>
      <c r="F95" s="218">
        <v>4190.55</v>
      </c>
      <c r="G95" s="218">
        <v>4153.232</v>
      </c>
      <c r="H95" s="218">
        <v>37.317999999999998</v>
      </c>
      <c r="I95" s="218">
        <v>319.983</v>
      </c>
      <c r="J95" s="219">
        <f t="shared" ref="J95" si="2470">F95*2/C95</f>
        <v>44.211124900608361</v>
      </c>
      <c r="K95" s="219">
        <f t="shared" ref="K95" si="2471">(F95+M95)*2/C95</f>
        <v>47.156001180215291</v>
      </c>
      <c r="L95" s="219">
        <f>K95-'NOPA Crush'!J520</f>
        <v>0.10600118021529426</v>
      </c>
      <c r="M95" s="218">
        <v>279.13</v>
      </c>
      <c r="N95" s="218">
        <v>28.853000000000002</v>
      </c>
      <c r="O95" s="218">
        <v>2199.962</v>
      </c>
      <c r="P95" s="218">
        <v>1677.22</v>
      </c>
      <c r="Q95" s="218">
        <v>900.68</v>
      </c>
      <c r="R95" s="218">
        <v>247.316</v>
      </c>
      <c r="S95" s="218">
        <v>529.22400000000005</v>
      </c>
      <c r="T95" s="218">
        <v>435.06099999999998</v>
      </c>
      <c r="U95" s="218">
        <f>(P95+T95)-'NOPA Crush'!Q520</f>
        <v>482.07899999999995</v>
      </c>
      <c r="V95" s="220">
        <f>((P95+T95)/'NOPA Crush'!Q520)-1</f>
        <v>0.29571734055043475</v>
      </c>
      <c r="W95" s="219">
        <f t="shared" ref="W95" si="2472">O95/C95</f>
        <v>11.605015422628554</v>
      </c>
      <c r="X95" s="190">
        <f>W95-'NOPA Crush'!O520</f>
        <v>-2.4984577371446548E-2</v>
      </c>
      <c r="Y95" s="219">
        <f t="shared" ref="Y95" si="2473">K95+W95</f>
        <v>58.761016602843846</v>
      </c>
      <c r="Z95" s="332">
        <v>1674.7840000000001</v>
      </c>
      <c r="AA95" s="332">
        <v>1633.4010000000001</v>
      </c>
      <c r="AB95" s="220">
        <f t="shared" si="2117"/>
        <v>2.4709455070026962E-2</v>
      </c>
      <c r="AC95" s="332">
        <v>185.61</v>
      </c>
      <c r="AD95" s="332">
        <v>1661.798</v>
      </c>
      <c r="AE95" s="332">
        <v>1178.251</v>
      </c>
      <c r="AF95" s="332">
        <v>483.54700000000003</v>
      </c>
      <c r="AG95" s="220">
        <f t="shared" si="1322"/>
        <v>1.7385198123424539E-2</v>
      </c>
      <c r="AI95" s="332">
        <v>660.58399999999995</v>
      </c>
      <c r="AJ95" s="330">
        <f t="shared" si="11"/>
        <v>22.019466666666666</v>
      </c>
      <c r="AK95" s="332">
        <v>478.49400000000003</v>
      </c>
      <c r="AL95" s="332">
        <v>54.036999999999999</v>
      </c>
      <c r="AM95" s="219">
        <f t="shared" ref="AM95" si="2474">AK95*2/AJ95</f>
        <v>43.460998147094088</v>
      </c>
      <c r="AN95" s="219">
        <f t="shared" ref="AN95" si="2475">AM95-J95</f>
        <v>-0.75012675351427305</v>
      </c>
      <c r="AO95" s="332">
        <v>253.48099999999999</v>
      </c>
      <c r="AP95" s="341">
        <f>Q95-BA95-BL95-BW95-CH95-CS95</f>
        <v>173.05690090138634</v>
      </c>
      <c r="AQ95" s="219">
        <f t="shared" ref="AQ95" si="2476">AO95/AJ95</f>
        <v>11.511677545929057</v>
      </c>
      <c r="AR95" s="219">
        <f t="shared" ref="AR95" si="2477">AQ95-W95</f>
        <v>-9.3337876699497002E-2</v>
      </c>
      <c r="AS95" s="219">
        <f t="shared" ref="AS95" si="2478">AM95+AQ95</f>
        <v>54.972675693023149</v>
      </c>
      <c r="AT95" s="332">
        <v>1148.152</v>
      </c>
      <c r="AU95" s="330">
        <f t="shared" si="16"/>
        <v>38.271733333333337</v>
      </c>
      <c r="AV95" s="332">
        <v>851.52200000000005</v>
      </c>
      <c r="AW95" s="332">
        <v>40.518000000000001</v>
      </c>
      <c r="AX95" s="219">
        <f t="shared" ref="AX95" si="2479">AV95*2/AU95</f>
        <v>44.498742326799935</v>
      </c>
      <c r="AY95" s="219">
        <f t="shared" ref="AY95" si="2480">AX95-J95</f>
        <v>0.2876174261915736</v>
      </c>
      <c r="AZ95" s="332">
        <v>453.03899999999999</v>
      </c>
      <c r="BA95" s="332">
        <v>158.34100000000001</v>
      </c>
      <c r="BB95" s="219">
        <f t="shared" ref="BB95" si="2481">AZ95/AU95</f>
        <v>11.837430932489774</v>
      </c>
      <c r="BC95" s="219">
        <f t="shared" ref="BC95" si="2482">BB95-W95</f>
        <v>0.2324155098612195</v>
      </c>
      <c r="BD95" s="330">
        <f t="shared" ref="BD95" si="2483">AX95+BB95</f>
        <v>56.336173259289708</v>
      </c>
      <c r="BE95" s="332">
        <v>1271.546</v>
      </c>
      <c r="BF95" s="330">
        <f t="shared" si="58"/>
        <v>42.384866666666667</v>
      </c>
      <c r="BG95" s="332">
        <v>938.50199999999995</v>
      </c>
      <c r="BH95" s="332">
        <v>94.05</v>
      </c>
      <c r="BI95" s="219">
        <f t="shared" ref="BI95" si="2484">BG95*2/BF95</f>
        <v>44.284768305668841</v>
      </c>
      <c r="BJ95" s="219">
        <f t="shared" ref="BJ95" si="2485">BI95-J95</f>
        <v>7.3643405060479949E-2</v>
      </c>
      <c r="BK95" s="332">
        <v>481.803</v>
      </c>
      <c r="BL95" s="332">
        <v>157.57</v>
      </c>
      <c r="BM95" s="219">
        <f t="shared" ref="BM95" si="2486">BK95/BF95</f>
        <v>11.367335511259522</v>
      </c>
      <c r="BN95" s="219">
        <f t="shared" ref="BN95" si="2487">BM95-W95</f>
        <v>-0.23767991136903177</v>
      </c>
      <c r="BO95" s="330">
        <f t="shared" ref="BO95" si="2488">BM95+BI95</f>
        <v>55.65210381692836</v>
      </c>
      <c r="BP95" s="332">
        <v>970.21699999999998</v>
      </c>
      <c r="BQ95" s="330">
        <f t="shared" si="26"/>
        <v>32.340566666666668</v>
      </c>
      <c r="BR95" s="332">
        <v>721.24199999999996</v>
      </c>
      <c r="BS95" s="332">
        <v>51.92</v>
      </c>
      <c r="BT95" s="219">
        <f t="shared" ref="BT95" si="2489">BR95*2/BQ95</f>
        <v>44.602929035463198</v>
      </c>
      <c r="BU95" s="219">
        <f t="shared" ref="BU95" si="2490">BT95-J95</f>
        <v>0.39180413485483712</v>
      </c>
      <c r="BV95" s="332">
        <v>368.08</v>
      </c>
      <c r="BW95" s="332">
        <v>205.42</v>
      </c>
      <c r="BX95" s="219">
        <f t="shared" ref="BX95" si="2491">BV95/BQ95</f>
        <v>11.381371383927512</v>
      </c>
      <c r="BY95" s="219">
        <f t="shared" ref="BY95" si="2492">BX95-W95</f>
        <v>-0.22364403870104255</v>
      </c>
      <c r="BZ95" s="221">
        <f t="shared" ref="BZ95" si="2493">BT95+BX95</f>
        <v>55.984300419390706</v>
      </c>
      <c r="CA95" s="332">
        <v>686.74400000000003</v>
      </c>
      <c r="CB95" s="330">
        <f t="shared" si="32"/>
        <v>22.891466666666666</v>
      </c>
      <c r="CC95" s="332">
        <v>500.1</v>
      </c>
      <c r="CD95" s="332">
        <v>33.774999999999999</v>
      </c>
      <c r="CE95" s="219">
        <f t="shared" ref="CE95" si="2494">CC95*2/CB95</f>
        <v>43.693137471896371</v>
      </c>
      <c r="CF95" s="219">
        <f t="shared" ref="CF95" si="2495">CE95-J95</f>
        <v>-0.51798742871199011</v>
      </c>
      <c r="CG95" s="332">
        <v>263.35500000000002</v>
      </c>
      <c r="CH95" s="341">
        <f>(SUM(CH85:CH94)/SUM($P85:$P94))*$P95</f>
        <v>55.865099098613712</v>
      </c>
      <c r="CI95" s="219">
        <f t="shared" ref="CI95" si="2496">CG95/CB95</f>
        <v>11.5045053178477</v>
      </c>
      <c r="CJ95" s="219">
        <f t="shared" ref="CJ95" si="2497">CI95-W95</f>
        <v>-0.10051010478085409</v>
      </c>
      <c r="CK95" s="221">
        <f t="shared" ref="CK95" si="2498">CI95+CE95</f>
        <v>55.197642789744073</v>
      </c>
      <c r="CL95" s="332">
        <v>949.85500000000002</v>
      </c>
      <c r="CM95" s="330">
        <f t="shared" si="60"/>
        <v>31.661833333333334</v>
      </c>
      <c r="CN95" s="332">
        <v>699.45600000000002</v>
      </c>
      <c r="CO95" s="332">
        <v>44.789000000000001</v>
      </c>
      <c r="CP95" s="219">
        <f t="shared" ref="CP95" si="2499">CN95*2/CM95</f>
        <v>44.182912128693324</v>
      </c>
      <c r="CQ95" s="219">
        <f t="shared" ref="CQ95" si="2500">CP95-J95</f>
        <v>-2.8212771915036683E-2</v>
      </c>
      <c r="CR95" s="332">
        <v>378.42399999999998</v>
      </c>
      <c r="CS95" s="332">
        <v>150.42699999999999</v>
      </c>
      <c r="CT95" s="219">
        <f t="shared" ref="CT95" si="2501">CR95/CM95</f>
        <v>11.952055840101909</v>
      </c>
      <c r="CU95" s="219">
        <f t="shared" ref="CU95" si="2502">CT95-W95</f>
        <v>0.34704041747335523</v>
      </c>
      <c r="CV95" s="330">
        <f t="shared" ref="CV95" si="2503">CP95+CT95</f>
        <v>56.134967968795237</v>
      </c>
      <c r="CW95" s="224"/>
      <c r="CX95" s="225">
        <f t="shared" ref="CX95" si="2504">C95-AJ95-AU95-BF95-BQ95-CB95-CM95</f>
        <v>0</v>
      </c>
      <c r="CY95" s="225">
        <f t="shared" ref="CY95" si="2505">F95-AK95-AV95-BG95-BR95-CC95-CN95</f>
        <v>1.234000000000151</v>
      </c>
      <c r="CZ95" s="225">
        <f t="shared" ref="CZ95" si="2506">I95-AL95-AW95-BH95-BS95-CD95-CO95</f>
        <v>0.89400000000004098</v>
      </c>
      <c r="DA95" s="225">
        <f t="shared" ref="DA95" si="2507">O95-AO95-AZ95-BK95-BV95-CG95-CR95</f>
        <v>1.7799999999999727</v>
      </c>
      <c r="DB95" s="225">
        <f t="shared" ref="DB95" si="2508">Q95-AP95-BA95-BL95-BW95-CH95-CS95</f>
        <v>0</v>
      </c>
      <c r="DC95" s="225">
        <f t="shared" ref="DC95" si="2509">P95-Q95-R95-S95</f>
        <v>0</v>
      </c>
      <c r="DD95" s="224"/>
      <c r="DE95" s="228">
        <v>180.75</v>
      </c>
      <c r="DF95" s="228">
        <v>100.676</v>
      </c>
      <c r="DG95" s="228">
        <v>43.302</v>
      </c>
      <c r="DH95" s="220">
        <f t="shared" si="61"/>
        <v>0.55699031811894884</v>
      </c>
      <c r="DI95" s="226">
        <v>144.96899999999999</v>
      </c>
      <c r="DJ95" s="220">
        <f t="shared" si="48"/>
        <v>0.40102074688796679</v>
      </c>
      <c r="DK95" s="226">
        <v>148.74700000000001</v>
      </c>
      <c r="DL95" s="226">
        <v>144.38200000000001</v>
      </c>
      <c r="DM95" s="220">
        <f t="shared" si="62"/>
        <v>2.9345129649673618E-2</v>
      </c>
      <c r="DN95" s="228">
        <v>147.672</v>
      </c>
      <c r="DO95" s="228">
        <v>61.701000000000001</v>
      </c>
      <c r="DP95" s="228">
        <v>109.17</v>
      </c>
      <c r="DQ95" s="228">
        <f t="shared" si="2419"/>
        <v>170.87100000000001</v>
      </c>
      <c r="DR95" s="220">
        <f t="shared" ref="DR95" si="2510">DJ95+DH95</f>
        <v>0.95801106500691557</v>
      </c>
      <c r="DS95" s="227">
        <f t="shared" ref="DS95" si="2511">DK95/DI95</f>
        <v>1.0260607440211358</v>
      </c>
      <c r="DT95" s="228">
        <v>128.90700000000001</v>
      </c>
      <c r="DU95" s="228">
        <v>51.070999999999998</v>
      </c>
      <c r="DV95" s="228">
        <v>36.042999999999999</v>
      </c>
      <c r="DW95" s="220">
        <f t="shared" si="1537"/>
        <v>0.39618484643968127</v>
      </c>
      <c r="DX95" s="226">
        <v>33.920999999999999</v>
      </c>
      <c r="DY95" s="220">
        <f t="shared" si="1538"/>
        <v>0.13157159812888361</v>
      </c>
      <c r="DZ95" s="226">
        <v>38.140999999999998</v>
      </c>
      <c r="EA95" s="226">
        <v>37.088999999999999</v>
      </c>
      <c r="EB95" s="220">
        <f t="shared" si="52"/>
        <v>2.7581867281927575E-2</v>
      </c>
      <c r="EC95" s="228">
        <v>34.201000000000001</v>
      </c>
      <c r="ED95" s="346">
        <f t="shared" si="1933"/>
        <v>22.5</v>
      </c>
      <c r="EE95" s="228">
        <v>35.119</v>
      </c>
      <c r="EF95" s="223">
        <f t="shared" ref="EF95:EF96" si="2512">EE95+ED95</f>
        <v>57.619</v>
      </c>
      <c r="EG95" s="220">
        <f t="shared" ref="EG95:EG96" si="2513">DY95+DW95</f>
        <v>0.52775644456856485</v>
      </c>
      <c r="EJ95" s="202">
        <f t="shared" si="1363"/>
        <v>12.637995555555555</v>
      </c>
      <c r="EK95" s="202">
        <f>'NOPA Crush'!B520*56/('NOPA Crush'!A520-'NOPA Crush'!A519)</f>
        <v>12.47804897676032</v>
      </c>
      <c r="EL95" s="203">
        <f t="shared" si="1451"/>
        <v>1.0128182361756335</v>
      </c>
      <c r="EM95" s="202">
        <f t="shared" si="1406"/>
        <v>6.0250000000000004</v>
      </c>
      <c r="EN95" s="202">
        <f t="shared" si="1407"/>
        <v>8.5938000000000021E-3</v>
      </c>
      <c r="EO95" s="202">
        <f t="shared" si="1452"/>
        <v>18.671589355555554</v>
      </c>
    </row>
    <row r="96" spans="1:145">
      <c r="A96" s="157">
        <v>44896</v>
      </c>
      <c r="B96" s="186">
        <v>5622.5609999999997</v>
      </c>
      <c r="C96" s="187">
        <f t="shared" ref="C96" si="2514">B96/30</f>
        <v>187.4187</v>
      </c>
      <c r="D96" s="247">
        <f>C96-'NOPA Crush'!G521</f>
        <v>9.9137000000000057</v>
      </c>
      <c r="E96" s="188">
        <f>C96/'NOPA Crush'!G521-1</f>
        <v>5.5850257739218589E-2</v>
      </c>
      <c r="F96" s="189">
        <v>4154.6139999999996</v>
      </c>
      <c r="G96" s="189">
        <v>4124.2849999999999</v>
      </c>
      <c r="H96" s="189">
        <v>30.329000000000001</v>
      </c>
      <c r="I96" s="189">
        <v>415.59300000000002</v>
      </c>
      <c r="J96" s="190">
        <f t="shared" ref="J96" si="2515">F96*2/C96</f>
        <v>44.335106368788168</v>
      </c>
      <c r="K96" s="190">
        <f t="shared" ref="K96" si="2516">(F96+M96)*2/C96</f>
        <v>47.352894881887451</v>
      </c>
      <c r="L96" s="190">
        <f>K96-'NOPA Crush'!J521</f>
        <v>-0.16710511811255202</v>
      </c>
      <c r="M96" s="189">
        <v>282.79500000000002</v>
      </c>
      <c r="N96" s="189">
        <v>40.283999999999999</v>
      </c>
      <c r="O96" s="189">
        <v>2195.3580000000002</v>
      </c>
      <c r="P96" s="189">
        <v>1902.38</v>
      </c>
      <c r="Q96" s="189">
        <v>1014.514</v>
      </c>
      <c r="R96" s="189">
        <v>355.26499999999999</v>
      </c>
      <c r="S96" s="189">
        <v>532.601</v>
      </c>
      <c r="T96" s="189">
        <v>403.767</v>
      </c>
      <c r="U96" s="189">
        <f>(P96+T96)-'NOPA Crush'!Q521</f>
        <v>515.57799999999997</v>
      </c>
      <c r="V96" s="191">
        <f>((P96+T96)/'NOPA Crush'!Q521)-1</f>
        <v>0.28794087242658617</v>
      </c>
      <c r="W96" s="190">
        <f t="shared" ref="W96" si="2517">O96/C96</f>
        <v>11.713655040825703</v>
      </c>
      <c r="X96" s="190">
        <f>W96-'NOPA Crush'!O521</f>
        <v>-2.6344959174297244E-2</v>
      </c>
      <c r="Y96" s="190">
        <f t="shared" ref="Y96:Y97" si="2518">K96+W96</f>
        <v>59.066549922713151</v>
      </c>
      <c r="Z96" s="211">
        <v>1615.6120000000001</v>
      </c>
      <c r="AA96" s="211">
        <v>1582.664</v>
      </c>
      <c r="AB96" s="191">
        <f t="shared" si="2117"/>
        <v>2.0393510323023157E-2</v>
      </c>
      <c r="AC96" s="344">
        <f t="shared" ref="AC96:AC101" si="2519">FORECAST(AF96,AC72:AC95,AF72:AF95)</f>
        <v>170.4698866099904</v>
      </c>
      <c r="AD96" s="211">
        <v>1611.482</v>
      </c>
      <c r="AE96" s="211">
        <v>1083.2539999999999</v>
      </c>
      <c r="AF96" s="211">
        <v>528.22799999999995</v>
      </c>
      <c r="AG96" s="191">
        <f t="shared" si="1322"/>
        <v>1.8208539525761624E-2</v>
      </c>
      <c r="AI96" s="211">
        <v>694.18700000000001</v>
      </c>
      <c r="AJ96" s="247">
        <f t="shared" si="11"/>
        <v>23.139566666666667</v>
      </c>
      <c r="AK96" s="211">
        <v>503.197</v>
      </c>
      <c r="AL96" s="211">
        <v>71.575999999999993</v>
      </c>
      <c r="AM96" s="190">
        <f t="shared" ref="AM96" si="2520">AK96*2/AJ96</f>
        <v>43.492344281872178</v>
      </c>
      <c r="AN96" s="190">
        <f t="shared" ref="AN96" si="2521">AM96-J96</f>
        <v>-0.84276208691598953</v>
      </c>
      <c r="AO96" s="211">
        <v>280.113</v>
      </c>
      <c r="AP96" s="340">
        <f>Q96-BA96-BL96-BW96-CH96-CS96</f>
        <v>140.2322244145617</v>
      </c>
      <c r="AQ96" s="190">
        <f t="shared" ref="AQ96" si="2522">AO96/AJ96</f>
        <v>12.105369302507825</v>
      </c>
      <c r="AR96" s="190">
        <f t="shared" ref="AR96" si="2523">AQ96-W96</f>
        <v>0.39171426168212164</v>
      </c>
      <c r="AS96" s="190">
        <f t="shared" ref="AS96:AS97" si="2524">AM96+AQ96</f>
        <v>55.597713584380003</v>
      </c>
      <c r="AT96" s="211">
        <v>1134.4580000000001</v>
      </c>
      <c r="AU96" s="247">
        <f t="shared" si="16"/>
        <v>37.815266666666666</v>
      </c>
      <c r="AV96" s="211">
        <v>839.50900000000001</v>
      </c>
      <c r="AW96" s="211">
        <v>50.682000000000002</v>
      </c>
      <c r="AX96" s="190">
        <f t="shared" ref="AX96" si="2525">AV96*2/AU96</f>
        <v>44.400533118017592</v>
      </c>
      <c r="AY96" s="190">
        <f t="shared" ref="AY96" si="2526">AX96-J96</f>
        <v>6.542674922942382E-2</v>
      </c>
      <c r="AZ96" s="211">
        <v>448.28100000000001</v>
      </c>
      <c r="BA96" s="211">
        <v>193.25399999999999</v>
      </c>
      <c r="BB96" s="190">
        <f t="shared" ref="BB96" si="2527">AZ96/AU96</f>
        <v>11.854497918829962</v>
      </c>
      <c r="BC96" s="190">
        <f t="shared" ref="BC96" si="2528">BB96-W96</f>
        <v>0.14084287800425876</v>
      </c>
      <c r="BD96" s="247">
        <f t="shared" ref="BD96" si="2529">AX96+BB96</f>
        <v>56.255031036847555</v>
      </c>
      <c r="BE96" s="211">
        <v>1283.2460000000001</v>
      </c>
      <c r="BF96" s="247">
        <f t="shared" si="58"/>
        <v>42.774866666666668</v>
      </c>
      <c r="BG96" s="211">
        <v>950.50800000000004</v>
      </c>
      <c r="BH96" s="211">
        <v>127.54</v>
      </c>
      <c r="BI96" s="190">
        <f t="shared" ref="BI96" si="2530">BG96*2/BF96</f>
        <v>44.442359454071941</v>
      </c>
      <c r="BJ96" s="190">
        <f t="shared" ref="BJ96" si="2531">BI96-J96</f>
        <v>0.10725308528377298</v>
      </c>
      <c r="BK96" s="211">
        <v>492.43099999999998</v>
      </c>
      <c r="BL96" s="211">
        <v>196.32599999999999</v>
      </c>
      <c r="BM96" s="190">
        <f t="shared" ref="BM96" si="2532">BK96/BF96</f>
        <v>11.512157450714827</v>
      </c>
      <c r="BN96" s="190">
        <f t="shared" ref="BN96" si="2533">BM96-W96</f>
        <v>-0.20149759011087554</v>
      </c>
      <c r="BO96" s="247">
        <f t="shared" ref="BO96" si="2534">BM96+BI96</f>
        <v>55.954516904786772</v>
      </c>
      <c r="BP96" s="211">
        <v>944.50800000000004</v>
      </c>
      <c r="BQ96" s="247">
        <f t="shared" si="26"/>
        <v>31.483600000000003</v>
      </c>
      <c r="BR96" s="211">
        <v>699.78899999999999</v>
      </c>
      <c r="BS96" s="211">
        <v>62.261000000000003</v>
      </c>
      <c r="BT96" s="190">
        <f t="shared" ref="BT96" si="2535">BR96*2/BQ96</f>
        <v>44.454192023783804</v>
      </c>
      <c r="BU96" s="190">
        <f t="shared" ref="BU96" si="2536">BT96-J96</f>
        <v>0.1190856549956365</v>
      </c>
      <c r="BV96" s="211">
        <v>360.964</v>
      </c>
      <c r="BW96" s="211">
        <v>300.26799999999997</v>
      </c>
      <c r="BX96" s="190">
        <f t="shared" ref="BX96" si="2537">BV96/BQ96</f>
        <v>11.465143757384796</v>
      </c>
      <c r="BY96" s="190">
        <f t="shared" ref="BY96" si="2538">BX96-W96</f>
        <v>-0.24851128344090689</v>
      </c>
      <c r="BZ96" s="194">
        <f t="shared" ref="BZ96:BZ97" si="2539">BT96+BX96</f>
        <v>55.919335781168598</v>
      </c>
      <c r="CA96" s="211">
        <v>616.43799999999999</v>
      </c>
      <c r="CB96" s="247">
        <f t="shared" si="32"/>
        <v>20.547933333333333</v>
      </c>
      <c r="CC96" s="211">
        <v>453.64400000000001</v>
      </c>
      <c r="CD96" s="211">
        <v>45.451999999999998</v>
      </c>
      <c r="CE96" s="190">
        <f t="shared" ref="CE96" si="2540">CC96*2/CB96</f>
        <v>44.15470817827584</v>
      </c>
      <c r="CF96" s="190">
        <f t="shared" ref="CF96" si="2541">CE96-J96</f>
        <v>-0.18039819051232797</v>
      </c>
      <c r="CG96" s="211">
        <v>228.84299999999999</v>
      </c>
      <c r="CH96" s="340">
        <f>(SUM(CH86:CH95)/SUM($P86:$P95))*$P96</f>
        <v>64.287775585438297</v>
      </c>
      <c r="CI96" s="190">
        <f t="shared" ref="CI96" si="2542">CG96/CB96</f>
        <v>11.137032434729852</v>
      </c>
      <c r="CJ96" s="190">
        <f t="shared" ref="CJ96" si="2543">CI96-W96</f>
        <v>-0.57662260609585125</v>
      </c>
      <c r="CK96" s="194">
        <f t="shared" ref="CK96" si="2544">CI96+CE96</f>
        <v>55.291740613005693</v>
      </c>
      <c r="CL96" s="211">
        <v>949.72400000000005</v>
      </c>
      <c r="CM96" s="247">
        <f t="shared" si="60"/>
        <v>31.657466666666668</v>
      </c>
      <c r="CN96" s="211">
        <v>707.96699999999998</v>
      </c>
      <c r="CO96" s="211">
        <v>58.082000000000001</v>
      </c>
      <c r="CP96" s="190">
        <f t="shared" ref="CP96" si="2545">CN96*2/CM96</f>
        <v>44.726699546394528</v>
      </c>
      <c r="CQ96" s="190">
        <f t="shared" ref="CQ96" si="2546">CP96-J96</f>
        <v>0.39159317760636014</v>
      </c>
      <c r="CR96" s="211">
        <v>384.726</v>
      </c>
      <c r="CS96" s="211">
        <v>120.146</v>
      </c>
      <c r="CT96" s="190">
        <f t="shared" ref="CT96" si="2547">CR96/CM96</f>
        <v>12.152772805572987</v>
      </c>
      <c r="CU96" s="190">
        <f t="shared" ref="CU96" si="2548">CT96-W96</f>
        <v>0.4391177647472837</v>
      </c>
      <c r="CV96" s="247">
        <f t="shared" ref="CV96" si="2549">CP96+CT96</f>
        <v>56.879472351967514</v>
      </c>
      <c r="CW96" s="163"/>
      <c r="CX96" s="196">
        <f t="shared" ref="CX96" si="2550">C96-AJ96-AU96-BF96-BQ96-CB96-CM96</f>
        <v>0</v>
      </c>
      <c r="CY96" s="196">
        <f t="shared" ref="CY96" si="2551">F96-AK96-AV96-BG96-BR96-CC96-CN96</f>
        <v>0</v>
      </c>
      <c r="CZ96" s="196">
        <f t="shared" ref="CZ96" si="2552">I96-AL96-AW96-BH96-BS96-CD96-CO96</f>
        <v>0</v>
      </c>
      <c r="DA96" s="196">
        <f t="shared" ref="DA96" si="2553">O96-AO96-AZ96-BK96-BV96-CG96-CR96</f>
        <v>0</v>
      </c>
      <c r="DB96" s="196">
        <f t="shared" ref="DB96" si="2554">Q96-AP96-BA96-BL96-BW96-CH96-CS96</f>
        <v>0</v>
      </c>
      <c r="DC96" s="196">
        <f t="shared" ref="DC96" si="2555">P96-Q96-R96-S96</f>
        <v>0</v>
      </c>
      <c r="DD96" s="163"/>
      <c r="DE96" s="200">
        <v>181.45500000000001</v>
      </c>
      <c r="DF96" s="200">
        <v>104.20699999999999</v>
      </c>
      <c r="DG96" s="200">
        <v>42.220999999999997</v>
      </c>
      <c r="DH96" s="191">
        <f t="shared" si="61"/>
        <v>0.57428563555702505</v>
      </c>
      <c r="DI96" s="197">
        <v>145.91399999999999</v>
      </c>
      <c r="DJ96" s="191">
        <f t="shared" si="48"/>
        <v>0.40206662808960891</v>
      </c>
      <c r="DK96" s="197">
        <v>139.23400000000001</v>
      </c>
      <c r="DL96" s="197">
        <v>134.93799999999999</v>
      </c>
      <c r="DM96" s="191">
        <f t="shared" si="62"/>
        <v>3.0854532657253353E-2</v>
      </c>
      <c r="DN96" s="200">
        <v>140.154</v>
      </c>
      <c r="DO96" s="200">
        <v>87.566999999999993</v>
      </c>
      <c r="DP96" s="200">
        <v>103.07599999999999</v>
      </c>
      <c r="DQ96" s="200">
        <f t="shared" ref="DQ96" si="2556">DP96+DO96</f>
        <v>190.64299999999997</v>
      </c>
      <c r="DR96" s="191">
        <f t="shared" ref="DR96" si="2557">DJ96+DH96</f>
        <v>0.97635226364663397</v>
      </c>
      <c r="DS96" s="199">
        <f t="shared" ref="DS96" si="2558">DK96/DI96</f>
        <v>0.95421960881066947</v>
      </c>
      <c r="DT96" s="200">
        <v>116.905</v>
      </c>
      <c r="DU96" s="200">
        <v>48.103000000000002</v>
      </c>
      <c r="DV96" s="200">
        <v>31.286000000000001</v>
      </c>
      <c r="DW96" s="191">
        <f t="shared" si="1537"/>
        <v>0.41147085240152259</v>
      </c>
      <c r="DX96" s="197">
        <v>32.247</v>
      </c>
      <c r="DY96" s="191">
        <f t="shared" si="1538"/>
        <v>0.13791967837132715</v>
      </c>
      <c r="DZ96" s="197">
        <v>27.617000000000001</v>
      </c>
      <c r="EA96" s="197">
        <v>27.03</v>
      </c>
      <c r="EB96" s="191">
        <f t="shared" si="52"/>
        <v>2.125502407937141E-2</v>
      </c>
      <c r="EC96" s="200">
        <v>30.73</v>
      </c>
      <c r="ED96" s="206">
        <f t="shared" si="1933"/>
        <v>30</v>
      </c>
      <c r="EE96" s="200">
        <v>31.792999999999999</v>
      </c>
      <c r="EF96" s="205">
        <f t="shared" si="2512"/>
        <v>61.792999999999999</v>
      </c>
      <c r="EG96" s="191">
        <f t="shared" si="2513"/>
        <v>0.54939053077284972</v>
      </c>
      <c r="EJ96" s="202">
        <f t="shared" si="1363"/>
        <v>12.091529032258064</v>
      </c>
      <c r="EK96" s="202">
        <f>'NOPA Crush'!B521*56/('NOPA Crush'!A521-'NOPA Crush'!A520)</f>
        <v>12.885446853046597</v>
      </c>
      <c r="EL96" s="203">
        <f t="shared" si="1451"/>
        <v>0.93838647352762772</v>
      </c>
      <c r="EM96" s="202">
        <f t="shared" si="1406"/>
        <v>5.8533870967741937</v>
      </c>
      <c r="EN96" s="202">
        <f t="shared" si="1407"/>
        <v>7.542258064516129E-3</v>
      </c>
      <c r="EO96" s="202">
        <f t="shared" si="1452"/>
        <v>17.952458387096772</v>
      </c>
    </row>
    <row r="97" spans="1:145">
      <c r="A97" s="157">
        <v>44927</v>
      </c>
      <c r="B97" s="186">
        <v>5734.3980000000001</v>
      </c>
      <c r="C97" s="187">
        <f t="shared" ref="C97" si="2559">B97/30</f>
        <v>191.14660000000001</v>
      </c>
      <c r="D97" s="247">
        <f>C97-'NOPA Crush'!G522</f>
        <v>12.139600000000002</v>
      </c>
      <c r="E97" s="188">
        <f>C97/'NOPA Crush'!G522-1</f>
        <v>6.7816342377672312E-2</v>
      </c>
      <c r="F97" s="189">
        <v>4254.5990000000002</v>
      </c>
      <c r="G97" s="189">
        <v>4208.7830000000004</v>
      </c>
      <c r="H97" s="189">
        <v>45.816000000000003</v>
      </c>
      <c r="I97" s="189">
        <v>397.63799999999998</v>
      </c>
      <c r="J97" s="190">
        <f t="shared" ref="J97" si="2560">F97*2/C97</f>
        <v>44.516606625490596</v>
      </c>
      <c r="K97" s="190">
        <f t="shared" ref="K97" si="2561">(F97+M97)*2/C97</f>
        <v>47.512317770758152</v>
      </c>
      <c r="L97" s="190">
        <f>K97-'NOPA Crush'!J522</f>
        <v>0.1923177707581516</v>
      </c>
      <c r="M97" s="189">
        <v>286.31</v>
      </c>
      <c r="N97" s="189">
        <v>45.228000000000002</v>
      </c>
      <c r="O97" s="189">
        <v>2252.3119999999999</v>
      </c>
      <c r="P97" s="189">
        <v>1898.8920000000001</v>
      </c>
      <c r="Q97" s="189">
        <v>1015.648</v>
      </c>
      <c r="R97" s="189">
        <v>308.84699999999998</v>
      </c>
      <c r="S97" s="189">
        <v>574.39700000000005</v>
      </c>
      <c r="T97" s="189">
        <v>457.50900000000001</v>
      </c>
      <c r="U97" s="189">
        <f>(P97+T97)-'NOPA Crush'!Q522</f>
        <v>527.79999999999973</v>
      </c>
      <c r="V97" s="191">
        <f>((P97+T97)/'NOPA Crush'!Q522)-1</f>
        <v>0.28863595721537916</v>
      </c>
      <c r="W97" s="190">
        <f t="shared" ref="W97" si="2562">O97/C97</f>
        <v>11.783165381963371</v>
      </c>
      <c r="X97" s="190">
        <f>W97-'NOPA Crush'!O522</f>
        <v>-1.6834618036629223E-2</v>
      </c>
      <c r="Y97" s="190">
        <f t="shared" si="2518"/>
        <v>59.295483152721523</v>
      </c>
      <c r="Z97" s="211">
        <v>1753.308</v>
      </c>
      <c r="AA97" s="211">
        <v>1719.2149999999999</v>
      </c>
      <c r="AB97" s="191">
        <f t="shared" si="2117"/>
        <v>1.9444957759846001E-2</v>
      </c>
      <c r="AC97" s="344">
        <f t="shared" si="2519"/>
        <v>159.86355514271909</v>
      </c>
      <c r="AD97" s="211">
        <v>1667.2170000000001</v>
      </c>
      <c r="AE97" s="211">
        <v>1175.5840000000001</v>
      </c>
      <c r="AF97" s="211">
        <v>491.63299999999998</v>
      </c>
      <c r="AG97" s="191">
        <f t="shared" si="1322"/>
        <v>-3.0245199117038823E-2</v>
      </c>
      <c r="AI97" s="211">
        <v>697.71400000000006</v>
      </c>
      <c r="AJ97" s="247">
        <f t="shared" si="11"/>
        <v>23.257133333333336</v>
      </c>
      <c r="AK97" s="211">
        <v>519.79</v>
      </c>
      <c r="AL97" s="340">
        <f>I97-AW97-BH97-BS97-CD97-CO97</f>
        <v>68.462495411480106</v>
      </c>
      <c r="AM97" s="190">
        <f t="shared" ref="AM97" si="2563">AK97*2/AJ97</f>
        <v>44.699404053810007</v>
      </c>
      <c r="AN97" s="190">
        <f t="shared" ref="AN97" si="2564">AM97-J97</f>
        <v>0.18279742831941093</v>
      </c>
      <c r="AO97" s="211">
        <v>282.81099999999998</v>
      </c>
      <c r="AP97" s="340">
        <f>Q97-BA97-BL97-BW97-CH97-CS97</f>
        <v>167.41283493735767</v>
      </c>
      <c r="AQ97" s="190">
        <f t="shared" ref="AQ97" si="2565">AO97/AJ97</f>
        <v>12.160183112278094</v>
      </c>
      <c r="AR97" s="190">
        <f t="shared" ref="AR97" si="2566">AQ97-W97</f>
        <v>0.37701773031472285</v>
      </c>
      <c r="AS97" s="190">
        <f t="shared" si="2524"/>
        <v>56.859587166088104</v>
      </c>
      <c r="AT97" s="211">
        <v>1124.8889999999999</v>
      </c>
      <c r="AU97" s="247">
        <f t="shared" si="16"/>
        <v>37.496299999999998</v>
      </c>
      <c r="AV97" s="211">
        <v>839.46900000000005</v>
      </c>
      <c r="AW97" s="211">
        <v>52.375</v>
      </c>
      <c r="AX97" s="190">
        <f t="shared" ref="AX97" si="2567">AV97*2/AU97</f>
        <v>44.77609790832696</v>
      </c>
      <c r="AY97" s="190">
        <f t="shared" ref="AY97" si="2568">AX97-J97</f>
        <v>0.25949128283636469</v>
      </c>
      <c r="AZ97" s="211">
        <v>443.8</v>
      </c>
      <c r="BA97" s="211">
        <v>199.82499999999999</v>
      </c>
      <c r="BB97" s="190">
        <f t="shared" ref="BB97" si="2569">AZ97/AU97</f>
        <v>11.835834469000943</v>
      </c>
      <c r="BC97" s="190">
        <f t="shared" ref="BC97" si="2570">BB97-W97</f>
        <v>5.2669087037571671E-2</v>
      </c>
      <c r="BD97" s="247">
        <f t="shared" ref="BD97" si="2571">AX97+BB97</f>
        <v>56.611932377327904</v>
      </c>
      <c r="BE97" s="211">
        <v>1340.192</v>
      </c>
      <c r="BF97" s="247">
        <f t="shared" si="58"/>
        <v>44.673066666666664</v>
      </c>
      <c r="BG97" s="211">
        <v>998.15700000000004</v>
      </c>
      <c r="BH97" s="211">
        <v>134.71700000000001</v>
      </c>
      <c r="BI97" s="190">
        <f t="shared" ref="BI97" si="2572">BG97*2/BF97</f>
        <v>44.687194073684971</v>
      </c>
      <c r="BJ97" s="190">
        <f t="shared" ref="BJ97" si="2573">BI97-J97</f>
        <v>0.17058744819437521</v>
      </c>
      <c r="BK97" s="211">
        <v>518.76700000000005</v>
      </c>
      <c r="BL97" s="211">
        <v>224.012</v>
      </c>
      <c r="BM97" s="190">
        <f t="shared" ref="BM97" si="2574">BK97/BF97</f>
        <v>11.612522683317019</v>
      </c>
      <c r="BN97" s="190">
        <f t="shared" ref="BN97" si="2575">BM97-W97</f>
        <v>-0.17064269864635229</v>
      </c>
      <c r="BO97" s="247">
        <f t="shared" ref="BO97" si="2576">BM97+BI97</f>
        <v>56.299716757001988</v>
      </c>
      <c r="BP97" s="211">
        <v>934.13699999999994</v>
      </c>
      <c r="BQ97" s="247">
        <f t="shared" si="26"/>
        <v>31.137899999999998</v>
      </c>
      <c r="BR97" s="211">
        <v>692.76300000000003</v>
      </c>
      <c r="BS97" s="211">
        <v>56.96</v>
      </c>
      <c r="BT97" s="190">
        <f t="shared" ref="BT97" si="2577">BR97*2/BQ97</f>
        <v>44.496449664235548</v>
      </c>
      <c r="BU97" s="190">
        <f t="shared" ref="BU97" si="2578">BT97-J97</f>
        <v>-2.0156961255047179E-2</v>
      </c>
      <c r="BV97" s="211">
        <v>369.17599999999999</v>
      </c>
      <c r="BW97" s="211">
        <v>237.84200000000001</v>
      </c>
      <c r="BX97" s="190">
        <f t="shared" ref="BX97" si="2579">BV97/BQ97</f>
        <v>11.856162425854023</v>
      </c>
      <c r="BY97" s="190">
        <f t="shared" ref="BY97" si="2580">BX97-W97</f>
        <v>7.299704389065198E-2</v>
      </c>
      <c r="BZ97" s="194">
        <f t="shared" si="2539"/>
        <v>56.352612090089572</v>
      </c>
      <c r="CA97" s="211">
        <v>692.82899999999995</v>
      </c>
      <c r="CB97" s="247">
        <f t="shared" si="32"/>
        <v>23.094299999999997</v>
      </c>
      <c r="CC97" s="211">
        <v>503.495</v>
      </c>
      <c r="CD97" s="340">
        <f>(SUM(CD91:CD96)/SUM(I91:I96))*I97-15</f>
        <v>35.28050458851984</v>
      </c>
      <c r="CE97" s="190">
        <f t="shared" ref="CE97" si="2581">CC97*2/CB97</f>
        <v>43.603399973153557</v>
      </c>
      <c r="CF97" s="190">
        <f t="shared" ref="CF97" si="2582">CE97-J97</f>
        <v>-0.91320665233703835</v>
      </c>
      <c r="CG97" s="211">
        <v>257.99799999999999</v>
      </c>
      <c r="CH97" s="340">
        <f>(SUM(CH87:CH96)/SUM($P87:$P96))*$P97</f>
        <v>65.673165062642482</v>
      </c>
      <c r="CI97" s="190">
        <f t="shared" ref="CI97" si="2583">CG97/CB97</f>
        <v>11.171501192935054</v>
      </c>
      <c r="CJ97" s="190">
        <f t="shared" ref="CJ97" si="2584">CI97-W97</f>
        <v>-0.61166418902831765</v>
      </c>
      <c r="CK97" s="194">
        <f t="shared" ref="CK97" si="2585">CI97+CE97</f>
        <v>54.774901166088611</v>
      </c>
      <c r="CL97" s="211">
        <v>944.63699999999994</v>
      </c>
      <c r="CM97" s="247">
        <f t="shared" si="60"/>
        <v>31.4879</v>
      </c>
      <c r="CN97" s="211">
        <v>700.92499999999995</v>
      </c>
      <c r="CO97" s="211">
        <v>49.843000000000004</v>
      </c>
      <c r="CP97" s="190">
        <f t="shared" ref="CP97" si="2586">CN97*2/CM97</f>
        <v>44.520276042543323</v>
      </c>
      <c r="CQ97" s="190">
        <f t="shared" ref="CQ97" si="2587">CP97-J97</f>
        <v>3.6694170527269421E-3</v>
      </c>
      <c r="CR97" s="211">
        <v>379.76</v>
      </c>
      <c r="CS97" s="211">
        <v>120.883</v>
      </c>
      <c r="CT97" s="190">
        <f t="shared" ref="CT97" si="2588">CR97/CM97</f>
        <v>12.060505781585942</v>
      </c>
      <c r="CU97" s="190">
        <f t="shared" ref="CU97" si="2589">CT97-W97</f>
        <v>0.27734039962257029</v>
      </c>
      <c r="CV97" s="247">
        <f t="shared" ref="CV97" si="2590">CP97+CT97</f>
        <v>56.580781824129261</v>
      </c>
      <c r="CW97" s="163"/>
      <c r="CX97" s="196">
        <f t="shared" ref="CX97" si="2591">C97-AJ97-AU97-BF97-BQ97-CB97-CM97</f>
        <v>0</v>
      </c>
      <c r="CY97" s="196">
        <f t="shared" ref="CY97" si="2592">F97-AK97-AV97-BG97-BR97-CC97-CN97</f>
        <v>0</v>
      </c>
      <c r="CZ97" s="196">
        <f t="shared" ref="CZ97" si="2593">I97-AL97-AW97-BH97-BS97-CD97-CO97</f>
        <v>0</v>
      </c>
      <c r="DA97" s="196">
        <f t="shared" ref="DA97" si="2594">O97-AO97-AZ97-BK97-BV97-CG97-CR97</f>
        <v>0</v>
      </c>
      <c r="DB97" s="196">
        <f t="shared" ref="DB97" si="2595">Q97-AP97-BA97-BL97-BW97-CH97-CS97</f>
        <v>-1.2789769243681803E-13</v>
      </c>
      <c r="DC97" s="196">
        <f t="shared" ref="DC97" si="2596">P97-Q97-R97-S97</f>
        <v>0</v>
      </c>
      <c r="DD97" s="163"/>
      <c r="DE97" s="200">
        <v>204.34</v>
      </c>
      <c r="DF97" s="200">
        <v>118.623</v>
      </c>
      <c r="DG97" s="200">
        <v>50.54</v>
      </c>
      <c r="DH97" s="191">
        <f t="shared" si="61"/>
        <v>0.58051776451013015</v>
      </c>
      <c r="DI97" s="197">
        <v>165.78100000000001</v>
      </c>
      <c r="DJ97" s="191">
        <f t="shared" si="48"/>
        <v>0.40564989723010669</v>
      </c>
      <c r="DK97" s="197">
        <v>161.77799999999999</v>
      </c>
      <c r="DL97" s="197">
        <v>157.184</v>
      </c>
      <c r="DM97" s="191">
        <f t="shared" si="62"/>
        <v>2.8396939015193579E-2</v>
      </c>
      <c r="DN97" s="200">
        <v>145.07599999999999</v>
      </c>
      <c r="DO97" s="200">
        <v>81.224000000000004</v>
      </c>
      <c r="DP97" s="200">
        <v>103.791</v>
      </c>
      <c r="DQ97" s="200">
        <f t="shared" ref="DQ97" si="2597">DP97+DO97</f>
        <v>185.01499999999999</v>
      </c>
      <c r="DR97" s="191">
        <f t="shared" ref="DR97" si="2598">DJ97+DH97</f>
        <v>0.98616766174023684</v>
      </c>
      <c r="DS97" s="199">
        <f t="shared" ref="DS97" si="2599">DK97/DI97</f>
        <v>0.97585368649000781</v>
      </c>
      <c r="DT97" s="200">
        <v>135.46799999999999</v>
      </c>
      <c r="DU97" s="200">
        <v>59.707000000000001</v>
      </c>
      <c r="DV97" s="200">
        <v>28.677</v>
      </c>
      <c r="DW97" s="191">
        <f t="shared" si="1537"/>
        <v>0.44074615407328671</v>
      </c>
      <c r="DX97" s="197">
        <v>35.898000000000003</v>
      </c>
      <c r="DY97" s="191">
        <f t="shared" si="1538"/>
        <v>0.13249623527327489</v>
      </c>
      <c r="DZ97" s="197">
        <v>37.978000000000002</v>
      </c>
      <c r="EA97" s="197">
        <v>37.156999999999996</v>
      </c>
      <c r="EB97" s="191">
        <f t="shared" si="52"/>
        <v>2.1617778713992397E-2</v>
      </c>
      <c r="EC97" s="200">
        <v>34.838999999999999</v>
      </c>
      <c r="ED97" s="206">
        <f t="shared" si="1933"/>
        <v>25</v>
      </c>
      <c r="EE97" s="200">
        <v>34.244999999999997</v>
      </c>
      <c r="EF97" s="205">
        <f t="shared" ref="EF97" si="2600">EE97+ED97</f>
        <v>59.244999999999997</v>
      </c>
      <c r="EG97" s="191">
        <f t="shared" ref="EG97" si="2601">DY97+DW97</f>
        <v>0.57324238934656158</v>
      </c>
      <c r="EJ97" s="202">
        <f t="shared" si="1363"/>
        <v>12.33203870967742</v>
      </c>
      <c r="EK97" s="202">
        <f>'NOPA Crush'!B522*56/('NOPA Crush'!A522-'NOPA Crush'!A521)</f>
        <v>12.580239750260148</v>
      </c>
      <c r="EL97" s="203">
        <f t="shared" si="1451"/>
        <v>0.98027056355761455</v>
      </c>
      <c r="EM97" s="202">
        <f t="shared" si="1406"/>
        <v>6.5916129032258066</v>
      </c>
      <c r="EN97" s="202">
        <f t="shared" si="1407"/>
        <v>8.7398709677419355E-3</v>
      </c>
      <c r="EO97" s="202">
        <f t="shared" si="1452"/>
        <v>18.932391483870969</v>
      </c>
    </row>
    <row r="98" spans="1:145">
      <c r="A98" s="157">
        <v>44958</v>
      </c>
      <c r="B98" s="186">
        <v>5306.9949999999999</v>
      </c>
      <c r="C98" s="187">
        <f t="shared" ref="C98" si="2602">B98/30</f>
        <v>176.89983333333333</v>
      </c>
      <c r="D98" s="247">
        <f>C98-'NOPA Crush'!G523</f>
        <v>11.485833333333346</v>
      </c>
      <c r="E98" s="188">
        <f>C98/'NOPA Crush'!G523-1</f>
        <v>6.9436887647559065E-2</v>
      </c>
      <c r="F98" s="189">
        <v>3934.5880000000002</v>
      </c>
      <c r="G98" s="189">
        <v>3897.6219999999998</v>
      </c>
      <c r="H98" s="189">
        <v>36.966000000000001</v>
      </c>
      <c r="I98" s="189">
        <v>430.34100000000001</v>
      </c>
      <c r="J98" s="190">
        <f t="shared" ref="J98" si="2603">F98*2/C98</f>
        <v>44.483795443560815</v>
      </c>
      <c r="K98" s="190">
        <f t="shared" ref="K98" si="2604">(F98+M98)*2/C98</f>
        <v>47.457184338783058</v>
      </c>
      <c r="L98" s="190">
        <f>K98-'NOPA Crush'!J523</f>
        <v>-5.2815661216939702E-2</v>
      </c>
      <c r="M98" s="189">
        <v>262.99599999999998</v>
      </c>
      <c r="N98" s="189">
        <v>45.317999999999998</v>
      </c>
      <c r="O98" s="189">
        <v>2091.2179999999998</v>
      </c>
      <c r="P98" s="189">
        <v>1902.3820000000001</v>
      </c>
      <c r="Q98" s="189">
        <v>1004.199</v>
      </c>
      <c r="R98" s="189">
        <v>287.238</v>
      </c>
      <c r="S98" s="189">
        <v>610.94500000000005</v>
      </c>
      <c r="T98" s="189">
        <v>461.41500000000002</v>
      </c>
      <c r="U98" s="189">
        <f>(P98+T98)-'NOPA Crush'!Q523</f>
        <v>554.98099999999999</v>
      </c>
      <c r="V98" s="191">
        <f>((P98+T98)/'NOPA Crush'!Q523)-1</f>
        <v>0.3068200413972455</v>
      </c>
      <c r="W98" s="190">
        <f t="shared" ref="W98" si="2605">O98/C98</f>
        <v>11.821480894555204</v>
      </c>
      <c r="X98" s="190">
        <f>W98-'NOPA Crush'!O523</f>
        <v>-2.8519105444795301E-2</v>
      </c>
      <c r="Y98" s="190">
        <f t="shared" ref="Y98" si="2606">K98+W98</f>
        <v>59.278665233338259</v>
      </c>
      <c r="Z98" s="211">
        <v>1696.242</v>
      </c>
      <c r="AA98" s="211">
        <v>1662.0719999999999</v>
      </c>
      <c r="AB98" s="191">
        <f t="shared" si="2117"/>
        <v>2.0144531263817354E-2</v>
      </c>
      <c r="AC98" s="344">
        <f t="shared" si="2519"/>
        <v>159.08886992818742</v>
      </c>
      <c r="AD98" s="211">
        <v>1653.1289999999999</v>
      </c>
      <c r="AE98" s="211">
        <v>1165.502</v>
      </c>
      <c r="AF98" s="211">
        <v>487.62700000000001</v>
      </c>
      <c r="AG98" s="191">
        <f t="shared" si="1322"/>
        <v>-5.3806333299640796E-3</v>
      </c>
      <c r="AI98" s="211">
        <v>637.41300000000001</v>
      </c>
      <c r="AJ98" s="247">
        <f t="shared" si="11"/>
        <v>21.2471</v>
      </c>
      <c r="AK98" s="211">
        <v>465.38</v>
      </c>
      <c r="AL98" s="211">
        <v>90.912000000000006</v>
      </c>
      <c r="AM98" s="190">
        <f t="shared" ref="AM98" si="2607">AK98*2/AJ98</f>
        <v>43.806448880082456</v>
      </c>
      <c r="AN98" s="190">
        <f t="shared" ref="AN98" si="2608">AM98-J98</f>
        <v>-0.67734656347835909</v>
      </c>
      <c r="AO98" s="211">
        <v>244.93299999999999</v>
      </c>
      <c r="AP98" s="340">
        <f>Q98-BA98-BL98-BW98-CH98-CS98</f>
        <v>164.14785100403546</v>
      </c>
      <c r="AQ98" s="190">
        <f t="shared" ref="AQ98" si="2609">AO98/AJ98</f>
        <v>11.527832033548108</v>
      </c>
      <c r="AR98" s="190">
        <f t="shared" ref="AR98" si="2610">AQ98-W98</f>
        <v>-0.29364886100709597</v>
      </c>
      <c r="AS98" s="190">
        <f t="shared" ref="AS98" si="2611">AM98+AQ98</f>
        <v>55.334280913630565</v>
      </c>
      <c r="AT98" s="211">
        <v>1114.0940000000001</v>
      </c>
      <c r="AU98" s="247">
        <f t="shared" si="16"/>
        <v>37.136466666666671</v>
      </c>
      <c r="AV98" s="211">
        <v>837.06100000000004</v>
      </c>
      <c r="AW98" s="211">
        <v>60.064</v>
      </c>
      <c r="AX98" s="190">
        <f t="shared" ref="AX98" si="2612">AV98*2/AU98</f>
        <v>45.080271503122717</v>
      </c>
      <c r="AY98" s="190">
        <f t="shared" ref="AY98" si="2613">AX98-J98</f>
        <v>0.5964760595619012</v>
      </c>
      <c r="AZ98" s="211">
        <v>441.149</v>
      </c>
      <c r="BA98" s="211">
        <v>211.80600000000001</v>
      </c>
      <c r="BB98" s="190">
        <f t="shared" ref="BB98" si="2614">AZ98/AU98</f>
        <v>11.879132281477146</v>
      </c>
      <c r="BC98" s="190">
        <f t="shared" ref="BC98" si="2615">BB98-W98</f>
        <v>5.7651386921941494E-2</v>
      </c>
      <c r="BD98" s="247">
        <f t="shared" ref="BD98" si="2616">AX98+BB98</f>
        <v>56.959403784599864</v>
      </c>
      <c r="BE98" s="211">
        <v>1214.2840000000001</v>
      </c>
      <c r="BF98" s="247">
        <f t="shared" si="58"/>
        <v>40.476133333333337</v>
      </c>
      <c r="BG98" s="211">
        <v>903.18499999999995</v>
      </c>
      <c r="BH98" s="211">
        <v>134.62100000000001</v>
      </c>
      <c r="BI98" s="190">
        <f t="shared" ref="BI98" si="2617">BG98*2/BF98</f>
        <v>44.628027710156758</v>
      </c>
      <c r="BJ98" s="190">
        <f t="shared" ref="BJ98" si="2618">BI98-J98</f>
        <v>0.14423226659594235</v>
      </c>
      <c r="BK98" s="211">
        <v>470.79500000000002</v>
      </c>
      <c r="BL98" s="211">
        <v>234.70400000000001</v>
      </c>
      <c r="BM98" s="190">
        <f t="shared" ref="BM98" si="2619">BK98/BF98</f>
        <v>11.631422303184427</v>
      </c>
      <c r="BN98" s="190">
        <f t="shared" ref="BN98" si="2620">BM98-W98</f>
        <v>-0.19005859137077685</v>
      </c>
      <c r="BO98" s="247">
        <f t="shared" ref="BO98" si="2621">BM98+BI98</f>
        <v>56.259450013341187</v>
      </c>
      <c r="BP98" s="211">
        <v>882.404</v>
      </c>
      <c r="BQ98" s="247">
        <f t="shared" si="26"/>
        <v>29.413466666666668</v>
      </c>
      <c r="BR98" s="211">
        <v>653.35599999999999</v>
      </c>
      <c r="BS98" s="211">
        <v>57.222999999999999</v>
      </c>
      <c r="BT98" s="190">
        <f t="shared" ref="BT98" si="2622">BR98*2/BQ98</f>
        <v>44.425637236458584</v>
      </c>
      <c r="BU98" s="190">
        <f t="shared" ref="BU98" si="2623">BT98-J98</f>
        <v>-5.8158207102231074E-2</v>
      </c>
      <c r="BV98" s="211">
        <v>345.27199999999999</v>
      </c>
      <c r="BW98" s="211">
        <v>223.35599999999999</v>
      </c>
      <c r="BX98" s="190">
        <f t="shared" ref="BX98" si="2624">BV98/BQ98</f>
        <v>11.738568728156263</v>
      </c>
      <c r="BY98" s="190">
        <f t="shared" ref="BY98" si="2625">BX98-W98</f>
        <v>-8.2912166398941167E-2</v>
      </c>
      <c r="BZ98" s="194">
        <f t="shared" ref="BZ98" si="2626">BT98+BX98</f>
        <v>56.164205964614851</v>
      </c>
      <c r="CA98" s="211">
        <v>610.87400000000002</v>
      </c>
      <c r="CB98" s="247">
        <f t="shared" si="32"/>
        <v>20.362466666666666</v>
      </c>
      <c r="CC98" s="211">
        <v>448.15600000000001</v>
      </c>
      <c r="CD98" s="211">
        <v>34.027000000000001</v>
      </c>
      <c r="CE98" s="190">
        <f t="shared" ref="CE98" si="2627">CC98*2/CB98</f>
        <v>44.017849834826826</v>
      </c>
      <c r="CF98" s="190">
        <f t="shared" ref="CF98" si="2628">CE98-J98</f>
        <v>-0.46594560873398905</v>
      </c>
      <c r="CG98" s="211">
        <v>234.916</v>
      </c>
      <c r="CH98" s="340">
        <f>(SUM(CH88:CH97)/SUM($P88:$P97))*$P98</f>
        <v>66.684148995964421</v>
      </c>
      <c r="CI98" s="190">
        <f t="shared" ref="CI98" si="2629">CG98/CB98</f>
        <v>11.53671624590341</v>
      </c>
      <c r="CJ98" s="190">
        <f t="shared" ref="CJ98" si="2630">CI98-W98</f>
        <v>-0.28476464865179452</v>
      </c>
      <c r="CK98" s="194">
        <f t="shared" ref="CK98" si="2631">CI98+CE98</f>
        <v>55.55456608073024</v>
      </c>
      <c r="CL98" s="211">
        <v>847.92600000000004</v>
      </c>
      <c r="CM98" s="247">
        <f t="shared" si="60"/>
        <v>28.264200000000002</v>
      </c>
      <c r="CN98" s="211">
        <v>627.45000000000005</v>
      </c>
      <c r="CO98" s="211">
        <v>53.494</v>
      </c>
      <c r="CP98" s="190">
        <f t="shared" ref="CP98" si="2632">CN98*2/CM98</f>
        <v>44.398921604007896</v>
      </c>
      <c r="CQ98" s="190">
        <f t="shared" ref="CQ98" si="2633">CP98-J98</f>
        <v>-8.4873839552919605E-2</v>
      </c>
      <c r="CR98" s="211">
        <v>354.15300000000002</v>
      </c>
      <c r="CS98" s="211">
        <v>103.501</v>
      </c>
      <c r="CT98" s="190">
        <f t="shared" ref="CT98" si="2634">CR98/CM98</f>
        <v>12.530091069267836</v>
      </c>
      <c r="CU98" s="190">
        <f t="shared" ref="CU98" si="2635">CT98-W98</f>
        <v>0.7086101747126321</v>
      </c>
      <c r="CV98" s="247">
        <f t="shared" ref="CV98" si="2636">CP98+CT98</f>
        <v>56.929012673275736</v>
      </c>
      <c r="CW98" s="163"/>
      <c r="CX98" s="196">
        <f t="shared" ref="CX98" si="2637">C98-AJ98-AU98-BF98-BQ98-CB98-CM98</f>
        <v>0</v>
      </c>
      <c r="CY98" s="196">
        <f t="shared" ref="CY98" si="2638">F98-AK98-AV98-BG98-BR98-CC98-CN98</f>
        <v>0</v>
      </c>
      <c r="CZ98" s="196">
        <f t="shared" ref="CZ98" si="2639">I98-AL98-AW98-BH98-BS98-CD98-CO98</f>
        <v>-5.6843418860808015E-14</v>
      </c>
      <c r="DA98" s="196">
        <f t="shared" ref="DA98" si="2640">O98-AO98-AZ98-BK98-BV98-CG98-CR98</f>
        <v>0</v>
      </c>
      <c r="DB98" s="196">
        <f t="shared" ref="DB98" si="2641">Q98-AP98-BA98-BL98-BW98-CH98-CS98</f>
        <v>0</v>
      </c>
      <c r="DC98" s="196">
        <f t="shared" ref="DC98" si="2642">P98-Q98-R98-S98</f>
        <v>0</v>
      </c>
      <c r="DD98" s="163"/>
      <c r="DE98" s="200">
        <v>177.90700000000001</v>
      </c>
      <c r="DF98" s="200">
        <v>104.119</v>
      </c>
      <c r="DG98" s="206">
        <f>MROUND(FORECAST(DF98,DG65:DG97,DF65:DF97),0.1)+8</f>
        <v>49.2</v>
      </c>
      <c r="DH98" s="191">
        <f t="shared" si="61"/>
        <v>0.58524397578510112</v>
      </c>
      <c r="DI98" s="197">
        <v>142.42400000000001</v>
      </c>
      <c r="DJ98" s="191">
        <f t="shared" si="48"/>
        <v>0.40027654898345766</v>
      </c>
      <c r="DK98" s="197">
        <v>151.767</v>
      </c>
      <c r="DL98" s="197">
        <v>147.04499999999999</v>
      </c>
      <c r="DM98" s="191">
        <f t="shared" si="62"/>
        <v>3.1113483168277778E-2</v>
      </c>
      <c r="DN98" s="200">
        <v>149.85300000000001</v>
      </c>
      <c r="DO98" s="200">
        <v>70.893000000000001</v>
      </c>
      <c r="DP98" s="200">
        <v>99.337000000000003</v>
      </c>
      <c r="DQ98" s="200">
        <f t="shared" ref="DQ98" si="2643">DP98+DO98</f>
        <v>170.23000000000002</v>
      </c>
      <c r="DR98" s="191">
        <f t="shared" ref="DR98" si="2644">DJ98+DH98</f>
        <v>0.98552052476855878</v>
      </c>
      <c r="DS98" s="199">
        <f t="shared" ref="DS98" si="2645">DK98/DI98</f>
        <v>1.0655998988934448</v>
      </c>
      <c r="DT98" s="200">
        <v>127.03700000000001</v>
      </c>
      <c r="DU98" s="200">
        <v>52.32</v>
      </c>
      <c r="DV98" s="200">
        <v>23.207999999999998</v>
      </c>
      <c r="DW98" s="191">
        <f t="shared" si="1537"/>
        <v>0.41184851657391153</v>
      </c>
      <c r="DX98" s="197">
        <v>35.673999999999999</v>
      </c>
      <c r="DY98" s="191">
        <f t="shared" si="1538"/>
        <v>0.14040791265536812</v>
      </c>
      <c r="DZ98" s="197">
        <v>35.631</v>
      </c>
      <c r="EA98" s="197">
        <v>34.777999999999999</v>
      </c>
      <c r="EB98" s="191">
        <f t="shared" si="52"/>
        <v>2.3939827678145509E-2</v>
      </c>
      <c r="EC98" s="200">
        <v>36.027000000000001</v>
      </c>
      <c r="ED98" s="206">
        <f t="shared" si="1933"/>
        <v>25</v>
      </c>
      <c r="EE98" s="200">
        <v>34.548999999999999</v>
      </c>
      <c r="EF98" s="205">
        <f t="shared" ref="EF98" si="2646">EE98+ED98</f>
        <v>59.548999999999999</v>
      </c>
      <c r="EG98" s="191">
        <f t="shared" ref="EG98" si="2647">DY98+DW98</f>
        <v>0.55225642922927964</v>
      </c>
      <c r="EJ98" s="202">
        <f t="shared" si="1363"/>
        <v>12.635702380952381</v>
      </c>
      <c r="EK98" s="202">
        <f>'NOPA Crush'!B523*56/('NOPA Crush'!A523-'NOPA Crush'!A522)</f>
        <v>12.542143045438781</v>
      </c>
      <c r="EL98" s="203">
        <f t="shared" si="1451"/>
        <v>1.0074595972294882</v>
      </c>
      <c r="EM98" s="202">
        <f t="shared" si="1406"/>
        <v>6.353821428571429</v>
      </c>
      <c r="EN98" s="202">
        <f t="shared" si="1407"/>
        <v>9.0740714285714296E-3</v>
      </c>
      <c r="EO98" s="202">
        <f t="shared" si="1452"/>
        <v>18.998597880952381</v>
      </c>
    </row>
    <row r="99" spans="1:145">
      <c r="A99" s="157">
        <v>44986</v>
      </c>
      <c r="B99" s="186">
        <v>5939.0119999999997</v>
      </c>
      <c r="C99" s="187">
        <f t="shared" ref="C99" si="2648">B99/30</f>
        <v>197.96706666666665</v>
      </c>
      <c r="D99" s="247">
        <f>C99-'NOPA Crush'!G524</f>
        <v>12.157066666666651</v>
      </c>
      <c r="E99" s="188">
        <f>C99/'NOPA Crush'!G524-1</f>
        <v>6.5427407925658709E-2</v>
      </c>
      <c r="F99" s="189">
        <v>4402.5479999999998</v>
      </c>
      <c r="G99" s="189">
        <v>4358.7120000000004</v>
      </c>
      <c r="H99" s="189">
        <v>43.835999999999999</v>
      </c>
      <c r="I99" s="189">
        <v>324.29199999999997</v>
      </c>
      <c r="J99" s="190">
        <f t="shared" ref="J99" si="2649">F99*2/C99</f>
        <v>44.477579772527825</v>
      </c>
      <c r="K99" s="190">
        <f t="shared" ref="K99" si="2650">(F99+M99)*2/C99</f>
        <v>47.464066413740198</v>
      </c>
      <c r="L99" s="190">
        <f>K99-'NOPA Crush'!J524</f>
        <v>-0.23593358625980443</v>
      </c>
      <c r="M99" s="189">
        <v>295.613</v>
      </c>
      <c r="N99" s="189">
        <v>54.758000000000003</v>
      </c>
      <c r="O99" s="189">
        <v>2339.5810000000001</v>
      </c>
      <c r="P99" s="189">
        <v>1946.9970000000001</v>
      </c>
      <c r="Q99" s="189">
        <v>1010.0890000000001</v>
      </c>
      <c r="R99" s="189">
        <v>308.79500000000002</v>
      </c>
      <c r="S99" s="189">
        <v>628.11300000000006</v>
      </c>
      <c r="T99" s="189">
        <v>440.51600000000002</v>
      </c>
      <c r="U99" s="189">
        <f>(P99+T99)-'NOPA Crush'!Q524</f>
        <v>536.40199999999982</v>
      </c>
      <c r="V99" s="191">
        <f>((P99+T99)/'NOPA Crush'!Q524)-1</f>
        <v>0.28977300658901584</v>
      </c>
      <c r="W99" s="190">
        <f t="shared" ref="W99" si="2651">O99/C99</f>
        <v>11.818031349322077</v>
      </c>
      <c r="X99" s="190">
        <f>W99-'NOPA Crush'!O524</f>
        <v>-3.1968650677923094E-2</v>
      </c>
      <c r="Y99" s="190">
        <f t="shared" ref="Y99" si="2652">K99+W99</f>
        <v>59.282097763062275</v>
      </c>
      <c r="Z99" s="211">
        <v>1853.6759999999999</v>
      </c>
      <c r="AA99" s="211">
        <v>1811.9490000000001</v>
      </c>
      <c r="AB99" s="191">
        <f t="shared" si="2117"/>
        <v>2.2510406349329583E-2</v>
      </c>
      <c r="AC99" s="344">
        <f t="shared" si="2519"/>
        <v>168.79768538699329</v>
      </c>
      <c r="AD99" s="211">
        <v>1833.386</v>
      </c>
      <c r="AE99" s="211">
        <v>1306.3</v>
      </c>
      <c r="AF99" s="211">
        <v>527.08600000000001</v>
      </c>
      <c r="AG99" s="191">
        <f t="shared" si="1322"/>
        <v>1.1830906940537345E-2</v>
      </c>
      <c r="AI99" s="211">
        <v>716.05</v>
      </c>
      <c r="AJ99" s="247">
        <f t="shared" si="11"/>
        <v>23.868333333333332</v>
      </c>
      <c r="AK99" s="211">
        <v>512.452</v>
      </c>
      <c r="AL99" s="211">
        <v>59.677999999999997</v>
      </c>
      <c r="AM99" s="190">
        <f t="shared" ref="AM99" si="2653">AK99*2/AJ99</f>
        <v>42.939906431115148</v>
      </c>
      <c r="AN99" s="190">
        <f t="shared" ref="AN99" si="2654">AM99-J99</f>
        <v>-1.5376733414126775</v>
      </c>
      <c r="AO99" s="211">
        <v>290.18599999999998</v>
      </c>
      <c r="AP99" s="211">
        <v>166.22</v>
      </c>
      <c r="AQ99" s="190">
        <f t="shared" ref="AQ99" si="2655">AO99/AJ99</f>
        <v>12.157782277773897</v>
      </c>
      <c r="AR99" s="190">
        <f t="shared" ref="AR99" si="2656">AQ99-W99</f>
        <v>0.33975092845182076</v>
      </c>
      <c r="AS99" s="190">
        <f t="shared" ref="AS99" si="2657">AM99+AQ99</f>
        <v>55.097688708889045</v>
      </c>
      <c r="AT99" s="211">
        <v>1254.0409999999999</v>
      </c>
      <c r="AU99" s="247">
        <f t="shared" si="16"/>
        <v>41.801366666666667</v>
      </c>
      <c r="AV99" s="211">
        <v>941.70399999999995</v>
      </c>
      <c r="AW99" s="211">
        <v>42.98</v>
      </c>
      <c r="AX99" s="190">
        <f t="shared" ref="AX99" si="2658">AV99*2/AU99</f>
        <v>45.056134528296923</v>
      </c>
      <c r="AY99" s="190">
        <f t="shared" ref="AY99" si="2659">AX99-J99</f>
        <v>0.57855475576909754</v>
      </c>
      <c r="AZ99" s="211">
        <v>496.09100000000001</v>
      </c>
      <c r="BA99" s="211">
        <v>210.63499999999999</v>
      </c>
      <c r="BB99" s="190">
        <f t="shared" ref="BB99" si="2660">AZ99/AU99</f>
        <v>11.86781771887841</v>
      </c>
      <c r="BC99" s="190">
        <f t="shared" ref="BC99" si="2661">BB99-W99</f>
        <v>4.9786369556333199E-2</v>
      </c>
      <c r="BD99" s="247">
        <f t="shared" ref="BD99" si="2662">AX99+BB99</f>
        <v>56.923952247175336</v>
      </c>
      <c r="BE99" s="211">
        <v>1325.5350000000001</v>
      </c>
      <c r="BF99" s="247">
        <f t="shared" si="58"/>
        <v>44.1845</v>
      </c>
      <c r="BG99" s="211">
        <v>982.27300000000002</v>
      </c>
      <c r="BH99" s="211">
        <v>103.48399999999999</v>
      </c>
      <c r="BI99" s="190">
        <f t="shared" ref="BI99" si="2663">BG99*2/BF99</f>
        <v>44.462334076429521</v>
      </c>
      <c r="BJ99" s="190">
        <f t="shared" ref="BJ99" si="2664">BI99-J99</f>
        <v>-1.5245696098304506E-2</v>
      </c>
      <c r="BK99" s="211">
        <v>510.96100000000001</v>
      </c>
      <c r="BL99" s="211">
        <v>229.345</v>
      </c>
      <c r="BM99" s="190">
        <f t="shared" ref="BM99" si="2665">BK99/BF99</f>
        <v>11.564258959589901</v>
      </c>
      <c r="BN99" s="190">
        <f t="shared" ref="BN99" si="2666">BM99-W99</f>
        <v>-0.25377238973217509</v>
      </c>
      <c r="BO99" s="247">
        <f t="shared" ref="BO99" si="2667">BM99+BI99</f>
        <v>56.02659303601942</v>
      </c>
      <c r="BP99" s="211">
        <v>993.56100000000004</v>
      </c>
      <c r="BQ99" s="247">
        <f t="shared" si="26"/>
        <v>33.118700000000004</v>
      </c>
      <c r="BR99" s="211">
        <v>743.48099999999999</v>
      </c>
      <c r="BS99" s="211">
        <v>45.03</v>
      </c>
      <c r="BT99" s="190">
        <f t="shared" ref="BT99" si="2668">BR99*2/BQ99</f>
        <v>44.897957951248081</v>
      </c>
      <c r="BU99" s="190">
        <f t="shared" ref="BU99" si="2669">BT99-J99</f>
        <v>0.42037817872025585</v>
      </c>
      <c r="BV99" s="211">
        <v>381.024</v>
      </c>
      <c r="BW99" s="211">
        <v>224.34399999999999</v>
      </c>
      <c r="BX99" s="190">
        <f t="shared" ref="BX99" si="2670">BV99/BQ99</f>
        <v>11.504799403358222</v>
      </c>
      <c r="BY99" s="190">
        <f t="shared" ref="BY99" si="2671">BX99-W99</f>
        <v>-0.31323194596385484</v>
      </c>
      <c r="BZ99" s="194">
        <f t="shared" ref="BZ99" si="2672">BT99+BX99</f>
        <v>56.402757354606301</v>
      </c>
      <c r="CA99" s="211">
        <v>677.61699999999996</v>
      </c>
      <c r="CB99" s="247">
        <f t="shared" si="32"/>
        <v>22.587233333333334</v>
      </c>
      <c r="CC99" s="211">
        <v>498.22699999999998</v>
      </c>
      <c r="CD99" s="211">
        <v>35.429000000000002</v>
      </c>
      <c r="CE99" s="190">
        <f t="shared" ref="CE99" si="2673">CC99*2/CB99</f>
        <v>44.115805831317687</v>
      </c>
      <c r="CF99" s="190">
        <f t="shared" ref="CF99" si="2674">CE99-J99</f>
        <v>-0.36177394121013862</v>
      </c>
      <c r="CG99" s="211">
        <v>261.05599999999998</v>
      </c>
      <c r="CH99" s="211">
        <v>66.278000000000006</v>
      </c>
      <c r="CI99" s="190">
        <f t="shared" ref="CI99" si="2675">CG99/CB99</f>
        <v>11.557679338033136</v>
      </c>
      <c r="CJ99" s="190">
        <f t="shared" ref="CJ99" si="2676">CI99-W99</f>
        <v>-0.26035201128894059</v>
      </c>
      <c r="CK99" s="194">
        <f t="shared" ref="CK99" si="2677">CI99+CE99</f>
        <v>55.673485169350826</v>
      </c>
      <c r="CL99" s="211">
        <v>972.20799999999997</v>
      </c>
      <c r="CM99" s="247">
        <f t="shared" si="60"/>
        <v>32.406933333333335</v>
      </c>
      <c r="CN99" s="211">
        <v>724.41099999999994</v>
      </c>
      <c r="CO99" s="211">
        <v>37.691000000000003</v>
      </c>
      <c r="CP99" s="190">
        <f t="shared" ref="CP99" si="2678">CN99*2/CM99</f>
        <v>44.707161430475779</v>
      </c>
      <c r="CQ99" s="190">
        <f t="shared" ref="CQ99" si="2679">CP99-J99</f>
        <v>0.22958165794795349</v>
      </c>
      <c r="CR99" s="211">
        <v>400.26299999999998</v>
      </c>
      <c r="CS99" s="211">
        <v>113.267</v>
      </c>
      <c r="CT99" s="190">
        <f t="shared" ref="CT99" si="2680">CR99/CM99</f>
        <v>12.351153251156131</v>
      </c>
      <c r="CU99" s="190">
        <f t="shared" ref="CU99" si="2681">CT99-W99</f>
        <v>0.53312190183405406</v>
      </c>
      <c r="CV99" s="247">
        <f t="shared" ref="CV99" si="2682">CP99+CT99</f>
        <v>57.058314681631913</v>
      </c>
      <c r="CW99" s="163"/>
      <c r="CX99" s="196">
        <f t="shared" ref="CX99:CX100" si="2683">C99-AJ99-AU99-BF99-BQ99-CB99-CM99</f>
        <v>0</v>
      </c>
      <c r="CY99" s="196">
        <f t="shared" ref="CY99:CY100" si="2684">F99-AK99-AV99-BG99-BR99-CC99-CN99</f>
        <v>0</v>
      </c>
      <c r="CZ99" s="196">
        <f>I99-AL99-AW99-BH99-BS99-CD99-CO99</f>
        <v>0</v>
      </c>
      <c r="DA99" s="196">
        <f t="shared" ref="DA99:DA100" si="2685">O99-AO99-AZ99-BK99-BV99-CG99-CR99</f>
        <v>0</v>
      </c>
      <c r="DB99" s="196">
        <f t="shared" ref="DB99:DB100" si="2686">Q99-AP99-BA99-BL99-BW99-CH99-CS99</f>
        <v>0</v>
      </c>
      <c r="DC99" s="196">
        <f t="shared" ref="DC99:DC100" si="2687">P99-Q99-R99-S99</f>
        <v>0</v>
      </c>
      <c r="DD99" s="163"/>
      <c r="DE99" s="200">
        <v>191.291</v>
      </c>
      <c r="DF99" s="200">
        <v>112.018</v>
      </c>
      <c r="DG99" s="349">
        <f>MROUND(FORECAST(DF99,DG66:DG98,DF66:DF98),0.1)+8</f>
        <v>49.400000000000006</v>
      </c>
      <c r="DH99" s="191">
        <f t="shared" si="61"/>
        <v>0.58558949453973264</v>
      </c>
      <c r="DI99" s="197">
        <v>154.876</v>
      </c>
      <c r="DJ99" s="191">
        <f t="shared" si="48"/>
        <v>0.40481779069585083</v>
      </c>
      <c r="DK99" s="197">
        <v>156.64500000000001</v>
      </c>
      <c r="DL99" s="197">
        <v>152.471</v>
      </c>
      <c r="DM99" s="191">
        <f t="shared" si="62"/>
        <v>2.6646238309553483E-2</v>
      </c>
      <c r="DN99" s="200">
        <v>157.923</v>
      </c>
      <c r="DO99" s="200">
        <v>74.091999999999999</v>
      </c>
      <c r="DP99" s="200">
        <v>103.413</v>
      </c>
      <c r="DQ99" s="200">
        <f t="shared" ref="DQ99" si="2688">DP99+DO99</f>
        <v>177.505</v>
      </c>
      <c r="DR99" s="191">
        <f t="shared" ref="DR99" si="2689">DJ99+DH99</f>
        <v>0.99040728523558341</v>
      </c>
      <c r="DS99" s="199">
        <f t="shared" ref="DS99" si="2690">DK99/DI99</f>
        <v>1.0114220408584933</v>
      </c>
      <c r="DT99" s="200">
        <v>136.88</v>
      </c>
      <c r="DU99" s="200">
        <v>55.722999999999999</v>
      </c>
      <c r="DV99" s="200">
        <v>23.315999999999999</v>
      </c>
      <c r="DW99" s="191">
        <f t="shared" si="1537"/>
        <v>0.407093804792519</v>
      </c>
      <c r="DX99" s="197">
        <v>33.482999999999997</v>
      </c>
      <c r="DY99" s="191">
        <f t="shared" si="1538"/>
        <v>0.12230786090005843</v>
      </c>
      <c r="DZ99" s="197">
        <v>32.131999999999998</v>
      </c>
      <c r="EA99" s="197">
        <v>31.507000000000001</v>
      </c>
      <c r="EB99" s="191">
        <f t="shared" si="52"/>
        <v>1.94510145649196E-2</v>
      </c>
      <c r="EC99" s="200">
        <v>28.335000000000001</v>
      </c>
      <c r="ED99" s="206">
        <f t="shared" si="1933"/>
        <v>27.5</v>
      </c>
      <c r="EE99" s="200">
        <v>38.213999999999999</v>
      </c>
      <c r="EF99" s="205">
        <f t="shared" ref="EF99:EF100" si="2691">EE99+ED99</f>
        <v>65.713999999999999</v>
      </c>
      <c r="EG99" s="191">
        <f t="shared" ref="EG99:EG100" si="2692">DY99+DW99</f>
        <v>0.52940166569257741</v>
      </c>
      <c r="EJ99" s="202">
        <f t="shared" si="1363"/>
        <v>12.7720688172043</v>
      </c>
      <c r="EK99" s="202">
        <f>'NOPA Crush'!B524*56/('NOPA Crush'!A524-'NOPA Crush'!A523)</f>
        <v>14.013284485407066</v>
      </c>
      <c r="EL99" s="203">
        <f t="shared" si="1451"/>
        <v>0.91142578533281582</v>
      </c>
      <c r="EM99" s="202">
        <f t="shared" si="1406"/>
        <v>6.1706774193548384</v>
      </c>
      <c r="EN99" s="202">
        <f t="shared" si="1407"/>
        <v>8.8309677419354839E-3</v>
      </c>
      <c r="EO99" s="202">
        <f t="shared" si="1452"/>
        <v>18.951577204301074</v>
      </c>
    </row>
    <row r="100" spans="1:145">
      <c r="A100" s="157">
        <v>45017</v>
      </c>
      <c r="B100" s="186">
        <v>5609.607</v>
      </c>
      <c r="C100" s="187">
        <f t="shared" ref="C100" si="2693">B100/30</f>
        <v>186.98689999999999</v>
      </c>
      <c r="D100" s="247">
        <f>C100-'NOPA Crush'!G525</f>
        <v>13.754899999999992</v>
      </c>
      <c r="E100" s="188">
        <f>C100/'NOPA Crush'!G525-1</f>
        <v>7.9401611711461983E-2</v>
      </c>
      <c r="F100" s="189">
        <v>4162.4059999999999</v>
      </c>
      <c r="G100" s="189">
        <v>4119.4179999999997</v>
      </c>
      <c r="H100" s="189">
        <v>42.988</v>
      </c>
      <c r="I100" s="189">
        <v>521.81399999999996</v>
      </c>
      <c r="J100" s="190">
        <f t="shared" ref="J100" si="2694">F100*2/C100</f>
        <v>44.520830068844397</v>
      </c>
      <c r="K100" s="190">
        <f t="shared" ref="K100" si="2695">(F100+M100)*2/C100</f>
        <v>47.421878217137142</v>
      </c>
      <c r="L100" s="190">
        <f>K100-'NOPA Crush'!J525</f>
        <v>-0.17812178286285985</v>
      </c>
      <c r="M100" s="189">
        <v>271.22899999999998</v>
      </c>
      <c r="N100" s="189">
        <v>56.021000000000001</v>
      </c>
      <c r="O100" s="189">
        <v>2236.3009999999999</v>
      </c>
      <c r="P100" s="189">
        <v>2078.5430000000001</v>
      </c>
      <c r="Q100" s="189">
        <v>1092.5619999999999</v>
      </c>
      <c r="R100" s="189">
        <v>321.03500000000003</v>
      </c>
      <c r="S100" s="189">
        <v>664.94600000000003</v>
      </c>
      <c r="T100" s="189">
        <v>461.13600000000002</v>
      </c>
      <c r="U100" s="189">
        <f>(P100+T100)-'NOPA Crush'!Q525</f>
        <v>582.63600000000019</v>
      </c>
      <c r="V100" s="191">
        <f>((P100+T100)/'NOPA Crush'!Q525)-1</f>
        <v>0.297712416129845</v>
      </c>
      <c r="W100" s="190">
        <f t="shared" ref="W100" si="2696">O100/C100</f>
        <v>11.959666693228243</v>
      </c>
      <c r="X100" s="190">
        <f>W100-'NOPA Crush'!O525</f>
        <v>1.9666693228243659E-2</v>
      </c>
      <c r="Y100" s="190">
        <f t="shared" ref="Y100" si="2697">K100+W100</f>
        <v>59.381544910365385</v>
      </c>
      <c r="Z100" s="211">
        <v>1716.3910000000001</v>
      </c>
      <c r="AA100" s="211">
        <v>1676.0070000000001</v>
      </c>
      <c r="AB100" s="191">
        <f t="shared" si="2117"/>
        <v>2.3528438450213275E-2</v>
      </c>
      <c r="AC100" s="344">
        <f t="shared" si="2519"/>
        <v>163.64451513609396</v>
      </c>
      <c r="AD100" s="211">
        <v>1655.547</v>
      </c>
      <c r="AE100" s="211">
        <v>1151.039</v>
      </c>
      <c r="AF100" s="211">
        <v>504.50799999999998</v>
      </c>
      <c r="AG100" s="191">
        <f t="shared" si="1322"/>
        <v>-1.2207586245164825E-2</v>
      </c>
      <c r="AI100" s="211">
        <v>662.34199999999998</v>
      </c>
      <c r="AJ100" s="247">
        <f t="shared" si="11"/>
        <v>22.078066666666665</v>
      </c>
      <c r="AK100" s="211">
        <v>487.24900000000002</v>
      </c>
      <c r="AL100" s="211">
        <v>81.093999999999994</v>
      </c>
      <c r="AM100" s="190">
        <f t="shared" ref="AM100" si="2698">AK100*2/AJ100</f>
        <v>44.138737993362952</v>
      </c>
      <c r="AN100" s="190">
        <f t="shared" ref="AN100" si="2699">AM100-J100</f>
        <v>-0.38209207548144519</v>
      </c>
      <c r="AO100" s="211">
        <v>266.25599999999997</v>
      </c>
      <c r="AP100" s="211">
        <v>157.38300000000001</v>
      </c>
      <c r="AQ100" s="190">
        <f t="shared" ref="AQ100" si="2700">AO100/AJ100</f>
        <v>12.059751608685543</v>
      </c>
      <c r="AR100" s="190">
        <f t="shared" ref="AR100" si="2701">AQ100-W100</f>
        <v>0.10008491545730003</v>
      </c>
      <c r="AS100" s="190">
        <f t="shared" ref="AS100" si="2702">AM100+AQ100</f>
        <v>56.198489602048497</v>
      </c>
      <c r="AT100" s="211">
        <v>1216.961</v>
      </c>
      <c r="AU100" s="247">
        <f t="shared" si="16"/>
        <v>40.565366666666669</v>
      </c>
      <c r="AV100" s="211">
        <v>908.09699999999998</v>
      </c>
      <c r="AW100" s="211">
        <v>81.86</v>
      </c>
      <c r="AX100" s="190">
        <f t="shared" ref="AX100" si="2703">AV100*2/AU100</f>
        <v>44.77203460094448</v>
      </c>
      <c r="AY100" s="190">
        <f t="shared" ref="AY100" si="2704">AX100-J100</f>
        <v>0.25120453210008264</v>
      </c>
      <c r="AZ100" s="211">
        <v>488.32100000000003</v>
      </c>
      <c r="BA100" s="211">
        <v>184.12</v>
      </c>
      <c r="BB100" s="190">
        <f t="shared" ref="BB100" si="2705">AZ100/AU100</f>
        <v>12.037879603372664</v>
      </c>
      <c r="BC100" s="190">
        <f t="shared" ref="BC100" si="2706">BB100-W100</f>
        <v>7.8212910144420889E-2</v>
      </c>
      <c r="BD100" s="247">
        <f t="shared" ref="BD100" si="2707">AX100+BB100</f>
        <v>56.809914204317145</v>
      </c>
      <c r="BE100" s="211">
        <v>1336.471</v>
      </c>
      <c r="BF100" s="247">
        <f t="shared" si="58"/>
        <v>44.549033333333334</v>
      </c>
      <c r="BG100" s="211">
        <v>991.31500000000005</v>
      </c>
      <c r="BH100" s="211">
        <v>164.964</v>
      </c>
      <c r="BI100" s="190">
        <f t="shared" ref="BI100" si="2708">BG100*2/BF100</f>
        <v>44.504444915003766</v>
      </c>
      <c r="BJ100" s="190">
        <f t="shared" ref="BJ100" si="2709">BI100-J100</f>
        <v>-1.6385153840630551E-2</v>
      </c>
      <c r="BK100" s="211">
        <v>524.65099999999995</v>
      </c>
      <c r="BL100" s="211">
        <v>255.80600000000001</v>
      </c>
      <c r="BM100" s="190">
        <f t="shared" ref="BM100" si="2710">BK100/BF100</f>
        <v>11.776933431402551</v>
      </c>
      <c r="BN100" s="190">
        <f t="shared" ref="BN100" si="2711">BM100-W100</f>
        <v>-0.18273326182569249</v>
      </c>
      <c r="BO100" s="247">
        <f t="shared" ref="BO100" si="2712">BM100+BI100</f>
        <v>56.281378346406314</v>
      </c>
      <c r="BP100" s="211">
        <v>880.68</v>
      </c>
      <c r="BQ100" s="247">
        <f t="shared" si="26"/>
        <v>29.355999999999998</v>
      </c>
      <c r="BR100" s="211">
        <v>650.44299999999998</v>
      </c>
      <c r="BS100" s="211">
        <v>54.587000000000003</v>
      </c>
      <c r="BT100" s="190">
        <f t="shared" ref="BT100" si="2713">BR100*2/BQ100</f>
        <v>44.314143616296498</v>
      </c>
      <c r="BU100" s="190">
        <f t="shared" ref="BU100" si="2714">BT100-J100</f>
        <v>-0.20668645254789908</v>
      </c>
      <c r="BV100" s="211">
        <v>345.95</v>
      </c>
      <c r="BW100" s="211">
        <v>266.06400000000002</v>
      </c>
      <c r="BX100" s="190">
        <f t="shared" ref="BX100" si="2715">BV100/BQ100</f>
        <v>11.784643684425671</v>
      </c>
      <c r="BY100" s="190">
        <f t="shared" ref="BY100" si="2716">BX100-W100</f>
        <v>-0.17502300880257238</v>
      </c>
      <c r="BZ100" s="194">
        <f t="shared" ref="BZ100" si="2717">BT100+BX100</f>
        <v>56.098787300722165</v>
      </c>
      <c r="CA100" s="211">
        <v>635.471</v>
      </c>
      <c r="CB100" s="247">
        <f t="shared" si="32"/>
        <v>21.182366666666667</v>
      </c>
      <c r="CC100" s="211">
        <v>470.661</v>
      </c>
      <c r="CD100" s="211">
        <v>51.146999999999998</v>
      </c>
      <c r="CE100" s="190">
        <f t="shared" ref="CE100" si="2718">CC100*2/CB100</f>
        <v>44.438943712616314</v>
      </c>
      <c r="CF100" s="190">
        <f t="shared" ref="CF100" si="2719">CE100-J100</f>
        <v>-8.1886356228082491E-2</v>
      </c>
      <c r="CG100" s="211">
        <v>244.64400000000001</v>
      </c>
      <c r="CH100" s="211">
        <v>84.614999999999995</v>
      </c>
      <c r="CI100" s="190">
        <f t="shared" ref="CI100" si="2720">CG100/CB100</f>
        <v>11.549417676022982</v>
      </c>
      <c r="CJ100" s="190">
        <f t="shared" ref="CJ100" si="2721">CI100-W100</f>
        <v>-0.41024901720526152</v>
      </c>
      <c r="CK100" s="194">
        <f t="shared" ref="CK100" si="2722">CI100+CE100</f>
        <v>55.988361388639298</v>
      </c>
      <c r="CL100" s="211">
        <v>877.68200000000002</v>
      </c>
      <c r="CM100" s="247">
        <f t="shared" si="60"/>
        <v>29.256066666666666</v>
      </c>
      <c r="CN100" s="211">
        <v>654.64099999999996</v>
      </c>
      <c r="CO100" s="211">
        <v>88.162000000000006</v>
      </c>
      <c r="CP100" s="190">
        <f t="shared" ref="CP100" si="2723">CN100*2/CM100</f>
        <v>44.752495778653312</v>
      </c>
      <c r="CQ100" s="190">
        <f t="shared" ref="CQ100" si="2724">CP100-J100</f>
        <v>0.23166570980891521</v>
      </c>
      <c r="CR100" s="211">
        <v>366.47899999999998</v>
      </c>
      <c r="CS100" s="211">
        <v>144.57400000000001</v>
      </c>
      <c r="CT100" s="190">
        <f t="shared" ref="CT100" si="2725">CR100/CM100</f>
        <v>12.526598471883894</v>
      </c>
      <c r="CU100" s="190">
        <f t="shared" ref="CU100" si="2726">CT100-W100</f>
        <v>0.56693177865565048</v>
      </c>
      <c r="CV100" s="247">
        <f t="shared" ref="CV100" si="2727">CP100+CT100</f>
        <v>57.279094250537206</v>
      </c>
      <c r="CW100" s="163"/>
      <c r="CX100" s="196">
        <f t="shared" si="2683"/>
        <v>0</v>
      </c>
      <c r="CY100" s="196">
        <f t="shared" si="2684"/>
        <v>0</v>
      </c>
      <c r="CZ100" s="196">
        <f t="shared" ref="CZ100" si="2728">I100-AL100-AW100-BH100-BS100-CD100-CO100</f>
        <v>0</v>
      </c>
      <c r="DA100" s="196">
        <f t="shared" si="2685"/>
        <v>0</v>
      </c>
      <c r="DB100" s="196">
        <f t="shared" si="2686"/>
        <v>-2.2737367544323206E-13</v>
      </c>
      <c r="DC100" s="196">
        <f t="shared" si="2687"/>
        <v>0</v>
      </c>
      <c r="DD100" s="163"/>
      <c r="DE100" s="200">
        <v>172.744</v>
      </c>
      <c r="DF100" s="200">
        <v>103.926</v>
      </c>
      <c r="DG100" s="349">
        <f>MROUND(FORECAST(DF100,DG67:DG99,DF67:DF99),0.1)+8</f>
        <v>48.6</v>
      </c>
      <c r="DH100" s="191">
        <f t="shared" si="61"/>
        <v>0.60161858009540126</v>
      </c>
      <c r="DI100" s="197">
        <v>136.571</v>
      </c>
      <c r="DJ100" s="191">
        <f t="shared" si="48"/>
        <v>0.3952988236928634</v>
      </c>
      <c r="DK100" s="197">
        <v>155.08000000000001</v>
      </c>
      <c r="DL100" s="197">
        <v>151.18299999999999</v>
      </c>
      <c r="DM100" s="191">
        <f t="shared" si="62"/>
        <v>2.5128965695125238E-2</v>
      </c>
      <c r="DN100" s="200">
        <v>157.303</v>
      </c>
      <c r="DO100" s="200">
        <v>66.314999999999998</v>
      </c>
      <c r="DP100" s="200">
        <v>102.794</v>
      </c>
      <c r="DQ100" s="200">
        <f t="shared" ref="DQ100" si="2729">DP100+DO100</f>
        <v>169.10899999999998</v>
      </c>
      <c r="DR100" s="191">
        <f t="shared" ref="DR100" si="2730">DJ100+DH100</f>
        <v>0.99691740378826466</v>
      </c>
      <c r="DS100" s="199">
        <f t="shared" ref="DS100" si="2731">DK100/DI100</f>
        <v>1.1355265759202173</v>
      </c>
      <c r="DT100" s="200">
        <v>115.598</v>
      </c>
      <c r="DU100" s="200">
        <v>47.837000000000003</v>
      </c>
      <c r="DV100" s="200">
        <v>32.277000000000001</v>
      </c>
      <c r="DW100" s="191">
        <f t="shared" si="1537"/>
        <v>0.41382203844357174</v>
      </c>
      <c r="DX100" s="197">
        <v>34.139000000000003</v>
      </c>
      <c r="DY100" s="191">
        <f t="shared" si="1538"/>
        <v>0.14766258931815432</v>
      </c>
      <c r="DZ100" s="197">
        <v>32.39</v>
      </c>
      <c r="EA100" s="197">
        <v>31.613</v>
      </c>
      <c r="EB100" s="191">
        <f t="shared" si="52"/>
        <v>2.3988885458474885E-2</v>
      </c>
      <c r="EC100" s="200">
        <v>31.01</v>
      </c>
      <c r="ED100" s="206">
        <f t="shared" si="1933"/>
        <v>27.5</v>
      </c>
      <c r="EE100" s="200">
        <v>39.104999999999997</v>
      </c>
      <c r="EF100" s="205">
        <f t="shared" si="2691"/>
        <v>66.60499999999999</v>
      </c>
      <c r="EG100" s="191">
        <f t="shared" si="2692"/>
        <v>0.56148462776172603</v>
      </c>
      <c r="EJ100" s="202">
        <f t="shared" si="1363"/>
        <v>12.465793333333332</v>
      </c>
      <c r="EK100" s="202">
        <f>'NOPA Crush'!B525*56/('NOPA Crush'!A525-'NOPA Crush'!A524)</f>
        <v>12.674367533818941</v>
      </c>
      <c r="EL100" s="203">
        <f t="shared" si="1451"/>
        <v>0.98354362062413991</v>
      </c>
      <c r="EM100" s="202">
        <f t="shared" si="1406"/>
        <v>5.7581333333333333</v>
      </c>
      <c r="EN100" s="202">
        <f t="shared" si="1407"/>
        <v>7.7065333333333338E-3</v>
      </c>
      <c r="EO100" s="202">
        <f t="shared" si="1452"/>
        <v>18.231633199999997</v>
      </c>
    </row>
    <row r="101" spans="1:145">
      <c r="A101" s="157">
        <v>45047</v>
      </c>
      <c r="B101" s="186">
        <v>5679.0959999999995</v>
      </c>
      <c r="C101" s="187">
        <f t="shared" ref="C101" si="2732">B101/30</f>
        <v>189.30319999999998</v>
      </c>
      <c r="D101" s="247">
        <f>C101-'NOPA Crush'!G526</f>
        <v>11.388199999999983</v>
      </c>
      <c r="E101" s="188">
        <f>C101/'NOPA Crush'!G526-1</f>
        <v>6.4009217884944958E-2</v>
      </c>
      <c r="F101" s="189">
        <v>4182.7039999999997</v>
      </c>
      <c r="G101" s="189">
        <v>4145.4579999999996</v>
      </c>
      <c r="H101" s="189">
        <v>37.246000000000002</v>
      </c>
      <c r="I101" s="189">
        <v>388.76299999999998</v>
      </c>
      <c r="J101" s="190">
        <f t="shared" ref="J101" si="2733">F101*2/C101</f>
        <v>44.190526097815571</v>
      </c>
      <c r="K101" s="190">
        <f t="shared" ref="K101" si="2734">(F101+M101)*2/C101</f>
        <v>47.133571962861701</v>
      </c>
      <c r="L101" s="190">
        <f>K101-'NOPA Crush'!J526</f>
        <v>-0.39642803713829977</v>
      </c>
      <c r="M101" s="189">
        <v>278.56400000000002</v>
      </c>
      <c r="N101" s="189">
        <v>39.776000000000003</v>
      </c>
      <c r="O101" s="189">
        <v>2228.3719999999998</v>
      </c>
      <c r="P101" s="189">
        <v>1924.95</v>
      </c>
      <c r="Q101" s="189">
        <v>941.24400000000003</v>
      </c>
      <c r="R101" s="189">
        <v>317.892</v>
      </c>
      <c r="S101" s="189">
        <v>665.81399999999996</v>
      </c>
      <c r="T101" s="189">
        <v>461.27199999999999</v>
      </c>
      <c r="U101" s="189">
        <f>(P101+T101)-'NOPA Crush'!Q526</f>
        <v>514.67700000000013</v>
      </c>
      <c r="V101" s="191">
        <f>((P101+T101)/'NOPA Crush'!Q526)-1</f>
        <v>0.27500113542554416</v>
      </c>
      <c r="W101" s="190">
        <f t="shared" ref="W101" si="2735">O101/C101</f>
        <v>11.771443905861075</v>
      </c>
      <c r="X101" s="190">
        <f>W101-'NOPA Crush'!O526</f>
        <v>-8.8556094138924735E-2</v>
      </c>
      <c r="Y101" s="190">
        <f t="shared" ref="Y101" si="2736">K101+W101</f>
        <v>58.905015868722778</v>
      </c>
      <c r="Z101" s="211">
        <v>1887.942</v>
      </c>
      <c r="AA101" s="211">
        <v>1841.848</v>
      </c>
      <c r="AB101" s="191">
        <f t="shared" ref="AB101" si="2737">(Z101-AA101)/Z101</f>
        <v>2.4414944950639401E-2</v>
      </c>
      <c r="AC101" s="344">
        <f t="shared" si="2519"/>
        <v>189.04298792361681</v>
      </c>
      <c r="AD101" s="211">
        <v>1850.213</v>
      </c>
      <c r="AE101" s="211">
        <v>1254.7260000000001</v>
      </c>
      <c r="AF101" s="211">
        <v>595.48699999999997</v>
      </c>
      <c r="AG101" s="191">
        <f t="shared" si="1322"/>
        <v>4.5416342716662061E-3</v>
      </c>
      <c r="AI101" s="211">
        <v>663.96299999999997</v>
      </c>
      <c r="AJ101" s="247">
        <f t="shared" si="11"/>
        <v>22.132099999999998</v>
      </c>
      <c r="AK101" s="211">
        <v>475.25</v>
      </c>
      <c r="AL101" s="211">
        <v>49.029000000000003</v>
      </c>
      <c r="AM101" s="190">
        <f t="shared" ref="AM101" si="2738">AK101*2/AJ101</f>
        <v>42.946670221081604</v>
      </c>
      <c r="AN101" s="190">
        <f t="shared" ref="AN101" si="2739">AM101-J101</f>
        <v>-1.2438558767339671</v>
      </c>
      <c r="AO101" s="211">
        <v>260.262</v>
      </c>
      <c r="AP101" s="211">
        <v>122.002</v>
      </c>
      <c r="AQ101" s="190">
        <f t="shared" ref="AQ101" si="2740">AO101/AJ101</f>
        <v>11.759480573465691</v>
      </c>
      <c r="AR101" s="190">
        <f t="shared" ref="AR101" si="2741">AQ101-W101</f>
        <v>-1.196333239538383E-2</v>
      </c>
      <c r="AS101" s="190">
        <f t="shared" ref="AS101" si="2742">AM101+AQ101</f>
        <v>54.706150794547298</v>
      </c>
      <c r="AT101" s="211">
        <v>1155.1610000000001</v>
      </c>
      <c r="AU101" s="247">
        <f t="shared" si="16"/>
        <v>38.505366666666667</v>
      </c>
      <c r="AV101" s="211">
        <v>856.94100000000003</v>
      </c>
      <c r="AW101" s="211">
        <v>48.722000000000001</v>
      </c>
      <c r="AX101" s="190">
        <f t="shared" ref="AX101" si="2743">AV101*2/AU101</f>
        <v>44.510211130742817</v>
      </c>
      <c r="AY101" s="190">
        <f t="shared" ref="AY101" si="2744">AX101-J101</f>
        <v>0.31968503292724648</v>
      </c>
      <c r="AZ101" s="211">
        <v>458.12599999999998</v>
      </c>
      <c r="BA101" s="211">
        <v>157.684</v>
      </c>
      <c r="BB101" s="190">
        <f t="shared" ref="BB101" si="2745">AZ101/AU101</f>
        <v>11.897718153573397</v>
      </c>
      <c r="BC101" s="190">
        <f t="shared" ref="BC101" si="2746">BB101-W101</f>
        <v>0.12627424771232221</v>
      </c>
      <c r="BD101" s="247">
        <f t="shared" ref="BD101" si="2747">AX101+BB101</f>
        <v>56.407929284316211</v>
      </c>
      <c r="BE101" s="211">
        <v>1283.471</v>
      </c>
      <c r="BF101" s="247">
        <f t="shared" si="58"/>
        <v>42.782366666666668</v>
      </c>
      <c r="BG101" s="211">
        <v>953.07500000000005</v>
      </c>
      <c r="BH101" s="211">
        <v>174.554</v>
      </c>
      <c r="BI101" s="190">
        <f t="shared" ref="BI101" si="2748">BG101*2/BF101</f>
        <v>44.554571158989958</v>
      </c>
      <c r="BJ101" s="190">
        <f t="shared" ref="BJ101" si="2749">BI101-J101</f>
        <v>0.36404506117438729</v>
      </c>
      <c r="BK101" s="211">
        <v>505.32900000000001</v>
      </c>
      <c r="BL101" s="211">
        <v>243.405</v>
      </c>
      <c r="BM101" s="190">
        <f t="shared" ref="BM101" si="2750">BK101/BF101</f>
        <v>11.811618649739652</v>
      </c>
      <c r="BN101" s="190">
        <f t="shared" ref="BN101" si="2751">BM101-W101</f>
        <v>4.0174743878576891E-2</v>
      </c>
      <c r="BO101" s="247">
        <f t="shared" ref="BO101" si="2752">BM101+BI101</f>
        <v>56.366189808729608</v>
      </c>
      <c r="BP101" s="211">
        <v>969.71100000000001</v>
      </c>
      <c r="BQ101" s="247">
        <f t="shared" si="26"/>
        <v>32.323700000000002</v>
      </c>
      <c r="BR101" s="211">
        <v>705.16300000000001</v>
      </c>
      <c r="BS101" s="211">
        <v>49.372</v>
      </c>
      <c r="BT101" s="190">
        <f t="shared" ref="BT101" si="2753">BR101*2/BQ101</f>
        <v>43.631329334203691</v>
      </c>
      <c r="BU101" s="190">
        <f t="shared" ref="BU101" si="2754">BT101-J101</f>
        <v>-0.55919676361187953</v>
      </c>
      <c r="BV101" s="211">
        <v>371.42</v>
      </c>
      <c r="BW101" s="211">
        <v>201.12</v>
      </c>
      <c r="BX101" s="190">
        <f t="shared" ref="BX101" si="2755">BV101/BQ101</f>
        <v>11.490639994802574</v>
      </c>
      <c r="BY101" s="190">
        <f t="shared" ref="BY101" si="2756">BX101-W101</f>
        <v>-0.28080391105850033</v>
      </c>
      <c r="BZ101" s="194">
        <f t="shared" ref="BZ101" si="2757">BT101+BX101</f>
        <v>55.121969329006262</v>
      </c>
      <c r="CA101" s="211">
        <v>641.69200000000001</v>
      </c>
      <c r="CB101" s="247">
        <f t="shared" si="32"/>
        <v>21.389733333333332</v>
      </c>
      <c r="CC101" s="211">
        <v>475.36700000000002</v>
      </c>
      <c r="CD101" s="211">
        <v>33.417000000000002</v>
      </c>
      <c r="CE101" s="190">
        <f t="shared" ref="CE101" si="2758">CC101*2/CB101</f>
        <v>44.448146462789005</v>
      </c>
      <c r="CF101" s="190">
        <f t="shared" ref="CF101" si="2759">CE101-J101</f>
        <v>0.25762036497343388</v>
      </c>
      <c r="CG101" s="211">
        <v>248.459</v>
      </c>
      <c r="CH101" s="211">
        <v>87.927999999999997</v>
      </c>
      <c r="CI101" s="190">
        <f t="shared" ref="CI101" si="2760">CG101/CB101</f>
        <v>11.615806336996567</v>
      </c>
      <c r="CJ101" s="190">
        <f t="shared" ref="CJ101" si="2761">CI101-W101</f>
        <v>-0.15563756886450797</v>
      </c>
      <c r="CK101" s="194">
        <f t="shared" ref="CK101" si="2762">CI101+CE101</f>
        <v>56.063952799785568</v>
      </c>
      <c r="CL101" s="211">
        <v>965.09799999999996</v>
      </c>
      <c r="CM101" s="247">
        <f t="shared" si="60"/>
        <v>32.169933333333333</v>
      </c>
      <c r="CN101" s="211">
        <v>716.90800000000002</v>
      </c>
      <c r="CO101" s="211">
        <v>33.668999999999997</v>
      </c>
      <c r="CP101" s="190">
        <f t="shared" ref="CP101" si="2763">CN101*2/CM101</f>
        <v>44.570064387243576</v>
      </c>
      <c r="CQ101" s="190">
        <f t="shared" ref="CQ101" si="2764">CP101-J101</f>
        <v>0.37953828942800527</v>
      </c>
      <c r="CR101" s="211">
        <v>384.77600000000001</v>
      </c>
      <c r="CS101" s="211">
        <v>129.10499999999999</v>
      </c>
      <c r="CT101" s="190">
        <f t="shared" ref="CT101" si="2765">CR101/CM101</f>
        <v>11.960733521362599</v>
      </c>
      <c r="CU101" s="190">
        <f t="shared" ref="CU101" si="2766">CT101-W101</f>
        <v>0.18928961550152401</v>
      </c>
      <c r="CV101" s="247">
        <f t="shared" ref="CV101" si="2767">CP101+CT101</f>
        <v>56.530797908606175</v>
      </c>
      <c r="CW101" s="163"/>
      <c r="CX101" s="196">
        <f t="shared" ref="CX101" si="2768">C101-AJ101-AU101-BF101-BQ101-CB101-CM101</f>
        <v>0</v>
      </c>
      <c r="CY101" s="196">
        <f t="shared" ref="CY101" si="2769">F101-AK101-AV101-BG101-BR101-CC101-CN101</f>
        <v>0</v>
      </c>
      <c r="CZ101" s="196">
        <f t="shared" ref="CZ101" si="2770">I101-AL101-AW101-BH101-BS101-CD101-CO101</f>
        <v>0</v>
      </c>
      <c r="DA101" s="196">
        <f t="shared" ref="DA101" si="2771">O101-AO101-AZ101-BK101-BV101-CG101-CR101</f>
        <v>0</v>
      </c>
      <c r="DB101" s="196">
        <f t="shared" ref="DB101" si="2772">Q101-AP101-BA101-BL101-BW101-CH101-CS101</f>
        <v>0</v>
      </c>
      <c r="DC101" s="196">
        <f t="shared" ref="DC101" si="2773">P101-Q101-R101-S101</f>
        <v>0</v>
      </c>
      <c r="DD101" s="163"/>
      <c r="DE101" s="200">
        <v>140.59</v>
      </c>
      <c r="DF101" s="200">
        <v>76.92</v>
      </c>
      <c r="DG101" s="349">
        <f>MROUND(FORECAST(DF101,DG68:DG100,DF68:DF100),0.1)+15</f>
        <v>50.6</v>
      </c>
      <c r="DH101" s="191">
        <f t="shared" si="61"/>
        <v>0.54712283946226614</v>
      </c>
      <c r="DI101" s="197">
        <v>114.408</v>
      </c>
      <c r="DJ101" s="191">
        <f t="shared" si="48"/>
        <v>0.40688526922256207</v>
      </c>
      <c r="DK101" s="197">
        <v>111.06100000000001</v>
      </c>
      <c r="DL101" s="197">
        <v>107.90900000000001</v>
      </c>
      <c r="DM101" s="191">
        <f t="shared" si="62"/>
        <v>2.8380799740683083E-2</v>
      </c>
      <c r="DN101" s="200">
        <v>125.334</v>
      </c>
      <c r="DO101" s="200">
        <v>71.325999999999993</v>
      </c>
      <c r="DP101" s="200">
        <v>87.638000000000005</v>
      </c>
      <c r="DQ101" s="200">
        <f t="shared" ref="DQ101" si="2774">DP101+DO101</f>
        <v>158.964</v>
      </c>
      <c r="DR101" s="191">
        <f t="shared" ref="DR101" si="2775">DJ101+DH101</f>
        <v>0.95400810868482822</v>
      </c>
      <c r="DS101" s="199">
        <f t="shared" ref="DS101" si="2776">DK101/DI101</f>
        <v>0.97074505279351098</v>
      </c>
      <c r="DT101" s="200">
        <v>77.099999999999994</v>
      </c>
      <c r="DU101" s="200">
        <v>36.517000000000003</v>
      </c>
      <c r="DV101" s="200">
        <v>32.32</v>
      </c>
      <c r="DW101" s="191">
        <f t="shared" si="1537"/>
        <v>0.47363164721141382</v>
      </c>
      <c r="DX101" s="197">
        <v>24.744</v>
      </c>
      <c r="DY101" s="191">
        <f t="shared" si="1538"/>
        <v>0.16046692607003893</v>
      </c>
      <c r="DZ101" s="197">
        <v>25.64</v>
      </c>
      <c r="EA101" s="197">
        <v>24.814</v>
      </c>
      <c r="EB101" s="191">
        <f t="shared" si="52"/>
        <v>3.2215288611544435E-2</v>
      </c>
      <c r="EC101" s="200">
        <v>35.363999999999997</v>
      </c>
      <c r="ED101" s="206">
        <f t="shared" si="1933"/>
        <v>30</v>
      </c>
      <c r="EE101" s="200">
        <v>28.969000000000001</v>
      </c>
      <c r="EF101" s="205">
        <f t="shared" ref="EF101" si="2777">EE101+ED101</f>
        <v>58.969000000000001</v>
      </c>
      <c r="EG101" s="191">
        <f t="shared" ref="EG101" si="2778">DY101+DW101</f>
        <v>0.6340985732814528</v>
      </c>
      <c r="EJ101" s="202">
        <f t="shared" si="1363"/>
        <v>12.213109677419354</v>
      </c>
      <c r="EK101" s="202">
        <f>'NOPA Crush'!B526*56/('NOPA Crush'!A526-'NOPA Crush'!A525)</f>
        <v>12.977193519713262</v>
      </c>
      <c r="EL101" s="203">
        <f t="shared" si="1451"/>
        <v>0.94112102581091883</v>
      </c>
      <c r="EM101" s="202">
        <f t="shared" si="1406"/>
        <v>4.5351612903225806</v>
      </c>
      <c r="EN101" s="202">
        <f t="shared" si="1407"/>
        <v>4.974193548387097E-3</v>
      </c>
      <c r="EO101" s="202">
        <f t="shared" si="1452"/>
        <v>16.753245161290323</v>
      </c>
    </row>
    <row r="102" spans="1:145">
      <c r="A102" s="157">
        <v>45078</v>
      </c>
      <c r="B102" s="186">
        <v>5236.5159999999996</v>
      </c>
      <c r="C102" s="187">
        <f t="shared" ref="C102:C108" si="2779">B102/30</f>
        <v>174.55053333333333</v>
      </c>
      <c r="D102" s="247">
        <f>C102-'NOPA Crush'!G527</f>
        <v>9.5275333333333379</v>
      </c>
      <c r="E102" s="188">
        <f>C102/'NOPA Crush'!G527-1</f>
        <v>5.7734578412302229E-2</v>
      </c>
      <c r="F102" s="189">
        <v>3886.6840000000002</v>
      </c>
      <c r="G102" s="189">
        <v>3843.5549999999998</v>
      </c>
      <c r="H102" s="189">
        <v>43.128999999999998</v>
      </c>
      <c r="I102" s="189">
        <v>331.209</v>
      </c>
      <c r="J102" s="190">
        <f t="shared" ref="J102:J108" si="2780">F102*2/C102</f>
        <v>44.533625028549515</v>
      </c>
      <c r="K102" s="190">
        <f t="shared" ref="K102:K107" si="2781">(F102+M102)*2/C102</f>
        <v>47.577373963910361</v>
      </c>
      <c r="L102" s="190">
        <f>K102-'NOPA Crush'!J527</f>
        <v>-0.10262603608963872</v>
      </c>
      <c r="M102" s="189">
        <v>265.64400000000001</v>
      </c>
      <c r="N102" s="189">
        <v>34.354999999999997</v>
      </c>
      <c r="O102" s="189">
        <v>2074.857</v>
      </c>
      <c r="P102" s="189">
        <v>1770.1659999999999</v>
      </c>
      <c r="Q102" s="189">
        <v>889.94399999999996</v>
      </c>
      <c r="R102" s="189">
        <v>279.81099999999998</v>
      </c>
      <c r="S102" s="189">
        <v>600.41099999999994</v>
      </c>
      <c r="T102" s="189">
        <v>432.86900000000003</v>
      </c>
      <c r="U102" s="189">
        <f>(P102+T102)-'NOPA Crush'!Q527</f>
        <v>513.13399999999979</v>
      </c>
      <c r="V102" s="191">
        <f>((P102+T102)/'NOPA Crush'!Q527)-1</f>
        <v>0.30364737342601722</v>
      </c>
      <c r="W102" s="190">
        <f t="shared" ref="W102:W108" si="2782">O102/C102</f>
        <v>11.886855688018523</v>
      </c>
      <c r="X102" s="190">
        <f>W102-'NOPA Crush'!O527</f>
        <v>-8.314431198147787E-2</v>
      </c>
      <c r="Y102" s="190">
        <f t="shared" ref="Y102:Y108" si="2783">K102+W102</f>
        <v>59.464229651928882</v>
      </c>
      <c r="Z102" s="211">
        <v>1761.0229999999999</v>
      </c>
      <c r="AA102" s="211">
        <v>1726.0219999999999</v>
      </c>
      <c r="AB102" s="191">
        <f t="shared" ref="AB102:AB120" si="2784">(Z102-AA102)/Z102</f>
        <v>1.9875379253990424E-2</v>
      </c>
      <c r="AC102" s="344">
        <f>FORECAST(AF102,AC78:AC101,AF78:AF101)</f>
        <v>186.42647314596343</v>
      </c>
      <c r="AD102" s="211">
        <v>1757.9690000000001</v>
      </c>
      <c r="AE102" s="211">
        <v>1168.498</v>
      </c>
      <c r="AF102" s="211">
        <v>589.471</v>
      </c>
      <c r="AG102" s="191">
        <f t="shared" si="1322"/>
        <v>1.8509034067931918E-2</v>
      </c>
      <c r="AI102" s="211">
        <v>639.55600000000004</v>
      </c>
      <c r="AJ102" s="247">
        <f t="shared" ref="AJ102:AJ114" si="2785">AI102/30</f>
        <v>21.318533333333335</v>
      </c>
      <c r="AK102" s="211">
        <v>470.49400000000003</v>
      </c>
      <c r="AL102" s="340">
        <f>I102-AW102-BH102-BS102-CD102-CO102</f>
        <v>50.671608753543438</v>
      </c>
      <c r="AM102" s="190">
        <f t="shared" ref="AM102:AM108" si="2786">AK102*2/AJ102</f>
        <v>44.139434232498793</v>
      </c>
      <c r="AN102" s="190">
        <f t="shared" ref="AN102:AN108" si="2787">AM102-J102</f>
        <v>-0.39419079605072227</v>
      </c>
      <c r="AO102" s="211">
        <v>258.90899999999999</v>
      </c>
      <c r="AP102" s="211">
        <v>138.92599999999999</v>
      </c>
      <c r="AQ102" s="190">
        <f t="shared" ref="AQ102:AQ108" si="2788">AO102/AJ102</f>
        <v>12.144784819468505</v>
      </c>
      <c r="AR102" s="190">
        <f t="shared" ref="AR102:AR108" si="2789">AQ102-W102</f>
        <v>0.25792913144998231</v>
      </c>
      <c r="AS102" s="190">
        <f t="shared" ref="AS102:AS108" si="2790">AM102+AQ102</f>
        <v>56.284219051967298</v>
      </c>
      <c r="AT102" s="211">
        <v>1059.0540000000001</v>
      </c>
      <c r="AU102" s="247">
        <f t="shared" ref="AU102:AU120" si="2791">AT102/30</f>
        <v>35.3018</v>
      </c>
      <c r="AV102" s="211">
        <v>781.65</v>
      </c>
      <c r="AW102" s="211">
        <v>42.484999999999999</v>
      </c>
      <c r="AX102" s="190">
        <f t="shared" ref="AX102:AX108" si="2792">AV102*2/AU102</f>
        <v>44.283860879615204</v>
      </c>
      <c r="AY102" s="190">
        <f t="shared" ref="AY102:AY108" si="2793">AX102-J102</f>
        <v>-0.24976414893431098</v>
      </c>
      <c r="AZ102" s="211">
        <v>419.952</v>
      </c>
      <c r="BA102" s="211">
        <v>136.53299999999999</v>
      </c>
      <c r="BB102" s="190">
        <f t="shared" ref="BB102:BB108" si="2794">AZ102/AU102</f>
        <v>11.896050626313672</v>
      </c>
      <c r="BC102" s="190">
        <f t="shared" ref="BC102:BC108" si="2795">BB102-W102</f>
        <v>9.1949382951490577E-3</v>
      </c>
      <c r="BD102" s="247">
        <f t="shared" ref="BD102:BD108" si="2796">AX102+BB102</f>
        <v>56.179911505928878</v>
      </c>
      <c r="BE102" s="211">
        <v>1143.567</v>
      </c>
      <c r="BF102" s="247">
        <f t="shared" ref="BF102:BF120" si="2797">BE102/30</f>
        <v>38.118900000000004</v>
      </c>
      <c r="BG102" s="211">
        <v>853.95299999999997</v>
      </c>
      <c r="BH102" s="211">
        <v>100.67100000000001</v>
      </c>
      <c r="BI102" s="190">
        <f t="shared" ref="BI102:BI108" si="2798">BG102*2/BF102</f>
        <v>44.804703178738102</v>
      </c>
      <c r="BJ102" s="190">
        <f t="shared" ref="BJ102:BJ108" si="2799">BI102-J102</f>
        <v>0.27107815018858616</v>
      </c>
      <c r="BK102" s="211">
        <v>452.66500000000002</v>
      </c>
      <c r="BL102" s="211">
        <v>228.64699999999999</v>
      </c>
      <c r="BM102" s="190">
        <f>BK102/BF102</f>
        <v>11.875080340723368</v>
      </c>
      <c r="BN102" s="190">
        <f t="shared" ref="BN102:BN107" si="2800">BM102-W102</f>
        <v>-1.1775347295154504E-2</v>
      </c>
      <c r="BO102" s="247">
        <f t="shared" ref="BO102:BO107" si="2801">BM102+BI102</f>
        <v>56.679783519461466</v>
      </c>
      <c r="BP102" s="211">
        <v>875.34100000000001</v>
      </c>
      <c r="BQ102" s="247">
        <f t="shared" ref="BQ102:BQ120" si="2802">BP102/30</f>
        <v>29.178033333333335</v>
      </c>
      <c r="BR102" s="211">
        <v>652.01900000000001</v>
      </c>
      <c r="BS102" s="211">
        <v>43.634999999999998</v>
      </c>
      <c r="BT102" s="190">
        <f t="shared" ref="BT102:BT108" si="2803">BR102*2/BQ102</f>
        <v>44.692456996758978</v>
      </c>
      <c r="BU102" s="190">
        <f t="shared" ref="BU102:BU108" si="2804">BT102-J102</f>
        <v>0.1588319682094621</v>
      </c>
      <c r="BV102" s="211">
        <v>335.49799999999999</v>
      </c>
      <c r="BW102" s="211">
        <v>191.505</v>
      </c>
      <c r="BX102" s="190">
        <f t="shared" ref="BX102:BX108" si="2805">BV102/BQ102</f>
        <v>11.498307516727765</v>
      </c>
      <c r="BY102" s="190">
        <f t="shared" ref="BY102:BY108" si="2806">BX102-W102</f>
        <v>-0.38854817129075769</v>
      </c>
      <c r="BZ102" s="194">
        <f t="shared" ref="BZ102:BZ108" si="2807">BT102+BX102</f>
        <v>56.190764513486741</v>
      </c>
      <c r="CA102" s="211">
        <v>583.06700000000001</v>
      </c>
      <c r="CB102" s="247">
        <f t="shared" ref="CB102:CB120" si="2808">CA102/30</f>
        <v>19.435566666666666</v>
      </c>
      <c r="CC102" s="211">
        <v>432.98700000000002</v>
      </c>
      <c r="CD102" s="340">
        <f>(SUM(CD96:CD101)/SUM(I96:I101))*I102+15</f>
        <v>46.371391246456568</v>
      </c>
      <c r="CE102" s="190">
        <f t="shared" ref="CE102:CE108" si="2809">CC102*2/CB102</f>
        <v>44.556148778785285</v>
      </c>
      <c r="CF102" s="190">
        <f t="shared" ref="CF102:CF108" si="2810">CE102-J102</f>
        <v>2.2523750235770024E-2</v>
      </c>
      <c r="CG102" s="211">
        <v>227.98599999999999</v>
      </c>
      <c r="CH102" s="211">
        <v>67.283000000000001</v>
      </c>
      <c r="CI102" s="190">
        <f t="shared" ref="CI102:CI108" si="2811">CG102/CB102</f>
        <v>11.730350028384388</v>
      </c>
      <c r="CJ102" s="190">
        <f t="shared" ref="CJ102:CJ108" si="2812">CI102-W102</f>
        <v>-0.15650565963413499</v>
      </c>
      <c r="CK102" s="194">
        <f t="shared" ref="CK102:CK108" si="2813">CI102+CE102</f>
        <v>56.286498807169671</v>
      </c>
      <c r="CL102" s="211">
        <v>935.93100000000004</v>
      </c>
      <c r="CM102" s="247">
        <f t="shared" ref="CM102:CM120" si="2814">CL102/30</f>
        <v>31.197700000000001</v>
      </c>
      <c r="CN102" s="211">
        <v>695.58100000000002</v>
      </c>
      <c r="CO102" s="211">
        <v>47.375</v>
      </c>
      <c r="CP102" s="190">
        <f t="shared" ref="CP102:CP108" si="2815">CN102*2/CM102</f>
        <v>44.591812857999145</v>
      </c>
      <c r="CQ102" s="190">
        <f t="shared" ref="CQ102:CQ108" si="2816">CP102-J102</f>
        <v>5.8187829449629191E-2</v>
      </c>
      <c r="CR102" s="211">
        <v>379.84699999999998</v>
      </c>
      <c r="CS102" s="211">
        <v>127.05</v>
      </c>
      <c r="CT102" s="190">
        <f t="shared" ref="CT102:CT108" si="2817">CR102/CM102</f>
        <v>12.175480884808815</v>
      </c>
      <c r="CU102" s="190">
        <f t="shared" ref="CU102:CU108" si="2818">CT102-W102</f>
        <v>0.28862519679029219</v>
      </c>
      <c r="CV102" s="247">
        <f t="shared" ref="CV102:CV108" si="2819">CP102+CT102</f>
        <v>56.767293742807958</v>
      </c>
      <c r="CW102" s="163"/>
      <c r="CX102" s="196">
        <f t="shared" ref="CX102:CX113" si="2820">C102-AJ102-AU102-BF102-BQ102-CB102-CM102</f>
        <v>0</v>
      </c>
      <c r="CY102" s="196">
        <f t="shared" ref="CY102:CY113" si="2821">F102-AK102-AV102-BG102-BR102-CC102-CN102</f>
        <v>0</v>
      </c>
      <c r="CZ102" s="196">
        <f t="shared" ref="CZ102:CZ113" si="2822">I102-AL102-AW102-BH102-BS102-CD102-CO102</f>
        <v>0</v>
      </c>
      <c r="DA102" s="196">
        <f t="shared" ref="DA102:DA113" si="2823">O102-AO102-AZ102-BK102-BV102-CG102-CR102</f>
        <v>0</v>
      </c>
      <c r="DB102" s="196">
        <f t="shared" ref="DB102:DB113" si="2824">Q102-AP102-BA102-BL102-BW102-CH102-CS102</f>
        <v>0</v>
      </c>
      <c r="DC102" s="196">
        <f t="shared" ref="DC102:DC113" si="2825">P102-Q102-R102-S102</f>
        <v>0</v>
      </c>
      <c r="DD102" s="163"/>
      <c r="DE102" s="200">
        <v>158.30500000000001</v>
      </c>
      <c r="DF102" s="200">
        <v>93.55</v>
      </c>
      <c r="DG102" s="349">
        <f>MROUND(FORECAST(DF102,DG69:DG101,DF69:DF101),0.1)+13</f>
        <v>52.5</v>
      </c>
      <c r="DH102" s="191">
        <f t="shared" ref="DH102:DH126" si="2826">DF102/DE102</f>
        <v>0.59094785382647419</v>
      </c>
      <c r="DI102" s="197">
        <v>127.999</v>
      </c>
      <c r="DJ102" s="191">
        <f t="shared" ref="DJ102:DJ126" si="2827">DI102/DE102/2</f>
        <v>0.40427971321183787</v>
      </c>
      <c r="DK102" s="197">
        <v>139.31100000000001</v>
      </c>
      <c r="DL102" s="197">
        <v>134.81</v>
      </c>
      <c r="DM102" s="191">
        <f t="shared" ref="DM102:DM126" si="2828">1-DL102/DK102</f>
        <v>3.2309006467543866E-2</v>
      </c>
      <c r="DN102" s="200">
        <v>135.23099999999999</v>
      </c>
      <c r="DO102" s="200">
        <v>71.429000000000002</v>
      </c>
      <c r="DP102" s="200">
        <v>88.07</v>
      </c>
      <c r="DQ102" s="200">
        <f t="shared" ref="DQ102:DQ108" si="2829">DP102+DO102</f>
        <v>159.499</v>
      </c>
      <c r="DR102" s="191">
        <f t="shared" ref="DR102:DR108" si="2830">DJ102+DH102</f>
        <v>0.99522756703831206</v>
      </c>
      <c r="DS102" s="199">
        <f t="shared" ref="DS102:DS108" si="2831">DK102/DI102</f>
        <v>1.0883756904350816</v>
      </c>
      <c r="DT102" s="200">
        <v>112.069</v>
      </c>
      <c r="DU102" s="200">
        <v>46.755000000000003</v>
      </c>
      <c r="DV102" s="200">
        <v>44.954000000000001</v>
      </c>
      <c r="DW102" s="191">
        <f t="shared" si="1537"/>
        <v>0.41719833316974364</v>
      </c>
      <c r="DX102" s="197">
        <v>28.808</v>
      </c>
      <c r="DY102" s="191">
        <f t="shared" ref="DY102:DY120" si="2832">DX102/DT102/2</f>
        <v>0.12852796045293524</v>
      </c>
      <c r="DZ102" s="197">
        <v>29.984999999999999</v>
      </c>
      <c r="EA102" s="197">
        <v>29.262</v>
      </c>
      <c r="EB102" s="191">
        <f t="shared" si="52"/>
        <v>2.4112056028014028E-2</v>
      </c>
      <c r="EC102" s="200">
        <v>28.622</v>
      </c>
      <c r="ED102" s="206">
        <f t="shared" ref="ED102:ED120" si="2833">MROUND(FORECAST(DZ102,ED87:ED101,DZ87:DZ101),2.5)</f>
        <v>27.5</v>
      </c>
      <c r="EE102" s="200">
        <v>31.030999999999999</v>
      </c>
      <c r="EF102" s="205">
        <f t="shared" ref="EF102" si="2834">EE102+ED102</f>
        <v>58.530999999999999</v>
      </c>
      <c r="EG102" s="191">
        <f t="shared" ref="EG102" si="2835">DY102+DW102</f>
        <v>0.54572629362267888</v>
      </c>
      <c r="EJ102" s="202">
        <f t="shared" si="1363"/>
        <v>11.636702222222223</v>
      </c>
      <c r="EK102" s="202">
        <f>'NOPA Crush'!B527*56/('NOPA Crush'!A527-'NOPA Crush'!A526)</f>
        <v>12.428027748872704</v>
      </c>
      <c r="EL102" s="203">
        <f t="shared" si="1451"/>
        <v>0.93632734472110746</v>
      </c>
      <c r="EM102" s="202">
        <f t="shared" si="1406"/>
        <v>5.2768333333333333</v>
      </c>
      <c r="EN102" s="202">
        <f t="shared" si="1407"/>
        <v>7.471266666666667E-3</v>
      </c>
      <c r="EO102" s="202">
        <f t="shared" si="1452"/>
        <v>16.921006822222221</v>
      </c>
    </row>
    <row r="103" spans="1:145">
      <c r="A103" s="157">
        <v>45108</v>
      </c>
      <c r="B103" s="186">
        <v>5545.0010000000002</v>
      </c>
      <c r="C103" s="187">
        <f t="shared" si="2779"/>
        <v>184.83336666666668</v>
      </c>
      <c r="D103" s="247">
        <f>C103-'NOPA Crush'!G528</f>
        <v>11.53036666666668</v>
      </c>
      <c r="E103" s="188">
        <f>C103/'NOPA Crush'!G528-1</f>
        <v>6.6532989426995925E-2</v>
      </c>
      <c r="F103" s="189">
        <v>4088.89</v>
      </c>
      <c r="G103" s="189">
        <v>4057.3040000000001</v>
      </c>
      <c r="H103" s="189">
        <v>31.585999999999999</v>
      </c>
      <c r="I103" s="189">
        <v>425.41500000000002</v>
      </c>
      <c r="J103" s="190">
        <f t="shared" si="2780"/>
        <v>44.244067764820961</v>
      </c>
      <c r="K103" s="190">
        <f t="shared" si="2781"/>
        <v>47.209333235467405</v>
      </c>
      <c r="L103" s="190">
        <f>K103-'NOPA Crush'!J528</f>
        <v>-0.14066676453259674</v>
      </c>
      <c r="M103" s="189">
        <v>274.04000000000002</v>
      </c>
      <c r="N103" s="189">
        <v>44.133000000000003</v>
      </c>
      <c r="O103" s="189">
        <v>2180.0360000000001</v>
      </c>
      <c r="P103" s="189">
        <v>1704.2349999999999</v>
      </c>
      <c r="Q103" s="189">
        <v>870.17700000000002</v>
      </c>
      <c r="R103" s="189">
        <v>251.072</v>
      </c>
      <c r="S103" s="189">
        <v>582.98599999999999</v>
      </c>
      <c r="T103" s="189">
        <v>431.96699999999998</v>
      </c>
      <c r="U103" s="189">
        <f>(P103+T103)-'NOPA Crush'!Q528</f>
        <v>609.20999999999981</v>
      </c>
      <c r="V103" s="191">
        <f>((P103+T103)/'NOPA Crush'!Q528)-1</f>
        <v>0.39896083280069572</v>
      </c>
      <c r="W103" s="190">
        <f t="shared" si="2782"/>
        <v>11.794602020811178</v>
      </c>
      <c r="X103" s="190">
        <f>W103-'NOPA Crush'!O528</f>
        <v>-0.11539797918882222</v>
      </c>
      <c r="Y103" s="190">
        <f t="shared" si="2783"/>
        <v>59.003935256278581</v>
      </c>
      <c r="Z103" s="211">
        <v>1791.1510000000001</v>
      </c>
      <c r="AA103" s="211">
        <v>1753.057</v>
      </c>
      <c r="AB103" s="191">
        <f t="shared" si="2784"/>
        <v>2.126788863697145E-2</v>
      </c>
      <c r="AC103" s="344">
        <f>FORECAST(AF103,AC79:AC102,AF79:AF102)</f>
        <v>178.07162055790013</v>
      </c>
      <c r="AD103" s="211">
        <v>1756.5709999999999</v>
      </c>
      <c r="AE103" s="211">
        <v>1202.682</v>
      </c>
      <c r="AF103" s="211">
        <v>553.88900000000001</v>
      </c>
      <c r="AG103" s="191">
        <f t="shared" si="1322"/>
        <v>2.0044984276037514E-3</v>
      </c>
      <c r="AI103" s="211">
        <v>678.31899999999996</v>
      </c>
      <c r="AJ103" s="247">
        <f t="shared" si="2785"/>
        <v>22.610633333333332</v>
      </c>
      <c r="AK103" s="211">
        <v>482.94299999999998</v>
      </c>
      <c r="AL103" s="211">
        <v>48.935000000000002</v>
      </c>
      <c r="AM103" s="190">
        <f t="shared" si="2786"/>
        <v>42.718219598743367</v>
      </c>
      <c r="AN103" s="190">
        <f t="shared" si="2787"/>
        <v>-1.5258481660775942</v>
      </c>
      <c r="AO103" s="211">
        <v>264.77300000000002</v>
      </c>
      <c r="AP103" s="211">
        <v>122.29900000000001</v>
      </c>
      <c r="AQ103" s="190">
        <f t="shared" si="2788"/>
        <v>11.710109845072894</v>
      </c>
      <c r="AR103" s="190">
        <f t="shared" si="2789"/>
        <v>-8.4492175738283493E-2</v>
      </c>
      <c r="AS103" s="190">
        <f t="shared" si="2790"/>
        <v>54.42832944381626</v>
      </c>
      <c r="AT103" s="211">
        <v>1195.702</v>
      </c>
      <c r="AU103" s="247">
        <f t="shared" si="2791"/>
        <v>39.856733333333331</v>
      </c>
      <c r="AV103" s="211">
        <v>884.22400000000005</v>
      </c>
      <c r="AW103" s="211">
        <v>80.962999999999994</v>
      </c>
      <c r="AX103" s="190">
        <f t="shared" si="2792"/>
        <v>44.370118976132851</v>
      </c>
      <c r="AY103" s="190">
        <f t="shared" si="2793"/>
        <v>0.12605121131188923</v>
      </c>
      <c r="AZ103" s="211">
        <v>478.43900000000002</v>
      </c>
      <c r="BA103" s="211">
        <v>141.62799999999999</v>
      </c>
      <c r="BB103" s="190">
        <f t="shared" si="2794"/>
        <v>12.003969216410111</v>
      </c>
      <c r="BC103" s="190">
        <f t="shared" si="2795"/>
        <v>0.20936719559893291</v>
      </c>
      <c r="BD103" s="247">
        <f t="shared" si="2796"/>
        <v>56.374088192542963</v>
      </c>
      <c r="BE103" s="211">
        <v>1281.1289999999999</v>
      </c>
      <c r="BF103" s="247">
        <f t="shared" si="2797"/>
        <v>42.704299999999996</v>
      </c>
      <c r="BG103" s="211">
        <v>950.23099999999999</v>
      </c>
      <c r="BH103" s="211">
        <v>140.60499999999999</v>
      </c>
      <c r="BI103" s="190">
        <f t="shared" si="2798"/>
        <v>44.502825242422901</v>
      </c>
      <c r="BJ103" s="190">
        <f t="shared" si="2799"/>
        <v>0.25875747760193946</v>
      </c>
      <c r="BK103" s="211">
        <v>497.31700000000001</v>
      </c>
      <c r="BL103" s="211">
        <v>224.465</v>
      </c>
      <c r="BM103" s="190">
        <f>BK103/BF103</f>
        <v>11.645595408424914</v>
      </c>
      <c r="BN103" s="190">
        <f t="shared" si="2800"/>
        <v>-0.14900661238626434</v>
      </c>
      <c r="BO103" s="247">
        <f t="shared" si="2801"/>
        <v>56.148420650847811</v>
      </c>
      <c r="BP103" s="211">
        <v>890.64400000000001</v>
      </c>
      <c r="BQ103" s="247">
        <f t="shared" si="2802"/>
        <v>29.688133333333333</v>
      </c>
      <c r="BR103" s="211">
        <v>664.005</v>
      </c>
      <c r="BS103" s="211">
        <v>51.436</v>
      </c>
      <c r="BT103" s="190">
        <f t="shared" si="2803"/>
        <v>44.732014138084352</v>
      </c>
      <c r="BU103" s="190">
        <f t="shared" si="2804"/>
        <v>0.48794637326339085</v>
      </c>
      <c r="BV103" s="211">
        <v>349.74</v>
      </c>
      <c r="BW103" s="211">
        <v>183.08699999999999</v>
      </c>
      <c r="BX103" s="190">
        <f t="shared" si="2805"/>
        <v>11.780464472898263</v>
      </c>
      <c r="BY103" s="190">
        <f t="shared" si="2806"/>
        <v>-1.4137547912914883E-2</v>
      </c>
      <c r="BZ103" s="194">
        <f t="shared" si="2807"/>
        <v>56.512478610982612</v>
      </c>
      <c r="CA103" s="211">
        <v>566.85400000000004</v>
      </c>
      <c r="CB103" s="247">
        <f t="shared" si="2808"/>
        <v>18.895133333333334</v>
      </c>
      <c r="CC103" s="211">
        <v>415.02</v>
      </c>
      <c r="CD103" s="211">
        <v>58.761000000000003</v>
      </c>
      <c r="CE103" s="190">
        <f t="shared" si="2809"/>
        <v>43.928771782504839</v>
      </c>
      <c r="CF103" s="190">
        <f t="shared" si="2810"/>
        <v>-0.31529598231612255</v>
      </c>
      <c r="CG103" s="211">
        <v>215.39099999999999</v>
      </c>
      <c r="CH103" s="211">
        <v>74.132999999999996</v>
      </c>
      <c r="CI103" s="190">
        <f t="shared" si="2811"/>
        <v>11.399284471839309</v>
      </c>
      <c r="CJ103" s="190">
        <f t="shared" si="2812"/>
        <v>-0.39531754897186921</v>
      </c>
      <c r="CK103" s="194">
        <f t="shared" si="2813"/>
        <v>55.328056254344148</v>
      </c>
      <c r="CL103" s="211">
        <v>932.35299999999995</v>
      </c>
      <c r="CM103" s="247">
        <f t="shared" si="2814"/>
        <v>31.078433333333333</v>
      </c>
      <c r="CN103" s="211">
        <v>692.46699999999998</v>
      </c>
      <c r="CO103" s="211">
        <v>44.715000000000003</v>
      </c>
      <c r="CP103" s="190">
        <f t="shared" si="2815"/>
        <v>44.562542298893227</v>
      </c>
      <c r="CQ103" s="190">
        <f t="shared" si="2816"/>
        <v>0.31847453407226567</v>
      </c>
      <c r="CR103" s="211">
        <v>374.37599999999998</v>
      </c>
      <c r="CS103" s="211">
        <v>124.565</v>
      </c>
      <c r="CT103" s="190">
        <f t="shared" si="2817"/>
        <v>12.046167063333307</v>
      </c>
      <c r="CU103" s="190">
        <f t="shared" si="2818"/>
        <v>0.25156504252212919</v>
      </c>
      <c r="CV103" s="247">
        <f t="shared" si="2819"/>
        <v>56.608709362226534</v>
      </c>
      <c r="CW103" s="163"/>
      <c r="CX103" s="196">
        <f t="shared" si="2820"/>
        <v>0</v>
      </c>
      <c r="CY103" s="196">
        <f t="shared" si="2821"/>
        <v>0</v>
      </c>
      <c r="CZ103" s="196">
        <f t="shared" si="2822"/>
        <v>0</v>
      </c>
      <c r="DA103" s="196">
        <f t="shared" si="2823"/>
        <v>0</v>
      </c>
      <c r="DB103" s="196">
        <f t="shared" si="2824"/>
        <v>0</v>
      </c>
      <c r="DC103" s="196">
        <f t="shared" si="2825"/>
        <v>0</v>
      </c>
      <c r="DD103" s="163"/>
      <c r="DE103" s="200">
        <v>209.24700000000001</v>
      </c>
      <c r="DF103" s="200">
        <v>120.514</v>
      </c>
      <c r="DG103" s="200">
        <v>59.054000000000002</v>
      </c>
      <c r="DH103" s="191">
        <f t="shared" si="2826"/>
        <v>0.57594135160838622</v>
      </c>
      <c r="DI103" s="197">
        <v>163.41499999999999</v>
      </c>
      <c r="DJ103" s="191">
        <f t="shared" si="2827"/>
        <v>0.39048349558177653</v>
      </c>
      <c r="DK103" s="197">
        <v>171.63499999999999</v>
      </c>
      <c r="DL103" s="197">
        <v>166.43</v>
      </c>
      <c r="DM103" s="191">
        <f t="shared" si="2828"/>
        <v>3.0325982462784284E-2</v>
      </c>
      <c r="DN103" s="200">
        <v>151.221</v>
      </c>
      <c r="DO103" s="200">
        <v>46.087000000000003</v>
      </c>
      <c r="DP103" s="200">
        <v>106.273</v>
      </c>
      <c r="DQ103" s="200">
        <f t="shared" si="2829"/>
        <v>152.36000000000001</v>
      </c>
      <c r="DR103" s="191">
        <f t="shared" si="2830"/>
        <v>0.96642484719016275</v>
      </c>
      <c r="DS103" s="199">
        <f t="shared" si="2831"/>
        <v>1.0503013799222838</v>
      </c>
      <c r="DT103" s="200">
        <v>85.305999999999997</v>
      </c>
      <c r="DU103" s="200">
        <v>33.807000000000002</v>
      </c>
      <c r="DV103" s="200">
        <v>33.863</v>
      </c>
      <c r="DW103" s="191">
        <f t="shared" si="1537"/>
        <v>0.39630272196562966</v>
      </c>
      <c r="DX103" s="197">
        <v>22.061</v>
      </c>
      <c r="DY103" s="191">
        <f t="shared" si="2832"/>
        <v>0.12930508991161233</v>
      </c>
      <c r="DZ103" s="197">
        <v>26.594999999999999</v>
      </c>
      <c r="EA103" s="197">
        <v>25.774000000000001</v>
      </c>
      <c r="EB103" s="191">
        <f t="shared" ref="EB103:EB120" si="2836">1-EA103/DZ103</f>
        <v>3.0870464373002338E-2</v>
      </c>
      <c r="EC103" s="200">
        <v>32.536999999999999</v>
      </c>
      <c r="ED103" s="206">
        <f t="shared" si="2833"/>
        <v>30</v>
      </c>
      <c r="EE103" s="200">
        <v>24.997</v>
      </c>
      <c r="EF103" s="205">
        <f t="shared" ref="EF103:EF111" si="2837">EE103+ED103</f>
        <v>54.997</v>
      </c>
      <c r="EG103" s="191">
        <f t="shared" ref="EG103:EG111" si="2838">DY103+DW103</f>
        <v>0.52560781187724204</v>
      </c>
      <c r="EJ103" s="202">
        <f t="shared" si="1363"/>
        <v>11.924733333333334</v>
      </c>
      <c r="EK103" s="202">
        <f>'NOPA Crush'!B528*56/('NOPA Crush'!A528-'NOPA Crush'!A527)</f>
        <v>12.986039445639191</v>
      </c>
      <c r="EL103" s="203">
        <f t="shared" si="1451"/>
        <v>0.9182733028997343</v>
      </c>
      <c r="EM103" s="202">
        <f t="shared" si="1406"/>
        <v>6.7499032258064524</v>
      </c>
      <c r="EN103" s="202">
        <f t="shared" si="1407"/>
        <v>5.5036129032258073E-3</v>
      </c>
      <c r="EO103" s="202">
        <f t="shared" si="1452"/>
        <v>18.680140172043011</v>
      </c>
    </row>
    <row r="104" spans="1:145">
      <c r="A104" s="157">
        <v>45139</v>
      </c>
      <c r="B104" s="186">
        <v>5069.87</v>
      </c>
      <c r="C104" s="187">
        <f t="shared" si="2779"/>
        <v>168.99566666666666</v>
      </c>
      <c r="D104" s="247">
        <f>C104-'NOPA Crush'!G529</f>
        <v>7.542666666666662</v>
      </c>
      <c r="E104" s="188">
        <f>C104/'NOPA Crush'!G529-1</f>
        <v>4.6717414149422209E-2</v>
      </c>
      <c r="F104" s="189">
        <v>3767.0639999999999</v>
      </c>
      <c r="G104" s="189">
        <v>3725.1239999999998</v>
      </c>
      <c r="H104" s="189">
        <v>41.94</v>
      </c>
      <c r="I104" s="189">
        <v>280.33499999999998</v>
      </c>
      <c r="J104" s="190">
        <f t="shared" si="2780"/>
        <v>44.581782175874331</v>
      </c>
      <c r="K104" s="190">
        <f t="shared" si="2781"/>
        <v>47.692252464067124</v>
      </c>
      <c r="L104" s="190">
        <f>K104-'NOPA Crush'!J529</f>
        <v>4.2252464067125572E-2</v>
      </c>
      <c r="M104" s="189">
        <v>262.82799999999997</v>
      </c>
      <c r="N104" s="189">
        <v>36.506</v>
      </c>
      <c r="O104" s="189">
        <v>2014.153</v>
      </c>
      <c r="P104" s="189">
        <v>1353.202</v>
      </c>
      <c r="Q104" s="189">
        <v>759.92700000000002</v>
      </c>
      <c r="R104" s="189">
        <v>226.33699999999999</v>
      </c>
      <c r="S104" s="189">
        <v>366.93799999999999</v>
      </c>
      <c r="T104" s="189">
        <v>419.18099999999998</v>
      </c>
      <c r="U104" s="189">
        <f>(P104+T104)-'NOPA Crush'!Q529</f>
        <v>522.62100000000009</v>
      </c>
      <c r="V104" s="191">
        <f>((P104+T104)/'NOPA Crush'!Q529)-1</f>
        <v>0.41817642079051853</v>
      </c>
      <c r="W104" s="190">
        <f t="shared" si="2782"/>
        <v>11.918370688005806</v>
      </c>
      <c r="X104" s="190">
        <f>W104-'NOPA Crush'!O529</f>
        <v>-2.1629311994193046E-2</v>
      </c>
      <c r="Y104" s="190">
        <f t="shared" si="2783"/>
        <v>59.610623152072932</v>
      </c>
      <c r="Z104" s="211">
        <v>1740.71</v>
      </c>
      <c r="AA104" s="211">
        <v>1709.8140000000001</v>
      </c>
      <c r="AB104" s="191">
        <f t="shared" si="2784"/>
        <v>1.7749079398636163E-2</v>
      </c>
      <c r="AC104" s="211">
        <v>187.12</v>
      </c>
      <c r="AD104" s="211">
        <v>1723.7660000000001</v>
      </c>
      <c r="AE104" s="211">
        <v>1237.914</v>
      </c>
      <c r="AF104" s="211">
        <v>485.85199999999998</v>
      </c>
      <c r="AG104" s="191">
        <f>AD104/AA104-1</f>
        <v>8.1599519012010013E-3</v>
      </c>
      <c r="AI104" s="211">
        <v>580.85599999999999</v>
      </c>
      <c r="AJ104" s="247">
        <f t="shared" si="2785"/>
        <v>19.361866666666668</v>
      </c>
      <c r="AK104" s="211">
        <v>426.17200000000003</v>
      </c>
      <c r="AL104" s="211">
        <v>41.201999999999998</v>
      </c>
      <c r="AM104" s="190">
        <f t="shared" si="2786"/>
        <v>44.021788532786097</v>
      </c>
      <c r="AN104" s="190">
        <f t="shared" si="2787"/>
        <v>-0.55999364308823374</v>
      </c>
      <c r="AO104" s="211">
        <v>240.62799999999999</v>
      </c>
      <c r="AP104" s="211">
        <v>109.477</v>
      </c>
      <c r="AQ104" s="190">
        <f t="shared" si="2788"/>
        <v>12.427933945762804</v>
      </c>
      <c r="AR104" s="190">
        <f t="shared" si="2789"/>
        <v>0.50956325775699796</v>
      </c>
      <c r="AS104" s="190">
        <f t="shared" si="2790"/>
        <v>56.4497224785489</v>
      </c>
      <c r="AT104" s="211">
        <v>1042.1120000000001</v>
      </c>
      <c r="AU104" s="247">
        <f t="shared" si="2791"/>
        <v>34.737066666666671</v>
      </c>
      <c r="AV104" s="211">
        <v>776.90200000000004</v>
      </c>
      <c r="AW104" s="211">
        <v>42.62</v>
      </c>
      <c r="AX104" s="190">
        <f t="shared" si="2792"/>
        <v>44.730432045691821</v>
      </c>
      <c r="AY104" s="190">
        <f t="shared" si="2793"/>
        <v>0.14864986981748984</v>
      </c>
      <c r="AZ104" s="211">
        <v>412.262</v>
      </c>
      <c r="BA104" s="211">
        <v>87.978999999999999</v>
      </c>
      <c r="BB104" s="190">
        <f t="shared" si="2794"/>
        <v>11.868071761960325</v>
      </c>
      <c r="BC104" s="190">
        <f t="shared" si="2795"/>
        <v>-5.0298926045481807E-2</v>
      </c>
      <c r="BD104" s="247">
        <f t="shared" si="2796"/>
        <v>56.598503807652143</v>
      </c>
      <c r="BE104" s="211">
        <v>1087.1959999999999</v>
      </c>
      <c r="BF104" s="247">
        <f t="shared" si="2797"/>
        <v>36.239866666666664</v>
      </c>
      <c r="BG104" s="211">
        <v>803.24400000000003</v>
      </c>
      <c r="BH104" s="211">
        <v>86.194999999999993</v>
      </c>
      <c r="BI104" s="190">
        <f t="shared" si="2798"/>
        <v>44.32930216814632</v>
      </c>
      <c r="BJ104" s="190">
        <f t="shared" si="2799"/>
        <v>-0.25248000772801049</v>
      </c>
      <c r="BK104" s="211">
        <v>427.89400000000001</v>
      </c>
      <c r="BL104" s="211">
        <v>202.148</v>
      </c>
      <c r="BM104" s="190">
        <f>BK104/BF104</f>
        <v>11.80727302160788</v>
      </c>
      <c r="BN104" s="190">
        <f t="shared" si="2800"/>
        <v>-0.11109766639792618</v>
      </c>
      <c r="BO104" s="247">
        <f t="shared" si="2801"/>
        <v>56.136575189754197</v>
      </c>
      <c r="BP104" s="211">
        <v>867.41899999999998</v>
      </c>
      <c r="BQ104" s="247">
        <f t="shared" si="2802"/>
        <v>28.913966666666667</v>
      </c>
      <c r="BR104" s="211">
        <v>651.30499999999995</v>
      </c>
      <c r="BS104" s="211">
        <v>31.835999999999999</v>
      </c>
      <c r="BT104" s="190">
        <f t="shared" si="2803"/>
        <v>45.051238213596882</v>
      </c>
      <c r="BU104" s="190">
        <f t="shared" si="2804"/>
        <v>0.4694560377225514</v>
      </c>
      <c r="BV104" s="211">
        <v>342.05599999999998</v>
      </c>
      <c r="BW104" s="211">
        <v>161.84200000000001</v>
      </c>
      <c r="BX104" s="190">
        <f t="shared" si="2805"/>
        <v>11.830130536684116</v>
      </c>
      <c r="BY104" s="190">
        <f t="shared" si="2806"/>
        <v>-8.8240151321690163E-2</v>
      </c>
      <c r="BZ104" s="194">
        <f t="shared" si="2807"/>
        <v>56.881368750280998</v>
      </c>
      <c r="CA104" s="211">
        <v>643.98</v>
      </c>
      <c r="CB104" s="247">
        <f t="shared" si="2808"/>
        <v>21.466000000000001</v>
      </c>
      <c r="CC104" s="211">
        <v>474.34500000000003</v>
      </c>
      <c r="CD104" s="211">
        <v>35.776000000000003</v>
      </c>
      <c r="CE104" s="190">
        <f t="shared" si="2809"/>
        <v>44.195006056088701</v>
      </c>
      <c r="CF104" s="190">
        <f t="shared" si="2810"/>
        <v>-0.38677611978562965</v>
      </c>
      <c r="CG104" s="211">
        <v>245.346</v>
      </c>
      <c r="CH104" s="211">
        <v>56.195999999999998</v>
      </c>
      <c r="CI104" s="190">
        <f t="shared" si="2811"/>
        <v>11.42951644461008</v>
      </c>
      <c r="CJ104" s="190">
        <f t="shared" si="2812"/>
        <v>-0.48885424339572658</v>
      </c>
      <c r="CK104" s="194">
        <f t="shared" si="2813"/>
        <v>55.624522500698781</v>
      </c>
      <c r="CL104" s="211">
        <v>848.30700000000002</v>
      </c>
      <c r="CM104" s="247">
        <f t="shared" si="2814"/>
        <v>28.276900000000001</v>
      </c>
      <c r="CN104" s="211">
        <v>635.096</v>
      </c>
      <c r="CO104" s="211">
        <v>42.706000000000003</v>
      </c>
      <c r="CP104" s="190">
        <f t="shared" si="2815"/>
        <v>44.919775505801553</v>
      </c>
      <c r="CQ104" s="190">
        <f t="shared" si="2816"/>
        <v>0.33799332992722242</v>
      </c>
      <c r="CR104" s="211">
        <v>345.96699999999998</v>
      </c>
      <c r="CS104" s="211">
        <v>142.285</v>
      </c>
      <c r="CT104" s="190">
        <f t="shared" si="2817"/>
        <v>12.234969179789863</v>
      </c>
      <c r="CU104" s="190">
        <f t="shared" si="2818"/>
        <v>0.31659849178405608</v>
      </c>
      <c r="CV104" s="247">
        <f t="shared" si="2819"/>
        <v>57.154744685591417</v>
      </c>
      <c r="CW104" s="163"/>
      <c r="CX104" s="196">
        <f t="shared" si="2820"/>
        <v>0</v>
      </c>
      <c r="CY104" s="196">
        <f t="shared" si="2821"/>
        <v>0</v>
      </c>
      <c r="CZ104" s="196">
        <f t="shared" si="2822"/>
        <v>0</v>
      </c>
      <c r="DA104" s="196">
        <f t="shared" si="2823"/>
        <v>0</v>
      </c>
      <c r="DB104" s="196">
        <f t="shared" si="2824"/>
        <v>0</v>
      </c>
      <c r="DC104" s="196">
        <f t="shared" si="2825"/>
        <v>0</v>
      </c>
      <c r="DD104" s="163"/>
      <c r="DE104" s="200">
        <v>190.42</v>
      </c>
      <c r="DF104" s="200">
        <v>111.691</v>
      </c>
      <c r="DG104" s="200">
        <v>57.862000000000002</v>
      </c>
      <c r="DH104" s="191">
        <f t="shared" si="2826"/>
        <v>0.58655078248083192</v>
      </c>
      <c r="DI104" s="197">
        <v>154.31800000000001</v>
      </c>
      <c r="DJ104" s="191">
        <f t="shared" si="2827"/>
        <v>0.40520428526415297</v>
      </c>
      <c r="DK104" s="197">
        <v>160.571</v>
      </c>
      <c r="DL104" s="197">
        <v>155.251</v>
      </c>
      <c r="DM104" s="191">
        <f t="shared" si="2828"/>
        <v>3.3131761027831885E-2</v>
      </c>
      <c r="DN104" s="200">
        <v>169.92599999999999</v>
      </c>
      <c r="DO104" s="200">
        <v>44.484000000000002</v>
      </c>
      <c r="DP104" s="200">
        <v>91.947000000000003</v>
      </c>
      <c r="DQ104" s="200">
        <f t="shared" si="2829"/>
        <v>136.43100000000001</v>
      </c>
      <c r="DR104" s="191">
        <f t="shared" si="2830"/>
        <v>0.9917550677449849</v>
      </c>
      <c r="DS104" s="199">
        <f t="shared" si="2831"/>
        <v>1.0405202244715457</v>
      </c>
      <c r="DT104" s="200">
        <v>114.845</v>
      </c>
      <c r="DU104" s="200">
        <v>52.982999999999997</v>
      </c>
      <c r="DV104" s="200">
        <v>35.774999999999999</v>
      </c>
      <c r="DW104" s="191">
        <f t="shared" si="1537"/>
        <v>0.46134355000217681</v>
      </c>
      <c r="DX104" s="197">
        <v>26.651</v>
      </c>
      <c r="DY104" s="191">
        <f t="shared" si="2832"/>
        <v>0.11603030171100179</v>
      </c>
      <c r="DZ104" s="197">
        <v>30.096</v>
      </c>
      <c r="EA104" s="197">
        <v>29.401</v>
      </c>
      <c r="EB104" s="191">
        <f t="shared" si="2836"/>
        <v>2.3092769803296109E-2</v>
      </c>
      <c r="EC104" s="200">
        <v>29.774000000000001</v>
      </c>
      <c r="ED104" s="206">
        <f t="shared" si="2833"/>
        <v>27.5</v>
      </c>
      <c r="EE104" s="200">
        <v>25.25</v>
      </c>
      <c r="EF104" s="205">
        <f t="shared" si="2837"/>
        <v>52.75</v>
      </c>
      <c r="EG104" s="191">
        <f t="shared" si="2838"/>
        <v>0.57737385171317857</v>
      </c>
      <c r="EJ104" s="202">
        <f t="shared" si="1363"/>
        <v>10.90294623655914</v>
      </c>
      <c r="EK104" s="202">
        <f>'NOPA Crush'!B529*56/('NOPA Crush'!A529-'NOPA Crush'!A528)</f>
        <v>12.312364342698579</v>
      </c>
      <c r="EL104" s="203">
        <f t="shared" si="1451"/>
        <v>0.88552823268463088</v>
      </c>
      <c r="EM104" s="202">
        <f t="shared" si="1406"/>
        <v>6.1425806451612903</v>
      </c>
      <c r="EN104" s="202">
        <f t="shared" si="1407"/>
        <v>7.4093548387096772E-3</v>
      </c>
      <c r="EO104" s="202">
        <f t="shared" si="1452"/>
        <v>17.052936236559141</v>
      </c>
    </row>
    <row r="105" spans="1:145">
      <c r="A105" s="157">
        <v>45170</v>
      </c>
      <c r="B105" s="186">
        <v>5242.9309999999996</v>
      </c>
      <c r="C105" s="187">
        <f t="shared" si="2779"/>
        <v>174.76436666666666</v>
      </c>
      <c r="D105" s="247">
        <f>C105-'NOPA Crush'!G530</f>
        <v>9.3083666666666716</v>
      </c>
      <c r="E105" s="188">
        <f>C105/'NOPA Crush'!G530-1</f>
        <v>5.6258864390935859E-2</v>
      </c>
      <c r="F105" s="189">
        <v>3843.681</v>
      </c>
      <c r="G105" s="189">
        <v>3799.2379999999998</v>
      </c>
      <c r="H105" s="189">
        <v>44.442999999999998</v>
      </c>
      <c r="I105" s="189">
        <v>327.57400000000001</v>
      </c>
      <c r="J105" s="190">
        <f t="shared" si="2780"/>
        <v>43.987010319227927</v>
      </c>
      <c r="K105" s="190">
        <f t="shared" si="2781"/>
        <v>46.984635121080174</v>
      </c>
      <c r="L105" s="190">
        <f>K105-'NOPA Crush'!J530</f>
        <v>-0.15536487891982631</v>
      </c>
      <c r="M105" s="189">
        <v>261.93900000000002</v>
      </c>
      <c r="N105" s="189">
        <v>43.317</v>
      </c>
      <c r="O105" s="189">
        <v>2077.0740000000001</v>
      </c>
      <c r="P105" s="189">
        <v>1196.674</v>
      </c>
      <c r="Q105" s="189">
        <v>716.34699999999998</v>
      </c>
      <c r="R105" s="189">
        <v>201.27199999999999</v>
      </c>
      <c r="S105" s="189">
        <v>279.05500000000001</v>
      </c>
      <c r="T105" s="189">
        <v>410.39800000000002</v>
      </c>
      <c r="U105" s="189">
        <f>(P105+T105)-'NOPA Crush'!Q530</f>
        <v>499.43500000000017</v>
      </c>
      <c r="V105" s="191">
        <f>((P105+T105)/'NOPA Crush'!Q530)-1</f>
        <v>0.45090133319851189</v>
      </c>
      <c r="W105" s="190">
        <f t="shared" si="2782"/>
        <v>11.884997151402528</v>
      </c>
      <c r="X105" s="190">
        <f>W105-'NOPA Crush'!O530</f>
        <v>-4.5002848597471612E-2</v>
      </c>
      <c r="Y105" s="190">
        <f t="shared" si="2783"/>
        <v>58.869632272482704</v>
      </c>
      <c r="Z105" s="211">
        <v>1724.748</v>
      </c>
      <c r="AA105" s="211">
        <v>1689.5319999999999</v>
      </c>
      <c r="AB105" s="191">
        <f t="shared" si="2784"/>
        <v>2.0418055275321451E-2</v>
      </c>
      <c r="AC105" s="211">
        <v>207.19300000000001</v>
      </c>
      <c r="AD105" s="211">
        <v>1699.54</v>
      </c>
      <c r="AE105" s="211">
        <v>1196.8920000000001</v>
      </c>
      <c r="AF105" s="211">
        <v>502.64800000000002</v>
      </c>
      <c r="AG105" s="191">
        <f>AD105/AA105-1</f>
        <v>5.9235338543455196E-3</v>
      </c>
      <c r="AI105" s="211">
        <v>500.03800000000001</v>
      </c>
      <c r="AJ105" s="247">
        <f t="shared" si="2785"/>
        <v>16.667933333333334</v>
      </c>
      <c r="AK105" s="211">
        <v>365.86500000000001</v>
      </c>
      <c r="AL105" s="211">
        <v>66.427999999999997</v>
      </c>
      <c r="AM105" s="190">
        <f t="shared" si="2786"/>
        <v>43.900463564769076</v>
      </c>
      <c r="AN105" s="190">
        <f t="shared" si="2787"/>
        <v>-8.6546754458851183E-2</v>
      </c>
      <c r="AO105" s="211">
        <v>203.79300000000001</v>
      </c>
      <c r="AP105" s="211">
        <v>89.17</v>
      </c>
      <c r="AQ105" s="190">
        <f t="shared" si="2788"/>
        <v>12.226650774541135</v>
      </c>
      <c r="AR105" s="190">
        <f t="shared" si="2789"/>
        <v>0.34165362313860648</v>
      </c>
      <c r="AS105" s="190">
        <f t="shared" si="2790"/>
        <v>56.127114339310211</v>
      </c>
      <c r="AT105" s="211">
        <v>1150.596</v>
      </c>
      <c r="AU105" s="247">
        <f t="shared" si="2791"/>
        <v>38.353200000000001</v>
      </c>
      <c r="AV105" s="211">
        <v>844.96299999999997</v>
      </c>
      <c r="AW105" s="211">
        <v>64.796000000000006</v>
      </c>
      <c r="AX105" s="190">
        <f t="shared" si="2792"/>
        <v>44.062190377856339</v>
      </c>
      <c r="AY105" s="190">
        <f t="shared" si="2793"/>
        <v>7.5180058628411928E-2</v>
      </c>
      <c r="AZ105" s="211">
        <v>458.28199999999998</v>
      </c>
      <c r="BA105" s="211">
        <v>78.733999999999995</v>
      </c>
      <c r="BB105" s="190">
        <f t="shared" si="2794"/>
        <v>11.948989914791985</v>
      </c>
      <c r="BC105" s="190">
        <f t="shared" si="2795"/>
        <v>6.3992763389457252E-2</v>
      </c>
      <c r="BD105" s="247">
        <f t="shared" si="2796"/>
        <v>56.011180292648326</v>
      </c>
      <c r="BE105" s="211">
        <v>1170.105</v>
      </c>
      <c r="BF105" s="247">
        <f t="shared" si="2797"/>
        <v>39.003500000000003</v>
      </c>
      <c r="BG105" s="211">
        <v>847.23599999999999</v>
      </c>
      <c r="BH105" s="211">
        <v>62.503999999999998</v>
      </c>
      <c r="BI105" s="190">
        <f t="shared" si="2798"/>
        <v>43.444101170407784</v>
      </c>
      <c r="BJ105" s="190">
        <f t="shared" si="2799"/>
        <v>-0.54290914882014363</v>
      </c>
      <c r="BK105" s="211">
        <v>462.44499999999999</v>
      </c>
      <c r="BL105" s="211">
        <v>194.304</v>
      </c>
      <c r="BM105" s="190">
        <f t="shared" ref="BM105:BM110" si="2839">BK105/BF105</f>
        <v>11.85650005768713</v>
      </c>
      <c r="BN105" s="190">
        <f t="shared" si="2800"/>
        <v>-2.8497093715397881E-2</v>
      </c>
      <c r="BO105" s="247">
        <f t="shared" si="2801"/>
        <v>55.300601228094912</v>
      </c>
      <c r="BP105" s="211">
        <v>935.68299999999999</v>
      </c>
      <c r="BQ105" s="247">
        <f t="shared" si="2802"/>
        <v>31.189433333333334</v>
      </c>
      <c r="BR105" s="211">
        <v>694.39499999999998</v>
      </c>
      <c r="BS105" s="211">
        <v>40.262999999999998</v>
      </c>
      <c r="BT105" s="190">
        <f t="shared" si="2803"/>
        <v>44.527580387802274</v>
      </c>
      <c r="BU105" s="190">
        <f t="shared" si="2804"/>
        <v>0.54057006857434686</v>
      </c>
      <c r="BV105" s="211">
        <v>360.54700000000003</v>
      </c>
      <c r="BW105" s="211">
        <v>153.435</v>
      </c>
      <c r="BX105" s="190">
        <f t="shared" si="2805"/>
        <v>11.559908644273756</v>
      </c>
      <c r="BY105" s="190">
        <f t="shared" si="2806"/>
        <v>-0.32508850712877191</v>
      </c>
      <c r="BZ105" s="194">
        <f t="shared" si="2807"/>
        <v>56.087489032076029</v>
      </c>
      <c r="CA105" s="211">
        <v>618.49099999999999</v>
      </c>
      <c r="CB105" s="247">
        <f t="shared" si="2808"/>
        <v>20.616366666666668</v>
      </c>
      <c r="CC105" s="211">
        <v>451.73</v>
      </c>
      <c r="CD105" s="211">
        <v>56.154000000000003</v>
      </c>
      <c r="CE105" s="190">
        <f t="shared" si="2809"/>
        <v>43.822464676123012</v>
      </c>
      <c r="CF105" s="190">
        <f t="shared" si="2810"/>
        <v>-0.16454564310491548</v>
      </c>
      <c r="CG105" s="211">
        <v>241.62700000000001</v>
      </c>
      <c r="CH105" s="211">
        <v>69.668999999999997</v>
      </c>
      <c r="CI105" s="190">
        <f t="shared" si="2811"/>
        <v>11.720154375730608</v>
      </c>
      <c r="CJ105" s="190">
        <f t="shared" si="2812"/>
        <v>-0.16484277567191974</v>
      </c>
      <c r="CK105" s="194">
        <f t="shared" si="2813"/>
        <v>55.54261905185362</v>
      </c>
      <c r="CL105" s="211">
        <v>868.01800000000003</v>
      </c>
      <c r="CM105" s="247">
        <f t="shared" si="2814"/>
        <v>28.933933333333336</v>
      </c>
      <c r="CN105" s="211">
        <v>639.49199999999996</v>
      </c>
      <c r="CO105" s="211">
        <v>37.429000000000002</v>
      </c>
      <c r="CP105" s="190">
        <f t="shared" si="2815"/>
        <v>44.20359946452723</v>
      </c>
      <c r="CQ105" s="190">
        <f t="shared" si="2816"/>
        <v>0.21658914529930229</v>
      </c>
      <c r="CR105" s="211">
        <v>350.38</v>
      </c>
      <c r="CS105" s="211">
        <v>131.035</v>
      </c>
      <c r="CT105" s="190">
        <f t="shared" si="2817"/>
        <v>12.109656712187995</v>
      </c>
      <c r="CU105" s="190">
        <f t="shared" si="2818"/>
        <v>0.22465956078546689</v>
      </c>
      <c r="CV105" s="247">
        <f t="shared" si="2819"/>
        <v>56.313256176715228</v>
      </c>
      <c r="CW105" s="163"/>
      <c r="CX105" s="196">
        <f t="shared" si="2820"/>
        <v>0</v>
      </c>
      <c r="CY105" s="196">
        <f t="shared" si="2821"/>
        <v>0</v>
      </c>
      <c r="CZ105" s="196">
        <f t="shared" si="2822"/>
        <v>0</v>
      </c>
      <c r="DA105" s="196">
        <f t="shared" si="2823"/>
        <v>0</v>
      </c>
      <c r="DB105" s="196">
        <f t="shared" si="2824"/>
        <v>0</v>
      </c>
      <c r="DC105" s="196">
        <f t="shared" si="2825"/>
        <v>0</v>
      </c>
      <c r="DD105" s="163"/>
      <c r="DE105" s="200">
        <v>209.43</v>
      </c>
      <c r="DF105" s="200">
        <v>120.41200000000001</v>
      </c>
      <c r="DG105" s="200">
        <v>59.127000000000002</v>
      </c>
      <c r="DH105" s="191">
        <f t="shared" si="2826"/>
        <v>0.57495105763262189</v>
      </c>
      <c r="DI105" s="197">
        <v>166.32499999999999</v>
      </c>
      <c r="DJ105" s="191">
        <f t="shared" si="2827"/>
        <v>0.39708971971541801</v>
      </c>
      <c r="DK105" s="197">
        <v>152.81800000000001</v>
      </c>
      <c r="DL105" s="197">
        <v>148.095</v>
      </c>
      <c r="DM105" s="191">
        <f t="shared" si="2828"/>
        <v>3.0906045099399315E-2</v>
      </c>
      <c r="DN105" s="200">
        <v>143.83699999999999</v>
      </c>
      <c r="DO105" s="200">
        <v>59.189</v>
      </c>
      <c r="DP105" s="200">
        <v>99.884</v>
      </c>
      <c r="DQ105" s="200">
        <f t="shared" si="2829"/>
        <v>159.07300000000001</v>
      </c>
      <c r="DR105" s="191">
        <f t="shared" si="2830"/>
        <v>0.97204077734803995</v>
      </c>
      <c r="DS105" s="199">
        <f t="shared" si="2831"/>
        <v>0.91879152262137398</v>
      </c>
      <c r="DT105" s="200">
        <v>116.03</v>
      </c>
      <c r="DU105" s="200">
        <v>52.968000000000004</v>
      </c>
      <c r="DV105" s="200">
        <v>32.561</v>
      </c>
      <c r="DW105" s="191">
        <f t="shared" si="1537"/>
        <v>0.4565026286305266</v>
      </c>
      <c r="DX105" s="197">
        <v>28.396999999999998</v>
      </c>
      <c r="DY105" s="191">
        <f t="shared" si="2832"/>
        <v>0.12236921485822631</v>
      </c>
      <c r="DZ105" s="197">
        <v>37.555999999999997</v>
      </c>
      <c r="EA105" s="197">
        <v>36.499000000000002</v>
      </c>
      <c r="EB105" s="191">
        <f t="shared" si="2836"/>
        <v>2.81446373415698E-2</v>
      </c>
      <c r="EC105" s="200">
        <v>39.878999999999998</v>
      </c>
      <c r="ED105" s="206">
        <f t="shared" si="2833"/>
        <v>25</v>
      </c>
      <c r="EE105" s="200">
        <v>22.137</v>
      </c>
      <c r="EF105" s="205">
        <f t="shared" si="2837"/>
        <v>47.137</v>
      </c>
      <c r="EG105" s="191">
        <f t="shared" si="2838"/>
        <v>0.57887184348875287</v>
      </c>
      <c r="EJ105" s="202">
        <f t="shared" si="1363"/>
        <v>11.650957777777778</v>
      </c>
      <c r="EK105" s="202">
        <f>'NOPA Crush'!B530*56/('NOPA Crush'!A530-'NOPA Crush'!A529)</f>
        <v>12.686224072147072</v>
      </c>
      <c r="EL105" s="203">
        <f t="shared" si="1451"/>
        <v>0.91839444987872731</v>
      </c>
      <c r="EM105" s="202">
        <f t="shared" si="1406"/>
        <v>6.9809999999999999</v>
      </c>
      <c r="EN105" s="202">
        <f t="shared" si="1407"/>
        <v>7.7353333333333328E-3</v>
      </c>
      <c r="EO105" s="202">
        <f t="shared" si="1452"/>
        <v>18.639693111111111</v>
      </c>
    </row>
    <row r="106" spans="1:145">
      <c r="A106" s="157">
        <v>45200</v>
      </c>
      <c r="B106" s="186">
        <v>6041.6850000000004</v>
      </c>
      <c r="C106" s="187">
        <f t="shared" si="2779"/>
        <v>201.38950000000003</v>
      </c>
      <c r="D106" s="247">
        <f>C106-'NOPA Crush'!G531</f>
        <v>11.615500000000026</v>
      </c>
      <c r="E106" s="188">
        <f>C106/'NOPA Crush'!G531-1</f>
        <v>6.120701465954248E-2</v>
      </c>
      <c r="F106" s="189">
        <v>4442.4660000000003</v>
      </c>
      <c r="G106" s="189">
        <v>4393.6710000000003</v>
      </c>
      <c r="H106" s="189">
        <v>48.795000000000002</v>
      </c>
      <c r="I106" s="189">
        <v>291.07100000000003</v>
      </c>
      <c r="J106" s="190">
        <f t="shared" si="2780"/>
        <v>44.118149158719795</v>
      </c>
      <c r="K106" s="190">
        <f t="shared" si="2781"/>
        <v>47.057895272593655</v>
      </c>
      <c r="L106" s="190">
        <f>K106-'NOPA Crush'!J531</f>
        <v>8.7895272593655704E-2</v>
      </c>
      <c r="M106" s="189">
        <v>296.017</v>
      </c>
      <c r="N106" s="189">
        <v>43.567999999999998</v>
      </c>
      <c r="O106" s="189">
        <v>2375.654</v>
      </c>
      <c r="P106" s="189">
        <v>1088.6120000000001</v>
      </c>
      <c r="Q106" s="189">
        <v>660.53300000000002</v>
      </c>
      <c r="R106" s="189">
        <v>183.999</v>
      </c>
      <c r="S106" s="189">
        <v>244.08</v>
      </c>
      <c r="T106" s="189">
        <v>412.988</v>
      </c>
      <c r="U106" s="189">
        <f>(P106+T106)-'NOPA Crush'!Q531</f>
        <v>402.51400000000012</v>
      </c>
      <c r="V106" s="191">
        <f>((P106+T106)/'NOPA Crush'!Q531)-1</f>
        <v>0.36622611879325206</v>
      </c>
      <c r="W106" s="190">
        <f t="shared" si="2782"/>
        <v>11.796315100836933</v>
      </c>
      <c r="X106" s="190">
        <f>W106-'NOPA Crush'!O531</f>
        <v>-3.3684899163066717E-2</v>
      </c>
      <c r="Y106" s="190">
        <f t="shared" si="2783"/>
        <v>58.85421037343059</v>
      </c>
      <c r="Z106" s="211">
        <v>1869.3910000000001</v>
      </c>
      <c r="AA106" s="211">
        <v>1833.5309999999999</v>
      </c>
      <c r="AB106" s="191">
        <f t="shared" si="2784"/>
        <v>1.9182717794190795E-2</v>
      </c>
      <c r="AC106" s="344">
        <f>FORECAST(AF106,AC82:AC105,AF82:AF105)</f>
        <v>179.57225473502342</v>
      </c>
      <c r="AD106" s="211">
        <v>1831.556</v>
      </c>
      <c r="AE106" s="211">
        <v>1269.5730000000001</v>
      </c>
      <c r="AF106" s="211">
        <v>561.98299999999995</v>
      </c>
      <c r="AG106" s="191">
        <f t="shared" si="1322"/>
        <v>-1.077156590207573E-3</v>
      </c>
      <c r="AI106" s="211">
        <v>652.81600000000003</v>
      </c>
      <c r="AJ106" s="247">
        <f t="shared" si="2785"/>
        <v>21.760533333333335</v>
      </c>
      <c r="AK106" s="211">
        <v>474.31299999999999</v>
      </c>
      <c r="AL106" s="211">
        <v>32.292000000000002</v>
      </c>
      <c r="AM106" s="190">
        <f t="shared" si="2786"/>
        <v>43.593876375579029</v>
      </c>
      <c r="AN106" s="190">
        <f t="shared" si="2787"/>
        <v>-0.52427278314076631</v>
      </c>
      <c r="AO106" s="211">
        <v>262.86500000000001</v>
      </c>
      <c r="AP106" s="211">
        <v>76.207999999999998</v>
      </c>
      <c r="AQ106" s="190">
        <f t="shared" si="2788"/>
        <v>12.07989693880052</v>
      </c>
      <c r="AR106" s="190">
        <f t="shared" si="2789"/>
        <v>0.28358183796358638</v>
      </c>
      <c r="AS106" s="190">
        <f t="shared" si="2790"/>
        <v>55.673773314379545</v>
      </c>
      <c r="AT106" s="211">
        <v>1319.3030000000001</v>
      </c>
      <c r="AU106" s="247">
        <f t="shared" si="2791"/>
        <v>43.97676666666667</v>
      </c>
      <c r="AV106" s="211">
        <v>977.399</v>
      </c>
      <c r="AW106" s="211">
        <v>61.372</v>
      </c>
      <c r="AX106" s="190">
        <f t="shared" si="2792"/>
        <v>44.450698588572905</v>
      </c>
      <c r="AY106" s="190">
        <f t="shared" si="2793"/>
        <v>0.33254942985310976</v>
      </c>
      <c r="AZ106" s="211">
        <v>525.971</v>
      </c>
      <c r="BA106" s="211">
        <v>70.759</v>
      </c>
      <c r="BB106" s="190">
        <f t="shared" si="2794"/>
        <v>11.960201712570955</v>
      </c>
      <c r="BC106" s="190">
        <f t="shared" si="2795"/>
        <v>0.16388661173402141</v>
      </c>
      <c r="BD106" s="247">
        <f t="shared" si="2796"/>
        <v>56.410900301143862</v>
      </c>
      <c r="BE106" s="211">
        <v>1378.347</v>
      </c>
      <c r="BF106" s="247">
        <f t="shared" si="2797"/>
        <v>45.944899999999997</v>
      </c>
      <c r="BG106" s="211">
        <v>1007.371</v>
      </c>
      <c r="BH106" s="211">
        <v>69.447999999999993</v>
      </c>
      <c r="BI106" s="190">
        <f t="shared" si="2798"/>
        <v>43.85126531998111</v>
      </c>
      <c r="BJ106" s="190">
        <f t="shared" si="2799"/>
        <v>-0.2668838387386856</v>
      </c>
      <c r="BK106" s="211">
        <v>536.92600000000004</v>
      </c>
      <c r="BL106" s="211">
        <v>188.327</v>
      </c>
      <c r="BM106" s="190">
        <f t="shared" si="2839"/>
        <v>11.686302505827634</v>
      </c>
      <c r="BN106" s="190">
        <f t="shared" si="2800"/>
        <v>-0.11001259500929983</v>
      </c>
      <c r="BO106" s="247">
        <f t="shared" si="2801"/>
        <v>55.537567825808743</v>
      </c>
      <c r="BP106" s="211">
        <v>1001.749</v>
      </c>
      <c r="BQ106" s="247">
        <f t="shared" si="2802"/>
        <v>33.391633333333331</v>
      </c>
      <c r="BR106" s="211">
        <v>741.30899999999997</v>
      </c>
      <c r="BS106" s="211">
        <v>60.418999999999997</v>
      </c>
      <c r="BT106" s="190">
        <f t="shared" si="2803"/>
        <v>44.400882855885058</v>
      </c>
      <c r="BU106" s="190">
        <f t="shared" si="2804"/>
        <v>0.28273369716526275</v>
      </c>
      <c r="BV106" s="211">
        <v>386.16300000000001</v>
      </c>
      <c r="BW106" s="211">
        <v>142.51300000000001</v>
      </c>
      <c r="BX106" s="190">
        <f t="shared" si="2805"/>
        <v>11.564663403706918</v>
      </c>
      <c r="BY106" s="190">
        <f t="shared" si="2806"/>
        <v>-0.23165169713001532</v>
      </c>
      <c r="BZ106" s="194">
        <f t="shared" si="2807"/>
        <v>55.965546259591974</v>
      </c>
      <c r="CA106" s="211">
        <v>710.94799999999998</v>
      </c>
      <c r="CB106" s="247">
        <f t="shared" si="2808"/>
        <v>23.698266666666665</v>
      </c>
      <c r="CC106" s="211">
        <v>517.1</v>
      </c>
      <c r="CD106" s="211">
        <v>27.207000000000001</v>
      </c>
      <c r="CE106" s="190">
        <f t="shared" si="2809"/>
        <v>43.640322498973205</v>
      </c>
      <c r="CF106" s="190">
        <f t="shared" si="2810"/>
        <v>-0.47782665974659011</v>
      </c>
      <c r="CG106" s="211">
        <v>277.77600000000001</v>
      </c>
      <c r="CH106" s="211">
        <v>48.731000000000002</v>
      </c>
      <c r="CI106" s="190">
        <f t="shared" si="2811"/>
        <v>11.721363587772947</v>
      </c>
      <c r="CJ106" s="190">
        <f t="shared" si="2812"/>
        <v>-7.4951513063986397E-2</v>
      </c>
      <c r="CK106" s="194">
        <f t="shared" si="2813"/>
        <v>55.361686086746154</v>
      </c>
      <c r="CL106" s="211">
        <v>978.52200000000005</v>
      </c>
      <c r="CM106" s="247">
        <f t="shared" si="2814"/>
        <v>32.617400000000004</v>
      </c>
      <c r="CN106" s="211">
        <v>724.67399999999998</v>
      </c>
      <c r="CO106" s="211">
        <v>40.332999999999998</v>
      </c>
      <c r="CP106" s="190">
        <f t="shared" si="2815"/>
        <v>44.43481086781901</v>
      </c>
      <c r="CQ106" s="190">
        <f t="shared" si="2816"/>
        <v>0.31666170909921476</v>
      </c>
      <c r="CR106" s="211">
        <v>385.95299999999997</v>
      </c>
      <c r="CS106" s="211">
        <v>133.995</v>
      </c>
      <c r="CT106" s="190">
        <f t="shared" si="2817"/>
        <v>11.832733449018006</v>
      </c>
      <c r="CU106" s="190">
        <f t="shared" si="2818"/>
        <v>3.6418348181072702E-2</v>
      </c>
      <c r="CV106" s="247">
        <f t="shared" si="2819"/>
        <v>56.267544316837018</v>
      </c>
      <c r="CW106" s="163"/>
      <c r="CX106" s="196">
        <f t="shared" si="2820"/>
        <v>0</v>
      </c>
      <c r="CY106" s="196">
        <f t="shared" si="2821"/>
        <v>0.30000000000029559</v>
      </c>
      <c r="CZ106" s="196">
        <f t="shared" si="2822"/>
        <v>0</v>
      </c>
      <c r="DA106" s="196">
        <f t="shared" si="2823"/>
        <v>0</v>
      </c>
      <c r="DB106" s="196">
        <f t="shared" si="2824"/>
        <v>0</v>
      </c>
      <c r="DC106" s="196">
        <f t="shared" si="2825"/>
        <v>0</v>
      </c>
      <c r="DD106" s="163"/>
      <c r="DE106" s="200">
        <v>202.333</v>
      </c>
      <c r="DF106" s="200">
        <v>117.99</v>
      </c>
      <c r="DG106" s="349">
        <f>MROUND(FORECAST(DF106,DG73:DG105,DF73:DF105),0.1)</f>
        <v>47.6</v>
      </c>
      <c r="DH106" s="191">
        <f t="shared" si="2826"/>
        <v>0.58314758343918194</v>
      </c>
      <c r="DI106" s="197">
        <v>162.18600000000001</v>
      </c>
      <c r="DJ106" s="191">
        <f t="shared" si="2827"/>
        <v>0.40078978713309249</v>
      </c>
      <c r="DK106" s="197">
        <v>173.49</v>
      </c>
      <c r="DL106" s="197">
        <v>167.83600000000001</v>
      </c>
      <c r="DM106" s="191">
        <f t="shared" si="2828"/>
        <v>3.2589774626779588E-2</v>
      </c>
      <c r="DN106" s="200">
        <v>177.20699999999999</v>
      </c>
      <c r="DO106" s="200">
        <v>57.856000000000002</v>
      </c>
      <c r="DP106" s="200">
        <v>96.388000000000005</v>
      </c>
      <c r="DQ106" s="200">
        <f t="shared" si="2829"/>
        <v>154.244</v>
      </c>
      <c r="DR106" s="191">
        <f t="shared" si="2830"/>
        <v>0.98393737057227448</v>
      </c>
      <c r="DS106" s="199">
        <f t="shared" si="2831"/>
        <v>1.0696977544300987</v>
      </c>
      <c r="DT106" s="200">
        <v>140.441</v>
      </c>
      <c r="DU106" s="200">
        <v>58.103000000000002</v>
      </c>
      <c r="DV106" s="200">
        <v>31.780999999999999</v>
      </c>
      <c r="DW106" s="191">
        <f t="shared" si="1537"/>
        <v>0.4137182161904287</v>
      </c>
      <c r="DX106" s="197">
        <v>38.286000000000001</v>
      </c>
      <c r="DY106" s="191">
        <f t="shared" si="2832"/>
        <v>0.13630634928546506</v>
      </c>
      <c r="DZ106" s="197">
        <v>35.924999999999997</v>
      </c>
      <c r="EA106" s="197">
        <v>34.957999999999998</v>
      </c>
      <c r="EB106" s="191">
        <f t="shared" si="2836"/>
        <v>2.6917188587334717E-2</v>
      </c>
      <c r="EC106" s="200">
        <v>28.795000000000002</v>
      </c>
      <c r="ED106" s="206">
        <f t="shared" si="2833"/>
        <v>25</v>
      </c>
      <c r="EE106" s="200">
        <v>29.184000000000001</v>
      </c>
      <c r="EF106" s="205">
        <f t="shared" si="2837"/>
        <v>54.183999999999997</v>
      </c>
      <c r="EG106" s="191">
        <f t="shared" si="2838"/>
        <v>0.55002456547589373</v>
      </c>
      <c r="EJ106" s="202">
        <f t="shared" si="1363"/>
        <v>12.992870967741938</v>
      </c>
      <c r="EK106" s="202">
        <f>'NOPA Crush'!B531*56/('NOPA Crush'!A531-'NOPA Crush'!A530)</f>
        <v>13.314269964157711</v>
      </c>
      <c r="EL106" s="203">
        <f t="shared" si="1451"/>
        <v>0.97586056184221992</v>
      </c>
      <c r="EM106" s="202">
        <f t="shared" si="1406"/>
        <v>6.5268709677419352</v>
      </c>
      <c r="EN106" s="202">
        <f t="shared" si="1407"/>
        <v>9.0607096774193551E-3</v>
      </c>
      <c r="EO106" s="202">
        <f t="shared" si="1452"/>
        <v>19.528802645161292</v>
      </c>
    </row>
    <row r="107" spans="1:145">
      <c r="A107" s="157">
        <v>45231</v>
      </c>
      <c r="B107" s="186">
        <v>6002.7079999999996</v>
      </c>
      <c r="C107" s="187">
        <f t="shared" si="2779"/>
        <v>200.09026666666665</v>
      </c>
      <c r="D107" s="247">
        <f>C107-'NOPA Crush'!G532</f>
        <v>11.05226666666664</v>
      </c>
      <c r="E107" s="188">
        <f>C107/'NOPA Crush'!G532-1</f>
        <v>5.8465846373039421E-2</v>
      </c>
      <c r="F107" s="189">
        <v>4399.8779999999997</v>
      </c>
      <c r="G107" s="189">
        <v>4349.5990000000002</v>
      </c>
      <c r="H107" s="189">
        <v>50.279000000000003</v>
      </c>
      <c r="I107" s="189">
        <v>260.05200000000002</v>
      </c>
      <c r="J107" s="190">
        <f t="shared" si="2780"/>
        <v>43.978930842546397</v>
      </c>
      <c r="K107" s="190">
        <f t="shared" si="2781"/>
        <v>47.040848896864546</v>
      </c>
      <c r="L107" s="190">
        <f>K107-'NOPA Crush'!J532</f>
        <v>0.14084889686454716</v>
      </c>
      <c r="M107" s="189">
        <v>306.33</v>
      </c>
      <c r="N107" s="189">
        <v>44.384999999999998</v>
      </c>
      <c r="O107" s="189">
        <v>2324.6680000000001</v>
      </c>
      <c r="P107" s="189">
        <v>1175.567</v>
      </c>
      <c r="Q107" s="189">
        <v>728.71699999999998</v>
      </c>
      <c r="R107" s="189">
        <v>200.541</v>
      </c>
      <c r="S107" s="189">
        <v>246.309</v>
      </c>
      <c r="T107" s="189">
        <v>423.529</v>
      </c>
      <c r="U107" s="189">
        <f>(P107+T107)-'NOPA Crush'!Q532</f>
        <v>385.58600000000001</v>
      </c>
      <c r="V107" s="191">
        <f>((P107+T107)/'NOPA Crush'!Q532)-1</f>
        <v>0.31774439436016189</v>
      </c>
      <c r="W107" s="190">
        <f t="shared" si="2782"/>
        <v>11.61809636584022</v>
      </c>
      <c r="X107" s="190">
        <f>W107-'NOPA Crush'!O532</f>
        <v>-5.1903634159780054E-2</v>
      </c>
      <c r="Y107" s="190">
        <f t="shared" si="2783"/>
        <v>58.658945262704762</v>
      </c>
      <c r="Z107" s="211">
        <v>1737.002</v>
      </c>
      <c r="AA107" s="211">
        <v>1692.886</v>
      </c>
      <c r="AB107" s="191">
        <f t="shared" si="2784"/>
        <v>2.5397783076818555E-2</v>
      </c>
      <c r="AC107" s="333">
        <v>189.542</v>
      </c>
      <c r="AD107" s="211">
        <v>1682.018</v>
      </c>
      <c r="AE107" s="211">
        <v>1181.952</v>
      </c>
      <c r="AF107" s="211">
        <v>500.06599999999997</v>
      </c>
      <c r="AG107" s="191">
        <f t="shared" si="1322"/>
        <v>-6.419806177143661E-3</v>
      </c>
      <c r="AI107" s="211">
        <v>661.26800000000003</v>
      </c>
      <c r="AJ107" s="247">
        <f t="shared" si="2785"/>
        <v>22.042266666666666</v>
      </c>
      <c r="AK107" s="211">
        <v>473.96800000000002</v>
      </c>
      <c r="AL107" s="211">
        <v>18.326000000000001</v>
      </c>
      <c r="AM107" s="190">
        <f t="shared" si="2786"/>
        <v>43.005377547378671</v>
      </c>
      <c r="AN107" s="190">
        <f t="shared" si="2787"/>
        <v>-0.97355329516772571</v>
      </c>
      <c r="AO107" s="211">
        <v>256.7</v>
      </c>
      <c r="AP107" s="211">
        <v>95.608000000000004</v>
      </c>
      <c r="AQ107" s="190">
        <f t="shared" si="2788"/>
        <v>11.645807751168967</v>
      </c>
      <c r="AR107" s="190">
        <f t="shared" si="2789"/>
        <v>2.7711385328746729E-2</v>
      </c>
      <c r="AS107" s="190">
        <f t="shared" si="2790"/>
        <v>54.651185298547638</v>
      </c>
      <c r="AT107" s="211">
        <v>1285.317</v>
      </c>
      <c r="AU107" s="247">
        <f t="shared" si="2791"/>
        <v>42.843899999999998</v>
      </c>
      <c r="AV107" s="211">
        <v>943.55399999999997</v>
      </c>
      <c r="AW107" s="211">
        <v>47.6</v>
      </c>
      <c r="AX107" s="190">
        <f t="shared" si="2792"/>
        <v>44.046130254248567</v>
      </c>
      <c r="AY107" s="190">
        <f t="shared" si="2793"/>
        <v>6.7199411702169698E-2</v>
      </c>
      <c r="AZ107" s="211">
        <v>506.19200000000001</v>
      </c>
      <c r="BA107" s="211">
        <v>76.353999999999999</v>
      </c>
      <c r="BB107" s="190">
        <f t="shared" si="2794"/>
        <v>11.814797439075342</v>
      </c>
      <c r="BC107" s="190">
        <f t="shared" si="2795"/>
        <v>0.19670107323512198</v>
      </c>
      <c r="BD107" s="247">
        <f t="shared" si="2796"/>
        <v>55.860927693323909</v>
      </c>
      <c r="BE107" s="211">
        <v>1367.655</v>
      </c>
      <c r="BF107" s="247">
        <f t="shared" si="2797"/>
        <v>45.588499999999996</v>
      </c>
      <c r="BG107" s="211">
        <v>1005.715</v>
      </c>
      <c r="BH107" s="211">
        <v>90.741</v>
      </c>
      <c r="BI107" s="190">
        <f t="shared" si="2798"/>
        <v>44.121434133608261</v>
      </c>
      <c r="BJ107" s="190">
        <f t="shared" si="2799"/>
        <v>0.14250329106186399</v>
      </c>
      <c r="BK107" s="211">
        <v>522.83199999999999</v>
      </c>
      <c r="BL107" s="211">
        <v>224.524</v>
      </c>
      <c r="BM107" s="190">
        <f t="shared" si="2839"/>
        <v>11.468506311898835</v>
      </c>
      <c r="BN107" s="190">
        <f t="shared" si="2800"/>
        <v>-0.14959005394138458</v>
      </c>
      <c r="BO107" s="247">
        <f t="shared" si="2801"/>
        <v>55.589940445507096</v>
      </c>
      <c r="BP107" s="211">
        <v>1048.1020000000001</v>
      </c>
      <c r="BQ107" s="247">
        <f t="shared" si="2802"/>
        <v>34.936733333333336</v>
      </c>
      <c r="BR107" s="211">
        <v>769.88300000000004</v>
      </c>
      <c r="BS107" s="211">
        <v>41.034999999999997</v>
      </c>
      <c r="BT107" s="190">
        <f t="shared" si="2803"/>
        <v>44.072981446462272</v>
      </c>
      <c r="BU107" s="190">
        <f t="shared" si="2804"/>
        <v>9.4050603915874831E-2</v>
      </c>
      <c r="BV107" s="211">
        <v>404.07900000000001</v>
      </c>
      <c r="BW107" s="211">
        <v>140.38300000000001</v>
      </c>
      <c r="BX107" s="190">
        <f t="shared" si="2805"/>
        <v>11.566021246023764</v>
      </c>
      <c r="BY107" s="190">
        <f t="shared" si="2806"/>
        <v>-5.2075119816455739E-2</v>
      </c>
      <c r="BZ107" s="194">
        <f t="shared" si="2807"/>
        <v>55.639002692486038</v>
      </c>
      <c r="CA107" s="211">
        <v>705.2</v>
      </c>
      <c r="CB107" s="247">
        <f t="shared" si="2808"/>
        <v>23.506666666666668</v>
      </c>
      <c r="CC107" s="211">
        <v>515.702</v>
      </c>
      <c r="CD107" s="211">
        <v>22.222999999999999</v>
      </c>
      <c r="CE107" s="190">
        <f t="shared" si="2809"/>
        <v>43.877084515031193</v>
      </c>
      <c r="CF107" s="190">
        <f t="shared" si="2810"/>
        <v>-0.10184632751520439</v>
      </c>
      <c r="CG107" s="211">
        <v>266.43299999999999</v>
      </c>
      <c r="CH107" s="340">
        <f>(SUM(CH97:CH106)/SUM($P97:$P106))*$P107</f>
        <v>47.90126757585432</v>
      </c>
      <c r="CI107" s="190">
        <f t="shared" si="2811"/>
        <v>11.334359047078841</v>
      </c>
      <c r="CJ107" s="190">
        <f t="shared" si="2812"/>
        <v>-0.28373731876137853</v>
      </c>
      <c r="CK107" s="194">
        <f t="shared" si="2813"/>
        <v>55.211443562110034</v>
      </c>
      <c r="CL107" s="211">
        <v>935.16600000000005</v>
      </c>
      <c r="CM107" s="247">
        <f t="shared" si="2814"/>
        <v>31.1722</v>
      </c>
      <c r="CN107" s="211">
        <v>691.05600000000004</v>
      </c>
      <c r="CO107" s="211">
        <v>40.127000000000002</v>
      </c>
      <c r="CP107" s="190">
        <f t="shared" si="2815"/>
        <v>44.337967804646453</v>
      </c>
      <c r="CQ107" s="190">
        <f t="shared" si="2816"/>
        <v>0.3590369621000562</v>
      </c>
      <c r="CR107" s="211">
        <v>368.43200000000002</v>
      </c>
      <c r="CS107" s="340">
        <f>Q107-AP107-BA107-BL107-BW107-CH107</f>
        <v>143.94673242414555</v>
      </c>
      <c r="CT107" s="190">
        <f t="shared" si="2817"/>
        <v>11.81924920281533</v>
      </c>
      <c r="CU107" s="190">
        <f t="shared" si="2818"/>
        <v>0.20115283697511011</v>
      </c>
      <c r="CV107" s="247">
        <f t="shared" si="2819"/>
        <v>56.157217007461782</v>
      </c>
      <c r="CW107" s="163"/>
      <c r="CX107" s="196">
        <f t="shared" si="2820"/>
        <v>0</v>
      </c>
      <c r="CY107" s="196">
        <f t="shared" si="2821"/>
        <v>0</v>
      </c>
      <c r="CZ107" s="196">
        <f t="shared" si="2822"/>
        <v>0</v>
      </c>
      <c r="DA107" s="196">
        <f t="shared" si="2823"/>
        <v>4.5474735088646412E-13</v>
      </c>
      <c r="DB107" s="196">
        <f t="shared" si="2824"/>
        <v>0</v>
      </c>
      <c r="DC107" s="196">
        <f t="shared" si="2825"/>
        <v>0</v>
      </c>
      <c r="DD107" s="163"/>
      <c r="DE107" s="200">
        <v>219.84299999999999</v>
      </c>
      <c r="DF107" s="200">
        <v>125.765</v>
      </c>
      <c r="DG107" s="349">
        <f>MROUND(FORECAST(DF107,DG74:DG106,DF74:DF106),0.1)-5</f>
        <v>45.300000000000004</v>
      </c>
      <c r="DH107" s="191">
        <f t="shared" si="2826"/>
        <v>0.57206733896462481</v>
      </c>
      <c r="DI107" s="197">
        <v>176.09100000000001</v>
      </c>
      <c r="DJ107" s="191">
        <f t="shared" si="2827"/>
        <v>0.40049262428187393</v>
      </c>
      <c r="DK107" s="197">
        <v>162.68700000000001</v>
      </c>
      <c r="DL107" s="197">
        <v>157.76900000000001</v>
      </c>
      <c r="DM107" s="191">
        <f t="shared" si="2828"/>
        <v>3.0229827828898492E-2</v>
      </c>
      <c r="DN107" s="200">
        <v>164.18100000000001</v>
      </c>
      <c r="DO107" s="200">
        <v>74.387</v>
      </c>
      <c r="DP107" s="200">
        <v>92.317999999999998</v>
      </c>
      <c r="DQ107" s="200">
        <f t="shared" si="2829"/>
        <v>166.70499999999998</v>
      </c>
      <c r="DR107" s="191">
        <f t="shared" si="2830"/>
        <v>0.97255996324649874</v>
      </c>
      <c r="DS107" s="199">
        <f t="shared" si="2831"/>
        <v>0.9238802664531407</v>
      </c>
      <c r="DT107" s="200">
        <v>116.56</v>
      </c>
      <c r="DU107" s="200">
        <v>50.801000000000002</v>
      </c>
      <c r="DV107" s="200">
        <v>29.93</v>
      </c>
      <c r="DW107" s="191">
        <f t="shared" si="1537"/>
        <v>0.43583562113932739</v>
      </c>
      <c r="DX107" s="197">
        <v>31.122</v>
      </c>
      <c r="DY107" s="191">
        <f t="shared" si="2832"/>
        <v>0.13350205902539464</v>
      </c>
      <c r="DZ107" s="197">
        <v>27.198</v>
      </c>
      <c r="EA107" s="197">
        <v>26.63</v>
      </c>
      <c r="EB107" s="191">
        <f t="shared" si="2836"/>
        <v>2.0883888521214811E-2</v>
      </c>
      <c r="EC107" s="200">
        <v>27.222999999999999</v>
      </c>
      <c r="ED107" s="206">
        <f t="shared" si="2833"/>
        <v>30</v>
      </c>
      <c r="EE107" s="200">
        <v>27.843</v>
      </c>
      <c r="EF107" s="205">
        <f t="shared" si="2837"/>
        <v>57.843000000000004</v>
      </c>
      <c r="EG107" s="191">
        <f t="shared" si="2838"/>
        <v>0.56933768016472208</v>
      </c>
      <c r="EJ107" s="202">
        <f t="shared" si="1363"/>
        <v>13.33935111111111</v>
      </c>
      <c r="EK107" s="202">
        <f>'NOPA Crush'!B532*56/('NOPA Crush'!A532-'NOPA Crush'!A531)</f>
        <v>12.829394103364551</v>
      </c>
      <c r="EL107" s="203">
        <f t="shared" si="1451"/>
        <v>1.0397491108027324</v>
      </c>
      <c r="EM107" s="202">
        <f t="shared" si="1406"/>
        <v>7.3281000000000001</v>
      </c>
      <c r="EN107" s="202">
        <f t="shared" si="1407"/>
        <v>7.7706666666666662E-3</v>
      </c>
      <c r="EO107" s="202">
        <f t="shared" si="1452"/>
        <v>20.675221777777775</v>
      </c>
    </row>
    <row r="108" spans="1:145">
      <c r="A108" s="157">
        <v>45261</v>
      </c>
      <c r="B108" s="186">
        <v>6128.558</v>
      </c>
      <c r="C108" s="187">
        <f t="shared" si="2779"/>
        <v>204.28526666666667</v>
      </c>
      <c r="D108" s="247">
        <f>C108-'NOPA Crush'!G533</f>
        <v>8.9572666666666692</v>
      </c>
      <c r="E108" s="188">
        <f>C108/'NOPA Crush'!G533-1</f>
        <v>4.58575660768894E-2</v>
      </c>
      <c r="F108" s="189">
        <v>4503.8559999999998</v>
      </c>
      <c r="G108" s="189">
        <v>4447.9160000000002</v>
      </c>
      <c r="H108" s="189">
        <v>55.94</v>
      </c>
      <c r="I108" s="189">
        <v>451.97899999999998</v>
      </c>
      <c r="J108" s="190">
        <f t="shared" si="2780"/>
        <v>44.093791720662509</v>
      </c>
      <c r="K108" s="190">
        <f t="shared" ref="K108" si="2840">(F108+M108)*2/C108</f>
        <v>47.172682383033653</v>
      </c>
      <c r="L108" s="190">
        <f>K108-'NOPA Crush'!J533</f>
        <v>-2.7317616966350045E-2</v>
      </c>
      <c r="M108" s="189">
        <v>314.48599999999999</v>
      </c>
      <c r="N108" s="189">
        <v>48.780999999999999</v>
      </c>
      <c r="O108" s="189">
        <v>2376.2370000000001</v>
      </c>
      <c r="P108" s="189">
        <v>1356.41</v>
      </c>
      <c r="Q108" s="189">
        <v>869.07500000000005</v>
      </c>
      <c r="R108" s="189">
        <v>231.904</v>
      </c>
      <c r="S108" s="189">
        <v>255.43100000000001</v>
      </c>
      <c r="T108" s="189">
        <v>467.42399999999998</v>
      </c>
      <c r="U108" s="189">
        <f>(P108+T108)-'NOPA Crush'!Q533</f>
        <v>463.86400000000003</v>
      </c>
      <c r="V108" s="191">
        <f>((P108+T108)/'NOPA Crush'!Q533)-1</f>
        <v>0.3410839944998787</v>
      </c>
      <c r="W108" s="190">
        <f t="shared" si="2782"/>
        <v>11.631954857896424</v>
      </c>
      <c r="X108" s="190">
        <f>W108-'NOPA Crush'!O533</f>
        <v>-7.8045142103576381E-2</v>
      </c>
      <c r="Y108" s="190">
        <f t="shared" si="2783"/>
        <v>58.804637240930077</v>
      </c>
      <c r="Z108" s="211">
        <v>1755.288</v>
      </c>
      <c r="AA108" s="211">
        <v>1711.1289999999999</v>
      </c>
      <c r="AB108" s="191">
        <f t="shared" si="2784"/>
        <v>2.5157694919580208E-2</v>
      </c>
      <c r="AC108" s="344">
        <f>FORECAST(AF108,AC84:AC107,AF84:AF107)</f>
        <v>174.59251306447996</v>
      </c>
      <c r="AD108" s="211">
        <v>1670.4359999999999</v>
      </c>
      <c r="AE108" s="211">
        <v>1144.3240000000001</v>
      </c>
      <c r="AF108" s="211">
        <v>526.11199999999997</v>
      </c>
      <c r="AG108" s="191">
        <f t="shared" si="1322"/>
        <v>-2.3781374753160001E-2</v>
      </c>
      <c r="AI108" s="211">
        <v>691.654</v>
      </c>
      <c r="AJ108" s="247">
        <f t="shared" si="2785"/>
        <v>23.055133333333334</v>
      </c>
      <c r="AK108" s="211">
        <v>495.46499999999997</v>
      </c>
      <c r="AL108" s="211">
        <v>62.966999999999999</v>
      </c>
      <c r="AM108" s="190">
        <f t="shared" si="2786"/>
        <v>42.980883505336479</v>
      </c>
      <c r="AN108" s="190">
        <f t="shared" si="2787"/>
        <v>-1.1129082153260299</v>
      </c>
      <c r="AO108" s="211">
        <v>273.411</v>
      </c>
      <c r="AP108" s="211">
        <v>150.35</v>
      </c>
      <c r="AQ108" s="190">
        <f t="shared" si="2788"/>
        <v>11.859007538451307</v>
      </c>
      <c r="AR108" s="190">
        <f t="shared" si="2789"/>
        <v>0.22705268055488226</v>
      </c>
      <c r="AS108" s="190">
        <f t="shared" si="2790"/>
        <v>54.839891043787787</v>
      </c>
      <c r="AT108" s="211">
        <v>1342.6120000000001</v>
      </c>
      <c r="AU108" s="247">
        <f t="shared" si="2791"/>
        <v>44.753733333333336</v>
      </c>
      <c r="AV108" s="211">
        <v>985.47299999999996</v>
      </c>
      <c r="AW108" s="211">
        <v>86.408000000000001</v>
      </c>
      <c r="AX108" s="190">
        <f t="shared" si="2792"/>
        <v>44.039811948649344</v>
      </c>
      <c r="AY108" s="190">
        <f t="shared" si="2793"/>
        <v>-5.3979772013164506E-2</v>
      </c>
      <c r="AZ108" s="211">
        <v>527.80999999999995</v>
      </c>
      <c r="BA108" s="211">
        <v>136.17699999999999</v>
      </c>
      <c r="BB108" s="190">
        <f t="shared" si="2794"/>
        <v>11.793652968988805</v>
      </c>
      <c r="BC108" s="190">
        <f t="shared" si="2795"/>
        <v>0.16169811109238097</v>
      </c>
      <c r="BD108" s="247">
        <f t="shared" si="2796"/>
        <v>55.833464917638153</v>
      </c>
      <c r="BE108" s="211">
        <v>1399.92</v>
      </c>
      <c r="BF108" s="247">
        <f t="shared" si="2797"/>
        <v>46.664000000000001</v>
      </c>
      <c r="BG108" s="211">
        <v>1031.2639999999999</v>
      </c>
      <c r="BH108" s="211">
        <v>101.286</v>
      </c>
      <c r="BI108" s="190">
        <f t="shared" si="2798"/>
        <v>44.199554260243438</v>
      </c>
      <c r="BJ108" s="190">
        <f t="shared" si="2799"/>
        <v>0.10576253958092963</v>
      </c>
      <c r="BK108" s="211">
        <v>536.51700000000005</v>
      </c>
      <c r="BL108" s="211">
        <v>253.602</v>
      </c>
      <c r="BM108" s="190">
        <f t="shared" si="2839"/>
        <v>11.497449854277388</v>
      </c>
      <c r="BN108" s="190">
        <f t="shared" ref="BN108" si="2841">BM108-W108</f>
        <v>-0.1345050036190365</v>
      </c>
      <c r="BO108" s="247">
        <f t="shared" ref="BO108" si="2842">BM108+BI108</f>
        <v>55.697004114520823</v>
      </c>
      <c r="BP108" s="211">
        <v>1007.726</v>
      </c>
      <c r="BQ108" s="247">
        <f t="shared" si="2802"/>
        <v>33.590866666666663</v>
      </c>
      <c r="BR108" s="211">
        <v>742.39300000000003</v>
      </c>
      <c r="BS108" s="211">
        <v>67.67</v>
      </c>
      <c r="BT108" s="190">
        <f t="shared" si="2803"/>
        <v>44.202074770324479</v>
      </c>
      <c r="BU108" s="190">
        <f t="shared" si="2804"/>
        <v>0.10828304966197067</v>
      </c>
      <c r="BV108" s="211">
        <v>391.26299999999998</v>
      </c>
      <c r="BW108" s="211">
        <v>161.58600000000001</v>
      </c>
      <c r="BX108" s="190">
        <f t="shared" si="2805"/>
        <v>11.647898337444902</v>
      </c>
      <c r="BY108" s="190">
        <f t="shared" si="2806"/>
        <v>1.5943479548477413E-2</v>
      </c>
      <c r="BZ108" s="194">
        <f t="shared" si="2807"/>
        <v>55.84997310776938</v>
      </c>
      <c r="CA108" s="211">
        <v>722.03399999999999</v>
      </c>
      <c r="CB108" s="247">
        <f t="shared" si="2808"/>
        <v>24.067799999999998</v>
      </c>
      <c r="CC108" s="211">
        <v>532.51199999999994</v>
      </c>
      <c r="CD108" s="211">
        <v>57.75</v>
      </c>
      <c r="CE108" s="190">
        <f t="shared" si="2809"/>
        <v>44.250990950564656</v>
      </c>
      <c r="CF108" s="190">
        <f t="shared" si="2810"/>
        <v>0.15719922990214741</v>
      </c>
      <c r="CG108" s="211">
        <v>271.185</v>
      </c>
      <c r="CH108" s="211">
        <v>52.600999999999999</v>
      </c>
      <c r="CI108" s="190">
        <f t="shared" si="2811"/>
        <v>11.267544187669834</v>
      </c>
      <c r="CJ108" s="190">
        <f t="shared" si="2812"/>
        <v>-0.36441067022659013</v>
      </c>
      <c r="CK108" s="194">
        <f t="shared" si="2813"/>
        <v>55.51853513823449</v>
      </c>
      <c r="CL108" s="211">
        <v>964.61199999999997</v>
      </c>
      <c r="CM108" s="247">
        <f t="shared" si="2814"/>
        <v>32.153733333333335</v>
      </c>
      <c r="CN108" s="211">
        <v>716.74900000000002</v>
      </c>
      <c r="CO108" s="211">
        <v>75.897999999999996</v>
      </c>
      <c r="CP108" s="190">
        <f t="shared" si="2815"/>
        <v>44.582630114491629</v>
      </c>
      <c r="CQ108" s="190">
        <f t="shared" si="2816"/>
        <v>0.48883839382911987</v>
      </c>
      <c r="CR108" s="211">
        <v>376.05099999999999</v>
      </c>
      <c r="CS108" s="211">
        <v>114.759</v>
      </c>
      <c r="CT108" s="190">
        <f t="shared" si="2817"/>
        <v>11.695407065224151</v>
      </c>
      <c r="CU108" s="190">
        <f t="shared" si="2818"/>
        <v>6.3452207327726384E-2</v>
      </c>
      <c r="CV108" s="247">
        <f t="shared" si="2819"/>
        <v>56.278037179715781</v>
      </c>
      <c r="CW108" s="163"/>
      <c r="CX108" s="196">
        <f t="shared" si="2820"/>
        <v>0</v>
      </c>
      <c r="CY108" s="196">
        <f t="shared" si="2821"/>
        <v>0</v>
      </c>
      <c r="CZ108" s="196">
        <f t="shared" si="2822"/>
        <v>0</v>
      </c>
      <c r="DA108" s="196">
        <f t="shared" si="2823"/>
        <v>0</v>
      </c>
      <c r="DB108" s="196">
        <f t="shared" si="2824"/>
        <v>0</v>
      </c>
      <c r="DC108" s="196">
        <f t="shared" si="2825"/>
        <v>0</v>
      </c>
      <c r="DD108" s="163"/>
      <c r="DE108" s="200">
        <v>192.79599999999999</v>
      </c>
      <c r="DF108" s="200">
        <v>114.827</v>
      </c>
      <c r="DG108" s="349">
        <f>MROUND(FORECAST(DF108,DG75:DG107,DF75:DF107),0.1)-10</f>
        <v>36.900000000000006</v>
      </c>
      <c r="DH108" s="191">
        <f t="shared" si="2826"/>
        <v>0.59558808274030584</v>
      </c>
      <c r="DI108" s="197">
        <v>154.91999999999999</v>
      </c>
      <c r="DJ108" s="191">
        <f t="shared" si="2827"/>
        <v>0.40177182099213676</v>
      </c>
      <c r="DK108" s="197">
        <v>163.64599999999999</v>
      </c>
      <c r="DL108" s="197">
        <v>156.14400000000001</v>
      </c>
      <c r="DM108" s="191">
        <f t="shared" si="2828"/>
        <v>4.5842855920706804E-2</v>
      </c>
      <c r="DN108" s="200">
        <v>154.37299999999999</v>
      </c>
      <c r="DO108" s="200">
        <v>92.734999999999999</v>
      </c>
      <c r="DP108" s="200">
        <v>96.989000000000004</v>
      </c>
      <c r="DQ108" s="200">
        <f t="shared" si="2829"/>
        <v>189.72399999999999</v>
      </c>
      <c r="DR108" s="191">
        <f t="shared" si="2830"/>
        <v>0.99735990373244254</v>
      </c>
      <c r="DS108" s="199">
        <f t="shared" si="2831"/>
        <v>1.0563258455977278</v>
      </c>
      <c r="DT108" s="200">
        <v>133.56299999999999</v>
      </c>
      <c r="DU108" s="202">
        <v>57.121000000000002</v>
      </c>
      <c r="DV108" s="200">
        <v>27.93</v>
      </c>
      <c r="DW108" s="191">
        <f t="shared" si="1537"/>
        <v>0.42767083698329633</v>
      </c>
      <c r="DX108" s="197">
        <v>35.463999999999999</v>
      </c>
      <c r="DY108" s="191">
        <f t="shared" si="2832"/>
        <v>0.13276131862866214</v>
      </c>
      <c r="DZ108" s="197">
        <v>32.753999999999998</v>
      </c>
      <c r="EA108" s="197">
        <v>32.029000000000003</v>
      </c>
      <c r="EB108" s="191">
        <f t="shared" si="2836"/>
        <v>2.2134701105208321E-2</v>
      </c>
      <c r="EC108" s="200">
        <v>28.198</v>
      </c>
      <c r="ED108" s="206">
        <f t="shared" si="2833"/>
        <v>27.5</v>
      </c>
      <c r="EE108" s="200">
        <v>33.363999999999997</v>
      </c>
      <c r="EF108" s="205">
        <f t="shared" si="2837"/>
        <v>60.863999999999997</v>
      </c>
      <c r="EG108" s="191">
        <f t="shared" si="2838"/>
        <v>0.56043215561195847</v>
      </c>
      <c r="EJ108" s="202">
        <f t="shared" si="1363"/>
        <v>13.179694623655914</v>
      </c>
      <c r="EK108" s="202">
        <f>'NOPA Crush'!B533*56/('NOPA Crush'!A533-'NOPA Crush'!A532)</f>
        <v>13.148868778972522</v>
      </c>
      <c r="EL108" s="203">
        <f t="shared" si="1451"/>
        <v>1.0023443723716132</v>
      </c>
      <c r="EM108" s="202">
        <f t="shared" si="1406"/>
        <v>6.2192258064516128</v>
      </c>
      <c r="EN108" s="202">
        <f t="shared" si="1407"/>
        <v>8.6169677419354832E-3</v>
      </c>
      <c r="EO108" s="202">
        <f t="shared" si="1452"/>
        <v>19.407537397849463</v>
      </c>
    </row>
    <row r="109" spans="1:145">
      <c r="A109" s="157">
        <v>45292</v>
      </c>
      <c r="B109" s="186">
        <v>5828.39</v>
      </c>
      <c r="C109" s="187">
        <f t="shared" ref="C109:C110" si="2843">B109/30</f>
        <v>194.27966666666669</v>
      </c>
      <c r="D109" s="247">
        <f>C109-'NOPA Crush'!G534</f>
        <v>8.499666666666684</v>
      </c>
      <c r="E109" s="188">
        <f>C109/'NOPA Crush'!G534-1</f>
        <v>4.5751246994653272E-2</v>
      </c>
      <c r="F109" s="189">
        <v>4290.41</v>
      </c>
      <c r="G109" s="189">
        <v>4238.2669999999998</v>
      </c>
      <c r="H109" s="189">
        <v>52.143000000000001</v>
      </c>
      <c r="I109" s="189">
        <v>293.14800000000002</v>
      </c>
      <c r="J109" s="190">
        <f t="shared" ref="J109:J110" si="2844">F109*2/C109</f>
        <v>44.167360111454443</v>
      </c>
      <c r="K109" s="190">
        <f t="shared" ref="K109" si="2845">(F109+M109)*2/C109</f>
        <v>47.185154047687263</v>
      </c>
      <c r="L109" s="190">
        <f>K109-'NOPA Crush'!J534</f>
        <v>-6.4845952312737154E-2</v>
      </c>
      <c r="M109" s="189">
        <v>293.14800000000002</v>
      </c>
      <c r="N109" s="189">
        <v>42.487000000000002</v>
      </c>
      <c r="O109" s="189">
        <v>2282.3240000000001</v>
      </c>
      <c r="P109" s="189">
        <v>1543.136</v>
      </c>
      <c r="Q109" s="189">
        <v>985.50099999999998</v>
      </c>
      <c r="R109" s="189">
        <v>277.03100000000001</v>
      </c>
      <c r="S109" s="189">
        <v>280.60399999999998</v>
      </c>
      <c r="T109" s="189">
        <v>484.91300000000001</v>
      </c>
      <c r="U109" s="189">
        <f>(P109+T109)-'NOPA Crush'!Q534</f>
        <v>521.50399999999991</v>
      </c>
      <c r="V109" s="191">
        <f>((P109+T109)/'NOPA Crush'!Q534)-1</f>
        <v>0.34615892655048475</v>
      </c>
      <c r="W109" s="190">
        <f t="shared" ref="W109" si="2846">O109/C109</f>
        <v>11.747621555867056</v>
      </c>
      <c r="X109" s="190">
        <f>W109-'NOPA Crush'!O534</f>
        <v>-5.2378444132944679E-2</v>
      </c>
      <c r="Y109" s="190">
        <f t="shared" ref="Y109" si="2847">K109+W109</f>
        <v>58.932775603554319</v>
      </c>
      <c r="Z109" s="211">
        <v>1617.2539999999999</v>
      </c>
      <c r="AA109" s="211">
        <v>1586.8530000000001</v>
      </c>
      <c r="AB109" s="191">
        <f t="shared" si="2784"/>
        <v>1.8797913005625486E-2</v>
      </c>
      <c r="AC109" s="344">
        <f>FORECAST(AF109,AC85:AC108,AF85:AF108)</f>
        <v>160.61374488179536</v>
      </c>
      <c r="AD109" s="211">
        <v>1570.579</v>
      </c>
      <c r="AE109" s="211">
        <v>1132.1279999999999</v>
      </c>
      <c r="AF109" s="211">
        <v>438.45100000000002</v>
      </c>
      <c r="AG109" s="191">
        <f t="shared" si="1322"/>
        <v>-1.0255518312030198E-2</v>
      </c>
      <c r="AI109" s="211">
        <v>624.01099999999997</v>
      </c>
      <c r="AJ109" s="247">
        <f t="shared" si="2785"/>
        <v>20.800366666666665</v>
      </c>
      <c r="AK109" s="211">
        <v>449.16800000000001</v>
      </c>
      <c r="AL109" s="211">
        <v>52.569000000000003</v>
      </c>
      <c r="AM109" s="190">
        <f t="shared" ref="AM109:AM110" si="2848">AK109*2/AJ109</f>
        <v>43.188469434032413</v>
      </c>
      <c r="AN109" s="190">
        <f t="shared" ref="AN109:AN110" si="2849">AM109-J109</f>
        <v>-0.9788906774220294</v>
      </c>
      <c r="AO109" s="211">
        <v>247.67400000000001</v>
      </c>
      <c r="AP109" s="211">
        <v>186.60400000000001</v>
      </c>
      <c r="AQ109" s="190">
        <f t="shared" ref="AQ109:AQ110" si="2850">AO109/AJ109</f>
        <v>11.907193943696507</v>
      </c>
      <c r="AR109" s="190">
        <f t="shared" ref="AR109:AR110" si="2851">AQ109-W109</f>
        <v>0.15957238782945105</v>
      </c>
      <c r="AS109" s="190">
        <f t="shared" ref="AS109:AS110" si="2852">AM109+AQ109</f>
        <v>55.095663377728918</v>
      </c>
      <c r="AT109" s="211">
        <v>1225.1410000000001</v>
      </c>
      <c r="AU109" s="247">
        <f t="shared" si="2791"/>
        <v>40.838033333333335</v>
      </c>
      <c r="AV109" s="211">
        <v>909.32500000000005</v>
      </c>
      <c r="AW109" s="211">
        <v>45.713999999999999</v>
      </c>
      <c r="AX109" s="190">
        <f t="shared" ref="AX109:AX110" si="2853">AV109*2/AU109</f>
        <v>44.533241479960267</v>
      </c>
      <c r="AY109" s="190">
        <f t="shared" ref="AY109:AY110" si="2854">AX109-J109</f>
        <v>0.36588136850582487</v>
      </c>
      <c r="AZ109" s="211">
        <v>484.96300000000002</v>
      </c>
      <c r="BA109" s="211">
        <v>167.86600000000001</v>
      </c>
      <c r="BB109" s="190">
        <f t="shared" ref="BB109:BB110" si="2855">AZ109/AU109</f>
        <v>11.875278029222759</v>
      </c>
      <c r="BC109" s="190">
        <f t="shared" ref="BC109:BC110" si="2856">BB109-W109</f>
        <v>0.12765647335570307</v>
      </c>
      <c r="BD109" s="247">
        <f t="shared" ref="BD109:BD110" si="2857">AX109+BB109</f>
        <v>56.408519509183023</v>
      </c>
      <c r="BE109" s="211">
        <v>1355.2190000000001</v>
      </c>
      <c r="BF109" s="247">
        <f t="shared" si="2797"/>
        <v>45.173966666666665</v>
      </c>
      <c r="BG109" s="211">
        <v>1005.508</v>
      </c>
      <c r="BH109" s="211">
        <v>103.76600000000001</v>
      </c>
      <c r="BI109" s="190">
        <f t="shared" ref="BI109:BI110" si="2858">BG109*2/BF109</f>
        <v>44.517144461522456</v>
      </c>
      <c r="BJ109" s="190">
        <f t="shared" ref="BJ109:BJ110" si="2859">BI109-J109</f>
        <v>0.34978435006801334</v>
      </c>
      <c r="BK109" s="211">
        <v>534.12599999999998</v>
      </c>
      <c r="BL109" s="211">
        <v>254.75899999999999</v>
      </c>
      <c r="BM109" s="190">
        <f t="shared" si="2839"/>
        <v>11.823756898331562</v>
      </c>
      <c r="BN109" s="190">
        <f t="shared" ref="BN109" si="2860">BM109-W109</f>
        <v>7.6135342464505484E-2</v>
      </c>
      <c r="BO109" s="247">
        <f t="shared" ref="BO109" si="2861">BM109+BI109</f>
        <v>56.340901359854016</v>
      </c>
      <c r="BP109" s="211">
        <v>1018.773</v>
      </c>
      <c r="BQ109" s="247">
        <f t="shared" si="2802"/>
        <v>33.959099999999999</v>
      </c>
      <c r="BR109" s="211">
        <v>752.22699999999998</v>
      </c>
      <c r="BS109" s="211">
        <v>54.076999999999998</v>
      </c>
      <c r="BT109" s="190">
        <f t="shared" ref="BT109" si="2862">BR109*2/BQ109</f>
        <v>44.301939686269662</v>
      </c>
      <c r="BU109" s="190">
        <f t="shared" ref="BU109" si="2863">BT109-J109</f>
        <v>0.13457957481521987</v>
      </c>
      <c r="BV109" s="211">
        <v>396.43900000000002</v>
      </c>
      <c r="BW109" s="211">
        <v>201.77199999999999</v>
      </c>
      <c r="BX109" s="190">
        <f t="shared" ref="BX109" si="2864">BV109/BQ109</f>
        <v>11.674013740057894</v>
      </c>
      <c r="BY109" s="190">
        <f t="shared" ref="BY109" si="2865">BX109-W109</f>
        <v>-7.3607815809161536E-2</v>
      </c>
      <c r="BZ109" s="194">
        <f t="shared" ref="BZ109" si="2866">BT109+BX109</f>
        <v>55.975953426327557</v>
      </c>
      <c r="CA109" s="211">
        <v>688.56600000000003</v>
      </c>
      <c r="CB109" s="247">
        <f t="shared" si="2808"/>
        <v>22.952200000000001</v>
      </c>
      <c r="CC109" s="211">
        <v>505.95800000000003</v>
      </c>
      <c r="CD109" s="211">
        <v>14.595000000000001</v>
      </c>
      <c r="CE109" s="190">
        <f t="shared" ref="CE109:CE110" si="2867">CC109*2/CB109</f>
        <v>44.087974137555442</v>
      </c>
      <c r="CF109" s="190">
        <f t="shared" ref="CF109:CF110" si="2868">CE109-J109</f>
        <v>-7.9385973899000817E-2</v>
      </c>
      <c r="CG109" s="211">
        <v>259.77</v>
      </c>
      <c r="CH109" s="211">
        <v>49.356999999999999</v>
      </c>
      <c r="CI109" s="190">
        <f t="shared" ref="CI109:CI110" si="2869">CG109/CB109</f>
        <v>11.317869311002866</v>
      </c>
      <c r="CJ109" s="190">
        <f t="shared" ref="CJ109:CJ110" si="2870">CI109-W109</f>
        <v>-0.42975224486418995</v>
      </c>
      <c r="CK109" s="194">
        <f t="shared" ref="CK109:CK110" si="2871">CI109+CE109</f>
        <v>55.405843448558308</v>
      </c>
      <c r="CL109" s="211">
        <v>916.68</v>
      </c>
      <c r="CM109" s="247">
        <f t="shared" si="2814"/>
        <v>30.555999999999997</v>
      </c>
      <c r="CN109" s="211">
        <v>680.00300000000004</v>
      </c>
      <c r="CO109" s="211">
        <v>36.866</v>
      </c>
      <c r="CP109" s="190">
        <f t="shared" ref="CP109:CP110" si="2872">CN109*2/CM109</f>
        <v>44.508639874329106</v>
      </c>
      <c r="CQ109" s="190">
        <f t="shared" ref="CQ109:CQ110" si="2873">CP109-J109</f>
        <v>0.34127976287466311</v>
      </c>
      <c r="CR109" s="211">
        <v>365.6</v>
      </c>
      <c r="CS109" s="211">
        <v>125.511</v>
      </c>
      <c r="CT109" s="190">
        <f t="shared" ref="CT109:CT110" si="2874">CR109/CM109</f>
        <v>11.964916873936382</v>
      </c>
      <c r="CU109" s="190">
        <f t="shared" ref="CU109:CU110" si="2875">CT109-W109</f>
        <v>0.21729531806932556</v>
      </c>
      <c r="CV109" s="247">
        <f t="shared" ref="CV109:CV110" si="2876">CP109+CT109</f>
        <v>56.473556748265487</v>
      </c>
      <c r="CW109" s="163"/>
      <c r="CX109" s="238">
        <f t="shared" si="2820"/>
        <v>0</v>
      </c>
      <c r="CY109" s="238">
        <f>F109-AK109-AV109-BG109-BR109-CC109-CN109</f>
        <v>-11.779000000000792</v>
      </c>
      <c r="CZ109" s="238">
        <f t="shared" si="2822"/>
        <v>-14.438999999999993</v>
      </c>
      <c r="DA109" s="238">
        <f t="shared" si="2823"/>
        <v>-6.2479999999999336</v>
      </c>
      <c r="DB109" s="238">
        <f t="shared" si="2824"/>
        <v>-0.36800000000005184</v>
      </c>
      <c r="DC109" s="238">
        <f t="shared" si="2825"/>
        <v>0</v>
      </c>
      <c r="DD109" s="163"/>
      <c r="DE109" s="200">
        <v>203.989</v>
      </c>
      <c r="DF109" s="200">
        <v>119.25700000000001</v>
      </c>
      <c r="DG109" s="349">
        <f>MROUND(FORECAST(DF109,DG76:DG108,DF76:DF108),0.1)-15</f>
        <v>33.700000000000003</v>
      </c>
      <c r="DH109" s="191">
        <f t="shared" si="2826"/>
        <v>0.58462466113368861</v>
      </c>
      <c r="DI109" s="197">
        <v>166.01400000000001</v>
      </c>
      <c r="DJ109" s="191">
        <f t="shared" si="2827"/>
        <v>0.40691900053434255</v>
      </c>
      <c r="DK109" s="197">
        <v>161.90199999999999</v>
      </c>
      <c r="DL109" s="197">
        <v>154.97800000000001</v>
      </c>
      <c r="DM109" s="191">
        <f t="shared" si="2828"/>
        <v>4.2766611901026375E-2</v>
      </c>
      <c r="DN109" s="200">
        <v>157.76900000000001</v>
      </c>
      <c r="DO109" s="200">
        <v>74.296999999999997</v>
      </c>
      <c r="DP109" s="200">
        <v>89.162000000000006</v>
      </c>
      <c r="DQ109" s="200">
        <f t="shared" ref="DQ109:DQ110" si="2877">DP109+DO109</f>
        <v>163.459</v>
      </c>
      <c r="DR109" s="191">
        <f t="shared" ref="DR109:DR110" si="2878">DJ109+DH109</f>
        <v>0.9915436616680311</v>
      </c>
      <c r="DS109" s="199">
        <f t="shared" ref="DS109:DS110" si="2879">DK109/DI109</f>
        <v>0.97523100461406853</v>
      </c>
      <c r="DT109" s="200">
        <v>126.48099999999999</v>
      </c>
      <c r="DU109" s="202">
        <v>55.893999999999998</v>
      </c>
      <c r="DV109" s="200">
        <v>21.649000000000001</v>
      </c>
      <c r="DW109" s="191">
        <f t="shared" si="1537"/>
        <v>0.44191617713332437</v>
      </c>
      <c r="DX109" s="197">
        <v>32.875999999999998</v>
      </c>
      <c r="DY109" s="191">
        <f t="shared" si="2832"/>
        <v>0.12996418434389354</v>
      </c>
      <c r="DZ109" s="197">
        <v>25.731999999999999</v>
      </c>
      <c r="EA109" s="197">
        <v>25.277999999999999</v>
      </c>
      <c r="EB109" s="191">
        <f t="shared" si="2836"/>
        <v>1.7643401212498078E-2</v>
      </c>
      <c r="EC109" s="200">
        <v>27.462</v>
      </c>
      <c r="ED109" s="206">
        <f t="shared" si="2833"/>
        <v>30</v>
      </c>
      <c r="EE109" s="200">
        <v>32.134</v>
      </c>
      <c r="EF109" s="205">
        <f t="shared" si="2837"/>
        <v>62.134</v>
      </c>
      <c r="EG109" s="191">
        <f t="shared" si="2838"/>
        <v>0.57188036147721788</v>
      </c>
      <c r="EJ109" s="202">
        <f t="shared" ref="EJ109:EJ114" si="2880">(C109*2000/1000)/(A110-A109)</f>
        <v>12.534172043010754</v>
      </c>
      <c r="EK109" s="202">
        <f>'NOPA Crush'!B534*56/('NOPA Crush'!A534-'NOPA Crush'!A533)</f>
        <v>12.68064738120014</v>
      </c>
      <c r="EL109" s="203">
        <f t="shared" si="1451"/>
        <v>0.98844890692201215</v>
      </c>
      <c r="EM109" s="202">
        <f t="shared" si="1406"/>
        <v>6.5802903225806455</v>
      </c>
      <c r="EN109" s="202">
        <f t="shared" si="1407"/>
        <v>8.1600645161290335E-3</v>
      </c>
      <c r="EO109" s="202">
        <f t="shared" si="1452"/>
        <v>19.12262243010753</v>
      </c>
    </row>
    <row r="110" spans="1:145">
      <c r="A110" s="157">
        <v>45323</v>
      </c>
      <c r="B110" s="186">
        <v>5803.2529999999997</v>
      </c>
      <c r="C110" s="187">
        <f t="shared" si="2843"/>
        <v>193.44176666666667</v>
      </c>
      <c r="D110" s="247">
        <f>C110-'NOPA Crush'!G535</f>
        <v>7.2477666666666778</v>
      </c>
      <c r="E110" s="188">
        <f>C110/'NOPA Crush'!G535-1</f>
        <v>3.8925887336147769E-2</v>
      </c>
      <c r="F110" s="189">
        <v>4257.7</v>
      </c>
      <c r="G110" s="189">
        <v>4208.9629999999997</v>
      </c>
      <c r="H110" s="189">
        <v>48.737000000000002</v>
      </c>
      <c r="I110" s="189">
        <v>288.85700000000003</v>
      </c>
      <c r="J110" s="190">
        <f t="shared" si="2844"/>
        <v>44.020482994623876</v>
      </c>
      <c r="K110" s="190">
        <f t="shared" ref="K110:K111" si="2881">(F110+M110)*2/C110</f>
        <v>47.006983841648811</v>
      </c>
      <c r="L110" s="190">
        <f>K110-'NOPA Crush'!J535</f>
        <v>-7.3016158351187244E-2</v>
      </c>
      <c r="M110" s="189">
        <v>288.85700000000003</v>
      </c>
      <c r="N110" s="189">
        <v>48.247999999999998</v>
      </c>
      <c r="O110" s="189">
        <v>2288.2179999999998</v>
      </c>
      <c r="P110" s="189">
        <v>1686.6310000000001</v>
      </c>
      <c r="Q110" s="189">
        <v>1019.2380000000001</v>
      </c>
      <c r="R110" s="189">
        <v>263.29500000000002</v>
      </c>
      <c r="S110" s="189">
        <v>404.09800000000001</v>
      </c>
      <c r="T110" s="189">
        <v>460.178</v>
      </c>
      <c r="U110" s="189">
        <f>(P110+T110)-'NOPA Crush'!Q535</f>
        <v>456.9680000000003</v>
      </c>
      <c r="V110" s="191">
        <f>((P110+T110)/'NOPA Crush'!Q535)-1</f>
        <v>0.2704207082204777</v>
      </c>
      <c r="W110" s="190">
        <f t="shared" ref="W110" si="2882">O110/C110</f>
        <v>11.828975920918836</v>
      </c>
      <c r="X110" s="190">
        <f>W110-'NOPA Crush'!O535</f>
        <v>-4.1024079081163123E-2</v>
      </c>
      <c r="Y110" s="190">
        <f t="shared" ref="Y110" si="2883">K110+W110</f>
        <v>58.835959762567647</v>
      </c>
      <c r="Z110" s="211">
        <v>1650.7190000000001</v>
      </c>
      <c r="AA110" s="211">
        <v>1625.6780000000001</v>
      </c>
      <c r="AB110" s="191">
        <f t="shared" si="2784"/>
        <v>1.5169753301440124E-2</v>
      </c>
      <c r="AC110" s="344">
        <f>FORECAST(AF110,AC86:AC109,AF86:AF109)</f>
        <v>165.21650458859381</v>
      </c>
      <c r="AD110" s="211">
        <v>1653.9010000000001</v>
      </c>
      <c r="AE110" s="211">
        <v>1175.3530000000001</v>
      </c>
      <c r="AF110" s="211">
        <v>478.548</v>
      </c>
      <c r="AG110" s="191">
        <f t="shared" si="1322"/>
        <v>1.7360756558186807E-2</v>
      </c>
      <c r="AI110" s="211">
        <v>629.68799999999999</v>
      </c>
      <c r="AJ110" s="247">
        <f t="shared" si="2785"/>
        <v>20.989599999999999</v>
      </c>
      <c r="AK110" s="211">
        <v>446.44</v>
      </c>
      <c r="AL110" s="211">
        <v>35.353999999999999</v>
      </c>
      <c r="AM110" s="190">
        <f t="shared" si="2848"/>
        <v>42.539162251781839</v>
      </c>
      <c r="AN110" s="190">
        <f t="shared" si="2849"/>
        <v>-1.481320742842037</v>
      </c>
      <c r="AO110" s="211">
        <v>262.678</v>
      </c>
      <c r="AP110" s="211">
        <v>155.75899999999999</v>
      </c>
      <c r="AQ110" s="190">
        <f t="shared" si="2850"/>
        <v>12.51467393375767</v>
      </c>
      <c r="AR110" s="190">
        <f t="shared" si="2851"/>
        <v>0.68569801283883436</v>
      </c>
      <c r="AS110" s="190">
        <f t="shared" si="2852"/>
        <v>55.05383618553951</v>
      </c>
      <c r="AT110" s="211">
        <v>1272.95</v>
      </c>
      <c r="AU110" s="247">
        <f t="shared" si="2791"/>
        <v>42.431666666666665</v>
      </c>
      <c r="AV110" s="211">
        <v>935.14</v>
      </c>
      <c r="AW110" s="211">
        <v>51.856999999999999</v>
      </c>
      <c r="AX110" s="190">
        <f t="shared" si="2853"/>
        <v>44.077457873443578</v>
      </c>
      <c r="AY110" s="190">
        <f t="shared" si="2854"/>
        <v>5.6974878819701757E-2</v>
      </c>
      <c r="AZ110" s="211">
        <v>498.89600000000002</v>
      </c>
      <c r="BA110" s="211">
        <v>200.90299999999999</v>
      </c>
      <c r="BB110" s="190">
        <f t="shared" si="2855"/>
        <v>11.757633842648966</v>
      </c>
      <c r="BC110" s="190">
        <f t="shared" si="2856"/>
        <v>-7.1342078269870157E-2</v>
      </c>
      <c r="BD110" s="247">
        <f t="shared" si="2857"/>
        <v>55.835091716092542</v>
      </c>
      <c r="BE110" s="211">
        <v>1290.057</v>
      </c>
      <c r="BF110" s="247">
        <f t="shared" si="2797"/>
        <v>43.001899999999999</v>
      </c>
      <c r="BG110" s="211">
        <v>948.57100000000003</v>
      </c>
      <c r="BH110" s="211">
        <v>95.156999999999996</v>
      </c>
      <c r="BI110" s="190">
        <f t="shared" si="2858"/>
        <v>44.117632011608791</v>
      </c>
      <c r="BJ110" s="190">
        <f t="shared" si="2859"/>
        <v>9.7149016984914738E-2</v>
      </c>
      <c r="BK110" s="211">
        <v>498.25900000000001</v>
      </c>
      <c r="BL110" s="211">
        <v>267.06200000000001</v>
      </c>
      <c r="BM110" s="190">
        <f t="shared" si="2839"/>
        <v>11.586906625056102</v>
      </c>
      <c r="BN110" s="190">
        <f t="shared" ref="BN110" si="2884">BM110-W110</f>
        <v>-0.24206929586273418</v>
      </c>
      <c r="BO110" s="247">
        <f t="shared" ref="BO110" si="2885">BM110+BI110</f>
        <v>55.704538636664893</v>
      </c>
      <c r="BP110" s="211">
        <v>1018.521</v>
      </c>
      <c r="BQ110" s="247">
        <f t="shared" si="2802"/>
        <v>33.950699999999998</v>
      </c>
      <c r="BR110" s="211">
        <v>754.84500000000003</v>
      </c>
      <c r="BS110" s="211">
        <v>46.436999999999998</v>
      </c>
      <c r="BT110" s="190">
        <f t="shared" ref="BT110:BT111" si="2886">BR110*2/BQ110</f>
        <v>44.467124389187859</v>
      </c>
      <c r="BU110" s="190">
        <f t="shared" ref="BU110:BU111" si="2887">BT110-J110</f>
        <v>0.44664139456398289</v>
      </c>
      <c r="BV110" s="211">
        <v>400.45499999999998</v>
      </c>
      <c r="BW110" s="211">
        <v>213.47800000000001</v>
      </c>
      <c r="BX110" s="190">
        <f t="shared" ref="BX110" si="2888">BV110/BQ110</f>
        <v>11.795191262624924</v>
      </c>
      <c r="BY110" s="190">
        <f t="shared" ref="BY110" si="2889">BX110-W110</f>
        <v>-3.3784658293912528E-2</v>
      </c>
      <c r="BZ110" s="194">
        <f t="shared" ref="BZ110" si="2890">BT110+BX110</f>
        <v>56.262315651812784</v>
      </c>
      <c r="CA110" s="211">
        <v>674.59199999999998</v>
      </c>
      <c r="CB110" s="247">
        <f t="shared" si="2808"/>
        <v>22.4864</v>
      </c>
      <c r="CC110" s="211">
        <v>495.15800000000002</v>
      </c>
      <c r="CD110" s="211">
        <v>22.013999999999999</v>
      </c>
      <c r="CE110" s="190">
        <f t="shared" si="2867"/>
        <v>44.040664579479156</v>
      </c>
      <c r="CF110" s="190">
        <f t="shared" si="2868"/>
        <v>2.0181584855279766E-2</v>
      </c>
      <c r="CG110" s="211">
        <v>262.50700000000001</v>
      </c>
      <c r="CH110" s="211">
        <v>61.325000000000003</v>
      </c>
      <c r="CI110" s="190">
        <f t="shared" si="2869"/>
        <v>11.674034082823395</v>
      </c>
      <c r="CJ110" s="190">
        <f t="shared" si="2870"/>
        <v>-0.15494183809544104</v>
      </c>
      <c r="CK110" s="194">
        <f t="shared" si="2871"/>
        <v>55.714698662302553</v>
      </c>
      <c r="CL110" s="211">
        <v>917.44500000000005</v>
      </c>
      <c r="CM110" s="247">
        <f t="shared" si="2814"/>
        <v>30.581500000000002</v>
      </c>
      <c r="CN110" s="211">
        <v>677.54600000000005</v>
      </c>
      <c r="CO110" s="211">
        <v>26.495999999999999</v>
      </c>
      <c r="CP110" s="190">
        <f t="shared" si="2872"/>
        <v>44.310841521835094</v>
      </c>
      <c r="CQ110" s="190">
        <f t="shared" si="2873"/>
        <v>0.29035852721121813</v>
      </c>
      <c r="CR110" s="211">
        <v>365.423</v>
      </c>
      <c r="CS110" s="211">
        <v>120.711</v>
      </c>
      <c r="CT110" s="190">
        <f t="shared" si="2874"/>
        <v>11.949152265258407</v>
      </c>
      <c r="CU110" s="190">
        <f t="shared" si="2875"/>
        <v>0.12017634433957092</v>
      </c>
      <c r="CV110" s="247">
        <f t="shared" si="2876"/>
        <v>56.259993787093499</v>
      </c>
      <c r="CW110" s="163"/>
      <c r="CX110" s="238">
        <f t="shared" si="2820"/>
        <v>0</v>
      </c>
      <c r="CY110" s="238">
        <f t="shared" si="2821"/>
        <v>0</v>
      </c>
      <c r="CZ110" s="238">
        <f t="shared" si="2822"/>
        <v>11.542000000000055</v>
      </c>
      <c r="DA110" s="238">
        <f t="shared" si="2823"/>
        <v>0</v>
      </c>
      <c r="DB110" s="238">
        <f t="shared" si="2824"/>
        <v>0</v>
      </c>
      <c r="DC110" s="238">
        <f t="shared" si="2825"/>
        <v>0</v>
      </c>
      <c r="DD110" s="163"/>
      <c r="DE110" s="200">
        <v>205.71299999999999</v>
      </c>
      <c r="DF110" s="200">
        <v>119.066</v>
      </c>
      <c r="DG110" s="206">
        <f>MROUND(FORECAST(DF110,DG77:DG109,DF77:DF109),0.1)-20</f>
        <v>28.300000000000004</v>
      </c>
      <c r="DH110" s="191">
        <f t="shared" si="2826"/>
        <v>0.57879667303476201</v>
      </c>
      <c r="DI110" s="197">
        <v>167.315</v>
      </c>
      <c r="DJ110" s="191">
        <f t="shared" si="2827"/>
        <v>0.40667094447118074</v>
      </c>
      <c r="DK110" s="197">
        <v>151.613</v>
      </c>
      <c r="DL110" s="197">
        <v>149.297</v>
      </c>
      <c r="DM110" s="191">
        <f t="shared" si="2828"/>
        <v>1.5275734930381923E-2</v>
      </c>
      <c r="DN110" s="200">
        <v>145.84899999999999</v>
      </c>
      <c r="DO110" s="349">
        <f>MROUND(FORECAST(DP110,DO77:DO109,DP77:DP109),0.1)</f>
        <v>57.5</v>
      </c>
      <c r="DP110" s="200">
        <v>95.337999999999994</v>
      </c>
      <c r="DQ110" s="200">
        <f t="shared" si="2877"/>
        <v>152.83799999999999</v>
      </c>
      <c r="DR110" s="191">
        <f t="shared" si="2878"/>
        <v>0.98546761750594269</v>
      </c>
      <c r="DS110" s="199">
        <f t="shared" si="2879"/>
        <v>0.90615306457878853</v>
      </c>
      <c r="DT110" s="200">
        <v>143.59899999999999</v>
      </c>
      <c r="DU110" s="202">
        <v>60.634999999999998</v>
      </c>
      <c r="DV110" s="200">
        <v>13.327</v>
      </c>
      <c r="DW110" s="191">
        <f t="shared" si="1537"/>
        <v>0.42225224409640738</v>
      </c>
      <c r="DX110" s="197">
        <v>40.648000000000003</v>
      </c>
      <c r="DY110" s="191">
        <f t="shared" si="2832"/>
        <v>0.14153301903216597</v>
      </c>
      <c r="DZ110" s="197">
        <v>43.198999999999998</v>
      </c>
      <c r="EA110" s="197">
        <v>42.133000000000003</v>
      </c>
      <c r="EB110" s="191">
        <f t="shared" si="2836"/>
        <v>2.4676497141137399E-2</v>
      </c>
      <c r="EC110" s="200">
        <v>32.198999999999998</v>
      </c>
      <c r="ED110" s="206">
        <f t="shared" si="2833"/>
        <v>22.5</v>
      </c>
      <c r="EE110" s="200">
        <v>43.250999999999998</v>
      </c>
      <c r="EF110" s="205">
        <f t="shared" si="2837"/>
        <v>65.751000000000005</v>
      </c>
      <c r="EG110" s="191">
        <f t="shared" si="2838"/>
        <v>0.56378526312857336</v>
      </c>
      <c r="EJ110" s="202">
        <f t="shared" si="2880"/>
        <v>13.340811494252874</v>
      </c>
      <c r="EK110" s="202">
        <f>'NOPA Crush'!B535*56/('NOPA Crush'!A535-'NOPA Crush'!A534)</f>
        <v>12.607695872355189</v>
      </c>
      <c r="EL110" s="203">
        <f t="shared" si="1451"/>
        <v>1.0581482635146033</v>
      </c>
      <c r="EM110" s="202">
        <f t="shared" si="1406"/>
        <v>7.0935517241379307</v>
      </c>
      <c r="EN110" s="202">
        <f t="shared" si="1407"/>
        <v>9.9033793103448283E-3</v>
      </c>
      <c r="EO110" s="202">
        <f t="shared" si="1452"/>
        <v>20.444266597701148</v>
      </c>
    </row>
    <row r="111" spans="1:145">
      <c r="A111" s="157">
        <v>45352</v>
      </c>
      <c r="B111" s="186">
        <v>6106.0559999999996</v>
      </c>
      <c r="C111" s="187">
        <f t="shared" ref="C111" si="2891">B111/30</f>
        <v>203.53519999999997</v>
      </c>
      <c r="D111" s="247">
        <f>C111-'NOPA Crush'!G536</f>
        <v>7.1291999999999689</v>
      </c>
      <c r="E111" s="188">
        <f>C111/'NOPA Crush'!G536-1</f>
        <v>3.629828009327607E-2</v>
      </c>
      <c r="F111" s="189">
        <v>4485.4709999999995</v>
      </c>
      <c r="G111" s="189">
        <v>4426.59</v>
      </c>
      <c r="H111" s="189">
        <v>58.881</v>
      </c>
      <c r="I111" s="189">
        <v>307.56400000000002</v>
      </c>
      <c r="J111" s="190">
        <f t="shared" ref="J111" si="2892">F111*2/C111</f>
        <v>44.075629178638387</v>
      </c>
      <c r="K111" s="190">
        <f t="shared" si="2881"/>
        <v>47.097848431131325</v>
      </c>
      <c r="L111" s="190">
        <f>K111-'NOPA Crush'!J536</f>
        <v>-0.12215156886867362</v>
      </c>
      <c r="M111" s="189">
        <v>307.56400000000002</v>
      </c>
      <c r="N111" s="189">
        <v>64.513000000000005</v>
      </c>
      <c r="O111" s="189">
        <v>2403.7959999999998</v>
      </c>
      <c r="P111" s="189">
        <v>1871.857</v>
      </c>
      <c r="Q111" s="189">
        <v>1098.42</v>
      </c>
      <c r="R111" s="189">
        <v>287.70800000000003</v>
      </c>
      <c r="S111" s="189">
        <v>485.72899999999998</v>
      </c>
      <c r="T111" s="189">
        <v>496.71</v>
      </c>
      <c r="U111" s="189">
        <f>(P111+T111)-'NOPA Crush'!Q536</f>
        <v>517.69299999999998</v>
      </c>
      <c r="V111" s="191">
        <f>((P111+T111)/'NOPA Crush'!Q536)-1</f>
        <v>0.27970191379856213</v>
      </c>
      <c r="W111" s="190">
        <f t="shared" ref="W111" si="2893">O111/C111</f>
        <v>11.810222506966854</v>
      </c>
      <c r="X111" s="190">
        <f>W111-'NOPA Crush'!O536</f>
        <v>-2.977749303314603E-2</v>
      </c>
      <c r="Y111" s="190">
        <f t="shared" ref="Y111" si="2894">K111+W111</f>
        <v>58.908070938098177</v>
      </c>
      <c r="Z111" s="211">
        <v>1827.03</v>
      </c>
      <c r="AA111" s="211">
        <v>1791.9490000000001</v>
      </c>
      <c r="AB111" s="191">
        <f t="shared" si="2784"/>
        <v>1.9201107808848188E-2</v>
      </c>
      <c r="AC111" s="333">
        <v>163.07400000000001</v>
      </c>
      <c r="AD111" s="211">
        <v>1756.125</v>
      </c>
      <c r="AE111" s="211">
        <v>1233.5429999999999</v>
      </c>
      <c r="AF111" s="211">
        <v>522.58199999999999</v>
      </c>
      <c r="AG111" s="191">
        <f t="shared" si="1322"/>
        <v>-1.9991640387086895E-2</v>
      </c>
      <c r="AI111" s="211">
        <v>661.73099999999999</v>
      </c>
      <c r="AJ111" s="247">
        <f t="shared" si="2785"/>
        <v>22.057700000000001</v>
      </c>
      <c r="AK111" s="211">
        <v>467.11099999999999</v>
      </c>
      <c r="AL111" s="211">
        <v>71.700999999999993</v>
      </c>
      <c r="AM111" s="190">
        <f t="shared" ref="AM111" si="2895">AK111*2/AJ111</f>
        <v>42.353554541044623</v>
      </c>
      <c r="AN111" s="190">
        <f t="shared" ref="AN111" si="2896">AM111-J111</f>
        <v>-1.7220746375937637</v>
      </c>
      <c r="AO111" s="211">
        <v>266.24200000000002</v>
      </c>
      <c r="AP111" s="211">
        <v>169.518</v>
      </c>
      <c r="AQ111" s="190">
        <f t="shared" ref="AQ111" si="2897">AO111/AJ111</f>
        <v>12.070252111507546</v>
      </c>
      <c r="AR111" s="190">
        <f t="shared" ref="AR111" si="2898">AQ111-W111</f>
        <v>0.26002960454069246</v>
      </c>
      <c r="AS111" s="190">
        <f t="shared" ref="AS111" si="2899">AM111+AQ111</f>
        <v>54.423806652552173</v>
      </c>
      <c r="AT111" s="211">
        <v>1323.6769999999999</v>
      </c>
      <c r="AU111" s="247">
        <f t="shared" si="2791"/>
        <v>44.122566666666664</v>
      </c>
      <c r="AV111" s="211">
        <v>979.97500000000002</v>
      </c>
      <c r="AW111" s="211">
        <v>97.429000000000002</v>
      </c>
      <c r="AX111" s="190">
        <f t="shared" ref="AX111" si="2900">AV111*2/AU111</f>
        <v>44.420579945107455</v>
      </c>
      <c r="AY111" s="190">
        <f t="shared" ref="AY111" si="2901">AX111-J111</f>
        <v>0.34495076646906853</v>
      </c>
      <c r="AZ111" s="211">
        <v>527.04300000000001</v>
      </c>
      <c r="BA111" s="211">
        <v>193.078</v>
      </c>
      <c r="BB111" s="190">
        <f t="shared" ref="BB111" si="2902">AZ111/AU111</f>
        <v>11.944976002453771</v>
      </c>
      <c r="BC111" s="190">
        <f t="shared" ref="BC111" si="2903">BB111-W111</f>
        <v>0.13475349548691717</v>
      </c>
      <c r="BD111" s="247">
        <f t="shared" ref="BD111" si="2904">AX111+BB111</f>
        <v>56.365555947561226</v>
      </c>
      <c r="BE111" s="211">
        <v>1403.4970000000001</v>
      </c>
      <c r="BF111" s="247">
        <f t="shared" si="2797"/>
        <v>46.783233333333335</v>
      </c>
      <c r="BG111" s="211">
        <v>1028.511</v>
      </c>
      <c r="BH111" s="211">
        <v>88.1</v>
      </c>
      <c r="BI111" s="190">
        <f t="shared" ref="BI111" si="2905">BG111*2/BF111</f>
        <v>43.96921404178277</v>
      </c>
      <c r="BJ111" s="190">
        <f t="shared" ref="BJ111" si="2906">BI111-J111</f>
        <v>-0.10641513685561677</v>
      </c>
      <c r="BK111" s="211">
        <v>545.41499999999996</v>
      </c>
      <c r="BL111" s="211">
        <v>281.87900000000002</v>
      </c>
      <c r="BM111" s="190">
        <f t="shared" ref="BM111" si="2907">BK111/BF111</f>
        <v>11.658343409355345</v>
      </c>
      <c r="BN111" s="190">
        <f t="shared" ref="BN111" si="2908">BM111-W111</f>
        <v>-0.1518790976115092</v>
      </c>
      <c r="BO111" s="247">
        <f t="shared" ref="BO111" si="2909">BM111+BI111</f>
        <v>55.627557451138117</v>
      </c>
      <c r="BP111" s="211">
        <v>1089.165</v>
      </c>
      <c r="BQ111" s="247">
        <f t="shared" si="2802"/>
        <v>36.305500000000002</v>
      </c>
      <c r="BR111" s="211">
        <v>806.63800000000003</v>
      </c>
      <c r="BS111" s="211">
        <v>94.046999999999997</v>
      </c>
      <c r="BT111" s="190">
        <f t="shared" si="2886"/>
        <v>44.436132266461001</v>
      </c>
      <c r="BU111" s="190">
        <f t="shared" si="2887"/>
        <v>0.36050308782261453</v>
      </c>
      <c r="BV111" s="211">
        <v>425.13799999999998</v>
      </c>
      <c r="BW111" s="211">
        <v>232.00299999999999</v>
      </c>
      <c r="BX111" s="190">
        <f t="shared" ref="BX111" si="2910">BV111/BQ111</f>
        <v>11.710016388701435</v>
      </c>
      <c r="BY111" s="190">
        <f t="shared" ref="BY111" si="2911">BX111-W111</f>
        <v>-0.10020611826541881</v>
      </c>
      <c r="BZ111" s="194">
        <f t="shared" ref="BZ111" si="2912">BT111+BX111</f>
        <v>56.146148655162435</v>
      </c>
      <c r="CA111" s="211">
        <v>692.84699999999998</v>
      </c>
      <c r="CB111" s="247">
        <f t="shared" si="2808"/>
        <v>23.094899999999999</v>
      </c>
      <c r="CC111" s="211">
        <v>506.447</v>
      </c>
      <c r="CD111" s="211">
        <v>64.975999999999999</v>
      </c>
      <c r="CE111" s="190">
        <f t="shared" ref="CE111" si="2913">CC111*2/CB111</f>
        <v>43.85790802298343</v>
      </c>
      <c r="CF111" s="190">
        <f t="shared" ref="CF111" si="2914">CE111-J111</f>
        <v>-0.21772115565495653</v>
      </c>
      <c r="CG111" s="211">
        <v>267.86</v>
      </c>
      <c r="CH111" s="211">
        <v>73.465000000000003</v>
      </c>
      <c r="CI111" s="190">
        <f t="shared" ref="CI111" si="2915">CG111/CB111</f>
        <v>11.598231644215824</v>
      </c>
      <c r="CJ111" s="190">
        <f t="shared" ref="CJ111" si="2916">CI111-W111</f>
        <v>-0.21199086275102985</v>
      </c>
      <c r="CK111" s="194">
        <f t="shared" ref="CK111" si="2917">CI111+CE111</f>
        <v>55.456139667199253</v>
      </c>
      <c r="CL111" s="211">
        <v>935.13900000000001</v>
      </c>
      <c r="CM111" s="247">
        <f t="shared" si="2814"/>
        <v>31.171299999999999</v>
      </c>
      <c r="CN111" s="211">
        <v>696.78899999999999</v>
      </c>
      <c r="CO111" s="211">
        <v>78.948999999999998</v>
      </c>
      <c r="CP111" s="190">
        <f t="shared" ref="CP111" si="2918">CN111*2/CM111</f>
        <v>44.707086326203914</v>
      </c>
      <c r="CQ111" s="190">
        <f t="shared" ref="CQ111" si="2919">CP111-J111</f>
        <v>0.63145714756552707</v>
      </c>
      <c r="CR111" s="211">
        <v>372.09800000000001</v>
      </c>
      <c r="CS111" s="211">
        <v>148.477</v>
      </c>
      <c r="CT111" s="190">
        <f t="shared" ref="CT111" si="2920">CR111/CM111</f>
        <v>11.937198641057641</v>
      </c>
      <c r="CU111" s="190">
        <f t="shared" ref="CU111" si="2921">CT111-W111</f>
        <v>0.12697613409078734</v>
      </c>
      <c r="CV111" s="247">
        <f t="shared" ref="CV111" si="2922">CP111+CT111</f>
        <v>56.644284967261555</v>
      </c>
      <c r="CW111" s="163"/>
      <c r="CX111" s="238">
        <f t="shared" si="2820"/>
        <v>-3.5527136788005009E-14</v>
      </c>
      <c r="CY111" s="238">
        <f t="shared" si="2821"/>
        <v>0</v>
      </c>
      <c r="CZ111" s="238">
        <f t="shared" si="2822"/>
        <v>-187.63799999999998</v>
      </c>
      <c r="DA111" s="238">
        <f t="shared" si="2823"/>
        <v>0</v>
      </c>
      <c r="DB111" s="238">
        <f t="shared" si="2824"/>
        <v>0</v>
      </c>
      <c r="DC111" s="238">
        <f t="shared" si="2825"/>
        <v>0</v>
      </c>
      <c r="DD111" s="163"/>
      <c r="DE111" s="200">
        <v>190.64099999999999</v>
      </c>
      <c r="DF111" s="200">
        <v>109.93899999999999</v>
      </c>
      <c r="DG111" s="200">
        <v>24.474</v>
      </c>
      <c r="DH111" s="191">
        <f t="shared" si="2826"/>
        <v>0.57668077695773734</v>
      </c>
      <c r="DI111" s="197">
        <v>150.16499999999999</v>
      </c>
      <c r="DJ111" s="191">
        <f t="shared" si="2827"/>
        <v>0.39384235290414971</v>
      </c>
      <c r="DK111" s="197">
        <v>159.78800000000001</v>
      </c>
      <c r="DL111" s="197">
        <v>154.75700000000001</v>
      </c>
      <c r="DM111" s="191">
        <f t="shared" si="2828"/>
        <v>3.1485468245425197E-2</v>
      </c>
      <c r="DN111" s="200">
        <v>163.024</v>
      </c>
      <c r="DO111" s="200">
        <v>58.930999999999997</v>
      </c>
      <c r="DP111" s="200">
        <v>88.369</v>
      </c>
      <c r="DQ111" s="200">
        <f t="shared" ref="DQ111" si="2923">DP111+DO111</f>
        <v>147.30000000000001</v>
      </c>
      <c r="DR111" s="191">
        <f t="shared" ref="DR111" si="2924">DJ111+DH111</f>
        <v>0.97052312986188705</v>
      </c>
      <c r="DS111" s="199">
        <f t="shared" ref="DS111:DS120" si="2925">DK111/DI111</f>
        <v>1.064082842206906</v>
      </c>
      <c r="DT111" s="200">
        <v>132.16800000000001</v>
      </c>
      <c r="DU111" s="202">
        <v>53.34</v>
      </c>
      <c r="DV111" s="200">
        <v>20.41</v>
      </c>
      <c r="DW111" s="191">
        <f t="shared" si="1537"/>
        <v>0.40357726529871074</v>
      </c>
      <c r="DX111" s="197">
        <v>36.933999999999997</v>
      </c>
      <c r="DY111" s="191">
        <f t="shared" si="2832"/>
        <v>0.13972368500696083</v>
      </c>
      <c r="DZ111" s="197">
        <v>40.686</v>
      </c>
      <c r="EA111" s="197">
        <v>39.524000000000001</v>
      </c>
      <c r="EB111" s="191">
        <f t="shared" si="2836"/>
        <v>2.8560192695275988E-2</v>
      </c>
      <c r="EC111" s="200">
        <v>34.128999999999998</v>
      </c>
      <c r="ED111" s="206">
        <f t="shared" si="2833"/>
        <v>22.5</v>
      </c>
      <c r="EE111" s="200">
        <v>49.067999999999998</v>
      </c>
      <c r="EF111" s="205">
        <f t="shared" si="2837"/>
        <v>71.567999999999998</v>
      </c>
      <c r="EG111" s="191">
        <f t="shared" si="2838"/>
        <v>0.5433009503056716</v>
      </c>
      <c r="EJ111" s="202">
        <f t="shared" si="2880"/>
        <v>13.13130322580645</v>
      </c>
      <c r="EK111" s="202">
        <f>'NOPA Crush'!B536*56/('NOPA Crush'!A536-'NOPA Crush'!A535)</f>
        <v>13.531329768708526</v>
      </c>
      <c r="EL111" s="203">
        <f t="shared" si="1451"/>
        <v>0.97043701175422203</v>
      </c>
      <c r="EM111" s="202">
        <f t="shared" si="1406"/>
        <v>6.1497096774193549</v>
      </c>
      <c r="EN111" s="202">
        <f t="shared" si="1407"/>
        <v>8.5269677419354852E-3</v>
      </c>
      <c r="EO111" s="202">
        <f t="shared" si="1452"/>
        <v>19.28953987096774</v>
      </c>
    </row>
    <row r="112" spans="1:145">
      <c r="A112" s="157">
        <v>45383</v>
      </c>
      <c r="B112" s="186">
        <v>5327.076</v>
      </c>
      <c r="C112" s="187">
        <f t="shared" ref="C112" si="2926">B112/30</f>
        <v>177.5692</v>
      </c>
      <c r="D112" s="247">
        <f>C112-'NOPA Crush'!G537</f>
        <v>11.535200000000003</v>
      </c>
      <c r="E112" s="188">
        <f>C112/'NOPA Crush'!G537-1</f>
        <v>6.9474926822217231E-2</v>
      </c>
      <c r="F112" s="189">
        <v>3931.95</v>
      </c>
      <c r="G112" s="189">
        <v>3885.3409999999999</v>
      </c>
      <c r="H112" s="189">
        <v>46.609000000000002</v>
      </c>
      <c r="I112" s="189">
        <v>269.827</v>
      </c>
      <c r="J112" s="190">
        <f t="shared" ref="J112" si="2927">F112*2/C112</f>
        <v>44.286396514710887</v>
      </c>
      <c r="K112" s="190">
        <f t="shared" ref="K112" si="2928">(F112+M112)*2/C112</f>
        <v>47.325515911543221</v>
      </c>
      <c r="L112" s="190">
        <f>K112-'NOPA Crush'!J537</f>
        <v>-0.13448408845678017</v>
      </c>
      <c r="M112" s="189">
        <v>269.827</v>
      </c>
      <c r="N112" s="189">
        <v>48.366999999999997</v>
      </c>
      <c r="O112" s="189">
        <v>2096.2080000000001</v>
      </c>
      <c r="P112" s="189">
        <v>1856.1369999999999</v>
      </c>
      <c r="Q112" s="189">
        <v>1047.499</v>
      </c>
      <c r="R112" s="189">
        <v>282.89499999999998</v>
      </c>
      <c r="S112" s="189">
        <v>525.74300000000005</v>
      </c>
      <c r="T112" s="189">
        <v>454.709</v>
      </c>
      <c r="U112" s="189">
        <f>(P112+T112)-'NOPA Crush'!Q537</f>
        <v>556.14200000000005</v>
      </c>
      <c r="V112" s="191">
        <f>((P112+T112)/'NOPA Crush'!Q537)-1</f>
        <v>0.31694348448513265</v>
      </c>
      <c r="W112" s="190">
        <f t="shared" ref="W112" si="2929">O112/C112</f>
        <v>11.805020239996576</v>
      </c>
      <c r="X112" s="190">
        <f>W112-'NOPA Crush'!O537</f>
        <v>-8.4979760003424332E-2</v>
      </c>
      <c r="Y112" s="190">
        <f t="shared" ref="Y112:Y114" si="2930">K112+W112</f>
        <v>59.1305361515398</v>
      </c>
      <c r="Z112" s="211">
        <v>1761.41</v>
      </c>
      <c r="AA112" s="211">
        <v>1716.904</v>
      </c>
      <c r="AB112" s="191">
        <f t="shared" si="2784"/>
        <v>2.5267257481222476E-2</v>
      </c>
      <c r="AC112" s="344">
        <f>FORECAST(AF112,AC88:AC111,AF88:AF111)</f>
        <v>169.94092733024561</v>
      </c>
      <c r="AD112" s="211">
        <v>1760.3119999999999</v>
      </c>
      <c r="AE112" s="211">
        <v>1253.2159999999999</v>
      </c>
      <c r="AF112" s="211">
        <v>507.096</v>
      </c>
      <c r="AG112" s="191">
        <f t="shared" si="1322"/>
        <v>2.528271819507677E-2</v>
      </c>
      <c r="AI112" s="211">
        <v>568.95899999999995</v>
      </c>
      <c r="AJ112" s="247">
        <f t="shared" si="2785"/>
        <v>18.965299999999999</v>
      </c>
      <c r="AK112" s="211">
        <v>418.73599999999999</v>
      </c>
      <c r="AL112" s="211">
        <v>30.908000000000001</v>
      </c>
      <c r="AM112" s="190">
        <f t="shared" ref="AM112" si="2931">AK112*2/AJ112</f>
        <v>44.158120356651359</v>
      </c>
      <c r="AN112" s="190">
        <f t="shared" ref="AN112" si="2932">AM112-J112</f>
        <v>-0.12827615805952775</v>
      </c>
      <c r="AO112" s="211">
        <v>234.29900000000001</v>
      </c>
      <c r="AP112" s="211">
        <v>165.22399999999999</v>
      </c>
      <c r="AQ112" s="190">
        <f t="shared" ref="AQ112" si="2933">AO112/AJ112</f>
        <v>12.35408878319879</v>
      </c>
      <c r="AR112" s="190">
        <f t="shared" ref="AR112" si="2934">AQ112-W112</f>
        <v>0.54906854320221399</v>
      </c>
      <c r="AS112" s="190">
        <f t="shared" ref="AS112" si="2935">AM112+AQ112</f>
        <v>56.51220913985015</v>
      </c>
      <c r="AT112" s="211">
        <v>1224.998</v>
      </c>
      <c r="AU112" s="247">
        <f t="shared" si="2791"/>
        <v>40.833266666666667</v>
      </c>
      <c r="AV112" s="211">
        <v>903.28700000000003</v>
      </c>
      <c r="AW112" s="211">
        <v>49.74</v>
      </c>
      <c r="AX112" s="190">
        <f t="shared" ref="AX112" si="2936">AV112*2/AU112</f>
        <v>44.24270080440948</v>
      </c>
      <c r="AY112" s="190">
        <f t="shared" ref="AY112" si="2937">AX112-J112</f>
        <v>-4.3695710301406621E-2</v>
      </c>
      <c r="AZ112" s="211">
        <v>482.79300000000001</v>
      </c>
      <c r="BA112" s="211">
        <v>192.72800000000001</v>
      </c>
      <c r="BB112" s="190">
        <f t="shared" ref="BB112" si="2938">AZ112/AU112</f>
        <v>11.823521344524645</v>
      </c>
      <c r="BC112" s="190">
        <f t="shared" ref="BC112" si="2939">BB112-W112</f>
        <v>1.8501104528068524E-2</v>
      </c>
      <c r="BD112" s="247">
        <f t="shared" ref="BD112" si="2940">AX112+BB112</f>
        <v>56.066222148934123</v>
      </c>
      <c r="BE112" s="211">
        <v>1261.4960000000001</v>
      </c>
      <c r="BF112" s="247">
        <f t="shared" si="2797"/>
        <v>42.049866666666667</v>
      </c>
      <c r="BG112" s="211">
        <v>928.44399999999996</v>
      </c>
      <c r="BH112" s="211">
        <v>78.965999999999994</v>
      </c>
      <c r="BI112" s="190">
        <f t="shared" ref="BI112" si="2941">BG112*2/BF112</f>
        <v>44.159188772695273</v>
      </c>
      <c r="BJ112" s="190">
        <f t="shared" ref="BJ112" si="2942">BI112-J112</f>
        <v>-0.12720774201561369</v>
      </c>
      <c r="BK112" s="211">
        <v>499.1</v>
      </c>
      <c r="BL112" s="211">
        <v>271.24200000000002</v>
      </c>
      <c r="BM112" s="190">
        <f t="shared" ref="BM112" si="2943">BK112/BF112</f>
        <v>11.869240964695885</v>
      </c>
      <c r="BN112" s="190">
        <f t="shared" ref="BN112" si="2944">BM112-W112</f>
        <v>6.4220724699309173E-2</v>
      </c>
      <c r="BO112" s="247">
        <f t="shared" ref="BO112:BO119" si="2945">BM112+BI112</f>
        <v>56.028429737391157</v>
      </c>
      <c r="BP112" s="211">
        <v>941.40599999999995</v>
      </c>
      <c r="BQ112" s="247">
        <f t="shared" si="2802"/>
        <v>31.380199999999999</v>
      </c>
      <c r="BR112" s="211">
        <v>691.74199999999996</v>
      </c>
      <c r="BS112" s="211">
        <v>66.113</v>
      </c>
      <c r="BT112" s="190">
        <f t="shared" ref="BT112" si="2946">BR112*2/BQ112</f>
        <v>44.087800587631691</v>
      </c>
      <c r="BU112" s="190">
        <f t="shared" ref="BU112" si="2947">BT112-J112</f>
        <v>-0.1985959270791966</v>
      </c>
      <c r="BV112" s="211">
        <v>365.82400000000001</v>
      </c>
      <c r="BW112" s="211">
        <v>213.38900000000001</v>
      </c>
      <c r="BX112" s="190">
        <f t="shared" ref="BX112" si="2948">BV112/BQ112</f>
        <v>11.657796954767656</v>
      </c>
      <c r="BY112" s="190">
        <f t="shared" ref="BY112" si="2949">BX112-W112</f>
        <v>-0.14722328522891992</v>
      </c>
      <c r="BZ112" s="194">
        <f t="shared" ref="BZ112" si="2950">BT112+BX112</f>
        <v>55.745597542399345</v>
      </c>
      <c r="CA112" s="211">
        <v>622.64400000000001</v>
      </c>
      <c r="CB112" s="247">
        <f t="shared" si="2808"/>
        <v>20.754799999999999</v>
      </c>
      <c r="CC112" s="211">
        <v>463.59899999999999</v>
      </c>
      <c r="CD112" s="211">
        <v>25.023</v>
      </c>
      <c r="CE112" s="190">
        <f t="shared" ref="CE112" si="2951">CC112*2/CB112</f>
        <v>44.67390675891842</v>
      </c>
      <c r="CF112" s="190">
        <f t="shared" ref="CF112" si="2952">CE112-J112</f>
        <v>0.38751024420753311</v>
      </c>
      <c r="CG112" s="211">
        <v>235.59299999999999</v>
      </c>
      <c r="CH112" s="211">
        <v>77.617999999999995</v>
      </c>
      <c r="CI112" s="190">
        <f t="shared" ref="CI112" si="2953">CG112/CB112</f>
        <v>11.351253685894347</v>
      </c>
      <c r="CJ112" s="190">
        <f t="shared" ref="CJ112" si="2954">CI112-W112</f>
        <v>-0.45376655410222888</v>
      </c>
      <c r="CK112" s="194">
        <f t="shared" ref="CK112" si="2955">CI112+CE112</f>
        <v>56.025160444812769</v>
      </c>
      <c r="CL112" s="211">
        <v>707.57299999999998</v>
      </c>
      <c r="CM112" s="247">
        <f t="shared" si="2814"/>
        <v>23.585766666666665</v>
      </c>
      <c r="CN112" s="211">
        <v>526.14200000000005</v>
      </c>
      <c r="CO112" s="211">
        <v>36.238</v>
      </c>
      <c r="CP112" s="190">
        <f t="shared" ref="CP112" si="2956">CN112*2/CM112</f>
        <v>44.615212847296327</v>
      </c>
      <c r="CQ112" s="190">
        <f t="shared" ref="CQ112" si="2957">CP112-J112</f>
        <v>0.32881633258543985</v>
      </c>
      <c r="CR112" s="211">
        <v>278.59899999999999</v>
      </c>
      <c r="CS112" s="211">
        <v>127.298</v>
      </c>
      <c r="CT112" s="190">
        <f t="shared" ref="CT112" si="2958">CR112/CM112</f>
        <v>11.812166377179457</v>
      </c>
      <c r="CU112" s="190">
        <f t="shared" ref="CU112" si="2959">CT112-W112</f>
        <v>7.1461371828807074E-3</v>
      </c>
      <c r="CV112" s="247">
        <f t="shared" ref="CV112" si="2960">CP112+CT112</f>
        <v>56.427379224475786</v>
      </c>
      <c r="CW112" s="163"/>
      <c r="CX112" s="238">
        <f t="shared" si="2820"/>
        <v>0</v>
      </c>
      <c r="CY112" s="238">
        <f t="shared" si="2821"/>
        <v>0</v>
      </c>
      <c r="CZ112" s="238">
        <f t="shared" si="2822"/>
        <v>-17.161000000000019</v>
      </c>
      <c r="DA112" s="238">
        <f t="shared" si="2823"/>
        <v>0</v>
      </c>
      <c r="DB112" s="238">
        <f t="shared" si="2824"/>
        <v>0</v>
      </c>
      <c r="DC112" s="238">
        <f t="shared" si="2825"/>
        <v>0</v>
      </c>
      <c r="DD112" s="163"/>
      <c r="DE112" s="200">
        <v>188.51499999999999</v>
      </c>
      <c r="DF112" s="200">
        <v>108.408</v>
      </c>
      <c r="DG112" s="200">
        <v>24.954999999999998</v>
      </c>
      <c r="DH112" s="191">
        <f t="shared" si="2826"/>
        <v>0.57506299233482749</v>
      </c>
      <c r="DI112" s="197">
        <v>152.9</v>
      </c>
      <c r="DJ112" s="191">
        <f t="shared" si="2827"/>
        <v>0.40553802084714746</v>
      </c>
      <c r="DK112" s="197">
        <v>153.71299999999999</v>
      </c>
      <c r="DL112" s="197">
        <v>148.64400000000001</v>
      </c>
      <c r="DM112" s="191">
        <f t="shared" si="2828"/>
        <v>3.2977041629530301E-2</v>
      </c>
      <c r="DN112" s="200">
        <v>147.023</v>
      </c>
      <c r="DO112" s="200">
        <v>49.27</v>
      </c>
      <c r="DP112" s="200">
        <v>88.93</v>
      </c>
      <c r="DQ112" s="200">
        <f t="shared" ref="DQ112" si="2961">DP112+DO112</f>
        <v>138.20000000000002</v>
      </c>
      <c r="DR112" s="191">
        <f t="shared" ref="DR112" si="2962">DJ112+DH112</f>
        <v>0.9806010131819749</v>
      </c>
      <c r="DS112" s="199">
        <f t="shared" si="2925"/>
        <v>1.0053172007848266</v>
      </c>
      <c r="DT112" s="200">
        <v>87.783000000000001</v>
      </c>
      <c r="DU112" s="202">
        <v>39.420999999999999</v>
      </c>
      <c r="DV112" s="200">
        <v>14.874000000000001</v>
      </c>
      <c r="DW112" s="191">
        <f t="shared" si="1537"/>
        <v>0.44907328298189853</v>
      </c>
      <c r="DX112" s="197">
        <v>25.623000000000001</v>
      </c>
      <c r="DY112" s="191">
        <f t="shared" si="2832"/>
        <v>0.14594511465773555</v>
      </c>
      <c r="DZ112" s="197">
        <v>28.858000000000001</v>
      </c>
      <c r="EA112" s="197">
        <v>27.968</v>
      </c>
      <c r="EB112" s="191">
        <f t="shared" si="2836"/>
        <v>3.084066809896735E-2</v>
      </c>
      <c r="EC112" s="200">
        <v>31.507999999999999</v>
      </c>
      <c r="ED112" s="206">
        <f t="shared" si="2833"/>
        <v>27.5</v>
      </c>
      <c r="EE112" s="200">
        <v>45.743000000000002</v>
      </c>
      <c r="EF112" s="205">
        <f t="shared" ref="EF112" si="2963">EE112+ED112</f>
        <v>73.242999999999995</v>
      </c>
      <c r="EG112" s="191">
        <f t="shared" ref="EG112" si="2964">DY112+DW112</f>
        <v>0.59501839763963404</v>
      </c>
      <c r="EJ112" s="202">
        <f t="shared" si="2880"/>
        <v>11.837946666666666</v>
      </c>
      <c r="EK112" s="202">
        <f>'NOPA Crush'!B537*56/('NOPA Crush'!A537-'NOPA Crush'!A536)</f>
        <v>12.886439125910512</v>
      </c>
      <c r="EL112" s="203">
        <f t="shared" si="1451"/>
        <v>0.91863598244641043</v>
      </c>
      <c r="EM112" s="202">
        <f t="shared" si="1406"/>
        <v>6.2838333333333329</v>
      </c>
      <c r="EN112" s="202">
        <f t="shared" si="1407"/>
        <v>5.8522000000000001E-3</v>
      </c>
      <c r="EO112" s="202">
        <f t="shared" si="1452"/>
        <v>18.127632199999997</v>
      </c>
    </row>
    <row r="113" spans="1:145">
      <c r="A113" s="157">
        <v>45413</v>
      </c>
      <c r="B113" s="186">
        <v>5748.7790000000005</v>
      </c>
      <c r="C113" s="187">
        <f t="shared" ref="C113" si="2965">B113/30</f>
        <v>191.62596666666667</v>
      </c>
      <c r="D113" s="247">
        <f>C113-'NOPA Crush'!G538</f>
        <v>8.0009666666666703</v>
      </c>
      <c r="E113" s="188">
        <f>C113/'NOPA Crush'!G538-1</f>
        <v>4.3572316768776931E-2</v>
      </c>
      <c r="F113" s="189">
        <v>4222.3869999999997</v>
      </c>
      <c r="G113" s="189">
        <v>4164.0169999999998</v>
      </c>
      <c r="H113" s="189">
        <v>58.37</v>
      </c>
      <c r="I113" s="189">
        <v>298.37799999999999</v>
      </c>
      <c r="J113" s="190">
        <f t="shared" ref="J113:J114" si="2966">F113*2/C113</f>
        <v>44.069048401408367</v>
      </c>
      <c r="K113" s="190">
        <f t="shared" ref="K113:K114" si="2967">(F113+M113)*2/C113</f>
        <v>47.038437205535296</v>
      </c>
      <c r="L113" s="190">
        <f>K113-'NOPA Crush'!J538</f>
        <v>-5.1562794464707906E-2</v>
      </c>
      <c r="M113" s="189">
        <v>284.50599999999997</v>
      </c>
      <c r="N113" s="189">
        <v>44.982999999999997</v>
      </c>
      <c r="O113" s="189">
        <v>2267.1660000000002</v>
      </c>
      <c r="P113" s="189">
        <v>1733.8130000000001</v>
      </c>
      <c r="Q113" s="189">
        <v>957.625</v>
      </c>
      <c r="R113" s="189">
        <v>256.97800000000001</v>
      </c>
      <c r="S113" s="189">
        <v>519.21</v>
      </c>
      <c r="T113" s="189">
        <v>454.06900000000002</v>
      </c>
      <c r="U113" s="189">
        <f>(P113+T113)-'NOPA Crush'!Q538</f>
        <v>464.32600000000002</v>
      </c>
      <c r="V113" s="191">
        <f>((P113+T113)/'NOPA Crush'!Q538)-1</f>
        <v>0.26940000789066332</v>
      </c>
      <c r="W113" s="190">
        <f t="shared" ref="W113:W114" si="2968">O113/C113</f>
        <v>11.831204504469559</v>
      </c>
      <c r="X113" s="190">
        <f>W113-'NOPA Crush'!O538</f>
        <v>-7.8795495530441073E-2</v>
      </c>
      <c r="Y113" s="190">
        <f t="shared" si="2930"/>
        <v>58.869641710004856</v>
      </c>
      <c r="Z113" s="211">
        <v>1825.2</v>
      </c>
      <c r="AA113" s="211">
        <v>1788.5039999999999</v>
      </c>
      <c r="AB113" s="191">
        <f t="shared" si="2784"/>
        <v>2.0105193951347872E-2</v>
      </c>
      <c r="AC113" s="344">
        <f>FORECAST(AF113,AC89:AC112,AF89:AF112)</f>
        <v>176.04629356103641</v>
      </c>
      <c r="AD113" s="211">
        <v>1789.951</v>
      </c>
      <c r="AE113" s="211">
        <v>1248.8510000000001</v>
      </c>
      <c r="AF113" s="211">
        <v>541.1</v>
      </c>
      <c r="AG113" s="191">
        <f t="shared" si="1322"/>
        <v>8.0905606026049348E-4</v>
      </c>
      <c r="AI113" s="211">
        <v>567.87199999999996</v>
      </c>
      <c r="AJ113" s="247">
        <f t="shared" si="2785"/>
        <v>18.929066666666664</v>
      </c>
      <c r="AK113" s="211">
        <v>408.678</v>
      </c>
      <c r="AL113" s="211">
        <v>24.58</v>
      </c>
      <c r="AM113" s="190">
        <f t="shared" ref="AM113:AM114" si="2969">AK113*2/AJ113</f>
        <v>43.179941958751272</v>
      </c>
      <c r="AN113" s="190">
        <f t="shared" ref="AN113:AN114" si="2970">AM113-J113</f>
        <v>-0.88910644265709493</v>
      </c>
      <c r="AO113" s="211">
        <v>227.74299999999999</v>
      </c>
      <c r="AP113" s="211">
        <v>126.31399999999999</v>
      </c>
      <c r="AQ113" s="190">
        <f t="shared" ref="AQ113:AQ114" si="2971">AO113/AJ113</f>
        <v>12.031390876817312</v>
      </c>
      <c r="AR113" s="190">
        <f t="shared" ref="AR113:AR114" si="2972">AQ113-W113</f>
        <v>0.20018637234775305</v>
      </c>
      <c r="AS113" s="190">
        <f t="shared" ref="AS113:AS114" si="2973">AM113+AQ113</f>
        <v>55.211332835568584</v>
      </c>
      <c r="AT113" s="211">
        <v>1296.077</v>
      </c>
      <c r="AU113" s="247">
        <f t="shared" si="2791"/>
        <v>43.202566666666669</v>
      </c>
      <c r="AV113" s="211">
        <v>954.66800000000001</v>
      </c>
      <c r="AW113" s="211">
        <v>77.052000000000007</v>
      </c>
      <c r="AX113" s="190">
        <f t="shared" ref="AX113:AX114" si="2974">AV113*2/AU113</f>
        <v>44.194966811385434</v>
      </c>
      <c r="AY113" s="190">
        <f t="shared" ref="AY113:AY114" si="2975">AX113-J113</f>
        <v>0.12591840997706782</v>
      </c>
      <c r="AZ113" s="211">
        <v>511.78</v>
      </c>
      <c r="BA113" s="211">
        <v>175.69900000000001</v>
      </c>
      <c r="BB113" s="190">
        <f t="shared" ref="BB113:BB114" si="2976">AZ113/AU113</f>
        <v>11.846055442693604</v>
      </c>
      <c r="BC113" s="190">
        <f t="shared" ref="BC113:BC114" si="2977">BB113-W113</f>
        <v>1.4850938224045152E-2</v>
      </c>
      <c r="BD113" s="247">
        <f t="shared" ref="BD113:BD114" si="2978">AX113+BB113</f>
        <v>56.041022254079039</v>
      </c>
      <c r="BE113" s="211">
        <v>1362.4849999999999</v>
      </c>
      <c r="BF113" s="247">
        <f t="shared" si="2797"/>
        <v>45.416166666666662</v>
      </c>
      <c r="BG113" s="211">
        <v>990.56200000000001</v>
      </c>
      <c r="BH113" s="211">
        <v>80.576999999999998</v>
      </c>
      <c r="BI113" s="190">
        <f t="shared" ref="BI113:BI114" si="2979">BG113*2/BF113</f>
        <v>43.621559136430868</v>
      </c>
      <c r="BJ113" s="190">
        <f t="shared" ref="BJ113:BJ114" si="2980">BI113-J113</f>
        <v>-0.44748926497749864</v>
      </c>
      <c r="BK113" s="211">
        <v>533.63400000000001</v>
      </c>
      <c r="BL113" s="211">
        <v>265.95100000000002</v>
      </c>
      <c r="BM113" s="190">
        <f t="shared" ref="BM113:BM119" si="2981">BK113/BF113</f>
        <v>11.749868805895112</v>
      </c>
      <c r="BN113" s="190">
        <f t="shared" ref="BN113:BN119" si="2982">BM113-W113</f>
        <v>-8.1335698574447335E-2</v>
      </c>
      <c r="BO113" s="247">
        <f t="shared" si="2945"/>
        <v>55.37142794232598</v>
      </c>
      <c r="BP113" s="211">
        <v>1081.8520000000001</v>
      </c>
      <c r="BQ113" s="247">
        <f t="shared" si="2802"/>
        <v>36.061733333333336</v>
      </c>
      <c r="BR113" s="211">
        <v>805.85699999999997</v>
      </c>
      <c r="BS113" s="211">
        <v>55.662999999999997</v>
      </c>
      <c r="BT113" s="190">
        <f t="shared" ref="BT113:BT119" si="2983">BR113*2/BQ113</f>
        <v>44.693192784225566</v>
      </c>
      <c r="BU113" s="190">
        <f t="shared" ref="BU113:BU119" si="2984">BT113-J113</f>
        <v>0.62414438281719953</v>
      </c>
      <c r="BV113" s="211">
        <v>427.65100000000001</v>
      </c>
      <c r="BW113" s="211">
        <v>204.52699999999999</v>
      </c>
      <c r="BX113" s="190">
        <f t="shared" ref="BX113:BX114" si="2985">BV113/BQ113</f>
        <v>11.858858697862553</v>
      </c>
      <c r="BY113" s="190">
        <f t="shared" ref="BY113:BY114" si="2986">BX113-W113</f>
        <v>2.7654193392994131E-2</v>
      </c>
      <c r="BZ113" s="194">
        <f t="shared" ref="BZ113:BZ114" si="2987">BT113+BX113</f>
        <v>56.552051482088117</v>
      </c>
      <c r="CA113" s="211">
        <v>614.553</v>
      </c>
      <c r="CB113" s="247">
        <f t="shared" si="2808"/>
        <v>20.485099999999999</v>
      </c>
      <c r="CC113" s="211">
        <v>448.37400000000002</v>
      </c>
      <c r="CD113" s="211">
        <v>25.789000000000001</v>
      </c>
      <c r="CE113" s="190">
        <f t="shared" ref="CE113:CE114" si="2988">CC113*2/CB113</f>
        <v>43.77562228156075</v>
      </c>
      <c r="CF113" s="190">
        <f t="shared" ref="CF113:CF123" si="2989">CE113-J113</f>
        <v>-0.29342611984761646</v>
      </c>
      <c r="CG113" s="211">
        <v>243.43299999999999</v>
      </c>
      <c r="CH113" s="211">
        <v>59.688000000000002</v>
      </c>
      <c r="CI113" s="190">
        <f t="shared" ref="CI113:CI114" si="2990">CG113/CB113</f>
        <v>11.883417703599202</v>
      </c>
      <c r="CJ113" s="190">
        <f t="shared" ref="CJ113:CJ114" si="2991">CI113-W113</f>
        <v>5.2213199129642618E-2</v>
      </c>
      <c r="CK113" s="194">
        <f t="shared" ref="CK113:CK119" si="2992">CI113+CE113</f>
        <v>55.65903998515995</v>
      </c>
      <c r="CL113" s="211">
        <v>825.94</v>
      </c>
      <c r="CM113" s="247">
        <f t="shared" si="2814"/>
        <v>27.531333333333336</v>
      </c>
      <c r="CN113" s="211">
        <v>614.24800000000005</v>
      </c>
      <c r="CO113" s="211">
        <v>34.716999999999999</v>
      </c>
      <c r="CP113" s="190">
        <f t="shared" ref="CP113:CP114" si="2993">CN113*2/CM113</f>
        <v>44.621740077971765</v>
      </c>
      <c r="CQ113" s="190">
        <f t="shared" ref="CQ113:CQ114" si="2994">CP113-J113</f>
        <v>0.55269167656339846</v>
      </c>
      <c r="CR113" s="211">
        <v>322.92500000000001</v>
      </c>
      <c r="CS113" s="211">
        <v>125.446</v>
      </c>
      <c r="CT113" s="190">
        <f t="shared" ref="CT113:CT114" si="2995">CR113/CM113</f>
        <v>11.729362907717267</v>
      </c>
      <c r="CU113" s="190">
        <f t="shared" ref="CU113:CU114" si="2996">CT113-W113</f>
        <v>-0.10184159675229232</v>
      </c>
      <c r="CV113" s="247">
        <f t="shared" ref="CV113:CV114" si="2997">CP113+CT113</f>
        <v>56.351102985689032</v>
      </c>
      <c r="CW113" s="163"/>
      <c r="CX113" s="238">
        <f t="shared" si="2820"/>
        <v>0</v>
      </c>
      <c r="CY113" s="238">
        <f t="shared" si="2821"/>
        <v>0</v>
      </c>
      <c r="CZ113" s="238">
        <f t="shared" si="2822"/>
        <v>0</v>
      </c>
      <c r="DA113" s="238">
        <f t="shared" si="2823"/>
        <v>0</v>
      </c>
      <c r="DB113" s="238">
        <f t="shared" si="2824"/>
        <v>0</v>
      </c>
      <c r="DC113" s="238">
        <f t="shared" si="2825"/>
        <v>0</v>
      </c>
      <c r="DD113" s="163"/>
      <c r="DE113" s="200">
        <v>143.46899999999999</v>
      </c>
      <c r="DF113" s="200">
        <v>83.245999999999995</v>
      </c>
      <c r="DG113" s="200">
        <v>24.891999999999999</v>
      </c>
      <c r="DH113" s="191">
        <f t="shared" si="2826"/>
        <v>0.58023684559033661</v>
      </c>
      <c r="DI113" s="197">
        <v>116.521</v>
      </c>
      <c r="DJ113" s="191">
        <f t="shared" si="2827"/>
        <v>0.406084241194962</v>
      </c>
      <c r="DK113" s="197">
        <v>119.536</v>
      </c>
      <c r="DL113" s="197">
        <v>115.154</v>
      </c>
      <c r="DM113" s="191">
        <f t="shared" si="2828"/>
        <v>3.6658412528443374E-2</v>
      </c>
      <c r="DN113" s="200">
        <v>117.529</v>
      </c>
      <c r="DO113" s="200">
        <v>51.295999999999999</v>
      </c>
      <c r="DP113" s="200">
        <v>94.71</v>
      </c>
      <c r="DQ113" s="200">
        <f t="shared" ref="DQ113:DQ114" si="2998">DP113+DO113</f>
        <v>146.006</v>
      </c>
      <c r="DR113" s="191">
        <f t="shared" ref="DR113:DR114" si="2999">DJ113+DH113</f>
        <v>0.98632108678529862</v>
      </c>
      <c r="DS113" s="199">
        <f t="shared" si="2925"/>
        <v>1.0258751641335038</v>
      </c>
      <c r="DT113" s="200">
        <v>99.61</v>
      </c>
      <c r="DU113" s="202">
        <v>45.679000000000002</v>
      </c>
      <c r="DV113" s="200">
        <v>26.065999999999999</v>
      </c>
      <c r="DW113" s="191">
        <f t="shared" si="1537"/>
        <v>0.45857845597831548</v>
      </c>
      <c r="DX113" s="197">
        <v>28.123000000000001</v>
      </c>
      <c r="DY113" s="191">
        <f t="shared" si="2832"/>
        <v>0.141165545627949</v>
      </c>
      <c r="DZ113" s="197">
        <v>31.696000000000002</v>
      </c>
      <c r="EA113" s="197">
        <v>30.853999999999999</v>
      </c>
      <c r="EB113" s="191">
        <f t="shared" si="2836"/>
        <v>2.6564866229177309E-2</v>
      </c>
      <c r="EC113" s="200">
        <v>35.612000000000002</v>
      </c>
      <c r="ED113" s="206">
        <f t="shared" si="2833"/>
        <v>27.5</v>
      </c>
      <c r="EE113" s="200">
        <v>41.66</v>
      </c>
      <c r="EF113" s="205">
        <f t="shared" ref="EF113:EF120" si="3000">EE113+ED113</f>
        <v>69.16</v>
      </c>
      <c r="EG113" s="191">
        <f t="shared" ref="EG113:EG120" si="3001">DY113+DW113</f>
        <v>0.59974400160626451</v>
      </c>
      <c r="EJ113" s="202">
        <f t="shared" si="2880"/>
        <v>12.362965591397849</v>
      </c>
      <c r="EK113" s="202">
        <f>'NOPA Crush'!B538*56/('NOPA Crush'!A538-'NOPA Crush'!A537)</f>
        <v>13.221899001194744</v>
      </c>
      <c r="EL113" s="203">
        <f t="shared" si="1451"/>
        <v>0.93503706164150235</v>
      </c>
      <c r="EM113" s="202">
        <f t="shared" si="1406"/>
        <v>4.6280322580645157</v>
      </c>
      <c r="EN113" s="202">
        <f t="shared" si="1407"/>
        <v>6.4264516129032261E-3</v>
      </c>
      <c r="EO113" s="202">
        <f t="shared" si="1452"/>
        <v>16.997424301075267</v>
      </c>
    </row>
    <row r="114" spans="1:145">
      <c r="A114" s="157">
        <v>45444</v>
      </c>
      <c r="B114" s="186">
        <v>5504.777</v>
      </c>
      <c r="C114" s="187">
        <f t="shared" ref="C114" si="3002">B114/30</f>
        <v>183.49256666666668</v>
      </c>
      <c r="D114" s="247">
        <f>C114-'NOPA Crush'!G539</f>
        <v>7.8935666666666862</v>
      </c>
      <c r="E114" s="188">
        <f>C114/'NOPA Crush'!G539-1</f>
        <v>4.4952230175950181E-2</v>
      </c>
      <c r="F114" s="189">
        <v>4050.9110000000001</v>
      </c>
      <c r="G114" s="189">
        <v>3991.2420000000002</v>
      </c>
      <c r="H114" s="189">
        <v>59.668999999999997</v>
      </c>
      <c r="I114" s="189">
        <v>432.53399999999999</v>
      </c>
      <c r="J114" s="190">
        <f t="shared" si="2966"/>
        <v>44.153407122577356</v>
      </c>
      <c r="K114" s="190">
        <f t="shared" si="2967"/>
        <v>47.202784054649264</v>
      </c>
      <c r="L114" s="190">
        <f>K114-'NOPA Crush'!J539</f>
        <v>0.11278405464926067</v>
      </c>
      <c r="M114" s="189">
        <v>279.76900000000001</v>
      </c>
      <c r="N114" s="189">
        <v>60.280999999999999</v>
      </c>
      <c r="O114" s="189">
        <v>2182.25</v>
      </c>
      <c r="P114" s="189">
        <v>1680.7840000000001</v>
      </c>
      <c r="Q114" s="189">
        <v>955.75699999999995</v>
      </c>
      <c r="R114" s="189">
        <v>241.79900000000001</v>
      </c>
      <c r="S114" s="189">
        <v>483.22800000000001</v>
      </c>
      <c r="T114" s="189">
        <v>444.20699999999999</v>
      </c>
      <c r="U114" s="189">
        <f>(P114+T114)-'NOPA Crush'!Q539</f>
        <v>502.72199999999998</v>
      </c>
      <c r="V114" s="191">
        <f>((P114+T114)/'NOPA Crush'!Q539)-1</f>
        <v>0.30988818747075864</v>
      </c>
      <c r="W114" s="190">
        <f t="shared" si="2968"/>
        <v>11.892852335344374</v>
      </c>
      <c r="X114" s="190">
        <f>W114-'NOPA Crush'!O539</f>
        <v>2.8523353443734578E-3</v>
      </c>
      <c r="Y114" s="190">
        <f t="shared" si="2930"/>
        <v>59.095636389993636</v>
      </c>
      <c r="Z114" s="211">
        <v>1767.309</v>
      </c>
      <c r="AA114" s="211">
        <v>1725.4860000000001</v>
      </c>
      <c r="AB114" s="191">
        <f t="shared" si="2784"/>
        <v>2.366479206522451E-2</v>
      </c>
      <c r="AC114" s="344">
        <f>FORECAST(AF114,AC90:AC113,AF90:AF113)</f>
        <v>177.0508692907087</v>
      </c>
      <c r="AD114" s="211">
        <v>1737.4760000000001</v>
      </c>
      <c r="AE114" s="211">
        <v>1191.434</v>
      </c>
      <c r="AF114" s="211">
        <v>546.04200000000003</v>
      </c>
      <c r="AG114" s="191">
        <f t="shared" si="1322"/>
        <v>6.9487668981376149E-3</v>
      </c>
      <c r="AI114" s="211">
        <v>609.36099999999999</v>
      </c>
      <c r="AJ114" s="247">
        <f t="shared" si="2785"/>
        <v>20.312033333333332</v>
      </c>
      <c r="AK114" s="211">
        <v>445.52100000000002</v>
      </c>
      <c r="AL114" s="211">
        <v>45.444000000000003</v>
      </c>
      <c r="AM114" s="190">
        <f t="shared" si="2969"/>
        <v>43.867690909001404</v>
      </c>
      <c r="AN114" s="190">
        <f t="shared" si="2970"/>
        <v>-0.28571621357595234</v>
      </c>
      <c r="AO114" s="211">
        <v>249.27799999999999</v>
      </c>
      <c r="AP114" s="211">
        <v>127.905</v>
      </c>
      <c r="AQ114" s="190">
        <f t="shared" si="2971"/>
        <v>12.27242964351181</v>
      </c>
      <c r="AR114" s="190">
        <f t="shared" si="2972"/>
        <v>0.37957730816743585</v>
      </c>
      <c r="AS114" s="190">
        <f t="shared" si="2973"/>
        <v>56.14012055251321</v>
      </c>
      <c r="AT114" s="211">
        <v>1040.748</v>
      </c>
      <c r="AU114" s="247">
        <f t="shared" si="2791"/>
        <v>34.691600000000001</v>
      </c>
      <c r="AV114" s="211">
        <v>773.79700000000003</v>
      </c>
      <c r="AW114" s="211">
        <v>78.426000000000002</v>
      </c>
      <c r="AX114" s="190">
        <f t="shared" si="2974"/>
        <v>44.610049695027037</v>
      </c>
      <c r="AY114" s="190">
        <f t="shared" si="2975"/>
        <v>0.45664257244968098</v>
      </c>
      <c r="AZ114" s="211">
        <v>417.75</v>
      </c>
      <c r="BA114" s="211">
        <v>149.37</v>
      </c>
      <c r="BB114" s="190">
        <f t="shared" si="2976"/>
        <v>12.041819921825455</v>
      </c>
      <c r="BC114" s="190">
        <f t="shared" si="2977"/>
        <v>0.14896758648108133</v>
      </c>
      <c r="BD114" s="247">
        <f t="shared" si="2978"/>
        <v>56.651869616852494</v>
      </c>
      <c r="BE114" s="211">
        <v>1264.3230000000001</v>
      </c>
      <c r="BF114" s="247">
        <f t="shared" si="2797"/>
        <v>42.144100000000002</v>
      </c>
      <c r="BG114" s="211">
        <v>930.76099999999997</v>
      </c>
      <c r="BH114" s="211">
        <v>98.373000000000005</v>
      </c>
      <c r="BI114" s="190">
        <f t="shared" si="2979"/>
        <v>44.170405821929997</v>
      </c>
      <c r="BJ114" s="190">
        <f t="shared" si="2980"/>
        <v>1.6998699352640756E-2</v>
      </c>
      <c r="BK114" s="211">
        <v>498.73500000000001</v>
      </c>
      <c r="BL114" s="211">
        <v>268.06700000000001</v>
      </c>
      <c r="BM114" s="190">
        <f t="shared" si="2981"/>
        <v>11.834040826592572</v>
      </c>
      <c r="BN114" s="190">
        <f t="shared" si="2982"/>
        <v>-5.8811508751801966E-2</v>
      </c>
      <c r="BO114" s="247">
        <f t="shared" si="2945"/>
        <v>56.004446648522567</v>
      </c>
      <c r="BP114" s="211">
        <v>1069.796</v>
      </c>
      <c r="BQ114" s="247">
        <f t="shared" si="2802"/>
        <v>35.659866666666666</v>
      </c>
      <c r="BR114" s="211">
        <v>787.28399999999999</v>
      </c>
      <c r="BS114" s="211">
        <v>67.090999999999994</v>
      </c>
      <c r="BT114" s="190">
        <f t="shared" si="2983"/>
        <v>44.155184726807725</v>
      </c>
      <c r="BU114" s="190">
        <f t="shared" si="2984"/>
        <v>1.7776042303694339E-3</v>
      </c>
      <c r="BV114" s="211">
        <v>422.22199999999998</v>
      </c>
      <c r="BW114" s="211">
        <v>199.256</v>
      </c>
      <c r="BX114" s="190">
        <f t="shared" si="2985"/>
        <v>11.840257394867805</v>
      </c>
      <c r="BY114" s="190">
        <f t="shared" si="2986"/>
        <v>-5.2594940476568652E-2</v>
      </c>
      <c r="BZ114" s="194">
        <f t="shared" si="2987"/>
        <v>55.995442121675531</v>
      </c>
      <c r="CA114" s="211">
        <v>675.59699999999998</v>
      </c>
      <c r="CB114" s="247">
        <f t="shared" si="2808"/>
        <v>22.5199</v>
      </c>
      <c r="CC114" s="211">
        <v>490.69400000000002</v>
      </c>
      <c r="CD114" s="211">
        <v>85.436999999999998</v>
      </c>
      <c r="CE114" s="190">
        <f t="shared" si="2988"/>
        <v>43.578701504003128</v>
      </c>
      <c r="CF114" s="190">
        <f t="shared" si="2989"/>
        <v>-0.57470561857422808</v>
      </c>
      <c r="CG114" s="211">
        <v>263.61799999999999</v>
      </c>
      <c r="CH114" s="211">
        <v>74.381</v>
      </c>
      <c r="CI114" s="190">
        <f t="shared" si="2990"/>
        <v>11.70600224690163</v>
      </c>
      <c r="CJ114" s="190">
        <f t="shared" si="2991"/>
        <v>-0.18685008844274442</v>
      </c>
      <c r="CK114" s="194">
        <f t="shared" si="2992"/>
        <v>55.284703750904754</v>
      </c>
      <c r="CL114" s="211">
        <v>844.952</v>
      </c>
      <c r="CM114" s="247">
        <f t="shared" si="2814"/>
        <v>28.165066666666668</v>
      </c>
      <c r="CN114" s="211">
        <v>627.17999999999995</v>
      </c>
      <c r="CO114" s="211">
        <v>57.81</v>
      </c>
      <c r="CP114" s="190">
        <f t="shared" si="2993"/>
        <v>44.536020981073477</v>
      </c>
      <c r="CQ114" s="190">
        <f t="shared" si="2994"/>
        <v>0.3826138584961214</v>
      </c>
      <c r="CR114" s="211">
        <v>332.012</v>
      </c>
      <c r="CS114" s="211">
        <v>136.78800000000001</v>
      </c>
      <c r="CT114" s="190">
        <f t="shared" si="2995"/>
        <v>11.788077902650091</v>
      </c>
      <c r="CU114" s="190">
        <f t="shared" si="2996"/>
        <v>-0.10477443269428299</v>
      </c>
      <c r="CV114" s="247">
        <f t="shared" si="2997"/>
        <v>56.324098883723565</v>
      </c>
      <c r="CW114" s="163"/>
      <c r="CX114" s="238">
        <f t="shared" ref="CX114:CX126" si="3003">C114-AJ114-AU114-BF114-BQ114-CB114-CM114</f>
        <v>0</v>
      </c>
      <c r="CY114" s="238">
        <f t="shared" ref="CY114:CY126" si="3004">F114-AK114-AV114-BG114-BR114-CC114-CN114</f>
        <v>-4.3260000000001355</v>
      </c>
      <c r="CZ114" s="238">
        <f t="shared" ref="CZ114:CZ126" si="3005">I114-AL114-AW114-BH114-BS114-CD114-CO114</f>
        <v>-4.7000000000011255E-2</v>
      </c>
      <c r="DA114" s="238">
        <f t="shared" ref="DA114:DA126" si="3006">O114-AO114-AZ114-BK114-BV114-CG114-CR114</f>
        <v>-1.3650000000000091</v>
      </c>
      <c r="DB114" s="238">
        <f t="shared" ref="DB114:DB126" si="3007">Q114-AP114-BA114-BL114-BW114-CH114-CS114</f>
        <v>-1.0000000000047748E-2</v>
      </c>
      <c r="DC114" s="238">
        <f t="shared" ref="DC114:DC126" si="3008">P114-Q114-R114-S114</f>
        <v>0</v>
      </c>
      <c r="DD114" s="163"/>
      <c r="DE114" s="200">
        <v>196.864</v>
      </c>
      <c r="DF114" s="200">
        <v>116.434</v>
      </c>
      <c r="DG114" s="200">
        <v>30.53</v>
      </c>
      <c r="DH114" s="191">
        <f t="shared" si="2826"/>
        <v>0.59144383940182055</v>
      </c>
      <c r="DI114" s="197">
        <v>159.16399999999999</v>
      </c>
      <c r="DJ114" s="191">
        <f t="shared" si="2827"/>
        <v>0.40424861833550063</v>
      </c>
      <c r="DK114" s="197">
        <v>150.87100000000001</v>
      </c>
      <c r="DL114" s="197">
        <v>146.846</v>
      </c>
      <c r="DM114" s="191">
        <f t="shared" si="2828"/>
        <v>2.6678420637498257E-2</v>
      </c>
      <c r="DN114" s="200">
        <v>147.79599999999999</v>
      </c>
      <c r="DO114" s="200">
        <v>53.292000000000002</v>
      </c>
      <c r="DP114" s="200">
        <v>91.983000000000004</v>
      </c>
      <c r="DQ114" s="200">
        <f t="shared" si="2998"/>
        <v>145.27500000000001</v>
      </c>
      <c r="DR114" s="191">
        <f t="shared" si="2999"/>
        <v>0.99569245773732118</v>
      </c>
      <c r="DS114" s="199">
        <f t="shared" si="2925"/>
        <v>0.94789650926088831</v>
      </c>
      <c r="DT114" s="200">
        <v>76.152000000000001</v>
      </c>
      <c r="DU114" s="202">
        <v>33.677</v>
      </c>
      <c r="DV114" s="200">
        <v>28.965</v>
      </c>
      <c r="DW114" s="191">
        <f t="shared" si="1537"/>
        <v>0.4422339531463389</v>
      </c>
      <c r="DX114" s="197">
        <v>19.614000000000001</v>
      </c>
      <c r="DY114" s="191">
        <f t="shared" si="2832"/>
        <v>0.12878190986448157</v>
      </c>
      <c r="DZ114" s="197">
        <v>30.94</v>
      </c>
      <c r="EA114" s="197">
        <v>30.125</v>
      </c>
      <c r="EB114" s="191">
        <f t="shared" si="2836"/>
        <v>2.6341305753070476E-2</v>
      </c>
      <c r="EC114" s="200">
        <v>33.526000000000003</v>
      </c>
      <c r="ED114" s="206">
        <f t="shared" si="2833"/>
        <v>27.5</v>
      </c>
      <c r="EE114" s="200">
        <v>36.372999999999998</v>
      </c>
      <c r="EF114" s="205">
        <f t="shared" si="3000"/>
        <v>63.872999999999998</v>
      </c>
      <c r="EG114" s="191">
        <f t="shared" si="3001"/>
        <v>0.57101586301082041</v>
      </c>
      <c r="EJ114" s="202">
        <f t="shared" si="2880"/>
        <v>12.232837777777778</v>
      </c>
      <c r="EK114" s="202">
        <f>'NOPA Crush'!B539*56/('NOPA Crush'!A539-'NOPA Crush'!A538)</f>
        <v>12.972296080471732</v>
      </c>
      <c r="EL114" s="203">
        <f t="shared" si="1451"/>
        <v>0.94299711492037852</v>
      </c>
      <c r="EM114" s="202">
        <f t="shared" si="1406"/>
        <v>6.5621333333333336</v>
      </c>
      <c r="EN114" s="202">
        <f t="shared" si="1407"/>
        <v>5.0768000000000002E-3</v>
      </c>
      <c r="EO114" s="202">
        <f t="shared" si="1452"/>
        <v>18.800047911111111</v>
      </c>
    </row>
    <row r="115" spans="1:145">
      <c r="A115" s="157">
        <v>45474</v>
      </c>
      <c r="B115" s="186">
        <v>5798.2340000000004</v>
      </c>
      <c r="C115" s="187">
        <f t="shared" ref="C115:C120" si="3009">B115/30</f>
        <v>193.27446666666668</v>
      </c>
      <c r="D115" s="247">
        <f>C115-'NOPA Crush'!G540</f>
        <v>10.393466666666683</v>
      </c>
      <c r="E115" s="188">
        <f>C115/'NOPA Crush'!G540-1</f>
        <v>5.683185605211416E-2</v>
      </c>
      <c r="F115" s="189">
        <v>4266.5479999999998</v>
      </c>
      <c r="G115" s="189">
        <v>4214.7219999999998</v>
      </c>
      <c r="H115" s="189">
        <v>51.826000000000001</v>
      </c>
      <c r="I115" s="189">
        <v>508.74599999999998</v>
      </c>
      <c r="J115" s="190">
        <f t="shared" ref="J115:J117" si="3010">F115*2/C115</f>
        <v>44.150146406647259</v>
      </c>
      <c r="K115" s="190">
        <f t="shared" ref="K115" si="3011">(F115+M115)*2/C115</f>
        <v>47.069383539884726</v>
      </c>
      <c r="L115" s="190">
        <f>K115-'NOPA Crush'!J540</f>
        <v>5.9383539884727554E-2</v>
      </c>
      <c r="M115" s="189">
        <v>282.10700000000003</v>
      </c>
      <c r="N115" s="189">
        <v>33.709000000000003</v>
      </c>
      <c r="O115" s="189">
        <v>2303.0819999999999</v>
      </c>
      <c r="P115" s="189">
        <v>1499.789</v>
      </c>
      <c r="Q115" s="189">
        <v>807.05100000000004</v>
      </c>
      <c r="R115" s="189">
        <v>279.67200000000003</v>
      </c>
      <c r="S115" s="189">
        <v>413.06599999999997</v>
      </c>
      <c r="T115" s="189">
        <v>508.74599999999998</v>
      </c>
      <c r="U115" s="189">
        <f>(P115+T115)-'NOPA Crush'!Q540</f>
        <v>509.38099999999986</v>
      </c>
      <c r="V115" s="191">
        <f>((P115+T115)/'NOPA Crush'!Q540)-1</f>
        <v>0.33977896867166413</v>
      </c>
      <c r="W115" s="190">
        <f t="shared" ref="W115:W116" si="3012">O115/C115</f>
        <v>11.916121356951098</v>
      </c>
      <c r="X115" s="190">
        <f>W115-'NOPA Crush'!O540</f>
        <v>-2.3878643048901083E-2</v>
      </c>
      <c r="Y115" s="190">
        <f t="shared" ref="Y115:Y116" si="3013">K115+W115</f>
        <v>58.98550489683582</v>
      </c>
      <c r="Z115" s="211">
        <v>1915.183</v>
      </c>
      <c r="AA115" s="211">
        <v>1881.5129999999999</v>
      </c>
      <c r="AB115" s="191">
        <f t="shared" si="2784"/>
        <v>1.7580565408109865E-2</v>
      </c>
      <c r="AC115" s="344">
        <f>FORECAST(AF115,AC91:AC114,AF91:AF114)</f>
        <v>179.01259322605989</v>
      </c>
      <c r="AD115" s="211">
        <v>1818.02</v>
      </c>
      <c r="AE115" s="211">
        <v>1259.8969999999999</v>
      </c>
      <c r="AF115" s="211">
        <v>558.12300000000005</v>
      </c>
      <c r="AG115" s="191">
        <f t="shared" si="1322"/>
        <v>-3.3745714220417278E-2</v>
      </c>
      <c r="AI115" s="211">
        <v>588.14099999999996</v>
      </c>
      <c r="AJ115" s="247">
        <f t="shared" ref="AJ115:AJ120" si="3014">AI115/30</f>
        <v>19.604699999999998</v>
      </c>
      <c r="AK115" s="211">
        <v>431.26100000000002</v>
      </c>
      <c r="AL115" s="340">
        <f>I115-AW115-BH115-BS115-CD115-CO115</f>
        <v>177.30887166665156</v>
      </c>
      <c r="AM115" s="190">
        <f t="shared" ref="AM115:AM120" si="3015">AK115*2/AJ115</f>
        <v>43.995674506623416</v>
      </c>
      <c r="AN115" s="190">
        <f t="shared" ref="AN115:AN120" si="3016">AM115-J115</f>
        <v>-0.15447190002384303</v>
      </c>
      <c r="AO115" s="211">
        <v>239.78299999999999</v>
      </c>
      <c r="AP115" s="211">
        <v>127.739</v>
      </c>
      <c r="AQ115" s="190">
        <f t="shared" ref="AQ115:AQ120" si="3017">AO115/AJ115</f>
        <v>12.230893612246044</v>
      </c>
      <c r="AR115" s="190">
        <f t="shared" ref="AR115:AR120" si="3018">AQ115-W115</f>
        <v>0.31477225529494568</v>
      </c>
      <c r="AS115" s="190">
        <f t="shared" ref="AS115:AS120" si="3019">AM115+AQ115</f>
        <v>56.226568118869459</v>
      </c>
      <c r="AT115" s="211">
        <v>1262.1869999999999</v>
      </c>
      <c r="AU115" s="247">
        <f t="shared" si="2791"/>
        <v>42.072899999999997</v>
      </c>
      <c r="AV115" s="211">
        <v>934.34</v>
      </c>
      <c r="AW115" s="249">
        <v>70.117999999999995</v>
      </c>
      <c r="AX115" s="190">
        <f t="shared" ref="AX115:AX120" si="3020">AV115*2/AU115</f>
        <v>44.415288701278023</v>
      </c>
      <c r="AY115" s="190">
        <f t="shared" ref="AY115:AY120" si="3021">AX115-J115</f>
        <v>0.26514229463076333</v>
      </c>
      <c r="AZ115" s="211">
        <v>504.63499999999999</v>
      </c>
      <c r="BA115" s="211">
        <v>100.76900000000001</v>
      </c>
      <c r="BB115" s="190">
        <f t="shared" ref="BB115:BB120" si="3022">AZ115/AU115</f>
        <v>11.994300369121216</v>
      </c>
      <c r="BC115" s="190">
        <f t="shared" ref="BC115:BC120" si="3023">BB115-W115</f>
        <v>7.8179012170117801E-2</v>
      </c>
      <c r="BD115" s="247">
        <f t="shared" ref="BD115:BD120" si="3024">AX115+BB115</f>
        <v>56.409589070399235</v>
      </c>
      <c r="BE115" s="211">
        <v>1313.0129999999999</v>
      </c>
      <c r="BF115" s="247">
        <f t="shared" si="2797"/>
        <v>43.767099999999999</v>
      </c>
      <c r="BG115" s="211">
        <v>962.38</v>
      </c>
      <c r="BH115" s="249">
        <v>104.92100000000001</v>
      </c>
      <c r="BI115" s="190">
        <f t="shared" ref="BI115:BI120" si="3025">BG115*2/BF115</f>
        <v>43.977325433944678</v>
      </c>
      <c r="BJ115" s="190">
        <f t="shared" ref="BJ115:BJ120" si="3026">BI115-J115</f>
        <v>-0.17282097270258134</v>
      </c>
      <c r="BK115" s="211">
        <v>512.97699999999998</v>
      </c>
      <c r="BL115" s="211">
        <v>220.815</v>
      </c>
      <c r="BM115" s="190">
        <f t="shared" si="2981"/>
        <v>11.720607488273155</v>
      </c>
      <c r="BN115" s="190">
        <f t="shared" si="2982"/>
        <v>-0.19551386867794385</v>
      </c>
      <c r="BO115" s="247">
        <f t="shared" si="2945"/>
        <v>55.697932922217831</v>
      </c>
      <c r="BP115" s="211">
        <v>1065.7190000000001</v>
      </c>
      <c r="BQ115" s="247">
        <f t="shared" si="2802"/>
        <v>35.523966666666666</v>
      </c>
      <c r="BR115" s="211">
        <v>782.01</v>
      </c>
      <c r="BS115" s="211">
        <v>61.561</v>
      </c>
      <c r="BT115" s="190">
        <f t="shared" si="2983"/>
        <v>44.027177895861854</v>
      </c>
      <c r="BU115" s="190">
        <f t="shared" si="2984"/>
        <v>-0.12296851078540527</v>
      </c>
      <c r="BV115" s="211">
        <v>423.053</v>
      </c>
      <c r="BW115" s="211">
        <v>185.21</v>
      </c>
      <c r="BX115" s="190">
        <f t="shared" ref="BX115:BX119" si="3027">BV115/BQ115</f>
        <v>11.90894597919339</v>
      </c>
      <c r="BY115" s="190">
        <f t="shared" ref="BY115:BY119" si="3028">BX115-W115</f>
        <v>-7.1753777577079347E-3</v>
      </c>
      <c r="BZ115" s="194">
        <f t="shared" ref="BZ115:BZ120" si="3029">BT115+BX115</f>
        <v>55.936123875055245</v>
      </c>
      <c r="CA115" s="211">
        <v>649.65300000000002</v>
      </c>
      <c r="CB115" s="247">
        <f t="shared" si="2808"/>
        <v>21.655100000000001</v>
      </c>
      <c r="CC115" s="211">
        <v>474.613</v>
      </c>
      <c r="CD115" s="249">
        <v>45.343000000000004</v>
      </c>
      <c r="CE115" s="190">
        <f t="shared" ref="CE115:CE119" si="3030">CC115*2/CB115</f>
        <v>43.833831291474063</v>
      </c>
      <c r="CF115" s="190">
        <f t="shared" si="2989"/>
        <v>-0.31631511517319666</v>
      </c>
      <c r="CG115" s="211">
        <v>254.976</v>
      </c>
      <c r="CH115" s="211">
        <v>52.826999999999998</v>
      </c>
      <c r="CI115" s="190">
        <f t="shared" ref="CI115:CI119" si="3031">CG115/CB115</f>
        <v>11.774408799774648</v>
      </c>
      <c r="CJ115" s="190">
        <f t="shared" ref="CJ115:CJ119" si="3032">CI115-W115</f>
        <v>-0.14171255717645082</v>
      </c>
      <c r="CK115" s="194">
        <f t="shared" si="2992"/>
        <v>55.60824009124871</v>
      </c>
      <c r="CL115" s="211">
        <v>919.52099999999996</v>
      </c>
      <c r="CM115" s="247">
        <f t="shared" si="2814"/>
        <v>30.650699999999997</v>
      </c>
      <c r="CN115" s="211">
        <v>681.94399999999996</v>
      </c>
      <c r="CO115" s="340">
        <f>FORECAST(CN115,CO88:CO114,CN88:CN114)</f>
        <v>49.494128333348456</v>
      </c>
      <c r="CP115" s="190">
        <f t="shared" ref="CP115:CP119" si="3033">CN115*2/CM115</f>
        <v>44.49777655975231</v>
      </c>
      <c r="CQ115" s="190">
        <f t="shared" ref="CQ115:CQ119" si="3034">CP115-J115</f>
        <v>0.34763015310505097</v>
      </c>
      <c r="CR115" s="211">
        <v>367.65800000000002</v>
      </c>
      <c r="CS115" s="249">
        <v>119.691</v>
      </c>
      <c r="CT115" s="190">
        <f t="shared" ref="CT115:CT119" si="3035">CR115/CM115</f>
        <v>11.9950930973844</v>
      </c>
      <c r="CU115" s="190">
        <f t="shared" ref="CU115:CU119" si="3036">CT115-W115</f>
        <v>7.8971740433301463E-2</v>
      </c>
      <c r="CV115" s="247">
        <f>CO116+CT115</f>
        <v>53.4700930973844</v>
      </c>
      <c r="CW115" s="163"/>
      <c r="CX115" s="238">
        <f t="shared" si="3003"/>
        <v>0</v>
      </c>
      <c r="CY115" s="238">
        <f t="shared" si="3004"/>
        <v>0</v>
      </c>
      <c r="CZ115" s="238">
        <f t="shared" si="3005"/>
        <v>0</v>
      </c>
      <c r="DA115" s="238">
        <f t="shared" si="3006"/>
        <v>0</v>
      </c>
      <c r="DB115" s="238">
        <f t="shared" si="3007"/>
        <v>0</v>
      </c>
      <c r="DC115" s="238">
        <f t="shared" si="3008"/>
        <v>0</v>
      </c>
      <c r="DD115" s="163"/>
      <c r="DE115" s="200">
        <v>230.51599999999999</v>
      </c>
      <c r="DF115" s="200">
        <v>130.988</v>
      </c>
      <c r="DG115" s="200">
        <v>27.428000000000001</v>
      </c>
      <c r="DH115" s="191">
        <f t="shared" si="2826"/>
        <v>0.56823821339950376</v>
      </c>
      <c r="DI115" s="197">
        <v>183.16200000000001</v>
      </c>
      <c r="DJ115" s="191">
        <f t="shared" si="2827"/>
        <v>0.39728695621995874</v>
      </c>
      <c r="DK115" s="197">
        <v>182.64599999999999</v>
      </c>
      <c r="DL115" s="197">
        <v>176.702</v>
      </c>
      <c r="DM115" s="191">
        <f t="shared" si="2828"/>
        <v>3.2543827951337478E-2</v>
      </c>
      <c r="DN115" s="200">
        <v>178.904</v>
      </c>
      <c r="DO115" s="200">
        <v>41.914000000000001</v>
      </c>
      <c r="DP115" s="200">
        <v>92.944999999999993</v>
      </c>
      <c r="DQ115" s="200">
        <f t="shared" ref="DQ115:DQ120" si="3037">DP115+DO115</f>
        <v>134.85899999999998</v>
      </c>
      <c r="DR115" s="191">
        <f t="shared" ref="DR115:DR120" si="3038">DJ115+DH115</f>
        <v>0.96552516961946244</v>
      </c>
      <c r="DS115" s="199">
        <f t="shared" si="2925"/>
        <v>0.9971828217643397</v>
      </c>
      <c r="DT115" s="200">
        <v>84.691000000000003</v>
      </c>
      <c r="DU115" s="202">
        <v>35.274999999999999</v>
      </c>
      <c r="DV115" s="200">
        <v>29.86</v>
      </c>
      <c r="DW115" s="191">
        <f t="shared" si="1537"/>
        <v>0.41651415144466353</v>
      </c>
      <c r="DX115" s="197">
        <v>22.231000000000002</v>
      </c>
      <c r="DY115" s="191">
        <f t="shared" si="2832"/>
        <v>0.13124771227166995</v>
      </c>
      <c r="DZ115" s="197">
        <v>34.067</v>
      </c>
      <c r="EA115" s="197">
        <v>32.847999999999999</v>
      </c>
      <c r="EB115" s="191">
        <f t="shared" si="2836"/>
        <v>3.5782428743358685E-2</v>
      </c>
      <c r="EC115" s="200">
        <v>36.671999999999997</v>
      </c>
      <c r="ED115" s="206">
        <f t="shared" si="2833"/>
        <v>25</v>
      </c>
      <c r="EE115" s="200">
        <v>33.121000000000002</v>
      </c>
      <c r="EF115" s="205">
        <f t="shared" si="3000"/>
        <v>58.121000000000002</v>
      </c>
      <c r="EG115" s="191">
        <f t="shared" si="3001"/>
        <v>0.54776186371633351</v>
      </c>
      <c r="EJ115" s="202">
        <f>(C115*2000/1000)/(A116-A115)</f>
        <v>12.469320430107528</v>
      </c>
      <c r="EK115" s="202">
        <f>'NOPA Crush'!B540*56/('NOPA Crush'!A540-'NOPA Crush'!A539)</f>
        <v>13.553341278181447</v>
      </c>
      <c r="EL115" s="203">
        <f t="shared" si="1451"/>
        <v>0.92001818401643831</v>
      </c>
      <c r="EM115" s="202">
        <f>DE115/($A116-$A115)</f>
        <v>7.4359999999999999</v>
      </c>
      <c r="EN115" s="202">
        <f>(DT115*2000/1000000)/($A116-$A115)</f>
        <v>5.4639354838709681E-3</v>
      </c>
      <c r="EO115" s="202">
        <f t="shared" si="1452"/>
        <v>19.9107843655914</v>
      </c>
    </row>
    <row r="116" spans="1:145">
      <c r="A116" s="157">
        <v>45505</v>
      </c>
      <c r="B116" s="186">
        <v>5026.6480000000001</v>
      </c>
      <c r="C116" s="187">
        <f t="shared" si="3009"/>
        <v>167.55493333333334</v>
      </c>
      <c r="D116" s="247">
        <f>C116-'NOPA Crush'!G541</f>
        <v>9.5469333333333282</v>
      </c>
      <c r="E116" s="188">
        <f>C116/'NOPA Crush'!G541-1</f>
        <v>6.0420569422645176E-2</v>
      </c>
      <c r="F116" s="189">
        <v>3705.1210000000001</v>
      </c>
      <c r="G116" s="189">
        <v>3647.4090000000001</v>
      </c>
      <c r="H116" s="189">
        <v>57.712000000000003</v>
      </c>
      <c r="I116" s="189">
        <v>318.49299999999999</v>
      </c>
      <c r="J116" s="190">
        <f t="shared" si="3010"/>
        <v>44.225746461657948</v>
      </c>
      <c r="K116" s="190">
        <f t="shared" ref="K116" si="3039">(F116+M116)*2/C116</f>
        <v>47.304856039253195</v>
      </c>
      <c r="L116" s="190">
        <f>K116-'NOPA Crush'!J541</f>
        <v>8.4856039253196514E-2</v>
      </c>
      <c r="M116" s="189">
        <v>257.95999999999998</v>
      </c>
      <c r="N116" s="189">
        <v>35.048999999999999</v>
      </c>
      <c r="O116" s="189">
        <v>1991.846</v>
      </c>
      <c r="P116" s="189">
        <v>1207.7180000000001</v>
      </c>
      <c r="Q116" s="189">
        <v>677.58299999999997</v>
      </c>
      <c r="R116" s="189">
        <v>206.78200000000001</v>
      </c>
      <c r="S116" s="189">
        <v>323.35300000000001</v>
      </c>
      <c r="T116" s="189">
        <v>421.71300000000002</v>
      </c>
      <c r="U116" s="189">
        <f>(P116+T116)-'NOPA Crush'!Q541</f>
        <v>491.03999999999996</v>
      </c>
      <c r="V116" s="191">
        <f>((P116+T116)/'NOPA Crush'!Q541)-1</f>
        <v>0.43134564486191462</v>
      </c>
      <c r="W116" s="190">
        <f t="shared" si="3012"/>
        <v>11.88771921168938</v>
      </c>
      <c r="X116" s="190">
        <f>W116-'NOPA Crush'!O541</f>
        <v>-3.2280788310620423E-2</v>
      </c>
      <c r="Y116" s="190">
        <f t="shared" si="3013"/>
        <v>59.192575250942575</v>
      </c>
      <c r="Z116" s="211">
        <v>1750.277</v>
      </c>
      <c r="AA116" s="211">
        <v>1713.6659999999999</v>
      </c>
      <c r="AB116" s="191">
        <f t="shared" si="2784"/>
        <v>2.091726052504838E-2</v>
      </c>
      <c r="AC116" s="344">
        <f>FORECAST(AF116,AC92:AC115,AF92:AF115)</f>
        <v>181.32444946509946</v>
      </c>
      <c r="AD116" s="211">
        <v>1799.0029999999999</v>
      </c>
      <c r="AE116" s="211">
        <v>1228.8699999999999</v>
      </c>
      <c r="AF116" s="211">
        <v>570.13300000000004</v>
      </c>
      <c r="AG116" s="191">
        <f t="shared" si="1322"/>
        <v>4.9797918614245651E-2</v>
      </c>
      <c r="AI116" s="211">
        <v>491.50599999999997</v>
      </c>
      <c r="AJ116" s="247">
        <f t="shared" si="3014"/>
        <v>16.383533333333332</v>
      </c>
      <c r="AK116" s="211">
        <v>359.97899999999998</v>
      </c>
      <c r="AL116" s="211">
        <v>39.274999999999999</v>
      </c>
      <c r="AM116" s="190">
        <f t="shared" si="3015"/>
        <v>43.944000683613226</v>
      </c>
      <c r="AN116" s="190">
        <f t="shared" si="3016"/>
        <v>-0.28174577804472278</v>
      </c>
      <c r="AO116" s="211">
        <v>201.20500000000001</v>
      </c>
      <c r="AP116" s="211">
        <v>78.259</v>
      </c>
      <c r="AQ116" s="190">
        <f t="shared" si="3017"/>
        <v>12.280928411860691</v>
      </c>
      <c r="AR116" s="190">
        <f t="shared" si="3018"/>
        <v>0.39320920017131122</v>
      </c>
      <c r="AS116" s="190">
        <f t="shared" si="3019"/>
        <v>56.224929095473918</v>
      </c>
      <c r="AT116" s="211">
        <v>1103.7470000000001</v>
      </c>
      <c r="AU116" s="247">
        <f t="shared" si="2791"/>
        <v>36.791566666666668</v>
      </c>
      <c r="AV116" s="211">
        <v>811.37</v>
      </c>
      <c r="AW116" s="211">
        <v>59.674999999999997</v>
      </c>
      <c r="AX116" s="190">
        <f t="shared" si="3020"/>
        <v>44.106303346690865</v>
      </c>
      <c r="AY116" s="190">
        <f t="shared" si="3021"/>
        <v>-0.11944311496708337</v>
      </c>
      <c r="AZ116" s="211">
        <v>439.59399999999999</v>
      </c>
      <c r="BA116" s="211">
        <v>93.915000000000006</v>
      </c>
      <c r="BB116" s="190">
        <f t="shared" si="3022"/>
        <v>11.948227265849873</v>
      </c>
      <c r="BC116" s="190">
        <f t="shared" si="3023"/>
        <v>6.050805416049343E-2</v>
      </c>
      <c r="BD116" s="247">
        <f t="shared" si="3024"/>
        <v>56.054530612540738</v>
      </c>
      <c r="BE116" s="211">
        <v>1043.663</v>
      </c>
      <c r="BF116" s="247">
        <f t="shared" si="2797"/>
        <v>34.788766666666668</v>
      </c>
      <c r="BG116" s="211">
        <v>767.20600000000002</v>
      </c>
      <c r="BH116" s="211">
        <v>70.549000000000007</v>
      </c>
      <c r="BI116" s="190">
        <f t="shared" si="3025"/>
        <v>44.106536305301617</v>
      </c>
      <c r="BJ116" s="190">
        <f t="shared" si="3026"/>
        <v>-0.11921015635633125</v>
      </c>
      <c r="BK116" s="211">
        <v>404.3</v>
      </c>
      <c r="BL116" s="211">
        <v>172.13399999999999</v>
      </c>
      <c r="BM116" s="190">
        <f t="shared" si="2981"/>
        <v>11.621567498320818</v>
      </c>
      <c r="BN116" s="190">
        <f t="shared" si="2982"/>
        <v>-0.26615171336856136</v>
      </c>
      <c r="BO116" s="247">
        <f t="shared" si="2945"/>
        <v>55.728103803622432</v>
      </c>
      <c r="BP116" s="211">
        <v>992.12099999999998</v>
      </c>
      <c r="BQ116" s="247">
        <f t="shared" si="2802"/>
        <v>33.070700000000002</v>
      </c>
      <c r="BR116" s="211">
        <v>737.51499999999999</v>
      </c>
      <c r="BS116" s="211">
        <v>58.807000000000002</v>
      </c>
      <c r="BT116" s="190">
        <f t="shared" si="2983"/>
        <v>44.602321692616115</v>
      </c>
      <c r="BU116" s="190">
        <f t="shared" si="2984"/>
        <v>0.37657523095816714</v>
      </c>
      <c r="BV116" s="211">
        <v>388.08199999999999</v>
      </c>
      <c r="BW116" s="211">
        <v>149.01300000000001</v>
      </c>
      <c r="BX116" s="190">
        <f t="shared" si="3027"/>
        <v>11.73491943019047</v>
      </c>
      <c r="BY116" s="190">
        <f t="shared" si="3028"/>
        <v>-0.15279978149890994</v>
      </c>
      <c r="BZ116" s="194">
        <f t="shared" si="3029"/>
        <v>56.337241122806589</v>
      </c>
      <c r="CA116" s="211">
        <v>621.99199999999996</v>
      </c>
      <c r="CB116" s="247">
        <f t="shared" si="2808"/>
        <v>20.733066666666666</v>
      </c>
      <c r="CC116" s="211">
        <v>447.32499999999999</v>
      </c>
      <c r="CD116" s="211">
        <v>48.712000000000003</v>
      </c>
      <c r="CE116" s="190">
        <f t="shared" si="3030"/>
        <v>43.150876538604997</v>
      </c>
      <c r="CF116" s="190">
        <f t="shared" si="2989"/>
        <v>-1.074869923052951</v>
      </c>
      <c r="CG116" s="211">
        <v>245.90799999999999</v>
      </c>
      <c r="CH116" s="211">
        <v>65.540999999999997</v>
      </c>
      <c r="CI116" s="190">
        <f t="shared" si="3031"/>
        <v>11.860667018225314</v>
      </c>
      <c r="CJ116" s="190">
        <f t="shared" si="3032"/>
        <v>-2.705219346406551E-2</v>
      </c>
      <c r="CK116" s="194">
        <f t="shared" si="2992"/>
        <v>55.011543556830311</v>
      </c>
      <c r="CL116" s="211">
        <v>773.61900000000003</v>
      </c>
      <c r="CM116" s="247">
        <f t="shared" si="2814"/>
        <v>25.787300000000002</v>
      </c>
      <c r="CN116" s="211">
        <v>581.726</v>
      </c>
      <c r="CO116" s="211">
        <v>41.475000000000001</v>
      </c>
      <c r="CP116" s="190">
        <f t="shared" si="3033"/>
        <v>45.117247637402905</v>
      </c>
      <c r="CQ116" s="190">
        <f t="shared" si="3034"/>
        <v>0.89150117574495624</v>
      </c>
      <c r="CR116" s="211">
        <v>312.75700000000001</v>
      </c>
      <c r="CS116" s="211">
        <v>118.721</v>
      </c>
      <c r="CT116" s="190">
        <f t="shared" si="3035"/>
        <v>12.128334490233565</v>
      </c>
      <c r="CU116" s="190">
        <f t="shared" si="3036"/>
        <v>0.24061527854418507</v>
      </c>
      <c r="CV116" s="247">
        <f t="shared" ref="CV116:CV119" si="3040">CP116+CT116</f>
        <v>57.245582127636467</v>
      </c>
      <c r="CW116" s="163"/>
      <c r="CX116" s="238">
        <f t="shared" si="3003"/>
        <v>0</v>
      </c>
      <c r="CY116" s="238">
        <f t="shared" si="3004"/>
        <v>0</v>
      </c>
      <c r="CZ116" s="238">
        <f t="shared" si="3005"/>
        <v>0</v>
      </c>
      <c r="DA116" s="238">
        <f t="shared" si="3006"/>
        <v>0</v>
      </c>
      <c r="DB116" s="238">
        <f t="shared" si="3007"/>
        <v>0</v>
      </c>
      <c r="DC116" s="238">
        <f t="shared" si="3008"/>
        <v>0</v>
      </c>
      <c r="DD116" s="163"/>
      <c r="DE116" s="200">
        <v>198.572</v>
      </c>
      <c r="DF116" s="200">
        <v>116.938</v>
      </c>
      <c r="DG116" s="200">
        <v>28.245999999999999</v>
      </c>
      <c r="DH116" s="191">
        <f t="shared" si="2826"/>
        <v>0.58889470821666701</v>
      </c>
      <c r="DI116" s="197">
        <v>163.47</v>
      </c>
      <c r="DJ116" s="191">
        <f t="shared" si="2827"/>
        <v>0.41161392341317005</v>
      </c>
      <c r="DK116" s="197">
        <v>160.40600000000001</v>
      </c>
      <c r="DL116" s="197">
        <v>155.96</v>
      </c>
      <c r="DM116" s="191">
        <f t="shared" si="2828"/>
        <v>2.7717167686994282E-2</v>
      </c>
      <c r="DN116" s="200">
        <v>158.88399999999999</v>
      </c>
      <c r="DO116" s="200">
        <v>28.298999999999999</v>
      </c>
      <c r="DP116" s="200">
        <v>95.099000000000004</v>
      </c>
      <c r="DQ116" s="200">
        <f t="shared" si="3037"/>
        <v>123.398</v>
      </c>
      <c r="DR116" s="191">
        <f t="shared" si="3038"/>
        <v>1.0005086316298371</v>
      </c>
      <c r="DS116" s="199">
        <f t="shared" si="2925"/>
        <v>0.98125649966354689</v>
      </c>
      <c r="DT116" s="200">
        <v>101.995</v>
      </c>
      <c r="DU116" s="202">
        <v>44.537999999999997</v>
      </c>
      <c r="DV116" s="200">
        <v>37.354999999999997</v>
      </c>
      <c r="DW116" s="191">
        <f t="shared" si="1537"/>
        <v>0.436668464140399</v>
      </c>
      <c r="DX116" s="197">
        <v>25.858000000000001</v>
      </c>
      <c r="DY116" s="191">
        <f t="shared" si="2832"/>
        <v>0.12676111574096768</v>
      </c>
      <c r="DZ116" s="197">
        <v>34.264000000000003</v>
      </c>
      <c r="EA116" s="197">
        <v>33.249000000000002</v>
      </c>
      <c r="EB116" s="191">
        <f t="shared" si="2836"/>
        <v>2.9622927854307757E-2</v>
      </c>
      <c r="EC116" s="200">
        <v>33.607999999999997</v>
      </c>
      <c r="ED116" s="206">
        <f t="shared" si="2833"/>
        <v>25</v>
      </c>
      <c r="EE116" s="200">
        <v>33.942999999999998</v>
      </c>
      <c r="EF116" s="205">
        <f t="shared" si="3000"/>
        <v>58.942999999999998</v>
      </c>
      <c r="EG116" s="191">
        <f t="shared" si="3001"/>
        <v>0.56342957988136666</v>
      </c>
      <c r="EJ116" s="202">
        <f t="shared" ref="EJ116:EJ121" si="3041">(C116*2000/1000)/(A117-A116)</f>
        <v>10.809995698924732</v>
      </c>
      <c r="EK116" s="202">
        <f>'NOPA Crush'!B541*56/('NOPA Crush'!A541-'NOPA Crush'!A540)</f>
        <v>13.150998361184108</v>
      </c>
      <c r="EL116" s="203">
        <f t="shared" ref="EL116:EL117" si="3042">EJ116/EK116</f>
        <v>0.82199049851842632</v>
      </c>
      <c r="EM116" s="202">
        <f t="shared" ref="EM116" si="3043">DE116/($A117-$A116)</f>
        <v>6.4055483870967747</v>
      </c>
      <c r="EN116" s="202">
        <f t="shared" ref="EN116" si="3044">(DT116*2000/1000000)/($A117-$A116)</f>
        <v>6.5803225806451617E-3</v>
      </c>
      <c r="EO116" s="202">
        <f t="shared" ref="EO116:EO117" si="3045">EJ116+EM116+EN116</f>
        <v>17.222124408602152</v>
      </c>
    </row>
    <row r="117" spans="1:145">
      <c r="A117" s="157">
        <v>45536</v>
      </c>
      <c r="B117" s="186">
        <v>5595.0950000000003</v>
      </c>
      <c r="C117" s="187">
        <f t="shared" si="3009"/>
        <v>186.50316666666669</v>
      </c>
      <c r="D117" s="247">
        <f>C117-'NOPA Crush'!G542</f>
        <v>9.1831666666666933</v>
      </c>
      <c r="E117" s="188">
        <f>C117/'NOPA Crush'!G542-1</f>
        <v>5.1788668320926545E-2</v>
      </c>
      <c r="F117" s="189">
        <v>4092.4569999999999</v>
      </c>
      <c r="G117" s="189">
        <v>4024.6770000000001</v>
      </c>
      <c r="H117" s="189">
        <v>67.78</v>
      </c>
      <c r="I117" s="189">
        <v>276.42599999999999</v>
      </c>
      <c r="J117" s="190">
        <f t="shared" si="3010"/>
        <v>43.886193174557349</v>
      </c>
      <c r="K117" s="190">
        <f t="shared" ref="K117" si="3046">(F117+M117)*2/C117</f>
        <v>46.850496729724867</v>
      </c>
      <c r="L117" s="190">
        <f>K117-'NOPA Crush'!J542</f>
        <v>-0.12950327027512998</v>
      </c>
      <c r="M117" s="189">
        <v>276.42599999999999</v>
      </c>
      <c r="N117" s="189">
        <v>39.875999999999998</v>
      </c>
      <c r="O117" s="189">
        <v>2201.3490000000002</v>
      </c>
      <c r="P117" s="189">
        <v>1120.1020000000001</v>
      </c>
      <c r="Q117" s="189">
        <v>697.58</v>
      </c>
      <c r="R117" s="189">
        <v>189.965</v>
      </c>
      <c r="S117" s="189">
        <v>232.55699999999999</v>
      </c>
      <c r="T117" s="189">
        <v>430.75599999999997</v>
      </c>
      <c r="U117" s="189">
        <f>(P117+T117)-'NOPA Crush'!Q542</f>
        <v>484.58500000000026</v>
      </c>
      <c r="V117" s="191">
        <f>((P117+T117)/'NOPA Crush'!Q542)-1</f>
        <v>0.4544661639186216</v>
      </c>
      <c r="W117" s="190">
        <f t="shared" ref="W117:W120" si="3047">O117/C117</f>
        <v>11.803279479615627</v>
      </c>
      <c r="X117" s="190">
        <f>W117-'NOPA Crush'!O542</f>
        <v>-0.12672052038437265</v>
      </c>
      <c r="Y117" s="190">
        <f t="shared" ref="Y117:Y120" si="3048">K117+W117</f>
        <v>58.653776209340492</v>
      </c>
      <c r="Z117" s="211">
        <v>1852.027</v>
      </c>
      <c r="AA117" s="211">
        <v>1807.2329999999999</v>
      </c>
      <c r="AB117" s="191">
        <f t="shared" si="2784"/>
        <v>2.4186472443436351E-2</v>
      </c>
      <c r="AC117" s="211">
        <v>189.68799999999999</v>
      </c>
      <c r="AD117" s="211">
        <v>1819.5920000000001</v>
      </c>
      <c r="AE117" s="211">
        <v>1265.943</v>
      </c>
      <c r="AF117" s="211">
        <v>553.649</v>
      </c>
      <c r="AG117" s="191">
        <f t="shared" si="1322"/>
        <v>6.838631211360191E-3</v>
      </c>
      <c r="AI117" s="211">
        <v>509.42200000000003</v>
      </c>
      <c r="AJ117" s="247">
        <f t="shared" si="3014"/>
        <v>16.980733333333333</v>
      </c>
      <c r="AK117" s="211">
        <v>368.209</v>
      </c>
      <c r="AL117" s="211">
        <v>55.048000000000002</v>
      </c>
      <c r="AM117" s="190">
        <f t="shared" si="3015"/>
        <v>43.367856119288135</v>
      </c>
      <c r="AN117" s="190">
        <f t="shared" si="3016"/>
        <v>-0.51833705526921392</v>
      </c>
      <c r="AO117" s="211">
        <v>207.85400000000001</v>
      </c>
      <c r="AP117" s="211">
        <v>88.614000000000004</v>
      </c>
      <c r="AQ117" s="190">
        <f t="shared" si="3017"/>
        <v>12.240578538029375</v>
      </c>
      <c r="AR117" s="190">
        <f t="shared" si="3018"/>
        <v>0.43729905841374794</v>
      </c>
      <c r="AS117" s="190">
        <f t="shared" si="3019"/>
        <v>55.60843465731751</v>
      </c>
      <c r="AT117" s="211">
        <v>1371.9059999999999</v>
      </c>
      <c r="AU117" s="247">
        <f t="shared" si="2791"/>
        <v>45.730199999999996</v>
      </c>
      <c r="AV117" s="211">
        <v>1004.917</v>
      </c>
      <c r="AW117" s="211">
        <v>70.721999999999994</v>
      </c>
      <c r="AX117" s="190">
        <f t="shared" si="3020"/>
        <v>43.949818719358326</v>
      </c>
      <c r="AY117" s="190">
        <f t="shared" si="3021"/>
        <v>6.3625544800977707E-2</v>
      </c>
      <c r="AZ117" s="211">
        <v>540.71199999999999</v>
      </c>
      <c r="BA117" s="211">
        <v>100.61</v>
      </c>
      <c r="BB117" s="190">
        <f t="shared" si="3022"/>
        <v>11.8239587843482</v>
      </c>
      <c r="BC117" s="190">
        <f t="shared" si="3023"/>
        <v>2.0679304732572845E-2</v>
      </c>
      <c r="BD117" s="247">
        <f t="shared" si="3024"/>
        <v>55.773777503706526</v>
      </c>
      <c r="BE117" s="211">
        <v>1333.691</v>
      </c>
      <c r="BF117" s="247">
        <f t="shared" si="2797"/>
        <v>44.456366666666668</v>
      </c>
      <c r="BG117" s="211">
        <v>958.67600000000004</v>
      </c>
      <c r="BH117" s="211">
        <v>76.989999999999995</v>
      </c>
      <c r="BI117" s="190">
        <f t="shared" si="3025"/>
        <v>43.128850685803535</v>
      </c>
      <c r="BJ117" s="190">
        <f t="shared" si="3026"/>
        <v>-0.75734248875381383</v>
      </c>
      <c r="BK117" s="211">
        <v>522.91999999999996</v>
      </c>
      <c r="BL117" s="211">
        <v>214.911</v>
      </c>
      <c r="BM117" s="190">
        <f t="shared" si="2981"/>
        <v>11.762544697384925</v>
      </c>
      <c r="BN117" s="190">
        <f t="shared" si="2982"/>
        <v>-4.0734782230702038E-2</v>
      </c>
      <c r="BO117" s="247">
        <f t="shared" si="2945"/>
        <v>54.89139538318846</v>
      </c>
      <c r="BP117" s="211">
        <v>1020.638</v>
      </c>
      <c r="BQ117" s="247">
        <f t="shared" si="2802"/>
        <v>34.021266666666669</v>
      </c>
      <c r="BR117" s="211">
        <v>756.91099999999994</v>
      </c>
      <c r="BS117" s="211">
        <v>74.67</v>
      </c>
      <c r="BT117" s="190">
        <f t="shared" si="2983"/>
        <v>44.496344443377566</v>
      </c>
      <c r="BU117" s="190">
        <f t="shared" si="2984"/>
        <v>0.61015126882021775</v>
      </c>
      <c r="BV117" s="211">
        <v>398.95299999999997</v>
      </c>
      <c r="BW117" s="211">
        <v>121.93899999999999</v>
      </c>
      <c r="BX117" s="190">
        <f t="shared" si="3027"/>
        <v>11.726576905817732</v>
      </c>
      <c r="BY117" s="190">
        <f t="shared" si="3028"/>
        <v>-7.6702573797895468E-2</v>
      </c>
      <c r="BZ117" s="194">
        <f t="shared" si="3029"/>
        <v>56.222921349195296</v>
      </c>
      <c r="CA117" s="211">
        <v>592.32000000000005</v>
      </c>
      <c r="CB117" s="247">
        <f t="shared" si="2808"/>
        <v>19.744000000000003</v>
      </c>
      <c r="CC117" s="211">
        <v>436.78899999999999</v>
      </c>
      <c r="CD117" s="211">
        <v>60.866999999999997</v>
      </c>
      <c r="CE117" s="190">
        <f t="shared" si="3030"/>
        <v>44.245239059967574</v>
      </c>
      <c r="CF117" s="190">
        <f t="shared" si="2989"/>
        <v>0.3590458854102252</v>
      </c>
      <c r="CG117" s="211">
        <v>230.50899999999999</v>
      </c>
      <c r="CH117" s="211">
        <v>61.44</v>
      </c>
      <c r="CI117" s="190">
        <f t="shared" si="3031"/>
        <v>11.674888573743919</v>
      </c>
      <c r="CJ117" s="190">
        <f t="shared" si="3032"/>
        <v>-0.12839090587170787</v>
      </c>
      <c r="CK117" s="194">
        <f t="shared" si="2992"/>
        <v>55.920127633711495</v>
      </c>
      <c r="CL117" s="211">
        <v>767.11800000000005</v>
      </c>
      <c r="CM117" s="247">
        <f t="shared" si="2814"/>
        <v>25.570600000000002</v>
      </c>
      <c r="CN117" s="211">
        <v>566.95500000000004</v>
      </c>
      <c r="CO117" s="211">
        <v>75.117000000000004</v>
      </c>
      <c r="CP117" s="190">
        <f t="shared" si="3033"/>
        <v>44.344286015971463</v>
      </c>
      <c r="CQ117" s="190">
        <f t="shared" si="3034"/>
        <v>0.4580928414141141</v>
      </c>
      <c r="CR117" s="211">
        <v>320.40100000000001</v>
      </c>
      <c r="CS117" s="211">
        <v>110.066</v>
      </c>
      <c r="CT117" s="190">
        <f t="shared" si="3035"/>
        <v>12.530054046443961</v>
      </c>
      <c r="CU117" s="190">
        <f t="shared" si="3036"/>
        <v>0.7267745668283343</v>
      </c>
      <c r="CV117" s="247">
        <f t="shared" si="3040"/>
        <v>56.874340062415428</v>
      </c>
      <c r="CW117" s="163"/>
      <c r="CX117" s="238">
        <f t="shared" si="3003"/>
        <v>2.8421709430404007E-14</v>
      </c>
      <c r="CY117" s="238">
        <f t="shared" si="3004"/>
        <v>0</v>
      </c>
      <c r="CZ117" s="238">
        <f t="shared" si="3005"/>
        <v>-136.988</v>
      </c>
      <c r="DA117" s="238">
        <f t="shared" si="3006"/>
        <v>-19.999999999999829</v>
      </c>
      <c r="DB117" s="238">
        <f t="shared" si="3007"/>
        <v>0</v>
      </c>
      <c r="DC117" s="238">
        <f t="shared" si="3008"/>
        <v>0</v>
      </c>
      <c r="DD117" s="163"/>
      <c r="DE117" s="200">
        <v>204.90700000000001</v>
      </c>
      <c r="DF117" s="200">
        <v>118.259</v>
      </c>
      <c r="DG117" s="200">
        <v>33.741999999999997</v>
      </c>
      <c r="DH117" s="191">
        <f t="shared" si="2826"/>
        <v>0.57713499294802029</v>
      </c>
      <c r="DI117" s="197">
        <v>161.45099999999999</v>
      </c>
      <c r="DJ117" s="191">
        <f t="shared" si="2827"/>
        <v>0.39396165089528418</v>
      </c>
      <c r="DK117" s="197">
        <v>175.17500000000001</v>
      </c>
      <c r="DL117" s="197">
        <v>169.864</v>
      </c>
      <c r="DM117" s="191">
        <f t="shared" si="2828"/>
        <v>3.0318253175396048E-2</v>
      </c>
      <c r="DN117" s="200">
        <v>178.62</v>
      </c>
      <c r="DO117" s="200">
        <v>32.204999999999998</v>
      </c>
      <c r="DP117" s="200">
        <v>88.879000000000005</v>
      </c>
      <c r="DQ117" s="200">
        <f t="shared" si="3037"/>
        <v>121.084</v>
      </c>
      <c r="DR117" s="191">
        <f t="shared" si="3038"/>
        <v>0.97109664384330441</v>
      </c>
      <c r="DS117" s="199">
        <f t="shared" si="2925"/>
        <v>1.0850041188967552</v>
      </c>
      <c r="DT117" s="200">
        <v>80.552000000000007</v>
      </c>
      <c r="DU117" s="202">
        <v>33.954999999999998</v>
      </c>
      <c r="DV117" s="200">
        <v>27.492999999999999</v>
      </c>
      <c r="DW117" s="191">
        <f t="shared" si="1537"/>
        <v>0.42152895024332104</v>
      </c>
      <c r="DX117" s="197">
        <v>21.925999999999998</v>
      </c>
      <c r="DY117" s="191">
        <f t="shared" si="2832"/>
        <v>0.13609842089581883</v>
      </c>
      <c r="DZ117" s="197">
        <v>25.888999999999999</v>
      </c>
      <c r="EA117" s="197">
        <v>25.163</v>
      </c>
      <c r="EB117" s="191">
        <f t="shared" si="2836"/>
        <v>2.8042798099578992E-2</v>
      </c>
      <c r="EC117" s="200">
        <v>32.182000000000002</v>
      </c>
      <c r="ED117" s="206">
        <f t="shared" si="2833"/>
        <v>30</v>
      </c>
      <c r="EE117" s="200">
        <v>27.492999999999999</v>
      </c>
      <c r="EF117" s="205">
        <f t="shared" si="3000"/>
        <v>57.492999999999995</v>
      </c>
      <c r="EG117" s="191">
        <f t="shared" si="3001"/>
        <v>0.55762737113913985</v>
      </c>
      <c r="EJ117" s="202">
        <f t="shared" si="3041"/>
        <v>12.433544444444445</v>
      </c>
      <c r="EK117" s="202">
        <f>'NOPA Crush'!B542*56/('NOPA Crush'!A542-'NOPA Crush'!A541)</f>
        <v>13.433828296469773</v>
      </c>
      <c r="EL117" s="203">
        <f t="shared" si="3042"/>
        <v>0.92553992577914745</v>
      </c>
      <c r="EM117" s="202">
        <f>DE117/($A118-$A117)</f>
        <v>6.830233333333334</v>
      </c>
      <c r="EN117" s="202">
        <f>(DT117*2000/1000000)/($A118-$A117)</f>
        <v>5.3701333333333332E-3</v>
      </c>
      <c r="EO117" s="202">
        <f t="shared" si="3045"/>
        <v>19.269147911111112</v>
      </c>
    </row>
    <row r="118" spans="1:145">
      <c r="A118" s="157">
        <v>45566</v>
      </c>
      <c r="B118" s="186">
        <v>6473.5039999999999</v>
      </c>
      <c r="C118" s="187">
        <f t="shared" si="3009"/>
        <v>215.78346666666667</v>
      </c>
      <c r="D118" s="247">
        <f>C118-'NOPA Crush'!G543</f>
        <v>15.824466666666666</v>
      </c>
      <c r="E118" s="188">
        <f>C118/'NOPA Crush'!G543-1</f>
        <v>7.9138556737464505E-2</v>
      </c>
      <c r="F118" s="189">
        <v>4771.5140000000001</v>
      </c>
      <c r="G118" s="189">
        <v>4702.5050000000001</v>
      </c>
      <c r="H118" s="189">
        <v>69.009</v>
      </c>
      <c r="I118" s="189">
        <v>317.23500000000001</v>
      </c>
      <c r="J118" s="190">
        <f t="shared" ref="J118:J120" si="3049">F118*2/C118</f>
        <v>44.225019402166126</v>
      </c>
      <c r="K118" s="190">
        <f t="shared" ref="K118" si="3050">(F118+M118)*2/C118</f>
        <v>47.165328081978473</v>
      </c>
      <c r="L118" s="190">
        <f>K118-'NOPA Crush'!J543</f>
        <v>9.5328081978472312E-2</v>
      </c>
      <c r="M118" s="189">
        <v>317.23500000000001</v>
      </c>
      <c r="N118" s="189">
        <v>37.78</v>
      </c>
      <c r="O118" s="189">
        <v>2543.453</v>
      </c>
      <c r="P118" s="189">
        <v>1118.317</v>
      </c>
      <c r="Q118" s="189">
        <v>698.75199999999995</v>
      </c>
      <c r="R118" s="210">
        <f>FORECAST(Q118,R94:R117,Q94:Q117)</f>
        <v>204.92295188059288</v>
      </c>
      <c r="S118" s="210">
        <f>FORECAST(R118,S94:S117,R94:R117)</f>
        <v>320.29966942064334</v>
      </c>
      <c r="T118" s="189">
        <v>473.80599999999998</v>
      </c>
      <c r="U118" s="189">
        <f>(P118+T118)-'NOPA Crush'!Q543</f>
        <v>525.56200000000013</v>
      </c>
      <c r="V118" s="191">
        <f>((P118+T118)/'NOPA Crush'!Q543)-1</f>
        <v>0.49276318935344543</v>
      </c>
      <c r="W118" s="190">
        <f t="shared" si="3047"/>
        <v>11.787061535761776</v>
      </c>
      <c r="X118" s="190">
        <f>W118-'NOPA Crush'!O543</f>
        <v>-6.2938464238223801E-2</v>
      </c>
      <c r="Y118" s="190">
        <f t="shared" si="3048"/>
        <v>58.952389617740252</v>
      </c>
      <c r="Z118" s="211">
        <v>2049.4140000000002</v>
      </c>
      <c r="AA118" s="211">
        <v>2005.8309999999999</v>
      </c>
      <c r="AB118" s="191">
        <f t="shared" si="2784"/>
        <v>2.1266078986481165E-2</v>
      </c>
      <c r="AC118" s="211">
        <v>201.928</v>
      </c>
      <c r="AD118" s="211">
        <v>1964.2070000000001</v>
      </c>
      <c r="AE118" s="211">
        <v>1329.2809999999999</v>
      </c>
      <c r="AF118" s="211">
        <v>634.92600000000004</v>
      </c>
      <c r="AG118" s="191">
        <f t="shared" si="1322"/>
        <v>-2.0751499004651786E-2</v>
      </c>
      <c r="AI118" s="211">
        <v>660.72699999999998</v>
      </c>
      <c r="AJ118" s="247">
        <f t="shared" si="3014"/>
        <v>22.024233333333331</v>
      </c>
      <c r="AK118" s="211">
        <v>484.238</v>
      </c>
      <c r="AL118" s="211">
        <v>26.56</v>
      </c>
      <c r="AM118" s="190">
        <f t="shared" si="3015"/>
        <v>43.973199218436669</v>
      </c>
      <c r="AN118" s="190">
        <f t="shared" si="3016"/>
        <v>-0.25182018372945691</v>
      </c>
      <c r="AO118" s="211">
        <v>265.47000000000003</v>
      </c>
      <c r="AP118" s="211">
        <v>95.176000000000002</v>
      </c>
      <c r="AQ118" s="190">
        <f t="shared" si="3017"/>
        <v>12.053541023751112</v>
      </c>
      <c r="AR118" s="190">
        <f t="shared" si="3018"/>
        <v>0.26647948798933641</v>
      </c>
      <c r="AS118" s="190">
        <f t="shared" si="3019"/>
        <v>56.026740242187785</v>
      </c>
      <c r="AT118" s="211">
        <v>1382.798</v>
      </c>
      <c r="AU118" s="247">
        <f t="shared" si="2791"/>
        <v>46.093266666666665</v>
      </c>
      <c r="AV118" s="211">
        <v>1035.951</v>
      </c>
      <c r="AW118" s="211">
        <v>60.703000000000003</v>
      </c>
      <c r="AX118" s="190">
        <f t="shared" si="3020"/>
        <v>44.950209647396079</v>
      </c>
      <c r="AY118" s="190">
        <f t="shared" si="3021"/>
        <v>0.72519024522995323</v>
      </c>
      <c r="AZ118" s="211">
        <v>547.96500000000003</v>
      </c>
      <c r="BA118" s="211">
        <v>100.658</v>
      </c>
      <c r="BB118" s="190">
        <f t="shared" si="3022"/>
        <v>11.888178895254406</v>
      </c>
      <c r="BC118" s="190">
        <f t="shared" si="3023"/>
        <v>0.10111735949262979</v>
      </c>
      <c r="BD118" s="247">
        <f t="shared" si="3024"/>
        <v>56.838388542650485</v>
      </c>
      <c r="BE118" s="211">
        <v>1466.606</v>
      </c>
      <c r="BF118" s="247">
        <f t="shared" si="2797"/>
        <v>48.88686666666667</v>
      </c>
      <c r="BG118" s="211">
        <v>1056.44</v>
      </c>
      <c r="BH118" s="211">
        <v>76.521000000000001</v>
      </c>
      <c r="BI118" s="190">
        <f t="shared" si="3025"/>
        <v>43.219787727583274</v>
      </c>
      <c r="BJ118" s="190">
        <f t="shared" si="3026"/>
        <v>-1.005231674582852</v>
      </c>
      <c r="BK118" s="211">
        <v>567.02300000000002</v>
      </c>
      <c r="BL118" s="211">
        <v>215.23599999999999</v>
      </c>
      <c r="BM118" s="190">
        <f t="shared" si="2981"/>
        <v>11.598677490750754</v>
      </c>
      <c r="BN118" s="190">
        <f t="shared" si="2982"/>
        <v>-0.18838404501102168</v>
      </c>
      <c r="BO118" s="247">
        <f t="shared" si="2945"/>
        <v>54.818465218334026</v>
      </c>
      <c r="BP118" s="211">
        <v>1203.817</v>
      </c>
      <c r="BQ118" s="247">
        <f t="shared" si="2802"/>
        <v>40.127233333333336</v>
      </c>
      <c r="BR118" s="211">
        <v>900.41499999999996</v>
      </c>
      <c r="BS118" s="211">
        <v>56.912999999999997</v>
      </c>
      <c r="BT118" s="190">
        <f t="shared" si="2983"/>
        <v>44.878000559885756</v>
      </c>
      <c r="BU118" s="190">
        <f t="shared" si="2984"/>
        <v>0.65298115771962983</v>
      </c>
      <c r="BV118" s="211">
        <v>463.875</v>
      </c>
      <c r="BW118" s="211">
        <v>103.818</v>
      </c>
      <c r="BX118" s="190">
        <f t="shared" si="3027"/>
        <v>11.560104235112146</v>
      </c>
      <c r="BY118" s="190">
        <f t="shared" si="3028"/>
        <v>-0.22695730064963016</v>
      </c>
      <c r="BZ118" s="194">
        <f t="shared" si="3029"/>
        <v>56.438104794997898</v>
      </c>
      <c r="CA118" s="211">
        <v>669.12699999999995</v>
      </c>
      <c r="CB118" s="247">
        <f t="shared" si="2808"/>
        <v>22.304233333333332</v>
      </c>
      <c r="CC118" s="211">
        <v>478.565</v>
      </c>
      <c r="CD118" s="211">
        <v>39.051000000000002</v>
      </c>
      <c r="CE118" s="190">
        <f t="shared" si="3030"/>
        <v>42.912481487071965</v>
      </c>
      <c r="CF118" s="190">
        <f t="shared" si="2989"/>
        <v>-1.3125379150941612</v>
      </c>
      <c r="CG118" s="211">
        <v>261.88499999999999</v>
      </c>
      <c r="CH118" s="211">
        <v>58.762</v>
      </c>
      <c r="CI118" s="190">
        <f t="shared" si="3031"/>
        <v>11.741493020009655</v>
      </c>
      <c r="CJ118" s="190">
        <f t="shared" si="3032"/>
        <v>-4.5568515752121286E-2</v>
      </c>
      <c r="CK118" s="194">
        <f t="shared" si="2992"/>
        <v>54.653974507081621</v>
      </c>
      <c r="CL118" s="211">
        <v>1090.4290000000001</v>
      </c>
      <c r="CM118" s="247">
        <f t="shared" si="2814"/>
        <v>36.347633333333334</v>
      </c>
      <c r="CN118" s="211">
        <v>815.90499999999997</v>
      </c>
      <c r="CO118" s="211">
        <v>43.682000000000002</v>
      </c>
      <c r="CP118" s="190">
        <f t="shared" si="3033"/>
        <v>44.894532335438619</v>
      </c>
      <c r="CQ118" s="190">
        <f t="shared" si="3034"/>
        <v>0.66951293327249317</v>
      </c>
      <c r="CR118" s="211">
        <v>463.23500000000001</v>
      </c>
      <c r="CS118" s="211">
        <v>125.102</v>
      </c>
      <c r="CT118" s="190">
        <f t="shared" si="3035"/>
        <v>12.744571173363878</v>
      </c>
      <c r="CU118" s="190">
        <f t="shared" si="3036"/>
        <v>0.95750963760210261</v>
      </c>
      <c r="CV118" s="247">
        <f t="shared" si="3040"/>
        <v>57.639103508802499</v>
      </c>
      <c r="CW118" s="163"/>
      <c r="CX118" s="238">
        <f t="shared" si="3003"/>
        <v>0</v>
      </c>
      <c r="CY118" s="238">
        <f t="shared" si="3004"/>
        <v>0</v>
      </c>
      <c r="CZ118" s="238">
        <f t="shared" si="3005"/>
        <v>13.805000000000021</v>
      </c>
      <c r="DA118" s="238">
        <f t="shared" si="3006"/>
        <v>-26.000000000000114</v>
      </c>
      <c r="DB118" s="238">
        <f t="shared" si="3007"/>
        <v>0</v>
      </c>
      <c r="DC118" s="238">
        <f t="shared" si="3008"/>
        <v>-105.65762130123616</v>
      </c>
      <c r="DD118" s="163"/>
      <c r="DE118" s="200">
        <v>218.185</v>
      </c>
      <c r="DF118" s="200">
        <v>127.369</v>
      </c>
      <c r="DG118" s="200">
        <v>30.684000000000001</v>
      </c>
      <c r="DH118" s="191">
        <f t="shared" si="2826"/>
        <v>0.58376607007814474</v>
      </c>
      <c r="DI118" s="197">
        <v>171.28800000000001</v>
      </c>
      <c r="DJ118" s="191">
        <f t="shared" si="2827"/>
        <v>0.39252927561473067</v>
      </c>
      <c r="DK118" s="197">
        <v>186.52500000000001</v>
      </c>
      <c r="DL118" s="197">
        <v>181.685</v>
      </c>
      <c r="DM118" s="191">
        <f t="shared" si="2828"/>
        <v>2.594826430773356E-2</v>
      </c>
      <c r="DN118" s="200">
        <v>173.22200000000001</v>
      </c>
      <c r="DO118" s="200">
        <v>27.056000000000001</v>
      </c>
      <c r="DP118" s="200">
        <v>95.515000000000001</v>
      </c>
      <c r="DQ118" s="200">
        <f t="shared" si="3037"/>
        <v>122.571</v>
      </c>
      <c r="DR118" s="191">
        <f t="shared" si="3038"/>
        <v>0.97629534569287535</v>
      </c>
      <c r="DS118" s="199">
        <f t="shared" si="2925"/>
        <v>1.0889554434636401</v>
      </c>
      <c r="DT118" s="200">
        <v>110.813</v>
      </c>
      <c r="DU118" s="202">
        <v>50.395000000000003</v>
      </c>
      <c r="DV118" s="200">
        <v>30.995000000000001</v>
      </c>
      <c r="DW118" s="191">
        <f t="shared" si="1537"/>
        <v>0.4547751617589994</v>
      </c>
      <c r="DX118" s="197">
        <v>27.809000000000001</v>
      </c>
      <c r="DY118" s="191">
        <f t="shared" si="2832"/>
        <v>0.1254771552074215</v>
      </c>
      <c r="DZ118" s="197">
        <v>39.776000000000003</v>
      </c>
      <c r="EA118" s="197">
        <v>38.664999999999999</v>
      </c>
      <c r="EB118" s="191">
        <f t="shared" si="2836"/>
        <v>2.7931415929203673E-2</v>
      </c>
      <c r="EC118" s="200">
        <v>36.604999999999997</v>
      </c>
      <c r="ED118" s="206">
        <f t="shared" si="2833"/>
        <v>22.5</v>
      </c>
      <c r="EE118" s="200">
        <v>30.995000000000001</v>
      </c>
      <c r="EF118" s="205">
        <f t="shared" si="3000"/>
        <v>53.495000000000005</v>
      </c>
      <c r="EG118" s="191">
        <f t="shared" si="3001"/>
        <v>0.58025231696642088</v>
      </c>
      <c r="EJ118" s="202">
        <f t="shared" si="3041"/>
        <v>13.921513978494623</v>
      </c>
      <c r="EK118" s="202">
        <f>'NOPA Crush'!B543*56/('NOPA Crush'!A543-'NOPA Crush'!A542)</f>
        <v>14.384822674438992</v>
      </c>
      <c r="EL118" s="203">
        <f t="shared" ref="EL118" si="3051">EJ118/EK118</f>
        <v>0.96779183821517367</v>
      </c>
      <c r="EM118" s="202">
        <f t="shared" ref="EM118:EM119" si="3052">DE118/($A119-$A118)</f>
        <v>7.0382258064516128</v>
      </c>
      <c r="EN118" s="202">
        <f t="shared" ref="EN118:EN119" si="3053">(DT118*2000/1000000)/($A119-$A118)</f>
        <v>7.1492258064516125E-3</v>
      </c>
      <c r="EO118" s="202">
        <f t="shared" ref="EO118" si="3054">EJ118+EM118+EN118</f>
        <v>20.966889010752688</v>
      </c>
    </row>
    <row r="119" spans="1:145">
      <c r="A119" s="157">
        <v>45597</v>
      </c>
      <c r="B119" s="186">
        <v>6301.2250000000004</v>
      </c>
      <c r="C119" s="187">
        <f t="shared" si="3009"/>
        <v>210.04083333333335</v>
      </c>
      <c r="D119" s="247">
        <f>C119-'NOPA Crush'!G544</f>
        <v>16.855833333333351</v>
      </c>
      <c r="E119" s="188">
        <f>C119/'NOPA Crush'!G544-1</f>
        <v>8.7252288393681487E-2</v>
      </c>
      <c r="F119" s="189">
        <v>4662.6260000000002</v>
      </c>
      <c r="G119" s="189">
        <v>4588.0280000000002</v>
      </c>
      <c r="H119" s="189">
        <v>74.597999999999999</v>
      </c>
      <c r="I119" s="189">
        <v>312.185</v>
      </c>
      <c r="J119" s="190">
        <f t="shared" si="3049"/>
        <v>44.397329090772033</v>
      </c>
      <c r="K119" s="190">
        <f t="shared" ref="K119" si="3055">(F119+M119)*2/C119</f>
        <v>47.369941558982582</v>
      </c>
      <c r="L119" s="190">
        <f>K119-'NOPA Crush'!J544</f>
        <v>-7.0058441017415873E-2</v>
      </c>
      <c r="M119" s="189">
        <v>312.185</v>
      </c>
      <c r="N119" s="189">
        <v>50.741999999999997</v>
      </c>
      <c r="O119" s="189">
        <v>2489.9409999999998</v>
      </c>
      <c r="P119" s="189">
        <v>1137.797</v>
      </c>
      <c r="Q119" s="189">
        <v>691.721</v>
      </c>
      <c r="R119" s="211">
        <v>189.874</v>
      </c>
      <c r="S119" s="211">
        <v>256.202</v>
      </c>
      <c r="T119" s="189">
        <v>480.35199999999998</v>
      </c>
      <c r="U119" s="189">
        <f>(P119+T119)-'NOPA Crush'!Q544</f>
        <v>533.84399999999982</v>
      </c>
      <c r="V119" s="191">
        <f>((P119+T119)/'NOPA Crush'!Q544)-1</f>
        <v>0.49233748806839395</v>
      </c>
      <c r="W119" s="190">
        <f t="shared" si="3047"/>
        <v>11.854556852040673</v>
      </c>
      <c r="X119" s="190">
        <f>W119-'NOPA Crush'!O544</f>
        <v>-4.5443147959327135E-2</v>
      </c>
      <c r="Y119" s="190">
        <f t="shared" si="3048"/>
        <v>59.224498411023255</v>
      </c>
      <c r="Z119" s="211">
        <v>1860.306</v>
      </c>
      <c r="AA119" s="211">
        <v>1820.1510000000001</v>
      </c>
      <c r="AB119" s="191">
        <f t="shared" si="2784"/>
        <v>2.1585158570686745E-2</v>
      </c>
      <c r="AC119" s="344">
        <f>FORECAST(AF119,AC95:AC118,AF95:AF118)</f>
        <v>192.57686466599145</v>
      </c>
      <c r="AD119" s="211">
        <v>1808.472</v>
      </c>
      <c r="AE119" s="211">
        <v>1179.82</v>
      </c>
      <c r="AF119" s="211">
        <v>628.65200000000004</v>
      </c>
      <c r="AG119" s="191">
        <f t="shared" si="1322"/>
        <v>-6.4165006090154408E-3</v>
      </c>
      <c r="AI119" s="211">
        <v>668.24</v>
      </c>
      <c r="AJ119" s="247">
        <f t="shared" si="3014"/>
        <v>22.274666666666668</v>
      </c>
      <c r="AK119" s="211">
        <v>494.06400000000002</v>
      </c>
      <c r="AL119" s="211">
        <v>73.876999999999995</v>
      </c>
      <c r="AM119" s="190">
        <f t="shared" si="3015"/>
        <v>44.361067879803663</v>
      </c>
      <c r="AN119" s="190">
        <f t="shared" si="3016"/>
        <v>-3.6261210968369539E-2</v>
      </c>
      <c r="AO119" s="211">
        <v>264.98399999999998</v>
      </c>
      <c r="AP119" s="211">
        <v>91.668000000000006</v>
      </c>
      <c r="AQ119" s="190">
        <f t="shared" si="3017"/>
        <v>11.896204956303123</v>
      </c>
      <c r="AR119" s="190">
        <f t="shared" si="3018"/>
        <v>4.1648104262449692E-2</v>
      </c>
      <c r="AS119" s="190">
        <f t="shared" si="3019"/>
        <v>56.257272836106786</v>
      </c>
      <c r="AT119" s="211">
        <v>1278.085</v>
      </c>
      <c r="AU119" s="247">
        <f t="shared" si="2791"/>
        <v>42.602833333333336</v>
      </c>
      <c r="AV119" s="211">
        <v>950.24</v>
      </c>
      <c r="AW119" s="211">
        <v>64.042000000000002</v>
      </c>
      <c r="AX119" s="190">
        <f t="shared" si="3020"/>
        <v>44.609239604564635</v>
      </c>
      <c r="AY119" s="190">
        <f t="shared" si="3021"/>
        <v>0.21191051379260273</v>
      </c>
      <c r="AZ119" s="211">
        <v>502.48200000000003</v>
      </c>
      <c r="BA119" s="211">
        <v>103.84699999999999</v>
      </c>
      <c r="BB119" s="190">
        <f t="shared" si="3022"/>
        <v>11.794567653951027</v>
      </c>
      <c r="BC119" s="190">
        <f t="shared" si="3023"/>
        <v>-5.9989198089645868E-2</v>
      </c>
      <c r="BD119" s="247">
        <f t="shared" si="3024"/>
        <v>56.403807258515663</v>
      </c>
      <c r="BE119" s="211">
        <v>1405.2840000000001</v>
      </c>
      <c r="BF119" s="247">
        <f t="shared" si="2797"/>
        <v>46.842800000000004</v>
      </c>
      <c r="BG119" s="211">
        <v>1029.9680000000001</v>
      </c>
      <c r="BH119" s="211">
        <v>114.245</v>
      </c>
      <c r="BI119" s="190">
        <f t="shared" si="3025"/>
        <v>43.975509576711893</v>
      </c>
      <c r="BJ119" s="190">
        <f t="shared" si="3026"/>
        <v>-0.42181951406013951</v>
      </c>
      <c r="BK119" s="211">
        <v>553.73400000000004</v>
      </c>
      <c r="BL119" s="211">
        <v>222.999</v>
      </c>
      <c r="BM119" s="190">
        <f t="shared" si="2981"/>
        <v>11.821112316086998</v>
      </c>
      <c r="BN119" s="190">
        <f t="shared" si="2982"/>
        <v>-3.3444535953675469E-2</v>
      </c>
      <c r="BO119" s="247">
        <f t="shared" si="2945"/>
        <v>55.796621892798889</v>
      </c>
      <c r="BP119" s="211">
        <v>1179.4269999999999</v>
      </c>
      <c r="BQ119" s="247">
        <f t="shared" si="2802"/>
        <v>39.314233333333327</v>
      </c>
      <c r="BR119" s="211">
        <v>886.87400000000002</v>
      </c>
      <c r="BS119" s="211">
        <v>88.787000000000006</v>
      </c>
      <c r="BT119" s="190">
        <f t="shared" si="2983"/>
        <v>45.117196740451092</v>
      </c>
      <c r="BU119" s="190">
        <f t="shared" si="2984"/>
        <v>0.7198676496790597</v>
      </c>
      <c r="BV119" s="211">
        <v>466.00299999999999</v>
      </c>
      <c r="BW119" s="211">
        <v>111.221</v>
      </c>
      <c r="BX119" s="190">
        <f t="shared" si="3027"/>
        <v>11.853289775458762</v>
      </c>
      <c r="BY119" s="190">
        <f t="shared" si="3028"/>
        <v>-1.267076581910942E-3</v>
      </c>
      <c r="BZ119" s="194">
        <f t="shared" si="3029"/>
        <v>56.970486515909855</v>
      </c>
      <c r="CA119" s="211">
        <v>672.447</v>
      </c>
      <c r="CB119" s="247">
        <f t="shared" si="2808"/>
        <v>22.414899999999999</v>
      </c>
      <c r="CC119" s="211">
        <v>481.54199999999997</v>
      </c>
      <c r="CD119" s="211">
        <v>47.241999999999997</v>
      </c>
      <c r="CE119" s="190">
        <f t="shared" si="3030"/>
        <v>42.966241205626616</v>
      </c>
      <c r="CF119" s="190">
        <f t="shared" si="2989"/>
        <v>-1.4310878851454163</v>
      </c>
      <c r="CG119" s="211">
        <v>258.95100000000002</v>
      </c>
      <c r="CH119" s="211">
        <v>57.095999999999997</v>
      </c>
      <c r="CI119" s="190">
        <f t="shared" si="3031"/>
        <v>11.552627939450991</v>
      </c>
      <c r="CJ119" s="190">
        <f t="shared" si="3032"/>
        <v>-0.30192891258968224</v>
      </c>
      <c r="CK119" s="194">
        <f t="shared" si="2992"/>
        <v>54.518869145077609</v>
      </c>
      <c r="CL119" s="211">
        <v>1097.742</v>
      </c>
      <c r="CM119" s="247">
        <f t="shared" si="2814"/>
        <v>36.5914</v>
      </c>
      <c r="CN119" s="211">
        <v>819.93799999999999</v>
      </c>
      <c r="CO119" s="211">
        <v>74.825999999999993</v>
      </c>
      <c r="CP119" s="190">
        <f t="shared" si="3033"/>
        <v>44.81588569991856</v>
      </c>
      <c r="CQ119" s="190">
        <f t="shared" si="3034"/>
        <v>0.41855660914652759</v>
      </c>
      <c r="CR119" s="211">
        <v>443.78699999999998</v>
      </c>
      <c r="CS119" s="211">
        <v>114.58499999999999</v>
      </c>
      <c r="CT119" s="190">
        <f t="shared" si="3035"/>
        <v>12.128177659231403</v>
      </c>
      <c r="CU119" s="190">
        <f t="shared" si="3036"/>
        <v>0.27362080719072956</v>
      </c>
      <c r="CV119" s="247">
        <f t="shared" si="3040"/>
        <v>56.944063359149965</v>
      </c>
      <c r="CW119" s="163"/>
      <c r="CX119" s="238">
        <f t="shared" si="3003"/>
        <v>0</v>
      </c>
      <c r="CY119" s="238">
        <f t="shared" si="3004"/>
        <v>0</v>
      </c>
      <c r="CZ119" s="238">
        <f t="shared" si="3005"/>
        <v>-150.834</v>
      </c>
      <c r="DA119" s="238">
        <f t="shared" si="3006"/>
        <v>0</v>
      </c>
      <c r="DB119" s="238">
        <f t="shared" si="3007"/>
        <v>-9.6950000000000074</v>
      </c>
      <c r="DC119" s="238">
        <f t="shared" si="3008"/>
        <v>0</v>
      </c>
      <c r="DD119" s="163"/>
      <c r="DE119" s="200">
        <v>211.01300000000001</v>
      </c>
      <c r="DF119" s="200">
        <v>124.015</v>
      </c>
      <c r="DG119" s="200">
        <v>41.133000000000003</v>
      </c>
      <c r="DH119" s="191">
        <f t="shared" si="2826"/>
        <v>0.58771260538450232</v>
      </c>
      <c r="DI119" s="197">
        <v>167.654</v>
      </c>
      <c r="DJ119" s="191">
        <f t="shared" si="2827"/>
        <v>0.39725988446209476</v>
      </c>
      <c r="DK119" s="197">
        <v>174.47399999999999</v>
      </c>
      <c r="DL119" s="197">
        <v>169.374</v>
      </c>
      <c r="DM119" s="191">
        <f t="shared" si="2828"/>
        <v>2.9230716324495365E-2</v>
      </c>
      <c r="DN119" s="200">
        <v>170.59700000000001</v>
      </c>
      <c r="DO119" s="200">
        <v>39.905000000000001</v>
      </c>
      <c r="DP119" s="200">
        <v>94.981999999999999</v>
      </c>
      <c r="DQ119" s="200">
        <f t="shared" si="3037"/>
        <v>134.887</v>
      </c>
      <c r="DR119" s="191">
        <f t="shared" si="3038"/>
        <v>0.98497248984659702</v>
      </c>
      <c r="DS119" s="199">
        <f t="shared" si="2925"/>
        <v>1.040679017500328</v>
      </c>
      <c r="DT119" s="200">
        <v>126.075</v>
      </c>
      <c r="DU119" s="202">
        <v>60.802999999999997</v>
      </c>
      <c r="DV119" s="200">
        <v>36.366</v>
      </c>
      <c r="DW119" s="191">
        <f t="shared" si="1537"/>
        <v>0.48227642276422761</v>
      </c>
      <c r="DX119" s="197">
        <v>30.146999999999998</v>
      </c>
      <c r="DY119" s="191">
        <f t="shared" si="2832"/>
        <v>0.11955978584176084</v>
      </c>
      <c r="DZ119" s="197">
        <v>42.055</v>
      </c>
      <c r="EA119" s="197">
        <v>40.837000000000003</v>
      </c>
      <c r="EB119" s="191">
        <f t="shared" si="2836"/>
        <v>2.8962073475210959E-2</v>
      </c>
      <c r="EC119" s="200">
        <v>35.536000000000001</v>
      </c>
      <c r="ED119" s="206">
        <f t="shared" si="2833"/>
        <v>22.5</v>
      </c>
      <c r="EE119" s="200">
        <v>36.366</v>
      </c>
      <c r="EF119" s="205">
        <f t="shared" si="3000"/>
        <v>58.866</v>
      </c>
      <c r="EG119" s="191">
        <f t="shared" si="3001"/>
        <v>0.60183620860598841</v>
      </c>
      <c r="EJ119" s="202">
        <f t="shared" si="3041"/>
        <v>14.002722222222223</v>
      </c>
      <c r="EK119" s="202">
        <f>'NOPA Crush'!B544*56/('NOPA Crush'!A544-'NOPA Crush'!A543)</f>
        <v>13.796881952046524</v>
      </c>
      <c r="EL119" s="203">
        <f t="shared" ref="EL119" si="3056">EJ119/EK119</f>
        <v>1.0149193325630481</v>
      </c>
      <c r="EM119" s="202">
        <f t="shared" si="3052"/>
        <v>7.0337666666666667</v>
      </c>
      <c r="EN119" s="202">
        <f t="shared" si="3053"/>
        <v>8.4049999999999993E-3</v>
      </c>
      <c r="EO119" s="202">
        <f t="shared" ref="EO119" si="3057">EJ119+EM119+EN119</f>
        <v>21.04489388888889</v>
      </c>
    </row>
    <row r="120" spans="1:145">
      <c r="A120" s="157">
        <v>45627</v>
      </c>
      <c r="B120" s="186">
        <v>6531.0429999999997</v>
      </c>
      <c r="C120" s="187">
        <f t="shared" si="3009"/>
        <v>217.70143333333331</v>
      </c>
      <c r="D120" s="247">
        <f>C120-'NOPA Crush'!G545</f>
        <v>11.097433333333299</v>
      </c>
      <c r="E120" s="188">
        <f>C120/'NOPA Crush'!G545-1</f>
        <v>5.3713545397636508E-2</v>
      </c>
      <c r="F120" s="189">
        <v>4826.2610000000004</v>
      </c>
      <c r="G120" s="189">
        <v>4744.3220000000001</v>
      </c>
      <c r="H120" s="189">
        <v>81.938999999999993</v>
      </c>
      <c r="I120" s="189">
        <v>335.88299999999998</v>
      </c>
      <c r="J120" s="190">
        <f t="shared" si="3049"/>
        <v>44.338348407750502</v>
      </c>
      <c r="K120" s="190">
        <f t="shared" ref="K120" si="3058">(F120+M120)*2/C120</f>
        <v>47.424069937986943</v>
      </c>
      <c r="L120" s="190">
        <f>K120-'NOPA Crush'!J545</f>
        <v>-5.9300620130571247E-3</v>
      </c>
      <c r="M120" s="189">
        <v>335.88299999999998</v>
      </c>
      <c r="N120" s="189">
        <v>41.143000000000001</v>
      </c>
      <c r="O120" s="189">
        <v>2572.6219999999998</v>
      </c>
      <c r="P120" s="189">
        <v>1191.559</v>
      </c>
      <c r="Q120" s="189">
        <v>651.97900000000004</v>
      </c>
      <c r="R120" s="211">
        <v>255.13399999999999</v>
      </c>
      <c r="S120" s="211">
        <v>284.44600000000003</v>
      </c>
      <c r="T120" s="189">
        <v>495.637</v>
      </c>
      <c r="U120" s="189">
        <f>(P120+T120)-'NOPA Crush'!Q545</f>
        <v>451.05399999999986</v>
      </c>
      <c r="V120" s="191">
        <f>((P120+T120)/'NOPA Crush'!Q545)-1</f>
        <v>0.36488849986490202</v>
      </c>
      <c r="W120" s="190">
        <f t="shared" si="3047"/>
        <v>11.817202857185292</v>
      </c>
      <c r="X120" s="190">
        <f>W120-'NOPA Crush'!O545</f>
        <v>-1.2797142814708451E-2</v>
      </c>
      <c r="Y120" s="190">
        <f t="shared" si="3048"/>
        <v>59.241272795172236</v>
      </c>
      <c r="Z120" s="211">
        <v>1970.0409999999999</v>
      </c>
      <c r="AA120" s="211">
        <v>1918.1389999999999</v>
      </c>
      <c r="AB120" s="191">
        <f t="shared" si="2784"/>
        <v>2.6345644583031545E-2</v>
      </c>
      <c r="AC120" s="344">
        <f>FORECAST(AF120,AC96:AC119,AF96:AF119)</f>
        <v>201.59611329272127</v>
      </c>
      <c r="AD120" s="211">
        <v>1905.518</v>
      </c>
      <c r="AE120" s="211">
        <v>1226.452</v>
      </c>
      <c r="AF120" s="211">
        <v>679.06600000000003</v>
      </c>
      <c r="AG120" s="191">
        <f t="shared" si="1322"/>
        <v>-6.5798151228873003E-3</v>
      </c>
      <c r="AI120" s="211">
        <v>666.04300000000001</v>
      </c>
      <c r="AJ120" s="247">
        <f t="shared" si="3014"/>
        <v>22.201433333333334</v>
      </c>
      <c r="AK120" s="211">
        <v>481.54500000000002</v>
      </c>
      <c r="AL120" s="211">
        <v>56.058</v>
      </c>
      <c r="AM120" s="190">
        <f t="shared" si="3015"/>
        <v>43.379631645404274</v>
      </c>
      <c r="AN120" s="190">
        <f t="shared" si="3016"/>
        <v>-0.95871676234622782</v>
      </c>
      <c r="AO120" s="211">
        <v>262.928</v>
      </c>
      <c r="AP120" s="211">
        <v>88.064999999999998</v>
      </c>
      <c r="AQ120" s="190">
        <f t="shared" si="3017"/>
        <v>11.842838975861918</v>
      </c>
      <c r="AR120" s="190">
        <f t="shared" si="3018"/>
        <v>2.5636118676626296E-2</v>
      </c>
      <c r="AS120" s="190">
        <f t="shared" si="3019"/>
        <v>55.22247062126619</v>
      </c>
      <c r="AT120" s="211">
        <v>1408.809</v>
      </c>
      <c r="AU120" s="247">
        <f t="shared" si="2791"/>
        <v>46.960299999999997</v>
      </c>
      <c r="AV120" s="211">
        <v>1043.739</v>
      </c>
      <c r="AW120" s="211">
        <v>79.686000000000007</v>
      </c>
      <c r="AX120" s="190">
        <f t="shared" si="3020"/>
        <v>44.451973262521754</v>
      </c>
      <c r="AY120" s="190">
        <f t="shared" si="3021"/>
        <v>0.11362485477125261</v>
      </c>
      <c r="AZ120" s="211">
        <v>552.17100000000005</v>
      </c>
      <c r="BA120" s="211">
        <v>95.873999999999995</v>
      </c>
      <c r="BB120" s="190">
        <f t="shared" si="3022"/>
        <v>11.758251118497967</v>
      </c>
      <c r="BC120" s="190">
        <f t="shared" si="3023"/>
        <v>-5.8951738687325062E-2</v>
      </c>
      <c r="BD120" s="247">
        <f t="shared" si="3024"/>
        <v>56.210224381019721</v>
      </c>
      <c r="BE120" s="211">
        <v>1380.5429999999999</v>
      </c>
      <c r="BF120" s="247">
        <f t="shared" si="2797"/>
        <v>46.018099999999997</v>
      </c>
      <c r="BG120" s="211">
        <v>1007.686</v>
      </c>
      <c r="BH120" s="211">
        <v>95.61</v>
      </c>
      <c r="BI120" s="190">
        <f t="shared" si="3025"/>
        <v>43.795202322564386</v>
      </c>
      <c r="BJ120" s="190">
        <f t="shared" si="3026"/>
        <v>-0.54314608518611607</v>
      </c>
      <c r="BK120" s="211">
        <v>536.19100000000003</v>
      </c>
      <c r="BL120" s="211">
        <v>211.29400000000001</v>
      </c>
      <c r="BM120" s="190">
        <f t="shared" ref="BM120" si="3059">BK120/BF120</f>
        <v>11.65174138002221</v>
      </c>
      <c r="BN120" s="190">
        <f t="shared" ref="BN120" si="3060">BM120-W120</f>
        <v>-0.16546147716308113</v>
      </c>
      <c r="BO120" s="247">
        <f t="shared" ref="BO120" si="3061">BM120+BI120</f>
        <v>55.446943702586594</v>
      </c>
      <c r="BP120" s="211">
        <v>1204.9359999999999</v>
      </c>
      <c r="BQ120" s="247">
        <f t="shared" si="2802"/>
        <v>40.164533333333331</v>
      </c>
      <c r="BR120" s="211">
        <v>902.99300000000005</v>
      </c>
      <c r="BS120" s="211">
        <v>86.42</v>
      </c>
      <c r="BT120" s="190">
        <f t="shared" ref="BT120" si="3062">BR120*2/BQ120</f>
        <v>44.964695220327059</v>
      </c>
      <c r="BU120" s="190">
        <f t="shared" ref="BU120" si="3063">BT120-J120</f>
        <v>0.626346812576557</v>
      </c>
      <c r="BV120" s="211">
        <v>474.20699999999999</v>
      </c>
      <c r="BW120" s="211">
        <v>118.718</v>
      </c>
      <c r="BX120" s="190">
        <f t="shared" ref="BX120" si="3064">BV120/BQ120</f>
        <v>11.806610475577127</v>
      </c>
      <c r="BY120" s="190">
        <f t="shared" ref="BY120" si="3065">BX120-W120</f>
        <v>-1.0592381608164558E-2</v>
      </c>
      <c r="BZ120" s="194">
        <f t="shared" si="3029"/>
        <v>56.771305695904189</v>
      </c>
      <c r="CA120" s="211">
        <v>667.51</v>
      </c>
      <c r="CB120" s="247">
        <f t="shared" si="2808"/>
        <v>22.250333333333334</v>
      </c>
      <c r="CC120" s="211">
        <v>490.33499999999998</v>
      </c>
      <c r="CD120" s="211">
        <v>39.406999999999996</v>
      </c>
      <c r="CE120" s="190">
        <f t="shared" ref="CE120" si="3066">CC120*2/CB120</f>
        <v>44.074395889200161</v>
      </c>
      <c r="CF120" s="190">
        <f t="shared" si="2989"/>
        <v>-0.26395251855034019</v>
      </c>
      <c r="CG120" s="211">
        <v>257.61200000000002</v>
      </c>
      <c r="CH120" s="211">
        <v>43.954999999999998</v>
      </c>
      <c r="CI120" s="190">
        <f t="shared" ref="CI120" si="3067">CG120/CB120</f>
        <v>11.57789396413537</v>
      </c>
      <c r="CJ120" s="190">
        <f t="shared" ref="CJ120" si="3068">CI120-W120</f>
        <v>-0.23930889304992142</v>
      </c>
      <c r="CK120" s="194">
        <f t="shared" ref="CK120" si="3069">CI120+CE120</f>
        <v>55.652289853335532</v>
      </c>
      <c r="CL120" s="211">
        <v>1203.202</v>
      </c>
      <c r="CM120" s="247">
        <f t="shared" si="2814"/>
        <v>40.106733333333331</v>
      </c>
      <c r="CN120" s="211">
        <v>899.96299999999997</v>
      </c>
      <c r="CO120" s="211">
        <v>57.000999999999998</v>
      </c>
      <c r="CP120" s="190">
        <f t="shared" ref="CP120" si="3070">CN120*2/CM120</f>
        <v>44.878399470745563</v>
      </c>
      <c r="CQ120" s="190">
        <f t="shared" ref="CQ120" si="3071">CP120-J120</f>
        <v>0.54005106299506167</v>
      </c>
      <c r="CR120" s="211">
        <v>489.51299999999998</v>
      </c>
      <c r="CS120" s="211">
        <v>94.072999999999993</v>
      </c>
      <c r="CT120" s="190">
        <f t="shared" ref="CT120" si="3072">CR120/CM120</f>
        <v>12.205257305090916</v>
      </c>
      <c r="CU120" s="190">
        <f t="shared" ref="CU120" si="3073">CT120-W120</f>
        <v>0.38805444790562404</v>
      </c>
      <c r="CV120" s="247">
        <f t="shared" ref="CV120" si="3074">CP120+CT120</f>
        <v>57.083656775836481</v>
      </c>
      <c r="CW120" s="163"/>
      <c r="CX120" s="238">
        <f t="shared" si="3003"/>
        <v>0</v>
      </c>
      <c r="CY120" s="238">
        <f t="shared" si="3004"/>
        <v>0</v>
      </c>
      <c r="CZ120" s="238">
        <f t="shared" si="3005"/>
        <v>-78.299000000000007</v>
      </c>
      <c r="DA120" s="238">
        <f t="shared" si="3006"/>
        <v>0</v>
      </c>
      <c r="DB120" s="238">
        <f t="shared" si="3007"/>
        <v>0</v>
      </c>
      <c r="DC120" s="238">
        <f t="shared" si="3008"/>
        <v>0</v>
      </c>
      <c r="DD120" s="163"/>
      <c r="DE120" s="200">
        <v>223.154</v>
      </c>
      <c r="DF120" s="200">
        <v>132.98699999999999</v>
      </c>
      <c r="DG120" s="200">
        <v>37.61</v>
      </c>
      <c r="DH120" s="191">
        <f t="shared" si="2826"/>
        <v>0.595942712207713</v>
      </c>
      <c r="DI120" s="197">
        <v>173.78200000000001</v>
      </c>
      <c r="DJ120" s="191">
        <f t="shared" si="2827"/>
        <v>0.38937684289772984</v>
      </c>
      <c r="DK120" s="197">
        <v>178.34800000000001</v>
      </c>
      <c r="DL120" s="197">
        <v>173.04300000000001</v>
      </c>
      <c r="DM120" s="191">
        <f t="shared" si="2828"/>
        <v>2.9745217215780384E-2</v>
      </c>
      <c r="DN120" s="200">
        <v>174.78</v>
      </c>
      <c r="DO120" s="200">
        <v>28.529</v>
      </c>
      <c r="DP120" s="200">
        <v>97.71</v>
      </c>
      <c r="DQ120" s="200">
        <f t="shared" si="3037"/>
        <v>126.23899999999999</v>
      </c>
      <c r="DR120" s="191">
        <f t="shared" si="3038"/>
        <v>0.98531955510544278</v>
      </c>
      <c r="DS120" s="199">
        <f t="shared" si="2925"/>
        <v>1.0262742976833044</v>
      </c>
      <c r="DT120" s="200">
        <v>105.944</v>
      </c>
      <c r="DU120" s="202">
        <v>48.55</v>
      </c>
      <c r="DV120" s="200">
        <v>35.115000000000002</v>
      </c>
      <c r="DW120" s="191">
        <f t="shared" si="1537"/>
        <v>0.45826096805859695</v>
      </c>
      <c r="DX120" s="197">
        <v>28.571000000000002</v>
      </c>
      <c r="DY120" s="191">
        <f t="shared" si="2832"/>
        <v>0.13484010420599563</v>
      </c>
      <c r="DZ120" s="197">
        <v>31.076000000000001</v>
      </c>
      <c r="EA120" s="197">
        <v>30.306999999999999</v>
      </c>
      <c r="EB120" s="191">
        <f t="shared" si="2836"/>
        <v>2.4745784528253378E-2</v>
      </c>
      <c r="EC120" s="200">
        <v>32.417000000000002</v>
      </c>
      <c r="ED120" s="206">
        <f t="shared" si="2833"/>
        <v>27.5</v>
      </c>
      <c r="EE120" s="200">
        <v>35.115000000000002</v>
      </c>
      <c r="EF120" s="205">
        <f t="shared" si="3000"/>
        <v>62.615000000000002</v>
      </c>
      <c r="EG120" s="191">
        <f t="shared" si="3001"/>
        <v>0.59310107226459263</v>
      </c>
      <c r="EJ120" s="202">
        <f t="shared" si="3041"/>
        <v>14.04525376344086</v>
      </c>
      <c r="EK120" s="202">
        <f>'NOPA Crush'!B545*56/('NOPA Crush'!A545-'NOPA Crush'!A544)</f>
        <v>14.337118772898789</v>
      </c>
      <c r="EL120" s="203">
        <f t="shared" ref="EL120:EL121" si="3075">EJ120/EK120</f>
        <v>0.9796427012929797</v>
      </c>
      <c r="EM120" s="202">
        <f>DE120/($A121-$A120)</f>
        <v>7.1985161290322583</v>
      </c>
      <c r="EN120" s="202">
        <f>(DT120*2000/1000000)/($A121-$A120)</f>
        <v>6.8350967741935484E-3</v>
      </c>
      <c r="EO120" s="202">
        <f t="shared" ref="EO120:EO121" si="3076">EJ120+EM120+EN120</f>
        <v>21.250604989247311</v>
      </c>
    </row>
    <row r="121" spans="1:145">
      <c r="A121" s="157">
        <v>45658</v>
      </c>
      <c r="B121" s="186">
        <v>6376.6350000000002</v>
      </c>
      <c r="C121" s="187">
        <f t="shared" ref="C121" si="3077">B121/30</f>
        <v>212.55450000000002</v>
      </c>
      <c r="D121" s="247">
        <f>C121-'NOPA Crush'!G546</f>
        <v>12.171500000000009</v>
      </c>
      <c r="E121" s="188">
        <f>C121/'NOPA Crush'!G546-1</f>
        <v>6.0741180639076298E-2</v>
      </c>
      <c r="F121" s="189">
        <v>4712.3649999999998</v>
      </c>
      <c r="G121" s="189">
        <v>4634.4219999999996</v>
      </c>
      <c r="H121" s="189">
        <v>77.942999999999998</v>
      </c>
      <c r="I121" s="189">
        <v>426.33</v>
      </c>
      <c r="J121" s="190">
        <f t="shared" ref="J121" si="3078">F121*2/C121</f>
        <v>44.340298605769341</v>
      </c>
      <c r="K121" s="190">
        <f t="shared" ref="K121" si="3079">(F121+M121)*2/C121</f>
        <v>47.47971931904523</v>
      </c>
      <c r="L121" s="190">
        <f>K121-'NOPA Crush'!J546</f>
        <v>4.9719319045230748E-2</v>
      </c>
      <c r="M121" s="189">
        <v>333.649</v>
      </c>
      <c r="N121" s="189">
        <v>35.651000000000003</v>
      </c>
      <c r="O121" s="189">
        <v>2526.6570000000002</v>
      </c>
      <c r="P121" s="189">
        <v>1611.741</v>
      </c>
      <c r="Q121" s="189">
        <v>1053.5989999999999</v>
      </c>
      <c r="R121" s="211">
        <v>332.03399999999999</v>
      </c>
      <c r="S121" s="211">
        <v>226.108</v>
      </c>
      <c r="T121" s="189">
        <v>478.48700000000002</v>
      </c>
      <c r="U121" s="189">
        <f>(P121+T121)-'NOPA Crush'!Q546</f>
        <v>587.12900000000013</v>
      </c>
      <c r="V121" s="191">
        <f>((P121+T121)/'NOPA Crush'!Q546)-1</f>
        <v>0.39061232826314174</v>
      </c>
      <c r="W121" s="190">
        <f t="shared" ref="W121" si="3080">O121/C121</f>
        <v>11.887101896219557</v>
      </c>
      <c r="X121" s="190">
        <f>W121-'NOPA Crush'!O546</f>
        <v>5.7101896219556636E-2</v>
      </c>
      <c r="Y121" s="190">
        <f t="shared" ref="Y121" si="3081">K121+W121</f>
        <v>59.366821215264785</v>
      </c>
      <c r="Z121" s="211">
        <v>1766.3440000000001</v>
      </c>
      <c r="AA121" s="211">
        <v>1717.6210000000001</v>
      </c>
      <c r="AB121" s="191">
        <f t="shared" ref="AB121:AB127" si="3082">(Z121-AA121)/Z121</f>
        <v>2.7584094604448484E-2</v>
      </c>
      <c r="AC121" s="211">
        <v>178.09</v>
      </c>
      <c r="AD121" s="211">
        <v>1753.5150000000001</v>
      </c>
      <c r="AE121" s="211">
        <v>1208.9780000000001</v>
      </c>
      <c r="AF121" s="211">
        <v>544.53700000000003</v>
      </c>
      <c r="AG121" s="191">
        <f t="shared" ref="AG121:AG127" si="3083">AD121/AA121-1</f>
        <v>2.0897508821794863E-2</v>
      </c>
      <c r="AI121" s="211">
        <v>582.101</v>
      </c>
      <c r="AJ121" s="247">
        <f>AI121/30</f>
        <v>19.403366666666667</v>
      </c>
      <c r="AK121" s="211">
        <v>422.31400000000002</v>
      </c>
      <c r="AL121" s="211">
        <v>84.135000000000005</v>
      </c>
      <c r="AM121" s="190">
        <f t="shared" ref="AM121" si="3084">AK121*2/AJ121</f>
        <v>43.529971602866169</v>
      </c>
      <c r="AN121" s="190">
        <f t="shared" ref="AN121" si="3085">AM121-J121</f>
        <v>-0.81032700290317194</v>
      </c>
      <c r="AO121" s="211">
        <v>239.285</v>
      </c>
      <c r="AP121" s="211">
        <v>115.75700000000001</v>
      </c>
      <c r="AQ121" s="190">
        <f t="shared" ref="AQ121" si="3086">AO121/AJ121</f>
        <v>12.332138237178771</v>
      </c>
      <c r="AR121" s="190">
        <f t="shared" ref="AR121" si="3087">AQ121-W121</f>
        <v>0.44503634095921463</v>
      </c>
      <c r="AS121" s="190">
        <f t="shared" ref="AS121" si="3088">AM121+AQ121</f>
        <v>55.862109840044937</v>
      </c>
      <c r="AT121" s="211">
        <v>1397.9680000000001</v>
      </c>
      <c r="AU121" s="247">
        <f>AT121/30</f>
        <v>46.598933333333335</v>
      </c>
      <c r="AV121" s="211">
        <v>1042.7539999999999</v>
      </c>
      <c r="AW121" s="211">
        <v>75.043000000000006</v>
      </c>
      <c r="AX121" s="190">
        <f t="shared" ref="AX121" si="3089">AV121*2/AU121</f>
        <v>44.754414979455888</v>
      </c>
      <c r="AY121" s="190">
        <f t="shared" ref="AY121" si="3090">AX121-J121</f>
        <v>0.41411637368654652</v>
      </c>
      <c r="AZ121" s="249">
        <v>553.33500000000004</v>
      </c>
      <c r="BA121" s="211">
        <v>135.82599999999999</v>
      </c>
      <c r="BB121" s="190">
        <f t="shared" ref="BB121" si="3091">AZ121/AU121</f>
        <v>11.874413434356152</v>
      </c>
      <c r="BC121" s="190">
        <f t="shared" ref="BC121" si="3092">BB121-W121</f>
        <v>-1.2688461863405109E-2</v>
      </c>
      <c r="BD121" s="247">
        <f t="shared" ref="BD121" si="3093">AX121+BB121</f>
        <v>56.628828413812037</v>
      </c>
      <c r="BE121" s="211">
        <v>1412.991</v>
      </c>
      <c r="BF121" s="247">
        <f>BE121/30</f>
        <v>47.099699999999999</v>
      </c>
      <c r="BG121" s="211">
        <v>1032.9649999999999</v>
      </c>
      <c r="BH121" s="211">
        <v>112.053</v>
      </c>
      <c r="BI121" s="190">
        <f t="shared" ref="BI121" si="3094">BG121*2/BF121</f>
        <v>43.862912077996249</v>
      </c>
      <c r="BJ121" s="190">
        <f t="shared" ref="BJ121" si="3095">BI121-J121</f>
        <v>-0.47738652777309198</v>
      </c>
      <c r="BK121" s="211">
        <v>560</v>
      </c>
      <c r="BL121" s="211">
        <v>218.018</v>
      </c>
      <c r="BM121" s="190">
        <f t="shared" ref="BM121" si="3096">BK121/BF121</f>
        <v>11.889672333369427</v>
      </c>
      <c r="BN121" s="190">
        <f t="shared" ref="BN121" si="3097">BM121-W121</f>
        <v>2.5704371498704859E-3</v>
      </c>
      <c r="BO121" s="247">
        <f t="shared" ref="BO121" si="3098">BM121+BI121</f>
        <v>55.752584411365675</v>
      </c>
      <c r="BP121" s="211">
        <v>1223.4949999999999</v>
      </c>
      <c r="BQ121" s="247">
        <f>BP121/30</f>
        <v>40.783166666666666</v>
      </c>
      <c r="BR121" s="211">
        <v>918.24800000000005</v>
      </c>
      <c r="BS121" s="211">
        <v>78.84</v>
      </c>
      <c r="BT121" s="190">
        <f t="shared" ref="BT121" si="3099">BR121*2/BQ121</f>
        <v>45.030735720211368</v>
      </c>
      <c r="BU121" s="190">
        <f t="shared" ref="BU121" si="3100">BT121-J121</f>
        <v>0.69043711444202671</v>
      </c>
      <c r="BV121" s="211">
        <v>482.44499999999999</v>
      </c>
      <c r="BW121" s="211">
        <v>155.36500000000001</v>
      </c>
      <c r="BX121" s="190">
        <f t="shared" ref="BX121" si="3101">BV121/BQ121</f>
        <v>11.829512993514481</v>
      </c>
      <c r="BY121" s="190">
        <f t="shared" ref="BY121" si="3102">BX121-W121</f>
        <v>-5.7588902705075995E-2</v>
      </c>
      <c r="BZ121" s="194">
        <f t="shared" ref="BZ121" si="3103">BT121+BX121</f>
        <v>56.860248713725852</v>
      </c>
      <c r="CA121" s="211">
        <v>651.976</v>
      </c>
      <c r="CB121" s="247">
        <f>CA121/30</f>
        <v>21.732533333333333</v>
      </c>
      <c r="CC121" s="211">
        <v>466.04399999999998</v>
      </c>
      <c r="CD121" s="211">
        <v>29.309000000000001</v>
      </c>
      <c r="CE121" s="190">
        <f t="shared" ref="CE121:CE126" si="3104">CC121*2/CB121</f>
        <v>42.889063401106789</v>
      </c>
      <c r="CF121" s="190">
        <f t="shared" si="2989"/>
        <v>-1.4512352046625523</v>
      </c>
      <c r="CG121" s="211">
        <v>251.57499999999999</v>
      </c>
      <c r="CH121" s="211">
        <v>60.999000000000002</v>
      </c>
      <c r="CI121" s="190">
        <f t="shared" ref="CI121:CI126" si="3105">CG121/CB121</f>
        <v>11.57596291888045</v>
      </c>
      <c r="CJ121" s="190">
        <f t="shared" ref="CJ121:CJ126" si="3106">CI121-W121</f>
        <v>-0.31113897733910711</v>
      </c>
      <c r="CK121" s="194">
        <f t="shared" ref="CK121:CK126" si="3107">CI121+CE121</f>
        <v>54.465026319987238</v>
      </c>
      <c r="CL121" s="211">
        <v>1108.104</v>
      </c>
      <c r="CM121" s="247">
        <f>CL121/30</f>
        <v>36.936799999999998</v>
      </c>
      <c r="CN121" s="211">
        <v>830.04</v>
      </c>
      <c r="CO121" s="211">
        <v>46.95</v>
      </c>
      <c r="CP121" s="190">
        <f t="shared" ref="CP121:CP126" si="3108">CN121*2/CM121</f>
        <v>44.943795889194519</v>
      </c>
      <c r="CQ121" s="190">
        <f t="shared" ref="CQ121:CQ126" si="3109">CP121-J121</f>
        <v>0.6034972834251775</v>
      </c>
      <c r="CR121" s="211">
        <v>440.017</v>
      </c>
      <c r="CS121" s="211">
        <v>93.962999999999994</v>
      </c>
      <c r="CT121" s="190">
        <f t="shared" ref="CT121:CT126" si="3110">CR121/CM121</f>
        <v>11.912699530008014</v>
      </c>
      <c r="CU121" s="190">
        <f t="shared" ref="CU121:CU126" si="3111">CT121-W121</f>
        <v>2.5597633788457586E-2</v>
      </c>
      <c r="CV121" s="247">
        <f t="shared" ref="CV121:CV126" si="3112">CP121+CT121</f>
        <v>56.856495419202531</v>
      </c>
      <c r="CW121" s="163"/>
      <c r="CX121" s="238">
        <f t="shared" si="3003"/>
        <v>0</v>
      </c>
      <c r="CY121" s="238">
        <f t="shared" si="3004"/>
        <v>0</v>
      </c>
      <c r="CZ121" s="238">
        <f t="shared" si="3005"/>
        <v>0</v>
      </c>
      <c r="DA121" s="238">
        <f t="shared" si="3006"/>
        <v>0</v>
      </c>
      <c r="DB121" s="238">
        <f t="shared" si="3007"/>
        <v>273.67099999999982</v>
      </c>
      <c r="DC121" s="238">
        <f t="shared" si="3008"/>
        <v>0</v>
      </c>
      <c r="DD121" s="163"/>
      <c r="DE121" s="200">
        <v>205.923</v>
      </c>
      <c r="DF121" s="200">
        <v>124.14400000000001</v>
      </c>
      <c r="DG121" s="200">
        <v>33.527000000000001</v>
      </c>
      <c r="DH121" s="191">
        <f t="shared" si="2826"/>
        <v>0.60286611986033611</v>
      </c>
      <c r="DI121" s="197">
        <v>160.161</v>
      </c>
      <c r="DJ121" s="191">
        <f t="shared" si="2827"/>
        <v>0.38888565143281711</v>
      </c>
      <c r="DK121" s="197">
        <v>162.04499999999999</v>
      </c>
      <c r="DL121" s="197">
        <v>156.98099999999999</v>
      </c>
      <c r="DM121" s="191">
        <f t="shared" si="2828"/>
        <v>3.1250578542997287E-2</v>
      </c>
      <c r="DN121" s="200">
        <v>159.65100000000001</v>
      </c>
      <c r="DO121" s="200">
        <v>34.773000000000003</v>
      </c>
      <c r="DP121" s="200">
        <v>112.837</v>
      </c>
      <c r="DQ121" s="200">
        <f t="shared" ref="DQ121:DQ126" si="3113">DP121+DO121</f>
        <v>147.61000000000001</v>
      </c>
      <c r="DR121" s="191">
        <f t="shared" ref="DR121:DR126" si="3114">DJ121+DH121</f>
        <v>0.99175177129315317</v>
      </c>
      <c r="DS121" s="199">
        <f t="shared" ref="DS121:DS126" si="3115">DK121/DI121</f>
        <v>1.0117631633169122</v>
      </c>
      <c r="DT121" s="200">
        <v>116.063</v>
      </c>
      <c r="DU121" s="202">
        <v>52.167000000000002</v>
      </c>
      <c r="DV121" s="200">
        <v>34.978999999999999</v>
      </c>
      <c r="DW121" s="191">
        <f>DU121/DT121</f>
        <v>0.44947140776991806</v>
      </c>
      <c r="DX121" s="197">
        <v>30.431000000000001</v>
      </c>
      <c r="DY121" s="191">
        <f>DX121/DT121/2</f>
        <v>0.13109690426750989</v>
      </c>
      <c r="DZ121" s="197">
        <v>34.765000000000001</v>
      </c>
      <c r="EA121" s="197">
        <v>33.798999999999999</v>
      </c>
      <c r="EB121" s="191">
        <f>1-EA121/DZ121</f>
        <v>2.7786566949518199E-2</v>
      </c>
      <c r="EC121" s="200">
        <v>35.514000000000003</v>
      </c>
      <c r="ED121" s="206">
        <f>MROUND(FORECAST(DZ121,ED106:ED120,DZ106:DZ120),2.5)</f>
        <v>25</v>
      </c>
      <c r="EE121" s="202">
        <v>35.229999999999997</v>
      </c>
      <c r="EF121" s="205">
        <f>EE121+ED121</f>
        <v>60.23</v>
      </c>
      <c r="EG121" s="191">
        <f>DY121+DW121</f>
        <v>0.58056831203742798</v>
      </c>
      <c r="EJ121" s="202">
        <f t="shared" si="3041"/>
        <v>13.713193548387098</v>
      </c>
      <c r="EK121" s="202">
        <f>'NOPA Crush'!B546*56/('NOPA Crush'!A546-'NOPA Crush'!A545)</f>
        <v>13.751992841305272</v>
      </c>
      <c r="EL121" s="203">
        <f t="shared" si="3075"/>
        <v>0.99717864215274765</v>
      </c>
      <c r="EM121" s="202">
        <f t="shared" ref="EM121" si="3116">DE121/($A122-$A121)</f>
        <v>6.6426774193548388</v>
      </c>
      <c r="EN121" s="202">
        <f t="shared" ref="EN121" si="3117">(DT121*2000/1000000)/($A122-$A121)</f>
        <v>7.4879354838709678E-3</v>
      </c>
      <c r="EO121" s="202">
        <f t="shared" si="3076"/>
        <v>20.363358903225805</v>
      </c>
    </row>
    <row r="122" spans="1:145">
      <c r="A122" s="157">
        <v>45689</v>
      </c>
      <c r="B122" s="186">
        <v>5687.3040000000001</v>
      </c>
      <c r="C122" s="187">
        <f t="shared" ref="C122" si="3118">B122/30</f>
        <v>189.57679999999999</v>
      </c>
      <c r="D122" s="247">
        <f>C122-'NOPA Crush'!G547</f>
        <v>11.706799999999987</v>
      </c>
      <c r="E122" s="188">
        <f>C122/'NOPA Crush'!G547-1</f>
        <v>6.581660763478947E-2</v>
      </c>
      <c r="F122" s="189">
        <v>4206.7359999999999</v>
      </c>
      <c r="G122" s="189">
        <v>4131.9759999999997</v>
      </c>
      <c r="H122" s="189">
        <v>74.760000000000005</v>
      </c>
      <c r="I122" s="189">
        <v>435.851</v>
      </c>
      <c r="J122" s="190">
        <f t="shared" ref="J122" si="3119">F122*2/C122</f>
        <v>44.38028281941672</v>
      </c>
      <c r="K122" s="190">
        <f t="shared" ref="K122" si="3120">(F122+M122)*2/C122</f>
        <v>47.521795915955956</v>
      </c>
      <c r="L122" s="190">
        <f>K122-'NOPA Crush'!J547</f>
        <v>-8.2040840440456009E-3</v>
      </c>
      <c r="M122" s="189">
        <v>297.779</v>
      </c>
      <c r="N122" s="189">
        <v>35.880000000000003</v>
      </c>
      <c r="O122" s="189">
        <v>2245.19</v>
      </c>
      <c r="P122" s="189">
        <v>1476.9169999999999</v>
      </c>
      <c r="Q122" s="189">
        <v>833.30399999999997</v>
      </c>
      <c r="R122" s="211">
        <v>347.86900000000003</v>
      </c>
      <c r="S122" s="211">
        <v>295.74400000000003</v>
      </c>
      <c r="T122" s="189">
        <v>446.69900000000001</v>
      </c>
      <c r="U122" s="189">
        <f>(P122+T122)-'NOPA Crush'!Q547</f>
        <v>425.59899999999993</v>
      </c>
      <c r="V122" s="191">
        <f>((P122+T122)/'NOPA Crush'!Q547)-1</f>
        <v>0.28410825778345639</v>
      </c>
      <c r="W122" s="190">
        <f t="shared" ref="W122" si="3121">O122/C122</f>
        <v>11.843168573369738</v>
      </c>
      <c r="X122" s="190">
        <f>W122-'NOPA Crush'!O547</f>
        <v>-7.6831426630262101E-2</v>
      </c>
      <c r="Y122" s="190">
        <f t="shared" ref="Y122" si="3122">K122+W122</f>
        <v>59.364964489325693</v>
      </c>
      <c r="Z122" s="211">
        <v>1657.5160000000001</v>
      </c>
      <c r="AA122" s="211">
        <v>1612.586</v>
      </c>
      <c r="AB122" s="191">
        <f t="shared" si="3082"/>
        <v>2.7106827324743812E-2</v>
      </c>
      <c r="AC122" s="211">
        <v>173.505</v>
      </c>
      <c r="AD122" s="211">
        <v>1635.5219999999999</v>
      </c>
      <c r="AE122" s="211">
        <v>1083.1890000000001</v>
      </c>
      <c r="AF122" s="211">
        <v>552.33299999999997</v>
      </c>
      <c r="AG122" s="191">
        <f t="shared" si="3083"/>
        <v>1.4223117402730745E-2</v>
      </c>
      <c r="AI122" s="211">
        <v>512.11400000000003</v>
      </c>
      <c r="AJ122" s="247">
        <f>AI122/30</f>
        <v>17.070466666666668</v>
      </c>
      <c r="AK122" s="211">
        <v>368.75</v>
      </c>
      <c r="AL122" s="211">
        <v>78.953000000000003</v>
      </c>
      <c r="AM122" s="190">
        <f t="shared" ref="AM122" si="3123">AK122*2/AJ122</f>
        <v>43.20327114665875</v>
      </c>
      <c r="AN122" s="190">
        <f t="shared" ref="AN122" si="3124">AM122-J122</f>
        <v>-1.1770116727579705</v>
      </c>
      <c r="AO122" s="211">
        <v>205.197</v>
      </c>
      <c r="AP122" s="211">
        <v>122.93300000000001</v>
      </c>
      <c r="AQ122" s="190">
        <f t="shared" ref="AQ122" si="3125">AO122/AJ122</f>
        <v>12.020585260313133</v>
      </c>
      <c r="AR122" s="190">
        <f t="shared" ref="AR122" si="3126">AQ122-W122</f>
        <v>0.17741668694339552</v>
      </c>
      <c r="AS122" s="190">
        <f t="shared" ref="AS122" si="3127">AM122+AQ122</f>
        <v>55.223856406971883</v>
      </c>
      <c r="AT122" s="211">
        <v>1291.777</v>
      </c>
      <c r="AU122" s="247">
        <f>AT122/30</f>
        <v>43.059233333333331</v>
      </c>
      <c r="AV122" s="211">
        <v>966.56299999999999</v>
      </c>
      <c r="AW122" s="211">
        <v>65.789000000000001</v>
      </c>
      <c r="AX122" s="190">
        <f>AV122*2/AU122</f>
        <v>44.894575456909358</v>
      </c>
      <c r="AY122" s="190">
        <f>AX122-J122</f>
        <v>0.51429263749263754</v>
      </c>
      <c r="AZ122" s="249">
        <v>516.39400000000001</v>
      </c>
      <c r="BA122" s="211">
        <v>126.245</v>
      </c>
      <c r="BB122" s="190">
        <f t="shared" ref="BB122" si="3128">AZ122/AU122</f>
        <v>11.992642692972549</v>
      </c>
      <c r="BC122" s="190">
        <f t="shared" ref="BC122" si="3129">BB122-W122</f>
        <v>0.14947411960281087</v>
      </c>
      <c r="BD122" s="247">
        <f>AX122+BB122</f>
        <v>56.887218149881903</v>
      </c>
      <c r="BE122" s="211">
        <v>1272.385</v>
      </c>
      <c r="BF122" s="247">
        <f>BE122/30</f>
        <v>42.412833333333332</v>
      </c>
      <c r="BG122" s="211">
        <v>934.18899999999996</v>
      </c>
      <c r="BH122" s="211">
        <v>114.764</v>
      </c>
      <c r="BI122" s="190">
        <f t="shared" ref="BI122" si="3130">BG122*2/BF122</f>
        <v>44.05218546273337</v>
      </c>
      <c r="BJ122" s="190">
        <f t="shared" ref="BJ122" si="3131">BI122-J122</f>
        <v>-0.32809735668335094</v>
      </c>
      <c r="BK122" s="211">
        <v>493.81599999999997</v>
      </c>
      <c r="BL122" s="211">
        <v>221.495</v>
      </c>
      <c r="BM122" s="190">
        <f t="shared" ref="BM122" si="3132">BK122/BF122</f>
        <v>11.643079728226912</v>
      </c>
      <c r="BN122" s="190">
        <f t="shared" ref="BN122" si="3133">BM122-W122</f>
        <v>-0.20008884514282599</v>
      </c>
      <c r="BO122" s="247">
        <f t="shared" ref="BO122:BO123" si="3134">BM122+BI122</f>
        <v>55.695265190960285</v>
      </c>
      <c r="BP122" s="211">
        <v>1066.893</v>
      </c>
      <c r="BQ122" s="247">
        <f>BP122/30</f>
        <v>35.563099999999999</v>
      </c>
      <c r="BR122" s="211">
        <v>799.46</v>
      </c>
      <c r="BS122" s="211">
        <v>84.882999999999996</v>
      </c>
      <c r="BT122" s="190">
        <f t="shared" ref="BT122" si="3135">BR122*2/BQ122</f>
        <v>44.960085031957284</v>
      </c>
      <c r="BU122" s="190">
        <f t="shared" ref="BU122" si="3136">BT122-J122</f>
        <v>0.57980221254056374</v>
      </c>
      <c r="BV122" s="211">
        <v>416.48599999999999</v>
      </c>
      <c r="BW122" s="211">
        <v>184.92099999999999</v>
      </c>
      <c r="BX122" s="190">
        <f t="shared" ref="BX122" si="3137">BV122/BQ122</f>
        <v>11.711183783191004</v>
      </c>
      <c r="BY122" s="190">
        <f t="shared" ref="BY122" si="3138">BX122-W122</f>
        <v>-0.1319847901787341</v>
      </c>
      <c r="BZ122" s="194">
        <f t="shared" ref="BZ122" si="3139">BT122+BX122</f>
        <v>56.671268815148288</v>
      </c>
      <c r="CA122" s="211">
        <v>541.40200000000004</v>
      </c>
      <c r="CB122" s="247">
        <f>CA122/30</f>
        <v>18.046733333333336</v>
      </c>
      <c r="CC122" s="211">
        <v>391.37099999999998</v>
      </c>
      <c r="CD122" s="211">
        <v>45.158999999999999</v>
      </c>
      <c r="CE122" s="190">
        <f t="shared" si="3104"/>
        <v>43.37305735848777</v>
      </c>
      <c r="CF122" s="190">
        <f t="shared" si="2989"/>
        <v>-1.0072254609289502</v>
      </c>
      <c r="CG122" s="211">
        <v>209.16499999999999</v>
      </c>
      <c r="CH122" s="211">
        <v>45.59</v>
      </c>
      <c r="CI122" s="190">
        <f t="shared" si="3105"/>
        <v>11.590186220220833</v>
      </c>
      <c r="CJ122" s="190">
        <f t="shared" si="3106"/>
        <v>-0.25298235314890505</v>
      </c>
      <c r="CK122" s="194">
        <f t="shared" si="3107"/>
        <v>54.9632435787086</v>
      </c>
      <c r="CL122" s="211">
        <v>1002.7329999999999</v>
      </c>
      <c r="CM122" s="247">
        <f>CL122/30</f>
        <v>33.424433333333333</v>
      </c>
      <c r="CN122" s="211">
        <v>746.40300000000002</v>
      </c>
      <c r="CO122" s="211">
        <v>46.302999999999997</v>
      </c>
      <c r="CP122" s="190">
        <f t="shared" si="3108"/>
        <v>44.662118430329912</v>
      </c>
      <c r="CQ122" s="190">
        <f t="shared" si="3109"/>
        <v>0.2818356109131912</v>
      </c>
      <c r="CR122" s="211">
        <v>404.13200000000001</v>
      </c>
      <c r="CS122" s="211">
        <v>132.12</v>
      </c>
      <c r="CT122" s="190">
        <f t="shared" si="3110"/>
        <v>12.090915527862352</v>
      </c>
      <c r="CU122" s="190">
        <f t="shared" si="3111"/>
        <v>0.24774695449261408</v>
      </c>
      <c r="CV122" s="247">
        <f t="shared" si="3112"/>
        <v>56.753033958192262</v>
      </c>
      <c r="CW122" s="163"/>
      <c r="CX122" s="238">
        <f t="shared" si="3003"/>
        <v>0</v>
      </c>
      <c r="CY122" s="238">
        <f t="shared" si="3004"/>
        <v>0</v>
      </c>
      <c r="CZ122" s="238">
        <f t="shared" si="3005"/>
        <v>0</v>
      </c>
      <c r="DA122" s="238">
        <f t="shared" si="3006"/>
        <v>0</v>
      </c>
      <c r="DB122" s="238">
        <f t="shared" si="3007"/>
        <v>0</v>
      </c>
      <c r="DC122" s="238">
        <f t="shared" si="3008"/>
        <v>0</v>
      </c>
      <c r="DD122" s="163"/>
      <c r="DE122" s="200">
        <v>154.73400000000001</v>
      </c>
      <c r="DF122" s="200">
        <v>93.248000000000005</v>
      </c>
      <c r="DG122" s="200">
        <v>28.361000000000001</v>
      </c>
      <c r="DH122" s="191">
        <f t="shared" si="2826"/>
        <v>0.60263419804309326</v>
      </c>
      <c r="DI122" s="197">
        <v>120.587</v>
      </c>
      <c r="DJ122" s="191">
        <f t="shared" si="2827"/>
        <v>0.38965902775084982</v>
      </c>
      <c r="DK122" s="197">
        <v>132.62200000000001</v>
      </c>
      <c r="DL122" s="197">
        <v>129.19499999999999</v>
      </c>
      <c r="DM122" s="191">
        <f t="shared" si="2828"/>
        <v>2.5840358311592482E-2</v>
      </c>
      <c r="DN122" s="200">
        <v>140.98500000000001</v>
      </c>
      <c r="DO122" s="200">
        <v>54.366999999999997</v>
      </c>
      <c r="DP122" s="200">
        <v>104.871</v>
      </c>
      <c r="DQ122" s="200">
        <f t="shared" si="3113"/>
        <v>159.238</v>
      </c>
      <c r="DR122" s="191">
        <f t="shared" si="3114"/>
        <v>0.99229322579394308</v>
      </c>
      <c r="DS122" s="199">
        <f t="shared" si="3115"/>
        <v>1.0998034614013119</v>
      </c>
      <c r="DT122" s="200">
        <v>116.922</v>
      </c>
      <c r="DU122" s="202">
        <v>54.219000000000001</v>
      </c>
      <c r="DV122" s="200">
        <v>45.627000000000002</v>
      </c>
      <c r="DW122" s="191">
        <f>DU122/DT122</f>
        <v>0.46371940267870893</v>
      </c>
      <c r="DX122" s="197">
        <v>29.39</v>
      </c>
      <c r="DY122" s="191">
        <f>DX122/DT122/2</f>
        <v>0.12568207865072442</v>
      </c>
      <c r="DZ122" s="197">
        <v>32.542999999999999</v>
      </c>
      <c r="EA122" s="197">
        <v>31.785</v>
      </c>
      <c r="EB122" s="191">
        <f>1-EA122/DZ122</f>
        <v>2.3292259472083021E-2</v>
      </c>
      <c r="EC122" s="200">
        <v>32.698</v>
      </c>
      <c r="ED122" s="206">
        <f>MROUND(FORECAST(DZ122,ED107:ED121,DZ107:DZ121),2.5)</f>
        <v>27.5</v>
      </c>
      <c r="EE122" s="202">
        <v>36.363999999999997</v>
      </c>
      <c r="EF122" s="205">
        <f>EE122+ED122</f>
        <v>63.863999999999997</v>
      </c>
      <c r="EG122" s="191">
        <f>DY122+DW122</f>
        <v>0.58940148132943337</v>
      </c>
      <c r="EJ122" s="202">
        <f t="shared" ref="EJ122" si="3140">(C122*2000/1000)/(A123-A122)</f>
        <v>13.5412</v>
      </c>
      <c r="EK122" s="202">
        <f>'NOPA Crush'!B547*56/('NOPA Crush'!A547-'NOPA Crush'!A546)</f>
        <v>13.62248555080185</v>
      </c>
      <c r="EL122" s="203">
        <f t="shared" ref="EL122" si="3141">EJ122/EK122</f>
        <v>0.99403298682177244</v>
      </c>
      <c r="EM122" s="202">
        <f t="shared" ref="EM122" si="3142">DE122/($A123-$A122)</f>
        <v>5.5262142857142864</v>
      </c>
      <c r="EN122" s="202">
        <f t="shared" ref="EN122" si="3143">(DT122*2000/1000000)/($A123-$A122)</f>
        <v>8.3515714285714287E-3</v>
      </c>
      <c r="EO122" s="202">
        <f t="shared" ref="EO122" si="3144">EJ122+EM122+EN122</f>
        <v>19.075765857142859</v>
      </c>
    </row>
    <row r="123" spans="1:145">
      <c r="A123" s="157">
        <v>45717</v>
      </c>
      <c r="B123" s="186">
        <v>6202.6419999999998</v>
      </c>
      <c r="C123" s="187">
        <f t="shared" ref="C123" si="3145">B123/30</f>
        <v>206.75473333333332</v>
      </c>
      <c r="D123" s="247">
        <f>C123-'NOPA Crush'!G548</f>
        <v>12.203733333333332</v>
      </c>
      <c r="E123" s="188">
        <f>C123/'NOPA Crush'!G548-1</f>
        <v>6.2727682372916815E-2</v>
      </c>
      <c r="F123" s="249">
        <v>4608.7610000000004</v>
      </c>
      <c r="G123" s="249">
        <v>4523.8519999999999</v>
      </c>
      <c r="H123" s="249">
        <v>84.909000000000006</v>
      </c>
      <c r="I123" s="249">
        <v>312.45699999999999</v>
      </c>
      <c r="J123" s="190">
        <f t="shared" ref="J123" si="3146">F123*2/C123</f>
        <v>44.581915254822064</v>
      </c>
      <c r="K123" s="190">
        <f t="shared" ref="K123" si="3147">(F123+M123)*2/C123</f>
        <v>47.604404703673055</v>
      </c>
      <c r="L123" s="190">
        <f>K123-'NOPA Crush'!J548</f>
        <v>4.4404703673052381E-2</v>
      </c>
      <c r="M123" s="249">
        <v>312.45699999999999</v>
      </c>
      <c r="N123" s="249">
        <v>35.880000000000003</v>
      </c>
      <c r="O123" s="249">
        <v>2475.2069999999999</v>
      </c>
      <c r="P123" s="249">
        <v>1551.6890000000001</v>
      </c>
      <c r="Q123" s="249">
        <v>831.81399999999996</v>
      </c>
      <c r="R123" s="249">
        <v>365.44900000000001</v>
      </c>
      <c r="S123" s="210">
        <f>FORECAST(R123,S99:S122,R99:R122)</f>
        <v>576.41332381852772</v>
      </c>
      <c r="T123" s="249">
        <v>527.98</v>
      </c>
      <c r="U123" s="189">
        <f>(P123+T123)-'NOPA Crush'!Q548</f>
        <v>571.30880548321761</v>
      </c>
      <c r="V123" s="191">
        <f>((P123+T123)/'NOPA Crush'!Q548)-1</f>
        <v>0.37876152364670546</v>
      </c>
      <c r="W123" s="190">
        <f t="shared" ref="W123" si="3148">O123/C123</f>
        <v>11.971706572779793</v>
      </c>
      <c r="X123" s="190">
        <f>W123-'NOPA Crush'!O548</f>
        <v>-8.8293427220207832E-2</v>
      </c>
      <c r="Y123" s="190">
        <f t="shared" ref="Y123:Y124" si="3149">K123+W123</f>
        <v>59.576111276452849</v>
      </c>
      <c r="Z123" s="249">
        <v>1929.8579999999999</v>
      </c>
      <c r="AA123" s="249">
        <v>1876.913</v>
      </c>
      <c r="AB123" s="191">
        <f t="shared" si="3082"/>
        <v>2.7434660995783077E-2</v>
      </c>
      <c r="AC123" s="344">
        <f>FORECAST(AF123,AC99:AC122,AF99:AF122)</f>
        <v>185.68805841437438</v>
      </c>
      <c r="AD123" s="249">
        <v>1793.221</v>
      </c>
      <c r="AE123" s="249">
        <v>1211.4860000000001</v>
      </c>
      <c r="AF123" s="249">
        <v>581.73500000000001</v>
      </c>
      <c r="AG123" s="191">
        <f t="shared" si="3083"/>
        <v>-4.4590239398416442E-2</v>
      </c>
      <c r="AI123" s="249">
        <v>607.55100000000004</v>
      </c>
      <c r="AJ123" s="247">
        <f t="shared" ref="AJ123:AJ126" si="3150">AI123/30</f>
        <v>20.251700000000003</v>
      </c>
      <c r="AK123" s="249">
        <v>444.65300000000002</v>
      </c>
      <c r="AL123" s="249">
        <v>47.462000000000003</v>
      </c>
      <c r="AM123" s="190">
        <f t="shared" ref="AM123" si="3151">AK123*2/AJ123</f>
        <v>43.912659184167254</v>
      </c>
      <c r="AN123" s="190">
        <f t="shared" ref="AN123" si="3152">AM123-J123</f>
        <v>-0.66925607065481074</v>
      </c>
      <c r="AO123" s="249">
        <v>248.25299999999999</v>
      </c>
      <c r="AP123" s="249">
        <v>129.505</v>
      </c>
      <c r="AQ123" s="190">
        <f t="shared" ref="AQ123" si="3153">AO123/AJ123</f>
        <v>12.258378308981465</v>
      </c>
      <c r="AR123" s="190">
        <f t="shared" ref="AR123" si="3154">AQ123-W123</f>
        <v>0.28667173620167219</v>
      </c>
      <c r="AS123" s="190">
        <f t="shared" ref="AS123" si="3155">AM123+AQ123</f>
        <v>56.171037493148717</v>
      </c>
      <c r="AT123" s="249">
        <v>1408.9259999999999</v>
      </c>
      <c r="AU123" s="247">
        <f t="shared" ref="AU123:AU126" si="3156">AT123/30</f>
        <v>46.964199999999998</v>
      </c>
      <c r="AV123" s="249">
        <v>1060.7059999999999</v>
      </c>
      <c r="AW123" s="249">
        <v>62.676000000000002</v>
      </c>
      <c r="AX123" s="190">
        <f>AV123*2/AU123</f>
        <v>45.170832250948592</v>
      </c>
      <c r="AY123" s="190">
        <f>AX123-J123</f>
        <v>0.58891699612652815</v>
      </c>
      <c r="AZ123" s="249">
        <v>567.77300000000002</v>
      </c>
      <c r="BA123" s="249">
        <v>128.85599999999999</v>
      </c>
      <c r="BB123" s="190">
        <f t="shared" ref="BB123" si="3157">AZ123/AU123</f>
        <v>12.089485182330371</v>
      </c>
      <c r="BC123" s="190">
        <f t="shared" ref="BC123" si="3158">BB123-W123</f>
        <v>0.11777860955057839</v>
      </c>
      <c r="BD123" s="247">
        <f>AX123+BB123</f>
        <v>57.260317433278964</v>
      </c>
      <c r="BE123" s="249">
        <v>1333.008</v>
      </c>
      <c r="BF123" s="247">
        <f t="shared" ref="BF123:BF126" si="3159">BE123/30</f>
        <v>44.433599999999998</v>
      </c>
      <c r="BG123" s="249">
        <v>977.476</v>
      </c>
      <c r="BH123" s="249">
        <v>92.137</v>
      </c>
      <c r="BI123" s="190">
        <f t="shared" ref="BI123" si="3160">BG123*2/BF123</f>
        <v>43.997155305894637</v>
      </c>
      <c r="BJ123" s="190">
        <f t="shared" ref="BJ123" si="3161">BI123-J123</f>
        <v>-0.58475994892742733</v>
      </c>
      <c r="BK123" s="249">
        <v>526.29399999999998</v>
      </c>
      <c r="BL123" s="249">
        <v>204.452</v>
      </c>
      <c r="BM123" s="190">
        <f t="shared" ref="BM123" si="3162">BK123/BF123</f>
        <v>11.844505059234454</v>
      </c>
      <c r="BN123" s="190">
        <f t="shared" ref="BN123" si="3163">BM123-W123</f>
        <v>-0.12720151354533904</v>
      </c>
      <c r="BO123" s="247">
        <f t="shared" si="3134"/>
        <v>55.841660365129087</v>
      </c>
      <c r="BP123" s="249">
        <v>1139.6759999999999</v>
      </c>
      <c r="BQ123" s="247">
        <f t="shared" ref="BQ123:BQ126" si="3164">BP123/30</f>
        <v>37.989199999999997</v>
      </c>
      <c r="BR123" s="249">
        <v>856.15499999999997</v>
      </c>
      <c r="BS123" s="249">
        <v>76.822000000000003</v>
      </c>
      <c r="BT123" s="190">
        <f t="shared" ref="BT123" si="3165">BR123*2/BQ123</f>
        <v>45.073599865224857</v>
      </c>
      <c r="BU123" s="190">
        <f t="shared" ref="BU123" si="3166">BT123-J123</f>
        <v>0.49168461040279254</v>
      </c>
      <c r="BV123" s="249">
        <v>447.61799999999999</v>
      </c>
      <c r="BW123" s="249">
        <v>174.60300000000001</v>
      </c>
      <c r="BX123" s="190">
        <f t="shared" ref="BX123" si="3167">BV123/BQ123</f>
        <v>11.782769839849221</v>
      </c>
      <c r="BY123" s="190">
        <f t="shared" ref="BY123" si="3168">BX123-W123</f>
        <v>-0.18893673293057134</v>
      </c>
      <c r="BZ123" s="194">
        <f t="shared" ref="BZ123" si="3169">BT123+BX123</f>
        <v>56.85636970507408</v>
      </c>
      <c r="CA123" s="249">
        <v>602.14700000000005</v>
      </c>
      <c r="CB123" s="247">
        <f t="shared" ref="CB123:CB126" si="3170">CA123/30</f>
        <v>20.071566666666669</v>
      </c>
      <c r="CC123" s="249">
        <v>436.53300000000002</v>
      </c>
      <c r="CD123" s="249">
        <v>32.61</v>
      </c>
      <c r="CE123" s="190">
        <f t="shared" si="3104"/>
        <v>43.497650905841923</v>
      </c>
      <c r="CF123" s="190">
        <f t="shared" si="2989"/>
        <v>-1.0842643489801418</v>
      </c>
      <c r="CG123" s="249">
        <v>234.042</v>
      </c>
      <c r="CH123" s="249">
        <v>44.435000000000002</v>
      </c>
      <c r="CI123" s="190">
        <f t="shared" si="3105"/>
        <v>11.660375290419115</v>
      </c>
      <c r="CJ123" s="190">
        <f t="shared" si="3106"/>
        <v>-0.31133128236067797</v>
      </c>
      <c r="CK123" s="194">
        <f t="shared" si="3107"/>
        <v>55.158026196261034</v>
      </c>
      <c r="CL123" s="249">
        <v>1111.3340000000001</v>
      </c>
      <c r="CM123" s="247">
        <f t="shared" ref="CM123:CM126" si="3171">CL123/30</f>
        <v>37.044466666666672</v>
      </c>
      <c r="CN123" s="249">
        <v>833.23800000000006</v>
      </c>
      <c r="CO123" s="249">
        <v>65.534999999999997</v>
      </c>
      <c r="CP123" s="190">
        <f t="shared" si="3108"/>
        <v>44.985827842934704</v>
      </c>
      <c r="CQ123" s="190">
        <f t="shared" si="3109"/>
        <v>0.40391258811263953</v>
      </c>
      <c r="CR123" s="249">
        <v>451.22699999999998</v>
      </c>
      <c r="CS123" s="249">
        <v>149.96299999999999</v>
      </c>
      <c r="CT123" s="190">
        <f t="shared" si="3110"/>
        <v>12.180685554477769</v>
      </c>
      <c r="CU123" s="190">
        <f t="shared" si="3111"/>
        <v>0.20897898169797635</v>
      </c>
      <c r="CV123" s="247">
        <f t="shared" si="3112"/>
        <v>57.166513397412473</v>
      </c>
      <c r="CX123" s="238">
        <f t="shared" si="3003"/>
        <v>0</v>
      </c>
      <c r="CY123" s="238">
        <f t="shared" si="3004"/>
        <v>0</v>
      </c>
      <c r="CZ123" s="238">
        <f t="shared" si="3005"/>
        <v>-64.784999999999982</v>
      </c>
      <c r="DA123" s="238">
        <f t="shared" si="3006"/>
        <v>0</v>
      </c>
      <c r="DB123" s="238">
        <f t="shared" si="3007"/>
        <v>0</v>
      </c>
      <c r="DC123" s="238">
        <f t="shared" si="3008"/>
        <v>-221.98732381852761</v>
      </c>
      <c r="DE123" s="202">
        <v>200.953</v>
      </c>
      <c r="DF123" s="202">
        <v>120.325</v>
      </c>
      <c r="DG123" s="202">
        <v>31.77</v>
      </c>
      <c r="DH123" s="191">
        <f t="shared" si="2826"/>
        <v>0.59877185212462614</v>
      </c>
      <c r="DI123" s="154">
        <v>159.84100000000001</v>
      </c>
      <c r="DJ123" s="191">
        <f t="shared" si="2827"/>
        <v>0.39770742412404891</v>
      </c>
      <c r="DK123" s="154">
        <v>178.08799999999999</v>
      </c>
      <c r="DL123" s="154">
        <v>172.517</v>
      </c>
      <c r="DM123" s="191">
        <f t="shared" si="2828"/>
        <v>3.1282287408472165E-2</v>
      </c>
      <c r="DN123" s="202">
        <v>159.773</v>
      </c>
      <c r="DO123" s="202">
        <v>34.86</v>
      </c>
      <c r="DP123" s="202">
        <v>113.39</v>
      </c>
      <c r="DQ123" s="200">
        <f t="shared" si="3113"/>
        <v>148.25</v>
      </c>
      <c r="DR123" s="191">
        <f t="shared" si="3114"/>
        <v>0.99647927624867505</v>
      </c>
      <c r="DS123" s="199">
        <f t="shared" si="3115"/>
        <v>1.1141571937112504</v>
      </c>
      <c r="EC123" s="202"/>
      <c r="ED123" s="202"/>
      <c r="EE123" s="202"/>
      <c r="EF123" s="347"/>
    </row>
    <row r="124" spans="1:145">
      <c r="A124" s="157">
        <v>45748</v>
      </c>
      <c r="B124" s="186">
        <v>6071.54</v>
      </c>
      <c r="C124" s="187">
        <f t="shared" ref="C124" si="3172">B124/30</f>
        <v>202.38466666666667</v>
      </c>
      <c r="D124" s="247">
        <f>C124-'NOPA Crush'!G549</f>
        <v>12.158666666666676</v>
      </c>
      <c r="E124" s="188">
        <f>C124/'NOPA Crush'!G549-1</f>
        <v>6.3916954920287816E-2</v>
      </c>
      <c r="F124" s="249">
        <v>4508.9380000000001</v>
      </c>
      <c r="G124" s="249">
        <v>4433.335</v>
      </c>
      <c r="H124" s="249">
        <v>75.602999999999994</v>
      </c>
      <c r="I124" s="249">
        <v>390.34300000000002</v>
      </c>
      <c r="J124" s="190">
        <f t="shared" ref="J124" si="3173">F124*2/C124</f>
        <v>44.558098933713687</v>
      </c>
      <c r="K124" s="190">
        <f t="shared" ref="K124" si="3174">(F124+M124)*2/C124</f>
        <v>47.57120269322116</v>
      </c>
      <c r="L124" s="190">
        <f>K124-'NOPA Crush'!J549</f>
        <v>47.57120269322116</v>
      </c>
      <c r="M124" s="249">
        <v>304.90300000000002</v>
      </c>
      <c r="N124" s="249">
        <v>38.58</v>
      </c>
      <c r="O124" s="249">
        <v>2402.8789999999999</v>
      </c>
      <c r="P124" s="249">
        <v>1527.39</v>
      </c>
      <c r="Q124" s="249">
        <v>869.56299999999999</v>
      </c>
      <c r="R124" s="249">
        <v>368.63900000000001</v>
      </c>
      <c r="S124" s="249">
        <v>289.18799999999999</v>
      </c>
      <c r="T124" s="249">
        <v>448.45</v>
      </c>
      <c r="U124" s="189">
        <f>(P124+T124)-'NOPA Crush'!Q549</f>
        <v>542.78579438649172</v>
      </c>
      <c r="V124" s="191">
        <f>((P124+T124)/'NOPA Crush'!Q549)-1</f>
        <v>0.37876152364670546</v>
      </c>
      <c r="W124" s="190">
        <f t="shared" ref="W124" si="3175">O124/C124</f>
        <v>11.872831275096598</v>
      </c>
      <c r="X124" s="190">
        <f>W124-'NOPA Crush'!O549</f>
        <v>11.872831275096598</v>
      </c>
      <c r="Y124" s="190">
        <f t="shared" si="3149"/>
        <v>59.444033968317754</v>
      </c>
      <c r="Z124" s="249">
        <v>1793.5640000000001</v>
      </c>
      <c r="AA124" s="249">
        <v>1745.6289999999999</v>
      </c>
      <c r="AB124" s="191">
        <f t="shared" si="3082"/>
        <v>2.6726116269059911E-2</v>
      </c>
      <c r="AC124" s="249">
        <v>260.024</v>
      </c>
      <c r="AD124" s="249">
        <v>1816.163</v>
      </c>
      <c r="AE124" s="249">
        <v>1151.5930000000001</v>
      </c>
      <c r="AF124" s="249">
        <v>664.57</v>
      </c>
      <c r="AG124" s="191">
        <f t="shared" si="3083"/>
        <v>4.0406065664582824E-2</v>
      </c>
      <c r="AI124" s="249">
        <v>628.92700000000002</v>
      </c>
      <c r="AJ124" s="247">
        <f t="shared" si="3150"/>
        <v>20.964233333333333</v>
      </c>
      <c r="AK124" s="249">
        <v>458.74099999999999</v>
      </c>
      <c r="AL124" s="249">
        <v>30.356999999999999</v>
      </c>
      <c r="AM124" s="190">
        <f t="shared" ref="AM124" si="3176">AK124*2/AJ124</f>
        <v>43.764157048433283</v>
      </c>
      <c r="AN124" s="190">
        <f t="shared" ref="AN124" si="3177">AM124-J124</f>
        <v>-0.79394188528040388</v>
      </c>
      <c r="AO124" s="249">
        <v>252.23400000000001</v>
      </c>
      <c r="AP124" s="249">
        <v>91.926000000000002</v>
      </c>
      <c r="AQ124" s="190">
        <f t="shared" ref="AQ124" si="3178">AO124/AJ124</f>
        <v>12.031634832023432</v>
      </c>
      <c r="AR124" s="190">
        <f t="shared" ref="AR124" si="3179">AQ124-W124</f>
        <v>0.15880355692683423</v>
      </c>
      <c r="AS124" s="190">
        <f t="shared" ref="AS124" si="3180">AM124+AQ124</f>
        <v>55.795791880456719</v>
      </c>
      <c r="AT124" s="249">
        <v>1331.35</v>
      </c>
      <c r="AU124" s="247">
        <f t="shared" si="3156"/>
        <v>44.37833333333333</v>
      </c>
      <c r="AV124" s="249">
        <v>1004.092</v>
      </c>
      <c r="AW124" s="249">
        <v>56.816000000000003</v>
      </c>
      <c r="AX124" s="190">
        <f>AV124*2/AU124</f>
        <v>45.251451534157063</v>
      </c>
      <c r="AY124" s="190">
        <f>AX124-J124</f>
        <v>0.69335260044337588</v>
      </c>
      <c r="AZ124" s="249">
        <v>530.49300000000005</v>
      </c>
      <c r="BA124" s="249">
        <v>114.687</v>
      </c>
      <c r="BB124" s="190">
        <f t="shared" ref="BB124" si="3181">AZ124/AU124</f>
        <v>11.953873887407521</v>
      </c>
      <c r="BC124" s="190">
        <f t="shared" ref="BC124" si="3182">BB124-W124</f>
        <v>8.1042612310923801E-2</v>
      </c>
      <c r="BD124" s="247">
        <f>AX124+BB124</f>
        <v>57.205325421564581</v>
      </c>
      <c r="BE124" s="249">
        <v>1351.86</v>
      </c>
      <c r="BF124" s="247">
        <f t="shared" si="3159"/>
        <v>45.061999999999998</v>
      </c>
      <c r="BG124" s="249">
        <v>993.84400000000005</v>
      </c>
      <c r="BH124" s="249">
        <v>118.495</v>
      </c>
      <c r="BI124" s="190">
        <f t="shared" ref="BI124" si="3183">BG124*2/BF124</f>
        <v>44.110070569437667</v>
      </c>
      <c r="BJ124" s="190">
        <f t="shared" ref="BJ124" si="3184">BI124-J124</f>
        <v>-0.44802836427601989</v>
      </c>
      <c r="BK124" s="249">
        <v>536.63199999999995</v>
      </c>
      <c r="BL124" s="249">
        <v>224.26300000000001</v>
      </c>
      <c r="BM124" s="190">
        <f t="shared" ref="BM124" si="3185">BK124/BF124</f>
        <v>11.908747947272646</v>
      </c>
      <c r="BN124" s="190">
        <f t="shared" ref="BN124" si="3186">BM124-W124</f>
        <v>3.5916672176048436E-2</v>
      </c>
      <c r="BO124" s="247">
        <f t="shared" ref="BO124" si="3187">BM124+BI124</f>
        <v>56.018818516710311</v>
      </c>
      <c r="BP124" s="249">
        <v>1041.654</v>
      </c>
      <c r="BQ124" s="247">
        <f t="shared" si="3164"/>
        <v>34.721800000000002</v>
      </c>
      <c r="BR124" s="249">
        <v>778.13800000000003</v>
      </c>
      <c r="BS124" s="249">
        <v>76.466999999999999</v>
      </c>
      <c r="BT124" s="190">
        <f t="shared" ref="BT124" si="3188">BR124*2/BQ124</f>
        <v>44.821293826932937</v>
      </c>
      <c r="BU124" s="190">
        <f t="shared" ref="BU124" si="3189">BT124-J124</f>
        <v>0.26319489321925005</v>
      </c>
      <c r="BV124" s="249">
        <v>409.36200000000002</v>
      </c>
      <c r="BW124" s="249">
        <v>228.05500000000001</v>
      </c>
      <c r="BX124" s="190">
        <f t="shared" ref="BX124" si="3190">BV124/BQ124</f>
        <v>11.789768963590598</v>
      </c>
      <c r="BY124" s="190">
        <f t="shared" ref="BY124" si="3191">BX124-W124</f>
        <v>-8.3062311505999631E-2</v>
      </c>
      <c r="BZ124" s="194">
        <f t="shared" ref="BZ124" si="3192">BT124+BX124</f>
        <v>56.611062790523533</v>
      </c>
      <c r="CA124" s="249">
        <v>635.74400000000003</v>
      </c>
      <c r="CB124" s="247">
        <f t="shared" si="3170"/>
        <v>21.191466666666667</v>
      </c>
      <c r="CC124" s="249">
        <v>468.15100000000001</v>
      </c>
      <c r="CD124" s="249">
        <v>56.496000000000002</v>
      </c>
      <c r="CE124" s="190">
        <f t="shared" si="3104"/>
        <v>44.182973020586907</v>
      </c>
      <c r="CF124" s="190">
        <f t="shared" ref="CF124" si="3193">CE124-J124</f>
        <v>-0.37512591312678012</v>
      </c>
      <c r="CG124" s="249">
        <v>245.07400000000001</v>
      </c>
      <c r="CH124" s="249">
        <v>60.808</v>
      </c>
      <c r="CI124" s="190">
        <f t="shared" si="3105"/>
        <v>11.564749333064881</v>
      </c>
      <c r="CJ124" s="190">
        <f t="shared" si="3106"/>
        <v>-0.30808194203171624</v>
      </c>
      <c r="CK124" s="194">
        <f t="shared" si="3107"/>
        <v>55.747722353651788</v>
      </c>
      <c r="CL124" s="249">
        <v>1082.0050000000001</v>
      </c>
      <c r="CM124" s="247">
        <f t="shared" si="3171"/>
        <v>36.066833333333335</v>
      </c>
      <c r="CN124" s="249">
        <v>805.97199999999998</v>
      </c>
      <c r="CO124" s="249">
        <v>51.712000000000003</v>
      </c>
      <c r="CP124" s="190">
        <f t="shared" si="3108"/>
        <v>44.693250031192086</v>
      </c>
      <c r="CQ124" s="190">
        <f t="shared" si="3109"/>
        <v>0.13515109747839915</v>
      </c>
      <c r="CR124" s="249">
        <v>429.084</v>
      </c>
      <c r="CS124" s="249">
        <v>149.82400000000001</v>
      </c>
      <c r="CT124" s="190">
        <f t="shared" si="3110"/>
        <v>11.896913600214416</v>
      </c>
      <c r="CU124" s="190">
        <f t="shared" si="3111"/>
        <v>2.4082325117818826E-2</v>
      </c>
      <c r="CV124" s="247">
        <f t="shared" si="3112"/>
        <v>56.590163631406504</v>
      </c>
      <c r="CX124" s="238">
        <f t="shared" si="3003"/>
        <v>0</v>
      </c>
      <c r="CY124" s="238">
        <f t="shared" si="3004"/>
        <v>0</v>
      </c>
      <c r="CZ124" s="238">
        <f t="shared" si="3005"/>
        <v>0</v>
      </c>
      <c r="DA124" s="238">
        <f t="shared" si="3006"/>
        <v>0</v>
      </c>
      <c r="DB124" s="238">
        <f t="shared" si="3007"/>
        <v>0</v>
      </c>
      <c r="DC124" s="238">
        <f t="shared" si="3008"/>
        <v>0</v>
      </c>
      <c r="DE124" s="202">
        <v>161.02199999999999</v>
      </c>
      <c r="DF124" s="202">
        <v>98.076999999999998</v>
      </c>
      <c r="DG124" s="202">
        <v>31.501999999999999</v>
      </c>
      <c r="DH124" s="191">
        <f t="shared" si="2826"/>
        <v>0.60909068326067251</v>
      </c>
      <c r="DI124" s="154">
        <v>128.62899999999999</v>
      </c>
      <c r="DJ124" s="191">
        <f t="shared" si="2827"/>
        <v>0.39941436573884315</v>
      </c>
      <c r="DK124" s="154">
        <v>138.79499999999999</v>
      </c>
      <c r="DL124" s="154">
        <v>134.54599999999999</v>
      </c>
      <c r="DM124" s="191">
        <f t="shared" si="2828"/>
        <v>3.0613494722432355E-2</v>
      </c>
      <c r="DN124" s="202">
        <v>144.84299999999999</v>
      </c>
      <c r="DO124" s="202">
        <v>28.856000000000002</v>
      </c>
      <c r="DP124" s="202">
        <v>102.425</v>
      </c>
      <c r="DQ124" s="200">
        <f t="shared" si="3113"/>
        <v>131.28100000000001</v>
      </c>
      <c r="DR124" s="191">
        <f t="shared" si="3114"/>
        <v>1.0085050489995155</v>
      </c>
      <c r="DS124" s="199">
        <f t="shared" si="3115"/>
        <v>1.0790334994441377</v>
      </c>
      <c r="EC124" s="202"/>
      <c r="ED124" s="202"/>
      <c r="EE124" s="202"/>
      <c r="EF124" s="347"/>
    </row>
    <row r="125" spans="1:145">
      <c r="A125" s="157">
        <v>45778</v>
      </c>
      <c r="B125" s="186">
        <v>6111.1149999999998</v>
      </c>
      <c r="C125" s="187">
        <f>B125/30</f>
        <v>203.70383333333334</v>
      </c>
      <c r="D125" s="247">
        <f>C125-'NOPA Crush'!G550</f>
        <v>10.874833333333328</v>
      </c>
      <c r="E125" s="188">
        <f>C125/'NOPA Crush'!G550-1</f>
        <v>5.6396254366995358E-2</v>
      </c>
      <c r="F125" s="249">
        <v>4522.4009999999998</v>
      </c>
      <c r="G125" s="249">
        <v>4447.7520000000004</v>
      </c>
      <c r="H125" s="249">
        <v>74.649000000000001</v>
      </c>
      <c r="I125" s="249">
        <v>406.55700000000002</v>
      </c>
      <c r="J125" s="190">
        <f t="shared" ref="J125:J126" si="3194">F125*2/C125</f>
        <v>44.401727017082806</v>
      </c>
      <c r="K125" s="190">
        <f t="shared" ref="K125:K126" si="3195">(F125+M125)*2/C125</f>
        <v>47.447413442555082</v>
      </c>
      <c r="L125" s="190">
        <f>K125-'NOPA Crush'!J550</f>
        <v>47.447413442555082</v>
      </c>
      <c r="M125" s="249">
        <v>310.209</v>
      </c>
      <c r="N125" s="249">
        <v>48.116999999999997</v>
      </c>
      <c r="O125" s="249">
        <v>2415.5070000000001</v>
      </c>
      <c r="P125" s="249">
        <v>1406.376</v>
      </c>
      <c r="Q125" s="249">
        <v>834.97799999999995</v>
      </c>
      <c r="R125" s="249">
        <v>336.43200000000002</v>
      </c>
      <c r="S125" s="249">
        <v>234.96600000000001</v>
      </c>
      <c r="T125" s="249">
        <v>469.55</v>
      </c>
      <c r="U125" s="189">
        <f>(P125+T125)-'NOPA Crush'!Q550</f>
        <v>515.33827846398162</v>
      </c>
      <c r="V125" s="191">
        <f>((P125+T125)/'NOPA Crush'!Q550)-1</f>
        <v>0.37876152364670546</v>
      </c>
      <c r="W125" s="190">
        <f t="shared" ref="W125:W126" si="3196">O125/C125</f>
        <v>11.85793590858624</v>
      </c>
      <c r="X125" s="190">
        <f>W125-'NOPA Crush'!O550</f>
        <v>11.85793590858624</v>
      </c>
      <c r="Y125" s="190">
        <f t="shared" ref="Y125:Y126" si="3197">K125+W125</f>
        <v>59.305349351141324</v>
      </c>
      <c r="Z125" s="249">
        <v>1970.5419999999999</v>
      </c>
      <c r="AA125" s="249">
        <v>1916.6020000000001</v>
      </c>
      <c r="AB125" s="191">
        <f t="shared" si="3082"/>
        <v>2.7373179561765153E-2</v>
      </c>
      <c r="AC125" s="344">
        <f>FORECAST(AF125,AC101:AC124,AF101:AF124)</f>
        <v>217.56759931040503</v>
      </c>
      <c r="AD125" s="249">
        <v>1892.9490000000001</v>
      </c>
      <c r="AE125" s="249">
        <v>1191.9659999999999</v>
      </c>
      <c r="AF125" s="249">
        <v>700.98299999999995</v>
      </c>
      <c r="AG125" s="191">
        <f t="shared" si="3083"/>
        <v>-1.2341112030562429E-2</v>
      </c>
      <c r="AI125" s="249">
        <v>643.54899999999998</v>
      </c>
      <c r="AJ125" s="247">
        <f t="shared" si="3150"/>
        <v>21.451633333333334</v>
      </c>
      <c r="AK125" s="249">
        <v>469.214</v>
      </c>
      <c r="AL125" s="249">
        <v>47.307000000000002</v>
      </c>
      <c r="AM125" s="190">
        <f t="shared" ref="AM125:AM126" si="3198">AK125*2/AJ125</f>
        <v>43.746226006100542</v>
      </c>
      <c r="AN125" s="190">
        <f t="shared" ref="AN125:AN126" si="3199">AM125-J125</f>
        <v>-0.65550101098226321</v>
      </c>
      <c r="AO125" s="249">
        <v>261.846</v>
      </c>
      <c r="AP125" s="249">
        <v>109.419</v>
      </c>
      <c r="AQ125" s="190">
        <f t="shared" ref="AQ125:AQ126" si="3200">AO125/AJ125</f>
        <v>12.206343262129224</v>
      </c>
      <c r="AR125" s="190">
        <f t="shared" ref="AR125:AR126" si="3201">AQ125-W125</f>
        <v>0.34840735354298324</v>
      </c>
      <c r="AS125" s="190">
        <f t="shared" ref="AS125:AS126" si="3202">AM125+AQ125</f>
        <v>55.952569268229766</v>
      </c>
      <c r="AT125" s="249">
        <v>1303.682</v>
      </c>
      <c r="AU125" s="247">
        <f t="shared" si="3156"/>
        <v>43.456066666666665</v>
      </c>
      <c r="AV125" s="249">
        <v>974.95600000000002</v>
      </c>
      <c r="AW125" s="249">
        <v>66.313000000000002</v>
      </c>
      <c r="AX125" s="190">
        <f>AV125*2/AU125</f>
        <v>44.870881089099953</v>
      </c>
      <c r="AY125" s="190">
        <f>AX125-J125</f>
        <v>0.46915407201714743</v>
      </c>
      <c r="AZ125" s="249">
        <v>519.55700000000002</v>
      </c>
      <c r="BA125" s="249">
        <v>108.914</v>
      </c>
      <c r="BB125" s="190">
        <f t="shared" ref="BB125:BB126" si="3203">AZ125/AU125</f>
        <v>11.955914095615343</v>
      </c>
      <c r="BC125" s="190">
        <f t="shared" ref="BC125:BC126" si="3204">BB125-W125</f>
        <v>9.797818702910277E-2</v>
      </c>
      <c r="BD125" s="247">
        <f>AX125+BB125</f>
        <v>56.826795184715294</v>
      </c>
      <c r="BE125" s="249">
        <v>1334.3130000000001</v>
      </c>
      <c r="BF125" s="247">
        <f t="shared" si="3159"/>
        <v>44.4771</v>
      </c>
      <c r="BG125" s="249">
        <v>975.63699999999994</v>
      </c>
      <c r="BH125" s="249">
        <v>107.577</v>
      </c>
      <c r="BI125" s="190">
        <f t="shared" ref="BI125:BI126" si="3205">BG125*2/BF125</f>
        <v>43.871430466464766</v>
      </c>
      <c r="BJ125" s="190">
        <f t="shared" ref="BJ125:BJ126" si="3206">BI125-J125</f>
        <v>-0.53029655061803993</v>
      </c>
      <c r="BK125" s="249">
        <v>527.83699999999999</v>
      </c>
      <c r="BL125" s="249">
        <v>191.071</v>
      </c>
      <c r="BM125" s="190">
        <f t="shared" ref="BM125:BM126" si="3207">BK125/BF125</f>
        <v>11.867612771516129</v>
      </c>
      <c r="BN125" s="190">
        <f t="shared" ref="BN125:BN126" si="3208">BM125-W125</f>
        <v>9.6768629298882303E-3</v>
      </c>
      <c r="BO125" s="247">
        <f t="shared" ref="BO125:BO126" si="3209">BM125+BI125</f>
        <v>55.739043237980894</v>
      </c>
      <c r="BP125" s="249">
        <v>1138.7809999999999</v>
      </c>
      <c r="BQ125" s="247">
        <f t="shared" si="3164"/>
        <v>37.959366666666668</v>
      </c>
      <c r="BR125" s="249">
        <v>856.55700000000002</v>
      </c>
      <c r="BS125" s="249">
        <v>80.772999999999996</v>
      </c>
      <c r="BT125" s="190">
        <f t="shared" ref="BT125:BT126" si="3210">BR125*2/BQ125</f>
        <v>45.130205017470438</v>
      </c>
      <c r="BU125" s="190">
        <f t="shared" ref="BU125:BU126" si="3211">BT125-J125</f>
        <v>0.72847800038763211</v>
      </c>
      <c r="BV125" s="249">
        <v>447.12799999999999</v>
      </c>
      <c r="BW125" s="249">
        <v>225.065</v>
      </c>
      <c r="BX125" s="190">
        <f t="shared" ref="BX125:BX126" si="3212">BV125/BQ125</f>
        <v>11.779121709968816</v>
      </c>
      <c r="BY125" s="190">
        <f t="shared" ref="BY125:BY126" si="3213">BX125-W125</f>
        <v>-7.8814198617424225E-2</v>
      </c>
      <c r="BZ125" s="194">
        <f t="shared" ref="BZ125:BZ126" si="3214">BT125+BX125</f>
        <v>56.90932672743925</v>
      </c>
      <c r="CA125" s="249">
        <v>551.21799999999996</v>
      </c>
      <c r="CB125" s="247">
        <f t="shared" si="3170"/>
        <v>18.373933333333333</v>
      </c>
      <c r="CC125" s="249">
        <v>394.88600000000002</v>
      </c>
      <c r="CD125" s="249">
        <v>55.238999999999997</v>
      </c>
      <c r="CE125" s="190">
        <f t="shared" si="3104"/>
        <v>42.983284290425935</v>
      </c>
      <c r="CF125" s="190">
        <f t="shared" ref="CF125:CF126" si="3215">CE125-J125</f>
        <v>-1.4184427266568704</v>
      </c>
      <c r="CG125" s="249">
        <v>215.38800000000001</v>
      </c>
      <c r="CH125" s="249">
        <v>61.555999999999997</v>
      </c>
      <c r="CI125" s="190">
        <f t="shared" si="3105"/>
        <v>11.722476406793682</v>
      </c>
      <c r="CJ125" s="190">
        <f t="shared" si="3106"/>
        <v>-0.13545950179255861</v>
      </c>
      <c r="CK125" s="194">
        <f t="shared" si="3107"/>
        <v>54.705760697219617</v>
      </c>
      <c r="CL125" s="249">
        <v>1139.5719999999999</v>
      </c>
      <c r="CM125" s="247">
        <f t="shared" si="3171"/>
        <v>37.985733333333329</v>
      </c>
      <c r="CN125" s="249">
        <v>851.15099999999995</v>
      </c>
      <c r="CO125" s="249">
        <v>49.347999999999999</v>
      </c>
      <c r="CP125" s="190">
        <f t="shared" si="3108"/>
        <v>44.814246050271507</v>
      </c>
      <c r="CQ125" s="190">
        <f t="shared" si="3109"/>
        <v>0.4125190331887012</v>
      </c>
      <c r="CR125" s="249">
        <v>443.75099999999998</v>
      </c>
      <c r="CS125" s="249">
        <v>138.953</v>
      </c>
      <c r="CT125" s="190">
        <f t="shared" si="3110"/>
        <v>11.68204378485958</v>
      </c>
      <c r="CU125" s="190">
        <f t="shared" si="3111"/>
        <v>-0.17589212372666019</v>
      </c>
      <c r="CV125" s="247">
        <f t="shared" si="3112"/>
        <v>56.496289835131087</v>
      </c>
      <c r="CX125" s="238">
        <f t="shared" si="3003"/>
        <v>0</v>
      </c>
      <c r="CY125" s="238">
        <f t="shared" si="3004"/>
        <v>0</v>
      </c>
      <c r="CZ125" s="238">
        <f t="shared" si="3005"/>
        <v>0</v>
      </c>
      <c r="DA125" s="238">
        <f t="shared" si="3006"/>
        <v>0</v>
      </c>
      <c r="DB125" s="238">
        <f t="shared" si="3007"/>
        <v>0</v>
      </c>
      <c r="DC125" s="238">
        <f t="shared" si="3008"/>
        <v>0</v>
      </c>
      <c r="DE125" s="202">
        <v>107.84</v>
      </c>
      <c r="DF125" s="202">
        <v>63.758000000000003</v>
      </c>
      <c r="DG125" s="202">
        <v>21.335000000000001</v>
      </c>
      <c r="DH125" s="191">
        <f t="shared" si="2826"/>
        <v>0.5912277448071217</v>
      </c>
      <c r="DI125" s="154">
        <v>83.501000000000005</v>
      </c>
      <c r="DJ125" s="191">
        <f t="shared" si="2827"/>
        <v>0.387152262611276</v>
      </c>
      <c r="DK125" s="154">
        <v>96.332999999999998</v>
      </c>
      <c r="DL125" s="154">
        <v>92.938999999999993</v>
      </c>
      <c r="DM125" s="191">
        <f t="shared" si="2828"/>
        <v>3.5231955819916339E-2</v>
      </c>
      <c r="DN125" s="202">
        <v>105.952</v>
      </c>
      <c r="DO125" s="202">
        <v>34.06</v>
      </c>
      <c r="DP125" s="202">
        <v>87.168000000000006</v>
      </c>
      <c r="DQ125" s="200">
        <f t="shared" si="3113"/>
        <v>121.22800000000001</v>
      </c>
      <c r="DR125" s="191">
        <f t="shared" si="3114"/>
        <v>0.9783800074183977</v>
      </c>
      <c r="DS125" s="199">
        <f t="shared" si="3115"/>
        <v>1.1536748062897451</v>
      </c>
      <c r="EC125" s="202"/>
      <c r="ED125" s="202"/>
      <c r="EE125" s="202"/>
      <c r="EF125" s="347"/>
    </row>
    <row r="126" spans="1:145">
      <c r="A126" s="157">
        <v>45809</v>
      </c>
      <c r="B126" s="186">
        <v>5907.7430000000004</v>
      </c>
      <c r="C126" s="187">
        <f>B126/30</f>
        <v>196.92476666666667</v>
      </c>
      <c r="D126" s="247">
        <f>C126-'NOPA Crush'!G551</f>
        <v>11.215766666666667</v>
      </c>
      <c r="E126" s="188">
        <f>C126/'NOPA Crush'!G551-1</f>
        <v>6.0394308658528573E-2</v>
      </c>
      <c r="F126" s="249">
        <v>4387.0600000000004</v>
      </c>
      <c r="G126" s="249">
        <v>4314.951</v>
      </c>
      <c r="H126" s="249">
        <v>72.108999999999995</v>
      </c>
      <c r="I126" s="249">
        <v>450.988</v>
      </c>
      <c r="J126" s="190">
        <f t="shared" si="3194"/>
        <v>44.555695804641474</v>
      </c>
      <c r="K126" s="190">
        <f t="shared" si="3195"/>
        <v>47.567505898614755</v>
      </c>
      <c r="L126" s="190">
        <f>K126-'NOPA Crush'!J551</f>
        <v>47.567505898614755</v>
      </c>
      <c r="M126" s="249">
        <v>296.55</v>
      </c>
      <c r="N126" s="249">
        <v>53.171999999999997</v>
      </c>
      <c r="O126" s="249">
        <v>2349.1329999999998</v>
      </c>
      <c r="P126" s="249">
        <v>1442.914</v>
      </c>
      <c r="Q126" s="249">
        <v>849.327</v>
      </c>
      <c r="R126" s="249">
        <v>387.959</v>
      </c>
      <c r="S126" s="249">
        <v>205.62799999999999</v>
      </c>
      <c r="T126" s="249">
        <v>450.988</v>
      </c>
      <c r="U126" s="189">
        <f>(P126+T126)-'NOPA Crush'!Q551</f>
        <v>519.79272329997434</v>
      </c>
      <c r="V126" s="191">
        <f>((P126+T126)/'NOPA Crush'!Q551)-1</f>
        <v>0.37827611829262642</v>
      </c>
      <c r="W126" s="190">
        <f t="shared" si="3196"/>
        <v>11.929088655346042</v>
      </c>
      <c r="X126" s="190">
        <f>W126-'NOPA Crush'!O551</f>
        <v>11.929088655346042</v>
      </c>
      <c r="Y126" s="190">
        <f t="shared" si="3197"/>
        <v>59.496594553960797</v>
      </c>
      <c r="Z126" s="249">
        <v>1854.788</v>
      </c>
      <c r="AA126" s="249">
        <v>1803.2360000000001</v>
      </c>
      <c r="AB126" s="191">
        <f t="shared" si="3082"/>
        <v>2.7794012038033406E-2</v>
      </c>
      <c r="AC126" s="344">
        <f>FORECAST(AF126,AC102:AC125,AF102:AF125)</f>
        <v>200.12059815063614</v>
      </c>
      <c r="AD126" s="249">
        <v>1780.2539999999999</v>
      </c>
      <c r="AE126" s="249">
        <v>1159.768</v>
      </c>
      <c r="AF126" s="249">
        <v>620.48599999999999</v>
      </c>
      <c r="AG126" s="191">
        <f t="shared" si="3083"/>
        <v>-1.2744865342085077E-2</v>
      </c>
      <c r="AI126" s="249">
        <v>636.10199999999998</v>
      </c>
      <c r="AJ126" s="247">
        <f t="shared" si="3150"/>
        <v>21.203399999999998</v>
      </c>
      <c r="AK126" s="249">
        <v>460.32600000000002</v>
      </c>
      <c r="AL126" s="249">
        <v>57.149000000000001</v>
      </c>
      <c r="AM126" s="190">
        <f t="shared" si="3198"/>
        <v>43.420017544356099</v>
      </c>
      <c r="AN126" s="190">
        <f t="shared" si="3199"/>
        <v>-1.1356782602853741</v>
      </c>
      <c r="AO126" s="249">
        <v>261.42599999999999</v>
      </c>
      <c r="AP126" s="249">
        <v>130.9</v>
      </c>
      <c r="AQ126" s="190">
        <f t="shared" si="3200"/>
        <v>12.329437731684541</v>
      </c>
      <c r="AR126" s="190">
        <f t="shared" si="3201"/>
        <v>0.40034907633849848</v>
      </c>
      <c r="AS126" s="190">
        <f t="shared" si="3202"/>
        <v>55.749455276040642</v>
      </c>
      <c r="AT126" s="249">
        <v>1264.5650000000001</v>
      </c>
      <c r="AU126" s="247">
        <f t="shared" si="3156"/>
        <v>42.152166666666666</v>
      </c>
      <c r="AV126" s="249">
        <v>945.33399999999995</v>
      </c>
      <c r="AW126" s="249">
        <v>75.287000000000006</v>
      </c>
      <c r="AX126" s="190">
        <f>AV126*2/AU126</f>
        <v>44.853400181089938</v>
      </c>
      <c r="AY126" s="190">
        <f>AX126-J126</f>
        <v>0.29770437644846481</v>
      </c>
      <c r="AZ126" s="249">
        <v>501.65199999999999</v>
      </c>
      <c r="BA126" s="249">
        <v>105.65900000000001</v>
      </c>
      <c r="BB126" s="190">
        <f t="shared" si="3203"/>
        <v>11.900977806597526</v>
      </c>
      <c r="BC126" s="190">
        <f t="shared" si="3204"/>
        <v>-2.8110848748516659E-2</v>
      </c>
      <c r="BD126" s="247">
        <f>AX126+BB126</f>
        <v>56.754377987687462</v>
      </c>
      <c r="BE126" s="249">
        <v>1263.143</v>
      </c>
      <c r="BF126" s="247">
        <f t="shared" si="3159"/>
        <v>42.10476666666667</v>
      </c>
      <c r="BG126" s="249">
        <v>926.23699999999997</v>
      </c>
      <c r="BH126" s="249">
        <v>103.82299999999999</v>
      </c>
      <c r="BI126" s="190">
        <f t="shared" si="3205"/>
        <v>43.99677629532048</v>
      </c>
      <c r="BJ126" s="190">
        <f t="shared" si="3206"/>
        <v>-0.55891950932099377</v>
      </c>
      <c r="BK126" s="249">
        <v>498.26499999999999</v>
      </c>
      <c r="BL126" s="249">
        <v>196.185</v>
      </c>
      <c r="BM126" s="190">
        <f t="shared" si="3207"/>
        <v>11.833933291796731</v>
      </c>
      <c r="BN126" s="190">
        <f t="shared" si="3208"/>
        <v>-9.5155363549311645E-2</v>
      </c>
      <c r="BO126" s="247">
        <f t="shared" si="3209"/>
        <v>55.830709587117212</v>
      </c>
      <c r="BP126" s="249">
        <v>1196.451</v>
      </c>
      <c r="BQ126" s="247">
        <f t="shared" si="3164"/>
        <v>39.881700000000002</v>
      </c>
      <c r="BR126" s="249">
        <v>897.33600000000001</v>
      </c>
      <c r="BS126" s="249">
        <v>72.772999999999996</v>
      </c>
      <c r="BT126" s="190">
        <f t="shared" si="3210"/>
        <v>44.999887166294315</v>
      </c>
      <c r="BU126" s="190">
        <f t="shared" si="3211"/>
        <v>0.44419136165284101</v>
      </c>
      <c r="BV126" s="249">
        <v>469.76100000000002</v>
      </c>
      <c r="BW126" s="249">
        <v>228.173</v>
      </c>
      <c r="BX126" s="190">
        <f t="shared" si="3212"/>
        <v>11.77886098135235</v>
      </c>
      <c r="BY126" s="190">
        <f t="shared" si="3213"/>
        <v>-0.15022767399369208</v>
      </c>
      <c r="BZ126" s="194">
        <f t="shared" si="3214"/>
        <v>56.778748147646667</v>
      </c>
      <c r="CA126" s="249">
        <v>484.68900000000002</v>
      </c>
      <c r="CB126" s="247">
        <f t="shared" si="3170"/>
        <v>16.156300000000002</v>
      </c>
      <c r="CC126" s="249">
        <v>363.57400000000001</v>
      </c>
      <c r="CD126" s="249">
        <v>47.662999999999997</v>
      </c>
      <c r="CE126" s="190">
        <f t="shared" si="3104"/>
        <v>45.007087018686207</v>
      </c>
      <c r="CF126" s="190">
        <f t="shared" si="3215"/>
        <v>0.45139121404473315</v>
      </c>
      <c r="CG126" s="249">
        <v>192.27699999999999</v>
      </c>
      <c r="CH126" s="249">
        <v>56.045999999999999</v>
      </c>
      <c r="CI126" s="190">
        <f t="shared" si="3105"/>
        <v>11.901054077975772</v>
      </c>
      <c r="CJ126" s="190">
        <f t="shared" si="3106"/>
        <v>-2.8034577370270597E-2</v>
      </c>
      <c r="CK126" s="194">
        <f t="shared" si="3107"/>
        <v>56.908141096661979</v>
      </c>
      <c r="CL126" s="249">
        <v>1069.1679999999999</v>
      </c>
      <c r="CM126" s="247">
        <f t="shared" si="3171"/>
        <v>35.638933333333327</v>
      </c>
      <c r="CN126" s="249">
        <v>799.03800000000001</v>
      </c>
      <c r="CO126" s="249">
        <v>55.186</v>
      </c>
      <c r="CP126" s="190">
        <f t="shared" si="3108"/>
        <v>44.840735974140649</v>
      </c>
      <c r="CQ126" s="190">
        <f t="shared" si="3109"/>
        <v>0.28504016949917599</v>
      </c>
      <c r="CR126" s="249">
        <v>428.12799999999999</v>
      </c>
      <c r="CS126" s="249">
        <v>132.714</v>
      </c>
      <c r="CT126" s="190">
        <f t="shared" si="3110"/>
        <v>12.012929679900635</v>
      </c>
      <c r="CU126" s="190">
        <f t="shared" si="3111"/>
        <v>8.3841024554592636E-2</v>
      </c>
      <c r="CV126" s="247">
        <f t="shared" si="3112"/>
        <v>56.853665654041286</v>
      </c>
      <c r="CX126" s="238">
        <f t="shared" si="3003"/>
        <v>-0.21249999999998437</v>
      </c>
      <c r="CY126" s="238">
        <f t="shared" si="3004"/>
        <v>-4.7849999999996271</v>
      </c>
      <c r="CZ126" s="238">
        <f t="shared" si="3005"/>
        <v>39.107000000000049</v>
      </c>
      <c r="DA126" s="238">
        <f t="shared" si="3006"/>
        <v>-2.3759999999999764</v>
      </c>
      <c r="DB126" s="238">
        <f t="shared" si="3007"/>
        <v>-0.34999999999996589</v>
      </c>
      <c r="DC126" s="238">
        <f t="shared" si="3008"/>
        <v>0</v>
      </c>
      <c r="DE126" s="202">
        <v>166.48599999999999</v>
      </c>
      <c r="DF126" s="202">
        <v>99.164000000000001</v>
      </c>
      <c r="DG126" s="202">
        <v>33.542999999999999</v>
      </c>
      <c r="DH126" s="191">
        <f t="shared" si="2826"/>
        <v>0.59562966255420879</v>
      </c>
      <c r="DI126" s="154">
        <v>131.83799999999999</v>
      </c>
      <c r="DJ126" s="191">
        <f t="shared" si="2827"/>
        <v>0.39594320243143566</v>
      </c>
      <c r="DK126" s="154">
        <v>155.12799999999999</v>
      </c>
      <c r="DL126" s="154">
        <v>150.55000000000001</v>
      </c>
      <c r="DM126" s="191">
        <f t="shared" si="2828"/>
        <v>2.9511113403124956E-2</v>
      </c>
      <c r="DN126" s="202">
        <v>134.274</v>
      </c>
      <c r="DO126" s="202">
        <v>31.509</v>
      </c>
      <c r="DP126" s="202">
        <v>99.433999999999997</v>
      </c>
      <c r="DQ126" s="200">
        <f t="shared" si="3113"/>
        <v>130.94299999999998</v>
      </c>
      <c r="DR126" s="191">
        <f t="shared" si="3114"/>
        <v>0.99157286498564445</v>
      </c>
      <c r="DS126" s="199">
        <f t="shared" si="3115"/>
        <v>1.1766561992748676</v>
      </c>
      <c r="EC126" s="202"/>
      <c r="ED126" s="202"/>
      <c r="EE126" s="202"/>
      <c r="EF126" s="347"/>
    </row>
    <row r="127" spans="1:145">
      <c r="A127" s="157">
        <v>45839</v>
      </c>
      <c r="B127" s="186">
        <v>6142.7430000000004</v>
      </c>
      <c r="C127" s="187">
        <f>B127/30</f>
        <v>204.75810000000001</v>
      </c>
      <c r="D127" s="247">
        <f>C127-'NOPA Crush'!G552</f>
        <v>13.419613459687355</v>
      </c>
      <c r="E127" s="188">
        <f>C127/'NOPA Crush'!G552-1</f>
        <v>7.0135463608676618E-2</v>
      </c>
      <c r="F127" s="249">
        <v>4545.3940000000002</v>
      </c>
      <c r="G127" s="249">
        <v>4476.0379999999996</v>
      </c>
      <c r="H127" s="249">
        <v>69.355999999999995</v>
      </c>
      <c r="I127" s="249">
        <v>417.82100000000003</v>
      </c>
      <c r="J127" s="190">
        <f t="shared" ref="J127" si="3216">F127*2/C127</f>
        <v>44.397696599060062</v>
      </c>
      <c r="K127" s="190">
        <f t="shared" ref="K127" si="3217">(F127+M127)*2/C127</f>
        <v>47.38001573564123</v>
      </c>
      <c r="L127" s="190">
        <f>K127-'NOPA Crush'!J552</f>
        <v>47.38001573564123</v>
      </c>
      <c r="M127" s="249">
        <v>305.327</v>
      </c>
      <c r="N127" s="249">
        <v>51.853000000000002</v>
      </c>
      <c r="O127" s="249">
        <v>2431.8110000000001</v>
      </c>
      <c r="P127" s="249">
        <v>1455.9159999999999</v>
      </c>
      <c r="Q127" s="249">
        <v>869.68600000000004</v>
      </c>
      <c r="R127" s="249">
        <v>385.214</v>
      </c>
      <c r="S127" s="249">
        <v>201.01599999999999</v>
      </c>
      <c r="T127" s="249">
        <v>417.82100000000003</v>
      </c>
      <c r="U127" s="189">
        <f>(P127+T127)-'NOPA Crush'!Q552</f>
        <v>226.11782220195573</v>
      </c>
      <c r="V127" s="191">
        <f>((P127+T127)/'NOPA Crush'!Q552)-1</f>
        <v>0.1372391297994906</v>
      </c>
      <c r="W127" s="190">
        <f t="shared" ref="W127" si="3218">O127/C127</f>
        <v>11.876506961140976</v>
      </c>
      <c r="X127" s="190">
        <f>W127-'NOPA Crush'!O552</f>
        <v>11.876506961140976</v>
      </c>
      <c r="Y127" s="190">
        <f t="shared" ref="Y127" si="3219">K127+W127</f>
        <v>59.256522696782206</v>
      </c>
      <c r="Z127" s="249">
        <v>1884.846</v>
      </c>
      <c r="AA127" s="249">
        <v>1833.8710000000001</v>
      </c>
      <c r="AB127" s="191">
        <f t="shared" si="3082"/>
        <v>2.7044649801628306E-2</v>
      </c>
      <c r="AC127" s="344">
        <f>FORECAST(AF127,AC103:AC126,AF103:AF126)</f>
        <v>197.83327869078732</v>
      </c>
      <c r="AD127" s="249">
        <v>1868.558</v>
      </c>
      <c r="AE127" s="249">
        <v>1260.0260000000001</v>
      </c>
      <c r="AF127" s="249">
        <v>608.53200000000004</v>
      </c>
      <c r="AG127" s="191">
        <f t="shared" si="3083"/>
        <v>1.8914634671686192E-2</v>
      </c>
      <c r="AI127" s="249">
        <v>681.10400000000004</v>
      </c>
      <c r="AJ127" s="247"/>
      <c r="AK127" s="249">
        <v>490.51499999999999</v>
      </c>
      <c r="AL127" s="249">
        <v>37.651000000000003</v>
      </c>
      <c r="AM127" s="190"/>
      <c r="AN127" s="190"/>
      <c r="AO127" s="249"/>
      <c r="AP127" s="249"/>
      <c r="AQ127" s="190"/>
      <c r="AR127" s="190"/>
      <c r="AS127" s="190"/>
      <c r="AT127" s="249"/>
      <c r="AU127" s="247"/>
      <c r="AV127" s="249"/>
      <c r="AW127" s="249"/>
      <c r="AX127" s="190"/>
      <c r="AY127" s="190"/>
      <c r="AZ127" s="249"/>
      <c r="BA127" s="249"/>
      <c r="BB127" s="190"/>
      <c r="BC127" s="190"/>
      <c r="BD127" s="247"/>
      <c r="BE127" s="249"/>
      <c r="BF127" s="247"/>
      <c r="BG127" s="249"/>
      <c r="BH127" s="249"/>
      <c r="BI127" s="190"/>
      <c r="BJ127" s="190"/>
      <c r="BK127" s="249"/>
      <c r="BL127" s="249"/>
      <c r="BM127" s="190"/>
      <c r="BN127" s="190"/>
      <c r="BO127" s="247"/>
      <c r="BP127" s="249"/>
      <c r="BQ127" s="247"/>
      <c r="BR127" s="249"/>
      <c r="BS127" s="249"/>
      <c r="BT127" s="190"/>
      <c r="BU127" s="190"/>
      <c r="BV127" s="249"/>
      <c r="BW127" s="249"/>
      <c r="BX127" s="190"/>
      <c r="BY127" s="190"/>
      <c r="BZ127" s="194"/>
      <c r="CA127" s="249"/>
      <c r="CB127" s="247"/>
      <c r="CC127" s="249"/>
      <c r="CD127" s="249"/>
      <c r="CE127" s="190"/>
      <c r="CF127" s="190"/>
      <c r="CG127" s="249"/>
      <c r="CH127" s="249"/>
      <c r="CI127" s="190"/>
      <c r="CJ127" s="190"/>
      <c r="CK127" s="194"/>
      <c r="CL127" s="249"/>
      <c r="CM127" s="247"/>
      <c r="CN127" s="249"/>
      <c r="CO127" s="249"/>
      <c r="CP127" s="190"/>
      <c r="CQ127" s="190"/>
      <c r="CR127" s="249"/>
      <c r="CS127" s="249"/>
      <c r="CT127" s="190"/>
      <c r="CU127" s="190"/>
      <c r="CV127" s="247"/>
      <c r="CX127" s="238"/>
      <c r="CY127" s="238"/>
      <c r="CZ127" s="238"/>
      <c r="DA127" s="238"/>
      <c r="DB127" s="238"/>
      <c r="DC127" s="238"/>
      <c r="DE127" s="202"/>
      <c r="DF127" s="202"/>
      <c r="DG127" s="202"/>
      <c r="DH127" s="191"/>
      <c r="DJ127" s="191"/>
      <c r="DM127" s="191"/>
      <c r="DN127" s="202"/>
      <c r="DO127" s="202"/>
      <c r="DP127" s="202"/>
      <c r="DQ127" s="200"/>
      <c r="DR127" s="191"/>
      <c r="DS127" s="199"/>
      <c r="EC127" s="202"/>
      <c r="ED127" s="202"/>
      <c r="EE127" s="202"/>
      <c r="EF127" s="347"/>
    </row>
    <row r="128" spans="1:145">
      <c r="B128" s="329"/>
      <c r="C128" s="331"/>
      <c r="D128" s="331"/>
      <c r="E128" s="229"/>
      <c r="F128" s="336"/>
      <c r="G128" s="336"/>
      <c r="H128" s="336"/>
      <c r="I128" s="336"/>
      <c r="J128" s="334"/>
      <c r="K128" s="334"/>
      <c r="L128" s="334"/>
      <c r="M128" s="336"/>
      <c r="N128" s="336"/>
      <c r="O128" s="336"/>
      <c r="P128" s="336"/>
      <c r="Q128" s="336"/>
      <c r="R128" s="336"/>
      <c r="S128" s="336"/>
      <c r="T128" s="336"/>
      <c r="U128" s="336"/>
      <c r="V128" s="338"/>
      <c r="W128" s="334"/>
      <c r="X128" s="334"/>
      <c r="Y128" s="334"/>
      <c r="Z128" s="343"/>
      <c r="AA128" s="336"/>
      <c r="AB128" s="338"/>
      <c r="AC128" s="336"/>
      <c r="AD128" s="336"/>
      <c r="AE128" s="336"/>
      <c r="AF128" s="336"/>
      <c r="AG128" s="338"/>
      <c r="AH128" s="157"/>
      <c r="AI128" s="211"/>
      <c r="AJ128" s="247"/>
      <c r="AK128" s="211"/>
      <c r="AL128" s="211"/>
      <c r="AM128" s="190"/>
      <c r="AN128" s="190"/>
      <c r="AO128" s="211"/>
      <c r="AP128" s="211"/>
      <c r="AQ128" s="190"/>
      <c r="AR128" s="190"/>
      <c r="AS128" s="190"/>
      <c r="AT128" s="211"/>
      <c r="AU128" s="247"/>
      <c r="AV128" s="211"/>
      <c r="AW128" s="211"/>
      <c r="AX128" s="190"/>
      <c r="AY128" s="190"/>
      <c r="AZ128" s="211"/>
      <c r="BA128" s="211"/>
      <c r="BB128" s="190"/>
      <c r="BC128" s="190"/>
      <c r="BD128" s="247"/>
      <c r="BE128" s="211"/>
      <c r="BF128" s="247"/>
      <c r="BG128" s="211"/>
      <c r="BH128" s="211"/>
      <c r="BI128" s="190"/>
      <c r="BJ128" s="190"/>
      <c r="BK128" s="211"/>
      <c r="BL128" s="249"/>
      <c r="BM128" s="270"/>
      <c r="BN128" s="190"/>
      <c r="BO128" s="247"/>
      <c r="BP128" s="211"/>
      <c r="BQ128" s="247"/>
      <c r="BR128" s="211"/>
      <c r="BS128" s="249"/>
      <c r="BT128" s="270"/>
      <c r="BU128" s="190"/>
      <c r="BV128" s="211"/>
      <c r="BW128" s="211"/>
      <c r="BX128" s="190"/>
      <c r="BY128" s="190"/>
      <c r="BZ128" s="194"/>
      <c r="CA128" s="211"/>
      <c r="CB128" s="247"/>
      <c r="CC128" s="211"/>
      <c r="CD128" s="211"/>
      <c r="CE128" s="190"/>
      <c r="CF128" s="190"/>
      <c r="CG128" s="211"/>
      <c r="CH128" s="211"/>
      <c r="CI128" s="190"/>
      <c r="CJ128" s="190"/>
      <c r="CK128" s="194"/>
      <c r="CL128" s="211"/>
      <c r="CM128" s="342"/>
      <c r="CN128" s="348"/>
      <c r="CO128" s="211"/>
      <c r="CP128" s="190"/>
      <c r="CQ128" s="190"/>
      <c r="CR128" s="211"/>
      <c r="CS128" s="211"/>
      <c r="CT128" s="190"/>
      <c r="CU128" s="190"/>
      <c r="CV128" s="247"/>
      <c r="CW128" s="163"/>
      <c r="CX128" s="196"/>
      <c r="CY128" s="196"/>
      <c r="CZ128" s="196"/>
      <c r="DA128" s="196"/>
      <c r="DB128" s="196"/>
      <c r="DC128" s="196"/>
      <c r="DD128" s="163"/>
      <c r="DE128" s="200"/>
      <c r="DF128" s="200"/>
      <c r="DG128" s="200"/>
      <c r="DH128" s="197"/>
      <c r="DI128" s="197"/>
      <c r="DJ128" s="197"/>
      <c r="DK128" s="197"/>
      <c r="DL128" s="197"/>
      <c r="DM128" s="197"/>
      <c r="DN128" s="200"/>
      <c r="DO128" s="200"/>
      <c r="DP128" s="200"/>
      <c r="DQ128" s="200"/>
      <c r="DR128" s="191"/>
      <c r="DS128" s="163"/>
      <c r="DT128" s="197"/>
      <c r="DU128" s="197"/>
      <c r="DV128" s="197"/>
      <c r="DW128" s="191"/>
      <c r="DX128" s="197"/>
      <c r="DY128" s="191"/>
      <c r="DZ128" s="197"/>
      <c r="EA128" s="197"/>
      <c r="EB128" s="191"/>
      <c r="EC128" s="200"/>
      <c r="ED128" s="200"/>
      <c r="EE128" s="200"/>
      <c r="EF128" s="204"/>
      <c r="EG128" s="191"/>
    </row>
    <row r="129" spans="1:137" ht="12" thickBot="1">
      <c r="A129" s="230"/>
      <c r="B129" s="231"/>
      <c r="C129" s="232"/>
      <c r="D129" s="232"/>
      <c r="E129" s="234"/>
      <c r="F129" s="337"/>
      <c r="G129" s="337"/>
      <c r="H129" s="337"/>
      <c r="I129" s="337"/>
      <c r="J129" s="335"/>
      <c r="K129" s="335"/>
      <c r="L129" s="335"/>
      <c r="M129" s="337"/>
      <c r="N129" s="337"/>
      <c r="O129" s="337"/>
      <c r="P129" s="337"/>
      <c r="Q129" s="337"/>
      <c r="R129" s="337"/>
      <c r="S129" s="337"/>
      <c r="T129" s="337"/>
      <c r="U129" s="337"/>
      <c r="V129" s="209"/>
      <c r="W129" s="335"/>
      <c r="X129" s="335"/>
      <c r="Y129" s="335"/>
      <c r="Z129" s="337"/>
      <c r="AA129" s="337"/>
      <c r="AB129" s="339"/>
      <c r="AC129" s="337"/>
      <c r="AD129" s="337"/>
      <c r="AE129" s="337"/>
      <c r="AF129" s="337"/>
      <c r="AG129" s="339"/>
      <c r="AH129" s="236"/>
      <c r="AI129" s="337"/>
      <c r="AJ129" s="232"/>
      <c r="AK129" s="337"/>
      <c r="AL129" s="337"/>
      <c r="AM129" s="335"/>
      <c r="AN129" s="335"/>
      <c r="AO129" s="337"/>
      <c r="AP129" s="337"/>
      <c r="AQ129" s="335"/>
      <c r="AR129" s="335"/>
      <c r="AS129" s="335"/>
      <c r="AT129" s="337"/>
      <c r="AU129" s="232"/>
      <c r="AV129" s="337"/>
      <c r="AW129" s="337"/>
      <c r="AX129" s="335"/>
      <c r="AY129" s="335"/>
      <c r="AZ129" s="337"/>
      <c r="BA129" s="337"/>
      <c r="BB129" s="335"/>
      <c r="BC129" s="335"/>
      <c r="BD129" s="232"/>
      <c r="BE129" s="337"/>
      <c r="BF129" s="232"/>
      <c r="BG129" s="337"/>
      <c r="BH129" s="337"/>
      <c r="BI129" s="335"/>
      <c r="BJ129" s="335"/>
      <c r="BK129" s="337"/>
      <c r="BL129" s="337"/>
      <c r="BM129" s="335"/>
      <c r="BN129" s="335"/>
      <c r="BO129" s="232"/>
      <c r="BP129" s="337"/>
      <c r="BQ129" s="232"/>
      <c r="BR129" s="337"/>
      <c r="BS129" s="337"/>
      <c r="BT129" s="335"/>
      <c r="BU129" s="335"/>
      <c r="BV129" s="337"/>
      <c r="BW129" s="337"/>
      <c r="BX129" s="335"/>
      <c r="BY129" s="335"/>
      <c r="BZ129" s="233"/>
      <c r="CA129" s="337"/>
      <c r="CB129" s="232"/>
      <c r="CC129" s="337"/>
      <c r="CD129" s="337"/>
      <c r="CE129" s="335"/>
      <c r="CF129" s="335"/>
      <c r="CG129" s="337"/>
      <c r="CH129" s="337"/>
      <c r="CI129" s="335"/>
      <c r="CJ129" s="335"/>
      <c r="CK129" s="233"/>
      <c r="CL129" s="337"/>
      <c r="CM129" s="232"/>
      <c r="CN129" s="337"/>
      <c r="CO129" s="337"/>
      <c r="CP129" s="335"/>
      <c r="CQ129" s="335"/>
      <c r="CR129" s="337"/>
      <c r="CS129" s="337"/>
      <c r="CT129" s="335"/>
      <c r="CU129" s="335"/>
      <c r="CV129" s="232"/>
      <c r="CW129" s="237"/>
      <c r="CX129" s="238"/>
      <c r="CY129" s="238"/>
      <c r="CZ129" s="238"/>
      <c r="DA129" s="238"/>
      <c r="DB129" s="238"/>
      <c r="DC129" s="238"/>
      <c r="DD129" s="237"/>
      <c r="DE129" s="231"/>
      <c r="DF129" s="231"/>
      <c r="DG129" s="231"/>
      <c r="DH129" s="209"/>
      <c r="DI129" s="208"/>
      <c r="DJ129" s="209"/>
      <c r="DK129" s="208"/>
      <c r="DL129" s="208"/>
      <c r="DM129" s="209"/>
      <c r="DN129" s="231"/>
      <c r="DO129" s="231"/>
      <c r="DP129" s="231"/>
      <c r="DQ129" s="231"/>
      <c r="DR129" s="209"/>
      <c r="DS129" s="237"/>
      <c r="DT129" s="208"/>
      <c r="DU129" s="208"/>
      <c r="DV129" s="208"/>
      <c r="DW129" s="209"/>
      <c r="DX129" s="208"/>
      <c r="DY129" s="209"/>
      <c r="DZ129" s="208"/>
      <c r="EA129" s="208"/>
      <c r="EB129" s="209"/>
      <c r="EC129" s="231"/>
      <c r="ED129" s="231"/>
      <c r="EE129" s="231"/>
      <c r="EF129" s="235"/>
      <c r="EG129" s="209"/>
    </row>
    <row r="130" spans="1:137" ht="12" thickBot="1">
      <c r="A130" s="239" t="s">
        <v>95</v>
      </c>
      <c r="B130" s="240"/>
      <c r="C130" s="241">
        <f>SUM(C5:C129)</f>
        <v>21795.351699999988</v>
      </c>
      <c r="D130" s="242">
        <f>AVERAGE(D5:D129)</f>
        <v>10.328684662273877</v>
      </c>
      <c r="E130" s="243">
        <f>C130/SUM('NOPA Crush'!G430:G551)-1</f>
        <v>7.1889275796667595E-2</v>
      </c>
      <c r="F130" s="195">
        <f>SUM(F5:F129)</f>
        <v>480867.34100000013</v>
      </c>
      <c r="G130" s="195"/>
      <c r="H130" s="195"/>
      <c r="I130" s="195"/>
      <c r="J130" s="192"/>
      <c r="K130" s="192">
        <f>(F130+M130)*2/C130</f>
        <v>47.172118631148344</v>
      </c>
      <c r="L130" s="193">
        <f>K130-((SUM('NOPA Crush'!I430:I551)*2)/SUM('NOPA Crush'!G430:G551))</f>
        <v>1.304382591487844</v>
      </c>
      <c r="M130" s="195">
        <f>SUM(M5:M129)</f>
        <v>33199.116999999998</v>
      </c>
      <c r="N130" s="163"/>
      <c r="O130" s="195">
        <f>SUM(O5:O129)</f>
        <v>254263.19399999999</v>
      </c>
      <c r="P130" s="163"/>
      <c r="Q130" s="163"/>
      <c r="R130" s="163"/>
      <c r="S130" s="163"/>
      <c r="T130" s="163"/>
      <c r="U130" s="163"/>
      <c r="V130" s="244">
        <f>(AVERAGE(P5:P129)+AVERAGE(T5:T129))/AVERAGE('NOPA Crush'!Q430:Q539)-1</f>
        <v>0.27471141103859198</v>
      </c>
      <c r="W130" s="192">
        <f>O130/C130</f>
        <v>11.665936732739217</v>
      </c>
      <c r="X130" s="193">
        <f>W130-SUM('NOPA Crush'!N430:N539)/SUM('NOPA Crush'!G430:G539)</f>
        <v>-3.6081799566201056E-2</v>
      </c>
      <c r="Y130" s="163"/>
      <c r="Z130" s="195">
        <f>SUM(Z5:Z129)</f>
        <v>197024.29699999999</v>
      </c>
      <c r="AA130" s="195">
        <f>SUM(AA5:AA129)</f>
        <v>192393.62000000008</v>
      </c>
      <c r="AB130" s="191">
        <f>(Z130-AA130)/Z130</f>
        <v>2.3503075866830318E-2</v>
      </c>
      <c r="AC130" s="191"/>
      <c r="AD130" s="191"/>
      <c r="AE130" s="191"/>
      <c r="AF130" s="191"/>
      <c r="AH130" s="195"/>
      <c r="AI130" s="195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  <c r="BB130" s="190"/>
      <c r="BC130" s="190"/>
      <c r="BD130" s="163"/>
      <c r="BE130" s="163"/>
      <c r="BF130" s="163"/>
      <c r="BG130" s="163"/>
      <c r="BH130" s="163"/>
      <c r="BI130" s="163"/>
      <c r="BJ130" s="163"/>
      <c r="BK130" s="163"/>
      <c r="BL130" s="163"/>
      <c r="BM130" s="163"/>
      <c r="BN130" s="163"/>
      <c r="BO130" s="163"/>
      <c r="BP130" s="163"/>
      <c r="BQ130" s="163"/>
      <c r="BR130" s="163"/>
      <c r="BS130" s="163"/>
      <c r="BT130" s="163"/>
      <c r="BU130" s="163"/>
      <c r="BV130" s="163"/>
      <c r="BW130" s="163"/>
      <c r="BX130" s="163"/>
      <c r="BY130" s="163"/>
      <c r="BZ130" s="163"/>
      <c r="CA130" s="163"/>
      <c r="CB130" s="163"/>
      <c r="CC130" s="163"/>
      <c r="CD130" s="163"/>
      <c r="CE130" s="163"/>
      <c r="CF130" s="163"/>
      <c r="CG130" s="163"/>
      <c r="CH130" s="163"/>
      <c r="CI130" s="163"/>
      <c r="CJ130" s="163"/>
      <c r="CK130" s="163"/>
      <c r="CL130" s="163"/>
      <c r="CM130" s="163"/>
      <c r="CN130" s="163"/>
      <c r="CO130" s="163"/>
      <c r="CP130" s="163"/>
      <c r="CQ130" s="163"/>
      <c r="CR130" s="163"/>
      <c r="CS130" s="163"/>
      <c r="CT130" s="163"/>
      <c r="CU130" s="163"/>
      <c r="CV130" s="163"/>
      <c r="CW130" s="163"/>
      <c r="CX130" s="163"/>
      <c r="CY130" s="163"/>
      <c r="CZ130" s="163"/>
      <c r="DA130" s="163"/>
      <c r="DB130" s="163"/>
      <c r="DC130" s="163"/>
      <c r="DD130" s="163"/>
      <c r="DE130" s="163"/>
      <c r="DF130" s="163"/>
      <c r="DG130" s="163"/>
      <c r="DH130" s="163"/>
      <c r="DI130" s="163"/>
      <c r="DJ130" s="163"/>
      <c r="DK130" s="163"/>
      <c r="DL130" s="163"/>
      <c r="DM130" s="163"/>
      <c r="DN130" s="163"/>
      <c r="DO130" s="163"/>
      <c r="DP130" s="163"/>
      <c r="DQ130" s="163"/>
      <c r="DR130" s="163"/>
      <c r="DS130" s="163"/>
      <c r="DT130" s="163"/>
      <c r="DU130" s="163"/>
      <c r="DV130" s="163"/>
      <c r="DW130" s="163"/>
      <c r="DX130" s="163"/>
      <c r="DY130" s="163"/>
      <c r="DZ130" s="163"/>
      <c r="EA130" s="163"/>
      <c r="EB130" s="163"/>
      <c r="EC130" s="163"/>
      <c r="ED130" s="163"/>
      <c r="EE130" s="163"/>
      <c r="EF130" s="163"/>
      <c r="EG130" s="163"/>
    </row>
    <row r="131" spans="1:137" ht="12" thickBot="1">
      <c r="A131" s="163" t="s">
        <v>96</v>
      </c>
      <c r="B131" s="163"/>
      <c r="C131" s="195">
        <f>SUM('NOPA Crush'!G430:G551)</f>
        <v>20333.585000000003</v>
      </c>
      <c r="D131" s="163"/>
      <c r="E131" s="163"/>
      <c r="F131" s="195">
        <f>SUM('NOPA Crush'!I430:I551)</f>
        <v>466327.75476000016</v>
      </c>
      <c r="G131" s="195"/>
      <c r="H131" s="195"/>
      <c r="I131" s="163"/>
      <c r="J131" s="163"/>
      <c r="K131" s="192">
        <f>((SUM('NOPA Crush'!I430:I551)*2)/SUM('NOPA Crush'!G430:G551))</f>
        <v>45.8677360396605</v>
      </c>
      <c r="L131" s="163"/>
      <c r="M131" s="163"/>
      <c r="N131" s="163"/>
      <c r="O131" s="163"/>
      <c r="P131" s="163"/>
      <c r="Q131" s="163"/>
      <c r="R131" s="195"/>
      <c r="S131" s="195"/>
      <c r="T131" s="163"/>
      <c r="U131" s="195"/>
      <c r="V131" s="195"/>
      <c r="X131" s="163"/>
      <c r="Y131" s="163"/>
      <c r="Z131" s="163"/>
      <c r="AA131" s="163"/>
      <c r="AB131" s="163"/>
      <c r="AC131" s="163"/>
      <c r="AD131" s="163"/>
      <c r="AE131" s="163"/>
      <c r="AF131" s="163"/>
      <c r="AH131" s="195"/>
      <c r="AI131" s="195"/>
      <c r="AJ131" s="163"/>
      <c r="AK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  <c r="BB131" s="190"/>
      <c r="BC131" s="190"/>
      <c r="BD131" s="163"/>
      <c r="BE131" s="163"/>
      <c r="BF131" s="163"/>
      <c r="BG131" s="163"/>
      <c r="BH131" s="163"/>
      <c r="BI131" s="163"/>
      <c r="BJ131" s="163"/>
      <c r="BK131" s="163"/>
      <c r="BL131" s="163"/>
      <c r="BM131" s="163"/>
      <c r="BN131" s="163"/>
      <c r="BO131" s="163"/>
      <c r="BP131" s="195"/>
      <c r="BQ131" s="194"/>
      <c r="BR131" s="163"/>
      <c r="BS131" s="195"/>
      <c r="BT131" s="192"/>
      <c r="BU131" s="163"/>
      <c r="BV131" s="163"/>
      <c r="BW131" s="163"/>
      <c r="BX131" s="163"/>
      <c r="BY131" s="163"/>
      <c r="BZ131" s="163"/>
      <c r="CA131" s="163"/>
      <c r="CB131" s="163"/>
      <c r="CC131" s="163"/>
      <c r="CD131" s="163"/>
      <c r="CE131" s="163"/>
      <c r="CF131" s="163"/>
      <c r="CG131" s="163"/>
      <c r="CH131" s="163"/>
      <c r="CI131" s="163"/>
      <c r="CJ131" s="163"/>
      <c r="CK131" s="163"/>
      <c r="CL131" s="163"/>
      <c r="CM131" s="163"/>
      <c r="CN131" s="163"/>
      <c r="CO131" s="163"/>
      <c r="CP131" s="163"/>
      <c r="CQ131" s="163"/>
      <c r="CR131" s="163"/>
      <c r="CS131" s="163"/>
      <c r="CT131" s="163"/>
      <c r="CU131" s="163"/>
      <c r="CV131" s="163"/>
      <c r="CW131" s="163"/>
      <c r="CX131" s="163"/>
      <c r="CY131" s="163"/>
      <c r="CZ131" s="163"/>
      <c r="DA131" s="163"/>
      <c r="DB131" s="163"/>
      <c r="DC131" s="163"/>
      <c r="DD131" s="163"/>
      <c r="DE131" s="163"/>
      <c r="DF131" s="163"/>
      <c r="DG131" s="163"/>
      <c r="DH131" s="163"/>
      <c r="DI131" s="197">
        <f>DI61-DI49</f>
        <v>3.6869999999999834</v>
      </c>
      <c r="DJ131" s="163"/>
      <c r="DK131" s="163"/>
      <c r="DL131" s="163"/>
      <c r="DM131" s="163"/>
      <c r="DN131" s="163"/>
      <c r="DO131" s="163"/>
      <c r="DP131" s="163"/>
      <c r="DQ131" s="163"/>
      <c r="DR131" s="163"/>
      <c r="DS131" s="163"/>
      <c r="DT131" s="163"/>
      <c r="DU131" s="163"/>
      <c r="DV131" s="163"/>
      <c r="DW131" s="163"/>
      <c r="DX131" s="163"/>
      <c r="DY131" s="163"/>
      <c r="DZ131" s="163"/>
      <c r="EA131" s="163"/>
      <c r="EB131" s="163"/>
      <c r="EC131" s="163"/>
      <c r="ED131" s="163"/>
      <c r="EE131" s="163"/>
      <c r="EF131" s="163"/>
      <c r="EG131" s="163"/>
    </row>
    <row r="132" spans="1:137" ht="12" thickBot="1">
      <c r="A132" s="239" t="s">
        <v>97</v>
      </c>
      <c r="B132" s="240"/>
      <c r="C132" s="241">
        <f>SUM(C114:C125)</f>
        <v>2389.3254000000002</v>
      </c>
      <c r="D132" s="240"/>
      <c r="E132" s="243">
        <f>C132/SUM('NOPA Crush'!G540:G551)-1</f>
        <v>5.7445879111760245E-2</v>
      </c>
      <c r="F132" s="195"/>
      <c r="G132" s="195"/>
      <c r="H132" s="195"/>
      <c r="I132" s="163"/>
      <c r="J132" s="163"/>
      <c r="K132" s="192"/>
      <c r="L132" s="193"/>
      <c r="M132" s="191"/>
      <c r="N132" s="163"/>
      <c r="O132" s="163"/>
      <c r="P132" s="163"/>
      <c r="Q132" s="163" t="s">
        <v>98</v>
      </c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  <c r="BB132" s="163"/>
      <c r="BC132" s="163"/>
      <c r="BD132" s="163"/>
      <c r="BE132" s="163"/>
      <c r="BF132" s="163"/>
      <c r="BG132" s="163"/>
      <c r="BH132" s="163"/>
      <c r="BI132" s="163"/>
      <c r="BJ132" s="163"/>
      <c r="BK132" s="163"/>
      <c r="BL132" s="163"/>
      <c r="BM132" s="163"/>
      <c r="BN132" s="163"/>
      <c r="BO132" s="163"/>
      <c r="BP132" s="163"/>
      <c r="BQ132" s="163"/>
      <c r="BR132" s="163"/>
      <c r="BS132" s="197"/>
      <c r="BT132" s="163"/>
      <c r="BU132" s="163"/>
      <c r="BV132" s="163"/>
      <c r="BW132" s="163"/>
      <c r="BX132" s="163"/>
      <c r="BY132" s="163"/>
      <c r="BZ132" s="163"/>
      <c r="CA132" s="163"/>
      <c r="CB132" s="163"/>
      <c r="CC132" s="163"/>
      <c r="CD132" s="163"/>
      <c r="CE132" s="163"/>
      <c r="CF132" s="163"/>
      <c r="CG132" s="163"/>
      <c r="CH132" s="163"/>
      <c r="CI132" s="163"/>
      <c r="CJ132" s="163"/>
      <c r="CK132" s="163"/>
      <c r="CL132" s="163"/>
      <c r="CM132" s="163"/>
      <c r="CN132" s="163"/>
      <c r="CO132" s="163"/>
      <c r="CP132" s="163"/>
      <c r="CQ132" s="163"/>
      <c r="CR132" s="163"/>
      <c r="CS132" s="163"/>
      <c r="CT132" s="163"/>
      <c r="CU132" s="163"/>
      <c r="CV132" s="163"/>
      <c r="CW132" s="163"/>
      <c r="CX132" s="163"/>
      <c r="CY132" s="163"/>
      <c r="CZ132" s="163"/>
      <c r="DA132" s="163"/>
      <c r="DB132" s="163"/>
      <c r="DC132" s="163"/>
      <c r="DD132" s="163"/>
      <c r="DE132" s="163"/>
      <c r="DF132" s="163"/>
      <c r="DG132" s="163"/>
      <c r="DH132" s="163"/>
      <c r="DI132" s="163"/>
      <c r="DJ132" s="163"/>
      <c r="DK132" s="163"/>
      <c r="DL132" s="163"/>
      <c r="DM132" s="163"/>
      <c r="DN132" s="163"/>
      <c r="DO132" s="163"/>
      <c r="DP132" s="163"/>
      <c r="DQ132" s="163"/>
      <c r="DR132" s="163"/>
      <c r="DS132" s="163"/>
      <c r="DT132" s="163"/>
      <c r="DU132" s="163"/>
      <c r="DV132" s="163"/>
      <c r="DW132" s="163"/>
      <c r="DX132" s="163"/>
      <c r="DY132" s="163"/>
      <c r="DZ132" s="163"/>
      <c r="EA132" s="163"/>
      <c r="EB132" s="163"/>
      <c r="EC132" s="163"/>
      <c r="ED132" s="163"/>
      <c r="EE132" s="163"/>
      <c r="EF132" s="163"/>
      <c r="EG132" s="163"/>
    </row>
    <row r="133" spans="1:137">
      <c r="A133" s="163"/>
      <c r="B133" s="163" t="s">
        <v>99</v>
      </c>
      <c r="C133" s="163"/>
      <c r="D133" s="163"/>
      <c r="E133" s="163"/>
      <c r="F133" s="163"/>
      <c r="G133" s="195"/>
      <c r="H133" s="163"/>
      <c r="I133" s="163"/>
      <c r="J133" s="163"/>
      <c r="K133" s="163"/>
      <c r="L133" s="163"/>
      <c r="M133" s="191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  <c r="BB133" s="163"/>
      <c r="BC133" s="163"/>
      <c r="BD133" s="163"/>
      <c r="BE133" s="163"/>
      <c r="BF133" s="163"/>
      <c r="BG133" s="163"/>
      <c r="BH133" s="163"/>
      <c r="BI133" s="163"/>
      <c r="BJ133" s="163"/>
      <c r="BK133" s="163"/>
      <c r="BL133" s="163"/>
      <c r="BM133" s="163"/>
      <c r="BN133" s="163"/>
      <c r="BO133" s="163"/>
      <c r="BP133" s="163"/>
      <c r="BQ133" s="163"/>
      <c r="BR133" s="163"/>
      <c r="BS133" s="163"/>
      <c r="BT133" s="163"/>
      <c r="BU133" s="163"/>
      <c r="BV133" s="163"/>
      <c r="BW133" s="163"/>
      <c r="BX133" s="163"/>
      <c r="BY133" s="163"/>
      <c r="BZ133" s="163"/>
      <c r="CA133" s="163"/>
      <c r="CB133" s="163"/>
      <c r="CC133" s="163"/>
      <c r="CD133" s="163"/>
      <c r="CE133" s="163"/>
      <c r="CF133" s="163"/>
      <c r="CG133" s="163"/>
      <c r="CH133" s="163"/>
      <c r="CI133" s="163"/>
      <c r="CJ133" s="163"/>
      <c r="CK133" s="163"/>
      <c r="CL133" s="163"/>
      <c r="CM133" s="163"/>
      <c r="CN133" s="163"/>
      <c r="CO133" s="163"/>
      <c r="CP133" s="163"/>
      <c r="CQ133" s="163"/>
      <c r="CR133" s="163"/>
      <c r="CS133" s="163"/>
      <c r="CT133" s="163"/>
      <c r="CU133" s="163"/>
      <c r="CV133" s="163"/>
      <c r="CW133" s="163"/>
      <c r="CX133" s="163"/>
      <c r="CY133" s="163"/>
      <c r="CZ133" s="163"/>
      <c r="DA133" s="163"/>
      <c r="DB133" s="163"/>
      <c r="DC133" s="163"/>
      <c r="DD133" s="163"/>
      <c r="DE133" s="163"/>
      <c r="DF133" s="163"/>
      <c r="DG133" s="163"/>
      <c r="DH133" s="163"/>
      <c r="DI133" s="163"/>
      <c r="DJ133" s="163"/>
      <c r="DK133" s="163"/>
      <c r="DL133" s="163"/>
      <c r="DM133" s="163"/>
      <c r="DN133" s="163"/>
      <c r="DO133" s="163"/>
      <c r="DP133" s="163"/>
      <c r="DQ133" s="163"/>
      <c r="DR133" s="163"/>
      <c r="DS133" s="163"/>
      <c r="DT133" s="163"/>
      <c r="DU133" s="163"/>
      <c r="DV133" s="163"/>
      <c r="DW133" s="163"/>
      <c r="DX133" s="163"/>
      <c r="DY133" s="163"/>
      <c r="DZ133" s="163"/>
      <c r="EA133" s="163"/>
      <c r="EB133" s="163"/>
      <c r="EC133" s="163"/>
      <c r="ED133" s="163"/>
      <c r="EE133" s="163"/>
      <c r="EF133" s="163"/>
      <c r="EG133" s="163"/>
    </row>
    <row r="134" spans="1:137" hidden="1">
      <c r="A134" s="157">
        <v>42125</v>
      </c>
      <c r="B134" s="197">
        <f>B5-B258</f>
        <v>0</v>
      </c>
      <c r="C134" s="197">
        <f>C5-C258</f>
        <v>0</v>
      </c>
      <c r="D134" s="197">
        <f>D5-D258</f>
        <v>0</v>
      </c>
      <c r="E134" s="197">
        <f>E5-E258</f>
        <v>0</v>
      </c>
      <c r="F134" s="197">
        <f>F5-F258</f>
        <v>0</v>
      </c>
      <c r="G134" s="197"/>
      <c r="H134" s="197"/>
      <c r="I134" s="197">
        <f t="shared" ref="I134:AB134" si="3220">I5-I258</f>
        <v>0</v>
      </c>
      <c r="J134" s="197">
        <f t="shared" si="3220"/>
        <v>0</v>
      </c>
      <c r="K134" s="197">
        <f t="shared" si="3220"/>
        <v>0</v>
      </c>
      <c r="L134" s="197">
        <f t="shared" si="3220"/>
        <v>0</v>
      </c>
      <c r="M134" s="197">
        <f t="shared" si="3220"/>
        <v>0</v>
      </c>
      <c r="N134" s="197">
        <f t="shared" si="3220"/>
        <v>0</v>
      </c>
      <c r="O134" s="197">
        <f t="shared" si="3220"/>
        <v>0</v>
      </c>
      <c r="P134" s="197">
        <f t="shared" si="3220"/>
        <v>462.62300000000005</v>
      </c>
      <c r="Q134" s="197">
        <f t="shared" si="3220"/>
        <v>0</v>
      </c>
      <c r="R134" s="197">
        <f t="shared" si="3220"/>
        <v>91.674999999999983</v>
      </c>
      <c r="S134" s="197">
        <f t="shared" si="3220"/>
        <v>370.94799999999998</v>
      </c>
      <c r="T134" s="197">
        <f t="shared" si="3220"/>
        <v>0</v>
      </c>
      <c r="U134" s="197">
        <f t="shared" si="3220"/>
        <v>462.62300000000005</v>
      </c>
      <c r="V134" s="197">
        <f t="shared" si="3220"/>
        <v>0.29320707337988328</v>
      </c>
      <c r="W134" s="197">
        <f t="shared" si="3220"/>
        <v>0</v>
      </c>
      <c r="X134" s="197">
        <f t="shared" si="3220"/>
        <v>0</v>
      </c>
      <c r="Y134" s="197">
        <f t="shared" si="3220"/>
        <v>0</v>
      </c>
      <c r="Z134" s="197">
        <f t="shared" si="3220"/>
        <v>0</v>
      </c>
      <c r="AA134" s="197">
        <f t="shared" si="3220"/>
        <v>0</v>
      </c>
      <c r="AB134" s="197">
        <f t="shared" si="3220"/>
        <v>0</v>
      </c>
      <c r="AC134" s="163"/>
      <c r="AD134" s="163"/>
      <c r="AE134" s="163"/>
      <c r="AF134" s="163"/>
      <c r="AH134" s="163"/>
      <c r="AI134" s="197">
        <f t="shared" ref="AI134:BN134" si="3221">AI5-AI258</f>
        <v>0</v>
      </c>
      <c r="AJ134" s="197">
        <f t="shared" si="3221"/>
        <v>0</v>
      </c>
      <c r="AK134" s="197">
        <f t="shared" si="3221"/>
        <v>0</v>
      </c>
      <c r="AL134" s="197">
        <f t="shared" si="3221"/>
        <v>0</v>
      </c>
      <c r="AM134" s="197">
        <f t="shared" si="3221"/>
        <v>0</v>
      </c>
      <c r="AN134" s="197">
        <f t="shared" si="3221"/>
        <v>0</v>
      </c>
      <c r="AO134" s="197">
        <f t="shared" si="3221"/>
        <v>0</v>
      </c>
      <c r="AP134" s="197">
        <f t="shared" si="3221"/>
        <v>0</v>
      </c>
      <c r="AQ134" s="197">
        <f t="shared" si="3221"/>
        <v>0</v>
      </c>
      <c r="AR134" s="197">
        <f t="shared" si="3221"/>
        <v>0</v>
      </c>
      <c r="AS134" s="197">
        <f t="shared" si="3221"/>
        <v>0</v>
      </c>
      <c r="AT134" s="197">
        <f t="shared" si="3221"/>
        <v>0</v>
      </c>
      <c r="AU134" s="197">
        <f t="shared" si="3221"/>
        <v>0</v>
      </c>
      <c r="AV134" s="197">
        <f t="shared" si="3221"/>
        <v>0</v>
      </c>
      <c r="AW134" s="197">
        <f t="shared" si="3221"/>
        <v>0</v>
      </c>
      <c r="AX134" s="197">
        <f t="shared" si="3221"/>
        <v>0</v>
      </c>
      <c r="AY134" s="197">
        <f t="shared" si="3221"/>
        <v>0</v>
      </c>
      <c r="AZ134" s="197">
        <f t="shared" si="3221"/>
        <v>0</v>
      </c>
      <c r="BA134" s="197">
        <f t="shared" si="3221"/>
        <v>0</v>
      </c>
      <c r="BB134" s="197">
        <f t="shared" si="3221"/>
        <v>0</v>
      </c>
      <c r="BC134" s="197">
        <f t="shared" si="3221"/>
        <v>0</v>
      </c>
      <c r="BD134" s="197">
        <f t="shared" si="3221"/>
        <v>0</v>
      </c>
      <c r="BE134" s="197">
        <f t="shared" si="3221"/>
        <v>0</v>
      </c>
      <c r="BF134" s="197">
        <f t="shared" si="3221"/>
        <v>0</v>
      </c>
      <c r="BG134" s="197">
        <f t="shared" si="3221"/>
        <v>0</v>
      </c>
      <c r="BH134" s="197">
        <f t="shared" si="3221"/>
        <v>0</v>
      </c>
      <c r="BI134" s="197">
        <f t="shared" si="3221"/>
        <v>0</v>
      </c>
      <c r="BJ134" s="197">
        <f t="shared" si="3221"/>
        <v>0</v>
      </c>
      <c r="BK134" s="197">
        <f t="shared" si="3221"/>
        <v>0</v>
      </c>
      <c r="BL134" s="197">
        <f t="shared" si="3221"/>
        <v>0</v>
      </c>
      <c r="BM134" s="197">
        <f t="shared" si="3221"/>
        <v>0</v>
      </c>
      <c r="BN134" s="197">
        <f t="shared" si="3221"/>
        <v>0</v>
      </c>
      <c r="BO134" s="197">
        <f t="shared" ref="BO134:CV134" si="3222">BO5-BO258</f>
        <v>0</v>
      </c>
      <c r="BP134" s="197">
        <f t="shared" si="3222"/>
        <v>0</v>
      </c>
      <c r="BQ134" s="197">
        <f t="shared" si="3222"/>
        <v>0</v>
      </c>
      <c r="BR134" s="197">
        <f t="shared" si="3222"/>
        <v>0</v>
      </c>
      <c r="BS134" s="197">
        <f t="shared" si="3222"/>
        <v>0</v>
      </c>
      <c r="BT134" s="197">
        <f t="shared" si="3222"/>
        <v>0</v>
      </c>
      <c r="BU134" s="197">
        <f t="shared" si="3222"/>
        <v>0</v>
      </c>
      <c r="BV134" s="197">
        <f t="shared" si="3222"/>
        <v>0</v>
      </c>
      <c r="BW134" s="197">
        <f t="shared" si="3222"/>
        <v>0</v>
      </c>
      <c r="BX134" s="197">
        <f t="shared" si="3222"/>
        <v>0</v>
      </c>
      <c r="BY134" s="197">
        <f t="shared" si="3222"/>
        <v>0</v>
      </c>
      <c r="BZ134" s="197">
        <f t="shared" si="3222"/>
        <v>0</v>
      </c>
      <c r="CA134" s="197">
        <f t="shared" si="3222"/>
        <v>0</v>
      </c>
      <c r="CB134" s="197">
        <f t="shared" si="3222"/>
        <v>0</v>
      </c>
      <c r="CC134" s="197">
        <f t="shared" si="3222"/>
        <v>0</v>
      </c>
      <c r="CD134" s="197">
        <f t="shared" si="3222"/>
        <v>0</v>
      </c>
      <c r="CE134" s="197">
        <f t="shared" si="3222"/>
        <v>0</v>
      </c>
      <c r="CF134" s="197">
        <f t="shared" si="3222"/>
        <v>0</v>
      </c>
      <c r="CG134" s="197">
        <f t="shared" si="3222"/>
        <v>0</v>
      </c>
      <c r="CH134" s="197">
        <f t="shared" si="3222"/>
        <v>0</v>
      </c>
      <c r="CI134" s="197">
        <f t="shared" si="3222"/>
        <v>0</v>
      </c>
      <c r="CJ134" s="197">
        <f t="shared" si="3222"/>
        <v>0</v>
      </c>
      <c r="CK134" s="197">
        <f t="shared" si="3222"/>
        <v>0</v>
      </c>
      <c r="CL134" s="197">
        <f t="shared" si="3222"/>
        <v>0</v>
      </c>
      <c r="CM134" s="197">
        <f t="shared" si="3222"/>
        <v>0</v>
      </c>
      <c r="CN134" s="197">
        <f t="shared" si="3222"/>
        <v>0</v>
      </c>
      <c r="CO134" s="197">
        <f t="shared" si="3222"/>
        <v>0</v>
      </c>
      <c r="CP134" s="197">
        <f t="shared" si="3222"/>
        <v>0</v>
      </c>
      <c r="CQ134" s="197">
        <f t="shared" si="3222"/>
        <v>0</v>
      </c>
      <c r="CR134" s="197">
        <f t="shared" si="3222"/>
        <v>0</v>
      </c>
      <c r="CS134" s="197">
        <f t="shared" si="3222"/>
        <v>0</v>
      </c>
      <c r="CT134" s="197">
        <f t="shared" si="3222"/>
        <v>0</v>
      </c>
      <c r="CU134" s="197">
        <f t="shared" si="3222"/>
        <v>0</v>
      </c>
      <c r="CV134" s="197">
        <f t="shared" si="3222"/>
        <v>0</v>
      </c>
      <c r="CW134" s="163"/>
      <c r="CX134" s="197">
        <f>CX5-CX258</f>
        <v>0</v>
      </c>
      <c r="CY134" s="197">
        <f>CY5-CY258</f>
        <v>0</v>
      </c>
      <c r="CZ134" s="197">
        <f>CZ5-CZ258</f>
        <v>0</v>
      </c>
      <c r="DA134" s="197">
        <f>DA5-DA258</f>
        <v>0</v>
      </c>
      <c r="DB134" s="197">
        <f>DB5-DB258</f>
        <v>0</v>
      </c>
      <c r="DC134" s="197">
        <f>DC5-DC258</f>
        <v>0</v>
      </c>
      <c r="DD134" s="163"/>
      <c r="DE134" s="197">
        <f t="shared" ref="DE134:EG134" si="3223">DE5-DE258</f>
        <v>2</v>
      </c>
      <c r="DF134" s="197">
        <f t="shared" si="3223"/>
        <v>1.1999999999999886</v>
      </c>
      <c r="DG134" s="197">
        <f t="shared" si="3223"/>
        <v>36</v>
      </c>
      <c r="DH134" s="197">
        <f t="shared" si="3223"/>
        <v>4.4927040819953135E-4</v>
      </c>
      <c r="DI134" s="197">
        <f t="shared" si="3223"/>
        <v>1.3999999999999915</v>
      </c>
      <c r="DJ134" s="197">
        <f t="shared" si="3223"/>
        <v>-1.2604183634560284E-3</v>
      </c>
      <c r="DK134" s="197">
        <f t="shared" si="3223"/>
        <v>1.4000000000000057</v>
      </c>
      <c r="DL134" s="197">
        <f t="shared" si="3223"/>
        <v>1.2999999999999829</v>
      </c>
      <c r="DM134" s="197">
        <f t="shared" si="3223"/>
        <v>4.6605331543794412E-4</v>
      </c>
      <c r="DN134" s="197">
        <f t="shared" si="3223"/>
        <v>1.2999999999999829</v>
      </c>
      <c r="DO134" s="197">
        <f t="shared" si="3223"/>
        <v>0</v>
      </c>
      <c r="DP134" s="197">
        <f t="shared" si="3223"/>
        <v>-2.8999999999996362E-2</v>
      </c>
      <c r="DQ134" s="197">
        <f t="shared" si="3223"/>
        <v>-2.8999999999996362E-2</v>
      </c>
      <c r="DR134" s="197">
        <f t="shared" si="3223"/>
        <v>-8.1114795525638606E-4</v>
      </c>
      <c r="DS134" s="197">
        <f t="shared" si="3223"/>
        <v>1.4706433674213235</v>
      </c>
      <c r="DT134" s="197">
        <f t="shared" si="3223"/>
        <v>0</v>
      </c>
      <c r="DU134" s="197">
        <f t="shared" si="3223"/>
        <v>0</v>
      </c>
      <c r="DV134" s="197">
        <f t="shared" si="3223"/>
        <v>0</v>
      </c>
      <c r="DW134" s="197">
        <f t="shared" si="3223"/>
        <v>0</v>
      </c>
      <c r="DX134" s="197">
        <f t="shared" si="3223"/>
        <v>0</v>
      </c>
      <c r="DY134" s="197">
        <f t="shared" si="3223"/>
        <v>0</v>
      </c>
      <c r="DZ134" s="197">
        <f t="shared" si="3223"/>
        <v>0</v>
      </c>
      <c r="EA134" s="197">
        <f t="shared" si="3223"/>
        <v>0</v>
      </c>
      <c r="EB134" s="197">
        <f t="shared" si="3223"/>
        <v>0</v>
      </c>
      <c r="EC134" s="197">
        <f t="shared" si="3223"/>
        <v>0</v>
      </c>
      <c r="ED134" s="197">
        <f t="shared" si="3223"/>
        <v>0</v>
      </c>
      <c r="EE134" s="197">
        <f t="shared" si="3223"/>
        <v>3.6829999999999998</v>
      </c>
      <c r="EF134" s="197">
        <f t="shared" si="3223"/>
        <v>3.6830000000000069</v>
      </c>
      <c r="EG134" s="197">
        <f t="shared" si="3223"/>
        <v>0</v>
      </c>
    </row>
    <row r="135" spans="1:137" hidden="1">
      <c r="A135" s="157">
        <v>42156</v>
      </c>
      <c r="B135" s="197">
        <f>B6-B259</f>
        <v>0</v>
      </c>
      <c r="C135" s="197">
        <f>C6-C259</f>
        <v>0</v>
      </c>
      <c r="D135" s="197">
        <f>D6-D259</f>
        <v>0</v>
      </c>
      <c r="E135" s="197">
        <f>E6-E259</f>
        <v>0</v>
      </c>
      <c r="F135" s="197">
        <f>F6-F259</f>
        <v>0</v>
      </c>
      <c r="G135" s="197"/>
      <c r="H135" s="197"/>
      <c r="I135" s="197">
        <f t="shared" ref="I135:AB135" si="3224">I6-I259</f>
        <v>0</v>
      </c>
      <c r="J135" s="197">
        <f t="shared" si="3224"/>
        <v>0</v>
      </c>
      <c r="K135" s="197">
        <f t="shared" si="3224"/>
        <v>0</v>
      </c>
      <c r="L135" s="197">
        <f t="shared" si="3224"/>
        <v>0</v>
      </c>
      <c r="M135" s="197">
        <f t="shared" si="3224"/>
        <v>0</v>
      </c>
      <c r="N135" s="197">
        <f t="shared" si="3224"/>
        <v>0</v>
      </c>
      <c r="O135" s="197">
        <f t="shared" si="3224"/>
        <v>0</v>
      </c>
      <c r="P135" s="197">
        <f t="shared" si="3224"/>
        <v>118.94000000000005</v>
      </c>
      <c r="Q135" s="197">
        <f t="shared" si="3224"/>
        <v>0</v>
      </c>
      <c r="R135" s="197">
        <f t="shared" si="3224"/>
        <v>99.137</v>
      </c>
      <c r="S135" s="197">
        <f t="shared" si="3224"/>
        <v>19.802999999999997</v>
      </c>
      <c r="T135" s="197">
        <f t="shared" si="3224"/>
        <v>0</v>
      </c>
      <c r="U135" s="197">
        <f t="shared" si="3224"/>
        <v>118.93999999999983</v>
      </c>
      <c r="V135" s="197">
        <f t="shared" si="3224"/>
        <v>7.5568991172392908E-2</v>
      </c>
      <c r="W135" s="197">
        <f t="shared" si="3224"/>
        <v>0</v>
      </c>
      <c r="X135" s="197">
        <f t="shared" si="3224"/>
        <v>0</v>
      </c>
      <c r="Y135" s="197">
        <f t="shared" si="3224"/>
        <v>0</v>
      </c>
      <c r="Z135" s="197">
        <f t="shared" si="3224"/>
        <v>0</v>
      </c>
      <c r="AA135" s="197">
        <f t="shared" si="3224"/>
        <v>0</v>
      </c>
      <c r="AB135" s="197">
        <f t="shared" si="3224"/>
        <v>0</v>
      </c>
      <c r="AC135" s="163"/>
      <c r="AD135" s="163"/>
      <c r="AE135" s="163"/>
      <c r="AF135" s="163"/>
      <c r="AH135" s="163"/>
      <c r="AI135" s="197">
        <f t="shared" ref="AI135:BN135" si="3225">AI6-AI259</f>
        <v>0</v>
      </c>
      <c r="AJ135" s="197">
        <f t="shared" si="3225"/>
        <v>0</v>
      </c>
      <c r="AK135" s="197">
        <f t="shared" si="3225"/>
        <v>0</v>
      </c>
      <c r="AL135" s="197">
        <f t="shared" si="3225"/>
        <v>0</v>
      </c>
      <c r="AM135" s="197">
        <f t="shared" si="3225"/>
        <v>0</v>
      </c>
      <c r="AN135" s="197">
        <f t="shared" si="3225"/>
        <v>0</v>
      </c>
      <c r="AO135" s="197">
        <f t="shared" si="3225"/>
        <v>0</v>
      </c>
      <c r="AP135" s="197">
        <f t="shared" si="3225"/>
        <v>0</v>
      </c>
      <c r="AQ135" s="197">
        <f t="shared" si="3225"/>
        <v>0</v>
      </c>
      <c r="AR135" s="197">
        <f t="shared" si="3225"/>
        <v>0</v>
      </c>
      <c r="AS135" s="197">
        <f t="shared" si="3225"/>
        <v>0</v>
      </c>
      <c r="AT135" s="197">
        <f t="shared" si="3225"/>
        <v>0</v>
      </c>
      <c r="AU135" s="197">
        <f t="shared" si="3225"/>
        <v>0</v>
      </c>
      <c r="AV135" s="197">
        <f t="shared" si="3225"/>
        <v>0</v>
      </c>
      <c r="AW135" s="197">
        <f t="shared" si="3225"/>
        <v>0</v>
      </c>
      <c r="AX135" s="197">
        <f t="shared" si="3225"/>
        <v>0</v>
      </c>
      <c r="AY135" s="197">
        <f t="shared" si="3225"/>
        <v>0</v>
      </c>
      <c r="AZ135" s="197">
        <f t="shared" si="3225"/>
        <v>0</v>
      </c>
      <c r="BA135" s="197">
        <f t="shared" si="3225"/>
        <v>0</v>
      </c>
      <c r="BB135" s="197">
        <f t="shared" si="3225"/>
        <v>0</v>
      </c>
      <c r="BC135" s="197">
        <f t="shared" si="3225"/>
        <v>0</v>
      </c>
      <c r="BD135" s="197">
        <f t="shared" si="3225"/>
        <v>0</v>
      </c>
      <c r="BE135" s="197">
        <f t="shared" si="3225"/>
        <v>0</v>
      </c>
      <c r="BF135" s="197">
        <f t="shared" si="3225"/>
        <v>0</v>
      </c>
      <c r="BG135" s="197">
        <f t="shared" si="3225"/>
        <v>0</v>
      </c>
      <c r="BH135" s="197">
        <f t="shared" si="3225"/>
        <v>0</v>
      </c>
      <c r="BI135" s="197">
        <f t="shared" si="3225"/>
        <v>0</v>
      </c>
      <c r="BJ135" s="197">
        <f t="shared" si="3225"/>
        <v>0</v>
      </c>
      <c r="BK135" s="197">
        <f t="shared" si="3225"/>
        <v>0</v>
      </c>
      <c r="BL135" s="197">
        <f t="shared" si="3225"/>
        <v>0</v>
      </c>
      <c r="BM135" s="197">
        <f t="shared" si="3225"/>
        <v>0</v>
      </c>
      <c r="BN135" s="197">
        <f t="shared" si="3225"/>
        <v>0</v>
      </c>
      <c r="BO135" s="197">
        <f t="shared" ref="BO135:CV135" si="3226">BO6-BO259</f>
        <v>0</v>
      </c>
      <c r="BP135" s="197">
        <f t="shared" si="3226"/>
        <v>0</v>
      </c>
      <c r="BQ135" s="197">
        <f t="shared" si="3226"/>
        <v>0</v>
      </c>
      <c r="BR135" s="197">
        <f t="shared" si="3226"/>
        <v>0</v>
      </c>
      <c r="BS135" s="197">
        <f t="shared" si="3226"/>
        <v>0</v>
      </c>
      <c r="BT135" s="197">
        <f t="shared" si="3226"/>
        <v>0</v>
      </c>
      <c r="BU135" s="197">
        <f t="shared" si="3226"/>
        <v>0</v>
      </c>
      <c r="BV135" s="197">
        <f t="shared" si="3226"/>
        <v>0</v>
      </c>
      <c r="BW135" s="197">
        <f t="shared" si="3226"/>
        <v>0</v>
      </c>
      <c r="BX135" s="197">
        <f t="shared" si="3226"/>
        <v>0</v>
      </c>
      <c r="BY135" s="197">
        <f t="shared" si="3226"/>
        <v>0</v>
      </c>
      <c r="BZ135" s="197">
        <f t="shared" si="3226"/>
        <v>0</v>
      </c>
      <c r="CA135" s="197">
        <f t="shared" si="3226"/>
        <v>0</v>
      </c>
      <c r="CB135" s="197">
        <f t="shared" si="3226"/>
        <v>0</v>
      </c>
      <c r="CC135" s="197">
        <f t="shared" si="3226"/>
        <v>0</v>
      </c>
      <c r="CD135" s="197">
        <f t="shared" si="3226"/>
        <v>0</v>
      </c>
      <c r="CE135" s="197">
        <f t="shared" si="3226"/>
        <v>0</v>
      </c>
      <c r="CF135" s="197">
        <f t="shared" si="3226"/>
        <v>0</v>
      </c>
      <c r="CG135" s="197">
        <f t="shared" si="3226"/>
        <v>0</v>
      </c>
      <c r="CH135" s="197">
        <f t="shared" si="3226"/>
        <v>0</v>
      </c>
      <c r="CI135" s="197">
        <f t="shared" si="3226"/>
        <v>0</v>
      </c>
      <c r="CJ135" s="197">
        <f t="shared" si="3226"/>
        <v>0</v>
      </c>
      <c r="CK135" s="197">
        <f t="shared" si="3226"/>
        <v>0</v>
      </c>
      <c r="CL135" s="197">
        <f t="shared" si="3226"/>
        <v>0</v>
      </c>
      <c r="CM135" s="197">
        <f t="shared" si="3226"/>
        <v>0</v>
      </c>
      <c r="CN135" s="197">
        <f t="shared" si="3226"/>
        <v>0</v>
      </c>
      <c r="CO135" s="197">
        <f t="shared" si="3226"/>
        <v>0</v>
      </c>
      <c r="CP135" s="197">
        <f t="shared" si="3226"/>
        <v>0</v>
      </c>
      <c r="CQ135" s="197">
        <f t="shared" si="3226"/>
        <v>0</v>
      </c>
      <c r="CR135" s="197">
        <f t="shared" si="3226"/>
        <v>0</v>
      </c>
      <c r="CS135" s="197">
        <f t="shared" si="3226"/>
        <v>0</v>
      </c>
      <c r="CT135" s="197">
        <f t="shared" si="3226"/>
        <v>0</v>
      </c>
      <c r="CU135" s="197">
        <f t="shared" si="3226"/>
        <v>0</v>
      </c>
      <c r="CV135" s="197">
        <f t="shared" si="3226"/>
        <v>0</v>
      </c>
      <c r="CW135" s="163"/>
      <c r="CX135" s="197">
        <f>CX6-CX259</f>
        <v>0</v>
      </c>
      <c r="CY135" s="197">
        <f>CY6-CY259</f>
        <v>0</v>
      </c>
      <c r="CZ135" s="197">
        <f>CZ6-CZ259</f>
        <v>0</v>
      </c>
      <c r="DA135" s="197">
        <f>DA6-DA259</f>
        <v>0</v>
      </c>
      <c r="DB135" s="197">
        <f>DB6-DB259</f>
        <v>0</v>
      </c>
      <c r="DC135" s="197">
        <f>DC6-DC259</f>
        <v>0</v>
      </c>
      <c r="DD135" s="163"/>
      <c r="DE135" s="197">
        <f t="shared" ref="DE135:EG135" si="3227">DE6-DE259</f>
        <v>1.867999999999995</v>
      </c>
      <c r="DF135" s="197">
        <f t="shared" si="3227"/>
        <v>1.1209999999999951</v>
      </c>
      <c r="DG135" s="197">
        <f t="shared" si="3227"/>
        <v>35</v>
      </c>
      <c r="DH135" s="197">
        <f t="shared" si="3227"/>
        <v>4.2656844987987164E-4</v>
      </c>
      <c r="DI135" s="197">
        <f t="shared" si="3227"/>
        <v>1.3079999999999927</v>
      </c>
      <c r="DJ135" s="197">
        <f t="shared" si="3227"/>
        <v>-1.3833503855276152E-3</v>
      </c>
      <c r="DK135" s="197">
        <f t="shared" si="3227"/>
        <v>1.3080000000000069</v>
      </c>
      <c r="DL135" s="197">
        <f t="shared" si="3227"/>
        <v>1.242999999999995</v>
      </c>
      <c r="DM135" s="197">
        <f t="shared" si="3227"/>
        <v>2.2439455776915307E-4</v>
      </c>
      <c r="DN135" s="197">
        <f t="shared" si="3227"/>
        <v>1.2430000000000092</v>
      </c>
      <c r="DO135" s="197">
        <f t="shared" si="3227"/>
        <v>0</v>
      </c>
      <c r="DP135" s="197">
        <f t="shared" si="3227"/>
        <v>0.15600000000000591</v>
      </c>
      <c r="DQ135" s="197">
        <f t="shared" si="3227"/>
        <v>0.15600000000000591</v>
      </c>
      <c r="DR135" s="197">
        <f t="shared" si="3227"/>
        <v>-9.5678193564774361E-4</v>
      </c>
      <c r="DS135" s="197">
        <f t="shared" si="3227"/>
        <v>1.24640376984127</v>
      </c>
      <c r="DT135" s="197">
        <f t="shared" si="3227"/>
        <v>0</v>
      </c>
      <c r="DU135" s="197">
        <f t="shared" si="3227"/>
        <v>0</v>
      </c>
      <c r="DV135" s="197">
        <f t="shared" si="3227"/>
        <v>0</v>
      </c>
      <c r="DW135" s="197">
        <f t="shared" si="3227"/>
        <v>0</v>
      </c>
      <c r="DX135" s="197">
        <f t="shared" si="3227"/>
        <v>0</v>
      </c>
      <c r="DY135" s="197">
        <f t="shared" si="3227"/>
        <v>0</v>
      </c>
      <c r="DZ135" s="197">
        <f t="shared" si="3227"/>
        <v>0</v>
      </c>
      <c r="EA135" s="197">
        <f t="shared" si="3227"/>
        <v>0</v>
      </c>
      <c r="EB135" s="197">
        <f t="shared" si="3227"/>
        <v>3.2959746043559335E-17</v>
      </c>
      <c r="EC135" s="197">
        <f t="shared" si="3227"/>
        <v>0</v>
      </c>
      <c r="ED135" s="197">
        <f t="shared" si="3227"/>
        <v>0</v>
      </c>
      <c r="EE135" s="197">
        <f t="shared" si="3227"/>
        <v>0</v>
      </c>
      <c r="EF135" s="197">
        <f t="shared" si="3227"/>
        <v>0</v>
      </c>
      <c r="EG135" s="197">
        <f t="shared" si="3227"/>
        <v>0</v>
      </c>
    </row>
    <row r="136" spans="1:137" hidden="1">
      <c r="A136" s="157">
        <v>42186</v>
      </c>
      <c r="B136" s="197">
        <f>B7-B260</f>
        <v>0</v>
      </c>
      <c r="C136" s="197">
        <f>C7-C260</f>
        <v>0</v>
      </c>
      <c r="D136" s="197">
        <f>D7-D260</f>
        <v>0</v>
      </c>
      <c r="E136" s="197">
        <f>E7-E260</f>
        <v>0</v>
      </c>
      <c r="F136" s="197">
        <f>F7-F260</f>
        <v>0</v>
      </c>
      <c r="G136" s="197"/>
      <c r="H136" s="197"/>
      <c r="I136" s="197">
        <f t="shared" ref="I136:AB136" si="3228">I7-I260</f>
        <v>0</v>
      </c>
      <c r="J136" s="197">
        <f t="shared" si="3228"/>
        <v>0</v>
      </c>
      <c r="K136" s="197">
        <f t="shared" si="3228"/>
        <v>0</v>
      </c>
      <c r="L136" s="197">
        <f t="shared" si="3228"/>
        <v>0</v>
      </c>
      <c r="M136" s="197">
        <f t="shared" si="3228"/>
        <v>0</v>
      </c>
      <c r="N136" s="197">
        <f t="shared" si="3228"/>
        <v>0</v>
      </c>
      <c r="O136" s="197">
        <f t="shared" si="3228"/>
        <v>0</v>
      </c>
      <c r="P136" s="197">
        <f t="shared" si="3228"/>
        <v>120.66300000000001</v>
      </c>
      <c r="Q136" s="197">
        <f t="shared" si="3228"/>
        <v>-10</v>
      </c>
      <c r="R136" s="197">
        <f t="shared" si="3228"/>
        <v>106.14099999999999</v>
      </c>
      <c r="S136" s="197">
        <f t="shared" si="3228"/>
        <v>24.521999999999935</v>
      </c>
      <c r="T136" s="197">
        <f t="shared" si="3228"/>
        <v>0</v>
      </c>
      <c r="U136" s="197">
        <f t="shared" si="3228"/>
        <v>120.66300000000001</v>
      </c>
      <c r="V136" s="197">
        <f t="shared" si="3228"/>
        <v>7.4285605228552321E-2</v>
      </c>
      <c r="W136" s="197">
        <f t="shared" si="3228"/>
        <v>0</v>
      </c>
      <c r="X136" s="197">
        <f t="shared" si="3228"/>
        <v>0</v>
      </c>
      <c r="Y136" s="197">
        <f t="shared" si="3228"/>
        <v>0</v>
      </c>
      <c r="Z136" s="197">
        <f t="shared" si="3228"/>
        <v>0</v>
      </c>
      <c r="AA136" s="197">
        <f t="shared" si="3228"/>
        <v>0</v>
      </c>
      <c r="AB136" s="197">
        <f t="shared" si="3228"/>
        <v>0</v>
      </c>
      <c r="AC136" s="163"/>
      <c r="AD136" s="163"/>
      <c r="AE136" s="163"/>
      <c r="AF136" s="163"/>
      <c r="AH136" s="163"/>
      <c r="AI136" s="197">
        <f t="shared" ref="AI136:BN136" si="3229">AI7-AI260</f>
        <v>0</v>
      </c>
      <c r="AJ136" s="197">
        <f t="shared" si="3229"/>
        <v>0</v>
      </c>
      <c r="AK136" s="197">
        <f t="shared" si="3229"/>
        <v>0</v>
      </c>
      <c r="AL136" s="197">
        <f t="shared" si="3229"/>
        <v>0</v>
      </c>
      <c r="AM136" s="197">
        <f t="shared" si="3229"/>
        <v>0</v>
      </c>
      <c r="AN136" s="197">
        <f t="shared" si="3229"/>
        <v>0</v>
      </c>
      <c r="AO136" s="197">
        <f t="shared" si="3229"/>
        <v>0</v>
      </c>
      <c r="AP136" s="197">
        <f t="shared" si="3229"/>
        <v>0</v>
      </c>
      <c r="AQ136" s="197">
        <f t="shared" si="3229"/>
        <v>0</v>
      </c>
      <c r="AR136" s="197">
        <f t="shared" si="3229"/>
        <v>0</v>
      </c>
      <c r="AS136" s="197">
        <f t="shared" si="3229"/>
        <v>0</v>
      </c>
      <c r="AT136" s="197">
        <f t="shared" si="3229"/>
        <v>0</v>
      </c>
      <c r="AU136" s="197">
        <f t="shared" si="3229"/>
        <v>0</v>
      </c>
      <c r="AV136" s="197">
        <f t="shared" si="3229"/>
        <v>0</v>
      </c>
      <c r="AW136" s="197">
        <f t="shared" si="3229"/>
        <v>0</v>
      </c>
      <c r="AX136" s="197">
        <f t="shared" si="3229"/>
        <v>0</v>
      </c>
      <c r="AY136" s="197">
        <f t="shared" si="3229"/>
        <v>0</v>
      </c>
      <c r="AZ136" s="197">
        <f t="shared" si="3229"/>
        <v>0</v>
      </c>
      <c r="BA136" s="197">
        <f t="shared" si="3229"/>
        <v>0</v>
      </c>
      <c r="BB136" s="197">
        <f t="shared" si="3229"/>
        <v>0</v>
      </c>
      <c r="BC136" s="197">
        <f t="shared" si="3229"/>
        <v>0</v>
      </c>
      <c r="BD136" s="197">
        <f t="shared" si="3229"/>
        <v>0</v>
      </c>
      <c r="BE136" s="197">
        <f t="shared" si="3229"/>
        <v>0</v>
      </c>
      <c r="BF136" s="197">
        <f t="shared" si="3229"/>
        <v>0</v>
      </c>
      <c r="BG136" s="197">
        <f t="shared" si="3229"/>
        <v>0</v>
      </c>
      <c r="BH136" s="197">
        <f t="shared" si="3229"/>
        <v>0</v>
      </c>
      <c r="BI136" s="197">
        <f t="shared" si="3229"/>
        <v>0</v>
      </c>
      <c r="BJ136" s="197">
        <f t="shared" si="3229"/>
        <v>0</v>
      </c>
      <c r="BK136" s="197">
        <f t="shared" si="3229"/>
        <v>0</v>
      </c>
      <c r="BL136" s="197">
        <f t="shared" si="3229"/>
        <v>0</v>
      </c>
      <c r="BM136" s="197">
        <f t="shared" si="3229"/>
        <v>0</v>
      </c>
      <c r="BN136" s="197">
        <f t="shared" si="3229"/>
        <v>0</v>
      </c>
      <c r="BO136" s="197">
        <f t="shared" ref="BO136:CV136" si="3230">BO7-BO260</f>
        <v>0</v>
      </c>
      <c r="BP136" s="197">
        <f t="shared" si="3230"/>
        <v>0</v>
      </c>
      <c r="BQ136" s="197">
        <f t="shared" si="3230"/>
        <v>0</v>
      </c>
      <c r="BR136" s="197">
        <f t="shared" si="3230"/>
        <v>0</v>
      </c>
      <c r="BS136" s="197">
        <f t="shared" si="3230"/>
        <v>0</v>
      </c>
      <c r="BT136" s="197">
        <f t="shared" si="3230"/>
        <v>0</v>
      </c>
      <c r="BU136" s="197">
        <f t="shared" si="3230"/>
        <v>0</v>
      </c>
      <c r="BV136" s="197">
        <f t="shared" si="3230"/>
        <v>0</v>
      </c>
      <c r="BW136" s="197">
        <f t="shared" si="3230"/>
        <v>0</v>
      </c>
      <c r="BX136" s="197">
        <f t="shared" si="3230"/>
        <v>0</v>
      </c>
      <c r="BY136" s="197">
        <f t="shared" si="3230"/>
        <v>0</v>
      </c>
      <c r="BZ136" s="197">
        <f t="shared" si="3230"/>
        <v>0</v>
      </c>
      <c r="CA136" s="197">
        <f t="shared" si="3230"/>
        <v>0</v>
      </c>
      <c r="CB136" s="197">
        <f t="shared" si="3230"/>
        <v>0</v>
      </c>
      <c r="CC136" s="197">
        <f t="shared" si="3230"/>
        <v>0</v>
      </c>
      <c r="CD136" s="197">
        <f t="shared" si="3230"/>
        <v>0</v>
      </c>
      <c r="CE136" s="197">
        <f t="shared" si="3230"/>
        <v>0</v>
      </c>
      <c r="CF136" s="197">
        <f t="shared" si="3230"/>
        <v>0</v>
      </c>
      <c r="CG136" s="197">
        <f t="shared" si="3230"/>
        <v>0</v>
      </c>
      <c r="CH136" s="197">
        <f t="shared" si="3230"/>
        <v>-10</v>
      </c>
      <c r="CI136" s="197">
        <f t="shared" si="3230"/>
        <v>0</v>
      </c>
      <c r="CJ136" s="197">
        <f t="shared" si="3230"/>
        <v>0</v>
      </c>
      <c r="CK136" s="197">
        <f t="shared" si="3230"/>
        <v>0</v>
      </c>
      <c r="CL136" s="197">
        <f t="shared" si="3230"/>
        <v>0</v>
      </c>
      <c r="CM136" s="197">
        <f t="shared" si="3230"/>
        <v>0</v>
      </c>
      <c r="CN136" s="197">
        <f t="shared" si="3230"/>
        <v>0</v>
      </c>
      <c r="CO136" s="197">
        <f t="shared" si="3230"/>
        <v>0</v>
      </c>
      <c r="CP136" s="197">
        <f t="shared" si="3230"/>
        <v>0</v>
      </c>
      <c r="CQ136" s="197">
        <f t="shared" si="3230"/>
        <v>0</v>
      </c>
      <c r="CR136" s="197">
        <f t="shared" si="3230"/>
        <v>0</v>
      </c>
      <c r="CS136" s="197">
        <f t="shared" si="3230"/>
        <v>0</v>
      </c>
      <c r="CT136" s="197">
        <f t="shared" si="3230"/>
        <v>0</v>
      </c>
      <c r="CU136" s="197">
        <f t="shared" si="3230"/>
        <v>0</v>
      </c>
      <c r="CV136" s="197">
        <f t="shared" si="3230"/>
        <v>0</v>
      </c>
      <c r="CW136" s="163"/>
      <c r="CX136" s="197">
        <f>CX7-CX260</f>
        <v>0</v>
      </c>
      <c r="CY136" s="197">
        <f>CY7-CY260</f>
        <v>0</v>
      </c>
      <c r="CZ136" s="197">
        <f>CZ7-CZ260</f>
        <v>0</v>
      </c>
      <c r="DA136" s="197">
        <f>DA7-DA260</f>
        <v>0</v>
      </c>
      <c r="DB136" s="197">
        <f>DB7-DB260</f>
        <v>0</v>
      </c>
      <c r="DC136" s="197">
        <f>DC7-DC260</f>
        <v>0</v>
      </c>
      <c r="DD136" s="163"/>
      <c r="DE136" s="197">
        <f t="shared" ref="DE136:EG136" si="3231">DE7-DE260</f>
        <v>2.0999999999999943</v>
      </c>
      <c r="DF136" s="197">
        <f t="shared" si="3231"/>
        <v>1.2599999999999909</v>
      </c>
      <c r="DG136" s="197">
        <f t="shared" si="3231"/>
        <v>0.26500000000000057</v>
      </c>
      <c r="DH136" s="197">
        <f t="shared" si="3231"/>
        <v>3.7285232374184574E-4</v>
      </c>
      <c r="DI136" s="197">
        <f t="shared" si="3231"/>
        <v>1.4699999999999989</v>
      </c>
      <c r="DJ136" s="197">
        <f t="shared" si="3231"/>
        <v>-8.9883516877331537E-4</v>
      </c>
      <c r="DK136" s="197">
        <f t="shared" si="3231"/>
        <v>1.4699999999999989</v>
      </c>
      <c r="DL136" s="197">
        <f t="shared" si="3231"/>
        <v>1.3970000000000198</v>
      </c>
      <c r="DM136" s="197">
        <f t="shared" si="3231"/>
        <v>-3.2411133819064408E-4</v>
      </c>
      <c r="DN136" s="197">
        <f t="shared" si="3231"/>
        <v>1.3969999999999914</v>
      </c>
      <c r="DO136" s="197">
        <f t="shared" si="3231"/>
        <v>0</v>
      </c>
      <c r="DP136" s="197">
        <f t="shared" si="3231"/>
        <v>6.9999999999993179E-2</v>
      </c>
      <c r="DQ136" s="197">
        <f t="shared" si="3231"/>
        <v>6.9999999999993179E-2</v>
      </c>
      <c r="DR136" s="197">
        <f t="shared" si="3231"/>
        <v>-5.2598284503146964E-4</v>
      </c>
      <c r="DS136" s="197">
        <f t="shared" si="3231"/>
        <v>1.0767497702546469</v>
      </c>
      <c r="DT136" s="197">
        <f t="shared" si="3231"/>
        <v>0</v>
      </c>
      <c r="DU136" s="197">
        <f t="shared" si="3231"/>
        <v>0</v>
      </c>
      <c r="DV136" s="197">
        <f t="shared" si="3231"/>
        <v>0</v>
      </c>
      <c r="DW136" s="197">
        <f t="shared" si="3231"/>
        <v>0</v>
      </c>
      <c r="DX136" s="197">
        <f t="shared" si="3231"/>
        <v>0</v>
      </c>
      <c r="DY136" s="197">
        <f t="shared" si="3231"/>
        <v>0</v>
      </c>
      <c r="DZ136" s="197">
        <f t="shared" si="3231"/>
        <v>0</v>
      </c>
      <c r="EA136" s="197">
        <f t="shared" si="3231"/>
        <v>0</v>
      </c>
      <c r="EB136" s="197">
        <f t="shared" si="3231"/>
        <v>-1.3877787807814457E-17</v>
      </c>
      <c r="EC136" s="197">
        <f t="shared" si="3231"/>
        <v>0</v>
      </c>
      <c r="ED136" s="197">
        <f t="shared" si="3231"/>
        <v>0</v>
      </c>
      <c r="EE136" s="197">
        <f t="shared" si="3231"/>
        <v>0</v>
      </c>
      <c r="EF136" s="197">
        <f t="shared" si="3231"/>
        <v>0</v>
      </c>
      <c r="EG136" s="197">
        <f t="shared" si="3231"/>
        <v>0</v>
      </c>
    </row>
    <row r="137" spans="1:137" hidden="1">
      <c r="A137" s="157">
        <v>42217</v>
      </c>
      <c r="B137" s="197">
        <f>B8-B261</f>
        <v>0</v>
      </c>
      <c r="C137" s="197">
        <f>C8-C261</f>
        <v>0</v>
      </c>
      <c r="D137" s="197">
        <f>D8-D261</f>
        <v>0</v>
      </c>
      <c r="E137" s="197">
        <f>E8-E261</f>
        <v>0</v>
      </c>
      <c r="F137" s="197">
        <f>F8-F261</f>
        <v>0</v>
      </c>
      <c r="G137" s="197"/>
      <c r="H137" s="197"/>
      <c r="I137" s="197">
        <f t="shared" ref="I137:AB137" si="3232">I8-I261</f>
        <v>0</v>
      </c>
      <c r="J137" s="197">
        <f t="shared" si="3232"/>
        <v>0</v>
      </c>
      <c r="K137" s="197">
        <f t="shared" si="3232"/>
        <v>0</v>
      </c>
      <c r="L137" s="197">
        <f t="shared" si="3232"/>
        <v>0</v>
      </c>
      <c r="M137" s="197">
        <f t="shared" si="3232"/>
        <v>0</v>
      </c>
      <c r="N137" s="197">
        <f t="shared" si="3232"/>
        <v>0</v>
      </c>
      <c r="O137" s="197">
        <f t="shared" si="3232"/>
        <v>0</v>
      </c>
      <c r="P137" s="197">
        <f t="shared" si="3232"/>
        <v>30.966000000000122</v>
      </c>
      <c r="Q137" s="197">
        <f t="shared" si="3232"/>
        <v>-81.49899999999991</v>
      </c>
      <c r="R137" s="197">
        <f t="shared" si="3232"/>
        <v>81.057999999999993</v>
      </c>
      <c r="S137" s="197">
        <f t="shared" si="3232"/>
        <v>31.406999999999982</v>
      </c>
      <c r="T137" s="197">
        <f t="shared" si="3232"/>
        <v>0</v>
      </c>
      <c r="U137" s="197">
        <f t="shared" si="3232"/>
        <v>30.966000000000349</v>
      </c>
      <c r="V137" s="197">
        <f t="shared" si="3232"/>
        <v>2.0920569934534727E-2</v>
      </c>
      <c r="W137" s="197">
        <f t="shared" si="3232"/>
        <v>0</v>
      </c>
      <c r="X137" s="197">
        <f t="shared" si="3232"/>
        <v>0</v>
      </c>
      <c r="Y137" s="197">
        <f t="shared" si="3232"/>
        <v>0</v>
      </c>
      <c r="Z137" s="197">
        <f t="shared" si="3232"/>
        <v>0</v>
      </c>
      <c r="AA137" s="197">
        <f t="shared" si="3232"/>
        <v>0</v>
      </c>
      <c r="AB137" s="197">
        <f t="shared" si="3232"/>
        <v>0</v>
      </c>
      <c r="AC137" s="163"/>
      <c r="AD137" s="163"/>
      <c r="AE137" s="163"/>
      <c r="AF137" s="163"/>
      <c r="AH137" s="163"/>
      <c r="AI137" s="197">
        <f t="shared" ref="AI137:BN137" si="3233">AI8-AI261</f>
        <v>0</v>
      </c>
      <c r="AJ137" s="197">
        <f t="shared" si="3233"/>
        <v>0</v>
      </c>
      <c r="AK137" s="197">
        <f t="shared" si="3233"/>
        <v>0</v>
      </c>
      <c r="AL137" s="197">
        <f t="shared" si="3233"/>
        <v>0</v>
      </c>
      <c r="AM137" s="197">
        <f t="shared" si="3233"/>
        <v>0</v>
      </c>
      <c r="AN137" s="197">
        <f t="shared" si="3233"/>
        <v>0</v>
      </c>
      <c r="AO137" s="197">
        <f t="shared" si="3233"/>
        <v>0</v>
      </c>
      <c r="AP137" s="197">
        <f t="shared" si="3233"/>
        <v>0</v>
      </c>
      <c r="AQ137" s="197">
        <f t="shared" si="3233"/>
        <v>0</v>
      </c>
      <c r="AR137" s="197">
        <f t="shared" si="3233"/>
        <v>0</v>
      </c>
      <c r="AS137" s="197">
        <f t="shared" si="3233"/>
        <v>0</v>
      </c>
      <c r="AT137" s="197">
        <f t="shared" si="3233"/>
        <v>0</v>
      </c>
      <c r="AU137" s="197">
        <f t="shared" si="3233"/>
        <v>0</v>
      </c>
      <c r="AV137" s="197">
        <f t="shared" si="3233"/>
        <v>0</v>
      </c>
      <c r="AW137" s="197">
        <f t="shared" si="3233"/>
        <v>0</v>
      </c>
      <c r="AX137" s="197">
        <f t="shared" si="3233"/>
        <v>0</v>
      </c>
      <c r="AY137" s="197">
        <f t="shared" si="3233"/>
        <v>0</v>
      </c>
      <c r="AZ137" s="197">
        <f t="shared" si="3233"/>
        <v>0</v>
      </c>
      <c r="BA137" s="197">
        <f t="shared" si="3233"/>
        <v>0</v>
      </c>
      <c r="BB137" s="197">
        <f t="shared" si="3233"/>
        <v>0</v>
      </c>
      <c r="BC137" s="197">
        <f t="shared" si="3233"/>
        <v>0</v>
      </c>
      <c r="BD137" s="197">
        <f t="shared" si="3233"/>
        <v>0</v>
      </c>
      <c r="BE137" s="197">
        <f t="shared" si="3233"/>
        <v>0</v>
      </c>
      <c r="BF137" s="197">
        <f t="shared" si="3233"/>
        <v>0</v>
      </c>
      <c r="BG137" s="197">
        <f t="shared" si="3233"/>
        <v>0</v>
      </c>
      <c r="BH137" s="197">
        <f t="shared" si="3233"/>
        <v>0</v>
      </c>
      <c r="BI137" s="197">
        <f t="shared" si="3233"/>
        <v>0</v>
      </c>
      <c r="BJ137" s="197">
        <f t="shared" si="3233"/>
        <v>0</v>
      </c>
      <c r="BK137" s="197">
        <f t="shared" si="3233"/>
        <v>0</v>
      </c>
      <c r="BL137" s="197">
        <f t="shared" si="3233"/>
        <v>-81.459000000000003</v>
      </c>
      <c r="BM137" s="197">
        <f t="shared" si="3233"/>
        <v>0</v>
      </c>
      <c r="BN137" s="197">
        <f t="shared" si="3233"/>
        <v>0</v>
      </c>
      <c r="BO137" s="197">
        <f t="shared" ref="BO137:CV137" si="3234">BO8-BO261</f>
        <v>0</v>
      </c>
      <c r="BP137" s="197">
        <f t="shared" si="3234"/>
        <v>0</v>
      </c>
      <c r="BQ137" s="197">
        <f t="shared" si="3234"/>
        <v>0</v>
      </c>
      <c r="BR137" s="197">
        <f t="shared" si="3234"/>
        <v>0</v>
      </c>
      <c r="BS137" s="197">
        <f t="shared" si="3234"/>
        <v>0</v>
      </c>
      <c r="BT137" s="197">
        <f t="shared" si="3234"/>
        <v>0</v>
      </c>
      <c r="BU137" s="197">
        <f t="shared" si="3234"/>
        <v>0</v>
      </c>
      <c r="BV137" s="197">
        <f t="shared" si="3234"/>
        <v>0</v>
      </c>
      <c r="BW137" s="197">
        <f t="shared" si="3234"/>
        <v>0</v>
      </c>
      <c r="BX137" s="197">
        <f t="shared" si="3234"/>
        <v>0</v>
      </c>
      <c r="BY137" s="197">
        <f t="shared" si="3234"/>
        <v>0</v>
      </c>
      <c r="BZ137" s="197">
        <f t="shared" si="3234"/>
        <v>0</v>
      </c>
      <c r="CA137" s="197">
        <f t="shared" si="3234"/>
        <v>0</v>
      </c>
      <c r="CB137" s="197">
        <f t="shared" si="3234"/>
        <v>0</v>
      </c>
      <c r="CC137" s="197">
        <f t="shared" si="3234"/>
        <v>0</v>
      </c>
      <c r="CD137" s="197">
        <f t="shared" si="3234"/>
        <v>0</v>
      </c>
      <c r="CE137" s="197">
        <f t="shared" si="3234"/>
        <v>0</v>
      </c>
      <c r="CF137" s="197">
        <f t="shared" si="3234"/>
        <v>0</v>
      </c>
      <c r="CG137" s="197">
        <f t="shared" si="3234"/>
        <v>0</v>
      </c>
      <c r="CH137" s="197">
        <f t="shared" si="3234"/>
        <v>-3.9999999999999147E-2</v>
      </c>
      <c r="CI137" s="197">
        <f t="shared" si="3234"/>
        <v>0</v>
      </c>
      <c r="CJ137" s="197">
        <f t="shared" si="3234"/>
        <v>0</v>
      </c>
      <c r="CK137" s="197">
        <f t="shared" si="3234"/>
        <v>0</v>
      </c>
      <c r="CL137" s="197">
        <f t="shared" si="3234"/>
        <v>0</v>
      </c>
      <c r="CM137" s="197">
        <f t="shared" si="3234"/>
        <v>0</v>
      </c>
      <c r="CN137" s="197">
        <f t="shared" si="3234"/>
        <v>0</v>
      </c>
      <c r="CO137" s="197">
        <f t="shared" si="3234"/>
        <v>0</v>
      </c>
      <c r="CP137" s="197">
        <f t="shared" si="3234"/>
        <v>0</v>
      </c>
      <c r="CQ137" s="197">
        <f t="shared" si="3234"/>
        <v>0</v>
      </c>
      <c r="CR137" s="197">
        <f t="shared" si="3234"/>
        <v>0</v>
      </c>
      <c r="CS137" s="197">
        <f t="shared" si="3234"/>
        <v>0</v>
      </c>
      <c r="CT137" s="197">
        <f t="shared" si="3234"/>
        <v>0</v>
      </c>
      <c r="CU137" s="197">
        <f t="shared" si="3234"/>
        <v>0</v>
      </c>
      <c r="CV137" s="197">
        <f t="shared" si="3234"/>
        <v>0</v>
      </c>
      <c r="CW137" s="163"/>
      <c r="CX137" s="197">
        <f>CX8-CX261</f>
        <v>0</v>
      </c>
      <c r="CY137" s="197">
        <f>CY8-CY261</f>
        <v>0</v>
      </c>
      <c r="CZ137" s="197">
        <f>CZ8-CZ261</f>
        <v>0</v>
      </c>
      <c r="DA137" s="197">
        <f>DA8-DA261</f>
        <v>0</v>
      </c>
      <c r="DB137" s="197">
        <f>DB8-DB261</f>
        <v>1.2789769243681803E-13</v>
      </c>
      <c r="DC137" s="197">
        <f>DC8-DC261</f>
        <v>0</v>
      </c>
      <c r="DD137" s="163"/>
      <c r="DE137" s="197">
        <f t="shared" ref="DE137:EG137" si="3235">DE8-DE261</f>
        <v>2.1839999999999975</v>
      </c>
      <c r="DF137" s="197">
        <f t="shared" si="3235"/>
        <v>1.3099999999999881</v>
      </c>
      <c r="DG137" s="197">
        <f t="shared" si="3235"/>
        <v>36.730097867398804</v>
      </c>
      <c r="DH137" s="197">
        <f t="shared" si="3235"/>
        <v>6.5243872370157607E-4</v>
      </c>
      <c r="DI137" s="197">
        <f t="shared" si="3235"/>
        <v>1.5289999999999964</v>
      </c>
      <c r="DJ137" s="197">
        <f t="shared" si="3235"/>
        <v>-8.5342797572246498E-4</v>
      </c>
      <c r="DK137" s="197">
        <f t="shared" si="3235"/>
        <v>1.5289999999999964</v>
      </c>
      <c r="DL137" s="197">
        <f t="shared" si="3235"/>
        <v>1.4530000000000172</v>
      </c>
      <c r="DM137" s="197">
        <f t="shared" si="3235"/>
        <v>2.5348930831846708E-4</v>
      </c>
      <c r="DN137" s="197">
        <f t="shared" si="3235"/>
        <v>1.453000000000003</v>
      </c>
      <c r="DO137" s="197">
        <f t="shared" si="3235"/>
        <v>0</v>
      </c>
      <c r="DP137" s="197">
        <f t="shared" si="3235"/>
        <v>0.16700000000000159</v>
      </c>
      <c r="DQ137" s="197">
        <f t="shared" si="3235"/>
        <v>0.16700000000000159</v>
      </c>
      <c r="DR137" s="197">
        <f t="shared" si="3235"/>
        <v>-2.0098925202094442E-4</v>
      </c>
      <c r="DS137" s="197">
        <f t="shared" si="3235"/>
        <v>1.1039524769633244</v>
      </c>
      <c r="DT137" s="197">
        <f t="shared" si="3235"/>
        <v>0</v>
      </c>
      <c r="DU137" s="197">
        <f t="shared" si="3235"/>
        <v>-0.58180999999999727</v>
      </c>
      <c r="DV137" s="197">
        <f t="shared" si="3235"/>
        <v>0</v>
      </c>
      <c r="DW137" s="197">
        <f t="shared" si="3235"/>
        <v>-5.9527512328879095E-3</v>
      </c>
      <c r="DX137" s="197">
        <f t="shared" si="3235"/>
        <v>0</v>
      </c>
      <c r="DY137" s="197">
        <f t="shared" si="3235"/>
        <v>0</v>
      </c>
      <c r="DZ137" s="197">
        <f t="shared" si="3235"/>
        <v>0</v>
      </c>
      <c r="EA137" s="197">
        <f t="shared" si="3235"/>
        <v>0</v>
      </c>
      <c r="EB137" s="197">
        <f t="shared" si="3235"/>
        <v>3.8163916471489756E-17</v>
      </c>
      <c r="EC137" s="197">
        <f t="shared" si="3235"/>
        <v>0</v>
      </c>
      <c r="ED137" s="197">
        <f t="shared" si="3235"/>
        <v>0</v>
      </c>
      <c r="EE137" s="197">
        <f t="shared" si="3235"/>
        <v>0</v>
      </c>
      <c r="EF137" s="197">
        <f t="shared" si="3235"/>
        <v>0</v>
      </c>
      <c r="EG137" s="197">
        <f t="shared" si="3235"/>
        <v>-5.952751232887965E-3</v>
      </c>
    </row>
    <row r="138" spans="1:137" hidden="1">
      <c r="A138" s="157">
        <v>42248</v>
      </c>
      <c r="B138" s="197">
        <f>B9-B262</f>
        <v>0</v>
      </c>
      <c r="C138" s="197">
        <f>C9-C262</f>
        <v>0</v>
      </c>
      <c r="D138" s="197">
        <f>D9-D262</f>
        <v>0</v>
      </c>
      <c r="E138" s="197">
        <f>E9-E262</f>
        <v>0</v>
      </c>
      <c r="F138" s="197">
        <f>F9-F262</f>
        <v>0</v>
      </c>
      <c r="G138" s="197"/>
      <c r="H138" s="197"/>
      <c r="I138" s="197">
        <f t="shared" ref="I138:AB138" si="3236">I9-I262</f>
        <v>0</v>
      </c>
      <c r="J138" s="197">
        <f t="shared" si="3236"/>
        <v>0</v>
      </c>
      <c r="K138" s="197">
        <f t="shared" si="3236"/>
        <v>0</v>
      </c>
      <c r="L138" s="197">
        <f t="shared" si="3236"/>
        <v>0</v>
      </c>
      <c r="M138" s="197">
        <f t="shared" si="3236"/>
        <v>0</v>
      </c>
      <c r="N138" s="197">
        <f t="shared" si="3236"/>
        <v>0</v>
      </c>
      <c r="O138" s="197">
        <f t="shared" si="3236"/>
        <v>0</v>
      </c>
      <c r="P138" s="197">
        <f t="shared" si="3236"/>
        <v>35.183999999999969</v>
      </c>
      <c r="Q138" s="197">
        <f t="shared" si="3236"/>
        <v>0</v>
      </c>
      <c r="R138" s="197">
        <f t="shared" si="3236"/>
        <v>0</v>
      </c>
      <c r="S138" s="197">
        <f t="shared" si="3236"/>
        <v>35.183999999999969</v>
      </c>
      <c r="T138" s="197">
        <f t="shared" si="3236"/>
        <v>0</v>
      </c>
      <c r="U138" s="197">
        <f t="shared" si="3236"/>
        <v>35.183999999999969</v>
      </c>
      <c r="V138" s="197">
        <f t="shared" si="3236"/>
        <v>2.597176353175823E-2</v>
      </c>
      <c r="W138" s="197">
        <f t="shared" si="3236"/>
        <v>0</v>
      </c>
      <c r="X138" s="197">
        <f t="shared" si="3236"/>
        <v>0</v>
      </c>
      <c r="Y138" s="197">
        <f t="shared" si="3236"/>
        <v>0</v>
      </c>
      <c r="Z138" s="197">
        <f t="shared" si="3236"/>
        <v>0</v>
      </c>
      <c r="AA138" s="197">
        <f t="shared" si="3236"/>
        <v>0</v>
      </c>
      <c r="AB138" s="197">
        <f t="shared" si="3236"/>
        <v>0</v>
      </c>
      <c r="AC138" s="163"/>
      <c r="AD138" s="163"/>
      <c r="AE138" s="163"/>
      <c r="AF138" s="163"/>
      <c r="AH138" s="163"/>
      <c r="AI138" s="197">
        <f t="shared" ref="AI138:BN138" si="3237">AI9-AI262</f>
        <v>0</v>
      </c>
      <c r="AJ138" s="197">
        <f t="shared" si="3237"/>
        <v>0</v>
      </c>
      <c r="AK138" s="197">
        <f t="shared" si="3237"/>
        <v>0</v>
      </c>
      <c r="AL138" s="197">
        <f t="shared" si="3237"/>
        <v>0</v>
      </c>
      <c r="AM138" s="197">
        <f t="shared" si="3237"/>
        <v>0</v>
      </c>
      <c r="AN138" s="197">
        <f t="shared" si="3237"/>
        <v>0</v>
      </c>
      <c r="AO138" s="197">
        <f t="shared" si="3237"/>
        <v>0</v>
      </c>
      <c r="AP138" s="197">
        <f t="shared" si="3237"/>
        <v>0</v>
      </c>
      <c r="AQ138" s="197">
        <f t="shared" si="3237"/>
        <v>0</v>
      </c>
      <c r="AR138" s="197">
        <f t="shared" si="3237"/>
        <v>0</v>
      </c>
      <c r="AS138" s="197">
        <f t="shared" si="3237"/>
        <v>0</v>
      </c>
      <c r="AT138" s="197">
        <f t="shared" si="3237"/>
        <v>0</v>
      </c>
      <c r="AU138" s="197">
        <f t="shared" si="3237"/>
        <v>0</v>
      </c>
      <c r="AV138" s="197">
        <f t="shared" si="3237"/>
        <v>0</v>
      </c>
      <c r="AW138" s="197">
        <f t="shared" si="3237"/>
        <v>0</v>
      </c>
      <c r="AX138" s="197">
        <f t="shared" si="3237"/>
        <v>0</v>
      </c>
      <c r="AY138" s="197">
        <f t="shared" si="3237"/>
        <v>0</v>
      </c>
      <c r="AZ138" s="197">
        <f t="shared" si="3237"/>
        <v>0</v>
      </c>
      <c r="BA138" s="197">
        <f t="shared" si="3237"/>
        <v>0</v>
      </c>
      <c r="BB138" s="197">
        <f t="shared" si="3237"/>
        <v>0</v>
      </c>
      <c r="BC138" s="197">
        <f t="shared" si="3237"/>
        <v>0</v>
      </c>
      <c r="BD138" s="197">
        <f t="shared" si="3237"/>
        <v>0</v>
      </c>
      <c r="BE138" s="197">
        <f t="shared" si="3237"/>
        <v>0</v>
      </c>
      <c r="BF138" s="197">
        <f t="shared" si="3237"/>
        <v>0</v>
      </c>
      <c r="BG138" s="197">
        <f t="shared" si="3237"/>
        <v>0</v>
      </c>
      <c r="BH138" s="197">
        <f t="shared" si="3237"/>
        <v>0</v>
      </c>
      <c r="BI138" s="197">
        <f t="shared" si="3237"/>
        <v>0</v>
      </c>
      <c r="BJ138" s="197">
        <f t="shared" si="3237"/>
        <v>0</v>
      </c>
      <c r="BK138" s="197">
        <f t="shared" si="3237"/>
        <v>0</v>
      </c>
      <c r="BL138" s="197">
        <f t="shared" si="3237"/>
        <v>0</v>
      </c>
      <c r="BM138" s="197">
        <f t="shared" si="3237"/>
        <v>0</v>
      </c>
      <c r="BN138" s="197">
        <f t="shared" si="3237"/>
        <v>0</v>
      </c>
      <c r="BO138" s="197">
        <f t="shared" ref="BO138:CV138" si="3238">BO9-BO262</f>
        <v>0</v>
      </c>
      <c r="BP138" s="197">
        <f t="shared" si="3238"/>
        <v>0</v>
      </c>
      <c r="BQ138" s="197">
        <f t="shared" si="3238"/>
        <v>0</v>
      </c>
      <c r="BR138" s="197">
        <f t="shared" si="3238"/>
        <v>0</v>
      </c>
      <c r="BS138" s="197">
        <f t="shared" si="3238"/>
        <v>0</v>
      </c>
      <c r="BT138" s="197">
        <f t="shared" si="3238"/>
        <v>0</v>
      </c>
      <c r="BU138" s="197">
        <f t="shared" si="3238"/>
        <v>0</v>
      </c>
      <c r="BV138" s="197">
        <f t="shared" si="3238"/>
        <v>0</v>
      </c>
      <c r="BW138" s="197">
        <f t="shared" si="3238"/>
        <v>0</v>
      </c>
      <c r="BX138" s="197">
        <f t="shared" si="3238"/>
        <v>0</v>
      </c>
      <c r="BY138" s="197">
        <f t="shared" si="3238"/>
        <v>0</v>
      </c>
      <c r="BZ138" s="197">
        <f t="shared" si="3238"/>
        <v>0</v>
      </c>
      <c r="CA138" s="197">
        <f t="shared" si="3238"/>
        <v>0</v>
      </c>
      <c r="CB138" s="197">
        <f t="shared" si="3238"/>
        <v>0</v>
      </c>
      <c r="CC138" s="197">
        <f t="shared" si="3238"/>
        <v>0</v>
      </c>
      <c r="CD138" s="197">
        <f t="shared" si="3238"/>
        <v>0</v>
      </c>
      <c r="CE138" s="197">
        <f t="shared" si="3238"/>
        <v>0</v>
      </c>
      <c r="CF138" s="197">
        <f t="shared" si="3238"/>
        <v>0</v>
      </c>
      <c r="CG138" s="197">
        <f t="shared" si="3238"/>
        <v>0</v>
      </c>
      <c r="CH138" s="197">
        <f t="shared" si="3238"/>
        <v>0</v>
      </c>
      <c r="CI138" s="197">
        <f t="shared" si="3238"/>
        <v>0</v>
      </c>
      <c r="CJ138" s="197">
        <f t="shared" si="3238"/>
        <v>0</v>
      </c>
      <c r="CK138" s="197">
        <f t="shared" si="3238"/>
        <v>0</v>
      </c>
      <c r="CL138" s="197">
        <f t="shared" si="3238"/>
        <v>0</v>
      </c>
      <c r="CM138" s="197">
        <f t="shared" si="3238"/>
        <v>0</v>
      </c>
      <c r="CN138" s="197">
        <f t="shared" si="3238"/>
        <v>0</v>
      </c>
      <c r="CO138" s="197">
        <f t="shared" si="3238"/>
        <v>0</v>
      </c>
      <c r="CP138" s="197">
        <f t="shared" si="3238"/>
        <v>0</v>
      </c>
      <c r="CQ138" s="197">
        <f t="shared" si="3238"/>
        <v>0</v>
      </c>
      <c r="CR138" s="197">
        <f t="shared" si="3238"/>
        <v>0</v>
      </c>
      <c r="CS138" s="197">
        <f t="shared" si="3238"/>
        <v>0</v>
      </c>
      <c r="CT138" s="197">
        <f t="shared" si="3238"/>
        <v>0</v>
      </c>
      <c r="CU138" s="197">
        <f t="shared" si="3238"/>
        <v>0</v>
      </c>
      <c r="CV138" s="197">
        <f t="shared" si="3238"/>
        <v>0</v>
      </c>
      <c r="CW138" s="163"/>
      <c r="CX138" s="197">
        <f>CX9-CX262</f>
        <v>0</v>
      </c>
      <c r="CY138" s="197">
        <f>CY9-CY262</f>
        <v>0</v>
      </c>
      <c r="CZ138" s="197">
        <f>CZ9-CZ262</f>
        <v>0</v>
      </c>
      <c r="DA138" s="197">
        <f>DA9-DA262</f>
        <v>0</v>
      </c>
      <c r="DB138" s="197">
        <f>DB9-DB262</f>
        <v>0</v>
      </c>
      <c r="DC138" s="197">
        <f>DC9-DC262</f>
        <v>0</v>
      </c>
      <c r="DD138" s="163"/>
      <c r="DE138" s="197">
        <f t="shared" ref="DE138:EG138" si="3239">DE9-DE262</f>
        <v>2.7729999999999961</v>
      </c>
      <c r="DF138" s="197">
        <f t="shared" si="3239"/>
        <v>1.6640000000000015</v>
      </c>
      <c r="DG138" s="197">
        <f t="shared" si="3239"/>
        <v>38.125779488295386</v>
      </c>
      <c r="DH138" s="197">
        <f t="shared" si="3239"/>
        <v>7.2527942610811635E-4</v>
      </c>
      <c r="DI138" s="197">
        <f t="shared" si="3239"/>
        <v>1.9410000000000025</v>
      </c>
      <c r="DJ138" s="197">
        <f t="shared" si="3239"/>
        <v>-1.0463548341959616E-3</v>
      </c>
      <c r="DK138" s="197">
        <f t="shared" si="3239"/>
        <v>1.9410000000000025</v>
      </c>
      <c r="DL138" s="197">
        <f t="shared" si="3239"/>
        <v>1.8440000000000225</v>
      </c>
      <c r="DM138" s="197">
        <f t="shared" si="3239"/>
        <v>-4.4058468705289455E-5</v>
      </c>
      <c r="DN138" s="197">
        <f t="shared" si="3239"/>
        <v>1.8439999999999941</v>
      </c>
      <c r="DO138" s="197">
        <f t="shared" si="3239"/>
        <v>105</v>
      </c>
      <c r="DP138" s="197">
        <f t="shared" si="3239"/>
        <v>9.1999999999998749E-2</v>
      </c>
      <c r="DQ138" s="197">
        <f t="shared" si="3239"/>
        <v>105.09199999999998</v>
      </c>
      <c r="DR138" s="197">
        <f t="shared" si="3239"/>
        <v>-3.2107540808778978E-4</v>
      </c>
      <c r="DS138" s="197">
        <f t="shared" si="3239"/>
        <v>0.90080573874223346</v>
      </c>
      <c r="DT138" s="197">
        <f t="shared" si="3239"/>
        <v>0</v>
      </c>
      <c r="DU138" s="197">
        <f t="shared" si="3239"/>
        <v>0</v>
      </c>
      <c r="DV138" s="197">
        <f t="shared" si="3239"/>
        <v>0</v>
      </c>
      <c r="DW138" s="197">
        <f t="shared" si="3239"/>
        <v>0</v>
      </c>
      <c r="DX138" s="197">
        <f t="shared" si="3239"/>
        <v>0</v>
      </c>
      <c r="DY138" s="197">
        <f t="shared" si="3239"/>
        <v>0</v>
      </c>
      <c r="DZ138" s="197">
        <f t="shared" si="3239"/>
        <v>0</v>
      </c>
      <c r="EA138" s="197">
        <f t="shared" si="3239"/>
        <v>0</v>
      </c>
      <c r="EB138" s="197">
        <f t="shared" si="3239"/>
        <v>0</v>
      </c>
      <c r="EC138" s="197">
        <f t="shared" si="3239"/>
        <v>0</v>
      </c>
      <c r="ED138" s="197">
        <f t="shared" si="3239"/>
        <v>0</v>
      </c>
      <c r="EE138" s="197">
        <f t="shared" si="3239"/>
        <v>0</v>
      </c>
      <c r="EF138" s="197">
        <f t="shared" si="3239"/>
        <v>0</v>
      </c>
      <c r="EG138" s="197">
        <f t="shared" si="3239"/>
        <v>0</v>
      </c>
    </row>
    <row r="139" spans="1:137" hidden="1">
      <c r="A139" s="157">
        <v>42278</v>
      </c>
      <c r="B139" s="197">
        <f>B10-B263</f>
        <v>0</v>
      </c>
      <c r="C139" s="197">
        <f>C10-C263</f>
        <v>0</v>
      </c>
      <c r="D139" s="197">
        <f>D10-D263</f>
        <v>0</v>
      </c>
      <c r="E139" s="197">
        <f>E10-E263</f>
        <v>0</v>
      </c>
      <c r="F139" s="197">
        <f>F10-F263</f>
        <v>0</v>
      </c>
      <c r="G139" s="197"/>
      <c r="H139" s="197"/>
      <c r="I139" s="197">
        <f t="shared" ref="I139:AB139" si="3240">I10-I263</f>
        <v>0</v>
      </c>
      <c r="J139" s="197">
        <f t="shared" si="3240"/>
        <v>0</v>
      </c>
      <c r="K139" s="197">
        <f t="shared" si="3240"/>
        <v>0</v>
      </c>
      <c r="L139" s="197">
        <f t="shared" si="3240"/>
        <v>0</v>
      </c>
      <c r="M139" s="197">
        <f t="shared" si="3240"/>
        <v>0</v>
      </c>
      <c r="N139" s="197">
        <f t="shared" si="3240"/>
        <v>0</v>
      </c>
      <c r="O139" s="197">
        <f t="shared" si="3240"/>
        <v>0</v>
      </c>
      <c r="P139" s="197">
        <f t="shared" si="3240"/>
        <v>0</v>
      </c>
      <c r="Q139" s="197">
        <f t="shared" si="3240"/>
        <v>0</v>
      </c>
      <c r="R139" s="197">
        <f t="shared" si="3240"/>
        <v>0</v>
      </c>
      <c r="S139" s="197">
        <f t="shared" si="3240"/>
        <v>0</v>
      </c>
      <c r="T139" s="197">
        <f t="shared" si="3240"/>
        <v>0</v>
      </c>
      <c r="U139" s="197">
        <f t="shared" si="3240"/>
        <v>0</v>
      </c>
      <c r="V139" s="197">
        <f t="shared" si="3240"/>
        <v>0</v>
      </c>
      <c r="W139" s="197">
        <f t="shared" si="3240"/>
        <v>0</v>
      </c>
      <c r="X139" s="197">
        <f t="shared" si="3240"/>
        <v>0</v>
      </c>
      <c r="Y139" s="197">
        <f t="shared" si="3240"/>
        <v>0</v>
      </c>
      <c r="Z139" s="197">
        <f t="shared" si="3240"/>
        <v>0</v>
      </c>
      <c r="AA139" s="197">
        <f t="shared" si="3240"/>
        <v>0</v>
      </c>
      <c r="AB139" s="197">
        <f t="shared" si="3240"/>
        <v>0</v>
      </c>
      <c r="AC139" s="163"/>
      <c r="AD139" s="163"/>
      <c r="AE139" s="163"/>
      <c r="AF139" s="163"/>
      <c r="AH139" s="163"/>
      <c r="AI139" s="197">
        <f t="shared" ref="AI139:BN139" si="3241">AI10-AI263</f>
        <v>0</v>
      </c>
      <c r="AJ139" s="197">
        <f t="shared" si="3241"/>
        <v>0</v>
      </c>
      <c r="AK139" s="197">
        <f t="shared" si="3241"/>
        <v>0</v>
      </c>
      <c r="AL139" s="197">
        <f t="shared" si="3241"/>
        <v>0</v>
      </c>
      <c r="AM139" s="197">
        <f t="shared" si="3241"/>
        <v>0</v>
      </c>
      <c r="AN139" s="197">
        <f t="shared" si="3241"/>
        <v>0</v>
      </c>
      <c r="AO139" s="197">
        <f t="shared" si="3241"/>
        <v>0</v>
      </c>
      <c r="AP139" s="197">
        <f t="shared" si="3241"/>
        <v>0</v>
      </c>
      <c r="AQ139" s="197">
        <f t="shared" si="3241"/>
        <v>0</v>
      </c>
      <c r="AR139" s="197">
        <f t="shared" si="3241"/>
        <v>0</v>
      </c>
      <c r="AS139" s="197">
        <f t="shared" si="3241"/>
        <v>0</v>
      </c>
      <c r="AT139" s="197">
        <f t="shared" si="3241"/>
        <v>0</v>
      </c>
      <c r="AU139" s="197">
        <f t="shared" si="3241"/>
        <v>0</v>
      </c>
      <c r="AV139" s="197">
        <f t="shared" si="3241"/>
        <v>0</v>
      </c>
      <c r="AW139" s="197">
        <f t="shared" si="3241"/>
        <v>0</v>
      </c>
      <c r="AX139" s="197">
        <f t="shared" si="3241"/>
        <v>0</v>
      </c>
      <c r="AY139" s="197">
        <f t="shared" si="3241"/>
        <v>0</v>
      </c>
      <c r="AZ139" s="197">
        <f t="shared" si="3241"/>
        <v>0</v>
      </c>
      <c r="BA139" s="197">
        <f t="shared" si="3241"/>
        <v>0</v>
      </c>
      <c r="BB139" s="197">
        <f t="shared" si="3241"/>
        <v>0</v>
      </c>
      <c r="BC139" s="197">
        <f t="shared" si="3241"/>
        <v>0</v>
      </c>
      <c r="BD139" s="197">
        <f t="shared" si="3241"/>
        <v>0</v>
      </c>
      <c r="BE139" s="197">
        <f t="shared" si="3241"/>
        <v>0</v>
      </c>
      <c r="BF139" s="197">
        <f t="shared" si="3241"/>
        <v>0</v>
      </c>
      <c r="BG139" s="197">
        <f t="shared" si="3241"/>
        <v>0</v>
      </c>
      <c r="BH139" s="197">
        <f t="shared" si="3241"/>
        <v>0</v>
      </c>
      <c r="BI139" s="197">
        <f t="shared" si="3241"/>
        <v>0</v>
      </c>
      <c r="BJ139" s="197">
        <f t="shared" si="3241"/>
        <v>0</v>
      </c>
      <c r="BK139" s="197">
        <f t="shared" si="3241"/>
        <v>0</v>
      </c>
      <c r="BL139" s="197">
        <f t="shared" si="3241"/>
        <v>0</v>
      </c>
      <c r="BM139" s="197">
        <f t="shared" si="3241"/>
        <v>0</v>
      </c>
      <c r="BN139" s="197">
        <f t="shared" si="3241"/>
        <v>0</v>
      </c>
      <c r="BO139" s="197">
        <f t="shared" ref="BO139:CV139" si="3242">BO10-BO263</f>
        <v>0</v>
      </c>
      <c r="BP139" s="197">
        <f t="shared" si="3242"/>
        <v>0</v>
      </c>
      <c r="BQ139" s="197">
        <f t="shared" si="3242"/>
        <v>0</v>
      </c>
      <c r="BR139" s="197">
        <f t="shared" si="3242"/>
        <v>0</v>
      </c>
      <c r="BS139" s="197">
        <f t="shared" si="3242"/>
        <v>0</v>
      </c>
      <c r="BT139" s="197">
        <f t="shared" si="3242"/>
        <v>0</v>
      </c>
      <c r="BU139" s="197">
        <f t="shared" si="3242"/>
        <v>0</v>
      </c>
      <c r="BV139" s="197">
        <f t="shared" si="3242"/>
        <v>0</v>
      </c>
      <c r="BW139" s="197">
        <f t="shared" si="3242"/>
        <v>0</v>
      </c>
      <c r="BX139" s="197">
        <f t="shared" si="3242"/>
        <v>0</v>
      </c>
      <c r="BY139" s="197">
        <f t="shared" si="3242"/>
        <v>0</v>
      </c>
      <c r="BZ139" s="197">
        <f t="shared" si="3242"/>
        <v>0</v>
      </c>
      <c r="CA139" s="197">
        <f t="shared" si="3242"/>
        <v>0</v>
      </c>
      <c r="CB139" s="197">
        <f t="shared" si="3242"/>
        <v>0</v>
      </c>
      <c r="CC139" s="197">
        <f t="shared" si="3242"/>
        <v>0</v>
      </c>
      <c r="CD139" s="197">
        <f t="shared" si="3242"/>
        <v>0</v>
      </c>
      <c r="CE139" s="197">
        <f t="shared" si="3242"/>
        <v>0</v>
      </c>
      <c r="CF139" s="197">
        <f t="shared" si="3242"/>
        <v>0</v>
      </c>
      <c r="CG139" s="197">
        <f t="shared" si="3242"/>
        <v>0</v>
      </c>
      <c r="CH139" s="197">
        <f t="shared" si="3242"/>
        <v>0</v>
      </c>
      <c r="CI139" s="197">
        <f t="shared" si="3242"/>
        <v>0</v>
      </c>
      <c r="CJ139" s="197">
        <f t="shared" si="3242"/>
        <v>0</v>
      </c>
      <c r="CK139" s="197">
        <f t="shared" si="3242"/>
        <v>0</v>
      </c>
      <c r="CL139" s="197">
        <f t="shared" si="3242"/>
        <v>0</v>
      </c>
      <c r="CM139" s="197">
        <f t="shared" si="3242"/>
        <v>0</v>
      </c>
      <c r="CN139" s="197">
        <f t="shared" si="3242"/>
        <v>0</v>
      </c>
      <c r="CO139" s="197">
        <f t="shared" si="3242"/>
        <v>0</v>
      </c>
      <c r="CP139" s="197">
        <f t="shared" si="3242"/>
        <v>0</v>
      </c>
      <c r="CQ139" s="197">
        <f t="shared" si="3242"/>
        <v>0</v>
      </c>
      <c r="CR139" s="197">
        <f t="shared" si="3242"/>
        <v>0</v>
      </c>
      <c r="CS139" s="197">
        <f t="shared" si="3242"/>
        <v>0</v>
      </c>
      <c r="CT139" s="197">
        <f t="shared" si="3242"/>
        <v>0</v>
      </c>
      <c r="CU139" s="197">
        <f t="shared" si="3242"/>
        <v>0</v>
      </c>
      <c r="CV139" s="197">
        <f t="shared" si="3242"/>
        <v>0</v>
      </c>
      <c r="CW139" s="163"/>
      <c r="CX139" s="197">
        <f>CX10-CX263</f>
        <v>0</v>
      </c>
      <c r="CY139" s="197">
        <f>CY10-CY263</f>
        <v>0</v>
      </c>
      <c r="CZ139" s="197">
        <f>CZ10-CZ263</f>
        <v>0</v>
      </c>
      <c r="DA139" s="197">
        <f>DA10-DA263</f>
        <v>0</v>
      </c>
      <c r="DB139" s="197">
        <f>DB10-DB263</f>
        <v>0</v>
      </c>
      <c r="DC139" s="197">
        <f>DC10-DC263</f>
        <v>0</v>
      </c>
      <c r="DD139" s="163"/>
      <c r="DE139" s="197">
        <f t="shared" ref="DE139:EG139" si="3243">DE10-DE263</f>
        <v>0</v>
      </c>
      <c r="DF139" s="197">
        <f t="shared" si="3243"/>
        <v>0</v>
      </c>
      <c r="DG139" s="197">
        <f t="shared" si="3243"/>
        <v>34.995140316320409</v>
      </c>
      <c r="DH139" s="197">
        <f t="shared" si="3243"/>
        <v>0</v>
      </c>
      <c r="DI139" s="197">
        <f t="shared" si="3243"/>
        <v>0</v>
      </c>
      <c r="DJ139" s="197">
        <f t="shared" si="3243"/>
        <v>0</v>
      </c>
      <c r="DK139" s="197">
        <f t="shared" si="3243"/>
        <v>0</v>
      </c>
      <c r="DL139" s="197">
        <f t="shared" si="3243"/>
        <v>0</v>
      </c>
      <c r="DM139" s="197">
        <f t="shared" si="3243"/>
        <v>3.1225022567582528E-17</v>
      </c>
      <c r="DN139" s="197">
        <f t="shared" si="3243"/>
        <v>0</v>
      </c>
      <c r="DO139" s="197">
        <f t="shared" si="3243"/>
        <v>126</v>
      </c>
      <c r="DP139" s="197">
        <f t="shared" si="3243"/>
        <v>0</v>
      </c>
      <c r="DQ139" s="197">
        <f t="shared" si="3243"/>
        <v>126</v>
      </c>
      <c r="DR139" s="197">
        <f t="shared" si="3243"/>
        <v>0</v>
      </c>
      <c r="DS139" s="197">
        <f t="shared" si="3243"/>
        <v>1.0463568855231233</v>
      </c>
      <c r="DT139" s="197">
        <f t="shared" si="3243"/>
        <v>0</v>
      </c>
      <c r="DU139" s="197">
        <f t="shared" si="3243"/>
        <v>0</v>
      </c>
      <c r="DV139" s="197">
        <f t="shared" si="3243"/>
        <v>0</v>
      </c>
      <c r="DW139" s="197">
        <f t="shared" si="3243"/>
        <v>0</v>
      </c>
      <c r="DX139" s="197">
        <f t="shared" si="3243"/>
        <v>0</v>
      </c>
      <c r="DY139" s="197">
        <f t="shared" si="3243"/>
        <v>0</v>
      </c>
      <c r="DZ139" s="197">
        <f t="shared" si="3243"/>
        <v>0</v>
      </c>
      <c r="EA139" s="197">
        <f t="shared" si="3243"/>
        <v>0</v>
      </c>
      <c r="EB139" s="197">
        <f t="shared" si="3243"/>
        <v>0</v>
      </c>
      <c r="EC139" s="197">
        <f t="shared" si="3243"/>
        <v>0</v>
      </c>
      <c r="ED139" s="197">
        <f t="shared" si="3243"/>
        <v>0</v>
      </c>
      <c r="EE139" s="197">
        <f t="shared" si="3243"/>
        <v>0</v>
      </c>
      <c r="EF139" s="197">
        <f t="shared" si="3243"/>
        <v>0</v>
      </c>
      <c r="EG139" s="197">
        <f t="shared" si="3243"/>
        <v>0</v>
      </c>
    </row>
    <row r="140" spans="1:137" hidden="1">
      <c r="A140" s="157">
        <v>42309</v>
      </c>
      <c r="B140" s="197">
        <f>B11-B264</f>
        <v>0</v>
      </c>
      <c r="C140" s="197">
        <f>C11-C264</f>
        <v>0</v>
      </c>
      <c r="D140" s="197">
        <f>D11-D264</f>
        <v>0</v>
      </c>
      <c r="E140" s="197">
        <f>E11-E264</f>
        <v>0</v>
      </c>
      <c r="F140" s="197">
        <f>F11-F264</f>
        <v>0</v>
      </c>
      <c r="G140" s="197"/>
      <c r="H140" s="197"/>
      <c r="I140" s="197">
        <f t="shared" ref="I140:AB140" si="3244">I11-I264</f>
        <v>0</v>
      </c>
      <c r="J140" s="197">
        <f t="shared" si="3244"/>
        <v>0</v>
      </c>
      <c r="K140" s="197">
        <f t="shared" si="3244"/>
        <v>0</v>
      </c>
      <c r="L140" s="197">
        <f t="shared" si="3244"/>
        <v>0</v>
      </c>
      <c r="M140" s="197">
        <f t="shared" si="3244"/>
        <v>0</v>
      </c>
      <c r="N140" s="197">
        <f t="shared" si="3244"/>
        <v>0</v>
      </c>
      <c r="O140" s="197">
        <f t="shared" si="3244"/>
        <v>0</v>
      </c>
      <c r="P140" s="197">
        <f t="shared" si="3244"/>
        <v>0</v>
      </c>
      <c r="Q140" s="197">
        <f t="shared" si="3244"/>
        <v>0</v>
      </c>
      <c r="R140" s="197">
        <f t="shared" si="3244"/>
        <v>0</v>
      </c>
      <c r="S140" s="197">
        <f t="shared" si="3244"/>
        <v>0</v>
      </c>
      <c r="T140" s="197">
        <f t="shared" si="3244"/>
        <v>0</v>
      </c>
      <c r="U140" s="197">
        <f t="shared" si="3244"/>
        <v>0</v>
      </c>
      <c r="V140" s="197">
        <f t="shared" si="3244"/>
        <v>0</v>
      </c>
      <c r="W140" s="197">
        <f t="shared" si="3244"/>
        <v>0</v>
      </c>
      <c r="X140" s="197">
        <f t="shared" si="3244"/>
        <v>0</v>
      </c>
      <c r="Y140" s="197">
        <f t="shared" si="3244"/>
        <v>0</v>
      </c>
      <c r="Z140" s="197">
        <f t="shared" si="3244"/>
        <v>0</v>
      </c>
      <c r="AA140" s="197">
        <f t="shared" si="3244"/>
        <v>0</v>
      </c>
      <c r="AB140" s="197">
        <f t="shared" si="3244"/>
        <v>0</v>
      </c>
      <c r="AC140" s="163"/>
      <c r="AD140" s="163"/>
      <c r="AE140" s="163"/>
      <c r="AF140" s="163"/>
      <c r="AH140" s="163"/>
      <c r="AI140" s="197">
        <f t="shared" ref="AI140:BN140" si="3245">AI11-AI264</f>
        <v>0</v>
      </c>
      <c r="AJ140" s="197">
        <f t="shared" si="3245"/>
        <v>0</v>
      </c>
      <c r="AK140" s="197">
        <f t="shared" si="3245"/>
        <v>0</v>
      </c>
      <c r="AL140" s="197">
        <f t="shared" si="3245"/>
        <v>0</v>
      </c>
      <c r="AM140" s="197">
        <f t="shared" si="3245"/>
        <v>0</v>
      </c>
      <c r="AN140" s="197">
        <f t="shared" si="3245"/>
        <v>0</v>
      </c>
      <c r="AO140" s="197">
        <f t="shared" si="3245"/>
        <v>0</v>
      </c>
      <c r="AP140" s="197">
        <f t="shared" si="3245"/>
        <v>0</v>
      </c>
      <c r="AQ140" s="197">
        <f t="shared" si="3245"/>
        <v>0</v>
      </c>
      <c r="AR140" s="197">
        <f t="shared" si="3245"/>
        <v>0</v>
      </c>
      <c r="AS140" s="197">
        <f t="shared" si="3245"/>
        <v>0</v>
      </c>
      <c r="AT140" s="197">
        <f t="shared" si="3245"/>
        <v>0</v>
      </c>
      <c r="AU140" s="197">
        <f t="shared" si="3245"/>
        <v>0</v>
      </c>
      <c r="AV140" s="197">
        <f t="shared" si="3245"/>
        <v>0</v>
      </c>
      <c r="AW140" s="197">
        <f t="shared" si="3245"/>
        <v>0</v>
      </c>
      <c r="AX140" s="197">
        <f t="shared" si="3245"/>
        <v>0</v>
      </c>
      <c r="AY140" s="197">
        <f t="shared" si="3245"/>
        <v>0</v>
      </c>
      <c r="AZ140" s="197">
        <f t="shared" si="3245"/>
        <v>0</v>
      </c>
      <c r="BA140" s="197">
        <f t="shared" si="3245"/>
        <v>0</v>
      </c>
      <c r="BB140" s="197">
        <f t="shared" si="3245"/>
        <v>0</v>
      </c>
      <c r="BC140" s="197">
        <f t="shared" si="3245"/>
        <v>0</v>
      </c>
      <c r="BD140" s="197">
        <f t="shared" si="3245"/>
        <v>0</v>
      </c>
      <c r="BE140" s="197">
        <f t="shared" si="3245"/>
        <v>0</v>
      </c>
      <c r="BF140" s="197">
        <f t="shared" si="3245"/>
        <v>0</v>
      </c>
      <c r="BG140" s="197">
        <f t="shared" si="3245"/>
        <v>0</v>
      </c>
      <c r="BH140" s="197">
        <f t="shared" si="3245"/>
        <v>0</v>
      </c>
      <c r="BI140" s="197">
        <f t="shared" si="3245"/>
        <v>0</v>
      </c>
      <c r="BJ140" s="197">
        <f t="shared" si="3245"/>
        <v>0</v>
      </c>
      <c r="BK140" s="197">
        <f t="shared" si="3245"/>
        <v>0</v>
      </c>
      <c r="BL140" s="197">
        <f t="shared" si="3245"/>
        <v>0</v>
      </c>
      <c r="BM140" s="197">
        <f t="shared" si="3245"/>
        <v>0</v>
      </c>
      <c r="BN140" s="197">
        <f t="shared" si="3245"/>
        <v>0</v>
      </c>
      <c r="BO140" s="197">
        <f t="shared" ref="BO140:CV140" si="3246">BO11-BO264</f>
        <v>0</v>
      </c>
      <c r="BP140" s="197">
        <f t="shared" si="3246"/>
        <v>0</v>
      </c>
      <c r="BQ140" s="197">
        <f t="shared" si="3246"/>
        <v>0</v>
      </c>
      <c r="BR140" s="197">
        <f t="shared" si="3246"/>
        <v>0</v>
      </c>
      <c r="BS140" s="197">
        <f t="shared" si="3246"/>
        <v>0</v>
      </c>
      <c r="BT140" s="197">
        <f t="shared" si="3246"/>
        <v>0</v>
      </c>
      <c r="BU140" s="197">
        <f t="shared" si="3246"/>
        <v>0</v>
      </c>
      <c r="BV140" s="197">
        <f t="shared" si="3246"/>
        <v>0</v>
      </c>
      <c r="BW140" s="197">
        <f t="shared" si="3246"/>
        <v>0</v>
      </c>
      <c r="BX140" s="197">
        <f t="shared" si="3246"/>
        <v>0</v>
      </c>
      <c r="BY140" s="197">
        <f t="shared" si="3246"/>
        <v>0</v>
      </c>
      <c r="BZ140" s="197">
        <f t="shared" si="3246"/>
        <v>0</v>
      </c>
      <c r="CA140" s="197">
        <f t="shared" si="3246"/>
        <v>0</v>
      </c>
      <c r="CB140" s="197">
        <f t="shared" si="3246"/>
        <v>0</v>
      </c>
      <c r="CC140" s="197">
        <f t="shared" si="3246"/>
        <v>0</v>
      </c>
      <c r="CD140" s="197">
        <f t="shared" si="3246"/>
        <v>0</v>
      </c>
      <c r="CE140" s="197">
        <f t="shared" si="3246"/>
        <v>0</v>
      </c>
      <c r="CF140" s="197">
        <f t="shared" si="3246"/>
        <v>0</v>
      </c>
      <c r="CG140" s="197">
        <f t="shared" si="3246"/>
        <v>0</v>
      </c>
      <c r="CH140" s="197">
        <f t="shared" si="3246"/>
        <v>0</v>
      </c>
      <c r="CI140" s="197">
        <f t="shared" si="3246"/>
        <v>0</v>
      </c>
      <c r="CJ140" s="197">
        <f t="shared" si="3246"/>
        <v>0</v>
      </c>
      <c r="CK140" s="197">
        <f t="shared" si="3246"/>
        <v>0</v>
      </c>
      <c r="CL140" s="197">
        <f t="shared" si="3246"/>
        <v>0</v>
      </c>
      <c r="CM140" s="197">
        <f t="shared" si="3246"/>
        <v>0</v>
      </c>
      <c r="CN140" s="197">
        <f t="shared" si="3246"/>
        <v>0</v>
      </c>
      <c r="CO140" s="197">
        <f t="shared" si="3246"/>
        <v>0</v>
      </c>
      <c r="CP140" s="197">
        <f t="shared" si="3246"/>
        <v>0</v>
      </c>
      <c r="CQ140" s="197">
        <f t="shared" si="3246"/>
        <v>0</v>
      </c>
      <c r="CR140" s="197">
        <f t="shared" si="3246"/>
        <v>0</v>
      </c>
      <c r="CS140" s="197">
        <f t="shared" si="3246"/>
        <v>0</v>
      </c>
      <c r="CT140" s="197">
        <f t="shared" si="3246"/>
        <v>0</v>
      </c>
      <c r="CU140" s="197">
        <f t="shared" si="3246"/>
        <v>0</v>
      </c>
      <c r="CV140" s="197">
        <f t="shared" si="3246"/>
        <v>0</v>
      </c>
      <c r="CW140" s="163"/>
      <c r="CX140" s="197">
        <f>CX11-CX264</f>
        <v>0</v>
      </c>
      <c r="CY140" s="197">
        <f>CY11-CY264</f>
        <v>0</v>
      </c>
      <c r="CZ140" s="197">
        <f>CZ11-CZ264</f>
        <v>0</v>
      </c>
      <c r="DA140" s="197">
        <f>DA11-DA264</f>
        <v>0</v>
      </c>
      <c r="DB140" s="197">
        <f>DB11-DB264</f>
        <v>0</v>
      </c>
      <c r="DC140" s="197">
        <f>DC11-DC264</f>
        <v>0</v>
      </c>
      <c r="DD140" s="163"/>
      <c r="DE140" s="197">
        <f t="shared" ref="DE140:EG140" si="3247">DE11-DE264</f>
        <v>0</v>
      </c>
      <c r="DF140" s="197">
        <f t="shared" si="3247"/>
        <v>0</v>
      </c>
      <c r="DG140" s="197">
        <f t="shared" si="3247"/>
        <v>36.067396349719345</v>
      </c>
      <c r="DH140" s="197">
        <f t="shared" si="3247"/>
        <v>0</v>
      </c>
      <c r="DI140" s="197">
        <f t="shared" si="3247"/>
        <v>0</v>
      </c>
      <c r="DJ140" s="197">
        <f t="shared" si="3247"/>
        <v>0</v>
      </c>
      <c r="DK140" s="197">
        <f t="shared" si="3247"/>
        <v>0</v>
      </c>
      <c r="DL140" s="197">
        <f t="shared" si="3247"/>
        <v>0</v>
      </c>
      <c r="DM140" s="197">
        <f t="shared" si="3247"/>
        <v>0</v>
      </c>
      <c r="DN140" s="197">
        <f t="shared" si="3247"/>
        <v>0</v>
      </c>
      <c r="DO140" s="197">
        <f t="shared" si="3247"/>
        <v>157</v>
      </c>
      <c r="DP140" s="197">
        <f t="shared" si="3247"/>
        <v>0</v>
      </c>
      <c r="DQ140" s="197">
        <f t="shared" si="3247"/>
        <v>157</v>
      </c>
      <c r="DR140" s="197">
        <f t="shared" si="3247"/>
        <v>0</v>
      </c>
      <c r="DS140" s="197">
        <f t="shared" si="3247"/>
        <v>0.91923084030973368</v>
      </c>
      <c r="DT140" s="197">
        <f t="shared" si="3247"/>
        <v>0</v>
      </c>
      <c r="DU140" s="197">
        <f t="shared" si="3247"/>
        <v>0</v>
      </c>
      <c r="DV140" s="197">
        <f t="shared" si="3247"/>
        <v>0</v>
      </c>
      <c r="DW140" s="197">
        <f t="shared" si="3247"/>
        <v>0</v>
      </c>
      <c r="DX140" s="197">
        <f t="shared" si="3247"/>
        <v>0</v>
      </c>
      <c r="DY140" s="197">
        <f t="shared" si="3247"/>
        <v>0</v>
      </c>
      <c r="DZ140" s="197">
        <f t="shared" si="3247"/>
        <v>0</v>
      </c>
      <c r="EA140" s="197">
        <f t="shared" si="3247"/>
        <v>0</v>
      </c>
      <c r="EB140" s="197">
        <f t="shared" si="3247"/>
        <v>0</v>
      </c>
      <c r="EC140" s="197">
        <f t="shared" si="3247"/>
        <v>0</v>
      </c>
      <c r="ED140" s="197">
        <f t="shared" si="3247"/>
        <v>0</v>
      </c>
      <c r="EE140" s="197">
        <f t="shared" si="3247"/>
        <v>0</v>
      </c>
      <c r="EF140" s="197">
        <f t="shared" si="3247"/>
        <v>0</v>
      </c>
      <c r="EG140" s="197">
        <f t="shared" si="3247"/>
        <v>0</v>
      </c>
    </row>
    <row r="141" spans="1:137" hidden="1">
      <c r="A141" s="157">
        <v>42339</v>
      </c>
      <c r="B141" s="197">
        <f>B12-B265</f>
        <v>0</v>
      </c>
      <c r="C141" s="197">
        <f>C12-C265</f>
        <v>0</v>
      </c>
      <c r="D141" s="197">
        <f>D12-D265</f>
        <v>0</v>
      </c>
      <c r="E141" s="197">
        <f>E12-E265</f>
        <v>0</v>
      </c>
      <c r="F141" s="197">
        <f>F12-F265</f>
        <v>0</v>
      </c>
      <c r="G141" s="197"/>
      <c r="H141" s="197"/>
      <c r="I141" s="197">
        <f t="shared" ref="I141:AB141" si="3248">I12-I265</f>
        <v>0</v>
      </c>
      <c r="J141" s="197">
        <f t="shared" si="3248"/>
        <v>0</v>
      </c>
      <c r="K141" s="197">
        <f t="shared" si="3248"/>
        <v>0</v>
      </c>
      <c r="L141" s="197">
        <f t="shared" si="3248"/>
        <v>0</v>
      </c>
      <c r="M141" s="197">
        <f t="shared" si="3248"/>
        <v>0</v>
      </c>
      <c r="N141" s="197">
        <f t="shared" si="3248"/>
        <v>0</v>
      </c>
      <c r="O141" s="197">
        <f t="shared" si="3248"/>
        <v>0</v>
      </c>
      <c r="P141" s="197">
        <f t="shared" si="3248"/>
        <v>0</v>
      </c>
      <c r="Q141" s="197">
        <f t="shared" si="3248"/>
        <v>0</v>
      </c>
      <c r="R141" s="197">
        <f t="shared" si="3248"/>
        <v>0</v>
      </c>
      <c r="S141" s="197">
        <f t="shared" si="3248"/>
        <v>0</v>
      </c>
      <c r="T141" s="197">
        <f t="shared" si="3248"/>
        <v>0</v>
      </c>
      <c r="U141" s="197">
        <f t="shared" si="3248"/>
        <v>0</v>
      </c>
      <c r="V141" s="197">
        <f t="shared" si="3248"/>
        <v>0</v>
      </c>
      <c r="W141" s="197">
        <f t="shared" si="3248"/>
        <v>0</v>
      </c>
      <c r="X141" s="197">
        <f t="shared" si="3248"/>
        <v>0</v>
      </c>
      <c r="Y141" s="197">
        <f t="shared" si="3248"/>
        <v>0</v>
      </c>
      <c r="Z141" s="197">
        <f t="shared" si="3248"/>
        <v>0</v>
      </c>
      <c r="AA141" s="197">
        <f t="shared" si="3248"/>
        <v>0</v>
      </c>
      <c r="AB141" s="197">
        <f t="shared" si="3248"/>
        <v>0</v>
      </c>
      <c r="AC141" s="163"/>
      <c r="AD141" s="163"/>
      <c r="AE141" s="163"/>
      <c r="AF141" s="163"/>
      <c r="AH141" s="163"/>
      <c r="AI141" s="197">
        <f t="shared" ref="AI141:BN141" si="3249">AI12-AI265</f>
        <v>0</v>
      </c>
      <c r="AJ141" s="197">
        <f t="shared" si="3249"/>
        <v>0</v>
      </c>
      <c r="AK141" s="197">
        <f t="shared" si="3249"/>
        <v>0</v>
      </c>
      <c r="AL141" s="197">
        <f t="shared" si="3249"/>
        <v>0</v>
      </c>
      <c r="AM141" s="197">
        <f t="shared" si="3249"/>
        <v>0</v>
      </c>
      <c r="AN141" s="197">
        <f t="shared" si="3249"/>
        <v>0</v>
      </c>
      <c r="AO141" s="197">
        <f t="shared" si="3249"/>
        <v>0</v>
      </c>
      <c r="AP141" s="197">
        <f t="shared" si="3249"/>
        <v>0</v>
      </c>
      <c r="AQ141" s="197">
        <f t="shared" si="3249"/>
        <v>0</v>
      </c>
      <c r="AR141" s="197">
        <f t="shared" si="3249"/>
        <v>0</v>
      </c>
      <c r="AS141" s="197">
        <f t="shared" si="3249"/>
        <v>0</v>
      </c>
      <c r="AT141" s="197">
        <f t="shared" si="3249"/>
        <v>0</v>
      </c>
      <c r="AU141" s="197">
        <f t="shared" si="3249"/>
        <v>0</v>
      </c>
      <c r="AV141" s="197">
        <f t="shared" si="3249"/>
        <v>0</v>
      </c>
      <c r="AW141" s="197">
        <f t="shared" si="3249"/>
        <v>0</v>
      </c>
      <c r="AX141" s="197">
        <f t="shared" si="3249"/>
        <v>0</v>
      </c>
      <c r="AY141" s="197">
        <f t="shared" si="3249"/>
        <v>0</v>
      </c>
      <c r="AZ141" s="197">
        <f t="shared" si="3249"/>
        <v>0</v>
      </c>
      <c r="BA141" s="197">
        <f t="shared" si="3249"/>
        <v>0</v>
      </c>
      <c r="BB141" s="197">
        <f t="shared" si="3249"/>
        <v>0</v>
      </c>
      <c r="BC141" s="197">
        <f t="shared" si="3249"/>
        <v>0</v>
      </c>
      <c r="BD141" s="197">
        <f t="shared" si="3249"/>
        <v>0</v>
      </c>
      <c r="BE141" s="197">
        <f t="shared" si="3249"/>
        <v>0</v>
      </c>
      <c r="BF141" s="197">
        <f t="shared" si="3249"/>
        <v>0</v>
      </c>
      <c r="BG141" s="197">
        <f t="shared" si="3249"/>
        <v>0</v>
      </c>
      <c r="BH141" s="197">
        <f t="shared" si="3249"/>
        <v>0</v>
      </c>
      <c r="BI141" s="197">
        <f t="shared" si="3249"/>
        <v>0</v>
      </c>
      <c r="BJ141" s="197">
        <f t="shared" si="3249"/>
        <v>0</v>
      </c>
      <c r="BK141" s="197">
        <f t="shared" si="3249"/>
        <v>0</v>
      </c>
      <c r="BL141" s="197">
        <f t="shared" si="3249"/>
        <v>0</v>
      </c>
      <c r="BM141" s="197">
        <f t="shared" si="3249"/>
        <v>0</v>
      </c>
      <c r="BN141" s="197">
        <f t="shared" si="3249"/>
        <v>0</v>
      </c>
      <c r="BO141" s="197">
        <f t="shared" ref="BO141:CV141" si="3250">BO12-BO265</f>
        <v>0</v>
      </c>
      <c r="BP141" s="197">
        <f t="shared" si="3250"/>
        <v>0</v>
      </c>
      <c r="BQ141" s="197">
        <f t="shared" si="3250"/>
        <v>0</v>
      </c>
      <c r="BR141" s="197">
        <f t="shared" si="3250"/>
        <v>0</v>
      </c>
      <c r="BS141" s="197">
        <f t="shared" si="3250"/>
        <v>0</v>
      </c>
      <c r="BT141" s="197">
        <f t="shared" si="3250"/>
        <v>0</v>
      </c>
      <c r="BU141" s="197">
        <f t="shared" si="3250"/>
        <v>0</v>
      </c>
      <c r="BV141" s="197">
        <f t="shared" si="3250"/>
        <v>0</v>
      </c>
      <c r="BW141" s="197">
        <f t="shared" si="3250"/>
        <v>0</v>
      </c>
      <c r="BX141" s="197">
        <f t="shared" si="3250"/>
        <v>0</v>
      </c>
      <c r="BY141" s="197">
        <f t="shared" si="3250"/>
        <v>0</v>
      </c>
      <c r="BZ141" s="197">
        <f t="shared" si="3250"/>
        <v>0</v>
      </c>
      <c r="CA141" s="197">
        <f t="shared" si="3250"/>
        <v>0</v>
      </c>
      <c r="CB141" s="197">
        <f t="shared" si="3250"/>
        <v>0</v>
      </c>
      <c r="CC141" s="197">
        <f t="shared" si="3250"/>
        <v>0</v>
      </c>
      <c r="CD141" s="197">
        <f t="shared" si="3250"/>
        <v>0</v>
      </c>
      <c r="CE141" s="197">
        <f t="shared" si="3250"/>
        <v>0</v>
      </c>
      <c r="CF141" s="197">
        <f t="shared" si="3250"/>
        <v>0</v>
      </c>
      <c r="CG141" s="197">
        <f t="shared" si="3250"/>
        <v>0</v>
      </c>
      <c r="CH141" s="197">
        <f t="shared" si="3250"/>
        <v>0</v>
      </c>
      <c r="CI141" s="197">
        <f t="shared" si="3250"/>
        <v>0</v>
      </c>
      <c r="CJ141" s="197">
        <f t="shared" si="3250"/>
        <v>0</v>
      </c>
      <c r="CK141" s="197">
        <f t="shared" si="3250"/>
        <v>0</v>
      </c>
      <c r="CL141" s="197">
        <f t="shared" si="3250"/>
        <v>0</v>
      </c>
      <c r="CM141" s="197">
        <f t="shared" si="3250"/>
        <v>0</v>
      </c>
      <c r="CN141" s="197">
        <f t="shared" si="3250"/>
        <v>0</v>
      </c>
      <c r="CO141" s="197">
        <f t="shared" si="3250"/>
        <v>0</v>
      </c>
      <c r="CP141" s="197">
        <f t="shared" si="3250"/>
        <v>0</v>
      </c>
      <c r="CQ141" s="197">
        <f t="shared" si="3250"/>
        <v>0</v>
      </c>
      <c r="CR141" s="197">
        <f t="shared" si="3250"/>
        <v>0</v>
      </c>
      <c r="CS141" s="197">
        <f t="shared" si="3250"/>
        <v>0</v>
      </c>
      <c r="CT141" s="197">
        <f t="shared" si="3250"/>
        <v>0</v>
      </c>
      <c r="CU141" s="197">
        <f t="shared" si="3250"/>
        <v>0</v>
      </c>
      <c r="CV141" s="197">
        <f t="shared" si="3250"/>
        <v>0</v>
      </c>
      <c r="CW141" s="163"/>
      <c r="CX141" s="197">
        <f>CX12-CX265</f>
        <v>0</v>
      </c>
      <c r="CY141" s="197">
        <f>CY12-CY265</f>
        <v>0</v>
      </c>
      <c r="CZ141" s="197">
        <f>CZ12-CZ265</f>
        <v>0</v>
      </c>
      <c r="DA141" s="197">
        <f>DA12-DA265</f>
        <v>0</v>
      </c>
      <c r="DB141" s="197">
        <f>DB12-DB265</f>
        <v>0</v>
      </c>
      <c r="DC141" s="197">
        <f>DC12-DC265</f>
        <v>0</v>
      </c>
      <c r="DD141" s="163"/>
      <c r="DE141" s="197">
        <f t="shared" ref="DE141:EG141" si="3251">DE12-DE265</f>
        <v>0</v>
      </c>
      <c r="DF141" s="197">
        <f t="shared" si="3251"/>
        <v>0</v>
      </c>
      <c r="DG141" s="197">
        <f t="shared" si="3251"/>
        <v>37.36345660192741</v>
      </c>
      <c r="DH141" s="197">
        <f t="shared" si="3251"/>
        <v>0</v>
      </c>
      <c r="DI141" s="197">
        <f t="shared" si="3251"/>
        <v>0</v>
      </c>
      <c r="DJ141" s="197">
        <f t="shared" si="3251"/>
        <v>0</v>
      </c>
      <c r="DK141" s="197">
        <f t="shared" si="3251"/>
        <v>0</v>
      </c>
      <c r="DL141" s="197">
        <f t="shared" si="3251"/>
        <v>0</v>
      </c>
      <c r="DM141" s="197">
        <f t="shared" si="3251"/>
        <v>0</v>
      </c>
      <c r="DN141" s="197">
        <f t="shared" si="3251"/>
        <v>0</v>
      </c>
      <c r="DO141" s="197">
        <f t="shared" si="3251"/>
        <v>168</v>
      </c>
      <c r="DP141" s="197">
        <f t="shared" si="3251"/>
        <v>0</v>
      </c>
      <c r="DQ141" s="197">
        <f t="shared" si="3251"/>
        <v>168</v>
      </c>
      <c r="DR141" s="197">
        <f t="shared" si="3251"/>
        <v>0</v>
      </c>
      <c r="DS141" s="197">
        <f t="shared" si="3251"/>
        <v>0.75894140276662081</v>
      </c>
      <c r="DT141" s="197">
        <f t="shared" si="3251"/>
        <v>0</v>
      </c>
      <c r="DU141" s="197">
        <f t="shared" si="3251"/>
        <v>0</v>
      </c>
      <c r="DV141" s="197">
        <f t="shared" si="3251"/>
        <v>0</v>
      </c>
      <c r="DW141" s="197">
        <f t="shared" si="3251"/>
        <v>0</v>
      </c>
      <c r="DX141" s="197">
        <f t="shared" si="3251"/>
        <v>0</v>
      </c>
      <c r="DY141" s="197">
        <f t="shared" si="3251"/>
        <v>0</v>
      </c>
      <c r="DZ141" s="197">
        <f t="shared" si="3251"/>
        <v>0</v>
      </c>
      <c r="EA141" s="197">
        <f t="shared" si="3251"/>
        <v>0</v>
      </c>
      <c r="EB141" s="197">
        <f t="shared" si="3251"/>
        <v>-3.4694469519536142E-17</v>
      </c>
      <c r="EC141" s="197">
        <f t="shared" si="3251"/>
        <v>0</v>
      </c>
      <c r="ED141" s="197">
        <f t="shared" si="3251"/>
        <v>0</v>
      </c>
      <c r="EE141" s="197">
        <f t="shared" si="3251"/>
        <v>0</v>
      </c>
      <c r="EF141" s="197">
        <f t="shared" si="3251"/>
        <v>0</v>
      </c>
      <c r="EG141" s="197">
        <f t="shared" si="3251"/>
        <v>0</v>
      </c>
    </row>
    <row r="142" spans="1:137" hidden="1">
      <c r="A142" s="157">
        <v>42370</v>
      </c>
      <c r="B142" s="197">
        <f>B13-B266</f>
        <v>0</v>
      </c>
      <c r="C142" s="197">
        <f>C13-C266</f>
        <v>0</v>
      </c>
      <c r="D142" s="197">
        <f>D13-D266</f>
        <v>0</v>
      </c>
      <c r="E142" s="197">
        <f>E13-E266</f>
        <v>0</v>
      </c>
      <c r="F142" s="197">
        <f>F13-F266</f>
        <v>0</v>
      </c>
      <c r="G142" s="197"/>
      <c r="H142" s="197"/>
      <c r="I142" s="197">
        <f t="shared" ref="I142:AB142" si="3252">I13-I266</f>
        <v>0</v>
      </c>
      <c r="J142" s="197">
        <f t="shared" si="3252"/>
        <v>0</v>
      </c>
      <c r="K142" s="197">
        <f t="shared" si="3252"/>
        <v>0</v>
      </c>
      <c r="L142" s="197">
        <f t="shared" si="3252"/>
        <v>0</v>
      </c>
      <c r="M142" s="197">
        <f t="shared" si="3252"/>
        <v>0</v>
      </c>
      <c r="N142" s="197">
        <f t="shared" si="3252"/>
        <v>0</v>
      </c>
      <c r="O142" s="197">
        <f t="shared" si="3252"/>
        <v>0</v>
      </c>
      <c r="P142" s="197">
        <f t="shared" si="3252"/>
        <v>0</v>
      </c>
      <c r="Q142" s="197">
        <f t="shared" si="3252"/>
        <v>0</v>
      </c>
      <c r="R142" s="197">
        <f t="shared" si="3252"/>
        <v>0</v>
      </c>
      <c r="S142" s="197">
        <f t="shared" si="3252"/>
        <v>0</v>
      </c>
      <c r="T142" s="197">
        <f t="shared" si="3252"/>
        <v>0</v>
      </c>
      <c r="U142" s="197">
        <f t="shared" si="3252"/>
        <v>0</v>
      </c>
      <c r="V142" s="197">
        <f t="shared" si="3252"/>
        <v>0</v>
      </c>
      <c r="W142" s="197">
        <f t="shared" si="3252"/>
        <v>0</v>
      </c>
      <c r="X142" s="197">
        <f t="shared" si="3252"/>
        <v>0</v>
      </c>
      <c r="Y142" s="197">
        <f t="shared" si="3252"/>
        <v>0</v>
      </c>
      <c r="Z142" s="197">
        <f t="shared" si="3252"/>
        <v>0</v>
      </c>
      <c r="AA142" s="197">
        <f t="shared" si="3252"/>
        <v>0</v>
      </c>
      <c r="AB142" s="197">
        <f t="shared" si="3252"/>
        <v>0</v>
      </c>
      <c r="AC142" s="163"/>
      <c r="AD142" s="163"/>
      <c r="AE142" s="163"/>
      <c r="AF142" s="163"/>
      <c r="AH142" s="163"/>
      <c r="AI142" s="197">
        <f t="shared" ref="AI142:BN142" si="3253">AI13-AI266</f>
        <v>0</v>
      </c>
      <c r="AJ142" s="197">
        <f t="shared" si="3253"/>
        <v>0</v>
      </c>
      <c r="AK142" s="197">
        <f t="shared" si="3253"/>
        <v>0</v>
      </c>
      <c r="AL142" s="197">
        <f t="shared" si="3253"/>
        <v>0</v>
      </c>
      <c r="AM142" s="197">
        <f t="shared" si="3253"/>
        <v>0</v>
      </c>
      <c r="AN142" s="197">
        <f t="shared" si="3253"/>
        <v>0</v>
      </c>
      <c r="AO142" s="197">
        <f t="shared" si="3253"/>
        <v>0</v>
      </c>
      <c r="AP142" s="197">
        <f t="shared" si="3253"/>
        <v>0</v>
      </c>
      <c r="AQ142" s="197">
        <f t="shared" si="3253"/>
        <v>0</v>
      </c>
      <c r="AR142" s="197">
        <f t="shared" si="3253"/>
        <v>0</v>
      </c>
      <c r="AS142" s="197">
        <f t="shared" si="3253"/>
        <v>0</v>
      </c>
      <c r="AT142" s="197">
        <f t="shared" si="3253"/>
        <v>0</v>
      </c>
      <c r="AU142" s="197">
        <f t="shared" si="3253"/>
        <v>0</v>
      </c>
      <c r="AV142" s="197">
        <f t="shared" si="3253"/>
        <v>0</v>
      </c>
      <c r="AW142" s="197">
        <f t="shared" si="3253"/>
        <v>0</v>
      </c>
      <c r="AX142" s="197">
        <f t="shared" si="3253"/>
        <v>0</v>
      </c>
      <c r="AY142" s="197">
        <f t="shared" si="3253"/>
        <v>0</v>
      </c>
      <c r="AZ142" s="197">
        <f t="shared" si="3253"/>
        <v>0</v>
      </c>
      <c r="BA142" s="197">
        <f t="shared" si="3253"/>
        <v>0</v>
      </c>
      <c r="BB142" s="197">
        <f t="shared" si="3253"/>
        <v>0</v>
      </c>
      <c r="BC142" s="197">
        <f t="shared" si="3253"/>
        <v>0</v>
      </c>
      <c r="BD142" s="197">
        <f t="shared" si="3253"/>
        <v>0</v>
      </c>
      <c r="BE142" s="197">
        <f t="shared" si="3253"/>
        <v>0</v>
      </c>
      <c r="BF142" s="197">
        <f t="shared" si="3253"/>
        <v>0</v>
      </c>
      <c r="BG142" s="197">
        <f t="shared" si="3253"/>
        <v>0</v>
      </c>
      <c r="BH142" s="197">
        <f t="shared" si="3253"/>
        <v>0</v>
      </c>
      <c r="BI142" s="197">
        <f t="shared" si="3253"/>
        <v>0</v>
      </c>
      <c r="BJ142" s="197">
        <f t="shared" si="3253"/>
        <v>0</v>
      </c>
      <c r="BK142" s="197">
        <f t="shared" si="3253"/>
        <v>0</v>
      </c>
      <c r="BL142" s="197">
        <f t="shared" si="3253"/>
        <v>0</v>
      </c>
      <c r="BM142" s="197">
        <f t="shared" si="3253"/>
        <v>0</v>
      </c>
      <c r="BN142" s="197">
        <f t="shared" si="3253"/>
        <v>0</v>
      </c>
      <c r="BO142" s="197">
        <f t="shared" ref="BO142:CV142" si="3254">BO13-BO266</f>
        <v>0</v>
      </c>
      <c r="BP142" s="197">
        <f t="shared" si="3254"/>
        <v>0</v>
      </c>
      <c r="BQ142" s="197">
        <f t="shared" si="3254"/>
        <v>0</v>
      </c>
      <c r="BR142" s="197">
        <f t="shared" si="3254"/>
        <v>0</v>
      </c>
      <c r="BS142" s="197">
        <f t="shared" si="3254"/>
        <v>0</v>
      </c>
      <c r="BT142" s="197">
        <f t="shared" si="3254"/>
        <v>0</v>
      </c>
      <c r="BU142" s="197">
        <f t="shared" si="3254"/>
        <v>0</v>
      </c>
      <c r="BV142" s="197">
        <f t="shared" si="3254"/>
        <v>0</v>
      </c>
      <c r="BW142" s="197">
        <f t="shared" si="3254"/>
        <v>0</v>
      </c>
      <c r="BX142" s="197">
        <f t="shared" si="3254"/>
        <v>0</v>
      </c>
      <c r="BY142" s="197">
        <f t="shared" si="3254"/>
        <v>0</v>
      </c>
      <c r="BZ142" s="197">
        <f t="shared" si="3254"/>
        <v>0</v>
      </c>
      <c r="CA142" s="197">
        <f t="shared" si="3254"/>
        <v>0</v>
      </c>
      <c r="CB142" s="197">
        <f t="shared" si="3254"/>
        <v>0</v>
      </c>
      <c r="CC142" s="197">
        <f t="shared" si="3254"/>
        <v>0</v>
      </c>
      <c r="CD142" s="197">
        <f t="shared" si="3254"/>
        <v>0</v>
      </c>
      <c r="CE142" s="197">
        <f t="shared" si="3254"/>
        <v>0</v>
      </c>
      <c r="CF142" s="197">
        <f t="shared" si="3254"/>
        <v>0</v>
      </c>
      <c r="CG142" s="197">
        <f t="shared" si="3254"/>
        <v>0</v>
      </c>
      <c r="CH142" s="197">
        <f t="shared" si="3254"/>
        <v>0</v>
      </c>
      <c r="CI142" s="197">
        <f t="shared" si="3254"/>
        <v>0</v>
      </c>
      <c r="CJ142" s="197">
        <f t="shared" si="3254"/>
        <v>0</v>
      </c>
      <c r="CK142" s="197">
        <f t="shared" si="3254"/>
        <v>0</v>
      </c>
      <c r="CL142" s="197">
        <f t="shared" si="3254"/>
        <v>0</v>
      </c>
      <c r="CM142" s="197">
        <f t="shared" si="3254"/>
        <v>0</v>
      </c>
      <c r="CN142" s="197">
        <f t="shared" si="3254"/>
        <v>0</v>
      </c>
      <c r="CO142" s="197">
        <f t="shared" si="3254"/>
        <v>0</v>
      </c>
      <c r="CP142" s="197">
        <f t="shared" si="3254"/>
        <v>0</v>
      </c>
      <c r="CQ142" s="197">
        <f t="shared" si="3254"/>
        <v>0</v>
      </c>
      <c r="CR142" s="197">
        <f t="shared" si="3254"/>
        <v>0</v>
      </c>
      <c r="CS142" s="197">
        <f t="shared" si="3254"/>
        <v>0</v>
      </c>
      <c r="CT142" s="197">
        <f t="shared" si="3254"/>
        <v>0</v>
      </c>
      <c r="CU142" s="197">
        <f t="shared" si="3254"/>
        <v>0</v>
      </c>
      <c r="CV142" s="197">
        <f t="shared" si="3254"/>
        <v>0</v>
      </c>
      <c r="CW142" s="163"/>
      <c r="CX142" s="197">
        <f>CX13-CX266</f>
        <v>0</v>
      </c>
      <c r="CY142" s="197">
        <f>CY13-CY266</f>
        <v>0</v>
      </c>
      <c r="CZ142" s="197">
        <f>CZ13-CZ266</f>
        <v>0</v>
      </c>
      <c r="DA142" s="197">
        <f>DA13-DA266</f>
        <v>0</v>
      </c>
      <c r="DB142" s="197">
        <f>DB13-DB266</f>
        <v>0</v>
      </c>
      <c r="DC142" s="197">
        <f>DC13-DC266</f>
        <v>0</v>
      </c>
      <c r="DD142" s="163"/>
      <c r="DE142" s="197">
        <f t="shared" ref="DE142:EG142" si="3255">DE13-DE266</f>
        <v>0</v>
      </c>
      <c r="DF142" s="197">
        <f t="shared" si="3255"/>
        <v>0</v>
      </c>
      <c r="DG142" s="197">
        <f t="shared" si="3255"/>
        <v>36.728394938019512</v>
      </c>
      <c r="DH142" s="197">
        <f t="shared" si="3255"/>
        <v>0</v>
      </c>
      <c r="DI142" s="197">
        <f t="shared" si="3255"/>
        <v>0</v>
      </c>
      <c r="DJ142" s="197">
        <f t="shared" si="3255"/>
        <v>0</v>
      </c>
      <c r="DK142" s="197">
        <f t="shared" si="3255"/>
        <v>0</v>
      </c>
      <c r="DL142" s="197">
        <f t="shared" si="3255"/>
        <v>0</v>
      </c>
      <c r="DM142" s="197">
        <f t="shared" si="3255"/>
        <v>0</v>
      </c>
      <c r="DN142" s="197">
        <f t="shared" si="3255"/>
        <v>0</v>
      </c>
      <c r="DO142" s="197">
        <f t="shared" si="3255"/>
        <v>181</v>
      </c>
      <c r="DP142" s="197">
        <f t="shared" si="3255"/>
        <v>0</v>
      </c>
      <c r="DQ142" s="197">
        <f t="shared" si="3255"/>
        <v>181</v>
      </c>
      <c r="DR142" s="197">
        <f t="shared" si="3255"/>
        <v>0</v>
      </c>
      <c r="DS142" s="197">
        <f t="shared" si="3255"/>
        <v>1.0376341101745314</v>
      </c>
      <c r="DT142" s="197">
        <f t="shared" si="3255"/>
        <v>0</v>
      </c>
      <c r="DU142" s="197">
        <f t="shared" si="3255"/>
        <v>0</v>
      </c>
      <c r="DV142" s="197">
        <f t="shared" si="3255"/>
        <v>0</v>
      </c>
      <c r="DW142" s="197">
        <f t="shared" si="3255"/>
        <v>0</v>
      </c>
      <c r="DX142" s="197">
        <f t="shared" si="3255"/>
        <v>0</v>
      </c>
      <c r="DY142" s="197">
        <f t="shared" si="3255"/>
        <v>0</v>
      </c>
      <c r="DZ142" s="197">
        <f t="shared" si="3255"/>
        <v>0</v>
      </c>
      <c r="EA142" s="197">
        <f t="shared" si="3255"/>
        <v>0</v>
      </c>
      <c r="EB142" s="197">
        <f t="shared" si="3255"/>
        <v>-1.7347234759768071E-17</v>
      </c>
      <c r="EC142" s="197">
        <f t="shared" si="3255"/>
        <v>0</v>
      </c>
      <c r="ED142" s="197">
        <f t="shared" si="3255"/>
        <v>0</v>
      </c>
      <c r="EE142" s="197">
        <f t="shared" si="3255"/>
        <v>0</v>
      </c>
      <c r="EF142" s="197">
        <f t="shared" si="3255"/>
        <v>0</v>
      </c>
      <c r="EG142" s="197">
        <f t="shared" si="3255"/>
        <v>0</v>
      </c>
    </row>
    <row r="143" spans="1:137" hidden="1">
      <c r="A143" s="157">
        <v>42401</v>
      </c>
      <c r="B143" s="197">
        <f>B14-B267</f>
        <v>0</v>
      </c>
      <c r="C143" s="197">
        <f>C14-C267</f>
        <v>0</v>
      </c>
      <c r="D143" s="197">
        <f>D14-D267</f>
        <v>0</v>
      </c>
      <c r="E143" s="197">
        <f>E14-E267</f>
        <v>0</v>
      </c>
      <c r="F143" s="197">
        <f>F14-F267</f>
        <v>0</v>
      </c>
      <c r="G143" s="197"/>
      <c r="H143" s="197"/>
      <c r="I143" s="197">
        <f t="shared" ref="I143:AB143" si="3256">I14-I267</f>
        <v>0</v>
      </c>
      <c r="J143" s="197">
        <f t="shared" si="3256"/>
        <v>0</v>
      </c>
      <c r="K143" s="197">
        <f t="shared" si="3256"/>
        <v>0</v>
      </c>
      <c r="L143" s="197">
        <f t="shared" si="3256"/>
        <v>0</v>
      </c>
      <c r="M143" s="197">
        <f t="shared" si="3256"/>
        <v>0</v>
      </c>
      <c r="N143" s="197">
        <f t="shared" si="3256"/>
        <v>0</v>
      </c>
      <c r="O143" s="197">
        <f t="shared" si="3256"/>
        <v>0</v>
      </c>
      <c r="P143" s="197">
        <f t="shared" si="3256"/>
        <v>0</v>
      </c>
      <c r="Q143" s="197">
        <f t="shared" si="3256"/>
        <v>0</v>
      </c>
      <c r="R143" s="197">
        <f t="shared" si="3256"/>
        <v>0</v>
      </c>
      <c r="S143" s="197">
        <f t="shared" si="3256"/>
        <v>0</v>
      </c>
      <c r="T143" s="197">
        <f t="shared" si="3256"/>
        <v>0</v>
      </c>
      <c r="U143" s="197">
        <f t="shared" si="3256"/>
        <v>0</v>
      </c>
      <c r="V143" s="197">
        <f t="shared" si="3256"/>
        <v>0</v>
      </c>
      <c r="W143" s="197">
        <f t="shared" si="3256"/>
        <v>0</v>
      </c>
      <c r="X143" s="197">
        <f t="shared" si="3256"/>
        <v>0</v>
      </c>
      <c r="Y143" s="197">
        <f t="shared" si="3256"/>
        <v>0</v>
      </c>
      <c r="Z143" s="197">
        <f t="shared" si="3256"/>
        <v>0</v>
      </c>
      <c r="AA143" s="197">
        <f t="shared" si="3256"/>
        <v>0</v>
      </c>
      <c r="AB143" s="197">
        <f t="shared" si="3256"/>
        <v>0</v>
      </c>
      <c r="AC143" s="163"/>
      <c r="AD143" s="163"/>
      <c r="AE143" s="163"/>
      <c r="AF143" s="163"/>
      <c r="AH143" s="163"/>
      <c r="AI143" s="197">
        <f t="shared" ref="AI143:BN143" si="3257">AI14-AI267</f>
        <v>0</v>
      </c>
      <c r="AJ143" s="197">
        <f t="shared" si="3257"/>
        <v>0</v>
      </c>
      <c r="AK143" s="197">
        <f t="shared" si="3257"/>
        <v>0</v>
      </c>
      <c r="AL143" s="197">
        <f t="shared" si="3257"/>
        <v>0</v>
      </c>
      <c r="AM143" s="197">
        <f t="shared" si="3257"/>
        <v>0</v>
      </c>
      <c r="AN143" s="197">
        <f t="shared" si="3257"/>
        <v>0</v>
      </c>
      <c r="AO143" s="197">
        <f t="shared" si="3257"/>
        <v>0</v>
      </c>
      <c r="AP143" s="197">
        <f t="shared" si="3257"/>
        <v>0</v>
      </c>
      <c r="AQ143" s="197">
        <f t="shared" si="3257"/>
        <v>0</v>
      </c>
      <c r="AR143" s="197">
        <f t="shared" si="3257"/>
        <v>0</v>
      </c>
      <c r="AS143" s="197">
        <f t="shared" si="3257"/>
        <v>0</v>
      </c>
      <c r="AT143" s="197">
        <f t="shared" si="3257"/>
        <v>0</v>
      </c>
      <c r="AU143" s="197">
        <f t="shared" si="3257"/>
        <v>0</v>
      </c>
      <c r="AV143" s="197">
        <f t="shared" si="3257"/>
        <v>0</v>
      </c>
      <c r="AW143" s="197">
        <f t="shared" si="3257"/>
        <v>0</v>
      </c>
      <c r="AX143" s="197">
        <f t="shared" si="3257"/>
        <v>0</v>
      </c>
      <c r="AY143" s="197">
        <f t="shared" si="3257"/>
        <v>0</v>
      </c>
      <c r="AZ143" s="197">
        <f t="shared" si="3257"/>
        <v>0</v>
      </c>
      <c r="BA143" s="197">
        <f t="shared" si="3257"/>
        <v>0</v>
      </c>
      <c r="BB143" s="197">
        <f t="shared" si="3257"/>
        <v>0</v>
      </c>
      <c r="BC143" s="197">
        <f t="shared" si="3257"/>
        <v>0</v>
      </c>
      <c r="BD143" s="197">
        <f t="shared" si="3257"/>
        <v>0</v>
      </c>
      <c r="BE143" s="197">
        <f t="shared" si="3257"/>
        <v>0</v>
      </c>
      <c r="BF143" s="197">
        <f t="shared" si="3257"/>
        <v>0</v>
      </c>
      <c r="BG143" s="197">
        <f t="shared" si="3257"/>
        <v>0</v>
      </c>
      <c r="BH143" s="197">
        <f t="shared" si="3257"/>
        <v>0</v>
      </c>
      <c r="BI143" s="197">
        <f t="shared" si="3257"/>
        <v>0</v>
      </c>
      <c r="BJ143" s="197">
        <f t="shared" si="3257"/>
        <v>0</v>
      </c>
      <c r="BK143" s="197">
        <f t="shared" si="3257"/>
        <v>0</v>
      </c>
      <c r="BL143" s="197">
        <f t="shared" si="3257"/>
        <v>0</v>
      </c>
      <c r="BM143" s="197">
        <f t="shared" si="3257"/>
        <v>0</v>
      </c>
      <c r="BN143" s="197">
        <f t="shared" si="3257"/>
        <v>0</v>
      </c>
      <c r="BO143" s="197">
        <f t="shared" ref="BO143:CV143" si="3258">BO14-BO267</f>
        <v>0</v>
      </c>
      <c r="BP143" s="197">
        <f t="shared" si="3258"/>
        <v>0</v>
      </c>
      <c r="BQ143" s="197">
        <f t="shared" si="3258"/>
        <v>0</v>
      </c>
      <c r="BR143" s="197">
        <f t="shared" si="3258"/>
        <v>0</v>
      </c>
      <c r="BS143" s="197">
        <f t="shared" si="3258"/>
        <v>0</v>
      </c>
      <c r="BT143" s="197">
        <f t="shared" si="3258"/>
        <v>0</v>
      </c>
      <c r="BU143" s="197">
        <f t="shared" si="3258"/>
        <v>0</v>
      </c>
      <c r="BV143" s="197">
        <f t="shared" si="3258"/>
        <v>0</v>
      </c>
      <c r="BW143" s="197">
        <f t="shared" si="3258"/>
        <v>0</v>
      </c>
      <c r="BX143" s="197">
        <f t="shared" si="3258"/>
        <v>0</v>
      </c>
      <c r="BY143" s="197">
        <f t="shared" si="3258"/>
        <v>0</v>
      </c>
      <c r="BZ143" s="197">
        <f t="shared" si="3258"/>
        <v>0</v>
      </c>
      <c r="CA143" s="197">
        <f t="shared" si="3258"/>
        <v>0</v>
      </c>
      <c r="CB143" s="197">
        <f t="shared" si="3258"/>
        <v>0</v>
      </c>
      <c r="CC143" s="197">
        <f t="shared" si="3258"/>
        <v>0</v>
      </c>
      <c r="CD143" s="197">
        <f t="shared" si="3258"/>
        <v>0</v>
      </c>
      <c r="CE143" s="197">
        <f t="shared" si="3258"/>
        <v>0</v>
      </c>
      <c r="CF143" s="197">
        <f t="shared" si="3258"/>
        <v>0</v>
      </c>
      <c r="CG143" s="197">
        <f t="shared" si="3258"/>
        <v>0</v>
      </c>
      <c r="CH143" s="197">
        <f t="shared" si="3258"/>
        <v>0</v>
      </c>
      <c r="CI143" s="197">
        <f t="shared" si="3258"/>
        <v>0</v>
      </c>
      <c r="CJ143" s="197">
        <f t="shared" si="3258"/>
        <v>0</v>
      </c>
      <c r="CK143" s="197">
        <f t="shared" si="3258"/>
        <v>0</v>
      </c>
      <c r="CL143" s="197">
        <f t="shared" si="3258"/>
        <v>0</v>
      </c>
      <c r="CM143" s="197">
        <f t="shared" si="3258"/>
        <v>0</v>
      </c>
      <c r="CN143" s="197">
        <f t="shared" si="3258"/>
        <v>0</v>
      </c>
      <c r="CO143" s="197">
        <f t="shared" si="3258"/>
        <v>0</v>
      </c>
      <c r="CP143" s="197">
        <f t="shared" si="3258"/>
        <v>0</v>
      </c>
      <c r="CQ143" s="197">
        <f t="shared" si="3258"/>
        <v>0</v>
      </c>
      <c r="CR143" s="197">
        <f t="shared" si="3258"/>
        <v>0</v>
      </c>
      <c r="CS143" s="197">
        <f t="shared" si="3258"/>
        <v>0</v>
      </c>
      <c r="CT143" s="197">
        <f t="shared" si="3258"/>
        <v>0</v>
      </c>
      <c r="CU143" s="197">
        <f t="shared" si="3258"/>
        <v>0</v>
      </c>
      <c r="CV143" s="197">
        <f t="shared" si="3258"/>
        <v>0</v>
      </c>
      <c r="CW143" s="163"/>
      <c r="CX143" s="197">
        <f>CX14-CX267</f>
        <v>0</v>
      </c>
      <c r="CY143" s="197">
        <f>CY14-CY267</f>
        <v>0</v>
      </c>
      <c r="CZ143" s="197">
        <f>CZ14-CZ267</f>
        <v>5.6843418860808015E-14</v>
      </c>
      <c r="DA143" s="197">
        <f>DA14-DA267</f>
        <v>0</v>
      </c>
      <c r="DB143" s="197">
        <f>DB14-DB267</f>
        <v>0</v>
      </c>
      <c r="DC143" s="197">
        <f>DC14-DC267</f>
        <v>0</v>
      </c>
      <c r="DD143" s="163"/>
      <c r="DE143" s="197">
        <f t="shared" ref="DE143:EG143" si="3259">DE14-DE267</f>
        <v>0</v>
      </c>
      <c r="DF143" s="197">
        <f t="shared" si="3259"/>
        <v>0</v>
      </c>
      <c r="DG143" s="197">
        <f t="shared" si="3259"/>
        <v>36.361479154066132</v>
      </c>
      <c r="DH143" s="197">
        <f t="shared" si="3259"/>
        <v>0</v>
      </c>
      <c r="DI143" s="197">
        <f t="shared" si="3259"/>
        <v>0</v>
      </c>
      <c r="DJ143" s="197">
        <f t="shared" si="3259"/>
        <v>0</v>
      </c>
      <c r="DK143" s="197">
        <f t="shared" si="3259"/>
        <v>0</v>
      </c>
      <c r="DL143" s="197">
        <f t="shared" si="3259"/>
        <v>0</v>
      </c>
      <c r="DM143" s="197">
        <f t="shared" si="3259"/>
        <v>0</v>
      </c>
      <c r="DN143" s="197">
        <f t="shared" si="3259"/>
        <v>0</v>
      </c>
      <c r="DO143" s="197">
        <f t="shared" si="3259"/>
        <v>185</v>
      </c>
      <c r="DP143" s="197">
        <f t="shared" si="3259"/>
        <v>0</v>
      </c>
      <c r="DQ143" s="197">
        <f t="shared" si="3259"/>
        <v>185.00000000000003</v>
      </c>
      <c r="DR143" s="197">
        <f t="shared" si="3259"/>
        <v>0</v>
      </c>
      <c r="DS143" s="197">
        <f t="shared" si="3259"/>
        <v>1.0266333458577632</v>
      </c>
      <c r="DT143" s="197">
        <f t="shared" si="3259"/>
        <v>0</v>
      </c>
      <c r="DU143" s="197">
        <f t="shared" si="3259"/>
        <v>0</v>
      </c>
      <c r="DV143" s="197">
        <f t="shared" si="3259"/>
        <v>0</v>
      </c>
      <c r="DW143" s="197">
        <f t="shared" si="3259"/>
        <v>0</v>
      </c>
      <c r="DX143" s="197">
        <f t="shared" si="3259"/>
        <v>0</v>
      </c>
      <c r="DY143" s="197">
        <f t="shared" si="3259"/>
        <v>0</v>
      </c>
      <c r="DZ143" s="197">
        <f t="shared" si="3259"/>
        <v>0</v>
      </c>
      <c r="EA143" s="197">
        <f t="shared" si="3259"/>
        <v>0</v>
      </c>
      <c r="EB143" s="197">
        <f t="shared" si="3259"/>
        <v>1.3877787807814457E-17</v>
      </c>
      <c r="EC143" s="197">
        <f t="shared" si="3259"/>
        <v>0</v>
      </c>
      <c r="ED143" s="197">
        <f t="shared" si="3259"/>
        <v>0</v>
      </c>
      <c r="EE143" s="197">
        <f t="shared" si="3259"/>
        <v>0</v>
      </c>
      <c r="EF143" s="197">
        <f t="shared" si="3259"/>
        <v>0</v>
      </c>
      <c r="EG143" s="197">
        <f t="shared" si="3259"/>
        <v>0</v>
      </c>
    </row>
    <row r="144" spans="1:137" hidden="1">
      <c r="A144" s="157">
        <v>42430</v>
      </c>
      <c r="B144" s="197">
        <f>B15-B268</f>
        <v>0</v>
      </c>
      <c r="C144" s="197">
        <f>C15-C268</f>
        <v>0</v>
      </c>
      <c r="D144" s="197">
        <f>D15-D268</f>
        <v>0</v>
      </c>
      <c r="E144" s="197">
        <f>E15-E268</f>
        <v>0</v>
      </c>
      <c r="F144" s="197">
        <f>F15-F268</f>
        <v>0</v>
      </c>
      <c r="G144" s="197"/>
      <c r="H144" s="197"/>
      <c r="I144" s="197">
        <f t="shared" ref="I144:AB144" si="3260">I15-I268</f>
        <v>0</v>
      </c>
      <c r="J144" s="197">
        <f t="shared" si="3260"/>
        <v>0</v>
      </c>
      <c r="K144" s="197">
        <f t="shared" si="3260"/>
        <v>0</v>
      </c>
      <c r="L144" s="197">
        <f t="shared" si="3260"/>
        <v>0</v>
      </c>
      <c r="M144" s="197">
        <f t="shared" si="3260"/>
        <v>0</v>
      </c>
      <c r="N144" s="197">
        <f t="shared" si="3260"/>
        <v>0</v>
      </c>
      <c r="O144" s="197">
        <f t="shared" si="3260"/>
        <v>0</v>
      </c>
      <c r="P144" s="197">
        <f t="shared" si="3260"/>
        <v>0</v>
      </c>
      <c r="Q144" s="197">
        <f t="shared" si="3260"/>
        <v>0</v>
      </c>
      <c r="R144" s="197">
        <f t="shared" si="3260"/>
        <v>0</v>
      </c>
      <c r="S144" s="197">
        <f t="shared" si="3260"/>
        <v>0</v>
      </c>
      <c r="T144" s="197">
        <f t="shared" si="3260"/>
        <v>0</v>
      </c>
      <c r="U144" s="197">
        <f t="shared" si="3260"/>
        <v>0</v>
      </c>
      <c r="V144" s="197">
        <f t="shared" si="3260"/>
        <v>0</v>
      </c>
      <c r="W144" s="197">
        <f t="shared" si="3260"/>
        <v>0</v>
      </c>
      <c r="X144" s="197">
        <f t="shared" si="3260"/>
        <v>0</v>
      </c>
      <c r="Y144" s="197">
        <f t="shared" si="3260"/>
        <v>0</v>
      </c>
      <c r="Z144" s="197">
        <f t="shared" si="3260"/>
        <v>0</v>
      </c>
      <c r="AA144" s="197">
        <f t="shared" si="3260"/>
        <v>0</v>
      </c>
      <c r="AB144" s="197">
        <f t="shared" si="3260"/>
        <v>0</v>
      </c>
      <c r="AC144" s="163"/>
      <c r="AD144" s="163"/>
      <c r="AE144" s="163"/>
      <c r="AF144" s="163"/>
      <c r="AH144" s="163"/>
      <c r="AI144" s="197">
        <f t="shared" ref="AI144:BN144" si="3261">AI15-AI268</f>
        <v>0</v>
      </c>
      <c r="AJ144" s="197">
        <f t="shared" si="3261"/>
        <v>0</v>
      </c>
      <c r="AK144" s="197">
        <f t="shared" si="3261"/>
        <v>0</v>
      </c>
      <c r="AL144" s="197">
        <f t="shared" si="3261"/>
        <v>0</v>
      </c>
      <c r="AM144" s="197">
        <f t="shared" si="3261"/>
        <v>0</v>
      </c>
      <c r="AN144" s="197">
        <f t="shared" si="3261"/>
        <v>0</v>
      </c>
      <c r="AO144" s="197">
        <f t="shared" si="3261"/>
        <v>0</v>
      </c>
      <c r="AP144" s="197">
        <f t="shared" si="3261"/>
        <v>0</v>
      </c>
      <c r="AQ144" s="197">
        <f t="shared" si="3261"/>
        <v>0</v>
      </c>
      <c r="AR144" s="197">
        <f t="shared" si="3261"/>
        <v>0</v>
      </c>
      <c r="AS144" s="197">
        <f t="shared" si="3261"/>
        <v>0</v>
      </c>
      <c r="AT144" s="197">
        <f t="shared" si="3261"/>
        <v>0</v>
      </c>
      <c r="AU144" s="197">
        <f t="shared" si="3261"/>
        <v>0</v>
      </c>
      <c r="AV144" s="197">
        <f t="shared" si="3261"/>
        <v>0</v>
      </c>
      <c r="AW144" s="197">
        <f t="shared" si="3261"/>
        <v>0</v>
      </c>
      <c r="AX144" s="197">
        <f t="shared" si="3261"/>
        <v>0</v>
      </c>
      <c r="AY144" s="197">
        <f t="shared" si="3261"/>
        <v>0</v>
      </c>
      <c r="AZ144" s="197">
        <f t="shared" si="3261"/>
        <v>0</v>
      </c>
      <c r="BA144" s="197">
        <f t="shared" si="3261"/>
        <v>0</v>
      </c>
      <c r="BB144" s="197">
        <f t="shared" si="3261"/>
        <v>0</v>
      </c>
      <c r="BC144" s="197">
        <f t="shared" si="3261"/>
        <v>0</v>
      </c>
      <c r="BD144" s="197">
        <f t="shared" si="3261"/>
        <v>0</v>
      </c>
      <c r="BE144" s="197">
        <f t="shared" si="3261"/>
        <v>0</v>
      </c>
      <c r="BF144" s="197">
        <f t="shared" si="3261"/>
        <v>0</v>
      </c>
      <c r="BG144" s="197">
        <f t="shared" si="3261"/>
        <v>0</v>
      </c>
      <c r="BH144" s="197">
        <f t="shared" si="3261"/>
        <v>0</v>
      </c>
      <c r="BI144" s="197">
        <f t="shared" si="3261"/>
        <v>0</v>
      </c>
      <c r="BJ144" s="197">
        <f t="shared" si="3261"/>
        <v>0</v>
      </c>
      <c r="BK144" s="197">
        <f t="shared" si="3261"/>
        <v>0</v>
      </c>
      <c r="BL144" s="197">
        <f t="shared" si="3261"/>
        <v>0</v>
      </c>
      <c r="BM144" s="197">
        <f t="shared" si="3261"/>
        <v>0</v>
      </c>
      <c r="BN144" s="197">
        <f t="shared" si="3261"/>
        <v>0</v>
      </c>
      <c r="BO144" s="197">
        <f t="shared" ref="BO144:CV144" si="3262">BO15-BO268</f>
        <v>0</v>
      </c>
      <c r="BP144" s="197">
        <f t="shared" si="3262"/>
        <v>0</v>
      </c>
      <c r="BQ144" s="197">
        <f t="shared" si="3262"/>
        <v>0</v>
      </c>
      <c r="BR144" s="197">
        <f t="shared" si="3262"/>
        <v>0</v>
      </c>
      <c r="BS144" s="197">
        <f t="shared" si="3262"/>
        <v>0</v>
      </c>
      <c r="BT144" s="197">
        <f t="shared" si="3262"/>
        <v>0</v>
      </c>
      <c r="BU144" s="197">
        <f t="shared" si="3262"/>
        <v>0</v>
      </c>
      <c r="BV144" s="197">
        <f t="shared" si="3262"/>
        <v>0</v>
      </c>
      <c r="BW144" s="197">
        <f t="shared" si="3262"/>
        <v>0</v>
      </c>
      <c r="BX144" s="197">
        <f t="shared" si="3262"/>
        <v>0</v>
      </c>
      <c r="BY144" s="197">
        <f t="shared" si="3262"/>
        <v>0</v>
      </c>
      <c r="BZ144" s="197">
        <f t="shared" si="3262"/>
        <v>0</v>
      </c>
      <c r="CA144" s="197">
        <f t="shared" si="3262"/>
        <v>0</v>
      </c>
      <c r="CB144" s="197">
        <f t="shared" si="3262"/>
        <v>0</v>
      </c>
      <c r="CC144" s="197">
        <f t="shared" si="3262"/>
        <v>0</v>
      </c>
      <c r="CD144" s="197">
        <f t="shared" si="3262"/>
        <v>0</v>
      </c>
      <c r="CE144" s="197">
        <f t="shared" si="3262"/>
        <v>0</v>
      </c>
      <c r="CF144" s="197">
        <f t="shared" si="3262"/>
        <v>0</v>
      </c>
      <c r="CG144" s="197">
        <f t="shared" si="3262"/>
        <v>0</v>
      </c>
      <c r="CH144" s="197">
        <f t="shared" si="3262"/>
        <v>0</v>
      </c>
      <c r="CI144" s="197">
        <f t="shared" si="3262"/>
        <v>0</v>
      </c>
      <c r="CJ144" s="197">
        <f t="shared" si="3262"/>
        <v>0</v>
      </c>
      <c r="CK144" s="197">
        <f t="shared" si="3262"/>
        <v>0</v>
      </c>
      <c r="CL144" s="197">
        <f t="shared" si="3262"/>
        <v>0</v>
      </c>
      <c r="CM144" s="197">
        <f t="shared" si="3262"/>
        <v>0</v>
      </c>
      <c r="CN144" s="197">
        <f t="shared" si="3262"/>
        <v>0</v>
      </c>
      <c r="CO144" s="197">
        <f t="shared" si="3262"/>
        <v>0</v>
      </c>
      <c r="CP144" s="197">
        <f t="shared" si="3262"/>
        <v>0</v>
      </c>
      <c r="CQ144" s="197">
        <f t="shared" si="3262"/>
        <v>0</v>
      </c>
      <c r="CR144" s="197">
        <f t="shared" si="3262"/>
        <v>0</v>
      </c>
      <c r="CS144" s="197">
        <f t="shared" si="3262"/>
        <v>0</v>
      </c>
      <c r="CT144" s="197">
        <f t="shared" si="3262"/>
        <v>0</v>
      </c>
      <c r="CU144" s="197">
        <f t="shared" si="3262"/>
        <v>0</v>
      </c>
      <c r="CV144" s="197">
        <f t="shared" si="3262"/>
        <v>0</v>
      </c>
      <c r="CW144" s="163"/>
      <c r="CX144" s="197">
        <f>CX15-CX268</f>
        <v>0</v>
      </c>
      <c r="CY144" s="197">
        <f>CY15-CY268</f>
        <v>0</v>
      </c>
      <c r="CZ144" s="197">
        <f>CZ15-CZ268</f>
        <v>0</v>
      </c>
      <c r="DA144" s="197">
        <f>DA15-DA268</f>
        <v>0</v>
      </c>
      <c r="DB144" s="197">
        <f>DB15-DB268</f>
        <v>0</v>
      </c>
      <c r="DC144" s="197">
        <f>DC15-DC268</f>
        <v>0</v>
      </c>
      <c r="DD144" s="163"/>
      <c r="DE144" s="197">
        <f t="shared" ref="DE144:EG144" si="3263">DE15-DE268</f>
        <v>0</v>
      </c>
      <c r="DF144" s="197">
        <f t="shared" si="3263"/>
        <v>0</v>
      </c>
      <c r="DG144" s="197">
        <f t="shared" si="3263"/>
        <v>36.905761582601045</v>
      </c>
      <c r="DH144" s="197">
        <f t="shared" si="3263"/>
        <v>0</v>
      </c>
      <c r="DI144" s="197">
        <f t="shared" si="3263"/>
        <v>0</v>
      </c>
      <c r="DJ144" s="197">
        <f t="shared" si="3263"/>
        <v>0</v>
      </c>
      <c r="DK144" s="197">
        <f t="shared" si="3263"/>
        <v>0</v>
      </c>
      <c r="DL144" s="197">
        <f t="shared" si="3263"/>
        <v>0</v>
      </c>
      <c r="DM144" s="197">
        <f t="shared" si="3263"/>
        <v>4.163336342344337E-17</v>
      </c>
      <c r="DN144" s="197">
        <f t="shared" si="3263"/>
        <v>0</v>
      </c>
      <c r="DO144" s="197">
        <f t="shared" si="3263"/>
        <v>197</v>
      </c>
      <c r="DP144" s="197">
        <f t="shared" si="3263"/>
        <v>0</v>
      </c>
      <c r="DQ144" s="197">
        <f t="shared" si="3263"/>
        <v>197</v>
      </c>
      <c r="DR144" s="197">
        <f t="shared" si="3263"/>
        <v>0</v>
      </c>
      <c r="DS144" s="197">
        <f t="shared" si="3263"/>
        <v>1.0172067563847187</v>
      </c>
      <c r="DT144" s="197">
        <f t="shared" si="3263"/>
        <v>0</v>
      </c>
      <c r="DU144" s="197">
        <f t="shared" si="3263"/>
        <v>0</v>
      </c>
      <c r="DV144" s="197">
        <f t="shared" si="3263"/>
        <v>0</v>
      </c>
      <c r="DW144" s="197">
        <f t="shared" si="3263"/>
        <v>0</v>
      </c>
      <c r="DX144" s="197">
        <f t="shared" si="3263"/>
        <v>0</v>
      </c>
      <c r="DY144" s="197">
        <f t="shared" si="3263"/>
        <v>0</v>
      </c>
      <c r="DZ144" s="197">
        <f t="shared" si="3263"/>
        <v>0</v>
      </c>
      <c r="EA144" s="197">
        <f t="shared" si="3263"/>
        <v>0</v>
      </c>
      <c r="EB144" s="197">
        <f t="shared" si="3263"/>
        <v>2.9490299091605721E-17</v>
      </c>
      <c r="EC144" s="197">
        <f t="shared" si="3263"/>
        <v>0</v>
      </c>
      <c r="ED144" s="197">
        <f t="shared" si="3263"/>
        <v>0</v>
      </c>
      <c r="EE144" s="197">
        <f t="shared" si="3263"/>
        <v>0</v>
      </c>
      <c r="EF144" s="197">
        <f t="shared" si="3263"/>
        <v>0</v>
      </c>
      <c r="EG144" s="197">
        <f t="shared" si="3263"/>
        <v>0</v>
      </c>
    </row>
    <row r="145" spans="1:137" hidden="1">
      <c r="A145" s="157">
        <v>42461</v>
      </c>
      <c r="B145" s="197">
        <f>B16-B269</f>
        <v>0</v>
      </c>
      <c r="C145" s="197">
        <f>C16-C269</f>
        <v>0</v>
      </c>
      <c r="D145" s="197">
        <f>D16-D269</f>
        <v>0</v>
      </c>
      <c r="E145" s="197">
        <f>E16-E269</f>
        <v>0</v>
      </c>
      <c r="F145" s="197">
        <f>F16-F269</f>
        <v>0</v>
      </c>
      <c r="G145" s="197"/>
      <c r="H145" s="197"/>
      <c r="I145" s="197">
        <f t="shared" ref="I145:AB145" si="3264">I16-I269</f>
        <v>0</v>
      </c>
      <c r="J145" s="197">
        <f t="shared" si="3264"/>
        <v>0</v>
      </c>
      <c r="K145" s="197">
        <f t="shared" si="3264"/>
        <v>0</v>
      </c>
      <c r="L145" s="197">
        <f t="shared" si="3264"/>
        <v>0</v>
      </c>
      <c r="M145" s="197">
        <f t="shared" si="3264"/>
        <v>0</v>
      </c>
      <c r="N145" s="197">
        <f t="shared" si="3264"/>
        <v>0</v>
      </c>
      <c r="O145" s="197">
        <f t="shared" si="3264"/>
        <v>0</v>
      </c>
      <c r="P145" s="197">
        <f t="shared" si="3264"/>
        <v>0</v>
      </c>
      <c r="Q145" s="197">
        <f t="shared" si="3264"/>
        <v>0</v>
      </c>
      <c r="R145" s="197">
        <f t="shared" si="3264"/>
        <v>0</v>
      </c>
      <c r="S145" s="197">
        <f t="shared" si="3264"/>
        <v>0</v>
      </c>
      <c r="T145" s="197">
        <f t="shared" si="3264"/>
        <v>0</v>
      </c>
      <c r="U145" s="197">
        <f t="shared" si="3264"/>
        <v>0</v>
      </c>
      <c r="V145" s="197">
        <f t="shared" si="3264"/>
        <v>0</v>
      </c>
      <c r="W145" s="197">
        <f t="shared" si="3264"/>
        <v>0</v>
      </c>
      <c r="X145" s="197">
        <f t="shared" si="3264"/>
        <v>0</v>
      </c>
      <c r="Y145" s="197">
        <f t="shared" si="3264"/>
        <v>0</v>
      </c>
      <c r="Z145" s="197">
        <f t="shared" si="3264"/>
        <v>0</v>
      </c>
      <c r="AA145" s="197">
        <f t="shared" si="3264"/>
        <v>0</v>
      </c>
      <c r="AB145" s="197">
        <f t="shared" si="3264"/>
        <v>0</v>
      </c>
      <c r="AC145" s="163"/>
      <c r="AD145" s="163"/>
      <c r="AE145" s="163"/>
      <c r="AF145" s="163"/>
      <c r="AH145" s="163"/>
      <c r="AI145" s="197">
        <f t="shared" ref="AI145:BN145" si="3265">AI16-AI269</f>
        <v>0</v>
      </c>
      <c r="AJ145" s="197">
        <f t="shared" si="3265"/>
        <v>0</v>
      </c>
      <c r="AK145" s="197">
        <f t="shared" si="3265"/>
        <v>0</v>
      </c>
      <c r="AL145" s="197">
        <f t="shared" si="3265"/>
        <v>0</v>
      </c>
      <c r="AM145" s="197">
        <f t="shared" si="3265"/>
        <v>0</v>
      </c>
      <c r="AN145" s="197">
        <f t="shared" si="3265"/>
        <v>0</v>
      </c>
      <c r="AO145" s="197">
        <f t="shared" si="3265"/>
        <v>0</v>
      </c>
      <c r="AP145" s="197">
        <f t="shared" si="3265"/>
        <v>0</v>
      </c>
      <c r="AQ145" s="197">
        <f t="shared" si="3265"/>
        <v>0</v>
      </c>
      <c r="AR145" s="197">
        <f t="shared" si="3265"/>
        <v>0</v>
      </c>
      <c r="AS145" s="197">
        <f t="shared" si="3265"/>
        <v>0</v>
      </c>
      <c r="AT145" s="197">
        <f t="shared" si="3265"/>
        <v>0</v>
      </c>
      <c r="AU145" s="197">
        <f t="shared" si="3265"/>
        <v>0</v>
      </c>
      <c r="AV145" s="197">
        <f t="shared" si="3265"/>
        <v>0</v>
      </c>
      <c r="AW145" s="197">
        <f t="shared" si="3265"/>
        <v>0</v>
      </c>
      <c r="AX145" s="197">
        <f t="shared" si="3265"/>
        <v>0</v>
      </c>
      <c r="AY145" s="197">
        <f t="shared" si="3265"/>
        <v>0</v>
      </c>
      <c r="AZ145" s="197">
        <f t="shared" si="3265"/>
        <v>0</v>
      </c>
      <c r="BA145" s="197">
        <f t="shared" si="3265"/>
        <v>0</v>
      </c>
      <c r="BB145" s="197">
        <f t="shared" si="3265"/>
        <v>0</v>
      </c>
      <c r="BC145" s="197">
        <f t="shared" si="3265"/>
        <v>0</v>
      </c>
      <c r="BD145" s="197">
        <f t="shared" si="3265"/>
        <v>0</v>
      </c>
      <c r="BE145" s="197">
        <f t="shared" si="3265"/>
        <v>0</v>
      </c>
      <c r="BF145" s="197">
        <f t="shared" si="3265"/>
        <v>0</v>
      </c>
      <c r="BG145" s="197">
        <f t="shared" si="3265"/>
        <v>0</v>
      </c>
      <c r="BH145" s="197">
        <f t="shared" si="3265"/>
        <v>0</v>
      </c>
      <c r="BI145" s="197">
        <f t="shared" si="3265"/>
        <v>0</v>
      </c>
      <c r="BJ145" s="197">
        <f t="shared" si="3265"/>
        <v>0</v>
      </c>
      <c r="BK145" s="197">
        <f t="shared" si="3265"/>
        <v>0</v>
      </c>
      <c r="BL145" s="197">
        <f t="shared" si="3265"/>
        <v>0</v>
      </c>
      <c r="BM145" s="197">
        <f t="shared" si="3265"/>
        <v>0</v>
      </c>
      <c r="BN145" s="197">
        <f t="shared" si="3265"/>
        <v>0</v>
      </c>
      <c r="BO145" s="197">
        <f t="shared" ref="BO145:CV145" si="3266">BO16-BO269</f>
        <v>0</v>
      </c>
      <c r="BP145" s="197">
        <f t="shared" si="3266"/>
        <v>0</v>
      </c>
      <c r="BQ145" s="197">
        <f t="shared" si="3266"/>
        <v>0</v>
      </c>
      <c r="BR145" s="197">
        <f t="shared" si="3266"/>
        <v>0</v>
      </c>
      <c r="BS145" s="197">
        <f t="shared" si="3266"/>
        <v>0</v>
      </c>
      <c r="BT145" s="197">
        <f t="shared" si="3266"/>
        <v>0</v>
      </c>
      <c r="BU145" s="197">
        <f t="shared" si="3266"/>
        <v>0</v>
      </c>
      <c r="BV145" s="197">
        <f t="shared" si="3266"/>
        <v>0</v>
      </c>
      <c r="BW145" s="197">
        <f t="shared" si="3266"/>
        <v>0</v>
      </c>
      <c r="BX145" s="197">
        <f t="shared" si="3266"/>
        <v>0</v>
      </c>
      <c r="BY145" s="197">
        <f t="shared" si="3266"/>
        <v>0</v>
      </c>
      <c r="BZ145" s="197">
        <f t="shared" si="3266"/>
        <v>0</v>
      </c>
      <c r="CA145" s="197">
        <f t="shared" si="3266"/>
        <v>0</v>
      </c>
      <c r="CB145" s="197">
        <f t="shared" si="3266"/>
        <v>0</v>
      </c>
      <c r="CC145" s="197">
        <f t="shared" si="3266"/>
        <v>0</v>
      </c>
      <c r="CD145" s="197">
        <f t="shared" si="3266"/>
        <v>0</v>
      </c>
      <c r="CE145" s="197">
        <f t="shared" si="3266"/>
        <v>0</v>
      </c>
      <c r="CF145" s="197">
        <f t="shared" si="3266"/>
        <v>0</v>
      </c>
      <c r="CG145" s="197">
        <f t="shared" si="3266"/>
        <v>0</v>
      </c>
      <c r="CH145" s="197">
        <f t="shared" si="3266"/>
        <v>0</v>
      </c>
      <c r="CI145" s="197">
        <f t="shared" si="3266"/>
        <v>0</v>
      </c>
      <c r="CJ145" s="197">
        <f t="shared" si="3266"/>
        <v>0</v>
      </c>
      <c r="CK145" s="197">
        <f t="shared" si="3266"/>
        <v>0</v>
      </c>
      <c r="CL145" s="197">
        <f t="shared" si="3266"/>
        <v>0</v>
      </c>
      <c r="CM145" s="197">
        <f t="shared" si="3266"/>
        <v>0</v>
      </c>
      <c r="CN145" s="197">
        <f t="shared" si="3266"/>
        <v>0</v>
      </c>
      <c r="CO145" s="197">
        <f t="shared" si="3266"/>
        <v>0</v>
      </c>
      <c r="CP145" s="197">
        <f t="shared" si="3266"/>
        <v>0</v>
      </c>
      <c r="CQ145" s="197">
        <f t="shared" si="3266"/>
        <v>0</v>
      </c>
      <c r="CR145" s="197">
        <f t="shared" si="3266"/>
        <v>0</v>
      </c>
      <c r="CS145" s="197">
        <f t="shared" si="3266"/>
        <v>0</v>
      </c>
      <c r="CT145" s="197">
        <f t="shared" si="3266"/>
        <v>0</v>
      </c>
      <c r="CU145" s="197">
        <f t="shared" si="3266"/>
        <v>0</v>
      </c>
      <c r="CV145" s="197">
        <f t="shared" si="3266"/>
        <v>0</v>
      </c>
      <c r="CW145" s="163"/>
      <c r="CX145" s="197">
        <f>CX16-CX269</f>
        <v>0</v>
      </c>
      <c r="CY145" s="197">
        <f>CY16-CY269</f>
        <v>0</v>
      </c>
      <c r="CZ145" s="197">
        <f>CZ16-CZ269</f>
        <v>0</v>
      </c>
      <c r="DA145" s="197">
        <f>DA16-DA269</f>
        <v>0</v>
      </c>
      <c r="DB145" s="197">
        <f>DB16-DB269</f>
        <v>1.4210854715202004E-13</v>
      </c>
      <c r="DC145" s="197">
        <f>DC16-DC269</f>
        <v>0</v>
      </c>
      <c r="DD145" s="163"/>
      <c r="DE145" s="197">
        <f t="shared" ref="DE145:EG145" si="3267">DE16-DE269</f>
        <v>0</v>
      </c>
      <c r="DF145" s="197">
        <f t="shared" si="3267"/>
        <v>0</v>
      </c>
      <c r="DG145" s="197">
        <f t="shared" si="3267"/>
        <v>0</v>
      </c>
      <c r="DH145" s="197">
        <f t="shared" si="3267"/>
        <v>0</v>
      </c>
      <c r="DI145" s="197">
        <f t="shared" si="3267"/>
        <v>0</v>
      </c>
      <c r="DJ145" s="197">
        <f t="shared" si="3267"/>
        <v>0</v>
      </c>
      <c r="DK145" s="197">
        <f t="shared" si="3267"/>
        <v>0</v>
      </c>
      <c r="DL145" s="197">
        <f t="shared" si="3267"/>
        <v>0</v>
      </c>
      <c r="DM145" s="197">
        <f t="shared" si="3267"/>
        <v>0</v>
      </c>
      <c r="DN145" s="197">
        <f t="shared" si="3267"/>
        <v>0</v>
      </c>
      <c r="DO145" s="197">
        <f t="shared" si="3267"/>
        <v>202</v>
      </c>
      <c r="DP145" s="197">
        <f t="shared" si="3267"/>
        <v>0</v>
      </c>
      <c r="DQ145" s="197">
        <f t="shared" si="3267"/>
        <v>201.99999999999997</v>
      </c>
      <c r="DR145" s="197">
        <f t="shared" si="3267"/>
        <v>0</v>
      </c>
      <c r="DS145" s="197">
        <f t="shared" si="3267"/>
        <v>0.99611102765676907</v>
      </c>
      <c r="DT145" s="197">
        <f t="shared" si="3267"/>
        <v>0</v>
      </c>
      <c r="DU145" s="197">
        <f t="shared" si="3267"/>
        <v>0</v>
      </c>
      <c r="DV145" s="197">
        <f t="shared" si="3267"/>
        <v>0</v>
      </c>
      <c r="DW145" s="197">
        <f t="shared" si="3267"/>
        <v>0</v>
      </c>
      <c r="DX145" s="197">
        <f t="shared" si="3267"/>
        <v>0</v>
      </c>
      <c r="DY145" s="197">
        <f t="shared" si="3267"/>
        <v>0</v>
      </c>
      <c r="DZ145" s="197">
        <f t="shared" si="3267"/>
        <v>0</v>
      </c>
      <c r="EA145" s="197">
        <f t="shared" si="3267"/>
        <v>0</v>
      </c>
      <c r="EB145" s="197">
        <f t="shared" si="3267"/>
        <v>1.3877787807814457E-17</v>
      </c>
      <c r="EC145" s="197">
        <f t="shared" si="3267"/>
        <v>0</v>
      </c>
      <c r="ED145" s="197">
        <f t="shared" si="3267"/>
        <v>0</v>
      </c>
      <c r="EE145" s="197">
        <f t="shared" si="3267"/>
        <v>0</v>
      </c>
      <c r="EF145" s="197">
        <f t="shared" si="3267"/>
        <v>0</v>
      </c>
      <c r="EG145" s="197">
        <f t="shared" si="3267"/>
        <v>0</v>
      </c>
    </row>
    <row r="146" spans="1:137" hidden="1">
      <c r="A146" s="157">
        <v>42491</v>
      </c>
      <c r="B146" s="197">
        <f>B17-B270</f>
        <v>0</v>
      </c>
      <c r="C146" s="197">
        <f>C17-C270</f>
        <v>0</v>
      </c>
      <c r="D146" s="197">
        <f>D17-D270</f>
        <v>0</v>
      </c>
      <c r="E146" s="197">
        <f>E17-E270</f>
        <v>0</v>
      </c>
      <c r="F146" s="197">
        <f>F17-F270</f>
        <v>0</v>
      </c>
      <c r="G146" s="197"/>
      <c r="H146" s="197"/>
      <c r="I146" s="197">
        <f t="shared" ref="I146:AB146" si="3268">I17-I270</f>
        <v>0</v>
      </c>
      <c r="J146" s="197">
        <f t="shared" si="3268"/>
        <v>0</v>
      </c>
      <c r="K146" s="197">
        <f t="shared" si="3268"/>
        <v>0</v>
      </c>
      <c r="L146" s="197">
        <f t="shared" si="3268"/>
        <v>0</v>
      </c>
      <c r="M146" s="197">
        <f t="shared" si="3268"/>
        <v>0</v>
      </c>
      <c r="N146" s="197">
        <f t="shared" si="3268"/>
        <v>0</v>
      </c>
      <c r="O146" s="197">
        <f t="shared" si="3268"/>
        <v>0</v>
      </c>
      <c r="P146" s="197">
        <f t="shared" si="3268"/>
        <v>0</v>
      </c>
      <c r="Q146" s="197">
        <f t="shared" si="3268"/>
        <v>0</v>
      </c>
      <c r="R146" s="197">
        <f t="shared" si="3268"/>
        <v>0</v>
      </c>
      <c r="S146" s="197">
        <f t="shared" si="3268"/>
        <v>0</v>
      </c>
      <c r="T146" s="197">
        <f t="shared" si="3268"/>
        <v>0</v>
      </c>
      <c r="U146" s="197">
        <f t="shared" si="3268"/>
        <v>0</v>
      </c>
      <c r="V146" s="197">
        <f t="shared" si="3268"/>
        <v>0</v>
      </c>
      <c r="W146" s="197">
        <f t="shared" si="3268"/>
        <v>0</v>
      </c>
      <c r="X146" s="197">
        <f t="shared" si="3268"/>
        <v>0</v>
      </c>
      <c r="Y146" s="197">
        <f t="shared" si="3268"/>
        <v>0</v>
      </c>
      <c r="Z146" s="197">
        <f t="shared" si="3268"/>
        <v>0</v>
      </c>
      <c r="AA146" s="197">
        <f t="shared" si="3268"/>
        <v>0</v>
      </c>
      <c r="AB146" s="197">
        <f t="shared" si="3268"/>
        <v>0</v>
      </c>
      <c r="AC146" s="163"/>
      <c r="AD146" s="163"/>
      <c r="AE146" s="163"/>
      <c r="AF146" s="163"/>
      <c r="AH146" s="197"/>
      <c r="AI146" s="197">
        <f t="shared" ref="AI146:BN146" si="3269">AI17-AI270</f>
        <v>0</v>
      </c>
      <c r="AJ146" s="197">
        <f t="shared" si="3269"/>
        <v>0</v>
      </c>
      <c r="AK146" s="197">
        <f t="shared" si="3269"/>
        <v>0</v>
      </c>
      <c r="AL146" s="197">
        <f t="shared" si="3269"/>
        <v>0</v>
      </c>
      <c r="AM146" s="197">
        <f t="shared" si="3269"/>
        <v>0</v>
      </c>
      <c r="AN146" s="197">
        <f t="shared" si="3269"/>
        <v>0</v>
      </c>
      <c r="AO146" s="197">
        <f t="shared" si="3269"/>
        <v>0</v>
      </c>
      <c r="AP146" s="197">
        <f t="shared" si="3269"/>
        <v>0</v>
      </c>
      <c r="AQ146" s="197">
        <f t="shared" si="3269"/>
        <v>0</v>
      </c>
      <c r="AR146" s="197">
        <f t="shared" si="3269"/>
        <v>0</v>
      </c>
      <c r="AS146" s="197">
        <f t="shared" si="3269"/>
        <v>0</v>
      </c>
      <c r="AT146" s="197">
        <f t="shared" si="3269"/>
        <v>0</v>
      </c>
      <c r="AU146" s="197">
        <f t="shared" si="3269"/>
        <v>0</v>
      </c>
      <c r="AV146" s="197">
        <f t="shared" si="3269"/>
        <v>0</v>
      </c>
      <c r="AW146" s="197">
        <f t="shared" si="3269"/>
        <v>0</v>
      </c>
      <c r="AX146" s="197">
        <f t="shared" si="3269"/>
        <v>0</v>
      </c>
      <c r="AY146" s="197">
        <f t="shared" si="3269"/>
        <v>0</v>
      </c>
      <c r="AZ146" s="197">
        <f t="shared" si="3269"/>
        <v>0</v>
      </c>
      <c r="BA146" s="197">
        <f t="shared" si="3269"/>
        <v>0</v>
      </c>
      <c r="BB146" s="197">
        <f t="shared" si="3269"/>
        <v>0</v>
      </c>
      <c r="BC146" s="197">
        <f t="shared" si="3269"/>
        <v>0</v>
      </c>
      <c r="BD146" s="197">
        <f t="shared" si="3269"/>
        <v>0</v>
      </c>
      <c r="BE146" s="197">
        <f t="shared" si="3269"/>
        <v>0</v>
      </c>
      <c r="BF146" s="197">
        <f t="shared" si="3269"/>
        <v>0</v>
      </c>
      <c r="BG146" s="197">
        <f t="shared" si="3269"/>
        <v>0</v>
      </c>
      <c r="BH146" s="197">
        <f t="shared" si="3269"/>
        <v>0</v>
      </c>
      <c r="BI146" s="197">
        <f t="shared" si="3269"/>
        <v>0</v>
      </c>
      <c r="BJ146" s="197">
        <f t="shared" si="3269"/>
        <v>0</v>
      </c>
      <c r="BK146" s="197">
        <f t="shared" si="3269"/>
        <v>0</v>
      </c>
      <c r="BL146" s="197">
        <f t="shared" si="3269"/>
        <v>0</v>
      </c>
      <c r="BM146" s="197">
        <f t="shared" si="3269"/>
        <v>0</v>
      </c>
      <c r="BN146" s="197">
        <f t="shared" si="3269"/>
        <v>0</v>
      </c>
      <c r="BO146" s="197">
        <f t="shared" ref="BO146:CV146" si="3270">BO17-BO270</f>
        <v>0</v>
      </c>
      <c r="BP146" s="197">
        <f t="shared" si="3270"/>
        <v>0</v>
      </c>
      <c r="BQ146" s="197">
        <f t="shared" si="3270"/>
        <v>0</v>
      </c>
      <c r="BR146" s="197">
        <f t="shared" si="3270"/>
        <v>0</v>
      </c>
      <c r="BS146" s="197">
        <f t="shared" si="3270"/>
        <v>0</v>
      </c>
      <c r="BT146" s="197">
        <f t="shared" si="3270"/>
        <v>0</v>
      </c>
      <c r="BU146" s="197">
        <f t="shared" si="3270"/>
        <v>0</v>
      </c>
      <c r="BV146" s="197">
        <f t="shared" si="3270"/>
        <v>0</v>
      </c>
      <c r="BW146" s="197">
        <f t="shared" si="3270"/>
        <v>0</v>
      </c>
      <c r="BX146" s="197">
        <f t="shared" si="3270"/>
        <v>0</v>
      </c>
      <c r="BY146" s="197">
        <f t="shared" si="3270"/>
        <v>0</v>
      </c>
      <c r="BZ146" s="197">
        <f t="shared" si="3270"/>
        <v>0</v>
      </c>
      <c r="CA146" s="197">
        <f t="shared" si="3270"/>
        <v>0</v>
      </c>
      <c r="CB146" s="197">
        <f t="shared" si="3270"/>
        <v>0</v>
      </c>
      <c r="CC146" s="197">
        <f t="shared" si="3270"/>
        <v>0</v>
      </c>
      <c r="CD146" s="197">
        <f t="shared" si="3270"/>
        <v>0</v>
      </c>
      <c r="CE146" s="197">
        <f t="shared" si="3270"/>
        <v>0</v>
      </c>
      <c r="CF146" s="197">
        <f t="shared" si="3270"/>
        <v>0</v>
      </c>
      <c r="CG146" s="197">
        <f t="shared" si="3270"/>
        <v>0</v>
      </c>
      <c r="CH146" s="197">
        <f t="shared" si="3270"/>
        <v>0</v>
      </c>
      <c r="CI146" s="197">
        <f t="shared" si="3270"/>
        <v>0</v>
      </c>
      <c r="CJ146" s="197">
        <f t="shared" si="3270"/>
        <v>0</v>
      </c>
      <c r="CK146" s="197">
        <f t="shared" si="3270"/>
        <v>0</v>
      </c>
      <c r="CL146" s="197">
        <f t="shared" si="3270"/>
        <v>0</v>
      </c>
      <c r="CM146" s="197">
        <f t="shared" si="3270"/>
        <v>0</v>
      </c>
      <c r="CN146" s="197">
        <f t="shared" si="3270"/>
        <v>0</v>
      </c>
      <c r="CO146" s="197">
        <f t="shared" si="3270"/>
        <v>0</v>
      </c>
      <c r="CP146" s="197">
        <f t="shared" si="3270"/>
        <v>0</v>
      </c>
      <c r="CQ146" s="197">
        <f t="shared" si="3270"/>
        <v>0</v>
      </c>
      <c r="CR146" s="197">
        <f t="shared" si="3270"/>
        <v>0</v>
      </c>
      <c r="CS146" s="197">
        <f t="shared" si="3270"/>
        <v>0</v>
      </c>
      <c r="CT146" s="197">
        <f t="shared" si="3270"/>
        <v>0</v>
      </c>
      <c r="CU146" s="197">
        <f t="shared" si="3270"/>
        <v>0</v>
      </c>
      <c r="CV146" s="197">
        <f t="shared" si="3270"/>
        <v>0</v>
      </c>
      <c r="CW146" s="197"/>
      <c r="CX146" s="197">
        <f>CX17-CX270</f>
        <v>0</v>
      </c>
      <c r="CY146" s="197">
        <f>CY17-CY270</f>
        <v>0</v>
      </c>
      <c r="CZ146" s="197">
        <f>CZ17-CZ270</f>
        <v>0</v>
      </c>
      <c r="DA146" s="197">
        <f>DA17-DA270</f>
        <v>0</v>
      </c>
      <c r="DB146" s="197">
        <f>DB17-DB270</f>
        <v>8.5265128291212022E-14</v>
      </c>
      <c r="DC146" s="197">
        <f>DC17-DC270</f>
        <v>0</v>
      </c>
      <c r="DD146" s="197"/>
      <c r="DE146" s="197">
        <f t="shared" ref="DE146:EG146" si="3271">DE17-DE270</f>
        <v>0</v>
      </c>
      <c r="DF146" s="197">
        <f t="shared" si="3271"/>
        <v>0</v>
      </c>
      <c r="DG146" s="197">
        <f t="shared" si="3271"/>
        <v>0</v>
      </c>
      <c r="DH146" s="197">
        <f t="shared" si="3271"/>
        <v>0</v>
      </c>
      <c r="DI146" s="197">
        <f t="shared" si="3271"/>
        <v>0</v>
      </c>
      <c r="DJ146" s="197">
        <f t="shared" si="3271"/>
        <v>0</v>
      </c>
      <c r="DK146" s="197">
        <f t="shared" si="3271"/>
        <v>0</v>
      </c>
      <c r="DL146" s="197">
        <f t="shared" si="3271"/>
        <v>0</v>
      </c>
      <c r="DM146" s="197">
        <f t="shared" si="3271"/>
        <v>0</v>
      </c>
      <c r="DN146" s="197">
        <f t="shared" si="3271"/>
        <v>0</v>
      </c>
      <c r="DO146" s="197">
        <f t="shared" si="3271"/>
        <v>204</v>
      </c>
      <c r="DP146" s="197">
        <f t="shared" si="3271"/>
        <v>0</v>
      </c>
      <c r="DQ146" s="197">
        <f t="shared" si="3271"/>
        <v>204</v>
      </c>
      <c r="DR146" s="197">
        <f t="shared" si="3271"/>
        <v>0</v>
      </c>
      <c r="DS146" s="197">
        <f t="shared" si="3271"/>
        <v>1.2494084787675013</v>
      </c>
      <c r="DT146" s="197">
        <f t="shared" si="3271"/>
        <v>0</v>
      </c>
      <c r="DU146" s="197">
        <f t="shared" si="3271"/>
        <v>0</v>
      </c>
      <c r="DV146" s="197">
        <f t="shared" si="3271"/>
        <v>0</v>
      </c>
      <c r="DW146" s="197">
        <f t="shared" si="3271"/>
        <v>0</v>
      </c>
      <c r="DX146" s="197">
        <f t="shared" si="3271"/>
        <v>0</v>
      </c>
      <c r="DY146" s="197">
        <f t="shared" si="3271"/>
        <v>0</v>
      </c>
      <c r="DZ146" s="197">
        <f t="shared" si="3271"/>
        <v>0</v>
      </c>
      <c r="EA146" s="197">
        <f t="shared" si="3271"/>
        <v>0</v>
      </c>
      <c r="EB146" s="197">
        <f t="shared" si="3271"/>
        <v>-2.7755575615628914E-17</v>
      </c>
      <c r="EC146" s="197">
        <f t="shared" si="3271"/>
        <v>0</v>
      </c>
      <c r="ED146" s="197">
        <f t="shared" si="3271"/>
        <v>0</v>
      </c>
      <c r="EE146" s="197">
        <f t="shared" si="3271"/>
        <v>0</v>
      </c>
      <c r="EF146" s="197">
        <f t="shared" si="3271"/>
        <v>0</v>
      </c>
      <c r="EG146" s="197">
        <f t="shared" si="3271"/>
        <v>0</v>
      </c>
    </row>
    <row r="147" spans="1:137" hidden="1">
      <c r="A147" s="157">
        <v>42522</v>
      </c>
      <c r="B147" s="197">
        <f>B18-B271</f>
        <v>0</v>
      </c>
      <c r="C147" s="197">
        <f>C18-C271</f>
        <v>0</v>
      </c>
      <c r="D147" s="197">
        <f>D18-D271</f>
        <v>0</v>
      </c>
      <c r="E147" s="197">
        <f>E18-E271</f>
        <v>0</v>
      </c>
      <c r="F147" s="197">
        <f>F18-F271</f>
        <v>0</v>
      </c>
      <c r="G147" s="197"/>
      <c r="H147" s="197"/>
      <c r="I147" s="197">
        <f t="shared" ref="I147:AB147" si="3272">I18-I271</f>
        <v>0</v>
      </c>
      <c r="J147" s="197">
        <f t="shared" si="3272"/>
        <v>0</v>
      </c>
      <c r="K147" s="197">
        <f t="shared" si="3272"/>
        <v>0</v>
      </c>
      <c r="L147" s="197">
        <f t="shared" si="3272"/>
        <v>0</v>
      </c>
      <c r="M147" s="197">
        <f t="shared" si="3272"/>
        <v>0</v>
      </c>
      <c r="N147" s="197">
        <f t="shared" si="3272"/>
        <v>0</v>
      </c>
      <c r="O147" s="197">
        <f t="shared" si="3272"/>
        <v>0</v>
      </c>
      <c r="P147" s="197">
        <f t="shared" si="3272"/>
        <v>0</v>
      </c>
      <c r="Q147" s="197">
        <f t="shared" si="3272"/>
        <v>0</v>
      </c>
      <c r="R147" s="197">
        <f t="shared" si="3272"/>
        <v>0</v>
      </c>
      <c r="S147" s="197">
        <f t="shared" si="3272"/>
        <v>0</v>
      </c>
      <c r="T147" s="197">
        <f t="shared" si="3272"/>
        <v>0</v>
      </c>
      <c r="U147" s="197">
        <f t="shared" si="3272"/>
        <v>0</v>
      </c>
      <c r="V147" s="197">
        <f t="shared" si="3272"/>
        <v>0</v>
      </c>
      <c r="W147" s="197">
        <f t="shared" si="3272"/>
        <v>0</v>
      </c>
      <c r="X147" s="197">
        <f t="shared" si="3272"/>
        <v>0</v>
      </c>
      <c r="Y147" s="197">
        <f t="shared" si="3272"/>
        <v>0</v>
      </c>
      <c r="Z147" s="197">
        <f t="shared" si="3272"/>
        <v>0</v>
      </c>
      <c r="AA147" s="197">
        <f t="shared" si="3272"/>
        <v>0</v>
      </c>
      <c r="AB147" s="197">
        <f t="shared" si="3272"/>
        <v>0</v>
      </c>
      <c r="AC147" s="163"/>
      <c r="AD147" s="163"/>
      <c r="AE147" s="163"/>
      <c r="AF147" s="163"/>
      <c r="AH147" s="197"/>
      <c r="AI147" s="197">
        <f t="shared" ref="AI147:BN147" si="3273">AI18-AI271</f>
        <v>0</v>
      </c>
      <c r="AJ147" s="197">
        <f t="shared" si="3273"/>
        <v>0</v>
      </c>
      <c r="AK147" s="197">
        <f t="shared" si="3273"/>
        <v>0</v>
      </c>
      <c r="AL147" s="197">
        <f t="shared" si="3273"/>
        <v>0</v>
      </c>
      <c r="AM147" s="197">
        <f t="shared" si="3273"/>
        <v>0</v>
      </c>
      <c r="AN147" s="197">
        <f t="shared" si="3273"/>
        <v>0</v>
      </c>
      <c r="AO147" s="197">
        <f t="shared" si="3273"/>
        <v>0</v>
      </c>
      <c r="AP147" s="197">
        <f t="shared" si="3273"/>
        <v>0</v>
      </c>
      <c r="AQ147" s="197">
        <f t="shared" si="3273"/>
        <v>0</v>
      </c>
      <c r="AR147" s="197">
        <f t="shared" si="3273"/>
        <v>0</v>
      </c>
      <c r="AS147" s="197">
        <f t="shared" si="3273"/>
        <v>0</v>
      </c>
      <c r="AT147" s="197">
        <f t="shared" si="3273"/>
        <v>0</v>
      </c>
      <c r="AU147" s="197">
        <f t="shared" si="3273"/>
        <v>0</v>
      </c>
      <c r="AV147" s="197">
        <f t="shared" si="3273"/>
        <v>0</v>
      </c>
      <c r="AW147" s="197">
        <f t="shared" si="3273"/>
        <v>0</v>
      </c>
      <c r="AX147" s="197">
        <f t="shared" si="3273"/>
        <v>0</v>
      </c>
      <c r="AY147" s="197">
        <f t="shared" si="3273"/>
        <v>0</v>
      </c>
      <c r="AZ147" s="197">
        <f t="shared" si="3273"/>
        <v>0</v>
      </c>
      <c r="BA147" s="197">
        <f t="shared" si="3273"/>
        <v>0</v>
      </c>
      <c r="BB147" s="197">
        <f t="shared" si="3273"/>
        <v>0</v>
      </c>
      <c r="BC147" s="197">
        <f t="shared" si="3273"/>
        <v>0</v>
      </c>
      <c r="BD147" s="197">
        <f t="shared" si="3273"/>
        <v>0</v>
      </c>
      <c r="BE147" s="197">
        <f t="shared" si="3273"/>
        <v>0</v>
      </c>
      <c r="BF147" s="197">
        <f t="shared" si="3273"/>
        <v>0</v>
      </c>
      <c r="BG147" s="197">
        <f t="shared" si="3273"/>
        <v>0</v>
      </c>
      <c r="BH147" s="197">
        <f t="shared" si="3273"/>
        <v>0</v>
      </c>
      <c r="BI147" s="197">
        <f t="shared" si="3273"/>
        <v>0</v>
      </c>
      <c r="BJ147" s="197">
        <f t="shared" si="3273"/>
        <v>0</v>
      </c>
      <c r="BK147" s="197">
        <f t="shared" si="3273"/>
        <v>0</v>
      </c>
      <c r="BL147" s="197">
        <f t="shared" si="3273"/>
        <v>0</v>
      </c>
      <c r="BM147" s="197">
        <f t="shared" si="3273"/>
        <v>0</v>
      </c>
      <c r="BN147" s="197">
        <f t="shared" si="3273"/>
        <v>0</v>
      </c>
      <c r="BO147" s="197">
        <f t="shared" ref="BO147:CV147" si="3274">BO18-BO271</f>
        <v>0</v>
      </c>
      <c r="BP147" s="197">
        <f t="shared" si="3274"/>
        <v>0</v>
      </c>
      <c r="BQ147" s="197">
        <f t="shared" si="3274"/>
        <v>0</v>
      </c>
      <c r="BR147" s="197">
        <f t="shared" si="3274"/>
        <v>0</v>
      </c>
      <c r="BS147" s="197">
        <f t="shared" si="3274"/>
        <v>0</v>
      </c>
      <c r="BT147" s="197">
        <f t="shared" si="3274"/>
        <v>0</v>
      </c>
      <c r="BU147" s="197">
        <f t="shared" si="3274"/>
        <v>0</v>
      </c>
      <c r="BV147" s="197">
        <f t="shared" si="3274"/>
        <v>0</v>
      </c>
      <c r="BW147" s="197">
        <f t="shared" si="3274"/>
        <v>0</v>
      </c>
      <c r="BX147" s="197">
        <f t="shared" si="3274"/>
        <v>0</v>
      </c>
      <c r="BY147" s="197">
        <f t="shared" si="3274"/>
        <v>0</v>
      </c>
      <c r="BZ147" s="197">
        <f t="shared" si="3274"/>
        <v>0</v>
      </c>
      <c r="CA147" s="197">
        <f t="shared" si="3274"/>
        <v>0</v>
      </c>
      <c r="CB147" s="197">
        <f t="shared" si="3274"/>
        <v>0</v>
      </c>
      <c r="CC147" s="197">
        <f t="shared" si="3274"/>
        <v>0</v>
      </c>
      <c r="CD147" s="197">
        <f t="shared" si="3274"/>
        <v>0</v>
      </c>
      <c r="CE147" s="197">
        <f t="shared" si="3274"/>
        <v>0</v>
      </c>
      <c r="CF147" s="197">
        <f t="shared" si="3274"/>
        <v>0</v>
      </c>
      <c r="CG147" s="197">
        <f t="shared" si="3274"/>
        <v>0</v>
      </c>
      <c r="CH147" s="197">
        <f t="shared" si="3274"/>
        <v>0</v>
      </c>
      <c r="CI147" s="197">
        <f t="shared" si="3274"/>
        <v>0</v>
      </c>
      <c r="CJ147" s="197">
        <f t="shared" si="3274"/>
        <v>0</v>
      </c>
      <c r="CK147" s="197">
        <f t="shared" si="3274"/>
        <v>0</v>
      </c>
      <c r="CL147" s="197">
        <f t="shared" si="3274"/>
        <v>0</v>
      </c>
      <c r="CM147" s="197">
        <f t="shared" si="3274"/>
        <v>0</v>
      </c>
      <c r="CN147" s="197">
        <f t="shared" si="3274"/>
        <v>0</v>
      </c>
      <c r="CO147" s="197">
        <f t="shared" si="3274"/>
        <v>0</v>
      </c>
      <c r="CP147" s="197">
        <f t="shared" si="3274"/>
        <v>0</v>
      </c>
      <c r="CQ147" s="197">
        <f t="shared" si="3274"/>
        <v>0</v>
      </c>
      <c r="CR147" s="197">
        <f t="shared" si="3274"/>
        <v>0</v>
      </c>
      <c r="CS147" s="197">
        <f t="shared" si="3274"/>
        <v>0</v>
      </c>
      <c r="CT147" s="197">
        <f t="shared" si="3274"/>
        <v>0</v>
      </c>
      <c r="CU147" s="197">
        <f t="shared" si="3274"/>
        <v>0</v>
      </c>
      <c r="CV147" s="197">
        <f t="shared" si="3274"/>
        <v>0</v>
      </c>
      <c r="CW147" s="197"/>
      <c r="CX147" s="197">
        <f>CX18-CX271</f>
        <v>0</v>
      </c>
      <c r="CY147" s="197">
        <f>CY18-CY271</f>
        <v>0</v>
      </c>
      <c r="CZ147" s="197">
        <f>CZ18-CZ271</f>
        <v>3.5527136788005009E-14</v>
      </c>
      <c r="DA147" s="197">
        <f>DA18-DA271</f>
        <v>0</v>
      </c>
      <c r="DB147" s="197">
        <f>DB18-DB271</f>
        <v>1.7763568394002505E-13</v>
      </c>
      <c r="DC147" s="197">
        <f>DC18-DC271</f>
        <v>0</v>
      </c>
      <c r="DD147" s="197"/>
      <c r="DE147" s="197">
        <f t="shared" ref="DE147:EG147" si="3275">DE18-DE271</f>
        <v>0</v>
      </c>
      <c r="DF147" s="197">
        <f t="shared" si="3275"/>
        <v>0</v>
      </c>
      <c r="DG147" s="197">
        <f t="shared" si="3275"/>
        <v>41.182431773461609</v>
      </c>
      <c r="DH147" s="197">
        <f t="shared" si="3275"/>
        <v>0</v>
      </c>
      <c r="DI147" s="197">
        <f t="shared" si="3275"/>
        <v>0</v>
      </c>
      <c r="DJ147" s="197">
        <f t="shared" si="3275"/>
        <v>0</v>
      </c>
      <c r="DK147" s="197">
        <f t="shared" si="3275"/>
        <v>0</v>
      </c>
      <c r="DL147" s="197">
        <f t="shared" si="3275"/>
        <v>0</v>
      </c>
      <c r="DM147" s="197">
        <f t="shared" si="3275"/>
        <v>-3.1225022567582528E-17</v>
      </c>
      <c r="DN147" s="197">
        <f t="shared" si="3275"/>
        <v>0</v>
      </c>
      <c r="DO147" s="197">
        <f t="shared" si="3275"/>
        <v>241</v>
      </c>
      <c r="DP147" s="197">
        <f t="shared" si="3275"/>
        <v>0</v>
      </c>
      <c r="DQ147" s="197">
        <f t="shared" si="3275"/>
        <v>241.00000000000003</v>
      </c>
      <c r="DR147" s="197">
        <f t="shared" si="3275"/>
        <v>0</v>
      </c>
      <c r="DS147" s="197">
        <f t="shared" si="3275"/>
        <v>0.93913973941554463</v>
      </c>
      <c r="DT147" s="197">
        <f t="shared" si="3275"/>
        <v>0</v>
      </c>
      <c r="DU147" s="197">
        <f t="shared" si="3275"/>
        <v>0</v>
      </c>
      <c r="DV147" s="197">
        <f t="shared" si="3275"/>
        <v>0</v>
      </c>
      <c r="DW147" s="197">
        <f t="shared" si="3275"/>
        <v>0</v>
      </c>
      <c r="DX147" s="197">
        <f t="shared" si="3275"/>
        <v>0</v>
      </c>
      <c r="DY147" s="197">
        <f t="shared" si="3275"/>
        <v>0</v>
      </c>
      <c r="DZ147" s="197">
        <f t="shared" si="3275"/>
        <v>0</v>
      </c>
      <c r="EA147" s="197">
        <f t="shared" si="3275"/>
        <v>0</v>
      </c>
      <c r="EB147" s="197">
        <f t="shared" si="3275"/>
        <v>-4.163336342344337E-17</v>
      </c>
      <c r="EC147" s="197">
        <f t="shared" si="3275"/>
        <v>0</v>
      </c>
      <c r="ED147" s="197">
        <f t="shared" si="3275"/>
        <v>0</v>
      </c>
      <c r="EE147" s="197">
        <f t="shared" si="3275"/>
        <v>0</v>
      </c>
      <c r="EF147" s="197">
        <f t="shared" si="3275"/>
        <v>0</v>
      </c>
      <c r="EG147" s="197">
        <f t="shared" si="3275"/>
        <v>0</v>
      </c>
    </row>
    <row r="148" spans="1:137" hidden="1">
      <c r="A148" s="157">
        <v>42552</v>
      </c>
      <c r="B148" s="197">
        <f>B19-B272</f>
        <v>0</v>
      </c>
      <c r="C148" s="197">
        <f>C19-C272</f>
        <v>0</v>
      </c>
      <c r="D148" s="197">
        <f>D19-D272</f>
        <v>0</v>
      </c>
      <c r="E148" s="197">
        <f>E19-E272</f>
        <v>0</v>
      </c>
      <c r="F148" s="197">
        <f>F19-F272</f>
        <v>0</v>
      </c>
      <c r="G148" s="197"/>
      <c r="H148" s="197"/>
      <c r="I148" s="197">
        <f t="shared" ref="I148:AB148" si="3276">I19-I272</f>
        <v>0</v>
      </c>
      <c r="J148" s="197">
        <f t="shared" si="3276"/>
        <v>0</v>
      </c>
      <c r="K148" s="197">
        <f t="shared" si="3276"/>
        <v>0</v>
      </c>
      <c r="L148" s="197">
        <f t="shared" si="3276"/>
        <v>0</v>
      </c>
      <c r="M148" s="197">
        <f t="shared" si="3276"/>
        <v>0</v>
      </c>
      <c r="N148" s="197">
        <f t="shared" si="3276"/>
        <v>0</v>
      </c>
      <c r="O148" s="197">
        <f t="shared" si="3276"/>
        <v>0</v>
      </c>
      <c r="P148" s="197">
        <f t="shared" si="3276"/>
        <v>0</v>
      </c>
      <c r="Q148" s="197">
        <f t="shared" si="3276"/>
        <v>0</v>
      </c>
      <c r="R148" s="197">
        <f t="shared" si="3276"/>
        <v>0</v>
      </c>
      <c r="S148" s="197">
        <f t="shared" si="3276"/>
        <v>0</v>
      </c>
      <c r="T148" s="197">
        <f t="shared" si="3276"/>
        <v>0</v>
      </c>
      <c r="U148" s="197">
        <f t="shared" si="3276"/>
        <v>0</v>
      </c>
      <c r="V148" s="197">
        <f t="shared" si="3276"/>
        <v>0</v>
      </c>
      <c r="W148" s="197">
        <f t="shared" si="3276"/>
        <v>0</v>
      </c>
      <c r="X148" s="197">
        <f t="shared" si="3276"/>
        <v>0</v>
      </c>
      <c r="Y148" s="197">
        <f t="shared" si="3276"/>
        <v>0</v>
      </c>
      <c r="Z148" s="197">
        <f t="shared" si="3276"/>
        <v>0</v>
      </c>
      <c r="AA148" s="197">
        <f t="shared" si="3276"/>
        <v>0</v>
      </c>
      <c r="AB148" s="197">
        <f t="shared" si="3276"/>
        <v>0</v>
      </c>
      <c r="AC148" s="163"/>
      <c r="AD148" s="163"/>
      <c r="AE148" s="163"/>
      <c r="AF148" s="163"/>
      <c r="AH148" s="197"/>
      <c r="AI148" s="197">
        <f t="shared" ref="AI148:BN148" si="3277">AI19-AI272</f>
        <v>0</v>
      </c>
      <c r="AJ148" s="197">
        <f t="shared" si="3277"/>
        <v>0</v>
      </c>
      <c r="AK148" s="197">
        <f t="shared" si="3277"/>
        <v>0</v>
      </c>
      <c r="AL148" s="197">
        <f t="shared" si="3277"/>
        <v>0</v>
      </c>
      <c r="AM148" s="197">
        <f t="shared" si="3277"/>
        <v>0</v>
      </c>
      <c r="AN148" s="197">
        <f t="shared" si="3277"/>
        <v>0</v>
      </c>
      <c r="AO148" s="197">
        <f t="shared" si="3277"/>
        <v>0</v>
      </c>
      <c r="AP148" s="197">
        <f t="shared" si="3277"/>
        <v>0</v>
      </c>
      <c r="AQ148" s="197">
        <f t="shared" si="3277"/>
        <v>0</v>
      </c>
      <c r="AR148" s="197">
        <f t="shared" si="3277"/>
        <v>0</v>
      </c>
      <c r="AS148" s="197">
        <f t="shared" si="3277"/>
        <v>0</v>
      </c>
      <c r="AT148" s="197">
        <f t="shared" si="3277"/>
        <v>0</v>
      </c>
      <c r="AU148" s="197">
        <f t="shared" si="3277"/>
        <v>0</v>
      </c>
      <c r="AV148" s="197">
        <f t="shared" si="3277"/>
        <v>0</v>
      </c>
      <c r="AW148" s="197">
        <f t="shared" si="3277"/>
        <v>0</v>
      </c>
      <c r="AX148" s="197">
        <f t="shared" si="3277"/>
        <v>0</v>
      </c>
      <c r="AY148" s="197">
        <f t="shared" si="3277"/>
        <v>0</v>
      </c>
      <c r="AZ148" s="197">
        <f t="shared" si="3277"/>
        <v>0</v>
      </c>
      <c r="BA148" s="197">
        <f t="shared" si="3277"/>
        <v>0</v>
      </c>
      <c r="BB148" s="197">
        <f t="shared" si="3277"/>
        <v>0</v>
      </c>
      <c r="BC148" s="197">
        <f t="shared" si="3277"/>
        <v>0</v>
      </c>
      <c r="BD148" s="197">
        <f t="shared" si="3277"/>
        <v>0</v>
      </c>
      <c r="BE148" s="197">
        <f t="shared" si="3277"/>
        <v>0</v>
      </c>
      <c r="BF148" s="197">
        <f t="shared" si="3277"/>
        <v>0</v>
      </c>
      <c r="BG148" s="197">
        <f t="shared" si="3277"/>
        <v>0</v>
      </c>
      <c r="BH148" s="197">
        <f t="shared" si="3277"/>
        <v>0</v>
      </c>
      <c r="BI148" s="197">
        <f t="shared" si="3277"/>
        <v>0</v>
      </c>
      <c r="BJ148" s="197">
        <f t="shared" si="3277"/>
        <v>0</v>
      </c>
      <c r="BK148" s="197">
        <f t="shared" si="3277"/>
        <v>0</v>
      </c>
      <c r="BL148" s="197">
        <f t="shared" si="3277"/>
        <v>0</v>
      </c>
      <c r="BM148" s="197">
        <f t="shared" si="3277"/>
        <v>0</v>
      </c>
      <c r="BN148" s="197">
        <f t="shared" si="3277"/>
        <v>0</v>
      </c>
      <c r="BO148" s="197">
        <f t="shared" ref="BO148:CV148" si="3278">BO19-BO272</f>
        <v>0</v>
      </c>
      <c r="BP148" s="197">
        <f t="shared" si="3278"/>
        <v>0</v>
      </c>
      <c r="BQ148" s="197">
        <f t="shared" si="3278"/>
        <v>0</v>
      </c>
      <c r="BR148" s="197">
        <f t="shared" si="3278"/>
        <v>0</v>
      </c>
      <c r="BS148" s="197">
        <f t="shared" si="3278"/>
        <v>0</v>
      </c>
      <c r="BT148" s="197">
        <f t="shared" si="3278"/>
        <v>0</v>
      </c>
      <c r="BU148" s="197">
        <f t="shared" si="3278"/>
        <v>0</v>
      </c>
      <c r="BV148" s="197">
        <f t="shared" si="3278"/>
        <v>0</v>
      </c>
      <c r="BW148" s="197">
        <f t="shared" si="3278"/>
        <v>0</v>
      </c>
      <c r="BX148" s="197">
        <f t="shared" si="3278"/>
        <v>0</v>
      </c>
      <c r="BY148" s="197">
        <f t="shared" si="3278"/>
        <v>0</v>
      </c>
      <c r="BZ148" s="197">
        <f t="shared" si="3278"/>
        <v>0</v>
      </c>
      <c r="CA148" s="197">
        <f t="shared" si="3278"/>
        <v>0</v>
      </c>
      <c r="CB148" s="197">
        <f t="shared" si="3278"/>
        <v>0</v>
      </c>
      <c r="CC148" s="197">
        <f t="shared" si="3278"/>
        <v>0</v>
      </c>
      <c r="CD148" s="197">
        <f t="shared" si="3278"/>
        <v>0</v>
      </c>
      <c r="CE148" s="197">
        <f t="shared" si="3278"/>
        <v>0</v>
      </c>
      <c r="CF148" s="197">
        <f t="shared" si="3278"/>
        <v>0</v>
      </c>
      <c r="CG148" s="197">
        <f t="shared" si="3278"/>
        <v>0</v>
      </c>
      <c r="CH148" s="197">
        <f t="shared" si="3278"/>
        <v>0</v>
      </c>
      <c r="CI148" s="197">
        <f t="shared" si="3278"/>
        <v>0</v>
      </c>
      <c r="CJ148" s="197">
        <f t="shared" si="3278"/>
        <v>0</v>
      </c>
      <c r="CK148" s="197">
        <f t="shared" si="3278"/>
        <v>0</v>
      </c>
      <c r="CL148" s="197">
        <f t="shared" si="3278"/>
        <v>0</v>
      </c>
      <c r="CM148" s="197">
        <f t="shared" si="3278"/>
        <v>0</v>
      </c>
      <c r="CN148" s="197">
        <f t="shared" si="3278"/>
        <v>0</v>
      </c>
      <c r="CO148" s="197">
        <f t="shared" si="3278"/>
        <v>0</v>
      </c>
      <c r="CP148" s="197">
        <f t="shared" si="3278"/>
        <v>0</v>
      </c>
      <c r="CQ148" s="197">
        <f t="shared" si="3278"/>
        <v>0</v>
      </c>
      <c r="CR148" s="197">
        <f t="shared" si="3278"/>
        <v>0</v>
      </c>
      <c r="CS148" s="197">
        <f t="shared" si="3278"/>
        <v>0</v>
      </c>
      <c r="CT148" s="197">
        <f t="shared" si="3278"/>
        <v>0</v>
      </c>
      <c r="CU148" s="197">
        <f t="shared" si="3278"/>
        <v>0</v>
      </c>
      <c r="CV148" s="197">
        <f t="shared" si="3278"/>
        <v>0</v>
      </c>
      <c r="CW148" s="197"/>
      <c r="CX148" s="197">
        <f>CX19-CX272</f>
        <v>0</v>
      </c>
      <c r="CY148" s="197">
        <f>CY19-CY272</f>
        <v>0</v>
      </c>
      <c r="CZ148" s="197">
        <f>CZ19-CZ272</f>
        <v>0</v>
      </c>
      <c r="DA148" s="197">
        <f>DA19-DA272</f>
        <v>0</v>
      </c>
      <c r="DB148" s="197">
        <f>DB19-DB272</f>
        <v>0</v>
      </c>
      <c r="DC148" s="197">
        <f>DC19-DC272</f>
        <v>0</v>
      </c>
      <c r="DD148" s="197"/>
      <c r="DE148" s="197">
        <f t="shared" ref="DE148:EG148" si="3279">DE19-DE272</f>
        <v>0</v>
      </c>
      <c r="DF148" s="197">
        <f t="shared" si="3279"/>
        <v>0</v>
      </c>
      <c r="DG148" s="197">
        <f t="shared" si="3279"/>
        <v>40.834562647822963</v>
      </c>
      <c r="DH148" s="197">
        <f t="shared" si="3279"/>
        <v>0</v>
      </c>
      <c r="DI148" s="197">
        <f t="shared" si="3279"/>
        <v>0</v>
      </c>
      <c r="DJ148" s="197">
        <f t="shared" si="3279"/>
        <v>0</v>
      </c>
      <c r="DK148" s="197">
        <f t="shared" si="3279"/>
        <v>0</v>
      </c>
      <c r="DL148" s="197">
        <f t="shared" si="3279"/>
        <v>0</v>
      </c>
      <c r="DM148" s="197">
        <f t="shared" si="3279"/>
        <v>0</v>
      </c>
      <c r="DN148" s="197">
        <f t="shared" si="3279"/>
        <v>0</v>
      </c>
      <c r="DO148" s="197">
        <f t="shared" si="3279"/>
        <v>261</v>
      </c>
      <c r="DP148" s="197">
        <f t="shared" si="3279"/>
        <v>0</v>
      </c>
      <c r="DQ148" s="197">
        <f t="shared" si="3279"/>
        <v>261</v>
      </c>
      <c r="DR148" s="197">
        <f t="shared" si="3279"/>
        <v>0</v>
      </c>
      <c r="DS148" s="197">
        <f t="shared" si="3279"/>
        <v>0.8801767762375261</v>
      </c>
      <c r="DT148" s="197">
        <f t="shared" si="3279"/>
        <v>104</v>
      </c>
      <c r="DU148" s="197">
        <f t="shared" si="3279"/>
        <v>44.542627510698146</v>
      </c>
      <c r="DV148" s="197">
        <f t="shared" si="3279"/>
        <v>0</v>
      </c>
      <c r="DW148" s="197">
        <f t="shared" si="3279"/>
        <v>0.42829449529517449</v>
      </c>
      <c r="DX148" s="197">
        <f t="shared" si="3279"/>
        <v>32.812438952928147</v>
      </c>
      <c r="DY148" s="197">
        <f t="shared" si="3279"/>
        <v>0.14341100940965099</v>
      </c>
      <c r="DZ148" s="197">
        <f t="shared" si="3279"/>
        <v>0</v>
      </c>
      <c r="EA148" s="197">
        <f t="shared" si="3279"/>
        <v>0</v>
      </c>
      <c r="EB148" s="197">
        <f t="shared" si="3279"/>
        <v>5.2041704279304213E-17</v>
      </c>
      <c r="EC148" s="197">
        <f t="shared" si="3279"/>
        <v>0</v>
      </c>
      <c r="ED148" s="197">
        <f t="shared" si="3279"/>
        <v>0</v>
      </c>
      <c r="EE148" s="197">
        <f t="shared" si="3279"/>
        <v>0</v>
      </c>
      <c r="EF148" s="197">
        <f t="shared" si="3279"/>
        <v>0</v>
      </c>
      <c r="EG148" s="197">
        <f t="shared" si="3279"/>
        <v>0.57170550470482551</v>
      </c>
    </row>
    <row r="149" spans="1:137" hidden="1">
      <c r="A149" s="157">
        <v>42583</v>
      </c>
      <c r="B149" s="197">
        <f>B20-B273</f>
        <v>0</v>
      </c>
      <c r="C149" s="197">
        <f>C20-C273</f>
        <v>0</v>
      </c>
      <c r="D149" s="197">
        <f>D20-D273</f>
        <v>0</v>
      </c>
      <c r="E149" s="197">
        <f>E20-E273</f>
        <v>0</v>
      </c>
      <c r="F149" s="197">
        <f>F20-F273</f>
        <v>0</v>
      </c>
      <c r="G149" s="197"/>
      <c r="H149" s="197"/>
      <c r="I149" s="197">
        <f t="shared" ref="I149:AB149" si="3280">I20-I273</f>
        <v>0</v>
      </c>
      <c r="J149" s="197">
        <f t="shared" si="3280"/>
        <v>0</v>
      </c>
      <c r="K149" s="197">
        <f t="shared" si="3280"/>
        <v>0</v>
      </c>
      <c r="L149" s="197">
        <f t="shared" si="3280"/>
        <v>0</v>
      </c>
      <c r="M149" s="197">
        <f t="shared" si="3280"/>
        <v>0</v>
      </c>
      <c r="N149" s="197">
        <f t="shared" si="3280"/>
        <v>0</v>
      </c>
      <c r="O149" s="197">
        <f t="shared" si="3280"/>
        <v>0</v>
      </c>
      <c r="P149" s="197">
        <f t="shared" si="3280"/>
        <v>0</v>
      </c>
      <c r="Q149" s="197">
        <f t="shared" si="3280"/>
        <v>0</v>
      </c>
      <c r="R149" s="197">
        <f t="shared" si="3280"/>
        <v>0</v>
      </c>
      <c r="S149" s="197">
        <f t="shared" si="3280"/>
        <v>0</v>
      </c>
      <c r="T149" s="197">
        <f t="shared" si="3280"/>
        <v>0</v>
      </c>
      <c r="U149" s="197">
        <f t="shared" si="3280"/>
        <v>0</v>
      </c>
      <c r="V149" s="197">
        <f t="shared" si="3280"/>
        <v>0</v>
      </c>
      <c r="W149" s="197">
        <f t="shared" si="3280"/>
        <v>0</v>
      </c>
      <c r="X149" s="197">
        <f t="shared" si="3280"/>
        <v>0</v>
      </c>
      <c r="Y149" s="197">
        <f t="shared" si="3280"/>
        <v>0</v>
      </c>
      <c r="Z149" s="197">
        <f t="shared" si="3280"/>
        <v>0</v>
      </c>
      <c r="AA149" s="197">
        <f t="shared" si="3280"/>
        <v>0</v>
      </c>
      <c r="AB149" s="197">
        <f t="shared" si="3280"/>
        <v>0</v>
      </c>
      <c r="AC149" s="163"/>
      <c r="AD149" s="163"/>
      <c r="AE149" s="163"/>
      <c r="AF149" s="163"/>
      <c r="AH149" s="197"/>
      <c r="AI149" s="197">
        <f t="shared" ref="AI149:BN149" si="3281">AI20-AI273</f>
        <v>0</v>
      </c>
      <c r="AJ149" s="197">
        <f t="shared" si="3281"/>
        <v>0</v>
      </c>
      <c r="AK149" s="197">
        <f t="shared" si="3281"/>
        <v>0</v>
      </c>
      <c r="AL149" s="197">
        <f t="shared" si="3281"/>
        <v>0</v>
      </c>
      <c r="AM149" s="197">
        <f t="shared" si="3281"/>
        <v>0</v>
      </c>
      <c r="AN149" s="197">
        <f t="shared" si="3281"/>
        <v>0</v>
      </c>
      <c r="AO149" s="197">
        <f t="shared" si="3281"/>
        <v>0</v>
      </c>
      <c r="AP149" s="197">
        <f t="shared" si="3281"/>
        <v>0</v>
      </c>
      <c r="AQ149" s="197">
        <f t="shared" si="3281"/>
        <v>0</v>
      </c>
      <c r="AR149" s="197">
        <f t="shared" si="3281"/>
        <v>0</v>
      </c>
      <c r="AS149" s="197">
        <f t="shared" si="3281"/>
        <v>0</v>
      </c>
      <c r="AT149" s="197">
        <f t="shared" si="3281"/>
        <v>0</v>
      </c>
      <c r="AU149" s="197">
        <f t="shared" si="3281"/>
        <v>0</v>
      </c>
      <c r="AV149" s="197">
        <f t="shared" si="3281"/>
        <v>0</v>
      </c>
      <c r="AW149" s="197">
        <f t="shared" si="3281"/>
        <v>0</v>
      </c>
      <c r="AX149" s="197">
        <f t="shared" si="3281"/>
        <v>0</v>
      </c>
      <c r="AY149" s="197">
        <f t="shared" si="3281"/>
        <v>0</v>
      </c>
      <c r="AZ149" s="197">
        <f t="shared" si="3281"/>
        <v>0</v>
      </c>
      <c r="BA149" s="197">
        <f t="shared" si="3281"/>
        <v>0</v>
      </c>
      <c r="BB149" s="197">
        <f t="shared" si="3281"/>
        <v>0</v>
      </c>
      <c r="BC149" s="197">
        <f t="shared" si="3281"/>
        <v>0</v>
      </c>
      <c r="BD149" s="197">
        <f t="shared" si="3281"/>
        <v>0</v>
      </c>
      <c r="BE149" s="197">
        <f t="shared" si="3281"/>
        <v>0</v>
      </c>
      <c r="BF149" s="197">
        <f t="shared" si="3281"/>
        <v>0</v>
      </c>
      <c r="BG149" s="197">
        <f t="shared" si="3281"/>
        <v>0</v>
      </c>
      <c r="BH149" s="197">
        <f t="shared" si="3281"/>
        <v>0</v>
      </c>
      <c r="BI149" s="197">
        <f t="shared" si="3281"/>
        <v>0</v>
      </c>
      <c r="BJ149" s="197">
        <f t="shared" si="3281"/>
        <v>0</v>
      </c>
      <c r="BK149" s="197">
        <f t="shared" si="3281"/>
        <v>0</v>
      </c>
      <c r="BL149" s="197">
        <f t="shared" si="3281"/>
        <v>0</v>
      </c>
      <c r="BM149" s="197">
        <f t="shared" si="3281"/>
        <v>0</v>
      </c>
      <c r="BN149" s="197">
        <f t="shared" si="3281"/>
        <v>0</v>
      </c>
      <c r="BO149" s="197">
        <f t="shared" ref="BO149:CV149" si="3282">BO20-BO273</f>
        <v>0</v>
      </c>
      <c r="BP149" s="197">
        <f t="shared" si="3282"/>
        <v>0</v>
      </c>
      <c r="BQ149" s="197">
        <f t="shared" si="3282"/>
        <v>0</v>
      </c>
      <c r="BR149" s="197">
        <f t="shared" si="3282"/>
        <v>0</v>
      </c>
      <c r="BS149" s="197">
        <f t="shared" si="3282"/>
        <v>0</v>
      </c>
      <c r="BT149" s="197">
        <f t="shared" si="3282"/>
        <v>0</v>
      </c>
      <c r="BU149" s="197">
        <f t="shared" si="3282"/>
        <v>0</v>
      </c>
      <c r="BV149" s="197">
        <f t="shared" si="3282"/>
        <v>0</v>
      </c>
      <c r="BW149" s="197">
        <f t="shared" si="3282"/>
        <v>0</v>
      </c>
      <c r="BX149" s="197">
        <f t="shared" si="3282"/>
        <v>0</v>
      </c>
      <c r="BY149" s="197">
        <f t="shared" si="3282"/>
        <v>0</v>
      </c>
      <c r="BZ149" s="197">
        <f t="shared" si="3282"/>
        <v>0</v>
      </c>
      <c r="CA149" s="197">
        <f t="shared" si="3282"/>
        <v>0</v>
      </c>
      <c r="CB149" s="197">
        <f t="shared" si="3282"/>
        <v>0</v>
      </c>
      <c r="CC149" s="197">
        <f t="shared" si="3282"/>
        <v>0</v>
      </c>
      <c r="CD149" s="197">
        <f t="shared" si="3282"/>
        <v>0</v>
      </c>
      <c r="CE149" s="197">
        <f t="shared" si="3282"/>
        <v>0</v>
      </c>
      <c r="CF149" s="197">
        <f t="shared" si="3282"/>
        <v>0</v>
      </c>
      <c r="CG149" s="197">
        <f t="shared" si="3282"/>
        <v>0</v>
      </c>
      <c r="CH149" s="197">
        <f t="shared" si="3282"/>
        <v>0</v>
      </c>
      <c r="CI149" s="197">
        <f t="shared" si="3282"/>
        <v>0</v>
      </c>
      <c r="CJ149" s="197">
        <f t="shared" si="3282"/>
        <v>0</v>
      </c>
      <c r="CK149" s="197">
        <f t="shared" si="3282"/>
        <v>0</v>
      </c>
      <c r="CL149" s="197">
        <f t="shared" si="3282"/>
        <v>0</v>
      </c>
      <c r="CM149" s="197">
        <f t="shared" si="3282"/>
        <v>0</v>
      </c>
      <c r="CN149" s="197">
        <f t="shared" si="3282"/>
        <v>0</v>
      </c>
      <c r="CO149" s="197">
        <f t="shared" si="3282"/>
        <v>0</v>
      </c>
      <c r="CP149" s="197">
        <f t="shared" si="3282"/>
        <v>0</v>
      </c>
      <c r="CQ149" s="197">
        <f t="shared" si="3282"/>
        <v>0</v>
      </c>
      <c r="CR149" s="197">
        <f t="shared" si="3282"/>
        <v>0</v>
      </c>
      <c r="CS149" s="197">
        <f t="shared" si="3282"/>
        <v>0</v>
      </c>
      <c r="CT149" s="197">
        <f t="shared" si="3282"/>
        <v>0</v>
      </c>
      <c r="CU149" s="197">
        <f t="shared" si="3282"/>
        <v>0</v>
      </c>
      <c r="CV149" s="197">
        <f t="shared" si="3282"/>
        <v>0</v>
      </c>
      <c r="CW149" s="197"/>
      <c r="CX149" s="197">
        <f>CX20-CX273</f>
        <v>0</v>
      </c>
      <c r="CY149" s="197">
        <f>CY20-CY273</f>
        <v>0</v>
      </c>
      <c r="CZ149" s="197">
        <f>CZ20-CZ273</f>
        <v>0</v>
      </c>
      <c r="DA149" s="197">
        <f>DA20-DA273</f>
        <v>0</v>
      </c>
      <c r="DB149" s="197">
        <f>DB20-DB273</f>
        <v>0</v>
      </c>
      <c r="DC149" s="197">
        <f>DC20-DC273</f>
        <v>0</v>
      </c>
      <c r="DD149" s="197"/>
      <c r="DE149" s="197">
        <f t="shared" ref="DE149:EG149" si="3283">DE20-DE273</f>
        <v>0</v>
      </c>
      <c r="DF149" s="197">
        <f t="shared" si="3283"/>
        <v>0</v>
      </c>
      <c r="DG149" s="197">
        <f t="shared" si="3283"/>
        <v>40.37192218009212</v>
      </c>
      <c r="DH149" s="197">
        <f t="shared" si="3283"/>
        <v>0</v>
      </c>
      <c r="DI149" s="197">
        <f t="shared" si="3283"/>
        <v>0</v>
      </c>
      <c r="DJ149" s="197">
        <f t="shared" si="3283"/>
        <v>0</v>
      </c>
      <c r="DK149" s="197">
        <f t="shared" si="3283"/>
        <v>0</v>
      </c>
      <c r="DL149" s="197">
        <f t="shared" si="3283"/>
        <v>0</v>
      </c>
      <c r="DM149" s="197">
        <f t="shared" si="3283"/>
        <v>0</v>
      </c>
      <c r="DN149" s="197">
        <f t="shared" si="3283"/>
        <v>0</v>
      </c>
      <c r="DO149" s="197">
        <f t="shared" si="3283"/>
        <v>0</v>
      </c>
      <c r="DP149" s="197">
        <f t="shared" si="3283"/>
        <v>0</v>
      </c>
      <c r="DQ149" s="197">
        <f t="shared" si="3283"/>
        <v>0</v>
      </c>
      <c r="DR149" s="197">
        <f t="shared" si="3283"/>
        <v>0</v>
      </c>
      <c r="DS149" s="197">
        <f t="shared" si="3283"/>
        <v>0.80951663699849374</v>
      </c>
      <c r="DT149" s="197">
        <f t="shared" si="3283"/>
        <v>0</v>
      </c>
      <c r="DU149" s="197">
        <f t="shared" si="3283"/>
        <v>0</v>
      </c>
      <c r="DV149" s="197">
        <f t="shared" si="3283"/>
        <v>0</v>
      </c>
      <c r="DW149" s="197">
        <f t="shared" si="3283"/>
        <v>0</v>
      </c>
      <c r="DX149" s="197">
        <f t="shared" si="3283"/>
        <v>0</v>
      </c>
      <c r="DY149" s="197">
        <f t="shared" si="3283"/>
        <v>0</v>
      </c>
      <c r="DZ149" s="197">
        <f t="shared" si="3283"/>
        <v>0</v>
      </c>
      <c r="EA149" s="197">
        <f t="shared" si="3283"/>
        <v>0</v>
      </c>
      <c r="EB149" s="197">
        <f t="shared" si="3283"/>
        <v>-4.6837533851373792E-17</v>
      </c>
      <c r="EC149" s="197">
        <f t="shared" si="3283"/>
        <v>0</v>
      </c>
      <c r="ED149" s="197">
        <f t="shared" si="3283"/>
        <v>0</v>
      </c>
      <c r="EE149" s="197">
        <f t="shared" si="3283"/>
        <v>0</v>
      </c>
      <c r="EF149" s="197">
        <f t="shared" si="3283"/>
        <v>0</v>
      </c>
      <c r="EG149" s="197">
        <f t="shared" si="3283"/>
        <v>0</v>
      </c>
    </row>
    <row r="150" spans="1:137" hidden="1">
      <c r="A150" s="157">
        <v>42614</v>
      </c>
      <c r="B150" s="197">
        <f>B21-B274</f>
        <v>0</v>
      </c>
      <c r="C150" s="197">
        <f>C21-C274</f>
        <v>0</v>
      </c>
      <c r="D150" s="197">
        <f>D21-D274</f>
        <v>-0.83000000000001251</v>
      </c>
      <c r="E150" s="197">
        <f>E21-E274</f>
        <v>-6.8095380586670196E-3</v>
      </c>
      <c r="F150" s="197">
        <f>F21-F274</f>
        <v>0</v>
      </c>
      <c r="G150" s="197"/>
      <c r="H150" s="197"/>
      <c r="I150" s="197">
        <f t="shared" ref="I150:AB150" si="3284">I21-I274</f>
        <v>0</v>
      </c>
      <c r="J150" s="197">
        <f t="shared" si="3284"/>
        <v>0</v>
      </c>
      <c r="K150" s="197">
        <f t="shared" si="3284"/>
        <v>0</v>
      </c>
      <c r="L150" s="197">
        <f t="shared" si="3284"/>
        <v>-9.9999999999980105E-3</v>
      </c>
      <c r="M150" s="197">
        <f t="shared" si="3284"/>
        <v>0</v>
      </c>
      <c r="N150" s="197">
        <f t="shared" si="3284"/>
        <v>0</v>
      </c>
      <c r="O150" s="197">
        <f t="shared" si="3284"/>
        <v>0</v>
      </c>
      <c r="P150" s="197">
        <f t="shared" si="3284"/>
        <v>0</v>
      </c>
      <c r="Q150" s="197">
        <f t="shared" si="3284"/>
        <v>0</v>
      </c>
      <c r="R150" s="197">
        <f t="shared" si="3284"/>
        <v>0</v>
      </c>
      <c r="S150" s="197">
        <f t="shared" si="3284"/>
        <v>0</v>
      </c>
      <c r="T150" s="197">
        <f t="shared" si="3284"/>
        <v>0</v>
      </c>
      <c r="U150" s="197">
        <f t="shared" si="3284"/>
        <v>0</v>
      </c>
      <c r="V150" s="197">
        <f t="shared" si="3284"/>
        <v>0</v>
      </c>
      <c r="W150" s="197">
        <f t="shared" si="3284"/>
        <v>0</v>
      </c>
      <c r="X150" s="197">
        <f t="shared" si="3284"/>
        <v>0</v>
      </c>
      <c r="Y150" s="197">
        <f t="shared" si="3284"/>
        <v>0</v>
      </c>
      <c r="Z150" s="197">
        <f t="shared" si="3284"/>
        <v>0</v>
      </c>
      <c r="AA150" s="197">
        <f t="shared" si="3284"/>
        <v>0</v>
      </c>
      <c r="AB150" s="197">
        <f t="shared" si="3284"/>
        <v>0</v>
      </c>
      <c r="AC150" s="163"/>
      <c r="AD150" s="163"/>
      <c r="AE150" s="163"/>
      <c r="AF150" s="163"/>
      <c r="AH150" s="197"/>
      <c r="AI150" s="197">
        <f t="shared" ref="AI150:BN150" si="3285">AI21-AI274</f>
        <v>0</v>
      </c>
      <c r="AJ150" s="197">
        <f t="shared" si="3285"/>
        <v>0</v>
      </c>
      <c r="AK150" s="197">
        <f t="shared" si="3285"/>
        <v>0</v>
      </c>
      <c r="AL150" s="197">
        <f t="shared" si="3285"/>
        <v>0</v>
      </c>
      <c r="AM150" s="197">
        <f t="shared" si="3285"/>
        <v>0</v>
      </c>
      <c r="AN150" s="197">
        <f t="shared" si="3285"/>
        <v>0</v>
      </c>
      <c r="AO150" s="197">
        <f t="shared" si="3285"/>
        <v>0</v>
      </c>
      <c r="AP150" s="197">
        <f t="shared" si="3285"/>
        <v>0</v>
      </c>
      <c r="AQ150" s="197">
        <f t="shared" si="3285"/>
        <v>0</v>
      </c>
      <c r="AR150" s="197">
        <f t="shared" si="3285"/>
        <v>0</v>
      </c>
      <c r="AS150" s="197">
        <f t="shared" si="3285"/>
        <v>0</v>
      </c>
      <c r="AT150" s="197">
        <f t="shared" si="3285"/>
        <v>0</v>
      </c>
      <c r="AU150" s="197">
        <f t="shared" si="3285"/>
        <v>0</v>
      </c>
      <c r="AV150" s="197">
        <f t="shared" si="3285"/>
        <v>0</v>
      </c>
      <c r="AW150" s="197">
        <f t="shared" si="3285"/>
        <v>0</v>
      </c>
      <c r="AX150" s="197">
        <f t="shared" si="3285"/>
        <v>0</v>
      </c>
      <c r="AY150" s="197">
        <f t="shared" si="3285"/>
        <v>0</v>
      </c>
      <c r="AZ150" s="197">
        <f t="shared" si="3285"/>
        <v>0</v>
      </c>
      <c r="BA150" s="197">
        <f t="shared" si="3285"/>
        <v>0</v>
      </c>
      <c r="BB150" s="197">
        <f t="shared" si="3285"/>
        <v>0</v>
      </c>
      <c r="BC150" s="197">
        <f t="shared" si="3285"/>
        <v>0</v>
      </c>
      <c r="BD150" s="197">
        <f t="shared" si="3285"/>
        <v>0</v>
      </c>
      <c r="BE150" s="197">
        <f t="shared" si="3285"/>
        <v>0</v>
      </c>
      <c r="BF150" s="197">
        <f t="shared" si="3285"/>
        <v>0</v>
      </c>
      <c r="BG150" s="197">
        <f t="shared" si="3285"/>
        <v>0</v>
      </c>
      <c r="BH150" s="197">
        <f t="shared" si="3285"/>
        <v>0</v>
      </c>
      <c r="BI150" s="197">
        <f t="shared" si="3285"/>
        <v>0</v>
      </c>
      <c r="BJ150" s="197">
        <f t="shared" si="3285"/>
        <v>0</v>
      </c>
      <c r="BK150" s="197">
        <f t="shared" si="3285"/>
        <v>0</v>
      </c>
      <c r="BL150" s="197">
        <f t="shared" si="3285"/>
        <v>0</v>
      </c>
      <c r="BM150" s="197">
        <f t="shared" si="3285"/>
        <v>0</v>
      </c>
      <c r="BN150" s="197">
        <f t="shared" si="3285"/>
        <v>0</v>
      </c>
      <c r="BO150" s="197">
        <f t="shared" ref="BO150:CV150" si="3286">BO21-BO274</f>
        <v>0</v>
      </c>
      <c r="BP150" s="197">
        <f t="shared" si="3286"/>
        <v>0</v>
      </c>
      <c r="BQ150" s="197">
        <f t="shared" si="3286"/>
        <v>0</v>
      </c>
      <c r="BR150" s="197">
        <f t="shared" si="3286"/>
        <v>0</v>
      </c>
      <c r="BS150" s="197">
        <f t="shared" si="3286"/>
        <v>0</v>
      </c>
      <c r="BT150" s="197">
        <f t="shared" si="3286"/>
        <v>0</v>
      </c>
      <c r="BU150" s="197">
        <f t="shared" si="3286"/>
        <v>0</v>
      </c>
      <c r="BV150" s="197">
        <f t="shared" si="3286"/>
        <v>0</v>
      </c>
      <c r="BW150" s="197">
        <f t="shared" si="3286"/>
        <v>0</v>
      </c>
      <c r="BX150" s="197">
        <f t="shared" si="3286"/>
        <v>0</v>
      </c>
      <c r="BY150" s="197">
        <f t="shared" si="3286"/>
        <v>0</v>
      </c>
      <c r="BZ150" s="197">
        <f t="shared" si="3286"/>
        <v>0</v>
      </c>
      <c r="CA150" s="197">
        <f t="shared" si="3286"/>
        <v>0</v>
      </c>
      <c r="CB150" s="197">
        <f t="shared" si="3286"/>
        <v>0</v>
      </c>
      <c r="CC150" s="197">
        <f t="shared" si="3286"/>
        <v>0</v>
      </c>
      <c r="CD150" s="197">
        <f t="shared" si="3286"/>
        <v>0</v>
      </c>
      <c r="CE150" s="197">
        <f t="shared" si="3286"/>
        <v>0</v>
      </c>
      <c r="CF150" s="197">
        <f t="shared" si="3286"/>
        <v>0</v>
      </c>
      <c r="CG150" s="197">
        <f t="shared" si="3286"/>
        <v>0</v>
      </c>
      <c r="CH150" s="197">
        <f t="shared" si="3286"/>
        <v>0</v>
      </c>
      <c r="CI150" s="197">
        <f t="shared" si="3286"/>
        <v>0</v>
      </c>
      <c r="CJ150" s="197">
        <f t="shared" si="3286"/>
        <v>0</v>
      </c>
      <c r="CK150" s="197">
        <f t="shared" si="3286"/>
        <v>0</v>
      </c>
      <c r="CL150" s="197">
        <f t="shared" si="3286"/>
        <v>0</v>
      </c>
      <c r="CM150" s="197">
        <f t="shared" si="3286"/>
        <v>0</v>
      </c>
      <c r="CN150" s="197">
        <f t="shared" si="3286"/>
        <v>0</v>
      </c>
      <c r="CO150" s="197">
        <f t="shared" si="3286"/>
        <v>0</v>
      </c>
      <c r="CP150" s="197">
        <f t="shared" si="3286"/>
        <v>0</v>
      </c>
      <c r="CQ150" s="197">
        <f t="shared" si="3286"/>
        <v>0</v>
      </c>
      <c r="CR150" s="197">
        <f t="shared" si="3286"/>
        <v>0</v>
      </c>
      <c r="CS150" s="197">
        <f t="shared" si="3286"/>
        <v>0</v>
      </c>
      <c r="CT150" s="197">
        <f t="shared" si="3286"/>
        <v>0</v>
      </c>
      <c r="CU150" s="197">
        <f t="shared" si="3286"/>
        <v>0</v>
      </c>
      <c r="CV150" s="197">
        <f t="shared" si="3286"/>
        <v>0</v>
      </c>
      <c r="CW150" s="197"/>
      <c r="CX150" s="197">
        <f>CX21-CX274</f>
        <v>0</v>
      </c>
      <c r="CY150" s="197">
        <f>CY21-CY274</f>
        <v>0</v>
      </c>
      <c r="CZ150" s="197">
        <f>CZ21-CZ274</f>
        <v>0</v>
      </c>
      <c r="DA150" s="197">
        <f>DA21-DA274</f>
        <v>0</v>
      </c>
      <c r="DB150" s="197">
        <f>DB21-DB274</f>
        <v>-9.9475983006414026E-14</v>
      </c>
      <c r="DC150" s="197">
        <f>DC21-DC274</f>
        <v>0</v>
      </c>
      <c r="DD150" s="197"/>
      <c r="DE150" s="197">
        <f t="shared" ref="DE150:EG150" si="3287">DE21-DE274</f>
        <v>0</v>
      </c>
      <c r="DF150" s="197">
        <f t="shared" si="3287"/>
        <v>0</v>
      </c>
      <c r="DG150" s="197">
        <f t="shared" si="3287"/>
        <v>41.384435702886023</v>
      </c>
      <c r="DH150" s="197">
        <f t="shared" si="3287"/>
        <v>0</v>
      </c>
      <c r="DI150" s="197">
        <f t="shared" si="3287"/>
        <v>0</v>
      </c>
      <c r="DJ150" s="197">
        <f t="shared" si="3287"/>
        <v>0</v>
      </c>
      <c r="DK150" s="197">
        <f t="shared" si="3287"/>
        <v>0</v>
      </c>
      <c r="DL150" s="197">
        <f t="shared" si="3287"/>
        <v>0</v>
      </c>
      <c r="DM150" s="197">
        <f t="shared" si="3287"/>
        <v>3.1225022567582528E-17</v>
      </c>
      <c r="DN150" s="197">
        <f t="shared" si="3287"/>
        <v>0</v>
      </c>
      <c r="DO150" s="197">
        <f t="shared" si="3287"/>
        <v>242</v>
      </c>
      <c r="DP150" s="197">
        <f t="shared" si="3287"/>
        <v>0</v>
      </c>
      <c r="DQ150" s="197">
        <f t="shared" si="3287"/>
        <v>242</v>
      </c>
      <c r="DR150" s="197">
        <f t="shared" si="3287"/>
        <v>0</v>
      </c>
      <c r="DS150" s="197">
        <f t="shared" si="3287"/>
        <v>0.96536425179899354</v>
      </c>
      <c r="DT150" s="197">
        <f t="shared" si="3287"/>
        <v>0</v>
      </c>
      <c r="DU150" s="197">
        <f t="shared" si="3287"/>
        <v>0</v>
      </c>
      <c r="DV150" s="197">
        <f t="shared" si="3287"/>
        <v>0</v>
      </c>
      <c r="DW150" s="197">
        <f t="shared" si="3287"/>
        <v>0</v>
      </c>
      <c r="DX150" s="197">
        <f t="shared" si="3287"/>
        <v>0</v>
      </c>
      <c r="DY150" s="197">
        <f t="shared" si="3287"/>
        <v>0</v>
      </c>
      <c r="DZ150" s="197">
        <f t="shared" si="3287"/>
        <v>0</v>
      </c>
      <c r="EA150" s="197">
        <f t="shared" si="3287"/>
        <v>0</v>
      </c>
      <c r="EB150" s="197">
        <f t="shared" si="3287"/>
        <v>0</v>
      </c>
      <c r="EC150" s="197">
        <f t="shared" si="3287"/>
        <v>0</v>
      </c>
      <c r="ED150" s="197">
        <f t="shared" si="3287"/>
        <v>0</v>
      </c>
      <c r="EE150" s="197">
        <f t="shared" si="3287"/>
        <v>0</v>
      </c>
      <c r="EF150" s="197">
        <f t="shared" si="3287"/>
        <v>0</v>
      </c>
      <c r="EG150" s="197">
        <f t="shared" si="3287"/>
        <v>0</v>
      </c>
    </row>
    <row r="151" spans="1:137" hidden="1">
      <c r="A151" s="157">
        <v>42644</v>
      </c>
      <c r="B151" s="197">
        <f>B22-B275</f>
        <v>0</v>
      </c>
      <c r="C151" s="197">
        <f>C22-C275</f>
        <v>0</v>
      </c>
      <c r="D151" s="197">
        <f>D22-D275</f>
        <v>0</v>
      </c>
      <c r="E151" s="197">
        <f>E22-E275</f>
        <v>0</v>
      </c>
      <c r="F151" s="197">
        <f>F22-F275</f>
        <v>0</v>
      </c>
      <c r="G151" s="197"/>
      <c r="H151" s="197"/>
      <c r="I151" s="197">
        <f t="shared" ref="I151:AB151" si="3288">I22-I275</f>
        <v>0</v>
      </c>
      <c r="J151" s="197">
        <f t="shared" si="3288"/>
        <v>0</v>
      </c>
      <c r="K151" s="197">
        <f t="shared" si="3288"/>
        <v>0</v>
      </c>
      <c r="L151" s="197">
        <f t="shared" si="3288"/>
        <v>0</v>
      </c>
      <c r="M151" s="197">
        <f t="shared" si="3288"/>
        <v>0</v>
      </c>
      <c r="N151" s="197">
        <f t="shared" si="3288"/>
        <v>0</v>
      </c>
      <c r="O151" s="197">
        <f t="shared" si="3288"/>
        <v>0</v>
      </c>
      <c r="P151" s="197">
        <f t="shared" si="3288"/>
        <v>0</v>
      </c>
      <c r="Q151" s="197">
        <f t="shared" si="3288"/>
        <v>0</v>
      </c>
      <c r="R151" s="197">
        <f t="shared" si="3288"/>
        <v>0</v>
      </c>
      <c r="S151" s="197">
        <f t="shared" si="3288"/>
        <v>0</v>
      </c>
      <c r="T151" s="197">
        <f t="shared" si="3288"/>
        <v>0</v>
      </c>
      <c r="U151" s="197">
        <f t="shared" si="3288"/>
        <v>0</v>
      </c>
      <c r="V151" s="197">
        <f t="shared" si="3288"/>
        <v>0</v>
      </c>
      <c r="W151" s="197">
        <f t="shared" si="3288"/>
        <v>0</v>
      </c>
      <c r="X151" s="197">
        <f t="shared" si="3288"/>
        <v>0</v>
      </c>
      <c r="Y151" s="197">
        <f t="shared" si="3288"/>
        <v>0</v>
      </c>
      <c r="Z151" s="197">
        <f t="shared" si="3288"/>
        <v>0</v>
      </c>
      <c r="AA151" s="197">
        <f t="shared" si="3288"/>
        <v>0</v>
      </c>
      <c r="AB151" s="197">
        <f t="shared" si="3288"/>
        <v>0</v>
      </c>
      <c r="AC151" s="163"/>
      <c r="AD151" s="163"/>
      <c r="AE151" s="163"/>
      <c r="AF151" s="163"/>
      <c r="AH151" s="197"/>
      <c r="AI151" s="197">
        <f t="shared" ref="AI151:BN151" si="3289">AI22-AI275</f>
        <v>0</v>
      </c>
      <c r="AJ151" s="197">
        <f t="shared" si="3289"/>
        <v>0</v>
      </c>
      <c r="AK151" s="197">
        <f t="shared" si="3289"/>
        <v>0</v>
      </c>
      <c r="AL151" s="197">
        <f t="shared" si="3289"/>
        <v>0</v>
      </c>
      <c r="AM151" s="197">
        <f t="shared" si="3289"/>
        <v>0</v>
      </c>
      <c r="AN151" s="197">
        <f t="shared" si="3289"/>
        <v>0</v>
      </c>
      <c r="AO151" s="197">
        <f t="shared" si="3289"/>
        <v>0</v>
      </c>
      <c r="AP151" s="197">
        <f t="shared" si="3289"/>
        <v>0</v>
      </c>
      <c r="AQ151" s="197">
        <f t="shared" si="3289"/>
        <v>0</v>
      </c>
      <c r="AR151" s="197">
        <f t="shared" si="3289"/>
        <v>0</v>
      </c>
      <c r="AS151" s="197">
        <f t="shared" si="3289"/>
        <v>0</v>
      </c>
      <c r="AT151" s="197">
        <f t="shared" si="3289"/>
        <v>0</v>
      </c>
      <c r="AU151" s="197">
        <f t="shared" si="3289"/>
        <v>0</v>
      </c>
      <c r="AV151" s="197">
        <f t="shared" si="3289"/>
        <v>0</v>
      </c>
      <c r="AW151" s="197">
        <f t="shared" si="3289"/>
        <v>0</v>
      </c>
      <c r="AX151" s="197">
        <f t="shared" si="3289"/>
        <v>0</v>
      </c>
      <c r="AY151" s="197">
        <f t="shared" si="3289"/>
        <v>0</v>
      </c>
      <c r="AZ151" s="197">
        <f t="shared" si="3289"/>
        <v>0</v>
      </c>
      <c r="BA151" s="197">
        <f t="shared" si="3289"/>
        <v>0</v>
      </c>
      <c r="BB151" s="197">
        <f t="shared" si="3289"/>
        <v>0</v>
      </c>
      <c r="BC151" s="197">
        <f t="shared" si="3289"/>
        <v>0</v>
      </c>
      <c r="BD151" s="197">
        <f t="shared" si="3289"/>
        <v>0</v>
      </c>
      <c r="BE151" s="197">
        <f t="shared" si="3289"/>
        <v>0</v>
      </c>
      <c r="BF151" s="197">
        <f t="shared" si="3289"/>
        <v>0</v>
      </c>
      <c r="BG151" s="197">
        <f t="shared" si="3289"/>
        <v>0</v>
      </c>
      <c r="BH151" s="197">
        <f t="shared" si="3289"/>
        <v>0</v>
      </c>
      <c r="BI151" s="197">
        <f t="shared" si="3289"/>
        <v>0</v>
      </c>
      <c r="BJ151" s="197">
        <f t="shared" si="3289"/>
        <v>0</v>
      </c>
      <c r="BK151" s="197">
        <f t="shared" si="3289"/>
        <v>0</v>
      </c>
      <c r="BL151" s="197">
        <f t="shared" si="3289"/>
        <v>0</v>
      </c>
      <c r="BM151" s="197">
        <f t="shared" si="3289"/>
        <v>0</v>
      </c>
      <c r="BN151" s="197">
        <f t="shared" si="3289"/>
        <v>0</v>
      </c>
      <c r="BO151" s="197">
        <f t="shared" ref="BO151:CV151" si="3290">BO22-BO275</f>
        <v>0</v>
      </c>
      <c r="BP151" s="197">
        <f t="shared" si="3290"/>
        <v>0</v>
      </c>
      <c r="BQ151" s="197">
        <f t="shared" si="3290"/>
        <v>0</v>
      </c>
      <c r="BR151" s="197">
        <f t="shared" si="3290"/>
        <v>0</v>
      </c>
      <c r="BS151" s="197">
        <f t="shared" si="3290"/>
        <v>0</v>
      </c>
      <c r="BT151" s="197">
        <f t="shared" si="3290"/>
        <v>0</v>
      </c>
      <c r="BU151" s="197">
        <f t="shared" si="3290"/>
        <v>0</v>
      </c>
      <c r="BV151" s="197">
        <f t="shared" si="3290"/>
        <v>0</v>
      </c>
      <c r="BW151" s="197">
        <f t="shared" si="3290"/>
        <v>0</v>
      </c>
      <c r="BX151" s="197">
        <f t="shared" si="3290"/>
        <v>0</v>
      </c>
      <c r="BY151" s="197">
        <f t="shared" si="3290"/>
        <v>0</v>
      </c>
      <c r="BZ151" s="197">
        <f t="shared" si="3290"/>
        <v>0</v>
      </c>
      <c r="CA151" s="197">
        <f t="shared" si="3290"/>
        <v>0</v>
      </c>
      <c r="CB151" s="197">
        <f t="shared" si="3290"/>
        <v>0</v>
      </c>
      <c r="CC151" s="197">
        <f t="shared" si="3290"/>
        <v>0</v>
      </c>
      <c r="CD151" s="197">
        <f t="shared" si="3290"/>
        <v>0</v>
      </c>
      <c r="CE151" s="197">
        <f t="shared" si="3290"/>
        <v>0</v>
      </c>
      <c r="CF151" s="197">
        <f t="shared" si="3290"/>
        <v>0</v>
      </c>
      <c r="CG151" s="197">
        <f t="shared" si="3290"/>
        <v>0</v>
      </c>
      <c r="CH151" s="197">
        <f t="shared" si="3290"/>
        <v>0</v>
      </c>
      <c r="CI151" s="197">
        <f t="shared" si="3290"/>
        <v>0</v>
      </c>
      <c r="CJ151" s="197">
        <f t="shared" si="3290"/>
        <v>0</v>
      </c>
      <c r="CK151" s="197">
        <f t="shared" si="3290"/>
        <v>0</v>
      </c>
      <c r="CL151" s="197">
        <f t="shared" si="3290"/>
        <v>0</v>
      </c>
      <c r="CM151" s="197">
        <f t="shared" si="3290"/>
        <v>0</v>
      </c>
      <c r="CN151" s="197">
        <f t="shared" si="3290"/>
        <v>0</v>
      </c>
      <c r="CO151" s="197">
        <f t="shared" si="3290"/>
        <v>0</v>
      </c>
      <c r="CP151" s="197">
        <f t="shared" si="3290"/>
        <v>0</v>
      </c>
      <c r="CQ151" s="197">
        <f t="shared" si="3290"/>
        <v>0</v>
      </c>
      <c r="CR151" s="197">
        <f t="shared" si="3290"/>
        <v>0</v>
      </c>
      <c r="CS151" s="197">
        <f t="shared" si="3290"/>
        <v>0</v>
      </c>
      <c r="CT151" s="197">
        <f t="shared" si="3290"/>
        <v>0</v>
      </c>
      <c r="CU151" s="197">
        <f t="shared" si="3290"/>
        <v>0</v>
      </c>
      <c r="CV151" s="197">
        <f t="shared" si="3290"/>
        <v>0</v>
      </c>
      <c r="CW151" s="197"/>
      <c r="CX151" s="197">
        <f>CX22-CX275</f>
        <v>0</v>
      </c>
      <c r="CY151" s="197">
        <f>CY22-CY275</f>
        <v>0</v>
      </c>
      <c r="CZ151" s="197">
        <f>CZ22-CZ275</f>
        <v>0</v>
      </c>
      <c r="DA151" s="197">
        <f>DA22-DA275</f>
        <v>0</v>
      </c>
      <c r="DB151" s="197">
        <f>DB22-DB275</f>
        <v>0</v>
      </c>
      <c r="DC151" s="197">
        <f>DC22-DC275</f>
        <v>0</v>
      </c>
      <c r="DD151" s="197"/>
      <c r="DE151" s="197">
        <f t="shared" ref="DE151:EG151" si="3291">DE22-DE275</f>
        <v>0</v>
      </c>
      <c r="DF151" s="197">
        <f t="shared" si="3291"/>
        <v>0</v>
      </c>
      <c r="DG151" s="197">
        <f t="shared" si="3291"/>
        <v>41.424178530082997</v>
      </c>
      <c r="DH151" s="197">
        <f t="shared" si="3291"/>
        <v>0</v>
      </c>
      <c r="DI151" s="197">
        <f t="shared" si="3291"/>
        <v>0</v>
      </c>
      <c r="DJ151" s="197">
        <f t="shared" si="3291"/>
        <v>0</v>
      </c>
      <c r="DK151" s="197">
        <f t="shared" si="3291"/>
        <v>0</v>
      </c>
      <c r="DL151" s="197">
        <f t="shared" si="3291"/>
        <v>0</v>
      </c>
      <c r="DM151" s="197">
        <f t="shared" si="3291"/>
        <v>-2.7755575615628914E-17</v>
      </c>
      <c r="DN151" s="197">
        <f t="shared" si="3291"/>
        <v>0</v>
      </c>
      <c r="DO151" s="197">
        <f t="shared" si="3291"/>
        <v>233</v>
      </c>
      <c r="DP151" s="197">
        <f t="shared" si="3291"/>
        <v>0</v>
      </c>
      <c r="DQ151" s="197">
        <f t="shared" si="3291"/>
        <v>233</v>
      </c>
      <c r="DR151" s="197">
        <f t="shared" si="3291"/>
        <v>0</v>
      </c>
      <c r="DS151" s="197">
        <f t="shared" si="3291"/>
        <v>0.96929566965596703</v>
      </c>
      <c r="DT151" s="197">
        <f t="shared" si="3291"/>
        <v>0</v>
      </c>
      <c r="DU151" s="197">
        <f t="shared" si="3291"/>
        <v>0</v>
      </c>
      <c r="DV151" s="197">
        <f t="shared" si="3291"/>
        <v>0</v>
      </c>
      <c r="DW151" s="197">
        <f t="shared" si="3291"/>
        <v>0</v>
      </c>
      <c r="DX151" s="197">
        <f t="shared" si="3291"/>
        <v>0</v>
      </c>
      <c r="DY151" s="197">
        <f t="shared" si="3291"/>
        <v>0</v>
      </c>
      <c r="DZ151" s="197">
        <f t="shared" si="3291"/>
        <v>0</v>
      </c>
      <c r="EA151" s="197">
        <f t="shared" si="3291"/>
        <v>0</v>
      </c>
      <c r="EB151" s="197">
        <f t="shared" si="3291"/>
        <v>0</v>
      </c>
      <c r="EC151" s="197">
        <f t="shared" si="3291"/>
        <v>0</v>
      </c>
      <c r="ED151" s="197">
        <f t="shared" si="3291"/>
        <v>0</v>
      </c>
      <c r="EE151" s="197">
        <f t="shared" si="3291"/>
        <v>0</v>
      </c>
      <c r="EF151" s="197">
        <f t="shared" si="3291"/>
        <v>0</v>
      </c>
      <c r="EG151" s="197">
        <f t="shared" si="3291"/>
        <v>0</v>
      </c>
    </row>
    <row r="152" spans="1:137" hidden="1">
      <c r="A152" s="157">
        <v>42675</v>
      </c>
      <c r="B152" s="197">
        <f>B23-B276</f>
        <v>0</v>
      </c>
      <c r="C152" s="197">
        <f>C23-C276</f>
        <v>0</v>
      </c>
      <c r="D152" s="197">
        <f>D23-D276</f>
        <v>0</v>
      </c>
      <c r="E152" s="197">
        <f>E23-E276</f>
        <v>0</v>
      </c>
      <c r="F152" s="197">
        <f>F23-F276</f>
        <v>0</v>
      </c>
      <c r="G152" s="197"/>
      <c r="H152" s="197"/>
      <c r="I152" s="197">
        <f t="shared" ref="I152:AB152" si="3292">I23-I276</f>
        <v>0</v>
      </c>
      <c r="J152" s="197">
        <f t="shared" si="3292"/>
        <v>0</v>
      </c>
      <c r="K152" s="197">
        <f t="shared" si="3292"/>
        <v>0</v>
      </c>
      <c r="L152" s="197">
        <f t="shared" si="3292"/>
        <v>0</v>
      </c>
      <c r="M152" s="197">
        <f t="shared" si="3292"/>
        <v>0</v>
      </c>
      <c r="N152" s="197">
        <f t="shared" si="3292"/>
        <v>0</v>
      </c>
      <c r="O152" s="197">
        <f t="shared" si="3292"/>
        <v>0</v>
      </c>
      <c r="P152" s="197">
        <f t="shared" si="3292"/>
        <v>0</v>
      </c>
      <c r="Q152" s="197">
        <f t="shared" si="3292"/>
        <v>0</v>
      </c>
      <c r="R152" s="197">
        <f t="shared" si="3292"/>
        <v>0</v>
      </c>
      <c r="S152" s="197">
        <f t="shared" si="3292"/>
        <v>0</v>
      </c>
      <c r="T152" s="197">
        <f t="shared" si="3292"/>
        <v>0</v>
      </c>
      <c r="U152" s="197">
        <f t="shared" si="3292"/>
        <v>0</v>
      </c>
      <c r="V152" s="197">
        <f t="shared" si="3292"/>
        <v>0</v>
      </c>
      <c r="W152" s="197">
        <f t="shared" si="3292"/>
        <v>0</v>
      </c>
      <c r="X152" s="197">
        <f t="shared" si="3292"/>
        <v>0</v>
      </c>
      <c r="Y152" s="197">
        <f t="shared" si="3292"/>
        <v>0</v>
      </c>
      <c r="Z152" s="197">
        <f t="shared" si="3292"/>
        <v>0</v>
      </c>
      <c r="AA152" s="197">
        <f t="shared" si="3292"/>
        <v>0</v>
      </c>
      <c r="AB152" s="197">
        <f t="shared" si="3292"/>
        <v>0</v>
      </c>
      <c r="AC152" s="163"/>
      <c r="AD152" s="163"/>
      <c r="AE152" s="163"/>
      <c r="AF152" s="163"/>
      <c r="AH152" s="197"/>
      <c r="AI152" s="197">
        <f t="shared" ref="AI152:BN152" si="3293">AI23-AI276</f>
        <v>0</v>
      </c>
      <c r="AJ152" s="197">
        <f t="shared" si="3293"/>
        <v>0</v>
      </c>
      <c r="AK152" s="197">
        <f t="shared" si="3293"/>
        <v>0</v>
      </c>
      <c r="AL152" s="197">
        <f t="shared" si="3293"/>
        <v>0</v>
      </c>
      <c r="AM152" s="197">
        <f t="shared" si="3293"/>
        <v>0</v>
      </c>
      <c r="AN152" s="197">
        <f t="shared" si="3293"/>
        <v>0</v>
      </c>
      <c r="AO152" s="197">
        <f t="shared" si="3293"/>
        <v>0</v>
      </c>
      <c r="AP152" s="197">
        <f t="shared" si="3293"/>
        <v>0</v>
      </c>
      <c r="AQ152" s="197">
        <f t="shared" si="3293"/>
        <v>0</v>
      </c>
      <c r="AR152" s="197">
        <f t="shared" si="3293"/>
        <v>0</v>
      </c>
      <c r="AS152" s="197">
        <f t="shared" si="3293"/>
        <v>0</v>
      </c>
      <c r="AT152" s="197">
        <f t="shared" si="3293"/>
        <v>0</v>
      </c>
      <c r="AU152" s="197">
        <f t="shared" si="3293"/>
        <v>0</v>
      </c>
      <c r="AV152" s="197">
        <f t="shared" si="3293"/>
        <v>0</v>
      </c>
      <c r="AW152" s="197">
        <f t="shared" si="3293"/>
        <v>0</v>
      </c>
      <c r="AX152" s="197">
        <f t="shared" si="3293"/>
        <v>0</v>
      </c>
      <c r="AY152" s="197">
        <f t="shared" si="3293"/>
        <v>0</v>
      </c>
      <c r="AZ152" s="197">
        <f t="shared" si="3293"/>
        <v>0</v>
      </c>
      <c r="BA152" s="197">
        <f t="shared" si="3293"/>
        <v>0</v>
      </c>
      <c r="BB152" s="197">
        <f t="shared" si="3293"/>
        <v>0</v>
      </c>
      <c r="BC152" s="197">
        <f t="shared" si="3293"/>
        <v>0</v>
      </c>
      <c r="BD152" s="197">
        <f t="shared" si="3293"/>
        <v>0</v>
      </c>
      <c r="BE152" s="197">
        <f t="shared" si="3293"/>
        <v>0</v>
      </c>
      <c r="BF152" s="197">
        <f t="shared" si="3293"/>
        <v>0</v>
      </c>
      <c r="BG152" s="197">
        <f t="shared" si="3293"/>
        <v>0</v>
      </c>
      <c r="BH152" s="197">
        <f t="shared" si="3293"/>
        <v>0</v>
      </c>
      <c r="BI152" s="197">
        <f t="shared" si="3293"/>
        <v>0</v>
      </c>
      <c r="BJ152" s="197">
        <f t="shared" si="3293"/>
        <v>0</v>
      </c>
      <c r="BK152" s="197">
        <f t="shared" si="3293"/>
        <v>0</v>
      </c>
      <c r="BL152" s="197">
        <f t="shared" si="3293"/>
        <v>0</v>
      </c>
      <c r="BM152" s="197">
        <f t="shared" si="3293"/>
        <v>0</v>
      </c>
      <c r="BN152" s="197">
        <f t="shared" si="3293"/>
        <v>0</v>
      </c>
      <c r="BO152" s="197">
        <f t="shared" ref="BO152:CV152" si="3294">BO23-BO276</f>
        <v>0</v>
      </c>
      <c r="BP152" s="197">
        <f t="shared" si="3294"/>
        <v>0</v>
      </c>
      <c r="BQ152" s="197">
        <f t="shared" si="3294"/>
        <v>0</v>
      </c>
      <c r="BR152" s="197">
        <f t="shared" si="3294"/>
        <v>0</v>
      </c>
      <c r="BS152" s="197">
        <f t="shared" si="3294"/>
        <v>0</v>
      </c>
      <c r="BT152" s="197">
        <f t="shared" si="3294"/>
        <v>0</v>
      </c>
      <c r="BU152" s="197">
        <f t="shared" si="3294"/>
        <v>0</v>
      </c>
      <c r="BV152" s="197">
        <f t="shared" si="3294"/>
        <v>0</v>
      </c>
      <c r="BW152" s="197">
        <f t="shared" si="3294"/>
        <v>0</v>
      </c>
      <c r="BX152" s="197">
        <f t="shared" si="3294"/>
        <v>0</v>
      </c>
      <c r="BY152" s="197">
        <f t="shared" si="3294"/>
        <v>0</v>
      </c>
      <c r="BZ152" s="197">
        <f t="shared" si="3294"/>
        <v>0</v>
      </c>
      <c r="CA152" s="197">
        <f t="shared" si="3294"/>
        <v>0</v>
      </c>
      <c r="CB152" s="197">
        <f t="shared" si="3294"/>
        <v>0</v>
      </c>
      <c r="CC152" s="197">
        <f t="shared" si="3294"/>
        <v>0</v>
      </c>
      <c r="CD152" s="197">
        <f t="shared" si="3294"/>
        <v>0</v>
      </c>
      <c r="CE152" s="197">
        <f t="shared" si="3294"/>
        <v>0</v>
      </c>
      <c r="CF152" s="197">
        <f t="shared" si="3294"/>
        <v>0</v>
      </c>
      <c r="CG152" s="197">
        <f t="shared" si="3294"/>
        <v>0</v>
      </c>
      <c r="CH152" s="197">
        <f t="shared" si="3294"/>
        <v>0</v>
      </c>
      <c r="CI152" s="197">
        <f t="shared" si="3294"/>
        <v>0</v>
      </c>
      <c r="CJ152" s="197">
        <f t="shared" si="3294"/>
        <v>0</v>
      </c>
      <c r="CK152" s="197">
        <f t="shared" si="3294"/>
        <v>0</v>
      </c>
      <c r="CL152" s="197">
        <f t="shared" si="3294"/>
        <v>0</v>
      </c>
      <c r="CM152" s="197">
        <f t="shared" si="3294"/>
        <v>0</v>
      </c>
      <c r="CN152" s="197">
        <f t="shared" si="3294"/>
        <v>0</v>
      </c>
      <c r="CO152" s="197">
        <f t="shared" si="3294"/>
        <v>0</v>
      </c>
      <c r="CP152" s="197">
        <f t="shared" si="3294"/>
        <v>0</v>
      </c>
      <c r="CQ152" s="197">
        <f t="shared" si="3294"/>
        <v>0</v>
      </c>
      <c r="CR152" s="197">
        <f t="shared" si="3294"/>
        <v>0</v>
      </c>
      <c r="CS152" s="197">
        <f t="shared" si="3294"/>
        <v>0</v>
      </c>
      <c r="CT152" s="197">
        <f t="shared" si="3294"/>
        <v>0</v>
      </c>
      <c r="CU152" s="197">
        <f t="shared" si="3294"/>
        <v>0</v>
      </c>
      <c r="CV152" s="197">
        <f t="shared" si="3294"/>
        <v>0</v>
      </c>
      <c r="CW152" s="197"/>
      <c r="CX152" s="197">
        <f>CX23-CX276</f>
        <v>0</v>
      </c>
      <c r="CY152" s="197">
        <f>CY23-CY276</f>
        <v>0</v>
      </c>
      <c r="CZ152" s="197">
        <f>CZ23-CZ276</f>
        <v>0</v>
      </c>
      <c r="DA152" s="197">
        <f>DA23-DA276</f>
        <v>0</v>
      </c>
      <c r="DB152" s="197">
        <f>DB23-DB276</f>
        <v>0</v>
      </c>
      <c r="DC152" s="197">
        <f>DC23-DC276</f>
        <v>0</v>
      </c>
      <c r="DD152" s="197"/>
      <c r="DE152" s="197">
        <f t="shared" ref="DE152:EG152" si="3295">DE23-DE276</f>
        <v>0</v>
      </c>
      <c r="DF152" s="197">
        <f t="shared" si="3295"/>
        <v>0</v>
      </c>
      <c r="DG152" s="197">
        <f t="shared" si="3295"/>
        <v>41.20514196043132</v>
      </c>
      <c r="DH152" s="197">
        <f t="shared" si="3295"/>
        <v>0</v>
      </c>
      <c r="DI152" s="197">
        <f t="shared" si="3295"/>
        <v>0</v>
      </c>
      <c r="DJ152" s="197">
        <f t="shared" si="3295"/>
        <v>0</v>
      </c>
      <c r="DK152" s="197">
        <f t="shared" si="3295"/>
        <v>0</v>
      </c>
      <c r="DL152" s="197">
        <f t="shared" si="3295"/>
        <v>0</v>
      </c>
      <c r="DM152" s="197">
        <f t="shared" si="3295"/>
        <v>0</v>
      </c>
      <c r="DN152" s="197">
        <f t="shared" si="3295"/>
        <v>0</v>
      </c>
      <c r="DO152" s="197">
        <f t="shared" si="3295"/>
        <v>0</v>
      </c>
      <c r="DP152" s="197">
        <f t="shared" si="3295"/>
        <v>0</v>
      </c>
      <c r="DQ152" s="197">
        <f t="shared" si="3295"/>
        <v>0</v>
      </c>
      <c r="DR152" s="197">
        <f t="shared" si="3295"/>
        <v>0</v>
      </c>
      <c r="DS152" s="197">
        <f t="shared" si="3295"/>
        <v>0.93845299092536583</v>
      </c>
      <c r="DT152" s="197">
        <f t="shared" si="3295"/>
        <v>0</v>
      </c>
      <c r="DU152" s="197">
        <f t="shared" si="3295"/>
        <v>0</v>
      </c>
      <c r="DV152" s="197">
        <f t="shared" si="3295"/>
        <v>0</v>
      </c>
      <c r="DW152" s="197">
        <f t="shared" si="3295"/>
        <v>0</v>
      </c>
      <c r="DX152" s="197">
        <f t="shared" si="3295"/>
        <v>0</v>
      </c>
      <c r="DY152" s="197">
        <f t="shared" si="3295"/>
        <v>0</v>
      </c>
      <c r="DZ152" s="197">
        <f t="shared" si="3295"/>
        <v>0</v>
      </c>
      <c r="EA152" s="197">
        <f t="shared" si="3295"/>
        <v>0</v>
      </c>
      <c r="EB152" s="197">
        <f t="shared" si="3295"/>
        <v>4.5102810375396984E-17</v>
      </c>
      <c r="EC152" s="197">
        <f t="shared" si="3295"/>
        <v>0</v>
      </c>
      <c r="ED152" s="197">
        <f t="shared" si="3295"/>
        <v>0</v>
      </c>
      <c r="EE152" s="197">
        <f t="shared" si="3295"/>
        <v>0</v>
      </c>
      <c r="EF152" s="197">
        <f t="shared" si="3295"/>
        <v>0</v>
      </c>
      <c r="EG152" s="197">
        <f t="shared" si="3295"/>
        <v>0</v>
      </c>
    </row>
    <row r="153" spans="1:137" hidden="1">
      <c r="A153" s="157">
        <v>42705</v>
      </c>
      <c r="B153" s="197">
        <f>B24-B277</f>
        <v>0</v>
      </c>
      <c r="C153" s="197">
        <f>C24-C277</f>
        <v>0</v>
      </c>
      <c r="D153" s="197">
        <f>D24-D277</f>
        <v>0</v>
      </c>
      <c r="E153" s="197">
        <f>E24-E277</f>
        <v>0</v>
      </c>
      <c r="F153" s="197">
        <f>F24-F277</f>
        <v>0</v>
      </c>
      <c r="G153" s="197"/>
      <c r="H153" s="197"/>
      <c r="I153" s="197">
        <f t="shared" ref="I153:AB153" si="3296">I24-I277</f>
        <v>0</v>
      </c>
      <c r="J153" s="197">
        <f t="shared" si="3296"/>
        <v>0</v>
      </c>
      <c r="K153" s="197">
        <f t="shared" si="3296"/>
        <v>0</v>
      </c>
      <c r="L153" s="197">
        <f t="shared" si="3296"/>
        <v>0</v>
      </c>
      <c r="M153" s="197">
        <f t="shared" si="3296"/>
        <v>0</v>
      </c>
      <c r="N153" s="197">
        <f t="shared" si="3296"/>
        <v>0</v>
      </c>
      <c r="O153" s="197">
        <f t="shared" si="3296"/>
        <v>0</v>
      </c>
      <c r="P153" s="197">
        <f t="shared" si="3296"/>
        <v>0</v>
      </c>
      <c r="Q153" s="197">
        <f t="shared" si="3296"/>
        <v>0</v>
      </c>
      <c r="R153" s="197">
        <f t="shared" si="3296"/>
        <v>0</v>
      </c>
      <c r="S153" s="197">
        <f t="shared" si="3296"/>
        <v>0</v>
      </c>
      <c r="T153" s="197">
        <f t="shared" si="3296"/>
        <v>0</v>
      </c>
      <c r="U153" s="197">
        <f t="shared" si="3296"/>
        <v>0</v>
      </c>
      <c r="V153" s="197">
        <f t="shared" si="3296"/>
        <v>0</v>
      </c>
      <c r="W153" s="197">
        <f t="shared" si="3296"/>
        <v>0</v>
      </c>
      <c r="X153" s="197">
        <f t="shared" si="3296"/>
        <v>0</v>
      </c>
      <c r="Y153" s="197">
        <f t="shared" si="3296"/>
        <v>0</v>
      </c>
      <c r="Z153" s="197">
        <f t="shared" si="3296"/>
        <v>0</v>
      </c>
      <c r="AA153" s="197">
        <f t="shared" si="3296"/>
        <v>0</v>
      </c>
      <c r="AB153" s="197">
        <f t="shared" si="3296"/>
        <v>0</v>
      </c>
      <c r="AC153" s="163"/>
      <c r="AD153" s="163"/>
      <c r="AE153" s="163"/>
      <c r="AF153" s="163"/>
      <c r="AH153" s="197"/>
      <c r="AI153" s="197">
        <f t="shared" ref="AI153:BN153" si="3297">AI24-AI277</f>
        <v>0</v>
      </c>
      <c r="AJ153" s="197">
        <f t="shared" si="3297"/>
        <v>0</v>
      </c>
      <c r="AK153" s="197">
        <f t="shared" si="3297"/>
        <v>0</v>
      </c>
      <c r="AL153" s="197">
        <f t="shared" si="3297"/>
        <v>0</v>
      </c>
      <c r="AM153" s="197">
        <f t="shared" si="3297"/>
        <v>0</v>
      </c>
      <c r="AN153" s="197">
        <f t="shared" si="3297"/>
        <v>0</v>
      </c>
      <c r="AO153" s="197">
        <f t="shared" si="3297"/>
        <v>0</v>
      </c>
      <c r="AP153" s="197">
        <f t="shared" si="3297"/>
        <v>0</v>
      </c>
      <c r="AQ153" s="197">
        <f t="shared" si="3297"/>
        <v>0</v>
      </c>
      <c r="AR153" s="197">
        <f t="shared" si="3297"/>
        <v>0</v>
      </c>
      <c r="AS153" s="197">
        <f t="shared" si="3297"/>
        <v>0</v>
      </c>
      <c r="AT153" s="197">
        <f t="shared" si="3297"/>
        <v>0</v>
      </c>
      <c r="AU153" s="197">
        <f t="shared" si="3297"/>
        <v>0</v>
      </c>
      <c r="AV153" s="197">
        <f t="shared" si="3297"/>
        <v>0</v>
      </c>
      <c r="AW153" s="197">
        <f t="shared" si="3297"/>
        <v>0</v>
      </c>
      <c r="AX153" s="197">
        <f t="shared" si="3297"/>
        <v>0</v>
      </c>
      <c r="AY153" s="197">
        <f t="shared" si="3297"/>
        <v>0</v>
      </c>
      <c r="AZ153" s="197">
        <f t="shared" si="3297"/>
        <v>0</v>
      </c>
      <c r="BA153" s="197">
        <f t="shared" si="3297"/>
        <v>0</v>
      </c>
      <c r="BB153" s="197">
        <f t="shared" si="3297"/>
        <v>0</v>
      </c>
      <c r="BC153" s="197">
        <f t="shared" si="3297"/>
        <v>0</v>
      </c>
      <c r="BD153" s="197">
        <f t="shared" si="3297"/>
        <v>0</v>
      </c>
      <c r="BE153" s="197">
        <f t="shared" si="3297"/>
        <v>0</v>
      </c>
      <c r="BF153" s="197">
        <f t="shared" si="3297"/>
        <v>0</v>
      </c>
      <c r="BG153" s="197">
        <f t="shared" si="3297"/>
        <v>0</v>
      </c>
      <c r="BH153" s="197">
        <f t="shared" si="3297"/>
        <v>0</v>
      </c>
      <c r="BI153" s="197">
        <f t="shared" si="3297"/>
        <v>0</v>
      </c>
      <c r="BJ153" s="197">
        <f t="shared" si="3297"/>
        <v>0</v>
      </c>
      <c r="BK153" s="197">
        <f t="shared" si="3297"/>
        <v>0</v>
      </c>
      <c r="BL153" s="197">
        <f t="shared" si="3297"/>
        <v>0</v>
      </c>
      <c r="BM153" s="197">
        <f t="shared" si="3297"/>
        <v>0</v>
      </c>
      <c r="BN153" s="197">
        <f t="shared" si="3297"/>
        <v>0</v>
      </c>
      <c r="BO153" s="197">
        <f t="shared" ref="BO153:CV153" si="3298">BO24-BO277</f>
        <v>0</v>
      </c>
      <c r="BP153" s="197">
        <f t="shared" si="3298"/>
        <v>0</v>
      </c>
      <c r="BQ153" s="197">
        <f t="shared" si="3298"/>
        <v>0</v>
      </c>
      <c r="BR153" s="197">
        <f t="shared" si="3298"/>
        <v>0</v>
      </c>
      <c r="BS153" s="197">
        <f t="shared" si="3298"/>
        <v>0</v>
      </c>
      <c r="BT153" s="197">
        <f t="shared" si="3298"/>
        <v>0</v>
      </c>
      <c r="BU153" s="197">
        <f t="shared" si="3298"/>
        <v>0</v>
      </c>
      <c r="BV153" s="197">
        <f t="shared" si="3298"/>
        <v>0</v>
      </c>
      <c r="BW153" s="197">
        <f t="shared" si="3298"/>
        <v>0</v>
      </c>
      <c r="BX153" s="197">
        <f t="shared" si="3298"/>
        <v>0</v>
      </c>
      <c r="BY153" s="197">
        <f t="shared" si="3298"/>
        <v>0</v>
      </c>
      <c r="BZ153" s="197">
        <f t="shared" si="3298"/>
        <v>0</v>
      </c>
      <c r="CA153" s="197">
        <f t="shared" si="3298"/>
        <v>0</v>
      </c>
      <c r="CB153" s="197">
        <f t="shared" si="3298"/>
        <v>0</v>
      </c>
      <c r="CC153" s="197">
        <f t="shared" si="3298"/>
        <v>0</v>
      </c>
      <c r="CD153" s="197">
        <f t="shared" si="3298"/>
        <v>0</v>
      </c>
      <c r="CE153" s="197">
        <f t="shared" si="3298"/>
        <v>0</v>
      </c>
      <c r="CF153" s="197">
        <f t="shared" si="3298"/>
        <v>0</v>
      </c>
      <c r="CG153" s="197">
        <f t="shared" si="3298"/>
        <v>0</v>
      </c>
      <c r="CH153" s="197">
        <f t="shared" si="3298"/>
        <v>0</v>
      </c>
      <c r="CI153" s="197">
        <f t="shared" si="3298"/>
        <v>0</v>
      </c>
      <c r="CJ153" s="197">
        <f t="shared" si="3298"/>
        <v>0</v>
      </c>
      <c r="CK153" s="197">
        <f t="shared" si="3298"/>
        <v>0</v>
      </c>
      <c r="CL153" s="197">
        <f t="shared" si="3298"/>
        <v>0</v>
      </c>
      <c r="CM153" s="197">
        <f t="shared" si="3298"/>
        <v>0</v>
      </c>
      <c r="CN153" s="197">
        <f t="shared" si="3298"/>
        <v>0</v>
      </c>
      <c r="CO153" s="197">
        <f t="shared" si="3298"/>
        <v>0</v>
      </c>
      <c r="CP153" s="197">
        <f t="shared" si="3298"/>
        <v>0</v>
      </c>
      <c r="CQ153" s="197">
        <f t="shared" si="3298"/>
        <v>0</v>
      </c>
      <c r="CR153" s="197">
        <f t="shared" si="3298"/>
        <v>0</v>
      </c>
      <c r="CS153" s="197">
        <f t="shared" si="3298"/>
        <v>0</v>
      </c>
      <c r="CT153" s="197">
        <f t="shared" si="3298"/>
        <v>0</v>
      </c>
      <c r="CU153" s="197">
        <f t="shared" si="3298"/>
        <v>0</v>
      </c>
      <c r="CV153" s="197">
        <f t="shared" si="3298"/>
        <v>0</v>
      </c>
      <c r="CW153" s="197"/>
      <c r="CX153" s="197">
        <f>CX24-CX277</f>
        <v>0</v>
      </c>
      <c r="CY153" s="197">
        <f>CY24-CY277</f>
        <v>0</v>
      </c>
      <c r="CZ153" s="197">
        <f>CZ24-CZ277</f>
        <v>0</v>
      </c>
      <c r="DA153" s="197">
        <f>DA24-DA277</f>
        <v>0</v>
      </c>
      <c r="DB153" s="197">
        <f>DB24-DB277</f>
        <v>6.3948846218409017E-14</v>
      </c>
      <c r="DC153" s="197">
        <f>DC24-DC277</f>
        <v>0</v>
      </c>
      <c r="DD153" s="197"/>
      <c r="DE153" s="197">
        <f t="shared" ref="DE153:EG153" si="3299">DE24-DE277</f>
        <v>0</v>
      </c>
      <c r="DF153" s="197">
        <f t="shared" si="3299"/>
        <v>0</v>
      </c>
      <c r="DG153" s="197">
        <f t="shared" si="3299"/>
        <v>40.466689455624554</v>
      </c>
      <c r="DH153" s="197">
        <f t="shared" si="3299"/>
        <v>0</v>
      </c>
      <c r="DI153" s="197">
        <f t="shared" si="3299"/>
        <v>0</v>
      </c>
      <c r="DJ153" s="197">
        <f t="shared" si="3299"/>
        <v>0</v>
      </c>
      <c r="DK153" s="197">
        <f t="shared" si="3299"/>
        <v>0</v>
      </c>
      <c r="DL153" s="197">
        <f t="shared" si="3299"/>
        <v>0</v>
      </c>
      <c r="DM153" s="197">
        <f t="shared" si="3299"/>
        <v>0</v>
      </c>
      <c r="DN153" s="197">
        <f t="shared" si="3299"/>
        <v>0</v>
      </c>
      <c r="DO153" s="197">
        <f t="shared" si="3299"/>
        <v>0</v>
      </c>
      <c r="DP153" s="197">
        <f t="shared" si="3299"/>
        <v>0</v>
      </c>
      <c r="DQ153" s="197">
        <f t="shared" si="3299"/>
        <v>0</v>
      </c>
      <c r="DR153" s="197">
        <f t="shared" si="3299"/>
        <v>0</v>
      </c>
      <c r="DS153" s="197">
        <f t="shared" si="3299"/>
        <v>0.80336988713679669</v>
      </c>
      <c r="DT153" s="197">
        <f t="shared" si="3299"/>
        <v>0</v>
      </c>
      <c r="DU153" s="197">
        <f t="shared" si="3299"/>
        <v>0</v>
      </c>
      <c r="DV153" s="197">
        <f t="shared" si="3299"/>
        <v>0</v>
      </c>
      <c r="DW153" s="197">
        <f t="shared" si="3299"/>
        <v>0</v>
      </c>
      <c r="DX153" s="197">
        <f t="shared" si="3299"/>
        <v>0</v>
      </c>
      <c r="DY153" s="197">
        <f t="shared" si="3299"/>
        <v>0</v>
      </c>
      <c r="DZ153" s="197">
        <f t="shared" si="3299"/>
        <v>0</v>
      </c>
      <c r="EA153" s="197">
        <f t="shared" si="3299"/>
        <v>0</v>
      </c>
      <c r="EB153" s="197">
        <f t="shared" si="3299"/>
        <v>2.7755575615628914E-17</v>
      </c>
      <c r="EC153" s="197">
        <f t="shared" si="3299"/>
        <v>0</v>
      </c>
      <c r="ED153" s="197">
        <f t="shared" si="3299"/>
        <v>0</v>
      </c>
      <c r="EE153" s="197">
        <f t="shared" si="3299"/>
        <v>0</v>
      </c>
      <c r="EF153" s="197">
        <f t="shared" si="3299"/>
        <v>0</v>
      </c>
      <c r="EG153" s="197">
        <f t="shared" si="3299"/>
        <v>0</v>
      </c>
    </row>
    <row r="154" spans="1:137" hidden="1">
      <c r="A154" s="157">
        <v>42736</v>
      </c>
      <c r="B154" s="197">
        <f>B25-B278</f>
        <v>15.502000000000407</v>
      </c>
      <c r="C154" s="197">
        <f>C25-C278</f>
        <v>0.51673333333334881</v>
      </c>
      <c r="D154" s="197">
        <f>D25-D278</f>
        <v>0.51673333333334881</v>
      </c>
      <c r="E154" s="197">
        <f>E25-E278</f>
        <v>3.2170969756963874E-3</v>
      </c>
      <c r="F154" s="197">
        <f>F25-F278</f>
        <v>11.367999999999938</v>
      </c>
      <c r="G154" s="197"/>
      <c r="H154" s="197"/>
      <c r="I154" s="197">
        <f t="shared" ref="I154:AB154" si="3300">I25-I278</f>
        <v>7.2390000000000327</v>
      </c>
      <c r="J154" s="197">
        <f t="shared" si="3300"/>
        <v>1.9817794177612313E-4</v>
      </c>
      <c r="K154" s="197">
        <f t="shared" si="3300"/>
        <v>3.0500812929972199E-3</v>
      </c>
      <c r="L154" s="197">
        <f t="shared" si="3300"/>
        <v>3.0500812929972199E-3</v>
      </c>
      <c r="M154" s="197">
        <f t="shared" si="3300"/>
        <v>1.0329999999999586</v>
      </c>
      <c r="N154" s="197">
        <f t="shared" si="3300"/>
        <v>1.8590000000000018</v>
      </c>
      <c r="O154" s="197">
        <f t="shared" si="3300"/>
        <v>5.6839999999999691</v>
      </c>
      <c r="P154" s="197">
        <f t="shared" si="3300"/>
        <v>0.66499999999996362</v>
      </c>
      <c r="Q154" s="197">
        <f t="shared" si="3300"/>
        <v>3.2259999999999991</v>
      </c>
      <c r="R154" s="197">
        <f t="shared" si="3300"/>
        <v>-2.5610000000000355</v>
      </c>
      <c r="S154" s="197">
        <f t="shared" si="3300"/>
        <v>0</v>
      </c>
      <c r="T154" s="197">
        <f t="shared" si="3300"/>
        <v>12.413000000000011</v>
      </c>
      <c r="U154" s="197">
        <f t="shared" si="3300"/>
        <v>13.078000000000429</v>
      </c>
      <c r="V154" s="197">
        <f t="shared" si="3300"/>
        <v>8.0292535458752479E-3</v>
      </c>
      <c r="W154" s="197">
        <f t="shared" si="3300"/>
        <v>-1.7367855711949431E-3</v>
      </c>
      <c r="X154" s="197">
        <f t="shared" si="3300"/>
        <v>-1.7367855711949431E-3</v>
      </c>
      <c r="Y154" s="197">
        <f t="shared" si="3300"/>
        <v>1.3132957218005004E-3</v>
      </c>
      <c r="Z154" s="197">
        <f t="shared" si="3300"/>
        <v>10.844000000000051</v>
      </c>
      <c r="AA154" s="197">
        <f t="shared" si="3300"/>
        <v>12.429999999999836</v>
      </c>
      <c r="AB154" s="197">
        <f t="shared" si="3300"/>
        <v>-1.4314346160443081E-3</v>
      </c>
      <c r="AC154" s="163"/>
      <c r="AD154" s="163"/>
      <c r="AE154" s="163"/>
      <c r="AF154" s="163"/>
      <c r="AH154" s="197"/>
      <c r="AI154" s="197">
        <f t="shared" ref="AI154:BN154" si="3301">AI25-AI278</f>
        <v>0</v>
      </c>
      <c r="AJ154" s="197">
        <f t="shared" si="3301"/>
        <v>0</v>
      </c>
      <c r="AK154" s="197">
        <f t="shared" si="3301"/>
        <v>0</v>
      </c>
      <c r="AL154" s="197">
        <f t="shared" si="3301"/>
        <v>0</v>
      </c>
      <c r="AM154" s="197">
        <f t="shared" si="3301"/>
        <v>0</v>
      </c>
      <c r="AN154" s="197">
        <f t="shared" si="3301"/>
        <v>-1.9817794177612313E-4</v>
      </c>
      <c r="AO154" s="197">
        <f t="shared" si="3301"/>
        <v>0</v>
      </c>
      <c r="AP154" s="197">
        <f t="shared" si="3301"/>
        <v>0</v>
      </c>
      <c r="AQ154" s="197">
        <f t="shared" si="3301"/>
        <v>0</v>
      </c>
      <c r="AR154" s="197">
        <f t="shared" si="3301"/>
        <v>1.7367855711949431E-3</v>
      </c>
      <c r="AS154" s="197">
        <f t="shared" si="3301"/>
        <v>0</v>
      </c>
      <c r="AT154" s="197">
        <f t="shared" si="3301"/>
        <v>0</v>
      </c>
      <c r="AU154" s="197">
        <f t="shared" si="3301"/>
        <v>0</v>
      </c>
      <c r="AV154" s="197">
        <f t="shared" si="3301"/>
        <v>0</v>
      </c>
      <c r="AW154" s="197">
        <f t="shared" si="3301"/>
        <v>0</v>
      </c>
      <c r="AX154" s="197">
        <f t="shared" si="3301"/>
        <v>0</v>
      </c>
      <c r="AY154" s="197">
        <f t="shared" si="3301"/>
        <v>-1.9817794177612313E-4</v>
      </c>
      <c r="AZ154" s="197">
        <f t="shared" si="3301"/>
        <v>0</v>
      </c>
      <c r="BA154" s="197">
        <f t="shared" si="3301"/>
        <v>0</v>
      </c>
      <c r="BB154" s="197">
        <f t="shared" si="3301"/>
        <v>0</v>
      </c>
      <c r="BC154" s="197">
        <f t="shared" si="3301"/>
        <v>1.7367855711949431E-3</v>
      </c>
      <c r="BD154" s="197">
        <f t="shared" si="3301"/>
        <v>0</v>
      </c>
      <c r="BE154" s="197">
        <f t="shared" si="3301"/>
        <v>0</v>
      </c>
      <c r="BF154" s="197">
        <f t="shared" si="3301"/>
        <v>0</v>
      </c>
      <c r="BG154" s="197">
        <f t="shared" si="3301"/>
        <v>0</v>
      </c>
      <c r="BH154" s="197">
        <f t="shared" si="3301"/>
        <v>0</v>
      </c>
      <c r="BI154" s="197">
        <f t="shared" si="3301"/>
        <v>0</v>
      </c>
      <c r="BJ154" s="197">
        <f t="shared" si="3301"/>
        <v>-1.9817794177612313E-4</v>
      </c>
      <c r="BK154" s="197">
        <f t="shared" si="3301"/>
        <v>0</v>
      </c>
      <c r="BL154" s="197">
        <f t="shared" si="3301"/>
        <v>0</v>
      </c>
      <c r="BM154" s="197">
        <f t="shared" si="3301"/>
        <v>0</v>
      </c>
      <c r="BN154" s="197">
        <f t="shared" si="3301"/>
        <v>1.7367855711949431E-3</v>
      </c>
      <c r="BO154" s="197">
        <f t="shared" ref="BO154:CV154" si="3302">BO25-BO278</f>
        <v>0</v>
      </c>
      <c r="BP154" s="197">
        <f t="shared" si="3302"/>
        <v>0</v>
      </c>
      <c r="BQ154" s="197">
        <f t="shared" si="3302"/>
        <v>0</v>
      </c>
      <c r="BR154" s="197">
        <f t="shared" si="3302"/>
        <v>0</v>
      </c>
      <c r="BS154" s="197">
        <f t="shared" si="3302"/>
        <v>0</v>
      </c>
      <c r="BT154" s="197">
        <f t="shared" si="3302"/>
        <v>0</v>
      </c>
      <c r="BU154" s="197">
        <f t="shared" si="3302"/>
        <v>-1.9817794177612313E-4</v>
      </c>
      <c r="BV154" s="197">
        <f t="shared" si="3302"/>
        <v>0</v>
      </c>
      <c r="BW154" s="197">
        <f t="shared" si="3302"/>
        <v>0</v>
      </c>
      <c r="BX154" s="197">
        <f t="shared" si="3302"/>
        <v>0</v>
      </c>
      <c r="BY154" s="197">
        <f t="shared" si="3302"/>
        <v>1.7367855711949431E-3</v>
      </c>
      <c r="BZ154" s="197">
        <f t="shared" si="3302"/>
        <v>0</v>
      </c>
      <c r="CA154" s="197">
        <f t="shared" si="3302"/>
        <v>15.502000000000066</v>
      </c>
      <c r="CB154" s="197">
        <f t="shared" si="3302"/>
        <v>0.5167333333333346</v>
      </c>
      <c r="CC154" s="197">
        <f t="shared" si="3302"/>
        <v>0</v>
      </c>
      <c r="CD154" s="197">
        <f t="shared" si="3302"/>
        <v>0</v>
      </c>
      <c r="CE154" s="197">
        <f t="shared" si="3302"/>
        <v>-0.98372361137047903</v>
      </c>
      <c r="CF154" s="197">
        <f t="shared" si="3302"/>
        <v>-0.98392178931225516</v>
      </c>
      <c r="CG154" s="197">
        <f t="shared" si="3302"/>
        <v>0</v>
      </c>
      <c r="CH154" s="197">
        <f t="shared" si="3302"/>
        <v>0</v>
      </c>
      <c r="CI154" s="197">
        <f t="shared" si="3302"/>
        <v>-0.2609578818249787</v>
      </c>
      <c r="CJ154" s="197">
        <f t="shared" si="3302"/>
        <v>-0.25922109625378376</v>
      </c>
      <c r="CK154" s="197">
        <f t="shared" si="3302"/>
        <v>-1.2446814931954577</v>
      </c>
      <c r="CL154" s="197">
        <f t="shared" si="3302"/>
        <v>0</v>
      </c>
      <c r="CM154" s="197">
        <f t="shared" si="3302"/>
        <v>0</v>
      </c>
      <c r="CN154" s="197">
        <f t="shared" si="3302"/>
        <v>0</v>
      </c>
      <c r="CO154" s="197">
        <f t="shared" si="3302"/>
        <v>0</v>
      </c>
      <c r="CP154" s="197">
        <f t="shared" si="3302"/>
        <v>0</v>
      </c>
      <c r="CQ154" s="197">
        <f t="shared" si="3302"/>
        <v>-1.9817794177612313E-4</v>
      </c>
      <c r="CR154" s="197">
        <f t="shared" si="3302"/>
        <v>0</v>
      </c>
      <c r="CS154" s="197">
        <f t="shared" si="3302"/>
        <v>0</v>
      </c>
      <c r="CT154" s="197">
        <f t="shared" si="3302"/>
        <v>0</v>
      </c>
      <c r="CU154" s="197">
        <f t="shared" si="3302"/>
        <v>1.7367855711949431E-3</v>
      </c>
      <c r="CV154" s="197">
        <f t="shared" si="3302"/>
        <v>0</v>
      </c>
      <c r="CW154" s="197"/>
      <c r="CX154" s="197">
        <f>CX25-CX278</f>
        <v>0</v>
      </c>
      <c r="CY154" s="197">
        <f>CY25-CY278</f>
        <v>11.368000000000166</v>
      </c>
      <c r="CZ154" s="197">
        <f>CZ25-CZ278</f>
        <v>7.2390000000000327</v>
      </c>
      <c r="DA154" s="197">
        <f>DA25-DA278</f>
        <v>5.6840000000000828</v>
      </c>
      <c r="DB154" s="197">
        <f>DB25-DB278</f>
        <v>3.225999999999992</v>
      </c>
      <c r="DC154" s="197">
        <f>DC25-DC278</f>
        <v>0</v>
      </c>
      <c r="DD154" s="197"/>
      <c r="DE154" s="197">
        <f t="shared" ref="DE154:EG154" si="3303">DE25-DE278</f>
        <v>0</v>
      </c>
      <c r="DF154" s="197">
        <f t="shared" si="3303"/>
        <v>0</v>
      </c>
      <c r="DG154" s="197">
        <f t="shared" si="3303"/>
        <v>40.302483996858967</v>
      </c>
      <c r="DH154" s="197">
        <f t="shared" si="3303"/>
        <v>0</v>
      </c>
      <c r="DI154" s="197">
        <f t="shared" si="3303"/>
        <v>0</v>
      </c>
      <c r="DJ154" s="197">
        <f t="shared" si="3303"/>
        <v>0</v>
      </c>
      <c r="DK154" s="197">
        <f t="shared" si="3303"/>
        <v>0</v>
      </c>
      <c r="DL154" s="197">
        <f t="shared" si="3303"/>
        <v>0</v>
      </c>
      <c r="DM154" s="197">
        <f t="shared" si="3303"/>
        <v>0</v>
      </c>
      <c r="DN154" s="197">
        <f t="shared" si="3303"/>
        <v>0</v>
      </c>
      <c r="DO154" s="197">
        <f t="shared" si="3303"/>
        <v>199</v>
      </c>
      <c r="DP154" s="197">
        <f t="shared" si="3303"/>
        <v>0</v>
      </c>
      <c r="DQ154" s="197">
        <f t="shared" si="3303"/>
        <v>199</v>
      </c>
      <c r="DR154" s="197">
        <f t="shared" si="3303"/>
        <v>0</v>
      </c>
      <c r="DS154" s="197">
        <f t="shared" si="3303"/>
        <v>0.77876094463555445</v>
      </c>
      <c r="DT154" s="197">
        <f t="shared" si="3303"/>
        <v>0</v>
      </c>
      <c r="DU154" s="197">
        <f t="shared" si="3303"/>
        <v>0</v>
      </c>
      <c r="DV154" s="197">
        <f t="shared" si="3303"/>
        <v>0</v>
      </c>
      <c r="DW154" s="197">
        <f t="shared" si="3303"/>
        <v>0</v>
      </c>
      <c r="DX154" s="197">
        <f t="shared" si="3303"/>
        <v>0</v>
      </c>
      <c r="DY154" s="197">
        <f t="shared" si="3303"/>
        <v>0</v>
      </c>
      <c r="DZ154" s="197">
        <f t="shared" si="3303"/>
        <v>0</v>
      </c>
      <c r="EA154" s="197">
        <f t="shared" si="3303"/>
        <v>0</v>
      </c>
      <c r="EB154" s="197">
        <f t="shared" si="3303"/>
        <v>0</v>
      </c>
      <c r="EC154" s="197">
        <f t="shared" si="3303"/>
        <v>0</v>
      </c>
      <c r="ED154" s="197">
        <f t="shared" si="3303"/>
        <v>0</v>
      </c>
      <c r="EE154" s="197">
        <f t="shared" si="3303"/>
        <v>0</v>
      </c>
      <c r="EF154" s="197">
        <f t="shared" si="3303"/>
        <v>0</v>
      </c>
      <c r="EG154" s="197">
        <f t="shared" si="3303"/>
        <v>0</v>
      </c>
    </row>
    <row r="155" spans="1:137" hidden="1">
      <c r="A155" s="157">
        <v>42767</v>
      </c>
      <c r="B155" s="197">
        <f>B26-B279</f>
        <v>12.248000000000502</v>
      </c>
      <c r="C155" s="197">
        <f>C26-C279</f>
        <v>0.40826666666669098</v>
      </c>
      <c r="D155" s="197">
        <f>D26-D279</f>
        <v>0.40826666666669098</v>
      </c>
      <c r="E155" s="197">
        <f>E26-E279</f>
        <v>2.859170448391346E-3</v>
      </c>
      <c r="F155" s="197">
        <f>F26-F279</f>
        <v>8.9819999999999709</v>
      </c>
      <c r="G155" s="197"/>
      <c r="H155" s="197"/>
      <c r="I155" s="197">
        <f t="shared" ref="I155:AB155" si="3304">I26-I279</f>
        <v>9.7769999999999868</v>
      </c>
      <c r="J155" s="197">
        <f t="shared" si="3304"/>
        <v>2.7802291100442744E-6</v>
      </c>
      <c r="K155" s="197">
        <f t="shared" si="3304"/>
        <v>2.6749052129702022E-3</v>
      </c>
      <c r="L155" s="197">
        <f t="shared" si="3304"/>
        <v>2.6749052129702022E-3</v>
      </c>
      <c r="M155" s="197">
        <f t="shared" si="3304"/>
        <v>0.81700000000000728</v>
      </c>
      <c r="N155" s="197">
        <f t="shared" si="3304"/>
        <v>2.4939999999999998</v>
      </c>
      <c r="O155" s="197">
        <f t="shared" si="3304"/>
        <v>4.4909999999999854</v>
      </c>
      <c r="P155" s="197">
        <f t="shared" si="3304"/>
        <v>4.2049999999999272</v>
      </c>
      <c r="Q155" s="197">
        <f t="shared" si="3304"/>
        <v>3.2300000000000182</v>
      </c>
      <c r="R155" s="197">
        <f t="shared" si="3304"/>
        <v>0.97500000000002274</v>
      </c>
      <c r="S155" s="197">
        <f t="shared" si="3304"/>
        <v>0</v>
      </c>
      <c r="T155" s="197">
        <f t="shared" si="3304"/>
        <v>3.2179999999999609</v>
      </c>
      <c r="U155" s="197">
        <f t="shared" si="3304"/>
        <v>7.4229999999997744</v>
      </c>
      <c r="V155" s="197">
        <f t="shared" si="3304"/>
        <v>4.1936431533391438E-3</v>
      </c>
      <c r="W155" s="197">
        <f t="shared" si="3304"/>
        <v>-1.6335654822725587E-3</v>
      </c>
      <c r="X155" s="197">
        <f t="shared" si="3304"/>
        <v>-1.6335654822725587E-3</v>
      </c>
      <c r="Y155" s="197">
        <f t="shared" si="3304"/>
        <v>1.0413397306976435E-3</v>
      </c>
      <c r="Z155" s="197">
        <f t="shared" si="3304"/>
        <v>-8.7200000000000273</v>
      </c>
      <c r="AA155" s="197">
        <f t="shared" si="3304"/>
        <v>-7.5739999999998417</v>
      </c>
      <c r="AB155" s="197">
        <f t="shared" si="3304"/>
        <v>-6.7937729446856943E-4</v>
      </c>
      <c r="AC155" s="163"/>
      <c r="AD155" s="163"/>
      <c r="AE155" s="163"/>
      <c r="AF155" s="163"/>
      <c r="AH155" s="197"/>
      <c r="AI155" s="197">
        <f t="shared" ref="AI155:BN155" si="3305">AI26-AI279</f>
        <v>0</v>
      </c>
      <c r="AJ155" s="197">
        <f t="shared" si="3305"/>
        <v>0</v>
      </c>
      <c r="AK155" s="197">
        <f t="shared" si="3305"/>
        <v>0</v>
      </c>
      <c r="AL155" s="197">
        <f t="shared" si="3305"/>
        <v>0</v>
      </c>
      <c r="AM155" s="197">
        <f t="shared" si="3305"/>
        <v>0</v>
      </c>
      <c r="AN155" s="197">
        <f t="shared" si="3305"/>
        <v>-2.7802291100442744E-6</v>
      </c>
      <c r="AO155" s="197">
        <f t="shared" si="3305"/>
        <v>0</v>
      </c>
      <c r="AP155" s="197">
        <f t="shared" si="3305"/>
        <v>0</v>
      </c>
      <c r="AQ155" s="197">
        <f t="shared" si="3305"/>
        <v>0</v>
      </c>
      <c r="AR155" s="197">
        <f t="shared" si="3305"/>
        <v>1.6335654822725587E-3</v>
      </c>
      <c r="AS155" s="197">
        <f t="shared" si="3305"/>
        <v>0</v>
      </c>
      <c r="AT155" s="197">
        <f t="shared" si="3305"/>
        <v>0</v>
      </c>
      <c r="AU155" s="197">
        <f t="shared" si="3305"/>
        <v>0</v>
      </c>
      <c r="AV155" s="197">
        <f t="shared" si="3305"/>
        <v>0</v>
      </c>
      <c r="AW155" s="197">
        <f t="shared" si="3305"/>
        <v>0</v>
      </c>
      <c r="AX155" s="197">
        <f t="shared" si="3305"/>
        <v>0</v>
      </c>
      <c r="AY155" s="197">
        <f t="shared" si="3305"/>
        <v>-2.7802291100442744E-6</v>
      </c>
      <c r="AZ155" s="197">
        <f t="shared" si="3305"/>
        <v>0</v>
      </c>
      <c r="BA155" s="197">
        <f t="shared" si="3305"/>
        <v>0</v>
      </c>
      <c r="BB155" s="197">
        <f t="shared" si="3305"/>
        <v>0</v>
      </c>
      <c r="BC155" s="197">
        <f t="shared" si="3305"/>
        <v>1.6335654822725587E-3</v>
      </c>
      <c r="BD155" s="197">
        <f t="shared" si="3305"/>
        <v>0</v>
      </c>
      <c r="BE155" s="197">
        <f t="shared" si="3305"/>
        <v>0</v>
      </c>
      <c r="BF155" s="197">
        <f t="shared" si="3305"/>
        <v>0</v>
      </c>
      <c r="BG155" s="197">
        <f t="shared" si="3305"/>
        <v>0</v>
      </c>
      <c r="BH155" s="197">
        <f t="shared" si="3305"/>
        <v>0</v>
      </c>
      <c r="BI155" s="197">
        <f t="shared" si="3305"/>
        <v>0</v>
      </c>
      <c r="BJ155" s="197">
        <f t="shared" si="3305"/>
        <v>-2.7802291100442744E-6</v>
      </c>
      <c r="BK155" s="197">
        <f t="shared" si="3305"/>
        <v>0</v>
      </c>
      <c r="BL155" s="197">
        <f t="shared" si="3305"/>
        <v>0</v>
      </c>
      <c r="BM155" s="197">
        <f t="shared" si="3305"/>
        <v>0</v>
      </c>
      <c r="BN155" s="197">
        <f t="shared" si="3305"/>
        <v>1.6335654822725587E-3</v>
      </c>
      <c r="BO155" s="197">
        <f t="shared" ref="BO155:CV155" si="3306">BO26-BO279</f>
        <v>0</v>
      </c>
      <c r="BP155" s="197">
        <f t="shared" si="3306"/>
        <v>0</v>
      </c>
      <c r="BQ155" s="197">
        <f t="shared" si="3306"/>
        <v>0</v>
      </c>
      <c r="BR155" s="197">
        <f t="shared" si="3306"/>
        <v>0</v>
      </c>
      <c r="BS155" s="197">
        <f t="shared" si="3306"/>
        <v>0</v>
      </c>
      <c r="BT155" s="197">
        <f t="shared" si="3306"/>
        <v>0</v>
      </c>
      <c r="BU155" s="197">
        <f t="shared" si="3306"/>
        <v>-2.7802291100442744E-6</v>
      </c>
      <c r="BV155" s="197">
        <f t="shared" si="3306"/>
        <v>0</v>
      </c>
      <c r="BW155" s="197">
        <f t="shared" si="3306"/>
        <v>0</v>
      </c>
      <c r="BX155" s="197">
        <f t="shared" si="3306"/>
        <v>0</v>
      </c>
      <c r="BY155" s="197">
        <f t="shared" si="3306"/>
        <v>1.6335654822725587E-3</v>
      </c>
      <c r="BZ155" s="197">
        <f t="shared" si="3306"/>
        <v>0</v>
      </c>
      <c r="CA155" s="197">
        <f t="shared" si="3306"/>
        <v>12.247999999999934</v>
      </c>
      <c r="CB155" s="197">
        <f t="shared" si="3306"/>
        <v>0.40826666666666611</v>
      </c>
      <c r="CC155" s="197">
        <f t="shared" si="3306"/>
        <v>0</v>
      </c>
      <c r="CD155" s="197">
        <f t="shared" si="3306"/>
        <v>0</v>
      </c>
      <c r="CE155" s="197">
        <f t="shared" si="3306"/>
        <v>-0.85542484808775043</v>
      </c>
      <c r="CF155" s="197">
        <f t="shared" si="3306"/>
        <v>-0.85542762831686048</v>
      </c>
      <c r="CG155" s="197">
        <f t="shared" si="3306"/>
        <v>0</v>
      </c>
      <c r="CH155" s="197">
        <f t="shared" si="3306"/>
        <v>0</v>
      </c>
      <c r="CI155" s="197">
        <f t="shared" si="3306"/>
        <v>-0.22917792654492963</v>
      </c>
      <c r="CJ155" s="197">
        <f t="shared" si="3306"/>
        <v>-0.22754436106265707</v>
      </c>
      <c r="CK155" s="197">
        <f t="shared" si="3306"/>
        <v>-1.0846027746326783</v>
      </c>
      <c r="CL155" s="197">
        <f t="shared" si="3306"/>
        <v>0</v>
      </c>
      <c r="CM155" s="197">
        <f t="shared" si="3306"/>
        <v>0</v>
      </c>
      <c r="CN155" s="197">
        <f t="shared" si="3306"/>
        <v>0</v>
      </c>
      <c r="CO155" s="197">
        <f t="shared" si="3306"/>
        <v>0</v>
      </c>
      <c r="CP155" s="197">
        <f t="shared" si="3306"/>
        <v>0</v>
      </c>
      <c r="CQ155" s="197">
        <f t="shared" si="3306"/>
        <v>-2.7802291100442744E-6</v>
      </c>
      <c r="CR155" s="197">
        <f t="shared" si="3306"/>
        <v>0</v>
      </c>
      <c r="CS155" s="197">
        <f t="shared" si="3306"/>
        <v>0</v>
      </c>
      <c r="CT155" s="197">
        <f t="shared" si="3306"/>
        <v>0</v>
      </c>
      <c r="CU155" s="197">
        <f t="shared" si="3306"/>
        <v>1.6335654822725587E-3</v>
      </c>
      <c r="CV155" s="197">
        <f t="shared" si="3306"/>
        <v>0</v>
      </c>
      <c r="CW155" s="197"/>
      <c r="CX155" s="197">
        <f>CX26-CX279</f>
        <v>0</v>
      </c>
      <c r="CY155" s="197">
        <f>CY26-CY279</f>
        <v>8.982000000000312</v>
      </c>
      <c r="CZ155" s="197">
        <f>CZ26-CZ279</f>
        <v>9.7770000000000081</v>
      </c>
      <c r="DA155" s="197">
        <f>DA26-DA279</f>
        <v>4.4910000000000991</v>
      </c>
      <c r="DB155" s="197">
        <f>DB26-DB279</f>
        <v>3.2299999999999898</v>
      </c>
      <c r="DC155" s="197">
        <f>DC26-DC279</f>
        <v>0</v>
      </c>
      <c r="DD155" s="197"/>
      <c r="DE155" s="197">
        <f t="shared" ref="DE155:EG155" si="3307">DE26-DE279</f>
        <v>0</v>
      </c>
      <c r="DF155" s="197">
        <f t="shared" si="3307"/>
        <v>0</v>
      </c>
      <c r="DG155" s="197">
        <f t="shared" si="3307"/>
        <v>40.196163425527963</v>
      </c>
      <c r="DH155" s="197">
        <f t="shared" si="3307"/>
        <v>0</v>
      </c>
      <c r="DI155" s="197">
        <f t="shared" si="3307"/>
        <v>0</v>
      </c>
      <c r="DJ155" s="197">
        <f t="shared" si="3307"/>
        <v>0</v>
      </c>
      <c r="DK155" s="197">
        <f t="shared" si="3307"/>
        <v>0</v>
      </c>
      <c r="DL155" s="197">
        <f t="shared" si="3307"/>
        <v>0</v>
      </c>
      <c r="DM155" s="197">
        <f t="shared" si="3307"/>
        <v>0</v>
      </c>
      <c r="DN155" s="197">
        <f t="shared" si="3307"/>
        <v>0</v>
      </c>
      <c r="DO155" s="197">
        <f t="shared" si="3307"/>
        <v>183</v>
      </c>
      <c r="DP155" s="197">
        <f t="shared" si="3307"/>
        <v>0</v>
      </c>
      <c r="DQ155" s="197">
        <f t="shared" si="3307"/>
        <v>183</v>
      </c>
      <c r="DR155" s="197">
        <f t="shared" si="3307"/>
        <v>0</v>
      </c>
      <c r="DS155" s="197">
        <f t="shared" si="3307"/>
        <v>0.86162937767519621</v>
      </c>
      <c r="DT155" s="197">
        <f t="shared" si="3307"/>
        <v>0</v>
      </c>
      <c r="DU155" s="197">
        <f t="shared" si="3307"/>
        <v>0</v>
      </c>
      <c r="DV155" s="197">
        <f t="shared" si="3307"/>
        <v>0</v>
      </c>
      <c r="DW155" s="197">
        <f t="shared" si="3307"/>
        <v>0</v>
      </c>
      <c r="DX155" s="197">
        <f t="shared" si="3307"/>
        <v>0</v>
      </c>
      <c r="DY155" s="197">
        <f t="shared" si="3307"/>
        <v>0</v>
      </c>
      <c r="DZ155" s="197">
        <f t="shared" si="3307"/>
        <v>0</v>
      </c>
      <c r="EA155" s="197">
        <f t="shared" si="3307"/>
        <v>0</v>
      </c>
      <c r="EB155" s="197">
        <f t="shared" si="3307"/>
        <v>0</v>
      </c>
      <c r="EC155" s="197">
        <f t="shared" si="3307"/>
        <v>0</v>
      </c>
      <c r="ED155" s="197">
        <f t="shared" si="3307"/>
        <v>0</v>
      </c>
      <c r="EE155" s="197">
        <f t="shared" si="3307"/>
        <v>0</v>
      </c>
      <c r="EF155" s="197">
        <f t="shared" si="3307"/>
        <v>0</v>
      </c>
      <c r="EG155" s="197">
        <f t="shared" si="3307"/>
        <v>0</v>
      </c>
    </row>
    <row r="156" spans="1:137" hidden="1">
      <c r="A156" s="157">
        <v>42795</v>
      </c>
      <c r="B156" s="197">
        <f>B27-B280</f>
        <v>22.90900000000056</v>
      </c>
      <c r="C156" s="197">
        <f>C27-C280</f>
        <v>0.76363333333333117</v>
      </c>
      <c r="D156" s="197">
        <f>D27-D280</f>
        <v>0.76363333333333117</v>
      </c>
      <c r="E156" s="197">
        <f>E27-E280</f>
        <v>4.9891110239992376E-3</v>
      </c>
      <c r="F156" s="197">
        <f>F27-F280</f>
        <v>16.800000000000182</v>
      </c>
      <c r="G156" s="197"/>
      <c r="H156" s="197"/>
      <c r="I156" s="197">
        <f t="shared" ref="I156:AB156" si="3308">I27-I280</f>
        <v>17.185000000000002</v>
      </c>
      <c r="J156" s="197">
        <f t="shared" si="3308"/>
        <v>4.8206508413528582E-4</v>
      </c>
      <c r="K156" s="197">
        <f t="shared" si="3308"/>
        <v>5.0267194541362414E-3</v>
      </c>
      <c r="L156" s="197">
        <f t="shared" si="3308"/>
        <v>5.0267194541362414E-3</v>
      </c>
      <c r="M156" s="197">
        <f t="shared" si="3308"/>
        <v>1.5269999999999868</v>
      </c>
      <c r="N156" s="197">
        <f t="shared" si="3308"/>
        <v>3.6510000000000034</v>
      </c>
      <c r="O156" s="197">
        <f t="shared" si="3308"/>
        <v>8.3999999999998636</v>
      </c>
      <c r="P156" s="197">
        <f t="shared" si="3308"/>
        <v>5.0979999999999563</v>
      </c>
      <c r="Q156" s="197">
        <f t="shared" si="3308"/>
        <v>3.5109999999999673</v>
      </c>
      <c r="R156" s="197">
        <f t="shared" si="3308"/>
        <v>1.5869999999999891</v>
      </c>
      <c r="S156" s="197">
        <f t="shared" si="3308"/>
        <v>0</v>
      </c>
      <c r="T156" s="197">
        <f t="shared" si="3308"/>
        <v>1.9769999999999754</v>
      </c>
      <c r="U156" s="197">
        <f t="shared" si="3308"/>
        <v>7.0749999999998181</v>
      </c>
      <c r="V156" s="197">
        <f t="shared" si="3308"/>
        <v>3.8977280239758105E-3</v>
      </c>
      <c r="W156" s="197">
        <f t="shared" si="3308"/>
        <v>-2.8808341374801927E-3</v>
      </c>
      <c r="X156" s="197">
        <f t="shared" si="3308"/>
        <v>-2.8808341374801927E-3</v>
      </c>
      <c r="Y156" s="197">
        <f t="shared" si="3308"/>
        <v>2.1458853166507197E-3</v>
      </c>
      <c r="Z156" s="197">
        <f t="shared" si="3308"/>
        <v>8.3999999999998636</v>
      </c>
      <c r="AA156" s="197">
        <f t="shared" si="3308"/>
        <v>8.4000000000000909</v>
      </c>
      <c r="AB156" s="197">
        <f t="shared" si="3308"/>
        <v>-1.3788997245725229E-4</v>
      </c>
      <c r="AC156" s="163"/>
      <c r="AD156" s="163"/>
      <c r="AE156" s="163"/>
      <c r="AF156" s="163"/>
      <c r="AH156" s="197"/>
      <c r="AI156" s="197">
        <f t="shared" ref="AI156:BN156" si="3309">AI27-AI280</f>
        <v>0</v>
      </c>
      <c r="AJ156" s="197">
        <f t="shared" si="3309"/>
        <v>0</v>
      </c>
      <c r="AK156" s="197">
        <f t="shared" si="3309"/>
        <v>0</v>
      </c>
      <c r="AL156" s="197">
        <f t="shared" si="3309"/>
        <v>0</v>
      </c>
      <c r="AM156" s="197">
        <f t="shared" si="3309"/>
        <v>0</v>
      </c>
      <c r="AN156" s="197">
        <f t="shared" si="3309"/>
        <v>-4.8206508413528582E-4</v>
      </c>
      <c r="AO156" s="197">
        <f t="shared" si="3309"/>
        <v>0</v>
      </c>
      <c r="AP156" s="197">
        <f t="shared" si="3309"/>
        <v>0</v>
      </c>
      <c r="AQ156" s="197">
        <f t="shared" si="3309"/>
        <v>0</v>
      </c>
      <c r="AR156" s="197">
        <f t="shared" si="3309"/>
        <v>2.8808341374801927E-3</v>
      </c>
      <c r="AS156" s="197">
        <f t="shared" si="3309"/>
        <v>0</v>
      </c>
      <c r="AT156" s="197">
        <f t="shared" si="3309"/>
        <v>0</v>
      </c>
      <c r="AU156" s="197">
        <f t="shared" si="3309"/>
        <v>0</v>
      </c>
      <c r="AV156" s="197">
        <f t="shared" si="3309"/>
        <v>0</v>
      </c>
      <c r="AW156" s="197">
        <f t="shared" si="3309"/>
        <v>0</v>
      </c>
      <c r="AX156" s="197">
        <f t="shared" si="3309"/>
        <v>0</v>
      </c>
      <c r="AY156" s="197">
        <f t="shared" si="3309"/>
        <v>-4.8206508413528582E-4</v>
      </c>
      <c r="AZ156" s="197">
        <f t="shared" si="3309"/>
        <v>0</v>
      </c>
      <c r="BA156" s="197">
        <f t="shared" si="3309"/>
        <v>0</v>
      </c>
      <c r="BB156" s="197">
        <f t="shared" si="3309"/>
        <v>0</v>
      </c>
      <c r="BC156" s="197">
        <f t="shared" si="3309"/>
        <v>2.8808341374801927E-3</v>
      </c>
      <c r="BD156" s="197">
        <f t="shared" si="3309"/>
        <v>0</v>
      </c>
      <c r="BE156" s="197">
        <f t="shared" si="3309"/>
        <v>0</v>
      </c>
      <c r="BF156" s="197">
        <f t="shared" si="3309"/>
        <v>0</v>
      </c>
      <c r="BG156" s="197">
        <f t="shared" si="3309"/>
        <v>0</v>
      </c>
      <c r="BH156" s="197">
        <f t="shared" si="3309"/>
        <v>0</v>
      </c>
      <c r="BI156" s="197">
        <f t="shared" si="3309"/>
        <v>0</v>
      </c>
      <c r="BJ156" s="197">
        <f t="shared" si="3309"/>
        <v>-4.8206508413528582E-4</v>
      </c>
      <c r="BK156" s="197">
        <f t="shared" si="3309"/>
        <v>0</v>
      </c>
      <c r="BL156" s="197">
        <f t="shared" si="3309"/>
        <v>0</v>
      </c>
      <c r="BM156" s="197">
        <f t="shared" si="3309"/>
        <v>0</v>
      </c>
      <c r="BN156" s="197">
        <f t="shared" si="3309"/>
        <v>2.8808341374801927E-3</v>
      </c>
      <c r="BO156" s="197">
        <f t="shared" ref="BO156:CV156" si="3310">BO27-BO280</f>
        <v>0</v>
      </c>
      <c r="BP156" s="197">
        <f t="shared" si="3310"/>
        <v>0</v>
      </c>
      <c r="BQ156" s="197">
        <f t="shared" si="3310"/>
        <v>0</v>
      </c>
      <c r="BR156" s="197">
        <f t="shared" si="3310"/>
        <v>0</v>
      </c>
      <c r="BS156" s="197">
        <f t="shared" si="3310"/>
        <v>0</v>
      </c>
      <c r="BT156" s="197">
        <f t="shared" si="3310"/>
        <v>0</v>
      </c>
      <c r="BU156" s="197">
        <f t="shared" si="3310"/>
        <v>-4.8206508413528582E-4</v>
      </c>
      <c r="BV156" s="197">
        <f t="shared" si="3310"/>
        <v>0</v>
      </c>
      <c r="BW156" s="197">
        <f t="shared" si="3310"/>
        <v>0</v>
      </c>
      <c r="BX156" s="197">
        <f t="shared" si="3310"/>
        <v>0</v>
      </c>
      <c r="BY156" s="197">
        <f t="shared" si="3310"/>
        <v>2.8808341374801927E-3</v>
      </c>
      <c r="BZ156" s="197">
        <f t="shared" si="3310"/>
        <v>0</v>
      </c>
      <c r="CA156" s="197">
        <f t="shared" si="3310"/>
        <v>22.908999999999992</v>
      </c>
      <c r="CB156" s="197">
        <f t="shared" si="3310"/>
        <v>0.76363333333333117</v>
      </c>
      <c r="CC156" s="197">
        <f t="shared" si="3310"/>
        <v>0</v>
      </c>
      <c r="CD156" s="197">
        <f t="shared" si="3310"/>
        <v>0</v>
      </c>
      <c r="CE156" s="197">
        <f t="shared" si="3310"/>
        <v>-1.5873717984912403</v>
      </c>
      <c r="CF156" s="197">
        <f t="shared" si="3310"/>
        <v>-1.5878538635753756</v>
      </c>
      <c r="CG156" s="197">
        <f t="shared" si="3310"/>
        <v>0</v>
      </c>
      <c r="CH156" s="197">
        <f t="shared" si="3310"/>
        <v>0</v>
      </c>
      <c r="CI156" s="197">
        <f t="shared" si="3310"/>
        <v>-0.4261657974216817</v>
      </c>
      <c r="CJ156" s="197">
        <f t="shared" si="3310"/>
        <v>-0.42328496328420151</v>
      </c>
      <c r="CK156" s="197">
        <f t="shared" si="3310"/>
        <v>-2.013537595912922</v>
      </c>
      <c r="CL156" s="197">
        <f t="shared" si="3310"/>
        <v>0</v>
      </c>
      <c r="CM156" s="197">
        <f t="shared" si="3310"/>
        <v>0</v>
      </c>
      <c r="CN156" s="197">
        <f t="shared" si="3310"/>
        <v>0</v>
      </c>
      <c r="CO156" s="197">
        <f t="shared" si="3310"/>
        <v>0</v>
      </c>
      <c r="CP156" s="197">
        <f t="shared" si="3310"/>
        <v>0</v>
      </c>
      <c r="CQ156" s="197">
        <f t="shared" si="3310"/>
        <v>-4.8206508413528582E-4</v>
      </c>
      <c r="CR156" s="197">
        <f t="shared" si="3310"/>
        <v>0</v>
      </c>
      <c r="CS156" s="197">
        <f t="shared" si="3310"/>
        <v>0</v>
      </c>
      <c r="CT156" s="197">
        <f t="shared" si="3310"/>
        <v>0</v>
      </c>
      <c r="CU156" s="197">
        <f t="shared" si="3310"/>
        <v>2.8808341374801927E-3</v>
      </c>
      <c r="CV156" s="197">
        <f t="shared" si="3310"/>
        <v>0</v>
      </c>
      <c r="CW156" s="197"/>
      <c r="CX156" s="197">
        <f>CX27-CX280</f>
        <v>0</v>
      </c>
      <c r="CY156" s="197">
        <f>CY27-CY280</f>
        <v>16.800000000000182</v>
      </c>
      <c r="CZ156" s="197">
        <f>CZ27-CZ280</f>
        <v>17.185000000000038</v>
      </c>
      <c r="DA156" s="197">
        <f>DA27-DA280</f>
        <v>8.3999999999997499</v>
      </c>
      <c r="DB156" s="197">
        <f>DB27-DB280</f>
        <v>3.5109999999999921</v>
      </c>
      <c r="DC156" s="197">
        <f>DC27-DC280</f>
        <v>0</v>
      </c>
      <c r="DD156" s="197"/>
      <c r="DE156" s="197">
        <f t="shared" ref="DE156:EG156" si="3311">DE27-DE280</f>
        <v>0</v>
      </c>
      <c r="DF156" s="197">
        <f t="shared" si="3311"/>
        <v>0</v>
      </c>
      <c r="DG156" s="197">
        <f t="shared" si="3311"/>
        <v>40.619689287532381</v>
      </c>
      <c r="DH156" s="197">
        <f t="shared" si="3311"/>
        <v>0</v>
      </c>
      <c r="DI156" s="197">
        <f t="shared" si="3311"/>
        <v>0</v>
      </c>
      <c r="DJ156" s="197">
        <f t="shared" si="3311"/>
        <v>0</v>
      </c>
      <c r="DK156" s="197">
        <f t="shared" si="3311"/>
        <v>0</v>
      </c>
      <c r="DL156" s="197">
        <f t="shared" si="3311"/>
        <v>0</v>
      </c>
      <c r="DM156" s="197">
        <f t="shared" si="3311"/>
        <v>0</v>
      </c>
      <c r="DN156" s="197">
        <f t="shared" si="3311"/>
        <v>0</v>
      </c>
      <c r="DO156" s="197">
        <f t="shared" si="3311"/>
        <v>0</v>
      </c>
      <c r="DP156" s="197">
        <f t="shared" si="3311"/>
        <v>0</v>
      </c>
      <c r="DQ156" s="197">
        <f t="shared" si="3311"/>
        <v>0</v>
      </c>
      <c r="DR156" s="197">
        <f t="shared" si="3311"/>
        <v>0</v>
      </c>
      <c r="DS156" s="197">
        <f t="shared" si="3311"/>
        <v>0.82082288842277584</v>
      </c>
      <c r="DT156" s="197">
        <f t="shared" si="3311"/>
        <v>0</v>
      </c>
      <c r="DU156" s="197">
        <f t="shared" si="3311"/>
        <v>0</v>
      </c>
      <c r="DV156" s="197">
        <f t="shared" si="3311"/>
        <v>0</v>
      </c>
      <c r="DW156" s="197">
        <f t="shared" si="3311"/>
        <v>0</v>
      </c>
      <c r="DX156" s="197">
        <f t="shared" si="3311"/>
        <v>0</v>
      </c>
      <c r="DY156" s="197">
        <f t="shared" si="3311"/>
        <v>0</v>
      </c>
      <c r="DZ156" s="197">
        <f t="shared" si="3311"/>
        <v>0</v>
      </c>
      <c r="EA156" s="197">
        <f t="shared" si="3311"/>
        <v>0</v>
      </c>
      <c r="EB156" s="197">
        <f t="shared" si="3311"/>
        <v>0</v>
      </c>
      <c r="EC156" s="197">
        <f t="shared" si="3311"/>
        <v>0</v>
      </c>
      <c r="ED156" s="197">
        <f t="shared" si="3311"/>
        <v>0</v>
      </c>
      <c r="EE156" s="197">
        <f t="shared" si="3311"/>
        <v>0</v>
      </c>
      <c r="EF156" s="197">
        <f t="shared" si="3311"/>
        <v>0</v>
      </c>
      <c r="EG156" s="197">
        <f t="shared" si="3311"/>
        <v>0</v>
      </c>
    </row>
    <row r="157" spans="1:137" hidden="1">
      <c r="A157" s="157">
        <v>42826</v>
      </c>
      <c r="B157" s="197">
        <f>B28-B281</f>
        <v>16.556999999999789</v>
      </c>
      <c r="C157" s="197">
        <f>C28-C281</f>
        <v>0.55189999999998918</v>
      </c>
      <c r="D157" s="197">
        <f>D28-D281</f>
        <v>0.55189999999998918</v>
      </c>
      <c r="E157" s="197">
        <f>E28-E281</f>
        <v>3.9666796038351215E-3</v>
      </c>
      <c r="F157" s="197">
        <f>F28-F281</f>
        <v>12.141999999999825</v>
      </c>
      <c r="G157" s="197"/>
      <c r="H157" s="197"/>
      <c r="I157" s="197">
        <f t="shared" ref="I157:AB157" si="3312">I28-I281</f>
        <v>19.521000000000015</v>
      </c>
      <c r="J157" s="197">
        <f t="shared" si="3312"/>
        <v>3.0640202617604473E-4</v>
      </c>
      <c r="K157" s="197">
        <f t="shared" si="3312"/>
        <v>4.1275413693426799E-3</v>
      </c>
      <c r="L157" s="197">
        <f t="shared" si="3312"/>
        <v>4.1275413693426799E-3</v>
      </c>
      <c r="M157" s="197">
        <f t="shared" si="3312"/>
        <v>1.103999999999985</v>
      </c>
      <c r="N157" s="197">
        <f t="shared" si="3312"/>
        <v>4.1540000000000035</v>
      </c>
      <c r="O157" s="197">
        <f t="shared" si="3312"/>
        <v>6.0710000000001401</v>
      </c>
      <c r="P157" s="197">
        <f t="shared" si="3312"/>
        <v>4.4139999999999873</v>
      </c>
      <c r="Q157" s="197">
        <f t="shared" si="3312"/>
        <v>3.0480000000000018</v>
      </c>
      <c r="R157" s="197">
        <f t="shared" si="3312"/>
        <v>1.3660000000000423</v>
      </c>
      <c r="S157" s="197">
        <f t="shared" si="3312"/>
        <v>0</v>
      </c>
      <c r="T157" s="197">
        <f t="shared" si="3312"/>
        <v>1.7520000000000095</v>
      </c>
      <c r="U157" s="197">
        <f t="shared" si="3312"/>
        <v>6.1660000000001673</v>
      </c>
      <c r="V157" s="197">
        <f t="shared" si="3312"/>
        <v>3.5736578642788785E-3</v>
      </c>
      <c r="W157" s="197">
        <f t="shared" si="3312"/>
        <v>-2.0661647611479594E-3</v>
      </c>
      <c r="X157" s="197">
        <f t="shared" si="3312"/>
        <v>-2.0661647611479594E-3</v>
      </c>
      <c r="Y157" s="197">
        <f t="shared" si="3312"/>
        <v>2.0613766081964968E-3</v>
      </c>
      <c r="Z157" s="197">
        <f t="shared" si="3312"/>
        <v>6.0710000000001401</v>
      </c>
      <c r="AA157" s="197">
        <f t="shared" si="3312"/>
        <v>6.0709999999999127</v>
      </c>
      <c r="AB157" s="197">
        <f t="shared" si="3312"/>
        <v>-9.4968853901741812E-5</v>
      </c>
      <c r="AC157" s="163"/>
      <c r="AD157" s="163"/>
      <c r="AE157" s="163"/>
      <c r="AF157" s="163"/>
      <c r="AH157" s="197"/>
      <c r="AI157" s="197">
        <f t="shared" ref="AI157:BN157" si="3313">AI28-AI281</f>
        <v>0</v>
      </c>
      <c r="AJ157" s="197">
        <f t="shared" si="3313"/>
        <v>0</v>
      </c>
      <c r="AK157" s="197">
        <f t="shared" si="3313"/>
        <v>0</v>
      </c>
      <c r="AL157" s="197">
        <f t="shared" si="3313"/>
        <v>0</v>
      </c>
      <c r="AM157" s="197">
        <f t="shared" si="3313"/>
        <v>0</v>
      </c>
      <c r="AN157" s="197">
        <f t="shared" si="3313"/>
        <v>-3.0640202617604473E-4</v>
      </c>
      <c r="AO157" s="197">
        <f t="shared" si="3313"/>
        <v>0</v>
      </c>
      <c r="AP157" s="197">
        <f t="shared" si="3313"/>
        <v>0</v>
      </c>
      <c r="AQ157" s="197">
        <f t="shared" si="3313"/>
        <v>0</v>
      </c>
      <c r="AR157" s="197">
        <f t="shared" si="3313"/>
        <v>2.0661647611479594E-3</v>
      </c>
      <c r="AS157" s="197">
        <f t="shared" si="3313"/>
        <v>0</v>
      </c>
      <c r="AT157" s="197">
        <f t="shared" si="3313"/>
        <v>0</v>
      </c>
      <c r="AU157" s="197">
        <f t="shared" si="3313"/>
        <v>0</v>
      </c>
      <c r="AV157" s="197">
        <f t="shared" si="3313"/>
        <v>0</v>
      </c>
      <c r="AW157" s="197">
        <f t="shared" si="3313"/>
        <v>0</v>
      </c>
      <c r="AX157" s="197">
        <f t="shared" si="3313"/>
        <v>0</v>
      </c>
      <c r="AY157" s="197">
        <f t="shared" si="3313"/>
        <v>-3.0640202617604473E-4</v>
      </c>
      <c r="AZ157" s="197">
        <f t="shared" si="3313"/>
        <v>0</v>
      </c>
      <c r="BA157" s="197">
        <f t="shared" si="3313"/>
        <v>0</v>
      </c>
      <c r="BB157" s="197">
        <f t="shared" si="3313"/>
        <v>0</v>
      </c>
      <c r="BC157" s="197">
        <f t="shared" si="3313"/>
        <v>2.0661647611479594E-3</v>
      </c>
      <c r="BD157" s="197">
        <f t="shared" si="3313"/>
        <v>0</v>
      </c>
      <c r="BE157" s="197">
        <f t="shared" si="3313"/>
        <v>0</v>
      </c>
      <c r="BF157" s="197">
        <f t="shared" si="3313"/>
        <v>0</v>
      </c>
      <c r="BG157" s="197">
        <f t="shared" si="3313"/>
        <v>0</v>
      </c>
      <c r="BH157" s="197">
        <f t="shared" si="3313"/>
        <v>0</v>
      </c>
      <c r="BI157" s="197">
        <f t="shared" si="3313"/>
        <v>0</v>
      </c>
      <c r="BJ157" s="197">
        <f t="shared" si="3313"/>
        <v>-3.0640202617604473E-4</v>
      </c>
      <c r="BK157" s="197">
        <f t="shared" si="3313"/>
        <v>0</v>
      </c>
      <c r="BL157" s="197">
        <f t="shared" si="3313"/>
        <v>0</v>
      </c>
      <c r="BM157" s="197">
        <f t="shared" si="3313"/>
        <v>0</v>
      </c>
      <c r="BN157" s="197">
        <f t="shared" si="3313"/>
        <v>2.0661647611479594E-3</v>
      </c>
      <c r="BO157" s="197">
        <f t="shared" ref="BO157:CV157" si="3314">BO28-BO281</f>
        <v>0</v>
      </c>
      <c r="BP157" s="197">
        <f t="shared" si="3314"/>
        <v>0</v>
      </c>
      <c r="BQ157" s="197">
        <f t="shared" si="3314"/>
        <v>0</v>
      </c>
      <c r="BR157" s="197">
        <f t="shared" si="3314"/>
        <v>0</v>
      </c>
      <c r="BS157" s="197">
        <f t="shared" si="3314"/>
        <v>0</v>
      </c>
      <c r="BT157" s="197">
        <f t="shared" si="3314"/>
        <v>0</v>
      </c>
      <c r="BU157" s="197">
        <f t="shared" si="3314"/>
        <v>-3.0640202617604473E-4</v>
      </c>
      <c r="BV157" s="197">
        <f t="shared" si="3314"/>
        <v>0</v>
      </c>
      <c r="BW157" s="197">
        <f t="shared" si="3314"/>
        <v>0</v>
      </c>
      <c r="BX157" s="197">
        <f t="shared" si="3314"/>
        <v>0</v>
      </c>
      <c r="BY157" s="197">
        <f t="shared" si="3314"/>
        <v>2.0661647611479594E-3</v>
      </c>
      <c r="BZ157" s="197">
        <f t="shared" si="3314"/>
        <v>0</v>
      </c>
      <c r="CA157" s="197">
        <f t="shared" si="3314"/>
        <v>16.557000000000016</v>
      </c>
      <c r="CB157" s="197">
        <f t="shared" si="3314"/>
        <v>0.55189999999999984</v>
      </c>
      <c r="CC157" s="197">
        <f t="shared" si="3314"/>
        <v>0</v>
      </c>
      <c r="CD157" s="197">
        <f t="shared" si="3314"/>
        <v>0</v>
      </c>
      <c r="CE157" s="197">
        <f t="shared" si="3314"/>
        <v>-1.4438320491274581</v>
      </c>
      <c r="CF157" s="197">
        <f t="shared" si="3314"/>
        <v>-1.4441384511536342</v>
      </c>
      <c r="CG157" s="197">
        <f t="shared" si="3314"/>
        <v>0</v>
      </c>
      <c r="CH157" s="197">
        <f t="shared" si="3314"/>
        <v>0</v>
      </c>
      <c r="CI157" s="197">
        <f t="shared" si="3314"/>
        <v>-0.38474685556814947</v>
      </c>
      <c r="CJ157" s="197">
        <f t="shared" si="3314"/>
        <v>-0.38268069080700151</v>
      </c>
      <c r="CK157" s="197">
        <f t="shared" si="3314"/>
        <v>-1.828578904695604</v>
      </c>
      <c r="CL157" s="197">
        <f t="shared" si="3314"/>
        <v>0</v>
      </c>
      <c r="CM157" s="197">
        <f t="shared" si="3314"/>
        <v>0</v>
      </c>
      <c r="CN157" s="197">
        <f t="shared" si="3314"/>
        <v>0</v>
      </c>
      <c r="CO157" s="197">
        <f t="shared" si="3314"/>
        <v>0</v>
      </c>
      <c r="CP157" s="197">
        <f t="shared" si="3314"/>
        <v>0</v>
      </c>
      <c r="CQ157" s="197">
        <f t="shared" si="3314"/>
        <v>-3.0640202617604473E-4</v>
      </c>
      <c r="CR157" s="197">
        <f t="shared" si="3314"/>
        <v>0</v>
      </c>
      <c r="CS157" s="197">
        <f t="shared" si="3314"/>
        <v>0</v>
      </c>
      <c r="CT157" s="197">
        <f t="shared" si="3314"/>
        <v>0</v>
      </c>
      <c r="CU157" s="197">
        <f t="shared" si="3314"/>
        <v>2.0661647611479594E-3</v>
      </c>
      <c r="CV157" s="197">
        <f t="shared" si="3314"/>
        <v>0</v>
      </c>
      <c r="CW157" s="197"/>
      <c r="CX157" s="197">
        <f>CX28-CX281</f>
        <v>0</v>
      </c>
      <c r="CY157" s="197">
        <f>CY28-CY281</f>
        <v>12.142000000000166</v>
      </c>
      <c r="CZ157" s="197">
        <f>CZ28-CZ281</f>
        <v>19.520999999999987</v>
      </c>
      <c r="DA157" s="197">
        <f>DA28-DA281</f>
        <v>6.0710000000000832</v>
      </c>
      <c r="DB157" s="197">
        <f>DB28-DB281</f>
        <v>3.0480000000000054</v>
      </c>
      <c r="DC157" s="197">
        <f>DC28-DC281</f>
        <v>0</v>
      </c>
      <c r="DD157" s="197"/>
      <c r="DE157" s="197">
        <f t="shared" ref="DE157:EG157" si="3315">DE28-DE281</f>
        <v>0</v>
      </c>
      <c r="DF157" s="197">
        <f t="shared" si="3315"/>
        <v>0</v>
      </c>
      <c r="DG157" s="197">
        <f t="shared" si="3315"/>
        <v>0</v>
      </c>
      <c r="DH157" s="197">
        <f t="shared" si="3315"/>
        <v>0</v>
      </c>
      <c r="DI157" s="197">
        <f t="shared" si="3315"/>
        <v>0</v>
      </c>
      <c r="DJ157" s="197">
        <f t="shared" si="3315"/>
        <v>0</v>
      </c>
      <c r="DK157" s="197">
        <f t="shared" si="3315"/>
        <v>0</v>
      </c>
      <c r="DL157" s="197">
        <f t="shared" si="3315"/>
        <v>0</v>
      </c>
      <c r="DM157" s="197">
        <f t="shared" si="3315"/>
        <v>0</v>
      </c>
      <c r="DN157" s="197">
        <f t="shared" si="3315"/>
        <v>0</v>
      </c>
      <c r="DO157" s="197">
        <f t="shared" si="3315"/>
        <v>0</v>
      </c>
      <c r="DP157" s="197">
        <f t="shared" si="3315"/>
        <v>0</v>
      </c>
      <c r="DQ157" s="197">
        <f t="shared" si="3315"/>
        <v>0</v>
      </c>
      <c r="DR157" s="197">
        <f t="shared" si="3315"/>
        <v>0</v>
      </c>
      <c r="DS157" s="197">
        <f t="shared" si="3315"/>
        <v>0.91887855494684378</v>
      </c>
      <c r="DT157" s="197">
        <f t="shared" si="3315"/>
        <v>0</v>
      </c>
      <c r="DU157" s="197">
        <f t="shared" si="3315"/>
        <v>0</v>
      </c>
      <c r="DV157" s="197">
        <f t="shared" si="3315"/>
        <v>0</v>
      </c>
      <c r="DW157" s="197">
        <f t="shared" si="3315"/>
        <v>0</v>
      </c>
      <c r="DX157" s="197">
        <f t="shared" si="3315"/>
        <v>0</v>
      </c>
      <c r="DY157" s="197">
        <f t="shared" si="3315"/>
        <v>0</v>
      </c>
      <c r="DZ157" s="197">
        <f t="shared" si="3315"/>
        <v>0</v>
      </c>
      <c r="EA157" s="197">
        <f t="shared" si="3315"/>
        <v>0</v>
      </c>
      <c r="EB157" s="197">
        <f t="shared" si="3315"/>
        <v>0</v>
      </c>
      <c r="EC157" s="197">
        <f t="shared" si="3315"/>
        <v>0</v>
      </c>
      <c r="ED157" s="197">
        <f t="shared" si="3315"/>
        <v>0</v>
      </c>
      <c r="EE157" s="197">
        <f t="shared" si="3315"/>
        <v>0</v>
      </c>
      <c r="EF157" s="197">
        <f t="shared" si="3315"/>
        <v>0</v>
      </c>
      <c r="EG157" s="197">
        <f t="shared" si="3315"/>
        <v>0</v>
      </c>
    </row>
    <row r="158" spans="1:137" hidden="1">
      <c r="A158" s="157">
        <v>42856</v>
      </c>
      <c r="B158" s="197">
        <f>B29-B282</f>
        <v>0</v>
      </c>
      <c r="C158" s="197">
        <f>C29-C282</f>
        <v>0</v>
      </c>
      <c r="D158" s="197">
        <f>D29-D282</f>
        <v>0</v>
      </c>
      <c r="E158" s="197">
        <f>E29-E282</f>
        <v>0</v>
      </c>
      <c r="F158" s="197">
        <f>F29-F282</f>
        <v>0</v>
      </c>
      <c r="G158" s="197"/>
      <c r="H158" s="197"/>
      <c r="I158" s="197">
        <f t="shared" ref="I158:AB158" si="3316">I29-I282</f>
        <v>0</v>
      </c>
      <c r="J158" s="197">
        <f t="shared" si="3316"/>
        <v>0</v>
      </c>
      <c r="K158" s="197">
        <f t="shared" si="3316"/>
        <v>0</v>
      </c>
      <c r="L158" s="197">
        <f t="shared" si="3316"/>
        <v>0</v>
      </c>
      <c r="M158" s="197">
        <f t="shared" si="3316"/>
        <v>0</v>
      </c>
      <c r="N158" s="197">
        <f t="shared" si="3316"/>
        <v>0</v>
      </c>
      <c r="O158" s="197">
        <f t="shared" si="3316"/>
        <v>0</v>
      </c>
      <c r="P158" s="197">
        <f t="shared" si="3316"/>
        <v>0</v>
      </c>
      <c r="Q158" s="197">
        <f t="shared" si="3316"/>
        <v>0</v>
      </c>
      <c r="R158" s="197">
        <f t="shared" si="3316"/>
        <v>0</v>
      </c>
      <c r="S158" s="197">
        <f t="shared" si="3316"/>
        <v>0</v>
      </c>
      <c r="T158" s="197">
        <f t="shared" si="3316"/>
        <v>0</v>
      </c>
      <c r="U158" s="197">
        <f t="shared" si="3316"/>
        <v>0</v>
      </c>
      <c r="V158" s="197">
        <f t="shared" si="3316"/>
        <v>0</v>
      </c>
      <c r="W158" s="197">
        <f t="shared" si="3316"/>
        <v>0</v>
      </c>
      <c r="X158" s="197">
        <f t="shared" si="3316"/>
        <v>0</v>
      </c>
      <c r="Y158" s="197">
        <f t="shared" si="3316"/>
        <v>0</v>
      </c>
      <c r="Z158" s="197">
        <f t="shared" si="3316"/>
        <v>0</v>
      </c>
      <c r="AA158" s="197">
        <f t="shared" si="3316"/>
        <v>0</v>
      </c>
      <c r="AB158" s="197">
        <f t="shared" si="3316"/>
        <v>0</v>
      </c>
      <c r="AC158" s="163"/>
      <c r="AD158" s="163"/>
      <c r="AE158" s="163"/>
      <c r="AF158" s="163"/>
      <c r="AH158" s="197"/>
      <c r="AI158" s="197">
        <f t="shared" ref="AI158:BN158" si="3317">AI29-AI282</f>
        <v>0</v>
      </c>
      <c r="AJ158" s="197">
        <f t="shared" si="3317"/>
        <v>0</v>
      </c>
      <c r="AK158" s="197">
        <f t="shared" si="3317"/>
        <v>0</v>
      </c>
      <c r="AL158" s="197">
        <f t="shared" si="3317"/>
        <v>0</v>
      </c>
      <c r="AM158" s="197">
        <f t="shared" si="3317"/>
        <v>0</v>
      </c>
      <c r="AN158" s="197">
        <f t="shared" si="3317"/>
        <v>0</v>
      </c>
      <c r="AO158" s="197">
        <f t="shared" si="3317"/>
        <v>0</v>
      </c>
      <c r="AP158" s="197">
        <f t="shared" si="3317"/>
        <v>0</v>
      </c>
      <c r="AQ158" s="197">
        <f t="shared" si="3317"/>
        <v>0</v>
      </c>
      <c r="AR158" s="197">
        <f t="shared" si="3317"/>
        <v>0</v>
      </c>
      <c r="AS158" s="197">
        <f t="shared" si="3317"/>
        <v>0</v>
      </c>
      <c r="AT158" s="197">
        <f t="shared" si="3317"/>
        <v>0</v>
      </c>
      <c r="AU158" s="197">
        <f t="shared" si="3317"/>
        <v>0</v>
      </c>
      <c r="AV158" s="197">
        <f t="shared" si="3317"/>
        <v>0</v>
      </c>
      <c r="AW158" s="197">
        <f t="shared" si="3317"/>
        <v>0</v>
      </c>
      <c r="AX158" s="197">
        <f t="shared" si="3317"/>
        <v>0</v>
      </c>
      <c r="AY158" s="197">
        <f t="shared" si="3317"/>
        <v>0</v>
      </c>
      <c r="AZ158" s="197">
        <f t="shared" si="3317"/>
        <v>0</v>
      </c>
      <c r="BA158" s="197">
        <f t="shared" si="3317"/>
        <v>0</v>
      </c>
      <c r="BB158" s="197">
        <f t="shared" si="3317"/>
        <v>0</v>
      </c>
      <c r="BC158" s="197">
        <f t="shared" si="3317"/>
        <v>0</v>
      </c>
      <c r="BD158" s="197">
        <f t="shared" si="3317"/>
        <v>0</v>
      </c>
      <c r="BE158" s="197">
        <f t="shared" si="3317"/>
        <v>0</v>
      </c>
      <c r="BF158" s="197">
        <f t="shared" si="3317"/>
        <v>0</v>
      </c>
      <c r="BG158" s="197">
        <f t="shared" si="3317"/>
        <v>0</v>
      </c>
      <c r="BH158" s="197">
        <f t="shared" si="3317"/>
        <v>0</v>
      </c>
      <c r="BI158" s="197">
        <f t="shared" si="3317"/>
        <v>0</v>
      </c>
      <c r="BJ158" s="197">
        <f t="shared" si="3317"/>
        <v>0</v>
      </c>
      <c r="BK158" s="197">
        <f t="shared" si="3317"/>
        <v>0</v>
      </c>
      <c r="BL158" s="197">
        <f t="shared" si="3317"/>
        <v>0</v>
      </c>
      <c r="BM158" s="197">
        <f t="shared" si="3317"/>
        <v>0</v>
      </c>
      <c r="BN158" s="197">
        <f t="shared" si="3317"/>
        <v>0</v>
      </c>
      <c r="BO158" s="197">
        <f t="shared" ref="BO158:CV158" si="3318">BO29-BO282</f>
        <v>0</v>
      </c>
      <c r="BP158" s="197">
        <f t="shared" si="3318"/>
        <v>0</v>
      </c>
      <c r="BQ158" s="197">
        <f t="shared" si="3318"/>
        <v>0</v>
      </c>
      <c r="BR158" s="197">
        <f t="shared" si="3318"/>
        <v>0</v>
      </c>
      <c r="BS158" s="197">
        <f t="shared" si="3318"/>
        <v>0</v>
      </c>
      <c r="BT158" s="197">
        <f t="shared" si="3318"/>
        <v>0</v>
      </c>
      <c r="BU158" s="197">
        <f t="shared" si="3318"/>
        <v>0</v>
      </c>
      <c r="BV158" s="197">
        <f t="shared" si="3318"/>
        <v>0</v>
      </c>
      <c r="BW158" s="197">
        <f t="shared" si="3318"/>
        <v>0</v>
      </c>
      <c r="BX158" s="197">
        <f t="shared" si="3318"/>
        <v>0</v>
      </c>
      <c r="BY158" s="197">
        <f t="shared" si="3318"/>
        <v>0</v>
      </c>
      <c r="BZ158" s="197">
        <f t="shared" si="3318"/>
        <v>0</v>
      </c>
      <c r="CA158" s="197">
        <f t="shared" si="3318"/>
        <v>0</v>
      </c>
      <c r="CB158" s="197">
        <f t="shared" si="3318"/>
        <v>0</v>
      </c>
      <c r="CC158" s="197">
        <f t="shared" si="3318"/>
        <v>0</v>
      </c>
      <c r="CD158" s="197">
        <f t="shared" si="3318"/>
        <v>0</v>
      </c>
      <c r="CE158" s="197">
        <f t="shared" si="3318"/>
        <v>0</v>
      </c>
      <c r="CF158" s="197">
        <f t="shared" si="3318"/>
        <v>0</v>
      </c>
      <c r="CG158" s="197">
        <f t="shared" si="3318"/>
        <v>0</v>
      </c>
      <c r="CH158" s="197">
        <f t="shared" si="3318"/>
        <v>0</v>
      </c>
      <c r="CI158" s="197">
        <f t="shared" si="3318"/>
        <v>0</v>
      </c>
      <c r="CJ158" s="197">
        <f t="shared" si="3318"/>
        <v>0</v>
      </c>
      <c r="CK158" s="197">
        <f t="shared" si="3318"/>
        <v>0</v>
      </c>
      <c r="CL158" s="197">
        <f t="shared" si="3318"/>
        <v>0</v>
      </c>
      <c r="CM158" s="197">
        <f t="shared" si="3318"/>
        <v>0</v>
      </c>
      <c r="CN158" s="197">
        <f t="shared" si="3318"/>
        <v>0</v>
      </c>
      <c r="CO158" s="197">
        <f t="shared" si="3318"/>
        <v>0</v>
      </c>
      <c r="CP158" s="197">
        <f t="shared" si="3318"/>
        <v>0</v>
      </c>
      <c r="CQ158" s="197">
        <f t="shared" si="3318"/>
        <v>0</v>
      </c>
      <c r="CR158" s="197">
        <f t="shared" si="3318"/>
        <v>0</v>
      </c>
      <c r="CS158" s="197">
        <f t="shared" si="3318"/>
        <v>0</v>
      </c>
      <c r="CT158" s="197">
        <f t="shared" si="3318"/>
        <v>0</v>
      </c>
      <c r="CU158" s="197">
        <f t="shared" si="3318"/>
        <v>0</v>
      </c>
      <c r="CV158" s="197">
        <f t="shared" si="3318"/>
        <v>0</v>
      </c>
      <c r="CW158" s="197"/>
      <c r="CX158" s="197">
        <f>CX29-CX282</f>
        <v>0</v>
      </c>
      <c r="CY158" s="197">
        <f>CY29-CY282</f>
        <v>0</v>
      </c>
      <c r="CZ158" s="197">
        <f>CZ29-CZ282</f>
        <v>0</v>
      </c>
      <c r="DA158" s="197">
        <f>DA29-DA282</f>
        <v>0</v>
      </c>
      <c r="DB158" s="197">
        <f>DB29-DB282</f>
        <v>0</v>
      </c>
      <c r="DC158" s="197">
        <f>DC29-DC282</f>
        <v>0</v>
      </c>
      <c r="DD158" s="197"/>
      <c r="DE158" s="197">
        <f t="shared" ref="DE158:EG158" si="3319">DE29-DE282</f>
        <v>0</v>
      </c>
      <c r="DF158" s="197">
        <f t="shared" si="3319"/>
        <v>0</v>
      </c>
      <c r="DG158" s="197">
        <f t="shared" si="3319"/>
        <v>0</v>
      </c>
      <c r="DH158" s="197">
        <f t="shared" si="3319"/>
        <v>0</v>
      </c>
      <c r="DI158" s="197">
        <f t="shared" si="3319"/>
        <v>0</v>
      </c>
      <c r="DJ158" s="197">
        <f t="shared" si="3319"/>
        <v>0</v>
      </c>
      <c r="DK158" s="197">
        <f t="shared" si="3319"/>
        <v>0</v>
      </c>
      <c r="DL158" s="197">
        <f t="shared" si="3319"/>
        <v>0</v>
      </c>
      <c r="DM158" s="197">
        <f t="shared" si="3319"/>
        <v>0</v>
      </c>
      <c r="DN158" s="197">
        <f t="shared" si="3319"/>
        <v>0</v>
      </c>
      <c r="DO158" s="197">
        <f t="shared" si="3319"/>
        <v>0</v>
      </c>
      <c r="DP158" s="197">
        <f t="shared" si="3319"/>
        <v>0</v>
      </c>
      <c r="DQ158" s="197">
        <f t="shared" si="3319"/>
        <v>0</v>
      </c>
      <c r="DR158" s="197">
        <f t="shared" si="3319"/>
        <v>0</v>
      </c>
      <c r="DS158" s="197">
        <f t="shared" si="3319"/>
        <v>1.099052346570397</v>
      </c>
      <c r="DT158" s="197">
        <f t="shared" si="3319"/>
        <v>0</v>
      </c>
      <c r="DU158" s="197">
        <f t="shared" si="3319"/>
        <v>0</v>
      </c>
      <c r="DV158" s="197">
        <f t="shared" si="3319"/>
        <v>0</v>
      </c>
      <c r="DW158" s="197">
        <f t="shared" si="3319"/>
        <v>0</v>
      </c>
      <c r="DX158" s="197">
        <f t="shared" si="3319"/>
        <v>0</v>
      </c>
      <c r="DY158" s="197">
        <f t="shared" si="3319"/>
        <v>0</v>
      </c>
      <c r="DZ158" s="197">
        <f t="shared" si="3319"/>
        <v>0</v>
      </c>
      <c r="EA158" s="197">
        <f t="shared" si="3319"/>
        <v>0</v>
      </c>
      <c r="EB158" s="197">
        <f t="shared" si="3319"/>
        <v>0</v>
      </c>
      <c r="EC158" s="197">
        <f t="shared" si="3319"/>
        <v>0</v>
      </c>
      <c r="ED158" s="197">
        <f t="shared" si="3319"/>
        <v>0</v>
      </c>
      <c r="EE158" s="197">
        <f t="shared" si="3319"/>
        <v>0</v>
      </c>
      <c r="EF158" s="197">
        <f t="shared" si="3319"/>
        <v>0</v>
      </c>
      <c r="EG158" s="197">
        <f t="shared" si="3319"/>
        <v>0</v>
      </c>
    </row>
    <row r="159" spans="1:137" hidden="1">
      <c r="A159" s="157">
        <v>42887</v>
      </c>
      <c r="B159" s="197">
        <f>B30-B283</f>
        <v>0</v>
      </c>
      <c r="C159" s="197">
        <f>C30-C283</f>
        <v>0</v>
      </c>
      <c r="D159" s="197">
        <f>D30-D283</f>
        <v>0</v>
      </c>
      <c r="E159" s="197">
        <f>E30-E283</f>
        <v>0</v>
      </c>
      <c r="F159" s="197">
        <f>F30-F283</f>
        <v>0</v>
      </c>
      <c r="G159" s="197"/>
      <c r="H159" s="197"/>
      <c r="I159" s="197">
        <f t="shared" ref="I159:AB159" si="3320">I30-I283</f>
        <v>0</v>
      </c>
      <c r="J159" s="197">
        <f t="shared" si="3320"/>
        <v>0</v>
      </c>
      <c r="K159" s="197">
        <f t="shared" si="3320"/>
        <v>0</v>
      </c>
      <c r="L159" s="197">
        <f t="shared" si="3320"/>
        <v>0</v>
      </c>
      <c r="M159" s="197">
        <f t="shared" si="3320"/>
        <v>0</v>
      </c>
      <c r="N159" s="197">
        <f t="shared" si="3320"/>
        <v>0</v>
      </c>
      <c r="O159" s="197">
        <f t="shared" si="3320"/>
        <v>0</v>
      </c>
      <c r="P159" s="197">
        <f t="shared" si="3320"/>
        <v>0</v>
      </c>
      <c r="Q159" s="197">
        <f t="shared" si="3320"/>
        <v>0</v>
      </c>
      <c r="R159" s="197">
        <f t="shared" si="3320"/>
        <v>0</v>
      </c>
      <c r="S159" s="197">
        <f t="shared" si="3320"/>
        <v>0</v>
      </c>
      <c r="T159" s="197">
        <f t="shared" si="3320"/>
        <v>-6.4000000000021373E-2</v>
      </c>
      <c r="U159" s="197">
        <f t="shared" si="3320"/>
        <v>-6.400000000030559E-2</v>
      </c>
      <c r="V159" s="197">
        <f t="shared" si="3320"/>
        <v>-3.7571804708980139E-5</v>
      </c>
      <c r="W159" s="197">
        <f t="shared" si="3320"/>
        <v>0</v>
      </c>
      <c r="X159" s="197">
        <f t="shared" si="3320"/>
        <v>0</v>
      </c>
      <c r="Y159" s="197">
        <f t="shared" si="3320"/>
        <v>0</v>
      </c>
      <c r="Z159" s="197">
        <f t="shared" si="3320"/>
        <v>0</v>
      </c>
      <c r="AA159" s="197">
        <f t="shared" si="3320"/>
        <v>0</v>
      </c>
      <c r="AB159" s="197">
        <f t="shared" si="3320"/>
        <v>0</v>
      </c>
      <c r="AC159" s="163"/>
      <c r="AD159" s="163"/>
      <c r="AE159" s="163"/>
      <c r="AF159" s="163"/>
      <c r="AH159" s="197"/>
      <c r="AI159" s="197">
        <f t="shared" ref="AI159:BN159" si="3321">AI30-AI283</f>
        <v>0</v>
      </c>
      <c r="AJ159" s="197">
        <f t="shared" si="3321"/>
        <v>0</v>
      </c>
      <c r="AK159" s="197">
        <f t="shared" si="3321"/>
        <v>0</v>
      </c>
      <c r="AL159" s="197">
        <f t="shared" si="3321"/>
        <v>0</v>
      </c>
      <c r="AM159" s="197">
        <f t="shared" si="3321"/>
        <v>0</v>
      </c>
      <c r="AN159" s="197">
        <f t="shared" si="3321"/>
        <v>0</v>
      </c>
      <c r="AO159" s="197">
        <f t="shared" si="3321"/>
        <v>0</v>
      </c>
      <c r="AP159" s="197">
        <f t="shared" si="3321"/>
        <v>0</v>
      </c>
      <c r="AQ159" s="197">
        <f t="shared" si="3321"/>
        <v>0</v>
      </c>
      <c r="AR159" s="197">
        <f t="shared" si="3321"/>
        <v>0</v>
      </c>
      <c r="AS159" s="197">
        <f t="shared" si="3321"/>
        <v>0</v>
      </c>
      <c r="AT159" s="197">
        <f t="shared" si="3321"/>
        <v>0</v>
      </c>
      <c r="AU159" s="197">
        <f t="shared" si="3321"/>
        <v>0</v>
      </c>
      <c r="AV159" s="197">
        <f t="shared" si="3321"/>
        <v>0</v>
      </c>
      <c r="AW159" s="197">
        <f t="shared" si="3321"/>
        <v>0</v>
      </c>
      <c r="AX159" s="197">
        <f t="shared" si="3321"/>
        <v>0</v>
      </c>
      <c r="AY159" s="197">
        <f t="shared" si="3321"/>
        <v>0</v>
      </c>
      <c r="AZ159" s="197">
        <f t="shared" si="3321"/>
        <v>0</v>
      </c>
      <c r="BA159" s="197">
        <f t="shared" si="3321"/>
        <v>0</v>
      </c>
      <c r="BB159" s="197">
        <f t="shared" si="3321"/>
        <v>0</v>
      </c>
      <c r="BC159" s="197">
        <f t="shared" si="3321"/>
        <v>0</v>
      </c>
      <c r="BD159" s="197">
        <f t="shared" si="3321"/>
        <v>0</v>
      </c>
      <c r="BE159" s="197">
        <f t="shared" si="3321"/>
        <v>0</v>
      </c>
      <c r="BF159" s="197">
        <f t="shared" si="3321"/>
        <v>0</v>
      </c>
      <c r="BG159" s="197">
        <f t="shared" si="3321"/>
        <v>0</v>
      </c>
      <c r="BH159" s="197">
        <f t="shared" si="3321"/>
        <v>0</v>
      </c>
      <c r="BI159" s="197">
        <f t="shared" si="3321"/>
        <v>0</v>
      </c>
      <c r="BJ159" s="197">
        <f t="shared" si="3321"/>
        <v>0</v>
      </c>
      <c r="BK159" s="197">
        <f t="shared" si="3321"/>
        <v>0</v>
      </c>
      <c r="BL159" s="197">
        <f t="shared" si="3321"/>
        <v>0</v>
      </c>
      <c r="BM159" s="197">
        <f t="shared" si="3321"/>
        <v>0</v>
      </c>
      <c r="BN159" s="197">
        <f t="shared" si="3321"/>
        <v>0</v>
      </c>
      <c r="BO159" s="197">
        <f t="shared" ref="BO159:CV159" si="3322">BO30-BO283</f>
        <v>0</v>
      </c>
      <c r="BP159" s="197">
        <f t="shared" si="3322"/>
        <v>0</v>
      </c>
      <c r="BQ159" s="197">
        <f t="shared" si="3322"/>
        <v>0</v>
      </c>
      <c r="BR159" s="197">
        <f t="shared" si="3322"/>
        <v>0</v>
      </c>
      <c r="BS159" s="197">
        <f t="shared" si="3322"/>
        <v>0</v>
      </c>
      <c r="BT159" s="197">
        <f t="shared" si="3322"/>
        <v>0</v>
      </c>
      <c r="BU159" s="197">
        <f t="shared" si="3322"/>
        <v>0</v>
      </c>
      <c r="BV159" s="197">
        <f t="shared" si="3322"/>
        <v>0</v>
      </c>
      <c r="BW159" s="197">
        <f t="shared" si="3322"/>
        <v>0</v>
      </c>
      <c r="BX159" s="197">
        <f t="shared" si="3322"/>
        <v>0</v>
      </c>
      <c r="BY159" s="197">
        <f t="shared" si="3322"/>
        <v>0</v>
      </c>
      <c r="BZ159" s="197">
        <f t="shared" si="3322"/>
        <v>0</v>
      </c>
      <c r="CA159" s="197">
        <f t="shared" si="3322"/>
        <v>0</v>
      </c>
      <c r="CB159" s="197">
        <f t="shared" si="3322"/>
        <v>0</v>
      </c>
      <c r="CC159" s="197">
        <f t="shared" si="3322"/>
        <v>0</v>
      </c>
      <c r="CD159" s="197">
        <f t="shared" si="3322"/>
        <v>0</v>
      </c>
      <c r="CE159" s="197">
        <f t="shared" si="3322"/>
        <v>0</v>
      </c>
      <c r="CF159" s="197">
        <f t="shared" si="3322"/>
        <v>0</v>
      </c>
      <c r="CG159" s="197">
        <f t="shared" si="3322"/>
        <v>0</v>
      </c>
      <c r="CH159" s="197">
        <f t="shared" si="3322"/>
        <v>0</v>
      </c>
      <c r="CI159" s="197">
        <f t="shared" si="3322"/>
        <v>0</v>
      </c>
      <c r="CJ159" s="197">
        <f t="shared" si="3322"/>
        <v>0</v>
      </c>
      <c r="CK159" s="197">
        <f t="shared" si="3322"/>
        <v>0</v>
      </c>
      <c r="CL159" s="197">
        <f t="shared" si="3322"/>
        <v>0</v>
      </c>
      <c r="CM159" s="197">
        <f t="shared" si="3322"/>
        <v>0</v>
      </c>
      <c r="CN159" s="197">
        <f t="shared" si="3322"/>
        <v>0</v>
      </c>
      <c r="CO159" s="197">
        <f t="shared" si="3322"/>
        <v>0</v>
      </c>
      <c r="CP159" s="197">
        <f t="shared" si="3322"/>
        <v>0</v>
      </c>
      <c r="CQ159" s="197">
        <f t="shared" si="3322"/>
        <v>0</v>
      </c>
      <c r="CR159" s="197">
        <f t="shared" si="3322"/>
        <v>0</v>
      </c>
      <c r="CS159" s="197">
        <f t="shared" si="3322"/>
        <v>0</v>
      </c>
      <c r="CT159" s="197">
        <f t="shared" si="3322"/>
        <v>0</v>
      </c>
      <c r="CU159" s="197">
        <f t="shared" si="3322"/>
        <v>0</v>
      </c>
      <c r="CV159" s="197">
        <f t="shared" si="3322"/>
        <v>0</v>
      </c>
      <c r="CW159" s="197"/>
      <c r="CX159" s="197">
        <f>CX30-CX283</f>
        <v>0</v>
      </c>
      <c r="CY159" s="197">
        <f>CY30-CY283</f>
        <v>0</v>
      </c>
      <c r="CZ159" s="197">
        <f>CZ30-CZ283</f>
        <v>0</v>
      </c>
      <c r="DA159" s="197">
        <f>DA30-DA283</f>
        <v>0</v>
      </c>
      <c r="DB159" s="197">
        <f>DB30-DB283</f>
        <v>0</v>
      </c>
      <c r="DC159" s="197">
        <f>DC30-DC283</f>
        <v>0</v>
      </c>
      <c r="DD159" s="197"/>
      <c r="DE159" s="197">
        <f t="shared" ref="DE159:EG159" si="3323">DE30-DE283</f>
        <v>0</v>
      </c>
      <c r="DF159" s="197">
        <f t="shared" si="3323"/>
        <v>0</v>
      </c>
      <c r="DG159" s="197">
        <f t="shared" si="3323"/>
        <v>41.515830471684581</v>
      </c>
      <c r="DH159" s="197">
        <f t="shared" si="3323"/>
        <v>0</v>
      </c>
      <c r="DI159" s="197">
        <f t="shared" si="3323"/>
        <v>0</v>
      </c>
      <c r="DJ159" s="197">
        <f t="shared" si="3323"/>
        <v>0</v>
      </c>
      <c r="DK159" s="197">
        <f t="shared" si="3323"/>
        <v>0</v>
      </c>
      <c r="DL159" s="197">
        <f t="shared" si="3323"/>
        <v>0</v>
      </c>
      <c r="DM159" s="197">
        <f t="shared" si="3323"/>
        <v>0</v>
      </c>
      <c r="DN159" s="197">
        <f t="shared" si="3323"/>
        <v>0</v>
      </c>
      <c r="DO159" s="197">
        <f t="shared" si="3323"/>
        <v>0</v>
      </c>
      <c r="DP159" s="197">
        <f t="shared" si="3323"/>
        <v>0</v>
      </c>
      <c r="DQ159" s="197">
        <f t="shared" si="3323"/>
        <v>0</v>
      </c>
      <c r="DR159" s="197">
        <f t="shared" si="3323"/>
        <v>0</v>
      </c>
      <c r="DS159" s="197">
        <f t="shared" si="3323"/>
        <v>0.92225583153975921</v>
      </c>
      <c r="DT159" s="197">
        <f t="shared" si="3323"/>
        <v>0</v>
      </c>
      <c r="DU159" s="197">
        <f t="shared" si="3323"/>
        <v>0</v>
      </c>
      <c r="DV159" s="197">
        <f t="shared" si="3323"/>
        <v>0</v>
      </c>
      <c r="DW159" s="197">
        <f t="shared" si="3323"/>
        <v>0</v>
      </c>
      <c r="DX159" s="197">
        <f t="shared" si="3323"/>
        <v>0</v>
      </c>
      <c r="DY159" s="197">
        <f t="shared" si="3323"/>
        <v>0</v>
      </c>
      <c r="DZ159" s="197">
        <f t="shared" si="3323"/>
        <v>0</v>
      </c>
      <c r="EA159" s="197">
        <f t="shared" si="3323"/>
        <v>0</v>
      </c>
      <c r="EB159" s="197">
        <f t="shared" si="3323"/>
        <v>0</v>
      </c>
      <c r="EC159" s="197">
        <f t="shared" si="3323"/>
        <v>0</v>
      </c>
      <c r="ED159" s="197">
        <f t="shared" si="3323"/>
        <v>0</v>
      </c>
      <c r="EE159" s="197">
        <f t="shared" si="3323"/>
        <v>0</v>
      </c>
      <c r="EF159" s="197">
        <f t="shared" si="3323"/>
        <v>0</v>
      </c>
      <c r="EG159" s="197">
        <f t="shared" si="3323"/>
        <v>0</v>
      </c>
    </row>
    <row r="160" spans="1:137" hidden="1">
      <c r="A160" s="157">
        <v>42917</v>
      </c>
      <c r="B160" s="197">
        <f>B31-B284</f>
        <v>0</v>
      </c>
      <c r="C160" s="197">
        <f>C31-C284</f>
        <v>0</v>
      </c>
      <c r="D160" s="197">
        <f>D31-D284</f>
        <v>0</v>
      </c>
      <c r="E160" s="197">
        <f>E31-E284</f>
        <v>0</v>
      </c>
      <c r="F160" s="197">
        <f>F31-F284</f>
        <v>0</v>
      </c>
      <c r="G160" s="197"/>
      <c r="H160" s="197"/>
      <c r="I160" s="197">
        <f t="shared" ref="I160:AB160" si="3324">I31-I284</f>
        <v>0</v>
      </c>
      <c r="J160" s="197">
        <f t="shared" si="3324"/>
        <v>0</v>
      </c>
      <c r="K160" s="197">
        <f t="shared" si="3324"/>
        <v>0</v>
      </c>
      <c r="L160" s="197">
        <f t="shared" si="3324"/>
        <v>0</v>
      </c>
      <c r="M160" s="197">
        <f t="shared" si="3324"/>
        <v>0</v>
      </c>
      <c r="N160" s="197">
        <f t="shared" si="3324"/>
        <v>0</v>
      </c>
      <c r="O160" s="197">
        <f t="shared" si="3324"/>
        <v>0</v>
      </c>
      <c r="P160" s="197">
        <f t="shared" si="3324"/>
        <v>0</v>
      </c>
      <c r="Q160" s="197">
        <f t="shared" si="3324"/>
        <v>0</v>
      </c>
      <c r="R160" s="197">
        <f t="shared" si="3324"/>
        <v>0</v>
      </c>
      <c r="S160" s="197">
        <f t="shared" si="3324"/>
        <v>0</v>
      </c>
      <c r="T160" s="197">
        <f t="shared" si="3324"/>
        <v>-8.8999999999998636E-2</v>
      </c>
      <c r="U160" s="197">
        <f t="shared" si="3324"/>
        <v>-8.8999999999941792E-2</v>
      </c>
      <c r="V160" s="197">
        <f t="shared" si="3324"/>
        <v>-5.7129908919373307E-5</v>
      </c>
      <c r="W160" s="197">
        <f t="shared" si="3324"/>
        <v>0</v>
      </c>
      <c r="X160" s="197">
        <f t="shared" si="3324"/>
        <v>0</v>
      </c>
      <c r="Y160" s="197">
        <f t="shared" si="3324"/>
        <v>0</v>
      </c>
      <c r="Z160" s="197">
        <f t="shared" si="3324"/>
        <v>0</v>
      </c>
      <c r="AA160" s="197">
        <f t="shared" si="3324"/>
        <v>0</v>
      </c>
      <c r="AB160" s="197">
        <f t="shared" si="3324"/>
        <v>0</v>
      </c>
      <c r="AC160" s="163"/>
      <c r="AD160" s="163"/>
      <c r="AE160" s="163"/>
      <c r="AF160" s="163"/>
      <c r="AH160" s="197"/>
      <c r="AI160" s="197">
        <f t="shared" ref="AI160:BN160" si="3325">AI31-AI284</f>
        <v>0</v>
      </c>
      <c r="AJ160" s="197">
        <f t="shared" si="3325"/>
        <v>0</v>
      </c>
      <c r="AK160" s="197">
        <f t="shared" si="3325"/>
        <v>0</v>
      </c>
      <c r="AL160" s="197">
        <f t="shared" si="3325"/>
        <v>0</v>
      </c>
      <c r="AM160" s="197">
        <f t="shared" si="3325"/>
        <v>0</v>
      </c>
      <c r="AN160" s="197">
        <f t="shared" si="3325"/>
        <v>0</v>
      </c>
      <c r="AO160" s="197">
        <f t="shared" si="3325"/>
        <v>0</v>
      </c>
      <c r="AP160" s="197">
        <f t="shared" si="3325"/>
        <v>0</v>
      </c>
      <c r="AQ160" s="197">
        <f t="shared" si="3325"/>
        <v>0</v>
      </c>
      <c r="AR160" s="197">
        <f t="shared" si="3325"/>
        <v>0</v>
      </c>
      <c r="AS160" s="197">
        <f t="shared" si="3325"/>
        <v>0</v>
      </c>
      <c r="AT160" s="197">
        <f t="shared" si="3325"/>
        <v>0</v>
      </c>
      <c r="AU160" s="197">
        <f t="shared" si="3325"/>
        <v>0</v>
      </c>
      <c r="AV160" s="197">
        <f t="shared" si="3325"/>
        <v>0</v>
      </c>
      <c r="AW160" s="197">
        <f t="shared" si="3325"/>
        <v>0</v>
      </c>
      <c r="AX160" s="197">
        <f t="shared" si="3325"/>
        <v>0</v>
      </c>
      <c r="AY160" s="197">
        <f t="shared" si="3325"/>
        <v>0</v>
      </c>
      <c r="AZ160" s="197">
        <f t="shared" si="3325"/>
        <v>0</v>
      </c>
      <c r="BA160" s="197">
        <f t="shared" si="3325"/>
        <v>0</v>
      </c>
      <c r="BB160" s="197">
        <f t="shared" si="3325"/>
        <v>0</v>
      </c>
      <c r="BC160" s="197">
        <f t="shared" si="3325"/>
        <v>0</v>
      </c>
      <c r="BD160" s="197">
        <f t="shared" si="3325"/>
        <v>0</v>
      </c>
      <c r="BE160" s="197">
        <f t="shared" si="3325"/>
        <v>0</v>
      </c>
      <c r="BF160" s="197">
        <f t="shared" si="3325"/>
        <v>0</v>
      </c>
      <c r="BG160" s="197">
        <f t="shared" si="3325"/>
        <v>0</v>
      </c>
      <c r="BH160" s="197">
        <f t="shared" si="3325"/>
        <v>0</v>
      </c>
      <c r="BI160" s="197">
        <f t="shared" si="3325"/>
        <v>0</v>
      </c>
      <c r="BJ160" s="197">
        <f t="shared" si="3325"/>
        <v>0</v>
      </c>
      <c r="BK160" s="197">
        <f t="shared" si="3325"/>
        <v>0</v>
      </c>
      <c r="BL160" s="197">
        <f t="shared" si="3325"/>
        <v>0</v>
      </c>
      <c r="BM160" s="197">
        <f t="shared" si="3325"/>
        <v>0</v>
      </c>
      <c r="BN160" s="197">
        <f t="shared" si="3325"/>
        <v>0</v>
      </c>
      <c r="BO160" s="197">
        <f t="shared" ref="BO160:CV160" si="3326">BO31-BO284</f>
        <v>0</v>
      </c>
      <c r="BP160" s="197">
        <f t="shared" si="3326"/>
        <v>0</v>
      </c>
      <c r="BQ160" s="197">
        <f t="shared" si="3326"/>
        <v>0</v>
      </c>
      <c r="BR160" s="197">
        <f t="shared" si="3326"/>
        <v>0</v>
      </c>
      <c r="BS160" s="197">
        <f t="shared" si="3326"/>
        <v>0</v>
      </c>
      <c r="BT160" s="197">
        <f t="shared" si="3326"/>
        <v>0</v>
      </c>
      <c r="BU160" s="197">
        <f t="shared" si="3326"/>
        <v>0</v>
      </c>
      <c r="BV160" s="197">
        <f t="shared" si="3326"/>
        <v>0</v>
      </c>
      <c r="BW160" s="197">
        <f t="shared" si="3326"/>
        <v>0</v>
      </c>
      <c r="BX160" s="197">
        <f t="shared" si="3326"/>
        <v>0</v>
      </c>
      <c r="BY160" s="197">
        <f t="shared" si="3326"/>
        <v>0</v>
      </c>
      <c r="BZ160" s="197">
        <f t="shared" si="3326"/>
        <v>0</v>
      </c>
      <c r="CA160" s="197">
        <f t="shared" si="3326"/>
        <v>0</v>
      </c>
      <c r="CB160" s="197">
        <f t="shared" si="3326"/>
        <v>0</v>
      </c>
      <c r="CC160" s="197">
        <f t="shared" si="3326"/>
        <v>0</v>
      </c>
      <c r="CD160" s="197">
        <f t="shared" si="3326"/>
        <v>0</v>
      </c>
      <c r="CE160" s="197">
        <f t="shared" si="3326"/>
        <v>0</v>
      </c>
      <c r="CF160" s="197">
        <f t="shared" si="3326"/>
        <v>0</v>
      </c>
      <c r="CG160" s="197">
        <f t="shared" si="3326"/>
        <v>0</v>
      </c>
      <c r="CH160" s="197">
        <f t="shared" si="3326"/>
        <v>0</v>
      </c>
      <c r="CI160" s="197">
        <f t="shared" si="3326"/>
        <v>0</v>
      </c>
      <c r="CJ160" s="197">
        <f t="shared" si="3326"/>
        <v>0</v>
      </c>
      <c r="CK160" s="197">
        <f t="shared" si="3326"/>
        <v>0</v>
      </c>
      <c r="CL160" s="197">
        <f t="shared" si="3326"/>
        <v>0</v>
      </c>
      <c r="CM160" s="197">
        <f t="shared" si="3326"/>
        <v>0</v>
      </c>
      <c r="CN160" s="197">
        <f t="shared" si="3326"/>
        <v>0</v>
      </c>
      <c r="CO160" s="197">
        <f t="shared" si="3326"/>
        <v>0</v>
      </c>
      <c r="CP160" s="197">
        <f t="shared" si="3326"/>
        <v>0</v>
      </c>
      <c r="CQ160" s="197">
        <f t="shared" si="3326"/>
        <v>0</v>
      </c>
      <c r="CR160" s="197">
        <f t="shared" si="3326"/>
        <v>0</v>
      </c>
      <c r="CS160" s="197">
        <f t="shared" si="3326"/>
        <v>0</v>
      </c>
      <c r="CT160" s="197">
        <f t="shared" si="3326"/>
        <v>0</v>
      </c>
      <c r="CU160" s="197">
        <f t="shared" si="3326"/>
        <v>0</v>
      </c>
      <c r="CV160" s="197">
        <f t="shared" si="3326"/>
        <v>0</v>
      </c>
      <c r="CW160" s="197"/>
      <c r="CX160" s="197">
        <f>CX31-CX284</f>
        <v>0</v>
      </c>
      <c r="CY160" s="197">
        <f>CY31-CY284</f>
        <v>0</v>
      </c>
      <c r="CZ160" s="197">
        <f>CZ31-CZ284</f>
        <v>0</v>
      </c>
      <c r="DA160" s="197">
        <f>DA31-DA284</f>
        <v>0</v>
      </c>
      <c r="DB160" s="197">
        <f>DB31-DB284</f>
        <v>0</v>
      </c>
      <c r="DC160" s="197">
        <f>DC31-DC284</f>
        <v>0</v>
      </c>
      <c r="DD160" s="197"/>
      <c r="DE160" s="197">
        <f t="shared" ref="DE160:EG160" si="3327">DE31-DE284</f>
        <v>0</v>
      </c>
      <c r="DF160" s="197">
        <f t="shared" si="3327"/>
        <v>0</v>
      </c>
      <c r="DG160" s="197">
        <f t="shared" si="3327"/>
        <v>0</v>
      </c>
      <c r="DH160" s="197">
        <f t="shared" si="3327"/>
        <v>0</v>
      </c>
      <c r="DI160" s="197">
        <f t="shared" si="3327"/>
        <v>0</v>
      </c>
      <c r="DJ160" s="197">
        <f t="shared" si="3327"/>
        <v>0</v>
      </c>
      <c r="DK160" s="197">
        <f t="shared" si="3327"/>
        <v>0</v>
      </c>
      <c r="DL160" s="197">
        <f t="shared" si="3327"/>
        <v>0</v>
      </c>
      <c r="DM160" s="197">
        <f t="shared" si="3327"/>
        <v>0</v>
      </c>
      <c r="DN160" s="197">
        <f t="shared" si="3327"/>
        <v>0</v>
      </c>
      <c r="DO160" s="197">
        <f t="shared" si="3327"/>
        <v>0</v>
      </c>
      <c r="DP160" s="197">
        <f t="shared" si="3327"/>
        <v>0</v>
      </c>
      <c r="DQ160" s="197">
        <f t="shared" si="3327"/>
        <v>0</v>
      </c>
      <c r="DR160" s="197">
        <f t="shared" si="3327"/>
        <v>0</v>
      </c>
      <c r="DS160" s="197">
        <f t="shared" si="3327"/>
        <v>0.87462997276008958</v>
      </c>
      <c r="DT160" s="197">
        <f t="shared" si="3327"/>
        <v>0</v>
      </c>
      <c r="DU160" s="197">
        <f t="shared" si="3327"/>
        <v>0</v>
      </c>
      <c r="DV160" s="197">
        <f t="shared" si="3327"/>
        <v>0</v>
      </c>
      <c r="DW160" s="197">
        <f t="shared" si="3327"/>
        <v>0</v>
      </c>
      <c r="DX160" s="197">
        <f t="shared" si="3327"/>
        <v>0</v>
      </c>
      <c r="DY160" s="197">
        <f t="shared" si="3327"/>
        <v>0</v>
      </c>
      <c r="DZ160" s="197">
        <f t="shared" si="3327"/>
        <v>0</v>
      </c>
      <c r="EA160" s="197">
        <f t="shared" si="3327"/>
        <v>0</v>
      </c>
      <c r="EB160" s="197">
        <f t="shared" si="3327"/>
        <v>0</v>
      </c>
      <c r="EC160" s="197">
        <f t="shared" si="3327"/>
        <v>0</v>
      </c>
      <c r="ED160" s="197">
        <f t="shared" si="3327"/>
        <v>0</v>
      </c>
      <c r="EE160" s="197">
        <f t="shared" si="3327"/>
        <v>0</v>
      </c>
      <c r="EF160" s="197">
        <f t="shared" si="3327"/>
        <v>0</v>
      </c>
      <c r="EG160" s="197">
        <f t="shared" si="3327"/>
        <v>0</v>
      </c>
    </row>
    <row r="161" spans="1:137" hidden="1">
      <c r="A161" s="157">
        <v>42948</v>
      </c>
      <c r="B161" s="197">
        <f>B32-B285</f>
        <v>0</v>
      </c>
      <c r="C161" s="197">
        <f>C32-C285</f>
        <v>0</v>
      </c>
      <c r="D161" s="197">
        <f>D32-D285</f>
        <v>0</v>
      </c>
      <c r="E161" s="197">
        <f>E32-E285</f>
        <v>0</v>
      </c>
      <c r="F161" s="197">
        <f>F32-F285</f>
        <v>0</v>
      </c>
      <c r="G161" s="197"/>
      <c r="H161" s="197"/>
      <c r="I161" s="197">
        <f t="shared" ref="I161:AB161" si="3328">I32-I285</f>
        <v>0</v>
      </c>
      <c r="J161" s="197">
        <f t="shared" si="3328"/>
        <v>0</v>
      </c>
      <c r="K161" s="197">
        <f t="shared" si="3328"/>
        <v>0</v>
      </c>
      <c r="L161" s="197">
        <f t="shared" si="3328"/>
        <v>0</v>
      </c>
      <c r="M161" s="197">
        <f t="shared" si="3328"/>
        <v>0</v>
      </c>
      <c r="N161" s="197">
        <f t="shared" si="3328"/>
        <v>0</v>
      </c>
      <c r="O161" s="197">
        <f t="shared" si="3328"/>
        <v>0</v>
      </c>
      <c r="P161" s="197">
        <f t="shared" si="3328"/>
        <v>0</v>
      </c>
      <c r="Q161" s="197">
        <f t="shared" si="3328"/>
        <v>0</v>
      </c>
      <c r="R161" s="197">
        <f t="shared" si="3328"/>
        <v>0</v>
      </c>
      <c r="S161" s="197">
        <f t="shared" si="3328"/>
        <v>0</v>
      </c>
      <c r="T161" s="197">
        <f t="shared" si="3328"/>
        <v>0</v>
      </c>
      <c r="U161" s="197">
        <f t="shared" si="3328"/>
        <v>0</v>
      </c>
      <c r="V161" s="197">
        <f t="shared" si="3328"/>
        <v>0</v>
      </c>
      <c r="W161" s="197">
        <f t="shared" si="3328"/>
        <v>0</v>
      </c>
      <c r="X161" s="197">
        <f t="shared" si="3328"/>
        <v>0</v>
      </c>
      <c r="Y161" s="197">
        <f t="shared" si="3328"/>
        <v>0</v>
      </c>
      <c r="Z161" s="197">
        <f t="shared" si="3328"/>
        <v>0</v>
      </c>
      <c r="AA161" s="197">
        <f t="shared" si="3328"/>
        <v>0</v>
      </c>
      <c r="AB161" s="197">
        <f t="shared" si="3328"/>
        <v>0</v>
      </c>
      <c r="AC161" s="163"/>
      <c r="AD161" s="163"/>
      <c r="AE161" s="163"/>
      <c r="AF161" s="163"/>
      <c r="AH161" s="197"/>
      <c r="AI161" s="197">
        <f t="shared" ref="AI161:BN161" si="3329">AI32-AI285</f>
        <v>0</v>
      </c>
      <c r="AJ161" s="197">
        <f t="shared" si="3329"/>
        <v>0</v>
      </c>
      <c r="AK161" s="197">
        <f t="shared" si="3329"/>
        <v>0</v>
      </c>
      <c r="AL161" s="197">
        <f t="shared" si="3329"/>
        <v>0</v>
      </c>
      <c r="AM161" s="197">
        <f t="shared" si="3329"/>
        <v>0</v>
      </c>
      <c r="AN161" s="197">
        <f t="shared" si="3329"/>
        <v>0</v>
      </c>
      <c r="AO161" s="197">
        <f t="shared" si="3329"/>
        <v>0</v>
      </c>
      <c r="AP161" s="197">
        <f t="shared" si="3329"/>
        <v>0</v>
      </c>
      <c r="AQ161" s="197">
        <f t="shared" si="3329"/>
        <v>0</v>
      </c>
      <c r="AR161" s="197">
        <f t="shared" si="3329"/>
        <v>0</v>
      </c>
      <c r="AS161" s="197">
        <f t="shared" si="3329"/>
        <v>0</v>
      </c>
      <c r="AT161" s="197">
        <f t="shared" si="3329"/>
        <v>0</v>
      </c>
      <c r="AU161" s="197">
        <f t="shared" si="3329"/>
        <v>0</v>
      </c>
      <c r="AV161" s="197">
        <f t="shared" si="3329"/>
        <v>0</v>
      </c>
      <c r="AW161" s="197">
        <f t="shared" si="3329"/>
        <v>0</v>
      </c>
      <c r="AX161" s="197">
        <f t="shared" si="3329"/>
        <v>0</v>
      </c>
      <c r="AY161" s="197">
        <f t="shared" si="3329"/>
        <v>0</v>
      </c>
      <c r="AZ161" s="197">
        <f t="shared" si="3329"/>
        <v>0</v>
      </c>
      <c r="BA161" s="197">
        <f t="shared" si="3329"/>
        <v>0</v>
      </c>
      <c r="BB161" s="197">
        <f t="shared" si="3329"/>
        <v>0</v>
      </c>
      <c r="BC161" s="197">
        <f t="shared" si="3329"/>
        <v>0</v>
      </c>
      <c r="BD161" s="197">
        <f t="shared" si="3329"/>
        <v>0</v>
      </c>
      <c r="BE161" s="197">
        <f t="shared" si="3329"/>
        <v>0</v>
      </c>
      <c r="BF161" s="197">
        <f t="shared" si="3329"/>
        <v>0</v>
      </c>
      <c r="BG161" s="197">
        <f t="shared" si="3329"/>
        <v>0</v>
      </c>
      <c r="BH161" s="197">
        <f t="shared" si="3329"/>
        <v>0</v>
      </c>
      <c r="BI161" s="197">
        <f t="shared" si="3329"/>
        <v>0</v>
      </c>
      <c r="BJ161" s="197">
        <f t="shared" si="3329"/>
        <v>0</v>
      </c>
      <c r="BK161" s="197">
        <f t="shared" si="3329"/>
        <v>0</v>
      </c>
      <c r="BL161" s="197">
        <f t="shared" si="3329"/>
        <v>0</v>
      </c>
      <c r="BM161" s="197">
        <f t="shared" si="3329"/>
        <v>0</v>
      </c>
      <c r="BN161" s="197">
        <f t="shared" si="3329"/>
        <v>0</v>
      </c>
      <c r="BO161" s="197">
        <f t="shared" ref="BO161:CV161" si="3330">BO32-BO285</f>
        <v>0</v>
      </c>
      <c r="BP161" s="197">
        <f t="shared" si="3330"/>
        <v>0</v>
      </c>
      <c r="BQ161" s="197">
        <f t="shared" si="3330"/>
        <v>0</v>
      </c>
      <c r="BR161" s="197">
        <f t="shared" si="3330"/>
        <v>0</v>
      </c>
      <c r="BS161" s="197">
        <f t="shared" si="3330"/>
        <v>0</v>
      </c>
      <c r="BT161" s="197">
        <f t="shared" si="3330"/>
        <v>0</v>
      </c>
      <c r="BU161" s="197">
        <f t="shared" si="3330"/>
        <v>0</v>
      </c>
      <c r="BV161" s="197">
        <f t="shared" si="3330"/>
        <v>0</v>
      </c>
      <c r="BW161" s="197">
        <f t="shared" si="3330"/>
        <v>0</v>
      </c>
      <c r="BX161" s="197">
        <f t="shared" si="3330"/>
        <v>0</v>
      </c>
      <c r="BY161" s="197">
        <f t="shared" si="3330"/>
        <v>0</v>
      </c>
      <c r="BZ161" s="197">
        <f t="shared" si="3330"/>
        <v>0</v>
      </c>
      <c r="CA161" s="197">
        <f t="shared" si="3330"/>
        <v>0</v>
      </c>
      <c r="CB161" s="197">
        <f t="shared" si="3330"/>
        <v>0</v>
      </c>
      <c r="CC161" s="197">
        <f t="shared" si="3330"/>
        <v>0</v>
      </c>
      <c r="CD161" s="197">
        <f t="shared" si="3330"/>
        <v>0</v>
      </c>
      <c r="CE161" s="197">
        <f t="shared" si="3330"/>
        <v>0</v>
      </c>
      <c r="CF161" s="197">
        <f t="shared" si="3330"/>
        <v>0</v>
      </c>
      <c r="CG161" s="197">
        <f t="shared" si="3330"/>
        <v>0</v>
      </c>
      <c r="CH161" s="197">
        <f t="shared" si="3330"/>
        <v>0</v>
      </c>
      <c r="CI161" s="197">
        <f t="shared" si="3330"/>
        <v>0</v>
      </c>
      <c r="CJ161" s="197">
        <f t="shared" si="3330"/>
        <v>0</v>
      </c>
      <c r="CK161" s="197">
        <f t="shared" si="3330"/>
        <v>0</v>
      </c>
      <c r="CL161" s="197">
        <f t="shared" si="3330"/>
        <v>0</v>
      </c>
      <c r="CM161" s="197">
        <f t="shared" si="3330"/>
        <v>0</v>
      </c>
      <c r="CN161" s="197">
        <f t="shared" si="3330"/>
        <v>0</v>
      </c>
      <c r="CO161" s="197">
        <f t="shared" si="3330"/>
        <v>0</v>
      </c>
      <c r="CP161" s="197">
        <f t="shared" si="3330"/>
        <v>0</v>
      </c>
      <c r="CQ161" s="197">
        <f t="shared" si="3330"/>
        <v>0</v>
      </c>
      <c r="CR161" s="197">
        <f t="shared" si="3330"/>
        <v>0</v>
      </c>
      <c r="CS161" s="197">
        <f t="shared" si="3330"/>
        <v>0</v>
      </c>
      <c r="CT161" s="197">
        <f t="shared" si="3330"/>
        <v>0</v>
      </c>
      <c r="CU161" s="197">
        <f t="shared" si="3330"/>
        <v>0</v>
      </c>
      <c r="CV161" s="197">
        <f t="shared" si="3330"/>
        <v>0</v>
      </c>
      <c r="CW161" s="197"/>
      <c r="CX161" s="197">
        <f>CX32-CX285</f>
        <v>0</v>
      </c>
      <c r="CY161" s="197">
        <f>CY32-CY285</f>
        <v>0</v>
      </c>
      <c r="CZ161" s="197">
        <f>CZ32-CZ285</f>
        <v>0</v>
      </c>
      <c r="DA161" s="197">
        <f>DA32-DA285</f>
        <v>0</v>
      </c>
      <c r="DB161" s="197">
        <f>DB32-DB285</f>
        <v>0</v>
      </c>
      <c r="DC161" s="197">
        <f>DC32-DC285</f>
        <v>0</v>
      </c>
      <c r="DD161" s="197"/>
      <c r="DE161" s="197">
        <f t="shared" ref="DE161:EG161" si="3331">DE32-DE285</f>
        <v>0</v>
      </c>
      <c r="DF161" s="197">
        <f t="shared" si="3331"/>
        <v>0</v>
      </c>
      <c r="DG161" s="197">
        <f t="shared" si="3331"/>
        <v>43.51431809728858</v>
      </c>
      <c r="DH161" s="197">
        <f t="shared" si="3331"/>
        <v>0</v>
      </c>
      <c r="DI161" s="197">
        <f t="shared" si="3331"/>
        <v>0</v>
      </c>
      <c r="DJ161" s="197">
        <f t="shared" si="3331"/>
        <v>0</v>
      </c>
      <c r="DK161" s="197">
        <f t="shared" si="3331"/>
        <v>0</v>
      </c>
      <c r="DL161" s="197">
        <f t="shared" si="3331"/>
        <v>0</v>
      </c>
      <c r="DM161" s="197">
        <f t="shared" si="3331"/>
        <v>0</v>
      </c>
      <c r="DN161" s="197">
        <f t="shared" si="3331"/>
        <v>0</v>
      </c>
      <c r="DO161" s="197">
        <f t="shared" si="3331"/>
        <v>0</v>
      </c>
      <c r="DP161" s="197">
        <f t="shared" si="3331"/>
        <v>0</v>
      </c>
      <c r="DQ161" s="197">
        <f t="shared" si="3331"/>
        <v>0</v>
      </c>
      <c r="DR161" s="197">
        <f t="shared" si="3331"/>
        <v>0</v>
      </c>
      <c r="DS161" s="197">
        <f t="shared" si="3331"/>
        <v>1.1074599794968851</v>
      </c>
      <c r="DT161" s="197">
        <f t="shared" si="3331"/>
        <v>0</v>
      </c>
      <c r="DU161" s="197">
        <f t="shared" si="3331"/>
        <v>0</v>
      </c>
      <c r="DV161" s="197">
        <f t="shared" si="3331"/>
        <v>0</v>
      </c>
      <c r="DW161" s="197">
        <f t="shared" si="3331"/>
        <v>0</v>
      </c>
      <c r="DX161" s="197">
        <f t="shared" si="3331"/>
        <v>0</v>
      </c>
      <c r="DY161" s="197">
        <f t="shared" si="3331"/>
        <v>0</v>
      </c>
      <c r="DZ161" s="197">
        <f t="shared" si="3331"/>
        <v>0</v>
      </c>
      <c r="EA161" s="197">
        <f t="shared" si="3331"/>
        <v>0</v>
      </c>
      <c r="EB161" s="197">
        <f t="shared" si="3331"/>
        <v>0</v>
      </c>
      <c r="EC161" s="197">
        <f t="shared" si="3331"/>
        <v>0</v>
      </c>
      <c r="ED161" s="197">
        <f t="shared" si="3331"/>
        <v>0</v>
      </c>
      <c r="EE161" s="197">
        <f t="shared" si="3331"/>
        <v>0</v>
      </c>
      <c r="EF161" s="197">
        <f t="shared" si="3331"/>
        <v>0</v>
      </c>
      <c r="EG161" s="197">
        <f t="shared" si="3331"/>
        <v>0</v>
      </c>
    </row>
    <row r="162" spans="1:137" hidden="1">
      <c r="A162" s="157">
        <v>42979</v>
      </c>
      <c r="B162" s="197">
        <f>B33-B286</f>
        <v>0</v>
      </c>
      <c r="C162" s="197">
        <f>C33-C286</f>
        <v>0</v>
      </c>
      <c r="D162" s="197">
        <f>D33-D286</f>
        <v>0</v>
      </c>
      <c r="E162" s="197">
        <f>E33-E286</f>
        <v>0</v>
      </c>
      <c r="F162" s="197">
        <f>F33-F286</f>
        <v>0</v>
      </c>
      <c r="G162" s="197"/>
      <c r="H162" s="197"/>
      <c r="I162" s="197">
        <f t="shared" ref="I162:AB162" si="3332">I33-I286</f>
        <v>0</v>
      </c>
      <c r="J162" s="197">
        <f t="shared" si="3332"/>
        <v>0</v>
      </c>
      <c r="K162" s="197">
        <f t="shared" si="3332"/>
        <v>0</v>
      </c>
      <c r="L162" s="197">
        <f t="shared" si="3332"/>
        <v>0</v>
      </c>
      <c r="M162" s="197">
        <f t="shared" si="3332"/>
        <v>0</v>
      </c>
      <c r="N162" s="197">
        <f t="shared" si="3332"/>
        <v>0</v>
      </c>
      <c r="O162" s="197">
        <f t="shared" si="3332"/>
        <v>0</v>
      </c>
      <c r="P162" s="197">
        <f t="shared" si="3332"/>
        <v>0</v>
      </c>
      <c r="Q162" s="197">
        <f t="shared" si="3332"/>
        <v>0</v>
      </c>
      <c r="R162" s="197">
        <f t="shared" si="3332"/>
        <v>0</v>
      </c>
      <c r="S162" s="197">
        <f t="shared" si="3332"/>
        <v>0</v>
      </c>
      <c r="T162" s="197">
        <f t="shared" si="3332"/>
        <v>0</v>
      </c>
      <c r="U162" s="197">
        <f t="shared" si="3332"/>
        <v>0</v>
      </c>
      <c r="V162" s="197">
        <f t="shared" si="3332"/>
        <v>0</v>
      </c>
      <c r="W162" s="197">
        <f t="shared" si="3332"/>
        <v>0</v>
      </c>
      <c r="X162" s="197">
        <f t="shared" si="3332"/>
        <v>0</v>
      </c>
      <c r="Y162" s="197">
        <f t="shared" si="3332"/>
        <v>0</v>
      </c>
      <c r="Z162" s="197">
        <f t="shared" si="3332"/>
        <v>0</v>
      </c>
      <c r="AA162" s="197">
        <f t="shared" si="3332"/>
        <v>0</v>
      </c>
      <c r="AB162" s="197">
        <f t="shared" si="3332"/>
        <v>0</v>
      </c>
      <c r="AC162" s="163"/>
      <c r="AD162" s="163"/>
      <c r="AE162" s="163"/>
      <c r="AF162" s="163"/>
      <c r="AH162" s="197"/>
      <c r="AI162" s="197">
        <f t="shared" ref="AI162:BN162" si="3333">AI33-AI286</f>
        <v>0</v>
      </c>
      <c r="AJ162" s="197">
        <f t="shared" si="3333"/>
        <v>0</v>
      </c>
      <c r="AK162" s="197">
        <f t="shared" si="3333"/>
        <v>0</v>
      </c>
      <c r="AL162" s="197">
        <f t="shared" si="3333"/>
        <v>0</v>
      </c>
      <c r="AM162" s="197">
        <f t="shared" si="3333"/>
        <v>0</v>
      </c>
      <c r="AN162" s="197">
        <f t="shared" si="3333"/>
        <v>0</v>
      </c>
      <c r="AO162" s="197">
        <f t="shared" si="3333"/>
        <v>0</v>
      </c>
      <c r="AP162" s="197">
        <f t="shared" si="3333"/>
        <v>0</v>
      </c>
      <c r="AQ162" s="197">
        <f t="shared" si="3333"/>
        <v>0</v>
      </c>
      <c r="AR162" s="197">
        <f t="shared" si="3333"/>
        <v>0</v>
      </c>
      <c r="AS162" s="197">
        <f t="shared" si="3333"/>
        <v>0</v>
      </c>
      <c r="AT162" s="197">
        <f t="shared" si="3333"/>
        <v>0</v>
      </c>
      <c r="AU162" s="197">
        <f t="shared" si="3333"/>
        <v>0</v>
      </c>
      <c r="AV162" s="197">
        <f t="shared" si="3333"/>
        <v>0</v>
      </c>
      <c r="AW162" s="197">
        <f t="shared" si="3333"/>
        <v>0</v>
      </c>
      <c r="AX162" s="197">
        <f t="shared" si="3333"/>
        <v>0</v>
      </c>
      <c r="AY162" s="197">
        <f t="shared" si="3333"/>
        <v>0</v>
      </c>
      <c r="AZ162" s="197">
        <f t="shared" si="3333"/>
        <v>0</v>
      </c>
      <c r="BA162" s="197">
        <f t="shared" si="3333"/>
        <v>0</v>
      </c>
      <c r="BB162" s="197">
        <f t="shared" si="3333"/>
        <v>0</v>
      </c>
      <c r="BC162" s="197">
        <f t="shared" si="3333"/>
        <v>0</v>
      </c>
      <c r="BD162" s="197">
        <f t="shared" si="3333"/>
        <v>0</v>
      </c>
      <c r="BE162" s="197">
        <f t="shared" si="3333"/>
        <v>0</v>
      </c>
      <c r="BF162" s="197">
        <f t="shared" si="3333"/>
        <v>0</v>
      </c>
      <c r="BG162" s="197">
        <f t="shared" si="3333"/>
        <v>0</v>
      </c>
      <c r="BH162" s="197">
        <f t="shared" si="3333"/>
        <v>0</v>
      </c>
      <c r="BI162" s="197">
        <f t="shared" si="3333"/>
        <v>0</v>
      </c>
      <c r="BJ162" s="197">
        <f t="shared" si="3333"/>
        <v>0</v>
      </c>
      <c r="BK162" s="197">
        <f t="shared" si="3333"/>
        <v>0</v>
      </c>
      <c r="BL162" s="197">
        <f t="shared" si="3333"/>
        <v>0</v>
      </c>
      <c r="BM162" s="197">
        <f t="shared" si="3333"/>
        <v>0</v>
      </c>
      <c r="BN162" s="197">
        <f t="shared" si="3333"/>
        <v>0</v>
      </c>
      <c r="BO162" s="197">
        <f t="shared" ref="BO162:CV162" si="3334">BO33-BO286</f>
        <v>0</v>
      </c>
      <c r="BP162" s="197">
        <f t="shared" si="3334"/>
        <v>0</v>
      </c>
      <c r="BQ162" s="197">
        <f t="shared" si="3334"/>
        <v>0</v>
      </c>
      <c r="BR162" s="197">
        <f t="shared" si="3334"/>
        <v>0</v>
      </c>
      <c r="BS162" s="197">
        <f t="shared" si="3334"/>
        <v>0</v>
      </c>
      <c r="BT162" s="197">
        <f t="shared" si="3334"/>
        <v>0</v>
      </c>
      <c r="BU162" s="197">
        <f t="shared" si="3334"/>
        <v>0</v>
      </c>
      <c r="BV162" s="197">
        <f t="shared" si="3334"/>
        <v>0</v>
      </c>
      <c r="BW162" s="197">
        <f t="shared" si="3334"/>
        <v>0</v>
      </c>
      <c r="BX162" s="197">
        <f t="shared" si="3334"/>
        <v>0</v>
      </c>
      <c r="BY162" s="197">
        <f t="shared" si="3334"/>
        <v>0</v>
      </c>
      <c r="BZ162" s="197">
        <f t="shared" si="3334"/>
        <v>0</v>
      </c>
      <c r="CA162" s="197">
        <f t="shared" si="3334"/>
        <v>0</v>
      </c>
      <c r="CB162" s="197">
        <f t="shared" si="3334"/>
        <v>0</v>
      </c>
      <c r="CC162" s="197">
        <f t="shared" si="3334"/>
        <v>0</v>
      </c>
      <c r="CD162" s="197">
        <f t="shared" si="3334"/>
        <v>0</v>
      </c>
      <c r="CE162" s="197">
        <f t="shared" si="3334"/>
        <v>0</v>
      </c>
      <c r="CF162" s="197">
        <f t="shared" si="3334"/>
        <v>0</v>
      </c>
      <c r="CG162" s="197">
        <f t="shared" si="3334"/>
        <v>0</v>
      </c>
      <c r="CH162" s="197">
        <f t="shared" si="3334"/>
        <v>0</v>
      </c>
      <c r="CI162" s="197">
        <f t="shared" si="3334"/>
        <v>0</v>
      </c>
      <c r="CJ162" s="197">
        <f t="shared" si="3334"/>
        <v>0</v>
      </c>
      <c r="CK162" s="197">
        <f t="shared" si="3334"/>
        <v>0</v>
      </c>
      <c r="CL162" s="197">
        <f t="shared" si="3334"/>
        <v>0</v>
      </c>
      <c r="CM162" s="197">
        <f t="shared" si="3334"/>
        <v>0</v>
      </c>
      <c r="CN162" s="197">
        <f t="shared" si="3334"/>
        <v>0</v>
      </c>
      <c r="CO162" s="197">
        <f t="shared" si="3334"/>
        <v>0</v>
      </c>
      <c r="CP162" s="197">
        <f t="shared" si="3334"/>
        <v>0</v>
      </c>
      <c r="CQ162" s="197">
        <f t="shared" si="3334"/>
        <v>0</v>
      </c>
      <c r="CR162" s="197">
        <f t="shared" si="3334"/>
        <v>0</v>
      </c>
      <c r="CS162" s="197">
        <f t="shared" si="3334"/>
        <v>0</v>
      </c>
      <c r="CT162" s="197">
        <f t="shared" si="3334"/>
        <v>0</v>
      </c>
      <c r="CU162" s="197">
        <f t="shared" si="3334"/>
        <v>0</v>
      </c>
      <c r="CV162" s="197">
        <f t="shared" si="3334"/>
        <v>0</v>
      </c>
      <c r="CW162" s="197"/>
      <c r="CX162" s="197">
        <f>CX33-CX286</f>
        <v>0</v>
      </c>
      <c r="CY162" s="197">
        <f>CY33-CY286</f>
        <v>0</v>
      </c>
      <c r="CZ162" s="197">
        <f>CZ33-CZ286</f>
        <v>0</v>
      </c>
      <c r="DA162" s="197">
        <f>DA33-DA286</f>
        <v>0</v>
      </c>
      <c r="DB162" s="197">
        <f>DB33-DB286</f>
        <v>0</v>
      </c>
      <c r="DC162" s="197">
        <f>DC33-DC286</f>
        <v>0</v>
      </c>
      <c r="DD162" s="197"/>
      <c r="DE162" s="197">
        <f t="shared" ref="DE162:EG162" si="3335">DE33-DE286</f>
        <v>0</v>
      </c>
      <c r="DF162" s="197">
        <f t="shared" si="3335"/>
        <v>0</v>
      </c>
      <c r="DG162" s="197">
        <f t="shared" si="3335"/>
        <v>41.27922063729978</v>
      </c>
      <c r="DH162" s="197">
        <f t="shared" si="3335"/>
        <v>0</v>
      </c>
      <c r="DI162" s="197">
        <f t="shared" si="3335"/>
        <v>0</v>
      </c>
      <c r="DJ162" s="197">
        <f t="shared" si="3335"/>
        <v>0</v>
      </c>
      <c r="DK162" s="197">
        <f t="shared" si="3335"/>
        <v>0</v>
      </c>
      <c r="DL162" s="197">
        <f t="shared" si="3335"/>
        <v>0</v>
      </c>
      <c r="DM162" s="197">
        <f t="shared" si="3335"/>
        <v>0</v>
      </c>
      <c r="DN162" s="197">
        <f t="shared" si="3335"/>
        <v>0</v>
      </c>
      <c r="DO162" s="197">
        <f t="shared" si="3335"/>
        <v>229</v>
      </c>
      <c r="DP162" s="197">
        <f t="shared" si="3335"/>
        <v>0</v>
      </c>
      <c r="DQ162" s="197">
        <f t="shared" si="3335"/>
        <v>229</v>
      </c>
      <c r="DR162" s="197">
        <f t="shared" si="3335"/>
        <v>0</v>
      </c>
      <c r="DS162" s="197">
        <f t="shared" si="3335"/>
        <v>0.93608246173971499</v>
      </c>
      <c r="DT162" s="197">
        <f t="shared" si="3335"/>
        <v>0</v>
      </c>
      <c r="DU162" s="197">
        <f t="shared" si="3335"/>
        <v>0</v>
      </c>
      <c r="DV162" s="197">
        <f t="shared" si="3335"/>
        <v>0</v>
      </c>
      <c r="DW162" s="197">
        <f t="shared" si="3335"/>
        <v>0</v>
      </c>
      <c r="DX162" s="197">
        <f t="shared" si="3335"/>
        <v>0</v>
      </c>
      <c r="DY162" s="197">
        <f t="shared" si="3335"/>
        <v>0</v>
      </c>
      <c r="DZ162" s="197">
        <f t="shared" si="3335"/>
        <v>0</v>
      </c>
      <c r="EA162" s="197">
        <f t="shared" si="3335"/>
        <v>0</v>
      </c>
      <c r="EB162" s="197">
        <f t="shared" si="3335"/>
        <v>0</v>
      </c>
      <c r="EC162" s="197">
        <f t="shared" si="3335"/>
        <v>0</v>
      </c>
      <c r="ED162" s="197">
        <f t="shared" si="3335"/>
        <v>0</v>
      </c>
      <c r="EE162" s="197">
        <f t="shared" si="3335"/>
        <v>0</v>
      </c>
      <c r="EF162" s="197">
        <f t="shared" si="3335"/>
        <v>0</v>
      </c>
      <c r="EG162" s="197">
        <f t="shared" si="3335"/>
        <v>0</v>
      </c>
    </row>
    <row r="163" spans="1:137" hidden="1">
      <c r="A163" s="157">
        <v>43009</v>
      </c>
      <c r="B163" s="197">
        <f>B34-B287</f>
        <v>0</v>
      </c>
      <c r="C163" s="197">
        <f>C34-C287</f>
        <v>0</v>
      </c>
      <c r="D163" s="197">
        <f>D34-D287</f>
        <v>0</v>
      </c>
      <c r="E163" s="197">
        <f>E34-E287</f>
        <v>0</v>
      </c>
      <c r="F163" s="197">
        <f>F34-F287</f>
        <v>0</v>
      </c>
      <c r="G163" s="197"/>
      <c r="H163" s="197"/>
      <c r="I163" s="197">
        <f t="shared" ref="I163:AB163" si="3336">I34-I287</f>
        <v>0</v>
      </c>
      <c r="J163" s="197">
        <f t="shared" si="3336"/>
        <v>0</v>
      </c>
      <c r="K163" s="197">
        <f t="shared" si="3336"/>
        <v>0</v>
      </c>
      <c r="L163" s="197">
        <f t="shared" si="3336"/>
        <v>0</v>
      </c>
      <c r="M163" s="197">
        <f t="shared" si="3336"/>
        <v>0</v>
      </c>
      <c r="N163" s="197">
        <f t="shared" si="3336"/>
        <v>0</v>
      </c>
      <c r="O163" s="197">
        <f t="shared" si="3336"/>
        <v>0</v>
      </c>
      <c r="P163" s="197">
        <f t="shared" si="3336"/>
        <v>0</v>
      </c>
      <c r="Q163" s="197">
        <f t="shared" si="3336"/>
        <v>0</v>
      </c>
      <c r="R163" s="197">
        <f t="shared" si="3336"/>
        <v>0</v>
      </c>
      <c r="S163" s="197">
        <f t="shared" si="3336"/>
        <v>0</v>
      </c>
      <c r="T163" s="197">
        <f t="shared" si="3336"/>
        <v>0</v>
      </c>
      <c r="U163" s="197">
        <f t="shared" si="3336"/>
        <v>0</v>
      </c>
      <c r="V163" s="197">
        <f t="shared" si="3336"/>
        <v>0</v>
      </c>
      <c r="W163" s="197">
        <f t="shared" si="3336"/>
        <v>0</v>
      </c>
      <c r="X163" s="197">
        <f t="shared" si="3336"/>
        <v>0</v>
      </c>
      <c r="Y163" s="197">
        <f t="shared" si="3336"/>
        <v>0</v>
      </c>
      <c r="Z163" s="197">
        <f t="shared" si="3336"/>
        <v>0</v>
      </c>
      <c r="AA163" s="197">
        <f t="shared" si="3336"/>
        <v>0</v>
      </c>
      <c r="AB163" s="197">
        <f t="shared" si="3336"/>
        <v>0</v>
      </c>
      <c r="AC163" s="163"/>
      <c r="AD163" s="163"/>
      <c r="AE163" s="163"/>
      <c r="AF163" s="163"/>
      <c r="AH163" s="197"/>
      <c r="AI163" s="197">
        <f t="shared" ref="AI163:BN163" si="3337">AI34-AI287</f>
        <v>0</v>
      </c>
      <c r="AJ163" s="197">
        <f t="shared" si="3337"/>
        <v>0</v>
      </c>
      <c r="AK163" s="197">
        <f t="shared" si="3337"/>
        <v>0</v>
      </c>
      <c r="AL163" s="197">
        <f t="shared" si="3337"/>
        <v>0</v>
      </c>
      <c r="AM163" s="197">
        <f t="shared" si="3337"/>
        <v>0</v>
      </c>
      <c r="AN163" s="197">
        <f t="shared" si="3337"/>
        <v>0</v>
      </c>
      <c r="AO163" s="197">
        <f t="shared" si="3337"/>
        <v>0</v>
      </c>
      <c r="AP163" s="197">
        <f t="shared" si="3337"/>
        <v>0</v>
      </c>
      <c r="AQ163" s="197">
        <f t="shared" si="3337"/>
        <v>0</v>
      </c>
      <c r="AR163" s="197">
        <f t="shared" si="3337"/>
        <v>0</v>
      </c>
      <c r="AS163" s="197">
        <f t="shared" si="3337"/>
        <v>0</v>
      </c>
      <c r="AT163" s="197">
        <f t="shared" si="3337"/>
        <v>0</v>
      </c>
      <c r="AU163" s="197">
        <f t="shared" si="3337"/>
        <v>0</v>
      </c>
      <c r="AV163" s="197">
        <f t="shared" si="3337"/>
        <v>0</v>
      </c>
      <c r="AW163" s="197">
        <f t="shared" si="3337"/>
        <v>0</v>
      </c>
      <c r="AX163" s="197">
        <f t="shared" si="3337"/>
        <v>0</v>
      </c>
      <c r="AY163" s="197">
        <f t="shared" si="3337"/>
        <v>0</v>
      </c>
      <c r="AZ163" s="197">
        <f t="shared" si="3337"/>
        <v>0</v>
      </c>
      <c r="BA163" s="197">
        <f t="shared" si="3337"/>
        <v>0</v>
      </c>
      <c r="BB163" s="197">
        <f t="shared" si="3337"/>
        <v>0</v>
      </c>
      <c r="BC163" s="197">
        <f t="shared" si="3337"/>
        <v>0</v>
      </c>
      <c r="BD163" s="197">
        <f t="shared" si="3337"/>
        <v>0</v>
      </c>
      <c r="BE163" s="197">
        <f t="shared" si="3337"/>
        <v>0</v>
      </c>
      <c r="BF163" s="197">
        <f t="shared" si="3337"/>
        <v>0</v>
      </c>
      <c r="BG163" s="197">
        <f t="shared" si="3337"/>
        <v>0</v>
      </c>
      <c r="BH163" s="197">
        <f t="shared" si="3337"/>
        <v>0</v>
      </c>
      <c r="BI163" s="197">
        <f t="shared" si="3337"/>
        <v>0</v>
      </c>
      <c r="BJ163" s="197">
        <f t="shared" si="3337"/>
        <v>0</v>
      </c>
      <c r="BK163" s="197">
        <f t="shared" si="3337"/>
        <v>0</v>
      </c>
      <c r="BL163" s="197">
        <f t="shared" si="3337"/>
        <v>0</v>
      </c>
      <c r="BM163" s="197">
        <f t="shared" si="3337"/>
        <v>0</v>
      </c>
      <c r="BN163" s="197">
        <f t="shared" si="3337"/>
        <v>0</v>
      </c>
      <c r="BO163" s="197">
        <f t="shared" ref="BO163:CV163" si="3338">BO34-BO287</f>
        <v>0</v>
      </c>
      <c r="BP163" s="197">
        <f t="shared" si="3338"/>
        <v>0</v>
      </c>
      <c r="BQ163" s="197">
        <f t="shared" si="3338"/>
        <v>0</v>
      </c>
      <c r="BR163" s="197">
        <f t="shared" si="3338"/>
        <v>0</v>
      </c>
      <c r="BS163" s="197">
        <f t="shared" si="3338"/>
        <v>0</v>
      </c>
      <c r="BT163" s="197">
        <f t="shared" si="3338"/>
        <v>0</v>
      </c>
      <c r="BU163" s="197">
        <f t="shared" si="3338"/>
        <v>0</v>
      </c>
      <c r="BV163" s="197">
        <f t="shared" si="3338"/>
        <v>0</v>
      </c>
      <c r="BW163" s="197">
        <f t="shared" si="3338"/>
        <v>0</v>
      </c>
      <c r="BX163" s="197">
        <f t="shared" si="3338"/>
        <v>0</v>
      </c>
      <c r="BY163" s="197">
        <f t="shared" si="3338"/>
        <v>0</v>
      </c>
      <c r="BZ163" s="197">
        <f t="shared" si="3338"/>
        <v>0</v>
      </c>
      <c r="CA163" s="197">
        <f t="shared" si="3338"/>
        <v>0</v>
      </c>
      <c r="CB163" s="197">
        <f t="shared" si="3338"/>
        <v>0</v>
      </c>
      <c r="CC163" s="197">
        <f t="shared" si="3338"/>
        <v>0</v>
      </c>
      <c r="CD163" s="197">
        <f t="shared" si="3338"/>
        <v>0</v>
      </c>
      <c r="CE163" s="197">
        <f t="shared" si="3338"/>
        <v>0</v>
      </c>
      <c r="CF163" s="197">
        <f t="shared" si="3338"/>
        <v>0</v>
      </c>
      <c r="CG163" s="197">
        <f t="shared" si="3338"/>
        <v>0</v>
      </c>
      <c r="CH163" s="197">
        <f t="shared" si="3338"/>
        <v>0</v>
      </c>
      <c r="CI163" s="197">
        <f t="shared" si="3338"/>
        <v>0</v>
      </c>
      <c r="CJ163" s="197">
        <f t="shared" si="3338"/>
        <v>0</v>
      </c>
      <c r="CK163" s="197">
        <f t="shared" si="3338"/>
        <v>0</v>
      </c>
      <c r="CL163" s="197">
        <f t="shared" si="3338"/>
        <v>0</v>
      </c>
      <c r="CM163" s="197">
        <f t="shared" si="3338"/>
        <v>0</v>
      </c>
      <c r="CN163" s="197">
        <f t="shared" si="3338"/>
        <v>0</v>
      </c>
      <c r="CO163" s="197">
        <f t="shared" si="3338"/>
        <v>0</v>
      </c>
      <c r="CP163" s="197">
        <f t="shared" si="3338"/>
        <v>0</v>
      </c>
      <c r="CQ163" s="197">
        <f t="shared" si="3338"/>
        <v>0</v>
      </c>
      <c r="CR163" s="197">
        <f t="shared" si="3338"/>
        <v>0</v>
      </c>
      <c r="CS163" s="197">
        <f t="shared" si="3338"/>
        <v>0</v>
      </c>
      <c r="CT163" s="197">
        <f t="shared" si="3338"/>
        <v>0</v>
      </c>
      <c r="CU163" s="197">
        <f t="shared" si="3338"/>
        <v>0</v>
      </c>
      <c r="CV163" s="197">
        <f t="shared" si="3338"/>
        <v>0</v>
      </c>
      <c r="CW163" s="197"/>
      <c r="CX163" s="197">
        <f>CX34-CX287</f>
        <v>0</v>
      </c>
      <c r="CY163" s="197">
        <f>CY34-CY287</f>
        <v>0</v>
      </c>
      <c r="CZ163" s="197">
        <f>CZ34-CZ287</f>
        <v>0</v>
      </c>
      <c r="DA163" s="197">
        <f>DA34-DA287</f>
        <v>0</v>
      </c>
      <c r="DB163" s="197">
        <f>DB34-DB287</f>
        <v>0</v>
      </c>
      <c r="DC163" s="197">
        <f>DC34-DC287</f>
        <v>0</v>
      </c>
      <c r="DD163" s="197"/>
      <c r="DE163" s="197">
        <f t="shared" ref="DE163:EG163" si="3339">DE34-DE287</f>
        <v>0</v>
      </c>
      <c r="DF163" s="197">
        <f t="shared" si="3339"/>
        <v>0</v>
      </c>
      <c r="DG163" s="197">
        <f t="shared" si="3339"/>
        <v>42.581035273922197</v>
      </c>
      <c r="DH163" s="197">
        <f t="shared" si="3339"/>
        <v>0</v>
      </c>
      <c r="DI163" s="197">
        <f t="shared" si="3339"/>
        <v>0</v>
      </c>
      <c r="DJ163" s="197">
        <f t="shared" si="3339"/>
        <v>0</v>
      </c>
      <c r="DK163" s="197">
        <f t="shared" si="3339"/>
        <v>0</v>
      </c>
      <c r="DL163" s="197">
        <f t="shared" si="3339"/>
        <v>0</v>
      </c>
      <c r="DM163" s="197">
        <f t="shared" si="3339"/>
        <v>0</v>
      </c>
      <c r="DN163" s="197">
        <f t="shared" si="3339"/>
        <v>0</v>
      </c>
      <c r="DO163" s="197">
        <f t="shared" si="3339"/>
        <v>0</v>
      </c>
      <c r="DP163" s="197">
        <f t="shared" si="3339"/>
        <v>0</v>
      </c>
      <c r="DQ163" s="197">
        <f t="shared" si="3339"/>
        <v>0</v>
      </c>
      <c r="DR163" s="197">
        <f t="shared" si="3339"/>
        <v>0</v>
      </c>
      <c r="DS163" s="197">
        <f t="shared" si="3339"/>
        <v>0.95850215406708372</v>
      </c>
      <c r="DT163" s="197">
        <f t="shared" si="3339"/>
        <v>0</v>
      </c>
      <c r="DU163" s="197">
        <f t="shared" si="3339"/>
        <v>0</v>
      </c>
      <c r="DV163" s="197">
        <f t="shared" si="3339"/>
        <v>0</v>
      </c>
      <c r="DW163" s="197">
        <f t="shared" si="3339"/>
        <v>0</v>
      </c>
      <c r="DX163" s="197">
        <f t="shared" si="3339"/>
        <v>0</v>
      </c>
      <c r="DY163" s="197">
        <f t="shared" si="3339"/>
        <v>0</v>
      </c>
      <c r="DZ163" s="197">
        <f t="shared" si="3339"/>
        <v>0</v>
      </c>
      <c r="EA163" s="197">
        <f t="shared" si="3339"/>
        <v>0</v>
      </c>
      <c r="EB163" s="197">
        <f t="shared" si="3339"/>
        <v>0</v>
      </c>
      <c r="EC163" s="197">
        <f t="shared" si="3339"/>
        <v>0</v>
      </c>
      <c r="ED163" s="197">
        <f t="shared" si="3339"/>
        <v>0</v>
      </c>
      <c r="EE163" s="197">
        <f t="shared" si="3339"/>
        <v>0</v>
      </c>
      <c r="EF163" s="197">
        <f t="shared" si="3339"/>
        <v>0</v>
      </c>
      <c r="EG163" s="197">
        <f t="shared" si="3339"/>
        <v>0</v>
      </c>
    </row>
    <row r="164" spans="1:137" hidden="1">
      <c r="A164" s="157">
        <v>43040</v>
      </c>
      <c r="B164" s="197">
        <f>B35-B288</f>
        <v>0</v>
      </c>
      <c r="C164" s="197">
        <f>C35-C288</f>
        <v>0</v>
      </c>
      <c r="D164" s="197">
        <f>D35-D288</f>
        <v>0</v>
      </c>
      <c r="E164" s="197">
        <f>E35-E288</f>
        <v>0</v>
      </c>
      <c r="F164" s="197">
        <f>F35-F288</f>
        <v>0</v>
      </c>
      <c r="G164" s="197"/>
      <c r="H164" s="197"/>
      <c r="I164" s="197">
        <f t="shared" ref="I164:AB164" si="3340">I35-I288</f>
        <v>0</v>
      </c>
      <c r="J164" s="197">
        <f t="shared" si="3340"/>
        <v>0</v>
      </c>
      <c r="K164" s="197">
        <f t="shared" si="3340"/>
        <v>0</v>
      </c>
      <c r="L164" s="197">
        <f t="shared" si="3340"/>
        <v>0</v>
      </c>
      <c r="M164" s="197">
        <f t="shared" si="3340"/>
        <v>0</v>
      </c>
      <c r="N164" s="197">
        <f t="shared" si="3340"/>
        <v>0</v>
      </c>
      <c r="O164" s="197">
        <f t="shared" si="3340"/>
        <v>0</v>
      </c>
      <c r="P164" s="197">
        <f t="shared" si="3340"/>
        <v>0</v>
      </c>
      <c r="Q164" s="197">
        <f t="shared" si="3340"/>
        <v>0</v>
      </c>
      <c r="R164" s="197">
        <f t="shared" si="3340"/>
        <v>0</v>
      </c>
      <c r="S164" s="197">
        <f t="shared" si="3340"/>
        <v>0</v>
      </c>
      <c r="T164" s="197">
        <f t="shared" si="3340"/>
        <v>0</v>
      </c>
      <c r="U164" s="197">
        <f t="shared" si="3340"/>
        <v>0</v>
      </c>
      <c r="V164" s="197">
        <f t="shared" si="3340"/>
        <v>0</v>
      </c>
      <c r="W164" s="197">
        <f t="shared" si="3340"/>
        <v>0</v>
      </c>
      <c r="X164" s="197">
        <f t="shared" si="3340"/>
        <v>0</v>
      </c>
      <c r="Y164" s="197">
        <f t="shared" si="3340"/>
        <v>0</v>
      </c>
      <c r="Z164" s="197">
        <f t="shared" si="3340"/>
        <v>0</v>
      </c>
      <c r="AA164" s="197">
        <f t="shared" si="3340"/>
        <v>0</v>
      </c>
      <c r="AB164" s="197">
        <f t="shared" si="3340"/>
        <v>0</v>
      </c>
      <c r="AC164" s="163"/>
      <c r="AD164" s="163"/>
      <c r="AE164" s="163"/>
      <c r="AF164" s="163"/>
      <c r="AH164" s="197"/>
      <c r="AI164" s="197">
        <f t="shared" ref="AI164:BN164" si="3341">AI35-AI288</f>
        <v>0</v>
      </c>
      <c r="AJ164" s="197">
        <f t="shared" si="3341"/>
        <v>0</v>
      </c>
      <c r="AK164" s="197">
        <f t="shared" si="3341"/>
        <v>0</v>
      </c>
      <c r="AL164" s="197">
        <f t="shared" si="3341"/>
        <v>0</v>
      </c>
      <c r="AM164" s="197">
        <f t="shared" si="3341"/>
        <v>0</v>
      </c>
      <c r="AN164" s="197">
        <f t="shared" si="3341"/>
        <v>0</v>
      </c>
      <c r="AO164" s="197">
        <f t="shared" si="3341"/>
        <v>0</v>
      </c>
      <c r="AP164" s="197">
        <f t="shared" si="3341"/>
        <v>0</v>
      </c>
      <c r="AQ164" s="197">
        <f t="shared" si="3341"/>
        <v>0</v>
      </c>
      <c r="AR164" s="197">
        <f t="shared" si="3341"/>
        <v>0</v>
      </c>
      <c r="AS164" s="197">
        <f t="shared" si="3341"/>
        <v>0</v>
      </c>
      <c r="AT164" s="197">
        <f t="shared" si="3341"/>
        <v>0</v>
      </c>
      <c r="AU164" s="197">
        <f t="shared" si="3341"/>
        <v>0</v>
      </c>
      <c r="AV164" s="197">
        <f t="shared" si="3341"/>
        <v>0</v>
      </c>
      <c r="AW164" s="197">
        <f t="shared" si="3341"/>
        <v>0</v>
      </c>
      <c r="AX164" s="197">
        <f t="shared" si="3341"/>
        <v>0</v>
      </c>
      <c r="AY164" s="197">
        <f t="shared" si="3341"/>
        <v>0</v>
      </c>
      <c r="AZ164" s="197">
        <f t="shared" si="3341"/>
        <v>0</v>
      </c>
      <c r="BA164" s="197">
        <f t="shared" si="3341"/>
        <v>0</v>
      </c>
      <c r="BB164" s="197">
        <f t="shared" si="3341"/>
        <v>0</v>
      </c>
      <c r="BC164" s="197">
        <f t="shared" si="3341"/>
        <v>0</v>
      </c>
      <c r="BD164" s="197">
        <f t="shared" si="3341"/>
        <v>0</v>
      </c>
      <c r="BE164" s="197">
        <f t="shared" si="3341"/>
        <v>0</v>
      </c>
      <c r="BF164" s="197">
        <f t="shared" si="3341"/>
        <v>0</v>
      </c>
      <c r="BG164" s="197">
        <f t="shared" si="3341"/>
        <v>0</v>
      </c>
      <c r="BH164" s="197">
        <f t="shared" si="3341"/>
        <v>0</v>
      </c>
      <c r="BI164" s="197">
        <f t="shared" si="3341"/>
        <v>0</v>
      </c>
      <c r="BJ164" s="197">
        <f t="shared" si="3341"/>
        <v>0</v>
      </c>
      <c r="BK164" s="197">
        <f t="shared" si="3341"/>
        <v>0</v>
      </c>
      <c r="BL164" s="197">
        <f t="shared" si="3341"/>
        <v>0</v>
      </c>
      <c r="BM164" s="197">
        <f t="shared" si="3341"/>
        <v>0</v>
      </c>
      <c r="BN164" s="197">
        <f t="shared" si="3341"/>
        <v>0</v>
      </c>
      <c r="BO164" s="197">
        <f t="shared" ref="BO164:CV164" si="3342">BO35-BO288</f>
        <v>0</v>
      </c>
      <c r="BP164" s="197">
        <f t="shared" si="3342"/>
        <v>0</v>
      </c>
      <c r="BQ164" s="197">
        <f t="shared" si="3342"/>
        <v>0</v>
      </c>
      <c r="BR164" s="197">
        <f t="shared" si="3342"/>
        <v>0</v>
      </c>
      <c r="BS164" s="197">
        <f t="shared" si="3342"/>
        <v>0</v>
      </c>
      <c r="BT164" s="197">
        <f t="shared" si="3342"/>
        <v>0</v>
      </c>
      <c r="BU164" s="197">
        <f t="shared" si="3342"/>
        <v>0</v>
      </c>
      <c r="BV164" s="197">
        <f t="shared" si="3342"/>
        <v>0</v>
      </c>
      <c r="BW164" s="197">
        <f t="shared" si="3342"/>
        <v>0</v>
      </c>
      <c r="BX164" s="197">
        <f t="shared" si="3342"/>
        <v>0</v>
      </c>
      <c r="BY164" s="197">
        <f t="shared" si="3342"/>
        <v>0</v>
      </c>
      <c r="BZ164" s="197">
        <f t="shared" si="3342"/>
        <v>0</v>
      </c>
      <c r="CA164" s="197">
        <f t="shared" si="3342"/>
        <v>0</v>
      </c>
      <c r="CB164" s="197">
        <f t="shared" si="3342"/>
        <v>0</v>
      </c>
      <c r="CC164" s="197">
        <f t="shared" si="3342"/>
        <v>0</v>
      </c>
      <c r="CD164" s="197">
        <f t="shared" si="3342"/>
        <v>0</v>
      </c>
      <c r="CE164" s="197">
        <f t="shared" si="3342"/>
        <v>0</v>
      </c>
      <c r="CF164" s="197">
        <f t="shared" si="3342"/>
        <v>0</v>
      </c>
      <c r="CG164" s="197">
        <f t="shared" si="3342"/>
        <v>0</v>
      </c>
      <c r="CH164" s="197">
        <f t="shared" si="3342"/>
        <v>0</v>
      </c>
      <c r="CI164" s="197">
        <f t="shared" si="3342"/>
        <v>0</v>
      </c>
      <c r="CJ164" s="197">
        <f t="shared" si="3342"/>
        <v>0</v>
      </c>
      <c r="CK164" s="197">
        <f t="shared" si="3342"/>
        <v>0</v>
      </c>
      <c r="CL164" s="197">
        <f t="shared" si="3342"/>
        <v>0</v>
      </c>
      <c r="CM164" s="197">
        <f t="shared" si="3342"/>
        <v>0</v>
      </c>
      <c r="CN164" s="197">
        <f t="shared" si="3342"/>
        <v>0</v>
      </c>
      <c r="CO164" s="197">
        <f t="shared" si="3342"/>
        <v>0</v>
      </c>
      <c r="CP164" s="197">
        <f t="shared" si="3342"/>
        <v>0</v>
      </c>
      <c r="CQ164" s="197">
        <f t="shared" si="3342"/>
        <v>0</v>
      </c>
      <c r="CR164" s="197">
        <f t="shared" si="3342"/>
        <v>0</v>
      </c>
      <c r="CS164" s="197">
        <f t="shared" si="3342"/>
        <v>0</v>
      </c>
      <c r="CT164" s="197">
        <f t="shared" si="3342"/>
        <v>0</v>
      </c>
      <c r="CU164" s="197">
        <f t="shared" si="3342"/>
        <v>0</v>
      </c>
      <c r="CV164" s="197">
        <f t="shared" si="3342"/>
        <v>0</v>
      </c>
      <c r="CW164" s="197"/>
      <c r="CX164" s="197">
        <f>CX35-CX288</f>
        <v>0</v>
      </c>
      <c r="CY164" s="197">
        <f>CY35-CY288</f>
        <v>0</v>
      </c>
      <c r="CZ164" s="197">
        <f>CZ35-CZ288</f>
        <v>0</v>
      </c>
      <c r="DA164" s="197">
        <f>DA35-DA288</f>
        <v>0</v>
      </c>
      <c r="DB164" s="197">
        <f>DB35-DB288</f>
        <v>0</v>
      </c>
      <c r="DC164" s="197">
        <f>DC35-DC288</f>
        <v>0</v>
      </c>
      <c r="DD164" s="197"/>
      <c r="DE164" s="197">
        <f t="shared" ref="DE164:EG164" si="3343">DE35-DE288</f>
        <v>0</v>
      </c>
      <c r="DF164" s="197">
        <f t="shared" si="3343"/>
        <v>0</v>
      </c>
      <c r="DG164" s="197">
        <f t="shared" si="3343"/>
        <v>46.296497418974184</v>
      </c>
      <c r="DH164" s="197">
        <f t="shared" si="3343"/>
        <v>0</v>
      </c>
      <c r="DI164" s="197">
        <f t="shared" si="3343"/>
        <v>0</v>
      </c>
      <c r="DJ164" s="197">
        <f t="shared" si="3343"/>
        <v>0</v>
      </c>
      <c r="DK164" s="197">
        <f t="shared" si="3343"/>
        <v>0</v>
      </c>
      <c r="DL164" s="197">
        <f t="shared" si="3343"/>
        <v>0</v>
      </c>
      <c r="DM164" s="197">
        <f t="shared" si="3343"/>
        <v>0</v>
      </c>
      <c r="DN164" s="197">
        <f t="shared" si="3343"/>
        <v>0</v>
      </c>
      <c r="DO164" s="197">
        <f t="shared" si="3343"/>
        <v>0</v>
      </c>
      <c r="DP164" s="197">
        <f t="shared" si="3343"/>
        <v>0</v>
      </c>
      <c r="DQ164" s="197">
        <f t="shared" si="3343"/>
        <v>0</v>
      </c>
      <c r="DR164" s="197">
        <f t="shared" si="3343"/>
        <v>0</v>
      </c>
      <c r="DS164" s="197">
        <f t="shared" si="3343"/>
        <v>0.99986899496015913</v>
      </c>
      <c r="DT164" s="197">
        <f t="shared" si="3343"/>
        <v>0</v>
      </c>
      <c r="DU164" s="197">
        <f t="shared" si="3343"/>
        <v>0</v>
      </c>
      <c r="DV164" s="197">
        <f t="shared" si="3343"/>
        <v>0</v>
      </c>
      <c r="DW164" s="197">
        <f t="shared" si="3343"/>
        <v>0</v>
      </c>
      <c r="DX164" s="197">
        <f t="shared" si="3343"/>
        <v>0</v>
      </c>
      <c r="DY164" s="197">
        <f t="shared" si="3343"/>
        <v>0</v>
      </c>
      <c r="DZ164" s="197">
        <f t="shared" si="3343"/>
        <v>0</v>
      </c>
      <c r="EA164" s="197">
        <f t="shared" si="3343"/>
        <v>0</v>
      </c>
      <c r="EB164" s="197">
        <f t="shared" si="3343"/>
        <v>0</v>
      </c>
      <c r="EC164" s="197">
        <f t="shared" si="3343"/>
        <v>0</v>
      </c>
      <c r="ED164" s="197">
        <f t="shared" si="3343"/>
        <v>0</v>
      </c>
      <c r="EE164" s="197">
        <f t="shared" si="3343"/>
        <v>0</v>
      </c>
      <c r="EF164" s="197">
        <f t="shared" si="3343"/>
        <v>0</v>
      </c>
      <c r="EG164" s="197">
        <f t="shared" si="3343"/>
        <v>0</v>
      </c>
    </row>
    <row r="165" spans="1:137" hidden="1">
      <c r="A165" s="157">
        <v>43070</v>
      </c>
      <c r="B165" s="197">
        <f>B36-B289</f>
        <v>0</v>
      </c>
      <c r="C165" s="197">
        <f>C36-C289</f>
        <v>0</v>
      </c>
      <c r="D165" s="197">
        <f>D36-D289</f>
        <v>0</v>
      </c>
      <c r="E165" s="197">
        <f>E36-E289</f>
        <v>0</v>
      </c>
      <c r="F165" s="197">
        <f>F36-F289</f>
        <v>0</v>
      </c>
      <c r="G165" s="197"/>
      <c r="H165" s="197"/>
      <c r="I165" s="197">
        <f t="shared" ref="I165:AB165" si="3344">I36-I289</f>
        <v>0</v>
      </c>
      <c r="J165" s="197">
        <f t="shared" si="3344"/>
        <v>0</v>
      </c>
      <c r="K165" s="197">
        <f t="shared" si="3344"/>
        <v>0</v>
      </c>
      <c r="L165" s="197">
        <f t="shared" si="3344"/>
        <v>0</v>
      </c>
      <c r="M165" s="197">
        <f t="shared" si="3344"/>
        <v>0</v>
      </c>
      <c r="N165" s="197">
        <f t="shared" si="3344"/>
        <v>0</v>
      </c>
      <c r="O165" s="197">
        <f t="shared" si="3344"/>
        <v>0</v>
      </c>
      <c r="P165" s="197">
        <f t="shared" si="3344"/>
        <v>0</v>
      </c>
      <c r="Q165" s="197">
        <f t="shared" si="3344"/>
        <v>0</v>
      </c>
      <c r="R165" s="197">
        <f t="shared" si="3344"/>
        <v>0</v>
      </c>
      <c r="S165" s="197">
        <f t="shared" si="3344"/>
        <v>0</v>
      </c>
      <c r="T165" s="197">
        <f t="shared" si="3344"/>
        <v>0</v>
      </c>
      <c r="U165" s="197">
        <f t="shared" si="3344"/>
        <v>0</v>
      </c>
      <c r="V165" s="197">
        <f t="shared" si="3344"/>
        <v>0</v>
      </c>
      <c r="W165" s="197">
        <f t="shared" si="3344"/>
        <v>0</v>
      </c>
      <c r="X165" s="197">
        <f t="shared" si="3344"/>
        <v>0</v>
      </c>
      <c r="Y165" s="197">
        <f t="shared" si="3344"/>
        <v>0</v>
      </c>
      <c r="Z165" s="197">
        <f t="shared" si="3344"/>
        <v>0</v>
      </c>
      <c r="AA165" s="197">
        <f t="shared" si="3344"/>
        <v>0</v>
      </c>
      <c r="AB165" s="197">
        <f t="shared" si="3344"/>
        <v>0</v>
      </c>
      <c r="AC165" s="163"/>
      <c r="AD165" s="163"/>
      <c r="AE165" s="163"/>
      <c r="AF165" s="163"/>
      <c r="AH165" s="197"/>
      <c r="AI165" s="197">
        <f t="shared" ref="AI165:BN165" si="3345">AI36-AI289</f>
        <v>0</v>
      </c>
      <c r="AJ165" s="197">
        <f t="shared" si="3345"/>
        <v>0</v>
      </c>
      <c r="AK165" s="197">
        <f t="shared" si="3345"/>
        <v>0</v>
      </c>
      <c r="AL165" s="197">
        <f t="shared" si="3345"/>
        <v>0</v>
      </c>
      <c r="AM165" s="197">
        <f t="shared" si="3345"/>
        <v>0</v>
      </c>
      <c r="AN165" s="197">
        <f t="shared" si="3345"/>
        <v>0</v>
      </c>
      <c r="AO165" s="197">
        <f t="shared" si="3345"/>
        <v>0</v>
      </c>
      <c r="AP165" s="197">
        <f t="shared" si="3345"/>
        <v>0</v>
      </c>
      <c r="AQ165" s="197">
        <f t="shared" si="3345"/>
        <v>0</v>
      </c>
      <c r="AR165" s="197">
        <f t="shared" si="3345"/>
        <v>0</v>
      </c>
      <c r="AS165" s="197">
        <f t="shared" si="3345"/>
        <v>0</v>
      </c>
      <c r="AT165" s="197">
        <f t="shared" si="3345"/>
        <v>0</v>
      </c>
      <c r="AU165" s="197">
        <f t="shared" si="3345"/>
        <v>0</v>
      </c>
      <c r="AV165" s="197">
        <f t="shared" si="3345"/>
        <v>0</v>
      </c>
      <c r="AW165" s="197">
        <f t="shared" si="3345"/>
        <v>0</v>
      </c>
      <c r="AX165" s="197">
        <f t="shared" si="3345"/>
        <v>0</v>
      </c>
      <c r="AY165" s="197">
        <f t="shared" si="3345"/>
        <v>0</v>
      </c>
      <c r="AZ165" s="197">
        <f t="shared" si="3345"/>
        <v>0</v>
      </c>
      <c r="BA165" s="197">
        <f t="shared" si="3345"/>
        <v>0</v>
      </c>
      <c r="BB165" s="197">
        <f t="shared" si="3345"/>
        <v>0</v>
      </c>
      <c r="BC165" s="197">
        <f t="shared" si="3345"/>
        <v>0</v>
      </c>
      <c r="BD165" s="197">
        <f t="shared" si="3345"/>
        <v>0</v>
      </c>
      <c r="BE165" s="197">
        <f t="shared" si="3345"/>
        <v>0</v>
      </c>
      <c r="BF165" s="197">
        <f t="shared" si="3345"/>
        <v>0</v>
      </c>
      <c r="BG165" s="197">
        <f t="shared" si="3345"/>
        <v>0</v>
      </c>
      <c r="BH165" s="197">
        <f t="shared" si="3345"/>
        <v>0</v>
      </c>
      <c r="BI165" s="197">
        <f t="shared" si="3345"/>
        <v>0</v>
      </c>
      <c r="BJ165" s="197">
        <f t="shared" si="3345"/>
        <v>0</v>
      </c>
      <c r="BK165" s="197">
        <f t="shared" si="3345"/>
        <v>0</v>
      </c>
      <c r="BL165" s="197">
        <f t="shared" si="3345"/>
        <v>0</v>
      </c>
      <c r="BM165" s="197">
        <f t="shared" si="3345"/>
        <v>0</v>
      </c>
      <c r="BN165" s="197">
        <f t="shared" si="3345"/>
        <v>0</v>
      </c>
      <c r="BO165" s="197">
        <f t="shared" ref="BO165:CV165" si="3346">BO36-BO289</f>
        <v>0</v>
      </c>
      <c r="BP165" s="197">
        <f t="shared" si="3346"/>
        <v>0</v>
      </c>
      <c r="BQ165" s="197">
        <f t="shared" si="3346"/>
        <v>0</v>
      </c>
      <c r="BR165" s="197">
        <f t="shared" si="3346"/>
        <v>0</v>
      </c>
      <c r="BS165" s="197">
        <f t="shared" si="3346"/>
        <v>0</v>
      </c>
      <c r="BT165" s="197">
        <f t="shared" si="3346"/>
        <v>0</v>
      </c>
      <c r="BU165" s="197">
        <f t="shared" si="3346"/>
        <v>0</v>
      </c>
      <c r="BV165" s="197">
        <f t="shared" si="3346"/>
        <v>0</v>
      </c>
      <c r="BW165" s="197">
        <f t="shared" si="3346"/>
        <v>0</v>
      </c>
      <c r="BX165" s="197">
        <f t="shared" si="3346"/>
        <v>0</v>
      </c>
      <c r="BY165" s="197">
        <f t="shared" si="3346"/>
        <v>0</v>
      </c>
      <c r="BZ165" s="197">
        <f t="shared" si="3346"/>
        <v>0</v>
      </c>
      <c r="CA165" s="197">
        <f t="shared" si="3346"/>
        <v>0</v>
      </c>
      <c r="CB165" s="197">
        <f t="shared" si="3346"/>
        <v>0</v>
      </c>
      <c r="CC165" s="197">
        <f t="shared" si="3346"/>
        <v>0</v>
      </c>
      <c r="CD165" s="197">
        <f t="shared" si="3346"/>
        <v>0</v>
      </c>
      <c r="CE165" s="197">
        <f t="shared" si="3346"/>
        <v>0</v>
      </c>
      <c r="CF165" s="197">
        <f t="shared" si="3346"/>
        <v>0</v>
      </c>
      <c r="CG165" s="197">
        <f t="shared" si="3346"/>
        <v>0</v>
      </c>
      <c r="CH165" s="197">
        <f t="shared" si="3346"/>
        <v>0</v>
      </c>
      <c r="CI165" s="197">
        <f t="shared" si="3346"/>
        <v>0</v>
      </c>
      <c r="CJ165" s="197">
        <f t="shared" si="3346"/>
        <v>0</v>
      </c>
      <c r="CK165" s="197">
        <f t="shared" si="3346"/>
        <v>0</v>
      </c>
      <c r="CL165" s="197">
        <f t="shared" si="3346"/>
        <v>0</v>
      </c>
      <c r="CM165" s="197">
        <f t="shared" si="3346"/>
        <v>0</v>
      </c>
      <c r="CN165" s="197">
        <f t="shared" si="3346"/>
        <v>0</v>
      </c>
      <c r="CO165" s="197">
        <f t="shared" si="3346"/>
        <v>0</v>
      </c>
      <c r="CP165" s="197">
        <f t="shared" si="3346"/>
        <v>0</v>
      </c>
      <c r="CQ165" s="197">
        <f t="shared" si="3346"/>
        <v>0</v>
      </c>
      <c r="CR165" s="197">
        <f t="shared" si="3346"/>
        <v>0</v>
      </c>
      <c r="CS165" s="197">
        <f t="shared" si="3346"/>
        <v>0</v>
      </c>
      <c r="CT165" s="197">
        <f t="shared" si="3346"/>
        <v>0</v>
      </c>
      <c r="CU165" s="197">
        <f t="shared" si="3346"/>
        <v>0</v>
      </c>
      <c r="CV165" s="197">
        <f t="shared" si="3346"/>
        <v>0</v>
      </c>
      <c r="CW165" s="197"/>
      <c r="CX165" s="197">
        <f>CX36-CX289</f>
        <v>0</v>
      </c>
      <c r="CY165" s="197">
        <f>CY36-CY289</f>
        <v>0</v>
      </c>
      <c r="CZ165" s="197">
        <f>CZ36-CZ289</f>
        <v>0</v>
      </c>
      <c r="DA165" s="197">
        <f>DA36-DA289</f>
        <v>0</v>
      </c>
      <c r="DB165" s="197">
        <f>DB36-DB289</f>
        <v>0</v>
      </c>
      <c r="DC165" s="197">
        <f>DC36-DC289</f>
        <v>0</v>
      </c>
      <c r="DD165" s="197"/>
      <c r="DE165" s="197">
        <f t="shared" ref="DE165:EG165" si="3347">DE36-DE289</f>
        <v>0</v>
      </c>
      <c r="DF165" s="197">
        <f t="shared" si="3347"/>
        <v>0</v>
      </c>
      <c r="DG165" s="197">
        <f t="shared" si="3347"/>
        <v>0</v>
      </c>
      <c r="DH165" s="197">
        <f t="shared" si="3347"/>
        <v>0</v>
      </c>
      <c r="DI165" s="197">
        <f t="shared" si="3347"/>
        <v>0</v>
      </c>
      <c r="DJ165" s="197">
        <f t="shared" si="3347"/>
        <v>0</v>
      </c>
      <c r="DK165" s="197">
        <f t="shared" si="3347"/>
        <v>0</v>
      </c>
      <c r="DL165" s="197">
        <f t="shared" si="3347"/>
        <v>0</v>
      </c>
      <c r="DM165" s="197">
        <f t="shared" si="3347"/>
        <v>0</v>
      </c>
      <c r="DN165" s="197">
        <f t="shared" si="3347"/>
        <v>0</v>
      </c>
      <c r="DO165" s="197">
        <f t="shared" si="3347"/>
        <v>0</v>
      </c>
      <c r="DP165" s="197">
        <f t="shared" si="3347"/>
        <v>0</v>
      </c>
      <c r="DQ165" s="197">
        <f t="shared" si="3347"/>
        <v>0</v>
      </c>
      <c r="DR165" s="197">
        <f t="shared" si="3347"/>
        <v>0</v>
      </c>
      <c r="DS165" s="197">
        <f t="shared" si="3347"/>
        <v>0.83209543863450164</v>
      </c>
      <c r="DT165" s="197">
        <f t="shared" si="3347"/>
        <v>0</v>
      </c>
      <c r="DU165" s="197">
        <f t="shared" si="3347"/>
        <v>0</v>
      </c>
      <c r="DV165" s="197">
        <f t="shared" si="3347"/>
        <v>0</v>
      </c>
      <c r="DW165" s="197">
        <f t="shared" si="3347"/>
        <v>0</v>
      </c>
      <c r="DX165" s="197">
        <f t="shared" si="3347"/>
        <v>0</v>
      </c>
      <c r="DY165" s="197">
        <f t="shared" si="3347"/>
        <v>0</v>
      </c>
      <c r="DZ165" s="197">
        <f t="shared" si="3347"/>
        <v>0</v>
      </c>
      <c r="EA165" s="197">
        <f t="shared" si="3347"/>
        <v>0</v>
      </c>
      <c r="EB165" s="197">
        <f t="shared" si="3347"/>
        <v>0</v>
      </c>
      <c r="EC165" s="197">
        <f t="shared" si="3347"/>
        <v>0</v>
      </c>
      <c r="ED165" s="197">
        <f t="shared" si="3347"/>
        <v>0</v>
      </c>
      <c r="EE165" s="197">
        <f t="shared" si="3347"/>
        <v>0</v>
      </c>
      <c r="EF165" s="197">
        <f t="shared" si="3347"/>
        <v>0</v>
      </c>
      <c r="EG165" s="197">
        <f t="shared" si="3347"/>
        <v>0</v>
      </c>
    </row>
    <row r="166" spans="1:137" hidden="1">
      <c r="A166" s="157">
        <v>43101</v>
      </c>
      <c r="B166" s="197">
        <f>B37-B290</f>
        <v>4.3230000000003201</v>
      </c>
      <c r="C166" s="197">
        <f>C37-C290</f>
        <v>0.14410000000000878</v>
      </c>
      <c r="D166" s="197">
        <f>D37-D290</f>
        <v>0.14410000000000878</v>
      </c>
      <c r="E166" s="197">
        <f>E37-E290</f>
        <v>8.8344746828838971E-4</v>
      </c>
      <c r="F166" s="197">
        <f>F37-F290</f>
        <v>-6.906999999999698</v>
      </c>
      <c r="G166" s="197"/>
      <c r="H166" s="197"/>
      <c r="I166" s="197">
        <f t="shared" ref="I166:AB166" si="3348">I37-I290</f>
        <v>23.164999999999964</v>
      </c>
      <c r="J166" s="197">
        <f t="shared" si="3348"/>
        <v>-0.11565053406292236</v>
      </c>
      <c r="K166" s="197">
        <f t="shared" si="3348"/>
        <v>-0.12735704899569811</v>
      </c>
      <c r="L166" s="197">
        <f t="shared" si="3348"/>
        <v>-0.12735704899569811</v>
      </c>
      <c r="M166" s="197">
        <f t="shared" si="3348"/>
        <v>-0.80000000000001137</v>
      </c>
      <c r="N166" s="197">
        <f t="shared" si="3348"/>
        <v>8.2000000000000739E-2</v>
      </c>
      <c r="O166" s="197">
        <f t="shared" si="3348"/>
        <v>-2.1380000000001473</v>
      </c>
      <c r="P166" s="197">
        <f t="shared" si="3348"/>
        <v>21.042000000000144</v>
      </c>
      <c r="Q166" s="197">
        <f t="shared" si="3348"/>
        <v>12.604000000000042</v>
      </c>
      <c r="R166" s="197">
        <f t="shared" si="3348"/>
        <v>8.438000000000045</v>
      </c>
      <c r="S166" s="197">
        <f t="shared" si="3348"/>
        <v>0</v>
      </c>
      <c r="T166" s="197">
        <f t="shared" si="3348"/>
        <v>-10.494000000000028</v>
      </c>
      <c r="U166" s="197">
        <f t="shared" si="3348"/>
        <v>10.548000000000229</v>
      </c>
      <c r="V166" s="197">
        <f t="shared" si="3348"/>
        <v>6.1027045603658792E-3</v>
      </c>
      <c r="W166" s="197">
        <f t="shared" si="3348"/>
        <v>-2.1685105857091713E-2</v>
      </c>
      <c r="X166" s="197">
        <f t="shared" si="3348"/>
        <v>-2.1685105857091713E-2</v>
      </c>
      <c r="Y166" s="197">
        <f t="shared" si="3348"/>
        <v>-0.14904215485279337</v>
      </c>
      <c r="Z166" s="197">
        <f t="shared" si="3348"/>
        <v>2.5329999999999018</v>
      </c>
      <c r="AA166" s="197">
        <f t="shared" si="3348"/>
        <v>2.3269999999999982</v>
      </c>
      <c r="AB166" s="197">
        <f t="shared" si="3348"/>
        <v>1.2280104244075107E-4</v>
      </c>
      <c r="AC166" s="163"/>
      <c r="AD166" s="163"/>
      <c r="AE166" s="163"/>
      <c r="AF166" s="163"/>
      <c r="AH166" s="197"/>
      <c r="AI166" s="197">
        <f t="shared" ref="AI166:BN166" si="3349">AI37-AI290</f>
        <v>0</v>
      </c>
      <c r="AJ166" s="197">
        <f t="shared" si="3349"/>
        <v>0</v>
      </c>
      <c r="AK166" s="197">
        <f t="shared" si="3349"/>
        <v>0</v>
      </c>
      <c r="AL166" s="197">
        <f t="shared" si="3349"/>
        <v>0</v>
      </c>
      <c r="AM166" s="197">
        <f t="shared" si="3349"/>
        <v>0</v>
      </c>
      <c r="AN166" s="197">
        <f t="shared" si="3349"/>
        <v>0.11565053406292236</v>
      </c>
      <c r="AO166" s="197">
        <f t="shared" si="3349"/>
        <v>0</v>
      </c>
      <c r="AP166" s="197">
        <f t="shared" si="3349"/>
        <v>0</v>
      </c>
      <c r="AQ166" s="197">
        <f t="shared" si="3349"/>
        <v>0</v>
      </c>
      <c r="AR166" s="197">
        <f t="shared" si="3349"/>
        <v>2.1685105857091713E-2</v>
      </c>
      <c r="AS166" s="197">
        <f t="shared" si="3349"/>
        <v>0</v>
      </c>
      <c r="AT166" s="197">
        <f t="shared" si="3349"/>
        <v>0</v>
      </c>
      <c r="AU166" s="197">
        <f t="shared" si="3349"/>
        <v>0</v>
      </c>
      <c r="AV166" s="197">
        <f t="shared" si="3349"/>
        <v>0</v>
      </c>
      <c r="AW166" s="197">
        <f t="shared" si="3349"/>
        <v>-0.21499999999999631</v>
      </c>
      <c r="AX166" s="197">
        <f t="shared" si="3349"/>
        <v>0</v>
      </c>
      <c r="AY166" s="197">
        <f t="shared" si="3349"/>
        <v>0.11565053406292236</v>
      </c>
      <c r="AZ166" s="197">
        <f t="shared" si="3349"/>
        <v>0</v>
      </c>
      <c r="BA166" s="197">
        <f t="shared" si="3349"/>
        <v>-0.46199999999998909</v>
      </c>
      <c r="BB166" s="197">
        <f t="shared" si="3349"/>
        <v>0</v>
      </c>
      <c r="BC166" s="197">
        <f t="shared" si="3349"/>
        <v>2.1685105857091713E-2</v>
      </c>
      <c r="BD166" s="197">
        <f t="shared" si="3349"/>
        <v>0</v>
      </c>
      <c r="BE166" s="197">
        <f t="shared" si="3349"/>
        <v>0</v>
      </c>
      <c r="BF166" s="197">
        <f t="shared" si="3349"/>
        <v>0</v>
      </c>
      <c r="BG166" s="197">
        <f t="shared" si="3349"/>
        <v>0</v>
      </c>
      <c r="BH166" s="197">
        <f t="shared" si="3349"/>
        <v>0</v>
      </c>
      <c r="BI166" s="197">
        <f t="shared" si="3349"/>
        <v>0</v>
      </c>
      <c r="BJ166" s="197">
        <f t="shared" si="3349"/>
        <v>0.11565053406292236</v>
      </c>
      <c r="BK166" s="197">
        <f t="shared" si="3349"/>
        <v>0</v>
      </c>
      <c r="BL166" s="197">
        <f t="shared" si="3349"/>
        <v>0</v>
      </c>
      <c r="BM166" s="197">
        <f t="shared" si="3349"/>
        <v>0</v>
      </c>
      <c r="BN166" s="197">
        <f t="shared" si="3349"/>
        <v>2.1685105857091713E-2</v>
      </c>
      <c r="BO166" s="197">
        <f t="shared" ref="BO166:CV166" si="3350">BO37-BO290</f>
        <v>0</v>
      </c>
      <c r="BP166" s="197">
        <f t="shared" si="3350"/>
        <v>4.3229999999999791</v>
      </c>
      <c r="BQ166" s="197">
        <f t="shared" si="3350"/>
        <v>0.14409999999999812</v>
      </c>
      <c r="BR166" s="197">
        <f t="shared" si="3350"/>
        <v>-6.9070000000000391</v>
      </c>
      <c r="BS166" s="197">
        <f t="shared" si="3350"/>
        <v>23.380000000000003</v>
      </c>
      <c r="BT166" s="197">
        <f t="shared" si="3350"/>
        <v>-0.88065519616844057</v>
      </c>
      <c r="BU166" s="197">
        <f t="shared" si="3350"/>
        <v>-0.76500466210551821</v>
      </c>
      <c r="BV166" s="197">
        <f t="shared" si="3350"/>
        <v>-2.1380000000000337</v>
      </c>
      <c r="BW166" s="197">
        <f t="shared" si="3350"/>
        <v>13.066000000000003</v>
      </c>
      <c r="BX166" s="197">
        <f t="shared" si="3350"/>
        <v>-0.16300664552607458</v>
      </c>
      <c r="BY166" s="197">
        <f t="shared" si="3350"/>
        <v>-0.14132153966898287</v>
      </c>
      <c r="BZ166" s="197">
        <f t="shared" si="3350"/>
        <v>-1.0436618416945151</v>
      </c>
      <c r="CA166" s="197">
        <f t="shared" si="3350"/>
        <v>0</v>
      </c>
      <c r="CB166" s="197">
        <f t="shared" si="3350"/>
        <v>0</v>
      </c>
      <c r="CC166" s="197">
        <f t="shared" si="3350"/>
        <v>0</v>
      </c>
      <c r="CD166" s="197">
        <f t="shared" si="3350"/>
        <v>0</v>
      </c>
      <c r="CE166" s="197">
        <f t="shared" si="3350"/>
        <v>0</v>
      </c>
      <c r="CF166" s="197">
        <f t="shared" si="3350"/>
        <v>0.11565053406292236</v>
      </c>
      <c r="CG166" s="197">
        <f t="shared" si="3350"/>
        <v>0</v>
      </c>
      <c r="CH166" s="197">
        <f t="shared" si="3350"/>
        <v>0</v>
      </c>
      <c r="CI166" s="197">
        <f t="shared" si="3350"/>
        <v>0</v>
      </c>
      <c r="CJ166" s="197">
        <f t="shared" si="3350"/>
        <v>2.1685105857091713E-2</v>
      </c>
      <c r="CK166" s="197">
        <f t="shared" si="3350"/>
        <v>0</v>
      </c>
      <c r="CL166" s="197">
        <f t="shared" si="3350"/>
        <v>0</v>
      </c>
      <c r="CM166" s="197">
        <f t="shared" si="3350"/>
        <v>0</v>
      </c>
      <c r="CN166" s="197">
        <f t="shared" si="3350"/>
        <v>0</v>
      </c>
      <c r="CO166" s="197">
        <f t="shared" si="3350"/>
        <v>0</v>
      </c>
      <c r="CP166" s="197">
        <f t="shared" si="3350"/>
        <v>0</v>
      </c>
      <c r="CQ166" s="197">
        <f t="shared" si="3350"/>
        <v>0.11565053406292236</v>
      </c>
      <c r="CR166" s="197">
        <f t="shared" si="3350"/>
        <v>0</v>
      </c>
      <c r="CS166" s="197">
        <f t="shared" si="3350"/>
        <v>0</v>
      </c>
      <c r="CT166" s="197">
        <f t="shared" si="3350"/>
        <v>0</v>
      </c>
      <c r="CU166" s="197">
        <f t="shared" si="3350"/>
        <v>2.1685105857091713E-2</v>
      </c>
      <c r="CV166" s="197">
        <f t="shared" si="3350"/>
        <v>0</v>
      </c>
      <c r="CW166" s="197"/>
      <c r="CX166" s="197">
        <f>CX37-CX290</f>
        <v>0</v>
      </c>
      <c r="CY166" s="197">
        <f>CY37-CY290</f>
        <v>0</v>
      </c>
      <c r="CZ166" s="197">
        <f>CZ37-CZ290</f>
        <v>0</v>
      </c>
      <c r="DA166" s="197">
        <f>DA37-DA290</f>
        <v>0</v>
      </c>
      <c r="DB166" s="197">
        <f>DB37-DB290</f>
        <v>2.8421709430404007E-14</v>
      </c>
      <c r="DC166" s="197">
        <f>DC37-DC290</f>
        <v>0</v>
      </c>
      <c r="DD166" s="197"/>
      <c r="DE166" s="197">
        <f t="shared" ref="DE166:EG166" si="3351">DE37-DE290</f>
        <v>-3.7319999999999993</v>
      </c>
      <c r="DF166" s="197">
        <f t="shared" si="3351"/>
        <v>-1.1490000000000009</v>
      </c>
      <c r="DG166" s="197">
        <f t="shared" si="3351"/>
        <v>45.494004105108317</v>
      </c>
      <c r="DH166" s="197">
        <f t="shared" si="3351"/>
        <v>5.7191408915485686E-3</v>
      </c>
      <c r="DI166" s="197">
        <f t="shared" si="3351"/>
        <v>-4.1469999999999914</v>
      </c>
      <c r="DJ166" s="197">
        <f t="shared" si="3351"/>
        <v>-2.8181298350942185E-3</v>
      </c>
      <c r="DK166" s="197">
        <f t="shared" si="3351"/>
        <v>1.0549999999999926</v>
      </c>
      <c r="DL166" s="197">
        <f t="shared" si="3351"/>
        <v>0.77000000000001023</v>
      </c>
      <c r="DM166" s="197">
        <f t="shared" si="3351"/>
        <v>2.5409463766015161E-3</v>
      </c>
      <c r="DN166" s="197">
        <f t="shared" si="3351"/>
        <v>-4.938999999999993</v>
      </c>
      <c r="DO166" s="197">
        <f t="shared" si="3351"/>
        <v>0.46200000000001751</v>
      </c>
      <c r="DP166" s="197">
        <f t="shared" si="3351"/>
        <v>-1.8160000000000025</v>
      </c>
      <c r="DQ166" s="197">
        <f t="shared" si="3351"/>
        <v>-1.353999999999985</v>
      </c>
      <c r="DR166" s="197">
        <f t="shared" si="3351"/>
        <v>2.9010110564543501E-3</v>
      </c>
      <c r="DS166" s="197">
        <f t="shared" si="3351"/>
        <v>0.75756641035245043</v>
      </c>
      <c r="DT166" s="197">
        <f t="shared" si="3351"/>
        <v>0</v>
      </c>
      <c r="DU166" s="197">
        <f t="shared" si="3351"/>
        <v>0</v>
      </c>
      <c r="DV166" s="197">
        <f t="shared" si="3351"/>
        <v>0</v>
      </c>
      <c r="DW166" s="197">
        <f t="shared" si="3351"/>
        <v>0</v>
      </c>
      <c r="DX166" s="197">
        <f t="shared" si="3351"/>
        <v>0</v>
      </c>
      <c r="DY166" s="197">
        <f t="shared" si="3351"/>
        <v>0</v>
      </c>
      <c r="DZ166" s="197">
        <f t="shared" si="3351"/>
        <v>0</v>
      </c>
      <c r="EA166" s="197">
        <f t="shared" si="3351"/>
        <v>0</v>
      </c>
      <c r="EB166" s="197">
        <f t="shared" si="3351"/>
        <v>0</v>
      </c>
      <c r="EC166" s="197">
        <f t="shared" si="3351"/>
        <v>0</v>
      </c>
      <c r="ED166" s="197">
        <f t="shared" si="3351"/>
        <v>0</v>
      </c>
      <c r="EE166" s="197">
        <f t="shared" si="3351"/>
        <v>0</v>
      </c>
      <c r="EF166" s="197">
        <f t="shared" si="3351"/>
        <v>0</v>
      </c>
      <c r="EG166" s="197">
        <f t="shared" si="3351"/>
        <v>0</v>
      </c>
    </row>
    <row r="167" spans="1:137" hidden="1">
      <c r="A167" s="157">
        <v>43132</v>
      </c>
      <c r="B167" s="197">
        <f>B38-B291</f>
        <v>0</v>
      </c>
      <c r="C167" s="197">
        <f>C38-C291</f>
        <v>0</v>
      </c>
      <c r="D167" s="197">
        <f>D38-D291</f>
        <v>0</v>
      </c>
      <c r="E167" s="197">
        <f>E38-E291</f>
        <v>0</v>
      </c>
      <c r="F167" s="197">
        <f>F38-F291</f>
        <v>0</v>
      </c>
      <c r="G167" s="197"/>
      <c r="H167" s="197"/>
      <c r="I167" s="197">
        <f t="shared" ref="I167:AB167" si="3352">I38-I291</f>
        <v>0</v>
      </c>
      <c r="J167" s="197">
        <f t="shared" si="3352"/>
        <v>0</v>
      </c>
      <c r="K167" s="197">
        <f t="shared" si="3352"/>
        <v>0</v>
      </c>
      <c r="L167" s="197">
        <f t="shared" si="3352"/>
        <v>0</v>
      </c>
      <c r="M167" s="197">
        <f t="shared" si="3352"/>
        <v>0</v>
      </c>
      <c r="N167" s="197">
        <f t="shared" si="3352"/>
        <v>0</v>
      </c>
      <c r="O167" s="197">
        <f t="shared" si="3352"/>
        <v>0</v>
      </c>
      <c r="P167" s="197">
        <f t="shared" si="3352"/>
        <v>0</v>
      </c>
      <c r="Q167" s="197">
        <f t="shared" si="3352"/>
        <v>0</v>
      </c>
      <c r="R167" s="197">
        <f t="shared" si="3352"/>
        <v>0</v>
      </c>
      <c r="S167" s="197">
        <f t="shared" si="3352"/>
        <v>0</v>
      </c>
      <c r="T167" s="197">
        <f t="shared" si="3352"/>
        <v>0</v>
      </c>
      <c r="U167" s="197">
        <f t="shared" si="3352"/>
        <v>0</v>
      </c>
      <c r="V167" s="197">
        <f t="shared" si="3352"/>
        <v>0</v>
      </c>
      <c r="W167" s="197">
        <f t="shared" si="3352"/>
        <v>0</v>
      </c>
      <c r="X167" s="197">
        <f t="shared" si="3352"/>
        <v>0</v>
      </c>
      <c r="Y167" s="197">
        <f t="shared" si="3352"/>
        <v>0</v>
      </c>
      <c r="Z167" s="197">
        <f t="shared" si="3352"/>
        <v>0</v>
      </c>
      <c r="AA167" s="197">
        <f t="shared" si="3352"/>
        <v>0</v>
      </c>
      <c r="AB167" s="197">
        <f t="shared" si="3352"/>
        <v>0</v>
      </c>
      <c r="AC167" s="163"/>
      <c r="AD167" s="163"/>
      <c r="AE167" s="163"/>
      <c r="AF167" s="163"/>
      <c r="AH167" s="197"/>
      <c r="AI167" s="197">
        <f t="shared" ref="AI167:BN167" si="3353">AI38-AI291</f>
        <v>0</v>
      </c>
      <c r="AJ167" s="197">
        <f t="shared" si="3353"/>
        <v>0</v>
      </c>
      <c r="AK167" s="197">
        <f t="shared" si="3353"/>
        <v>0</v>
      </c>
      <c r="AL167" s="197">
        <f t="shared" si="3353"/>
        <v>0</v>
      </c>
      <c r="AM167" s="197">
        <f t="shared" si="3353"/>
        <v>0</v>
      </c>
      <c r="AN167" s="197">
        <f t="shared" si="3353"/>
        <v>0</v>
      </c>
      <c r="AO167" s="197">
        <f t="shared" si="3353"/>
        <v>0</v>
      </c>
      <c r="AP167" s="197">
        <f t="shared" si="3353"/>
        <v>0</v>
      </c>
      <c r="AQ167" s="197">
        <f t="shared" si="3353"/>
        <v>0</v>
      </c>
      <c r="AR167" s="197">
        <f t="shared" si="3353"/>
        <v>0</v>
      </c>
      <c r="AS167" s="197">
        <f t="shared" si="3353"/>
        <v>0</v>
      </c>
      <c r="AT167" s="197">
        <f t="shared" si="3353"/>
        <v>0</v>
      </c>
      <c r="AU167" s="197">
        <f t="shared" si="3353"/>
        <v>0</v>
      </c>
      <c r="AV167" s="197">
        <f t="shared" si="3353"/>
        <v>0</v>
      </c>
      <c r="AW167" s="197">
        <f t="shared" si="3353"/>
        <v>0</v>
      </c>
      <c r="AX167" s="197">
        <f t="shared" si="3353"/>
        <v>0</v>
      </c>
      <c r="AY167" s="197">
        <f t="shared" si="3353"/>
        <v>0</v>
      </c>
      <c r="AZ167" s="197">
        <f t="shared" si="3353"/>
        <v>0</v>
      </c>
      <c r="BA167" s="197">
        <f t="shared" si="3353"/>
        <v>0</v>
      </c>
      <c r="BB167" s="197">
        <f t="shared" si="3353"/>
        <v>0</v>
      </c>
      <c r="BC167" s="197">
        <f t="shared" si="3353"/>
        <v>0</v>
      </c>
      <c r="BD167" s="197">
        <f t="shared" si="3353"/>
        <v>0</v>
      </c>
      <c r="BE167" s="197">
        <f t="shared" si="3353"/>
        <v>0</v>
      </c>
      <c r="BF167" s="197">
        <f t="shared" si="3353"/>
        <v>0</v>
      </c>
      <c r="BG167" s="197">
        <f t="shared" si="3353"/>
        <v>0</v>
      </c>
      <c r="BH167" s="197">
        <f t="shared" si="3353"/>
        <v>0</v>
      </c>
      <c r="BI167" s="197">
        <f t="shared" si="3353"/>
        <v>0</v>
      </c>
      <c r="BJ167" s="197">
        <f t="shared" si="3353"/>
        <v>0</v>
      </c>
      <c r="BK167" s="197">
        <f t="shared" si="3353"/>
        <v>0</v>
      </c>
      <c r="BL167" s="197">
        <f t="shared" si="3353"/>
        <v>0</v>
      </c>
      <c r="BM167" s="197">
        <f t="shared" si="3353"/>
        <v>0</v>
      </c>
      <c r="BN167" s="197">
        <f t="shared" si="3353"/>
        <v>0</v>
      </c>
      <c r="BO167" s="197">
        <f t="shared" ref="BO167:CV167" si="3354">BO38-BO291</f>
        <v>0</v>
      </c>
      <c r="BP167" s="197">
        <f t="shared" si="3354"/>
        <v>0</v>
      </c>
      <c r="BQ167" s="197">
        <f t="shared" si="3354"/>
        <v>0</v>
      </c>
      <c r="BR167" s="197">
        <f t="shared" si="3354"/>
        <v>0</v>
      </c>
      <c r="BS167" s="197">
        <f t="shared" si="3354"/>
        <v>0</v>
      </c>
      <c r="BT167" s="197">
        <f t="shared" si="3354"/>
        <v>0</v>
      </c>
      <c r="BU167" s="197">
        <f t="shared" si="3354"/>
        <v>0</v>
      </c>
      <c r="BV167" s="197">
        <f t="shared" si="3354"/>
        <v>0</v>
      </c>
      <c r="BW167" s="197">
        <f t="shared" si="3354"/>
        <v>0</v>
      </c>
      <c r="BX167" s="197">
        <f t="shared" si="3354"/>
        <v>0</v>
      </c>
      <c r="BY167" s="197">
        <f t="shared" si="3354"/>
        <v>0</v>
      </c>
      <c r="BZ167" s="197">
        <f t="shared" si="3354"/>
        <v>0</v>
      </c>
      <c r="CA167" s="197">
        <f t="shared" si="3354"/>
        <v>0</v>
      </c>
      <c r="CB167" s="197">
        <f t="shared" si="3354"/>
        <v>0</v>
      </c>
      <c r="CC167" s="197">
        <f t="shared" si="3354"/>
        <v>0</v>
      </c>
      <c r="CD167" s="197">
        <f t="shared" si="3354"/>
        <v>0</v>
      </c>
      <c r="CE167" s="197">
        <f t="shared" si="3354"/>
        <v>0</v>
      </c>
      <c r="CF167" s="197">
        <f t="shared" si="3354"/>
        <v>0</v>
      </c>
      <c r="CG167" s="197">
        <f t="shared" si="3354"/>
        <v>0</v>
      </c>
      <c r="CH167" s="197">
        <f t="shared" si="3354"/>
        <v>0</v>
      </c>
      <c r="CI167" s="197">
        <f t="shared" si="3354"/>
        <v>0</v>
      </c>
      <c r="CJ167" s="197">
        <f t="shared" si="3354"/>
        <v>0</v>
      </c>
      <c r="CK167" s="197">
        <f t="shared" si="3354"/>
        <v>0</v>
      </c>
      <c r="CL167" s="197">
        <f t="shared" si="3354"/>
        <v>0</v>
      </c>
      <c r="CM167" s="197">
        <f t="shared" si="3354"/>
        <v>0</v>
      </c>
      <c r="CN167" s="197">
        <f t="shared" si="3354"/>
        <v>0</v>
      </c>
      <c r="CO167" s="197">
        <f t="shared" si="3354"/>
        <v>0</v>
      </c>
      <c r="CP167" s="197">
        <f t="shared" si="3354"/>
        <v>0</v>
      </c>
      <c r="CQ167" s="197">
        <f t="shared" si="3354"/>
        <v>0</v>
      </c>
      <c r="CR167" s="197">
        <f t="shared" si="3354"/>
        <v>0</v>
      </c>
      <c r="CS167" s="197">
        <f t="shared" si="3354"/>
        <v>0</v>
      </c>
      <c r="CT167" s="197">
        <f t="shared" si="3354"/>
        <v>0</v>
      </c>
      <c r="CU167" s="197">
        <f t="shared" si="3354"/>
        <v>0</v>
      </c>
      <c r="CV167" s="197">
        <f t="shared" si="3354"/>
        <v>0</v>
      </c>
      <c r="CW167" s="197"/>
      <c r="CX167" s="197">
        <f>CX38-CX291</f>
        <v>0</v>
      </c>
      <c r="CY167" s="197">
        <f>CY38-CY291</f>
        <v>0</v>
      </c>
      <c r="CZ167" s="197">
        <f>CZ38-CZ291</f>
        <v>0</v>
      </c>
      <c r="DA167" s="197">
        <f>DA38-DA291</f>
        <v>0</v>
      </c>
      <c r="DB167" s="197">
        <f>DB38-DB291</f>
        <v>0</v>
      </c>
      <c r="DC167" s="197">
        <f>DC38-DC291</f>
        <v>0</v>
      </c>
      <c r="DD167" s="197"/>
      <c r="DE167" s="197">
        <f t="shared" ref="DE167:EG167" si="3355">DE38-DE291</f>
        <v>0</v>
      </c>
      <c r="DF167" s="197">
        <f t="shared" si="3355"/>
        <v>0</v>
      </c>
      <c r="DG167" s="197">
        <f t="shared" si="3355"/>
        <v>45.765593643359665</v>
      </c>
      <c r="DH167" s="197">
        <f t="shared" si="3355"/>
        <v>0</v>
      </c>
      <c r="DI167" s="197">
        <f t="shared" si="3355"/>
        <v>0</v>
      </c>
      <c r="DJ167" s="197">
        <f t="shared" si="3355"/>
        <v>0</v>
      </c>
      <c r="DK167" s="197">
        <f t="shared" si="3355"/>
        <v>0</v>
      </c>
      <c r="DL167" s="197">
        <f t="shared" si="3355"/>
        <v>0</v>
      </c>
      <c r="DM167" s="197">
        <f t="shared" si="3355"/>
        <v>0</v>
      </c>
      <c r="DN167" s="197">
        <f t="shared" si="3355"/>
        <v>0</v>
      </c>
      <c r="DO167" s="197">
        <f t="shared" si="3355"/>
        <v>177</v>
      </c>
      <c r="DP167" s="197">
        <f t="shared" si="3355"/>
        <v>0</v>
      </c>
      <c r="DQ167" s="197">
        <f t="shared" si="3355"/>
        <v>177.00000000000003</v>
      </c>
      <c r="DR167" s="197">
        <f t="shared" si="3355"/>
        <v>0</v>
      </c>
      <c r="DS167" s="197">
        <f t="shared" si="3355"/>
        <v>0.89740813162671484</v>
      </c>
      <c r="DT167" s="197">
        <f t="shared" si="3355"/>
        <v>0</v>
      </c>
      <c r="DU167" s="197">
        <f t="shared" si="3355"/>
        <v>0</v>
      </c>
      <c r="DV167" s="197">
        <f t="shared" si="3355"/>
        <v>0</v>
      </c>
      <c r="DW167" s="197">
        <f t="shared" si="3355"/>
        <v>0</v>
      </c>
      <c r="DX167" s="197">
        <f t="shared" si="3355"/>
        <v>0</v>
      </c>
      <c r="DY167" s="197">
        <f t="shared" si="3355"/>
        <v>0</v>
      </c>
      <c r="DZ167" s="197">
        <f t="shared" si="3355"/>
        <v>0</v>
      </c>
      <c r="EA167" s="197">
        <f t="shared" si="3355"/>
        <v>0</v>
      </c>
      <c r="EB167" s="197">
        <f t="shared" si="3355"/>
        <v>0</v>
      </c>
      <c r="EC167" s="197">
        <f t="shared" si="3355"/>
        <v>0</v>
      </c>
      <c r="ED167" s="197">
        <f t="shared" si="3355"/>
        <v>0</v>
      </c>
      <c r="EE167" s="197">
        <f t="shared" si="3355"/>
        <v>0</v>
      </c>
      <c r="EF167" s="197">
        <f t="shared" si="3355"/>
        <v>0</v>
      </c>
      <c r="EG167" s="197">
        <f t="shared" si="3355"/>
        <v>0</v>
      </c>
    </row>
    <row r="168" spans="1:137" hidden="1">
      <c r="A168" s="157">
        <v>43160</v>
      </c>
      <c r="B168" s="197">
        <f>B39-B292</f>
        <v>0</v>
      </c>
      <c r="C168" s="197">
        <f>C39-C292</f>
        <v>0</v>
      </c>
      <c r="D168" s="197">
        <f>D39-D292</f>
        <v>0</v>
      </c>
      <c r="E168" s="197">
        <f>E39-E292</f>
        <v>0</v>
      </c>
      <c r="F168" s="197">
        <f>F39-F292</f>
        <v>0</v>
      </c>
      <c r="G168" s="197"/>
      <c r="H168" s="197"/>
      <c r="I168" s="197">
        <f t="shared" ref="I168:AB168" si="3356">I39-I292</f>
        <v>0</v>
      </c>
      <c r="J168" s="197">
        <f t="shared" si="3356"/>
        <v>0</v>
      </c>
      <c r="K168" s="197">
        <f t="shared" si="3356"/>
        <v>0</v>
      </c>
      <c r="L168" s="197">
        <f t="shared" si="3356"/>
        <v>0</v>
      </c>
      <c r="M168" s="197">
        <f t="shared" si="3356"/>
        <v>0</v>
      </c>
      <c r="N168" s="197">
        <f t="shared" si="3356"/>
        <v>0</v>
      </c>
      <c r="O168" s="197">
        <f t="shared" si="3356"/>
        <v>0</v>
      </c>
      <c r="P168" s="197">
        <f t="shared" si="3356"/>
        <v>0</v>
      </c>
      <c r="Q168" s="197">
        <f t="shared" si="3356"/>
        <v>0</v>
      </c>
      <c r="R168" s="197">
        <f t="shared" si="3356"/>
        <v>0</v>
      </c>
      <c r="S168" s="197">
        <f t="shared" si="3356"/>
        <v>0</v>
      </c>
      <c r="T168" s="197">
        <f t="shared" si="3356"/>
        <v>0</v>
      </c>
      <c r="U168" s="197">
        <f t="shared" si="3356"/>
        <v>0</v>
      </c>
      <c r="V168" s="197">
        <f t="shared" si="3356"/>
        <v>0</v>
      </c>
      <c r="W168" s="197">
        <f t="shared" si="3356"/>
        <v>0</v>
      </c>
      <c r="X168" s="197">
        <f t="shared" si="3356"/>
        <v>0</v>
      </c>
      <c r="Y168" s="197">
        <f t="shared" si="3356"/>
        <v>0</v>
      </c>
      <c r="Z168" s="197">
        <f t="shared" si="3356"/>
        <v>0</v>
      </c>
      <c r="AA168" s="197">
        <f t="shared" si="3356"/>
        <v>0</v>
      </c>
      <c r="AB168" s="197">
        <f t="shared" si="3356"/>
        <v>0</v>
      </c>
      <c r="AC168" s="163"/>
      <c r="AD168" s="163"/>
      <c r="AE168" s="163"/>
      <c r="AF168" s="163"/>
      <c r="AH168" s="197"/>
      <c r="AI168" s="197">
        <f t="shared" ref="AI168:BN168" si="3357">AI39-AI292</f>
        <v>0</v>
      </c>
      <c r="AJ168" s="197">
        <f t="shared" si="3357"/>
        <v>0</v>
      </c>
      <c r="AK168" s="197">
        <f t="shared" si="3357"/>
        <v>0</v>
      </c>
      <c r="AL168" s="197">
        <f t="shared" si="3357"/>
        <v>0</v>
      </c>
      <c r="AM168" s="197">
        <f t="shared" si="3357"/>
        <v>0</v>
      </c>
      <c r="AN168" s="197">
        <f t="shared" si="3357"/>
        <v>0</v>
      </c>
      <c r="AO168" s="197">
        <f t="shared" si="3357"/>
        <v>0</v>
      </c>
      <c r="AP168" s="197">
        <f t="shared" si="3357"/>
        <v>0</v>
      </c>
      <c r="AQ168" s="197">
        <f t="shared" si="3357"/>
        <v>0</v>
      </c>
      <c r="AR168" s="197">
        <f t="shared" si="3357"/>
        <v>0</v>
      </c>
      <c r="AS168" s="197">
        <f t="shared" si="3357"/>
        <v>0</v>
      </c>
      <c r="AT168" s="197">
        <f t="shared" si="3357"/>
        <v>0</v>
      </c>
      <c r="AU168" s="197">
        <f t="shared" si="3357"/>
        <v>0</v>
      </c>
      <c r="AV168" s="197">
        <f t="shared" si="3357"/>
        <v>0</v>
      </c>
      <c r="AW168" s="197">
        <f t="shared" si="3357"/>
        <v>0</v>
      </c>
      <c r="AX168" s="197">
        <f t="shared" si="3357"/>
        <v>0</v>
      </c>
      <c r="AY168" s="197">
        <f t="shared" si="3357"/>
        <v>0</v>
      </c>
      <c r="AZ168" s="197">
        <f t="shared" si="3357"/>
        <v>0</v>
      </c>
      <c r="BA168" s="197">
        <f t="shared" si="3357"/>
        <v>0</v>
      </c>
      <c r="BB168" s="197">
        <f t="shared" si="3357"/>
        <v>0</v>
      </c>
      <c r="BC168" s="197">
        <f t="shared" si="3357"/>
        <v>0</v>
      </c>
      <c r="BD168" s="197">
        <f t="shared" si="3357"/>
        <v>0</v>
      </c>
      <c r="BE168" s="197">
        <f t="shared" si="3357"/>
        <v>0</v>
      </c>
      <c r="BF168" s="197">
        <f t="shared" si="3357"/>
        <v>0</v>
      </c>
      <c r="BG168" s="197">
        <f t="shared" si="3357"/>
        <v>0</v>
      </c>
      <c r="BH168" s="197">
        <f t="shared" si="3357"/>
        <v>0</v>
      </c>
      <c r="BI168" s="197">
        <f t="shared" si="3357"/>
        <v>0</v>
      </c>
      <c r="BJ168" s="197">
        <f t="shared" si="3357"/>
        <v>0</v>
      </c>
      <c r="BK168" s="197">
        <f t="shared" si="3357"/>
        <v>0</v>
      </c>
      <c r="BL168" s="197">
        <f t="shared" si="3357"/>
        <v>0</v>
      </c>
      <c r="BM168" s="197">
        <f t="shared" si="3357"/>
        <v>0</v>
      </c>
      <c r="BN168" s="197">
        <f t="shared" si="3357"/>
        <v>0</v>
      </c>
      <c r="BO168" s="197">
        <f t="shared" ref="BO168:CV168" si="3358">BO39-BO292</f>
        <v>0</v>
      </c>
      <c r="BP168" s="197">
        <f t="shared" si="3358"/>
        <v>0</v>
      </c>
      <c r="BQ168" s="197">
        <f t="shared" si="3358"/>
        <v>0</v>
      </c>
      <c r="BR168" s="197">
        <f t="shared" si="3358"/>
        <v>0</v>
      </c>
      <c r="BS168" s="197">
        <f t="shared" si="3358"/>
        <v>0</v>
      </c>
      <c r="BT168" s="197">
        <f t="shared" si="3358"/>
        <v>0</v>
      </c>
      <c r="BU168" s="197">
        <f t="shared" si="3358"/>
        <v>0</v>
      </c>
      <c r="BV168" s="197">
        <f t="shared" si="3358"/>
        <v>0</v>
      </c>
      <c r="BW168" s="197">
        <f t="shared" si="3358"/>
        <v>0</v>
      </c>
      <c r="BX168" s="197">
        <f t="shared" si="3358"/>
        <v>0</v>
      </c>
      <c r="BY168" s="197">
        <f t="shared" si="3358"/>
        <v>0</v>
      </c>
      <c r="BZ168" s="197">
        <f t="shared" si="3358"/>
        <v>0</v>
      </c>
      <c r="CA168" s="197">
        <f t="shared" si="3358"/>
        <v>0</v>
      </c>
      <c r="CB168" s="197">
        <f t="shared" si="3358"/>
        <v>0</v>
      </c>
      <c r="CC168" s="197">
        <f t="shared" si="3358"/>
        <v>0</v>
      </c>
      <c r="CD168" s="197">
        <f t="shared" si="3358"/>
        <v>0</v>
      </c>
      <c r="CE168" s="197">
        <f t="shared" si="3358"/>
        <v>0</v>
      </c>
      <c r="CF168" s="197">
        <f t="shared" si="3358"/>
        <v>0</v>
      </c>
      <c r="CG168" s="197">
        <f t="shared" si="3358"/>
        <v>0</v>
      </c>
      <c r="CH168" s="197">
        <f t="shared" si="3358"/>
        <v>0</v>
      </c>
      <c r="CI168" s="197">
        <f t="shared" si="3358"/>
        <v>0</v>
      </c>
      <c r="CJ168" s="197">
        <f t="shared" si="3358"/>
        <v>0</v>
      </c>
      <c r="CK168" s="197">
        <f t="shared" si="3358"/>
        <v>0</v>
      </c>
      <c r="CL168" s="197">
        <f t="shared" si="3358"/>
        <v>0</v>
      </c>
      <c r="CM168" s="197">
        <f t="shared" si="3358"/>
        <v>0</v>
      </c>
      <c r="CN168" s="197">
        <f t="shared" si="3358"/>
        <v>0</v>
      </c>
      <c r="CO168" s="197">
        <f t="shared" si="3358"/>
        <v>0</v>
      </c>
      <c r="CP168" s="197">
        <f t="shared" si="3358"/>
        <v>0</v>
      </c>
      <c r="CQ168" s="197">
        <f t="shared" si="3358"/>
        <v>0</v>
      </c>
      <c r="CR168" s="197">
        <f t="shared" si="3358"/>
        <v>0</v>
      </c>
      <c r="CS168" s="197">
        <f t="shared" si="3358"/>
        <v>0</v>
      </c>
      <c r="CT168" s="197">
        <f t="shared" si="3358"/>
        <v>0</v>
      </c>
      <c r="CU168" s="197">
        <f t="shared" si="3358"/>
        <v>0</v>
      </c>
      <c r="CV168" s="197">
        <f t="shared" si="3358"/>
        <v>0</v>
      </c>
      <c r="CW168" s="197"/>
      <c r="CX168" s="197">
        <f>CX39-CX292</f>
        <v>0</v>
      </c>
      <c r="CY168" s="197">
        <f>CY39-CY292</f>
        <v>0</v>
      </c>
      <c r="CZ168" s="197">
        <f>CZ39-CZ292</f>
        <v>0</v>
      </c>
      <c r="DA168" s="197">
        <f>DA39-DA292</f>
        <v>0</v>
      </c>
      <c r="DB168" s="197">
        <f>DB39-DB292</f>
        <v>0</v>
      </c>
      <c r="DC168" s="197">
        <f>DC39-DC292</f>
        <v>0</v>
      </c>
      <c r="DD168" s="197"/>
      <c r="DE168" s="197">
        <f t="shared" ref="DE168:EG168" si="3359">DE39-DE292</f>
        <v>0</v>
      </c>
      <c r="DF168" s="197">
        <f t="shared" si="3359"/>
        <v>0</v>
      </c>
      <c r="DG168" s="197">
        <f t="shared" si="3359"/>
        <v>45.018822010997212</v>
      </c>
      <c r="DH168" s="197">
        <f t="shared" si="3359"/>
        <v>0</v>
      </c>
      <c r="DI168" s="197">
        <f t="shared" si="3359"/>
        <v>0</v>
      </c>
      <c r="DJ168" s="197">
        <f t="shared" si="3359"/>
        <v>0</v>
      </c>
      <c r="DK168" s="197">
        <f t="shared" si="3359"/>
        <v>0</v>
      </c>
      <c r="DL168" s="197">
        <f t="shared" si="3359"/>
        <v>0</v>
      </c>
      <c r="DM168" s="197">
        <f t="shared" si="3359"/>
        <v>0</v>
      </c>
      <c r="DN168" s="197">
        <f t="shared" si="3359"/>
        <v>0</v>
      </c>
      <c r="DO168" s="197">
        <f t="shared" si="3359"/>
        <v>191</v>
      </c>
      <c r="DP168" s="197">
        <f t="shared" si="3359"/>
        <v>0</v>
      </c>
      <c r="DQ168" s="197">
        <f t="shared" si="3359"/>
        <v>191</v>
      </c>
      <c r="DR168" s="197">
        <f t="shared" si="3359"/>
        <v>0</v>
      </c>
      <c r="DS168" s="197">
        <f t="shared" si="3359"/>
        <v>0.88492692752753621</v>
      </c>
      <c r="DT168" s="197">
        <f t="shared" si="3359"/>
        <v>0</v>
      </c>
      <c r="DU168" s="197">
        <f t="shared" si="3359"/>
        <v>0</v>
      </c>
      <c r="DV168" s="197">
        <f t="shared" si="3359"/>
        <v>0</v>
      </c>
      <c r="DW168" s="197">
        <f t="shared" si="3359"/>
        <v>0</v>
      </c>
      <c r="DX168" s="197">
        <f t="shared" si="3359"/>
        <v>0</v>
      </c>
      <c r="DY168" s="197">
        <f t="shared" si="3359"/>
        <v>0</v>
      </c>
      <c r="DZ168" s="197">
        <f t="shared" si="3359"/>
        <v>0</v>
      </c>
      <c r="EA168" s="197">
        <f t="shared" si="3359"/>
        <v>0</v>
      </c>
      <c r="EB168" s="197">
        <f t="shared" si="3359"/>
        <v>0</v>
      </c>
      <c r="EC168" s="197">
        <f t="shared" si="3359"/>
        <v>0</v>
      </c>
      <c r="ED168" s="197">
        <f t="shared" si="3359"/>
        <v>0</v>
      </c>
      <c r="EE168" s="197">
        <f t="shared" si="3359"/>
        <v>0</v>
      </c>
      <c r="EF168" s="197">
        <f t="shared" si="3359"/>
        <v>0</v>
      </c>
      <c r="EG168" s="197">
        <f t="shared" si="3359"/>
        <v>0</v>
      </c>
    </row>
    <row r="169" spans="1:137" hidden="1">
      <c r="A169" s="157">
        <v>43191</v>
      </c>
      <c r="B169" s="197">
        <f>B40-B293</f>
        <v>0</v>
      </c>
      <c r="C169" s="197">
        <f>C40-C293</f>
        <v>0</v>
      </c>
      <c r="D169" s="197">
        <f>D40-D293</f>
        <v>0</v>
      </c>
      <c r="E169" s="197">
        <f>E40-E293</f>
        <v>0</v>
      </c>
      <c r="F169" s="197">
        <f>F40-F293</f>
        <v>0</v>
      </c>
      <c r="G169" s="197"/>
      <c r="H169" s="197"/>
      <c r="I169" s="197">
        <f t="shared" ref="I169:AB169" si="3360">I40-I293</f>
        <v>0</v>
      </c>
      <c r="J169" s="197">
        <f t="shared" si="3360"/>
        <v>0</v>
      </c>
      <c r="K169" s="197">
        <f t="shared" si="3360"/>
        <v>0</v>
      </c>
      <c r="L169" s="197">
        <f t="shared" si="3360"/>
        <v>0</v>
      </c>
      <c r="M169" s="197">
        <f t="shared" si="3360"/>
        <v>0</v>
      </c>
      <c r="N169" s="197">
        <f t="shared" si="3360"/>
        <v>0</v>
      </c>
      <c r="O169" s="197">
        <f t="shared" si="3360"/>
        <v>0</v>
      </c>
      <c r="P169" s="197">
        <f t="shared" si="3360"/>
        <v>0</v>
      </c>
      <c r="Q169" s="197">
        <f t="shared" si="3360"/>
        <v>0</v>
      </c>
      <c r="R169" s="197">
        <f t="shared" si="3360"/>
        <v>0</v>
      </c>
      <c r="S169" s="197">
        <f t="shared" si="3360"/>
        <v>0</v>
      </c>
      <c r="T169" s="197">
        <f t="shared" si="3360"/>
        <v>0</v>
      </c>
      <c r="U169" s="197">
        <f t="shared" si="3360"/>
        <v>0</v>
      </c>
      <c r="V169" s="197">
        <f t="shared" si="3360"/>
        <v>0</v>
      </c>
      <c r="W169" s="197">
        <f t="shared" si="3360"/>
        <v>0</v>
      </c>
      <c r="X169" s="197">
        <f t="shared" si="3360"/>
        <v>0</v>
      </c>
      <c r="Y169" s="197">
        <f t="shared" si="3360"/>
        <v>0</v>
      </c>
      <c r="Z169" s="197">
        <f t="shared" si="3360"/>
        <v>0</v>
      </c>
      <c r="AA169" s="197">
        <f t="shared" si="3360"/>
        <v>0</v>
      </c>
      <c r="AB169" s="197">
        <f t="shared" si="3360"/>
        <v>0</v>
      </c>
      <c r="AC169" s="163"/>
      <c r="AD169" s="163"/>
      <c r="AE169" s="163"/>
      <c r="AF169" s="163"/>
      <c r="AH169" s="197"/>
      <c r="AI169" s="197">
        <f t="shared" ref="AI169:BN169" si="3361">AI40-AI293</f>
        <v>0</v>
      </c>
      <c r="AJ169" s="197">
        <f t="shared" si="3361"/>
        <v>0</v>
      </c>
      <c r="AK169" s="197">
        <f t="shared" si="3361"/>
        <v>0</v>
      </c>
      <c r="AL169" s="197">
        <f t="shared" si="3361"/>
        <v>0</v>
      </c>
      <c r="AM169" s="197">
        <f t="shared" si="3361"/>
        <v>0</v>
      </c>
      <c r="AN169" s="197">
        <f t="shared" si="3361"/>
        <v>0</v>
      </c>
      <c r="AO169" s="197">
        <f t="shared" si="3361"/>
        <v>0</v>
      </c>
      <c r="AP169" s="197">
        <f t="shared" si="3361"/>
        <v>0</v>
      </c>
      <c r="AQ169" s="197">
        <f t="shared" si="3361"/>
        <v>0</v>
      </c>
      <c r="AR169" s="197">
        <f t="shared" si="3361"/>
        <v>0</v>
      </c>
      <c r="AS169" s="197">
        <f t="shared" si="3361"/>
        <v>0</v>
      </c>
      <c r="AT169" s="197">
        <f t="shared" si="3361"/>
        <v>0</v>
      </c>
      <c r="AU169" s="197">
        <f t="shared" si="3361"/>
        <v>0</v>
      </c>
      <c r="AV169" s="197">
        <f t="shared" si="3361"/>
        <v>0</v>
      </c>
      <c r="AW169" s="197">
        <f t="shared" si="3361"/>
        <v>0</v>
      </c>
      <c r="AX169" s="197">
        <f t="shared" si="3361"/>
        <v>0</v>
      </c>
      <c r="AY169" s="197">
        <f t="shared" si="3361"/>
        <v>0</v>
      </c>
      <c r="AZ169" s="197">
        <f t="shared" si="3361"/>
        <v>0</v>
      </c>
      <c r="BA169" s="197">
        <f t="shared" si="3361"/>
        <v>0</v>
      </c>
      <c r="BB169" s="197">
        <f t="shared" si="3361"/>
        <v>0</v>
      </c>
      <c r="BC169" s="197">
        <f t="shared" si="3361"/>
        <v>0</v>
      </c>
      <c r="BD169" s="197">
        <f t="shared" si="3361"/>
        <v>0</v>
      </c>
      <c r="BE169" s="197">
        <f t="shared" si="3361"/>
        <v>0</v>
      </c>
      <c r="BF169" s="197">
        <f t="shared" si="3361"/>
        <v>0</v>
      </c>
      <c r="BG169" s="197">
        <f t="shared" si="3361"/>
        <v>0</v>
      </c>
      <c r="BH169" s="197">
        <f t="shared" si="3361"/>
        <v>0</v>
      </c>
      <c r="BI169" s="197">
        <f t="shared" si="3361"/>
        <v>0</v>
      </c>
      <c r="BJ169" s="197">
        <f t="shared" si="3361"/>
        <v>0</v>
      </c>
      <c r="BK169" s="197">
        <f t="shared" si="3361"/>
        <v>0</v>
      </c>
      <c r="BL169" s="197">
        <f t="shared" si="3361"/>
        <v>0</v>
      </c>
      <c r="BM169" s="197">
        <f t="shared" si="3361"/>
        <v>0</v>
      </c>
      <c r="BN169" s="197">
        <f t="shared" si="3361"/>
        <v>0</v>
      </c>
      <c r="BO169" s="197">
        <f t="shared" ref="BO169:CV169" si="3362">BO40-BO293</f>
        <v>0</v>
      </c>
      <c r="BP169" s="197">
        <f t="shared" si="3362"/>
        <v>0</v>
      </c>
      <c r="BQ169" s="197">
        <f t="shared" si="3362"/>
        <v>0</v>
      </c>
      <c r="BR169" s="197">
        <f t="shared" si="3362"/>
        <v>0</v>
      </c>
      <c r="BS169" s="197">
        <f t="shared" si="3362"/>
        <v>0</v>
      </c>
      <c r="BT169" s="197">
        <f t="shared" si="3362"/>
        <v>0</v>
      </c>
      <c r="BU169" s="197">
        <f t="shared" si="3362"/>
        <v>0</v>
      </c>
      <c r="BV169" s="197">
        <f t="shared" si="3362"/>
        <v>0</v>
      </c>
      <c r="BW169" s="197">
        <f t="shared" si="3362"/>
        <v>0</v>
      </c>
      <c r="BX169" s="197">
        <f t="shared" si="3362"/>
        <v>0</v>
      </c>
      <c r="BY169" s="197">
        <f t="shared" si="3362"/>
        <v>0</v>
      </c>
      <c r="BZ169" s="197">
        <f t="shared" si="3362"/>
        <v>0</v>
      </c>
      <c r="CA169" s="197">
        <f t="shared" si="3362"/>
        <v>0</v>
      </c>
      <c r="CB169" s="197">
        <f t="shared" si="3362"/>
        <v>0</v>
      </c>
      <c r="CC169" s="197">
        <f t="shared" si="3362"/>
        <v>0</v>
      </c>
      <c r="CD169" s="197">
        <f t="shared" si="3362"/>
        <v>0</v>
      </c>
      <c r="CE169" s="197">
        <f t="shared" si="3362"/>
        <v>0</v>
      </c>
      <c r="CF169" s="197">
        <f t="shared" si="3362"/>
        <v>0</v>
      </c>
      <c r="CG169" s="197">
        <f t="shared" si="3362"/>
        <v>0</v>
      </c>
      <c r="CH169" s="197">
        <f t="shared" si="3362"/>
        <v>0</v>
      </c>
      <c r="CI169" s="197">
        <f t="shared" si="3362"/>
        <v>0</v>
      </c>
      <c r="CJ169" s="197">
        <f t="shared" si="3362"/>
        <v>0</v>
      </c>
      <c r="CK169" s="197">
        <f t="shared" si="3362"/>
        <v>0</v>
      </c>
      <c r="CL169" s="197">
        <f t="shared" si="3362"/>
        <v>0</v>
      </c>
      <c r="CM169" s="197">
        <f t="shared" si="3362"/>
        <v>0</v>
      </c>
      <c r="CN169" s="197">
        <f t="shared" si="3362"/>
        <v>0</v>
      </c>
      <c r="CO169" s="197">
        <f t="shared" si="3362"/>
        <v>0</v>
      </c>
      <c r="CP169" s="197">
        <f t="shared" si="3362"/>
        <v>0</v>
      </c>
      <c r="CQ169" s="197">
        <f t="shared" si="3362"/>
        <v>0</v>
      </c>
      <c r="CR169" s="197">
        <f t="shared" si="3362"/>
        <v>0</v>
      </c>
      <c r="CS169" s="197">
        <f t="shared" si="3362"/>
        <v>0</v>
      </c>
      <c r="CT169" s="197">
        <f t="shared" si="3362"/>
        <v>0</v>
      </c>
      <c r="CU169" s="197">
        <f t="shared" si="3362"/>
        <v>0</v>
      </c>
      <c r="CV169" s="197">
        <f t="shared" si="3362"/>
        <v>0</v>
      </c>
      <c r="CW169" s="197"/>
      <c r="CX169" s="197">
        <f>CX40-CX293</f>
        <v>0</v>
      </c>
      <c r="CY169" s="197">
        <f>CY40-CY293</f>
        <v>0</v>
      </c>
      <c r="CZ169" s="197">
        <f>CZ40-CZ293</f>
        <v>0</v>
      </c>
      <c r="DA169" s="197">
        <f>DA40-DA293</f>
        <v>0</v>
      </c>
      <c r="DB169" s="197">
        <f>DB40-DB293</f>
        <v>0</v>
      </c>
      <c r="DC169" s="197">
        <f>DC40-DC293</f>
        <v>0</v>
      </c>
      <c r="DD169" s="197"/>
      <c r="DE169" s="197">
        <f t="shared" ref="DE169:EG169" si="3363">DE40-DE293</f>
        <v>0</v>
      </c>
      <c r="DF169" s="197">
        <f t="shared" si="3363"/>
        <v>0</v>
      </c>
      <c r="DG169" s="197">
        <f t="shared" si="3363"/>
        <v>45.8028315854054</v>
      </c>
      <c r="DH169" s="197">
        <f t="shared" si="3363"/>
        <v>0</v>
      </c>
      <c r="DI169" s="197">
        <f t="shared" si="3363"/>
        <v>0</v>
      </c>
      <c r="DJ169" s="197">
        <f t="shared" si="3363"/>
        <v>0</v>
      </c>
      <c r="DK169" s="197">
        <f t="shared" si="3363"/>
        <v>0</v>
      </c>
      <c r="DL169" s="197">
        <f t="shared" si="3363"/>
        <v>0</v>
      </c>
      <c r="DM169" s="197">
        <f t="shared" si="3363"/>
        <v>0</v>
      </c>
      <c r="DN169" s="197">
        <f t="shared" si="3363"/>
        <v>0</v>
      </c>
      <c r="DO169" s="197">
        <f t="shared" si="3363"/>
        <v>0</v>
      </c>
      <c r="DP169" s="197">
        <f t="shared" si="3363"/>
        <v>0</v>
      </c>
      <c r="DQ169" s="197">
        <f t="shared" si="3363"/>
        <v>0</v>
      </c>
      <c r="DR169" s="197">
        <f t="shared" si="3363"/>
        <v>0</v>
      </c>
      <c r="DS169" s="197">
        <f t="shared" si="3363"/>
        <v>0.85900347518595288</v>
      </c>
      <c r="DT169" s="197">
        <f t="shared" si="3363"/>
        <v>0</v>
      </c>
      <c r="DU169" s="197">
        <f t="shared" si="3363"/>
        <v>0</v>
      </c>
      <c r="DV169" s="197">
        <f t="shared" si="3363"/>
        <v>0</v>
      </c>
      <c r="DW169" s="197">
        <f t="shared" si="3363"/>
        <v>0</v>
      </c>
      <c r="DX169" s="197">
        <f t="shared" si="3363"/>
        <v>0</v>
      </c>
      <c r="DY169" s="197">
        <f t="shared" si="3363"/>
        <v>0</v>
      </c>
      <c r="DZ169" s="197">
        <f t="shared" si="3363"/>
        <v>0</v>
      </c>
      <c r="EA169" s="197">
        <f t="shared" si="3363"/>
        <v>0</v>
      </c>
      <c r="EB169" s="197">
        <f t="shared" si="3363"/>
        <v>0</v>
      </c>
      <c r="EC169" s="197">
        <f t="shared" si="3363"/>
        <v>0</v>
      </c>
      <c r="ED169" s="197">
        <f t="shared" si="3363"/>
        <v>0</v>
      </c>
      <c r="EE169" s="197">
        <f t="shared" si="3363"/>
        <v>0</v>
      </c>
      <c r="EF169" s="197">
        <f t="shared" si="3363"/>
        <v>0</v>
      </c>
      <c r="EG169" s="197">
        <f t="shared" si="3363"/>
        <v>0</v>
      </c>
    </row>
    <row r="170" spans="1:137" hidden="1">
      <c r="A170" s="157">
        <v>43221</v>
      </c>
      <c r="B170" s="197">
        <f>B41-B294</f>
        <v>0</v>
      </c>
      <c r="C170" s="197">
        <f>C41-C294</f>
        <v>0</v>
      </c>
      <c r="D170" s="197">
        <f>D41-D294</f>
        <v>0</v>
      </c>
      <c r="E170" s="197">
        <f>E41-E294</f>
        <v>0</v>
      </c>
      <c r="F170" s="197">
        <f>F41-F294</f>
        <v>0</v>
      </c>
      <c r="G170" s="197"/>
      <c r="H170" s="197"/>
      <c r="I170" s="197">
        <f t="shared" ref="I170:AB170" si="3364">I41-I294</f>
        <v>0</v>
      </c>
      <c r="J170" s="197">
        <f t="shared" si="3364"/>
        <v>0</v>
      </c>
      <c r="K170" s="197">
        <f t="shared" si="3364"/>
        <v>0</v>
      </c>
      <c r="L170" s="197">
        <f t="shared" si="3364"/>
        <v>0</v>
      </c>
      <c r="M170" s="197">
        <f t="shared" si="3364"/>
        <v>0</v>
      </c>
      <c r="N170" s="197">
        <f t="shared" si="3364"/>
        <v>0</v>
      </c>
      <c r="O170" s="197">
        <f t="shared" si="3364"/>
        <v>0</v>
      </c>
      <c r="P170" s="197">
        <f t="shared" si="3364"/>
        <v>0</v>
      </c>
      <c r="Q170" s="197">
        <f t="shared" si="3364"/>
        <v>0</v>
      </c>
      <c r="R170" s="197">
        <f t="shared" si="3364"/>
        <v>0</v>
      </c>
      <c r="S170" s="197">
        <f t="shared" si="3364"/>
        <v>0</v>
      </c>
      <c r="T170" s="197">
        <f t="shared" si="3364"/>
        <v>0</v>
      </c>
      <c r="U170" s="197">
        <f t="shared" si="3364"/>
        <v>0</v>
      </c>
      <c r="V170" s="197">
        <f t="shared" si="3364"/>
        <v>0</v>
      </c>
      <c r="W170" s="197">
        <f t="shared" si="3364"/>
        <v>0</v>
      </c>
      <c r="X170" s="197">
        <f t="shared" si="3364"/>
        <v>0</v>
      </c>
      <c r="Y170" s="197">
        <f t="shared" si="3364"/>
        <v>0</v>
      </c>
      <c r="Z170" s="197">
        <f t="shared" si="3364"/>
        <v>0</v>
      </c>
      <c r="AA170" s="197">
        <f t="shared" si="3364"/>
        <v>0</v>
      </c>
      <c r="AB170" s="197">
        <f t="shared" si="3364"/>
        <v>0</v>
      </c>
      <c r="AC170" s="163"/>
      <c r="AD170" s="163"/>
      <c r="AE170" s="163"/>
      <c r="AF170" s="163"/>
      <c r="AH170" s="197"/>
      <c r="AI170" s="197">
        <f t="shared" ref="AI170:BN170" si="3365">AI41-AI294</f>
        <v>0</v>
      </c>
      <c r="AJ170" s="197">
        <f t="shared" si="3365"/>
        <v>0</v>
      </c>
      <c r="AK170" s="197">
        <f t="shared" si="3365"/>
        <v>0</v>
      </c>
      <c r="AL170" s="197">
        <f t="shared" si="3365"/>
        <v>0</v>
      </c>
      <c r="AM170" s="197">
        <f t="shared" si="3365"/>
        <v>0</v>
      </c>
      <c r="AN170" s="197">
        <f t="shared" si="3365"/>
        <v>0</v>
      </c>
      <c r="AO170" s="197">
        <f t="shared" si="3365"/>
        <v>0</v>
      </c>
      <c r="AP170" s="197">
        <f t="shared" si="3365"/>
        <v>0</v>
      </c>
      <c r="AQ170" s="197">
        <f t="shared" si="3365"/>
        <v>0</v>
      </c>
      <c r="AR170" s="197">
        <f t="shared" si="3365"/>
        <v>0</v>
      </c>
      <c r="AS170" s="197">
        <f t="shared" si="3365"/>
        <v>0</v>
      </c>
      <c r="AT170" s="197">
        <f t="shared" si="3365"/>
        <v>0</v>
      </c>
      <c r="AU170" s="197">
        <f t="shared" si="3365"/>
        <v>0</v>
      </c>
      <c r="AV170" s="197">
        <f t="shared" si="3365"/>
        <v>0</v>
      </c>
      <c r="AW170" s="197">
        <f t="shared" si="3365"/>
        <v>0</v>
      </c>
      <c r="AX170" s="197">
        <f t="shared" si="3365"/>
        <v>0</v>
      </c>
      <c r="AY170" s="197">
        <f t="shared" si="3365"/>
        <v>0</v>
      </c>
      <c r="AZ170" s="197">
        <f t="shared" si="3365"/>
        <v>0</v>
      </c>
      <c r="BA170" s="197">
        <f t="shared" si="3365"/>
        <v>0</v>
      </c>
      <c r="BB170" s="197">
        <f t="shared" si="3365"/>
        <v>0</v>
      </c>
      <c r="BC170" s="197">
        <f t="shared" si="3365"/>
        <v>0</v>
      </c>
      <c r="BD170" s="197">
        <f t="shared" si="3365"/>
        <v>0</v>
      </c>
      <c r="BE170" s="197">
        <f t="shared" si="3365"/>
        <v>0</v>
      </c>
      <c r="BF170" s="197">
        <f t="shared" si="3365"/>
        <v>0</v>
      </c>
      <c r="BG170" s="197">
        <f t="shared" si="3365"/>
        <v>0</v>
      </c>
      <c r="BH170" s="197">
        <f t="shared" si="3365"/>
        <v>0</v>
      </c>
      <c r="BI170" s="197">
        <f t="shared" si="3365"/>
        <v>0</v>
      </c>
      <c r="BJ170" s="197">
        <f t="shared" si="3365"/>
        <v>0</v>
      </c>
      <c r="BK170" s="197">
        <f t="shared" si="3365"/>
        <v>0</v>
      </c>
      <c r="BL170" s="197">
        <f t="shared" si="3365"/>
        <v>0</v>
      </c>
      <c r="BM170" s="197">
        <f t="shared" si="3365"/>
        <v>0</v>
      </c>
      <c r="BN170" s="197">
        <f t="shared" si="3365"/>
        <v>0</v>
      </c>
      <c r="BO170" s="197">
        <f t="shared" ref="BO170:CV170" si="3366">BO41-BO294</f>
        <v>0</v>
      </c>
      <c r="BP170" s="197">
        <f t="shared" si="3366"/>
        <v>0</v>
      </c>
      <c r="BQ170" s="197">
        <f t="shared" si="3366"/>
        <v>0</v>
      </c>
      <c r="BR170" s="197">
        <f t="shared" si="3366"/>
        <v>0</v>
      </c>
      <c r="BS170" s="197">
        <f t="shared" si="3366"/>
        <v>0</v>
      </c>
      <c r="BT170" s="197">
        <f t="shared" si="3366"/>
        <v>0</v>
      </c>
      <c r="BU170" s="197">
        <f t="shared" si="3366"/>
        <v>0</v>
      </c>
      <c r="BV170" s="197">
        <f t="shared" si="3366"/>
        <v>0</v>
      </c>
      <c r="BW170" s="197">
        <f t="shared" si="3366"/>
        <v>0</v>
      </c>
      <c r="BX170" s="197">
        <f t="shared" si="3366"/>
        <v>0</v>
      </c>
      <c r="BY170" s="197">
        <f t="shared" si="3366"/>
        <v>0</v>
      </c>
      <c r="BZ170" s="197">
        <f t="shared" si="3366"/>
        <v>0</v>
      </c>
      <c r="CA170" s="197">
        <f t="shared" si="3366"/>
        <v>0</v>
      </c>
      <c r="CB170" s="197">
        <f t="shared" si="3366"/>
        <v>0</v>
      </c>
      <c r="CC170" s="197">
        <f t="shared" si="3366"/>
        <v>0</v>
      </c>
      <c r="CD170" s="197">
        <f t="shared" si="3366"/>
        <v>0</v>
      </c>
      <c r="CE170" s="197">
        <f t="shared" si="3366"/>
        <v>0</v>
      </c>
      <c r="CF170" s="197">
        <f t="shared" si="3366"/>
        <v>0</v>
      </c>
      <c r="CG170" s="197">
        <f t="shared" si="3366"/>
        <v>0</v>
      </c>
      <c r="CH170" s="197">
        <f t="shared" si="3366"/>
        <v>0</v>
      </c>
      <c r="CI170" s="197">
        <f t="shared" si="3366"/>
        <v>0</v>
      </c>
      <c r="CJ170" s="197">
        <f t="shared" si="3366"/>
        <v>0</v>
      </c>
      <c r="CK170" s="197">
        <f t="shared" si="3366"/>
        <v>0</v>
      </c>
      <c r="CL170" s="197">
        <f t="shared" si="3366"/>
        <v>0</v>
      </c>
      <c r="CM170" s="197">
        <f t="shared" si="3366"/>
        <v>0</v>
      </c>
      <c r="CN170" s="197">
        <f t="shared" si="3366"/>
        <v>0</v>
      </c>
      <c r="CO170" s="197">
        <f t="shared" si="3366"/>
        <v>0</v>
      </c>
      <c r="CP170" s="197">
        <f t="shared" si="3366"/>
        <v>0</v>
      </c>
      <c r="CQ170" s="197">
        <f t="shared" si="3366"/>
        <v>0</v>
      </c>
      <c r="CR170" s="197">
        <f t="shared" si="3366"/>
        <v>0</v>
      </c>
      <c r="CS170" s="197">
        <f t="shared" si="3366"/>
        <v>0</v>
      </c>
      <c r="CT170" s="197">
        <f t="shared" si="3366"/>
        <v>0</v>
      </c>
      <c r="CU170" s="197">
        <f t="shared" si="3366"/>
        <v>0</v>
      </c>
      <c r="CV170" s="197">
        <f t="shared" si="3366"/>
        <v>0</v>
      </c>
      <c r="CW170" s="197"/>
      <c r="CX170" s="197">
        <f>CX41-CX294</f>
        <v>0</v>
      </c>
      <c r="CY170" s="197">
        <f>CY41-CY294</f>
        <v>0</v>
      </c>
      <c r="CZ170" s="197">
        <f>CZ41-CZ294</f>
        <v>0</v>
      </c>
      <c r="DA170" s="197">
        <f>DA41-DA294</f>
        <v>0</v>
      </c>
      <c r="DB170" s="197">
        <f>DB41-DB294</f>
        <v>0</v>
      </c>
      <c r="DC170" s="197">
        <f>DC41-DC294</f>
        <v>0</v>
      </c>
      <c r="DD170" s="197"/>
      <c r="DE170" s="197">
        <f t="shared" ref="DE170:EG170" si="3367">DE41-DE294</f>
        <v>0</v>
      </c>
      <c r="DF170" s="197">
        <f t="shared" si="3367"/>
        <v>0</v>
      </c>
      <c r="DG170" s="197">
        <f t="shared" si="3367"/>
        <v>47.23947956003277</v>
      </c>
      <c r="DH170" s="197">
        <f t="shared" si="3367"/>
        <v>0</v>
      </c>
      <c r="DI170" s="197">
        <f t="shared" si="3367"/>
        <v>0</v>
      </c>
      <c r="DJ170" s="197">
        <f t="shared" si="3367"/>
        <v>0</v>
      </c>
      <c r="DK170" s="197">
        <f t="shared" si="3367"/>
        <v>0</v>
      </c>
      <c r="DL170" s="197">
        <f t="shared" si="3367"/>
        <v>0</v>
      </c>
      <c r="DM170" s="197">
        <f t="shared" si="3367"/>
        <v>0</v>
      </c>
      <c r="DN170" s="197">
        <f t="shared" si="3367"/>
        <v>0</v>
      </c>
      <c r="DO170" s="197">
        <f t="shared" si="3367"/>
        <v>0</v>
      </c>
      <c r="DP170" s="197">
        <f t="shared" si="3367"/>
        <v>0</v>
      </c>
      <c r="DQ170" s="197">
        <f t="shared" si="3367"/>
        <v>0</v>
      </c>
      <c r="DR170" s="197">
        <f t="shared" si="3367"/>
        <v>0</v>
      </c>
      <c r="DS170" s="197">
        <f t="shared" si="3367"/>
        <v>0.753741331062173</v>
      </c>
      <c r="DT170" s="197">
        <f t="shared" si="3367"/>
        <v>0</v>
      </c>
      <c r="DU170" s="197">
        <f t="shared" si="3367"/>
        <v>0</v>
      </c>
      <c r="DV170" s="197">
        <f t="shared" si="3367"/>
        <v>0</v>
      </c>
      <c r="DW170" s="197">
        <f t="shared" si="3367"/>
        <v>0</v>
      </c>
      <c r="DX170" s="197">
        <f t="shared" si="3367"/>
        <v>0</v>
      </c>
      <c r="DY170" s="197">
        <f t="shared" si="3367"/>
        <v>0</v>
      </c>
      <c r="DZ170" s="197">
        <f t="shared" si="3367"/>
        <v>0</v>
      </c>
      <c r="EA170" s="197">
        <f t="shared" si="3367"/>
        <v>0</v>
      </c>
      <c r="EB170" s="197">
        <f t="shared" si="3367"/>
        <v>0</v>
      </c>
      <c r="EC170" s="197">
        <f t="shared" si="3367"/>
        <v>0</v>
      </c>
      <c r="ED170" s="197">
        <f t="shared" si="3367"/>
        <v>0</v>
      </c>
      <c r="EE170" s="197">
        <f t="shared" si="3367"/>
        <v>0</v>
      </c>
      <c r="EF170" s="197">
        <f t="shared" si="3367"/>
        <v>0</v>
      </c>
      <c r="EG170" s="197">
        <f t="shared" si="3367"/>
        <v>0</v>
      </c>
    </row>
    <row r="171" spans="1:137" hidden="1">
      <c r="A171" s="157">
        <v>43252</v>
      </c>
      <c r="B171" s="197">
        <f>B42-B295</f>
        <v>0</v>
      </c>
      <c r="C171" s="197">
        <f>C42-C295</f>
        <v>0</v>
      </c>
      <c r="D171" s="197">
        <f>D42-D295</f>
        <v>0</v>
      </c>
      <c r="E171" s="197">
        <f>E42-E295</f>
        <v>0</v>
      </c>
      <c r="F171" s="197">
        <f>F42-F295</f>
        <v>0</v>
      </c>
      <c r="G171" s="197"/>
      <c r="H171" s="197"/>
      <c r="I171" s="197">
        <f t="shared" ref="I171:AB171" si="3368">I42-I295</f>
        <v>0</v>
      </c>
      <c r="J171" s="197">
        <f t="shared" si="3368"/>
        <v>0</v>
      </c>
      <c r="K171" s="197">
        <f t="shared" si="3368"/>
        <v>0</v>
      </c>
      <c r="L171" s="197">
        <f t="shared" si="3368"/>
        <v>0</v>
      </c>
      <c r="M171" s="197">
        <f t="shared" si="3368"/>
        <v>0</v>
      </c>
      <c r="N171" s="197">
        <f t="shared" si="3368"/>
        <v>0</v>
      </c>
      <c r="O171" s="197">
        <f t="shared" si="3368"/>
        <v>0</v>
      </c>
      <c r="P171" s="197">
        <f t="shared" si="3368"/>
        <v>0</v>
      </c>
      <c r="Q171" s="197">
        <f t="shared" si="3368"/>
        <v>0</v>
      </c>
      <c r="R171" s="197">
        <f t="shared" si="3368"/>
        <v>0</v>
      </c>
      <c r="S171" s="197">
        <f t="shared" si="3368"/>
        <v>0</v>
      </c>
      <c r="T171" s="197">
        <f t="shared" si="3368"/>
        <v>0</v>
      </c>
      <c r="U171" s="197">
        <f t="shared" si="3368"/>
        <v>0</v>
      </c>
      <c r="V171" s="197">
        <f t="shared" si="3368"/>
        <v>0</v>
      </c>
      <c r="W171" s="197">
        <f t="shared" si="3368"/>
        <v>0</v>
      </c>
      <c r="X171" s="197">
        <f t="shared" si="3368"/>
        <v>0</v>
      </c>
      <c r="Y171" s="197">
        <f t="shared" si="3368"/>
        <v>0</v>
      </c>
      <c r="Z171" s="197">
        <f t="shared" si="3368"/>
        <v>0</v>
      </c>
      <c r="AA171" s="197">
        <f t="shared" si="3368"/>
        <v>0</v>
      </c>
      <c r="AB171" s="197">
        <f t="shared" si="3368"/>
        <v>0</v>
      </c>
      <c r="AC171" s="163"/>
      <c r="AD171" s="163"/>
      <c r="AE171" s="163"/>
      <c r="AF171" s="163"/>
      <c r="AH171" s="197"/>
      <c r="AI171" s="197">
        <f t="shared" ref="AI171:BN171" si="3369">AI42-AI295</f>
        <v>0</v>
      </c>
      <c r="AJ171" s="197">
        <f t="shared" si="3369"/>
        <v>0</v>
      </c>
      <c r="AK171" s="197">
        <f t="shared" si="3369"/>
        <v>0</v>
      </c>
      <c r="AL171" s="197">
        <f t="shared" si="3369"/>
        <v>0</v>
      </c>
      <c r="AM171" s="197">
        <f t="shared" si="3369"/>
        <v>0</v>
      </c>
      <c r="AN171" s="197">
        <f t="shared" si="3369"/>
        <v>0</v>
      </c>
      <c r="AO171" s="197">
        <f t="shared" si="3369"/>
        <v>0</v>
      </c>
      <c r="AP171" s="197">
        <f t="shared" si="3369"/>
        <v>0</v>
      </c>
      <c r="AQ171" s="197">
        <f t="shared" si="3369"/>
        <v>0</v>
      </c>
      <c r="AR171" s="197">
        <f t="shared" si="3369"/>
        <v>0</v>
      </c>
      <c r="AS171" s="197">
        <f t="shared" si="3369"/>
        <v>0</v>
      </c>
      <c r="AT171" s="197">
        <f t="shared" si="3369"/>
        <v>0</v>
      </c>
      <c r="AU171" s="197">
        <f t="shared" si="3369"/>
        <v>0</v>
      </c>
      <c r="AV171" s="197">
        <f t="shared" si="3369"/>
        <v>0</v>
      </c>
      <c r="AW171" s="197">
        <f t="shared" si="3369"/>
        <v>0</v>
      </c>
      <c r="AX171" s="197">
        <f t="shared" si="3369"/>
        <v>0</v>
      </c>
      <c r="AY171" s="197">
        <f t="shared" si="3369"/>
        <v>0</v>
      </c>
      <c r="AZ171" s="197">
        <f t="shared" si="3369"/>
        <v>0</v>
      </c>
      <c r="BA171" s="197">
        <f t="shared" si="3369"/>
        <v>0</v>
      </c>
      <c r="BB171" s="197">
        <f t="shared" si="3369"/>
        <v>0</v>
      </c>
      <c r="BC171" s="197">
        <f t="shared" si="3369"/>
        <v>0</v>
      </c>
      <c r="BD171" s="197">
        <f t="shared" si="3369"/>
        <v>0</v>
      </c>
      <c r="BE171" s="197">
        <f t="shared" si="3369"/>
        <v>0</v>
      </c>
      <c r="BF171" s="197">
        <f t="shared" si="3369"/>
        <v>0</v>
      </c>
      <c r="BG171" s="197">
        <f t="shared" si="3369"/>
        <v>0</v>
      </c>
      <c r="BH171" s="197">
        <f t="shared" si="3369"/>
        <v>0</v>
      </c>
      <c r="BI171" s="197">
        <f t="shared" si="3369"/>
        <v>0</v>
      </c>
      <c r="BJ171" s="197">
        <f t="shared" si="3369"/>
        <v>0</v>
      </c>
      <c r="BK171" s="197">
        <f t="shared" si="3369"/>
        <v>0</v>
      </c>
      <c r="BL171" s="197">
        <f t="shared" si="3369"/>
        <v>0</v>
      </c>
      <c r="BM171" s="197">
        <f t="shared" si="3369"/>
        <v>0</v>
      </c>
      <c r="BN171" s="197">
        <f t="shared" si="3369"/>
        <v>0</v>
      </c>
      <c r="BO171" s="197">
        <f t="shared" ref="BO171:CV171" si="3370">BO42-BO295</f>
        <v>0</v>
      </c>
      <c r="BP171" s="197">
        <f t="shared" si="3370"/>
        <v>0</v>
      </c>
      <c r="BQ171" s="197">
        <f t="shared" si="3370"/>
        <v>0</v>
      </c>
      <c r="BR171" s="197">
        <f t="shared" si="3370"/>
        <v>0</v>
      </c>
      <c r="BS171" s="197">
        <f t="shared" si="3370"/>
        <v>0</v>
      </c>
      <c r="BT171" s="197">
        <f t="shared" si="3370"/>
        <v>0</v>
      </c>
      <c r="BU171" s="197">
        <f t="shared" si="3370"/>
        <v>0</v>
      </c>
      <c r="BV171" s="197">
        <f t="shared" si="3370"/>
        <v>0</v>
      </c>
      <c r="BW171" s="197">
        <f t="shared" si="3370"/>
        <v>0</v>
      </c>
      <c r="BX171" s="197">
        <f t="shared" si="3370"/>
        <v>0</v>
      </c>
      <c r="BY171" s="197">
        <f t="shared" si="3370"/>
        <v>0</v>
      </c>
      <c r="BZ171" s="197">
        <f t="shared" si="3370"/>
        <v>0</v>
      </c>
      <c r="CA171" s="197">
        <f t="shared" si="3370"/>
        <v>0</v>
      </c>
      <c r="CB171" s="197">
        <f t="shared" si="3370"/>
        <v>0</v>
      </c>
      <c r="CC171" s="197">
        <f t="shared" si="3370"/>
        <v>0</v>
      </c>
      <c r="CD171" s="197">
        <f t="shared" si="3370"/>
        <v>0</v>
      </c>
      <c r="CE171" s="197">
        <f t="shared" si="3370"/>
        <v>0</v>
      </c>
      <c r="CF171" s="197">
        <f t="shared" si="3370"/>
        <v>0</v>
      </c>
      <c r="CG171" s="197">
        <f t="shared" si="3370"/>
        <v>0</v>
      </c>
      <c r="CH171" s="197">
        <f t="shared" si="3370"/>
        <v>0</v>
      </c>
      <c r="CI171" s="197">
        <f t="shared" si="3370"/>
        <v>0</v>
      </c>
      <c r="CJ171" s="197">
        <f t="shared" si="3370"/>
        <v>0</v>
      </c>
      <c r="CK171" s="197">
        <f t="shared" si="3370"/>
        <v>0</v>
      </c>
      <c r="CL171" s="197">
        <f t="shared" si="3370"/>
        <v>0</v>
      </c>
      <c r="CM171" s="197">
        <f t="shared" si="3370"/>
        <v>0</v>
      </c>
      <c r="CN171" s="197">
        <f t="shared" si="3370"/>
        <v>0</v>
      </c>
      <c r="CO171" s="197">
        <f t="shared" si="3370"/>
        <v>0</v>
      </c>
      <c r="CP171" s="197">
        <f t="shared" si="3370"/>
        <v>0</v>
      </c>
      <c r="CQ171" s="197">
        <f t="shared" si="3370"/>
        <v>0</v>
      </c>
      <c r="CR171" s="197">
        <f t="shared" si="3370"/>
        <v>0</v>
      </c>
      <c r="CS171" s="197">
        <f t="shared" si="3370"/>
        <v>0</v>
      </c>
      <c r="CT171" s="197">
        <f t="shared" si="3370"/>
        <v>0</v>
      </c>
      <c r="CU171" s="197">
        <f t="shared" si="3370"/>
        <v>0</v>
      </c>
      <c r="CV171" s="197">
        <f t="shared" si="3370"/>
        <v>0</v>
      </c>
      <c r="CW171" s="197"/>
      <c r="CX171" s="197">
        <f>CX42-CX295</f>
        <v>0</v>
      </c>
      <c r="CY171" s="197">
        <f>CY42-CY295</f>
        <v>0</v>
      </c>
      <c r="CZ171" s="197">
        <f>CZ42-CZ295</f>
        <v>0</v>
      </c>
      <c r="DA171" s="197">
        <f>DA42-DA295</f>
        <v>0</v>
      </c>
      <c r="DB171" s="197">
        <f>DB42-DB295</f>
        <v>0</v>
      </c>
      <c r="DC171" s="197">
        <f>DC42-DC295</f>
        <v>0</v>
      </c>
      <c r="DD171" s="197"/>
      <c r="DE171" s="197">
        <f t="shared" ref="DE171:EG171" si="3371">DE42-DE295</f>
        <v>0</v>
      </c>
      <c r="DF171" s="197">
        <f t="shared" si="3371"/>
        <v>0</v>
      </c>
      <c r="DG171" s="197">
        <f t="shared" si="3371"/>
        <v>46.10418153981005</v>
      </c>
      <c r="DH171" s="197">
        <f t="shared" si="3371"/>
        <v>0</v>
      </c>
      <c r="DI171" s="197">
        <f t="shared" si="3371"/>
        <v>0</v>
      </c>
      <c r="DJ171" s="197">
        <f t="shared" si="3371"/>
        <v>0</v>
      </c>
      <c r="DK171" s="197">
        <f t="shared" si="3371"/>
        <v>0</v>
      </c>
      <c r="DL171" s="197">
        <f t="shared" si="3371"/>
        <v>0</v>
      </c>
      <c r="DM171" s="197">
        <f t="shared" si="3371"/>
        <v>0</v>
      </c>
      <c r="DN171" s="197">
        <f t="shared" si="3371"/>
        <v>0</v>
      </c>
      <c r="DO171" s="197">
        <f t="shared" si="3371"/>
        <v>0</v>
      </c>
      <c r="DP171" s="197">
        <f t="shared" si="3371"/>
        <v>0</v>
      </c>
      <c r="DQ171" s="197">
        <f t="shared" si="3371"/>
        <v>0</v>
      </c>
      <c r="DR171" s="197">
        <f t="shared" si="3371"/>
        <v>0</v>
      </c>
      <c r="DS171" s="197">
        <f t="shared" si="3371"/>
        <v>0.98980433894017572</v>
      </c>
      <c r="DT171" s="197">
        <f t="shared" si="3371"/>
        <v>0</v>
      </c>
      <c r="DU171" s="197">
        <f t="shared" si="3371"/>
        <v>0</v>
      </c>
      <c r="DV171" s="197">
        <f t="shared" si="3371"/>
        <v>0</v>
      </c>
      <c r="DW171" s="197">
        <f t="shared" si="3371"/>
        <v>0</v>
      </c>
      <c r="DX171" s="197">
        <f t="shared" si="3371"/>
        <v>0</v>
      </c>
      <c r="DY171" s="197">
        <f t="shared" si="3371"/>
        <v>0</v>
      </c>
      <c r="DZ171" s="197">
        <f t="shared" si="3371"/>
        <v>0</v>
      </c>
      <c r="EA171" s="197">
        <f t="shared" si="3371"/>
        <v>0</v>
      </c>
      <c r="EB171" s="197">
        <f t="shared" si="3371"/>
        <v>0</v>
      </c>
      <c r="EC171" s="197">
        <f t="shared" si="3371"/>
        <v>0</v>
      </c>
      <c r="ED171" s="197">
        <f t="shared" si="3371"/>
        <v>0</v>
      </c>
      <c r="EE171" s="197">
        <f t="shared" si="3371"/>
        <v>0</v>
      </c>
      <c r="EF171" s="197">
        <f t="shared" si="3371"/>
        <v>0</v>
      </c>
      <c r="EG171" s="197">
        <f t="shared" si="3371"/>
        <v>0</v>
      </c>
    </row>
    <row r="172" spans="1:137" hidden="1">
      <c r="A172" s="157">
        <v>43282</v>
      </c>
      <c r="B172" s="197">
        <f>B43-B296</f>
        <v>0</v>
      </c>
      <c r="C172" s="197">
        <f>C43-C296</f>
        <v>0</v>
      </c>
      <c r="D172" s="197">
        <f>D43-D296</f>
        <v>0</v>
      </c>
      <c r="E172" s="197">
        <f>E43-E296</f>
        <v>0</v>
      </c>
      <c r="F172" s="197">
        <f>F43-F296</f>
        <v>0</v>
      </c>
      <c r="G172" s="197"/>
      <c r="H172" s="197"/>
      <c r="I172" s="197">
        <f t="shared" ref="I172:AB172" si="3372">I43-I296</f>
        <v>0</v>
      </c>
      <c r="J172" s="197">
        <f t="shared" si="3372"/>
        <v>0</v>
      </c>
      <c r="K172" s="197">
        <f t="shared" si="3372"/>
        <v>0</v>
      </c>
      <c r="L172" s="197">
        <f t="shared" si="3372"/>
        <v>0</v>
      </c>
      <c r="M172" s="197">
        <f t="shared" si="3372"/>
        <v>0</v>
      </c>
      <c r="N172" s="197">
        <f t="shared" si="3372"/>
        <v>0</v>
      </c>
      <c r="O172" s="197">
        <f t="shared" si="3372"/>
        <v>0</v>
      </c>
      <c r="P172" s="197">
        <f t="shared" si="3372"/>
        <v>0</v>
      </c>
      <c r="Q172" s="197">
        <f t="shared" si="3372"/>
        <v>0</v>
      </c>
      <c r="R172" s="197">
        <f t="shared" si="3372"/>
        <v>0</v>
      </c>
      <c r="S172" s="197">
        <f t="shared" si="3372"/>
        <v>0</v>
      </c>
      <c r="T172" s="197">
        <f t="shared" si="3372"/>
        <v>4.5000000000015916E-2</v>
      </c>
      <c r="U172" s="197">
        <f t="shared" si="3372"/>
        <v>4.4999999999618012E-2</v>
      </c>
      <c r="V172" s="197">
        <f t="shared" si="3372"/>
        <v>2.5517321157408901E-5</v>
      </c>
      <c r="W172" s="197">
        <f t="shared" si="3372"/>
        <v>0</v>
      </c>
      <c r="X172" s="197">
        <f t="shared" si="3372"/>
        <v>0</v>
      </c>
      <c r="Y172" s="197">
        <f t="shared" si="3372"/>
        <v>0</v>
      </c>
      <c r="Z172" s="197">
        <f t="shared" si="3372"/>
        <v>0</v>
      </c>
      <c r="AA172" s="197">
        <f t="shared" si="3372"/>
        <v>0</v>
      </c>
      <c r="AB172" s="197">
        <f t="shared" si="3372"/>
        <v>0</v>
      </c>
      <c r="AC172" s="163"/>
      <c r="AD172" s="163"/>
      <c r="AE172" s="163"/>
      <c r="AF172" s="163"/>
      <c r="AH172" s="197"/>
      <c r="AI172" s="197">
        <f t="shared" ref="AI172:BN172" si="3373">AI43-AI296</f>
        <v>0</v>
      </c>
      <c r="AJ172" s="197">
        <f t="shared" si="3373"/>
        <v>0</v>
      </c>
      <c r="AK172" s="197">
        <f t="shared" si="3373"/>
        <v>0</v>
      </c>
      <c r="AL172" s="197">
        <f t="shared" si="3373"/>
        <v>0</v>
      </c>
      <c r="AM172" s="197">
        <f t="shared" si="3373"/>
        <v>0</v>
      </c>
      <c r="AN172" s="197">
        <f t="shared" si="3373"/>
        <v>0</v>
      </c>
      <c r="AO172" s="197">
        <f t="shared" si="3373"/>
        <v>0</v>
      </c>
      <c r="AP172" s="197">
        <f t="shared" si="3373"/>
        <v>0</v>
      </c>
      <c r="AQ172" s="197">
        <f t="shared" si="3373"/>
        <v>0</v>
      </c>
      <c r="AR172" s="197">
        <f t="shared" si="3373"/>
        <v>0</v>
      </c>
      <c r="AS172" s="197">
        <f t="shared" si="3373"/>
        <v>0</v>
      </c>
      <c r="AT172" s="197">
        <f t="shared" si="3373"/>
        <v>0</v>
      </c>
      <c r="AU172" s="197">
        <f t="shared" si="3373"/>
        <v>0</v>
      </c>
      <c r="AV172" s="197">
        <f t="shared" si="3373"/>
        <v>0</v>
      </c>
      <c r="AW172" s="197">
        <f t="shared" si="3373"/>
        <v>0</v>
      </c>
      <c r="AX172" s="197">
        <f t="shared" si="3373"/>
        <v>0</v>
      </c>
      <c r="AY172" s="197">
        <f t="shared" si="3373"/>
        <v>0</v>
      </c>
      <c r="AZ172" s="197">
        <f t="shared" si="3373"/>
        <v>0</v>
      </c>
      <c r="BA172" s="197">
        <f t="shared" si="3373"/>
        <v>0</v>
      </c>
      <c r="BB172" s="197">
        <f t="shared" si="3373"/>
        <v>0</v>
      </c>
      <c r="BC172" s="197">
        <f t="shared" si="3373"/>
        <v>0</v>
      </c>
      <c r="BD172" s="197">
        <f t="shared" si="3373"/>
        <v>0</v>
      </c>
      <c r="BE172" s="197">
        <f t="shared" si="3373"/>
        <v>0</v>
      </c>
      <c r="BF172" s="197">
        <f t="shared" si="3373"/>
        <v>0</v>
      </c>
      <c r="BG172" s="197">
        <f t="shared" si="3373"/>
        <v>0</v>
      </c>
      <c r="BH172" s="197">
        <f t="shared" si="3373"/>
        <v>0</v>
      </c>
      <c r="BI172" s="197">
        <f t="shared" si="3373"/>
        <v>0</v>
      </c>
      <c r="BJ172" s="197">
        <f t="shared" si="3373"/>
        <v>0</v>
      </c>
      <c r="BK172" s="197">
        <f t="shared" si="3373"/>
        <v>0</v>
      </c>
      <c r="BL172" s="197">
        <f t="shared" si="3373"/>
        <v>0</v>
      </c>
      <c r="BM172" s="197">
        <f t="shared" si="3373"/>
        <v>0</v>
      </c>
      <c r="BN172" s="197">
        <f t="shared" si="3373"/>
        <v>0</v>
      </c>
      <c r="BO172" s="197">
        <f t="shared" ref="BO172:CV172" si="3374">BO43-BO296</f>
        <v>0</v>
      </c>
      <c r="BP172" s="197">
        <f t="shared" si="3374"/>
        <v>0</v>
      </c>
      <c r="BQ172" s="197">
        <f t="shared" si="3374"/>
        <v>0</v>
      </c>
      <c r="BR172" s="197">
        <f t="shared" si="3374"/>
        <v>0</v>
      </c>
      <c r="BS172" s="197">
        <f t="shared" si="3374"/>
        <v>0</v>
      </c>
      <c r="BT172" s="197">
        <f t="shared" si="3374"/>
        <v>0</v>
      </c>
      <c r="BU172" s="197">
        <f t="shared" si="3374"/>
        <v>0</v>
      </c>
      <c r="BV172" s="197">
        <f t="shared" si="3374"/>
        <v>0</v>
      </c>
      <c r="BW172" s="197">
        <f t="shared" si="3374"/>
        <v>0</v>
      </c>
      <c r="BX172" s="197">
        <f t="shared" si="3374"/>
        <v>0</v>
      </c>
      <c r="BY172" s="197">
        <f t="shared" si="3374"/>
        <v>0</v>
      </c>
      <c r="BZ172" s="197">
        <f t="shared" si="3374"/>
        <v>0</v>
      </c>
      <c r="CA172" s="197">
        <f t="shared" si="3374"/>
        <v>0</v>
      </c>
      <c r="CB172" s="197">
        <f t="shared" si="3374"/>
        <v>0</v>
      </c>
      <c r="CC172" s="197">
        <f t="shared" si="3374"/>
        <v>0</v>
      </c>
      <c r="CD172" s="197">
        <f t="shared" si="3374"/>
        <v>0</v>
      </c>
      <c r="CE172" s="197">
        <f t="shared" si="3374"/>
        <v>0</v>
      </c>
      <c r="CF172" s="197">
        <f t="shared" si="3374"/>
        <v>0</v>
      </c>
      <c r="CG172" s="197">
        <f t="shared" si="3374"/>
        <v>0</v>
      </c>
      <c r="CH172" s="197">
        <f t="shared" si="3374"/>
        <v>0</v>
      </c>
      <c r="CI172" s="197">
        <f t="shared" si="3374"/>
        <v>0</v>
      </c>
      <c r="CJ172" s="197">
        <f t="shared" si="3374"/>
        <v>0</v>
      </c>
      <c r="CK172" s="197">
        <f t="shared" si="3374"/>
        <v>0</v>
      </c>
      <c r="CL172" s="197">
        <f t="shared" si="3374"/>
        <v>0</v>
      </c>
      <c r="CM172" s="197">
        <f t="shared" si="3374"/>
        <v>0</v>
      </c>
      <c r="CN172" s="197">
        <f t="shared" si="3374"/>
        <v>0</v>
      </c>
      <c r="CO172" s="197">
        <f t="shared" si="3374"/>
        <v>0</v>
      </c>
      <c r="CP172" s="197">
        <f t="shared" si="3374"/>
        <v>0</v>
      </c>
      <c r="CQ172" s="197">
        <f t="shared" si="3374"/>
        <v>0</v>
      </c>
      <c r="CR172" s="197">
        <f t="shared" si="3374"/>
        <v>0</v>
      </c>
      <c r="CS172" s="197">
        <f t="shared" si="3374"/>
        <v>0</v>
      </c>
      <c r="CT172" s="197">
        <f t="shared" si="3374"/>
        <v>0</v>
      </c>
      <c r="CU172" s="197">
        <f t="shared" si="3374"/>
        <v>0</v>
      </c>
      <c r="CV172" s="197">
        <f t="shared" si="3374"/>
        <v>0</v>
      </c>
      <c r="CW172" s="197"/>
      <c r="CX172" s="197">
        <f>CX43-CX296</f>
        <v>0</v>
      </c>
      <c r="CY172" s="197">
        <f>CY43-CY296</f>
        <v>0</v>
      </c>
      <c r="CZ172" s="197">
        <f>CZ43-CZ296</f>
        <v>0</v>
      </c>
      <c r="DA172" s="197">
        <f>DA43-DA296</f>
        <v>0</v>
      </c>
      <c r="DB172" s="197">
        <f>DB43-DB296</f>
        <v>0</v>
      </c>
      <c r="DC172" s="197">
        <f>DC43-DC296</f>
        <v>0</v>
      </c>
      <c r="DD172" s="197"/>
      <c r="DE172" s="197">
        <f t="shared" ref="DE172:EG172" si="3375">DE43-DE296</f>
        <v>0</v>
      </c>
      <c r="DF172" s="197">
        <f t="shared" si="3375"/>
        <v>0</v>
      </c>
      <c r="DG172" s="197">
        <f t="shared" si="3375"/>
        <v>44.443718592215426</v>
      </c>
      <c r="DH172" s="197">
        <f t="shared" si="3375"/>
        <v>0</v>
      </c>
      <c r="DI172" s="197">
        <f t="shared" si="3375"/>
        <v>0</v>
      </c>
      <c r="DJ172" s="197">
        <f t="shared" si="3375"/>
        <v>0</v>
      </c>
      <c r="DK172" s="197">
        <f t="shared" si="3375"/>
        <v>0</v>
      </c>
      <c r="DL172" s="197">
        <f t="shared" si="3375"/>
        <v>0</v>
      </c>
      <c r="DM172" s="197">
        <f t="shared" si="3375"/>
        <v>0</v>
      </c>
      <c r="DN172" s="197">
        <f t="shared" si="3375"/>
        <v>0</v>
      </c>
      <c r="DO172" s="197">
        <f t="shared" si="3375"/>
        <v>0</v>
      </c>
      <c r="DP172" s="197">
        <f t="shared" si="3375"/>
        <v>0</v>
      </c>
      <c r="DQ172" s="197">
        <f t="shared" si="3375"/>
        <v>0</v>
      </c>
      <c r="DR172" s="197">
        <f t="shared" si="3375"/>
        <v>0</v>
      </c>
      <c r="DS172" s="197">
        <f t="shared" si="3375"/>
        <v>0.94084132624435601</v>
      </c>
      <c r="DT172" s="197">
        <f t="shared" si="3375"/>
        <v>0</v>
      </c>
      <c r="DU172" s="197">
        <f t="shared" si="3375"/>
        <v>0</v>
      </c>
      <c r="DV172" s="197">
        <f t="shared" si="3375"/>
        <v>0</v>
      </c>
      <c r="DW172" s="197">
        <f t="shared" si="3375"/>
        <v>0</v>
      </c>
      <c r="DX172" s="197">
        <f t="shared" si="3375"/>
        <v>0</v>
      </c>
      <c r="DY172" s="197">
        <f t="shared" si="3375"/>
        <v>0</v>
      </c>
      <c r="DZ172" s="197">
        <f t="shared" si="3375"/>
        <v>0</v>
      </c>
      <c r="EA172" s="197">
        <f t="shared" si="3375"/>
        <v>0</v>
      </c>
      <c r="EB172" s="197">
        <f t="shared" si="3375"/>
        <v>0</v>
      </c>
      <c r="EC172" s="197">
        <f t="shared" si="3375"/>
        <v>0</v>
      </c>
      <c r="ED172" s="197">
        <f t="shared" si="3375"/>
        <v>0</v>
      </c>
      <c r="EE172" s="197">
        <f t="shared" si="3375"/>
        <v>0</v>
      </c>
      <c r="EF172" s="197">
        <f t="shared" si="3375"/>
        <v>0</v>
      </c>
      <c r="EG172" s="197">
        <f t="shared" si="3375"/>
        <v>0</v>
      </c>
    </row>
    <row r="173" spans="1:137" hidden="1">
      <c r="A173" s="157">
        <v>43313</v>
      </c>
      <c r="B173" s="197">
        <f>B44-B297</f>
        <v>0</v>
      </c>
      <c r="C173" s="197">
        <f>C44-C297</f>
        <v>0</v>
      </c>
      <c r="D173" s="197">
        <f>D44-D297</f>
        <v>0</v>
      </c>
      <c r="E173" s="197">
        <f>E44-E297</f>
        <v>0</v>
      </c>
      <c r="F173" s="197">
        <f>F44-F297</f>
        <v>0</v>
      </c>
      <c r="G173" s="197"/>
      <c r="H173" s="197"/>
      <c r="I173" s="197">
        <f t="shared" ref="I173:AB173" si="3376">I44-I297</f>
        <v>0</v>
      </c>
      <c r="J173" s="197">
        <f t="shared" si="3376"/>
        <v>0</v>
      </c>
      <c r="K173" s="197">
        <f t="shared" si="3376"/>
        <v>0</v>
      </c>
      <c r="L173" s="197">
        <f t="shared" si="3376"/>
        <v>0</v>
      </c>
      <c r="M173" s="197">
        <f t="shared" si="3376"/>
        <v>0</v>
      </c>
      <c r="N173" s="197">
        <f t="shared" si="3376"/>
        <v>0</v>
      </c>
      <c r="O173" s="197">
        <f t="shared" si="3376"/>
        <v>0</v>
      </c>
      <c r="P173" s="197">
        <f t="shared" si="3376"/>
        <v>0</v>
      </c>
      <c r="Q173" s="197">
        <f t="shared" si="3376"/>
        <v>0</v>
      </c>
      <c r="R173" s="197">
        <f t="shared" si="3376"/>
        <v>0</v>
      </c>
      <c r="S173" s="197">
        <f t="shared" si="3376"/>
        <v>0</v>
      </c>
      <c r="T173" s="197">
        <f t="shared" si="3376"/>
        <v>0</v>
      </c>
      <c r="U173" s="197">
        <f t="shared" si="3376"/>
        <v>0</v>
      </c>
      <c r="V173" s="197">
        <f t="shared" si="3376"/>
        <v>0</v>
      </c>
      <c r="W173" s="197">
        <f t="shared" si="3376"/>
        <v>0</v>
      </c>
      <c r="X173" s="197">
        <f t="shared" si="3376"/>
        <v>0</v>
      </c>
      <c r="Y173" s="197">
        <f t="shared" si="3376"/>
        <v>0</v>
      </c>
      <c r="Z173" s="197">
        <f t="shared" si="3376"/>
        <v>0</v>
      </c>
      <c r="AA173" s="197">
        <f t="shared" si="3376"/>
        <v>0</v>
      </c>
      <c r="AB173" s="197">
        <f t="shared" si="3376"/>
        <v>0</v>
      </c>
      <c r="AC173" s="163"/>
      <c r="AD173" s="163"/>
      <c r="AE173" s="163"/>
      <c r="AF173" s="163"/>
      <c r="AH173" s="197"/>
      <c r="AI173" s="197">
        <f t="shared" ref="AI173:BN173" si="3377">AI44-AI297</f>
        <v>0</v>
      </c>
      <c r="AJ173" s="197">
        <f t="shared" si="3377"/>
        <v>0</v>
      </c>
      <c r="AK173" s="197">
        <f t="shared" si="3377"/>
        <v>0</v>
      </c>
      <c r="AL173" s="197">
        <f t="shared" si="3377"/>
        <v>0</v>
      </c>
      <c r="AM173" s="197">
        <f t="shared" si="3377"/>
        <v>0</v>
      </c>
      <c r="AN173" s="197">
        <f t="shared" si="3377"/>
        <v>0</v>
      </c>
      <c r="AO173" s="197">
        <f t="shared" si="3377"/>
        <v>0</v>
      </c>
      <c r="AP173" s="197">
        <f t="shared" si="3377"/>
        <v>0</v>
      </c>
      <c r="AQ173" s="197">
        <f t="shared" si="3377"/>
        <v>0</v>
      </c>
      <c r="AR173" s="197">
        <f t="shared" si="3377"/>
        <v>0</v>
      </c>
      <c r="AS173" s="197">
        <f t="shared" si="3377"/>
        <v>0</v>
      </c>
      <c r="AT173" s="197">
        <f t="shared" si="3377"/>
        <v>0</v>
      </c>
      <c r="AU173" s="197">
        <f t="shared" si="3377"/>
        <v>0</v>
      </c>
      <c r="AV173" s="197">
        <f t="shared" si="3377"/>
        <v>0</v>
      </c>
      <c r="AW173" s="197">
        <f t="shared" si="3377"/>
        <v>0</v>
      </c>
      <c r="AX173" s="197">
        <f t="shared" si="3377"/>
        <v>0</v>
      </c>
      <c r="AY173" s="197">
        <f t="shared" si="3377"/>
        <v>0</v>
      </c>
      <c r="AZ173" s="197">
        <f t="shared" si="3377"/>
        <v>0</v>
      </c>
      <c r="BA173" s="197">
        <f t="shared" si="3377"/>
        <v>0</v>
      </c>
      <c r="BB173" s="197">
        <f t="shared" si="3377"/>
        <v>0</v>
      </c>
      <c r="BC173" s="197">
        <f t="shared" si="3377"/>
        <v>0</v>
      </c>
      <c r="BD173" s="197">
        <f t="shared" si="3377"/>
        <v>0</v>
      </c>
      <c r="BE173" s="197">
        <f t="shared" si="3377"/>
        <v>0</v>
      </c>
      <c r="BF173" s="197">
        <f t="shared" si="3377"/>
        <v>0</v>
      </c>
      <c r="BG173" s="197">
        <f t="shared" si="3377"/>
        <v>0</v>
      </c>
      <c r="BH173" s="197">
        <f t="shared" si="3377"/>
        <v>0</v>
      </c>
      <c r="BI173" s="197">
        <f t="shared" si="3377"/>
        <v>0</v>
      </c>
      <c r="BJ173" s="197">
        <f t="shared" si="3377"/>
        <v>0</v>
      </c>
      <c r="BK173" s="197">
        <f t="shared" si="3377"/>
        <v>0</v>
      </c>
      <c r="BL173" s="197">
        <f t="shared" si="3377"/>
        <v>0</v>
      </c>
      <c r="BM173" s="197">
        <f t="shared" si="3377"/>
        <v>0</v>
      </c>
      <c r="BN173" s="197">
        <f t="shared" si="3377"/>
        <v>0</v>
      </c>
      <c r="BO173" s="197">
        <f t="shared" ref="BO173:CV173" si="3378">BO44-BO297</f>
        <v>0</v>
      </c>
      <c r="BP173" s="197">
        <f t="shared" si="3378"/>
        <v>0</v>
      </c>
      <c r="BQ173" s="197">
        <f t="shared" si="3378"/>
        <v>0</v>
      </c>
      <c r="BR173" s="197">
        <f t="shared" si="3378"/>
        <v>0</v>
      </c>
      <c r="BS173" s="197">
        <f t="shared" si="3378"/>
        <v>0</v>
      </c>
      <c r="BT173" s="197">
        <f t="shared" si="3378"/>
        <v>0</v>
      </c>
      <c r="BU173" s="197">
        <f t="shared" si="3378"/>
        <v>0</v>
      </c>
      <c r="BV173" s="197">
        <f t="shared" si="3378"/>
        <v>0</v>
      </c>
      <c r="BW173" s="197">
        <f t="shared" si="3378"/>
        <v>0</v>
      </c>
      <c r="BX173" s="197">
        <f t="shared" si="3378"/>
        <v>0</v>
      </c>
      <c r="BY173" s="197">
        <f t="shared" si="3378"/>
        <v>0</v>
      </c>
      <c r="BZ173" s="197">
        <f t="shared" si="3378"/>
        <v>0</v>
      </c>
      <c r="CA173" s="197">
        <f t="shared" si="3378"/>
        <v>0</v>
      </c>
      <c r="CB173" s="197">
        <f t="shared" si="3378"/>
        <v>0</v>
      </c>
      <c r="CC173" s="197">
        <f t="shared" si="3378"/>
        <v>0</v>
      </c>
      <c r="CD173" s="197">
        <f t="shared" si="3378"/>
        <v>0</v>
      </c>
      <c r="CE173" s="197">
        <f t="shared" si="3378"/>
        <v>0</v>
      </c>
      <c r="CF173" s="197">
        <f t="shared" si="3378"/>
        <v>0</v>
      </c>
      <c r="CG173" s="197">
        <f t="shared" si="3378"/>
        <v>0</v>
      </c>
      <c r="CH173" s="197">
        <f t="shared" si="3378"/>
        <v>0</v>
      </c>
      <c r="CI173" s="197">
        <f t="shared" si="3378"/>
        <v>0</v>
      </c>
      <c r="CJ173" s="197">
        <f t="shared" si="3378"/>
        <v>0</v>
      </c>
      <c r="CK173" s="197">
        <f t="shared" si="3378"/>
        <v>0</v>
      </c>
      <c r="CL173" s="197">
        <f t="shared" si="3378"/>
        <v>0</v>
      </c>
      <c r="CM173" s="197">
        <f t="shared" si="3378"/>
        <v>0</v>
      </c>
      <c r="CN173" s="197">
        <f t="shared" si="3378"/>
        <v>0</v>
      </c>
      <c r="CO173" s="197">
        <f t="shared" si="3378"/>
        <v>0</v>
      </c>
      <c r="CP173" s="197">
        <f t="shared" si="3378"/>
        <v>0</v>
      </c>
      <c r="CQ173" s="197">
        <f t="shared" si="3378"/>
        <v>0</v>
      </c>
      <c r="CR173" s="197">
        <f t="shared" si="3378"/>
        <v>0</v>
      </c>
      <c r="CS173" s="197">
        <f t="shared" si="3378"/>
        <v>0</v>
      </c>
      <c r="CT173" s="197">
        <f t="shared" si="3378"/>
        <v>0</v>
      </c>
      <c r="CU173" s="197">
        <f t="shared" si="3378"/>
        <v>0</v>
      </c>
      <c r="CV173" s="197">
        <f t="shared" si="3378"/>
        <v>0</v>
      </c>
      <c r="CW173" s="197"/>
      <c r="CX173" s="197">
        <f>CX44-CX297</f>
        <v>0</v>
      </c>
      <c r="CY173" s="197">
        <f>CY44-CY297</f>
        <v>0</v>
      </c>
      <c r="CZ173" s="197">
        <f>CZ44-CZ297</f>
        <v>0</v>
      </c>
      <c r="DA173" s="197">
        <f>DA44-DA297</f>
        <v>0</v>
      </c>
      <c r="DB173" s="197">
        <f>DB44-DB297</f>
        <v>0</v>
      </c>
      <c r="DC173" s="197">
        <f>DC44-DC297</f>
        <v>0</v>
      </c>
      <c r="DD173" s="197"/>
      <c r="DE173" s="197">
        <f t="shared" ref="DE173:EG173" si="3379">DE44-DE297</f>
        <v>0</v>
      </c>
      <c r="DF173" s="197">
        <f t="shared" si="3379"/>
        <v>0</v>
      </c>
      <c r="DG173" s="197">
        <f t="shared" si="3379"/>
        <v>45.105882671133152</v>
      </c>
      <c r="DH173" s="197">
        <f t="shared" si="3379"/>
        <v>0</v>
      </c>
      <c r="DI173" s="197">
        <f t="shared" si="3379"/>
        <v>0</v>
      </c>
      <c r="DJ173" s="197">
        <f t="shared" si="3379"/>
        <v>0</v>
      </c>
      <c r="DK173" s="197">
        <f t="shared" si="3379"/>
        <v>0</v>
      </c>
      <c r="DL173" s="197">
        <f t="shared" si="3379"/>
        <v>0</v>
      </c>
      <c r="DM173" s="197">
        <f t="shared" si="3379"/>
        <v>0</v>
      </c>
      <c r="DN173" s="197">
        <f t="shared" si="3379"/>
        <v>0</v>
      </c>
      <c r="DO173" s="197">
        <f t="shared" si="3379"/>
        <v>188</v>
      </c>
      <c r="DP173" s="197">
        <f t="shared" si="3379"/>
        <v>0</v>
      </c>
      <c r="DQ173" s="197">
        <f t="shared" si="3379"/>
        <v>188</v>
      </c>
      <c r="DR173" s="197">
        <f t="shared" si="3379"/>
        <v>0</v>
      </c>
      <c r="DS173" s="197">
        <f t="shared" si="3379"/>
        <v>0.83496357960457857</v>
      </c>
      <c r="DT173" s="197">
        <f t="shared" si="3379"/>
        <v>0</v>
      </c>
      <c r="DU173" s="197">
        <f t="shared" si="3379"/>
        <v>0</v>
      </c>
      <c r="DV173" s="197">
        <f t="shared" si="3379"/>
        <v>0</v>
      </c>
      <c r="DW173" s="197">
        <f t="shared" si="3379"/>
        <v>0</v>
      </c>
      <c r="DX173" s="197">
        <f t="shared" si="3379"/>
        <v>0</v>
      </c>
      <c r="DY173" s="197">
        <f t="shared" si="3379"/>
        <v>0</v>
      </c>
      <c r="DZ173" s="197">
        <f t="shared" si="3379"/>
        <v>0</v>
      </c>
      <c r="EA173" s="197">
        <f t="shared" si="3379"/>
        <v>0</v>
      </c>
      <c r="EB173" s="197">
        <f t="shared" si="3379"/>
        <v>0</v>
      </c>
      <c r="EC173" s="197">
        <f t="shared" si="3379"/>
        <v>0</v>
      </c>
      <c r="ED173" s="197">
        <f t="shared" si="3379"/>
        <v>0</v>
      </c>
      <c r="EE173" s="197">
        <f t="shared" si="3379"/>
        <v>0</v>
      </c>
      <c r="EF173" s="197">
        <f t="shared" si="3379"/>
        <v>0</v>
      </c>
      <c r="EG173" s="197">
        <f t="shared" si="3379"/>
        <v>0</v>
      </c>
    </row>
    <row r="174" spans="1:137" hidden="1">
      <c r="A174" s="157">
        <v>43344</v>
      </c>
      <c r="B174" s="197">
        <f>B45-B298</f>
        <v>11.947999999999411</v>
      </c>
      <c r="C174" s="197">
        <f>C45-C298</f>
        <v>0.39826666666664323</v>
      </c>
      <c r="D174" s="197">
        <f>D45-D298</f>
        <v>0.39826666666664323</v>
      </c>
      <c r="E174" s="197">
        <f>E45-E298</f>
        <v>2.4771062555846157E-3</v>
      </c>
      <c r="F174" s="197">
        <f>F45-F298</f>
        <v>9.081000000000131</v>
      </c>
      <c r="G174" s="197"/>
      <c r="H174" s="197"/>
      <c r="I174" s="197">
        <f t="shared" ref="I174:AB174" si="3380">I45-I298</f>
        <v>2.436999999999955</v>
      </c>
      <c r="J174" s="197">
        <f t="shared" si="3380"/>
        <v>3.5382201896680954E-3</v>
      </c>
      <c r="K174" s="197">
        <f t="shared" si="3380"/>
        <v>4.6897323948442704E-3</v>
      </c>
      <c r="L174" s="197">
        <f t="shared" si="3380"/>
        <v>4.6897323948442704E-3</v>
      </c>
      <c r="M174" s="197">
        <f t="shared" si="3380"/>
        <v>0.69599999999999795</v>
      </c>
      <c r="N174" s="197">
        <f t="shared" si="3380"/>
        <v>0.11500000000000199</v>
      </c>
      <c r="O174" s="197">
        <f t="shared" si="3380"/>
        <v>5.2239999999999327</v>
      </c>
      <c r="P174" s="197">
        <f t="shared" si="3380"/>
        <v>5.3930000000000291</v>
      </c>
      <c r="Q174" s="197">
        <f t="shared" si="3380"/>
        <v>5.3930000000000291</v>
      </c>
      <c r="R174" s="197">
        <f t="shared" si="3380"/>
        <v>0</v>
      </c>
      <c r="S174" s="197">
        <f t="shared" si="3380"/>
        <v>0</v>
      </c>
      <c r="T174" s="197">
        <f t="shared" si="3380"/>
        <v>0</v>
      </c>
      <c r="U174" s="197">
        <f t="shared" si="3380"/>
        <v>5.3930000000000291</v>
      </c>
      <c r="V174" s="197">
        <f t="shared" si="3380"/>
        <v>3.5216326061517922E-3</v>
      </c>
      <c r="W174" s="197">
        <f t="shared" si="3380"/>
        <v>3.9276397527387985E-3</v>
      </c>
      <c r="X174" s="197">
        <f t="shared" si="3380"/>
        <v>3.9276397527387985E-3</v>
      </c>
      <c r="Y174" s="197">
        <f t="shared" si="3380"/>
        <v>8.6173721475830689E-3</v>
      </c>
      <c r="Z174" s="197">
        <f t="shared" si="3380"/>
        <v>0</v>
      </c>
      <c r="AA174" s="197">
        <f t="shared" si="3380"/>
        <v>0</v>
      </c>
      <c r="AB174" s="197">
        <f t="shared" si="3380"/>
        <v>0</v>
      </c>
      <c r="AC174" s="163"/>
      <c r="AD174" s="163"/>
      <c r="AE174" s="163"/>
      <c r="AF174" s="163"/>
      <c r="AH174" s="197"/>
      <c r="AI174" s="197">
        <f t="shared" ref="AI174:BN174" si="3381">AI45-AI298</f>
        <v>0</v>
      </c>
      <c r="AJ174" s="197">
        <f t="shared" si="3381"/>
        <v>0</v>
      </c>
      <c r="AK174" s="197">
        <f t="shared" si="3381"/>
        <v>0</v>
      </c>
      <c r="AL174" s="197">
        <f t="shared" si="3381"/>
        <v>0.50197733801286404</v>
      </c>
      <c r="AM174" s="197">
        <f t="shared" si="3381"/>
        <v>0</v>
      </c>
      <c r="AN174" s="197">
        <f t="shared" si="3381"/>
        <v>-3.5382201896680954E-3</v>
      </c>
      <c r="AO174" s="197">
        <f t="shared" si="3381"/>
        <v>0</v>
      </c>
      <c r="AP174" s="197">
        <f t="shared" si="3381"/>
        <v>0.7678011580699291</v>
      </c>
      <c r="AQ174" s="197">
        <f t="shared" si="3381"/>
        <v>0</v>
      </c>
      <c r="AR174" s="197">
        <f t="shared" si="3381"/>
        <v>-3.9276397527387985E-3</v>
      </c>
      <c r="AS174" s="197">
        <f t="shared" si="3381"/>
        <v>0</v>
      </c>
      <c r="AT174" s="197">
        <f t="shared" si="3381"/>
        <v>11.948000000000093</v>
      </c>
      <c r="AU174" s="197">
        <f t="shared" si="3381"/>
        <v>0.39826666666667165</v>
      </c>
      <c r="AV174" s="197">
        <f t="shared" si="3381"/>
        <v>0</v>
      </c>
      <c r="AW174" s="197">
        <f t="shared" si="3381"/>
        <v>0</v>
      </c>
      <c r="AX174" s="197">
        <f t="shared" si="3381"/>
        <v>-0.47242286736739914</v>
      </c>
      <c r="AY174" s="197">
        <f t="shared" si="3381"/>
        <v>-0.47596108755706723</v>
      </c>
      <c r="AZ174" s="197">
        <f t="shared" si="3381"/>
        <v>0</v>
      </c>
      <c r="BA174" s="197">
        <f t="shared" si="3381"/>
        <v>0</v>
      </c>
      <c r="BB174" s="197">
        <f t="shared" si="3381"/>
        <v>-0.12236125338644577</v>
      </c>
      <c r="BC174" s="197">
        <f t="shared" si="3381"/>
        <v>-0.12628889313918457</v>
      </c>
      <c r="BD174" s="197">
        <f t="shared" si="3381"/>
        <v>-0.59478412075385023</v>
      </c>
      <c r="BE174" s="197">
        <f t="shared" si="3381"/>
        <v>0</v>
      </c>
      <c r="BF174" s="197">
        <f t="shared" si="3381"/>
        <v>0</v>
      </c>
      <c r="BG174" s="197">
        <f t="shared" si="3381"/>
        <v>0</v>
      </c>
      <c r="BH174" s="197">
        <f t="shared" si="3381"/>
        <v>0</v>
      </c>
      <c r="BI174" s="197">
        <f t="shared" si="3381"/>
        <v>0</v>
      </c>
      <c r="BJ174" s="197">
        <f t="shared" si="3381"/>
        <v>-3.5382201896680954E-3</v>
      </c>
      <c r="BK174" s="197">
        <f t="shared" si="3381"/>
        <v>0</v>
      </c>
      <c r="BL174" s="197">
        <f t="shared" si="3381"/>
        <v>0</v>
      </c>
      <c r="BM174" s="197">
        <f t="shared" si="3381"/>
        <v>0</v>
      </c>
      <c r="BN174" s="197">
        <f t="shared" si="3381"/>
        <v>-3.9276397527387985E-3</v>
      </c>
      <c r="BO174" s="197">
        <f t="shared" ref="BO174:CV174" si="3382">BO45-BO298</f>
        <v>0</v>
      </c>
      <c r="BP174" s="197">
        <f t="shared" si="3382"/>
        <v>0</v>
      </c>
      <c r="BQ174" s="197">
        <f t="shared" si="3382"/>
        <v>0</v>
      </c>
      <c r="BR174" s="197">
        <f t="shared" si="3382"/>
        <v>0</v>
      </c>
      <c r="BS174" s="197">
        <f t="shared" si="3382"/>
        <v>1.9350226619870909</v>
      </c>
      <c r="BT174" s="197">
        <f t="shared" si="3382"/>
        <v>0</v>
      </c>
      <c r="BU174" s="197">
        <f t="shared" si="3382"/>
        <v>-3.5382201896680954E-3</v>
      </c>
      <c r="BV174" s="197">
        <f t="shared" si="3382"/>
        <v>0</v>
      </c>
      <c r="BW174" s="197">
        <f t="shared" si="3382"/>
        <v>0</v>
      </c>
      <c r="BX174" s="197">
        <f t="shared" si="3382"/>
        <v>0</v>
      </c>
      <c r="BY174" s="197">
        <f t="shared" si="3382"/>
        <v>-3.9276397527387985E-3</v>
      </c>
      <c r="BZ174" s="197">
        <f t="shared" si="3382"/>
        <v>0</v>
      </c>
      <c r="CA174" s="197">
        <f t="shared" si="3382"/>
        <v>0</v>
      </c>
      <c r="CB174" s="197">
        <f t="shared" si="3382"/>
        <v>0</v>
      </c>
      <c r="CC174" s="197">
        <f t="shared" si="3382"/>
        <v>0</v>
      </c>
      <c r="CD174" s="197">
        <f t="shared" si="3382"/>
        <v>0</v>
      </c>
      <c r="CE174" s="197">
        <f t="shared" si="3382"/>
        <v>0</v>
      </c>
      <c r="CF174" s="197">
        <f t="shared" si="3382"/>
        <v>-3.5382201896680954E-3</v>
      </c>
      <c r="CG174" s="197">
        <f t="shared" si="3382"/>
        <v>0</v>
      </c>
      <c r="CH174" s="197">
        <f t="shared" si="3382"/>
        <v>0</v>
      </c>
      <c r="CI174" s="197">
        <f t="shared" si="3382"/>
        <v>0</v>
      </c>
      <c r="CJ174" s="197">
        <f t="shared" si="3382"/>
        <v>-3.9276397527387985E-3</v>
      </c>
      <c r="CK174" s="197">
        <f t="shared" si="3382"/>
        <v>0</v>
      </c>
      <c r="CL174" s="197">
        <f t="shared" si="3382"/>
        <v>0</v>
      </c>
      <c r="CM174" s="197">
        <f t="shared" si="3382"/>
        <v>0</v>
      </c>
      <c r="CN174" s="197">
        <f t="shared" si="3382"/>
        <v>0</v>
      </c>
      <c r="CO174" s="197">
        <f t="shared" si="3382"/>
        <v>0</v>
      </c>
      <c r="CP174" s="197">
        <f t="shared" si="3382"/>
        <v>0</v>
      </c>
      <c r="CQ174" s="197">
        <f t="shared" si="3382"/>
        <v>-3.5382201896680954E-3</v>
      </c>
      <c r="CR174" s="197">
        <f t="shared" si="3382"/>
        <v>0</v>
      </c>
      <c r="CS174" s="197">
        <f t="shared" si="3382"/>
        <v>4.6251988419301142</v>
      </c>
      <c r="CT174" s="197">
        <f t="shared" si="3382"/>
        <v>0</v>
      </c>
      <c r="CU174" s="197">
        <f t="shared" si="3382"/>
        <v>-3.9276397527387985E-3</v>
      </c>
      <c r="CV174" s="197">
        <f t="shared" si="3382"/>
        <v>0</v>
      </c>
      <c r="CW174" s="197"/>
      <c r="CX174" s="197">
        <f>CX45-CX298</f>
        <v>0</v>
      </c>
      <c r="CY174" s="197">
        <f>CY45-CY298</f>
        <v>9.0809999999996762</v>
      </c>
      <c r="CZ174" s="197">
        <f>CZ45-CZ298</f>
        <v>0</v>
      </c>
      <c r="DA174" s="197">
        <f>DA45-DA298</f>
        <v>5.2239999999999895</v>
      </c>
      <c r="DB174" s="197">
        <f>DB45-DB298</f>
        <v>0</v>
      </c>
      <c r="DC174" s="197">
        <f>DC45-DC298</f>
        <v>0</v>
      </c>
      <c r="DD174" s="197"/>
      <c r="DE174" s="197">
        <f t="shared" ref="DE174:EG174" si="3383">DE45-DE298</f>
        <v>0</v>
      </c>
      <c r="DF174" s="197">
        <f t="shared" si="3383"/>
        <v>0</v>
      </c>
      <c r="DG174" s="197">
        <f t="shared" si="3383"/>
        <v>44.903606093139061</v>
      </c>
      <c r="DH174" s="197">
        <f t="shared" si="3383"/>
        <v>0</v>
      </c>
      <c r="DI174" s="197">
        <f t="shared" si="3383"/>
        <v>0</v>
      </c>
      <c r="DJ174" s="197">
        <f t="shared" si="3383"/>
        <v>0</v>
      </c>
      <c r="DK174" s="197">
        <f t="shared" si="3383"/>
        <v>0</v>
      </c>
      <c r="DL174" s="197">
        <f t="shared" si="3383"/>
        <v>0</v>
      </c>
      <c r="DM174" s="197">
        <f t="shared" si="3383"/>
        <v>0</v>
      </c>
      <c r="DN174" s="197">
        <f t="shared" si="3383"/>
        <v>0</v>
      </c>
      <c r="DO174" s="197">
        <f t="shared" si="3383"/>
        <v>0</v>
      </c>
      <c r="DP174" s="197">
        <f t="shared" si="3383"/>
        <v>0</v>
      </c>
      <c r="DQ174" s="197">
        <f t="shared" si="3383"/>
        <v>0</v>
      </c>
      <c r="DR174" s="197">
        <f t="shared" si="3383"/>
        <v>0</v>
      </c>
      <c r="DS174" s="197">
        <f t="shared" si="3383"/>
        <v>1.1008137700720051</v>
      </c>
      <c r="DT174" s="197">
        <f t="shared" si="3383"/>
        <v>0</v>
      </c>
      <c r="DU174" s="197">
        <f t="shared" si="3383"/>
        <v>0</v>
      </c>
      <c r="DV174" s="197">
        <f t="shared" si="3383"/>
        <v>0</v>
      </c>
      <c r="DW174" s="197">
        <f t="shared" si="3383"/>
        <v>0</v>
      </c>
      <c r="DX174" s="197">
        <f t="shared" si="3383"/>
        <v>0</v>
      </c>
      <c r="DY174" s="197">
        <f t="shared" si="3383"/>
        <v>0</v>
      </c>
      <c r="DZ174" s="197">
        <f t="shared" si="3383"/>
        <v>0</v>
      </c>
      <c r="EA174" s="197">
        <f t="shared" si="3383"/>
        <v>0</v>
      </c>
      <c r="EB174" s="197">
        <f t="shared" si="3383"/>
        <v>0</v>
      </c>
      <c r="EC174" s="197">
        <f t="shared" si="3383"/>
        <v>0</v>
      </c>
      <c r="ED174" s="197">
        <f t="shared" si="3383"/>
        <v>0</v>
      </c>
      <c r="EE174" s="197">
        <f t="shared" si="3383"/>
        <v>0</v>
      </c>
      <c r="EF174" s="197">
        <f t="shared" si="3383"/>
        <v>0</v>
      </c>
      <c r="EG174" s="197">
        <f t="shared" si="3383"/>
        <v>0</v>
      </c>
    </row>
    <row r="175" spans="1:137" hidden="1">
      <c r="A175" s="157">
        <v>43374</v>
      </c>
      <c r="B175" s="197">
        <f>B46-B299</f>
        <v>17.845999999999549</v>
      </c>
      <c r="C175" s="197">
        <f>C46-C299</f>
        <v>0.59486666666663268</v>
      </c>
      <c r="D175" s="197">
        <f>D46-D299</f>
        <v>0.59486666666663268</v>
      </c>
      <c r="E175" s="197">
        <f>E46-E299</f>
        <v>3.4515838294282286E-3</v>
      </c>
      <c r="F175" s="197">
        <f>F46-F299</f>
        <v>12.367000000000189</v>
      </c>
      <c r="G175" s="197"/>
      <c r="H175" s="197"/>
      <c r="I175" s="197">
        <f t="shared" ref="I175:AB175" si="3384">I46-I299</f>
        <v>2.0009999999999764</v>
      </c>
      <c r="J175" s="197">
        <f t="shared" si="3384"/>
        <v>-7.2247280426438465E-3</v>
      </c>
      <c r="K175" s="197">
        <f t="shared" si="3384"/>
        <v>-7.0629187570574459E-3</v>
      </c>
      <c r="L175" s="197">
        <f t="shared" si="3384"/>
        <v>-7.0629187570574459E-3</v>
      </c>
      <c r="M175" s="197">
        <f t="shared" si="3384"/>
        <v>0.89299999999997226</v>
      </c>
      <c r="N175" s="197">
        <f t="shared" si="3384"/>
        <v>0.13100000000000023</v>
      </c>
      <c r="O175" s="197">
        <f t="shared" si="3384"/>
        <v>6.6430000000000291</v>
      </c>
      <c r="P175" s="197">
        <f t="shared" si="3384"/>
        <v>5.9619999999999891</v>
      </c>
      <c r="Q175" s="197">
        <f t="shared" si="3384"/>
        <v>5.9620000000001028</v>
      </c>
      <c r="R175" s="197">
        <f t="shared" si="3384"/>
        <v>0</v>
      </c>
      <c r="S175" s="197">
        <f t="shared" si="3384"/>
        <v>0</v>
      </c>
      <c r="T175" s="197">
        <f t="shared" si="3384"/>
        <v>0.14699999999999136</v>
      </c>
      <c r="U175" s="197">
        <f t="shared" si="3384"/>
        <v>6.1089999999999236</v>
      </c>
      <c r="V175" s="197">
        <f t="shared" si="3384"/>
        <v>4.0653517437623243E-3</v>
      </c>
      <c r="W175" s="197">
        <f t="shared" si="3384"/>
        <v>-1.5005656423383584E-3</v>
      </c>
      <c r="X175" s="197">
        <f t="shared" si="3384"/>
        <v>-1.5005656423383584E-3</v>
      </c>
      <c r="Y175" s="197">
        <f t="shared" si="3384"/>
        <v>-8.5634843993886989E-3</v>
      </c>
      <c r="Z175" s="197">
        <f t="shared" si="3384"/>
        <v>0</v>
      </c>
      <c r="AA175" s="197">
        <f t="shared" si="3384"/>
        <v>0</v>
      </c>
      <c r="AB175" s="197">
        <f t="shared" si="3384"/>
        <v>0</v>
      </c>
      <c r="AC175" s="163"/>
      <c r="AD175" s="163"/>
      <c r="AE175" s="163"/>
      <c r="AF175" s="163"/>
      <c r="AH175" s="197"/>
      <c r="AI175" s="197">
        <f t="shared" ref="AI175:BN175" si="3385">AI46-AI299</f>
        <v>0</v>
      </c>
      <c r="AJ175" s="197">
        <f t="shared" si="3385"/>
        <v>0</v>
      </c>
      <c r="AK175" s="197">
        <f t="shared" si="3385"/>
        <v>0</v>
      </c>
      <c r="AL175" s="197">
        <f t="shared" si="3385"/>
        <v>0</v>
      </c>
      <c r="AM175" s="197">
        <f t="shared" si="3385"/>
        <v>0</v>
      </c>
      <c r="AN175" s="197">
        <f t="shared" si="3385"/>
        <v>7.2247280426438465E-3</v>
      </c>
      <c r="AO175" s="197">
        <f t="shared" si="3385"/>
        <v>0</v>
      </c>
      <c r="AP175" s="197">
        <f t="shared" si="3385"/>
        <v>0</v>
      </c>
      <c r="AQ175" s="197">
        <f t="shared" si="3385"/>
        <v>0</v>
      </c>
      <c r="AR175" s="197">
        <f t="shared" si="3385"/>
        <v>1.5005656423383584E-3</v>
      </c>
      <c r="AS175" s="197">
        <f t="shared" si="3385"/>
        <v>0</v>
      </c>
      <c r="AT175" s="197">
        <f t="shared" si="3385"/>
        <v>17.846000000000004</v>
      </c>
      <c r="AU175" s="197">
        <f t="shared" si="3385"/>
        <v>0.59486666666666821</v>
      </c>
      <c r="AV175" s="197">
        <f t="shared" si="3385"/>
        <v>12.367000000000075</v>
      </c>
      <c r="AW175" s="197">
        <f t="shared" si="3385"/>
        <v>2.0010000000000048</v>
      </c>
      <c r="AX175" s="197">
        <f t="shared" si="3385"/>
        <v>-4.0180924473801838E-2</v>
      </c>
      <c r="AY175" s="197">
        <f t="shared" si="3385"/>
        <v>-3.2956196431157991E-2</v>
      </c>
      <c r="AZ175" s="197">
        <f t="shared" si="3385"/>
        <v>6.6429999999999723</v>
      </c>
      <c r="BA175" s="197">
        <f t="shared" si="3385"/>
        <v>5.9619999999999891</v>
      </c>
      <c r="BB175" s="197">
        <f t="shared" si="3385"/>
        <v>-7.8337262251899631E-3</v>
      </c>
      <c r="BC175" s="197">
        <f t="shared" si="3385"/>
        <v>-6.3331605828516047E-3</v>
      </c>
      <c r="BD175" s="197">
        <f t="shared" si="3385"/>
        <v>-4.8014650698995354E-2</v>
      </c>
      <c r="BE175" s="197">
        <f t="shared" si="3385"/>
        <v>0</v>
      </c>
      <c r="BF175" s="197">
        <f t="shared" si="3385"/>
        <v>0</v>
      </c>
      <c r="BG175" s="197">
        <f t="shared" si="3385"/>
        <v>0</v>
      </c>
      <c r="BH175" s="197">
        <f t="shared" si="3385"/>
        <v>0</v>
      </c>
      <c r="BI175" s="197">
        <f t="shared" si="3385"/>
        <v>0</v>
      </c>
      <c r="BJ175" s="197">
        <f t="shared" si="3385"/>
        <v>7.2247280426438465E-3</v>
      </c>
      <c r="BK175" s="197">
        <f t="shared" si="3385"/>
        <v>0</v>
      </c>
      <c r="BL175" s="197">
        <f t="shared" si="3385"/>
        <v>0</v>
      </c>
      <c r="BM175" s="197">
        <f t="shared" si="3385"/>
        <v>0</v>
      </c>
      <c r="BN175" s="197">
        <f t="shared" si="3385"/>
        <v>1.5005656423383584E-3</v>
      </c>
      <c r="BO175" s="197">
        <f t="shared" ref="BO175:CV175" si="3386">BO46-BO299</f>
        <v>0</v>
      </c>
      <c r="BP175" s="197">
        <f t="shared" si="3386"/>
        <v>0</v>
      </c>
      <c r="BQ175" s="197">
        <f t="shared" si="3386"/>
        <v>0</v>
      </c>
      <c r="BR175" s="197">
        <f t="shared" si="3386"/>
        <v>0</v>
      </c>
      <c r="BS175" s="197">
        <f t="shared" si="3386"/>
        <v>0</v>
      </c>
      <c r="BT175" s="197">
        <f t="shared" si="3386"/>
        <v>0</v>
      </c>
      <c r="BU175" s="197">
        <f t="shared" si="3386"/>
        <v>7.2247280426438465E-3</v>
      </c>
      <c r="BV175" s="197">
        <f t="shared" si="3386"/>
        <v>0</v>
      </c>
      <c r="BW175" s="197">
        <f t="shared" si="3386"/>
        <v>0</v>
      </c>
      <c r="BX175" s="197">
        <f t="shared" si="3386"/>
        <v>0</v>
      </c>
      <c r="BY175" s="197">
        <f t="shared" si="3386"/>
        <v>1.5005656423383584E-3</v>
      </c>
      <c r="BZ175" s="197">
        <f t="shared" si="3386"/>
        <v>0</v>
      </c>
      <c r="CA175" s="197">
        <f t="shared" si="3386"/>
        <v>0</v>
      </c>
      <c r="CB175" s="197">
        <f t="shared" si="3386"/>
        <v>0</v>
      </c>
      <c r="CC175" s="197">
        <f t="shared" si="3386"/>
        <v>0</v>
      </c>
      <c r="CD175" s="197">
        <f t="shared" si="3386"/>
        <v>0</v>
      </c>
      <c r="CE175" s="197">
        <f t="shared" si="3386"/>
        <v>0</v>
      </c>
      <c r="CF175" s="197">
        <f t="shared" si="3386"/>
        <v>7.2247280426438465E-3</v>
      </c>
      <c r="CG175" s="197">
        <f t="shared" si="3386"/>
        <v>0</v>
      </c>
      <c r="CH175" s="197">
        <f t="shared" si="3386"/>
        <v>0</v>
      </c>
      <c r="CI175" s="197">
        <f t="shared" si="3386"/>
        <v>0</v>
      </c>
      <c r="CJ175" s="197">
        <f t="shared" si="3386"/>
        <v>1.5005656423383584E-3</v>
      </c>
      <c r="CK175" s="197">
        <f t="shared" si="3386"/>
        <v>0</v>
      </c>
      <c r="CL175" s="197">
        <f t="shared" si="3386"/>
        <v>0</v>
      </c>
      <c r="CM175" s="197">
        <f t="shared" si="3386"/>
        <v>0</v>
      </c>
      <c r="CN175" s="197">
        <f t="shared" si="3386"/>
        <v>0</v>
      </c>
      <c r="CO175" s="197">
        <f t="shared" si="3386"/>
        <v>0</v>
      </c>
      <c r="CP175" s="197">
        <f t="shared" si="3386"/>
        <v>0</v>
      </c>
      <c r="CQ175" s="197">
        <f t="shared" si="3386"/>
        <v>7.2247280426438465E-3</v>
      </c>
      <c r="CR175" s="197">
        <f t="shared" si="3386"/>
        <v>0</v>
      </c>
      <c r="CS175" s="197">
        <f t="shared" si="3386"/>
        <v>0</v>
      </c>
      <c r="CT175" s="197">
        <f t="shared" si="3386"/>
        <v>0</v>
      </c>
      <c r="CU175" s="197">
        <f t="shared" si="3386"/>
        <v>1.5005656423383584E-3</v>
      </c>
      <c r="CV175" s="197">
        <f t="shared" si="3386"/>
        <v>0</v>
      </c>
      <c r="CW175" s="197"/>
      <c r="CX175" s="197">
        <f>CX46-CX299</f>
        <v>0</v>
      </c>
      <c r="CY175" s="197">
        <f>CY46-CY299</f>
        <v>0</v>
      </c>
      <c r="CZ175" s="197">
        <f>CZ46-CZ299</f>
        <v>0</v>
      </c>
      <c r="DA175" s="197">
        <f>DA46-DA299</f>
        <v>0</v>
      </c>
      <c r="DB175" s="197">
        <f>DB46-DB299</f>
        <v>0</v>
      </c>
      <c r="DC175" s="197">
        <f>DC46-DC299</f>
        <v>0</v>
      </c>
      <c r="DD175" s="197"/>
      <c r="DE175" s="197">
        <f t="shared" ref="DE175:EG175" si="3387">DE46-DE299</f>
        <v>0</v>
      </c>
      <c r="DF175" s="197">
        <f t="shared" si="3387"/>
        <v>0</v>
      </c>
      <c r="DG175" s="197">
        <f t="shared" si="3387"/>
        <v>45.2528391330993</v>
      </c>
      <c r="DH175" s="197">
        <f t="shared" si="3387"/>
        <v>0</v>
      </c>
      <c r="DI175" s="197">
        <f t="shared" si="3387"/>
        <v>0</v>
      </c>
      <c r="DJ175" s="197">
        <f t="shared" si="3387"/>
        <v>0</v>
      </c>
      <c r="DK175" s="197">
        <f t="shared" si="3387"/>
        <v>0</v>
      </c>
      <c r="DL175" s="197">
        <f t="shared" si="3387"/>
        <v>0</v>
      </c>
      <c r="DM175" s="197">
        <f t="shared" si="3387"/>
        <v>0</v>
      </c>
      <c r="DN175" s="197">
        <f t="shared" si="3387"/>
        <v>0</v>
      </c>
      <c r="DO175" s="197">
        <f t="shared" si="3387"/>
        <v>0</v>
      </c>
      <c r="DP175" s="197">
        <f t="shared" si="3387"/>
        <v>0</v>
      </c>
      <c r="DQ175" s="197">
        <f t="shared" si="3387"/>
        <v>0</v>
      </c>
      <c r="DR175" s="197">
        <f t="shared" si="3387"/>
        <v>0</v>
      </c>
      <c r="DS175" s="197">
        <f t="shared" si="3387"/>
        <v>0.93583648564529487</v>
      </c>
      <c r="DT175" s="197">
        <f t="shared" si="3387"/>
        <v>0</v>
      </c>
      <c r="DU175" s="197">
        <f t="shared" si="3387"/>
        <v>0</v>
      </c>
      <c r="DV175" s="197">
        <f t="shared" si="3387"/>
        <v>0</v>
      </c>
      <c r="DW175" s="197">
        <f t="shared" si="3387"/>
        <v>0</v>
      </c>
      <c r="DX175" s="197">
        <f t="shared" si="3387"/>
        <v>0</v>
      </c>
      <c r="DY175" s="197">
        <f t="shared" si="3387"/>
        <v>0</v>
      </c>
      <c r="DZ175" s="197">
        <f t="shared" si="3387"/>
        <v>0</v>
      </c>
      <c r="EA175" s="197">
        <f t="shared" si="3387"/>
        <v>0</v>
      </c>
      <c r="EB175" s="197">
        <f t="shared" si="3387"/>
        <v>0</v>
      </c>
      <c r="EC175" s="197">
        <f t="shared" si="3387"/>
        <v>0</v>
      </c>
      <c r="ED175" s="197">
        <f t="shared" si="3387"/>
        <v>0</v>
      </c>
      <c r="EE175" s="197">
        <f t="shared" si="3387"/>
        <v>0</v>
      </c>
      <c r="EF175" s="197">
        <f t="shared" si="3387"/>
        <v>0</v>
      </c>
      <c r="EG175" s="197">
        <f t="shared" si="3387"/>
        <v>0</v>
      </c>
    </row>
    <row r="176" spans="1:137" hidden="1">
      <c r="A176" s="157">
        <v>43405</v>
      </c>
      <c r="B176" s="197">
        <f>B47-B300</f>
        <v>0</v>
      </c>
      <c r="C176" s="197">
        <f>C47-C300</f>
        <v>0</v>
      </c>
      <c r="D176" s="197">
        <f>D47-D300</f>
        <v>0</v>
      </c>
      <c r="E176" s="197">
        <f>E47-E300</f>
        <v>0</v>
      </c>
      <c r="F176" s="197">
        <f>F47-F300</f>
        <v>0</v>
      </c>
      <c r="G176" s="197"/>
      <c r="H176" s="197"/>
      <c r="I176" s="197">
        <f t="shared" ref="I176:AB176" si="3388">I47-I300</f>
        <v>0</v>
      </c>
      <c r="J176" s="197">
        <f t="shared" si="3388"/>
        <v>0</v>
      </c>
      <c r="K176" s="197">
        <f t="shared" si="3388"/>
        <v>0</v>
      </c>
      <c r="L176" s="197">
        <f t="shared" si="3388"/>
        <v>0</v>
      </c>
      <c r="M176" s="197">
        <f t="shared" si="3388"/>
        <v>0</v>
      </c>
      <c r="N176" s="197">
        <f t="shared" si="3388"/>
        <v>0</v>
      </c>
      <c r="O176" s="197">
        <f t="shared" si="3388"/>
        <v>0</v>
      </c>
      <c r="P176" s="197">
        <f t="shared" si="3388"/>
        <v>0</v>
      </c>
      <c r="Q176" s="197">
        <f t="shared" si="3388"/>
        <v>0</v>
      </c>
      <c r="R176" s="197">
        <f t="shared" si="3388"/>
        <v>0</v>
      </c>
      <c r="S176" s="197">
        <f t="shared" si="3388"/>
        <v>0</v>
      </c>
      <c r="T176" s="197">
        <f t="shared" si="3388"/>
        <v>0</v>
      </c>
      <c r="U176" s="197">
        <f t="shared" si="3388"/>
        <v>0</v>
      </c>
      <c r="V176" s="197">
        <f t="shared" si="3388"/>
        <v>0</v>
      </c>
      <c r="W176" s="197">
        <f t="shared" si="3388"/>
        <v>0</v>
      </c>
      <c r="X176" s="197">
        <f t="shared" si="3388"/>
        <v>0</v>
      </c>
      <c r="Y176" s="197">
        <f t="shared" si="3388"/>
        <v>0</v>
      </c>
      <c r="Z176" s="197">
        <f t="shared" si="3388"/>
        <v>0</v>
      </c>
      <c r="AA176" s="197">
        <f t="shared" si="3388"/>
        <v>0</v>
      </c>
      <c r="AB176" s="197">
        <f t="shared" si="3388"/>
        <v>0</v>
      </c>
      <c r="AC176" s="163"/>
      <c r="AD176" s="163"/>
      <c r="AE176" s="163"/>
      <c r="AF176" s="163"/>
      <c r="AH176" s="197"/>
      <c r="AI176" s="197">
        <f t="shared" ref="AI176:BN176" si="3389">AI47-AI300</f>
        <v>0</v>
      </c>
      <c r="AJ176" s="197">
        <f t="shared" si="3389"/>
        <v>0</v>
      </c>
      <c r="AK176" s="197">
        <f t="shared" si="3389"/>
        <v>0</v>
      </c>
      <c r="AL176" s="197">
        <f t="shared" si="3389"/>
        <v>0</v>
      </c>
      <c r="AM176" s="197">
        <f t="shared" si="3389"/>
        <v>0</v>
      </c>
      <c r="AN176" s="197">
        <f t="shared" si="3389"/>
        <v>0</v>
      </c>
      <c r="AO176" s="197">
        <f t="shared" si="3389"/>
        <v>0</v>
      </c>
      <c r="AP176" s="197">
        <f t="shared" si="3389"/>
        <v>-1.6601915831842007E-3</v>
      </c>
      <c r="AQ176" s="197">
        <f t="shared" si="3389"/>
        <v>0</v>
      </c>
      <c r="AR176" s="197">
        <f t="shared" si="3389"/>
        <v>0</v>
      </c>
      <c r="AS176" s="197">
        <f t="shared" si="3389"/>
        <v>0</v>
      </c>
      <c r="AT176" s="197">
        <f t="shared" si="3389"/>
        <v>0</v>
      </c>
      <c r="AU176" s="197">
        <f t="shared" si="3389"/>
        <v>0</v>
      </c>
      <c r="AV176" s="197">
        <f t="shared" si="3389"/>
        <v>0</v>
      </c>
      <c r="AW176" s="197">
        <f t="shared" si="3389"/>
        <v>0</v>
      </c>
      <c r="AX176" s="197">
        <f t="shared" si="3389"/>
        <v>0</v>
      </c>
      <c r="AY176" s="197">
        <f t="shared" si="3389"/>
        <v>0</v>
      </c>
      <c r="AZ176" s="197">
        <f t="shared" si="3389"/>
        <v>0</v>
      </c>
      <c r="BA176" s="197">
        <f t="shared" si="3389"/>
        <v>0</v>
      </c>
      <c r="BB176" s="197">
        <f t="shared" si="3389"/>
        <v>0</v>
      </c>
      <c r="BC176" s="197">
        <f t="shared" si="3389"/>
        <v>0</v>
      </c>
      <c r="BD176" s="197">
        <f t="shared" si="3389"/>
        <v>0</v>
      </c>
      <c r="BE176" s="197">
        <f t="shared" si="3389"/>
        <v>0</v>
      </c>
      <c r="BF176" s="197">
        <f t="shared" si="3389"/>
        <v>0</v>
      </c>
      <c r="BG176" s="197">
        <f t="shared" si="3389"/>
        <v>0</v>
      </c>
      <c r="BH176" s="197">
        <f t="shared" si="3389"/>
        <v>0</v>
      </c>
      <c r="BI176" s="197">
        <f t="shared" si="3389"/>
        <v>0</v>
      </c>
      <c r="BJ176" s="197">
        <f t="shared" si="3389"/>
        <v>0</v>
      </c>
      <c r="BK176" s="197">
        <f t="shared" si="3389"/>
        <v>0</v>
      </c>
      <c r="BL176" s="197">
        <f t="shared" si="3389"/>
        <v>0</v>
      </c>
      <c r="BM176" s="197">
        <f t="shared" si="3389"/>
        <v>0</v>
      </c>
      <c r="BN176" s="197">
        <f t="shared" si="3389"/>
        <v>0</v>
      </c>
      <c r="BO176" s="197">
        <f t="shared" ref="BO176:CV176" si="3390">BO47-BO300</f>
        <v>0</v>
      </c>
      <c r="BP176" s="197">
        <f t="shared" si="3390"/>
        <v>0</v>
      </c>
      <c r="BQ176" s="197">
        <f t="shared" si="3390"/>
        <v>0</v>
      </c>
      <c r="BR176" s="197">
        <f t="shared" si="3390"/>
        <v>0</v>
      </c>
      <c r="BS176" s="197">
        <f t="shared" si="3390"/>
        <v>0</v>
      </c>
      <c r="BT176" s="197">
        <f t="shared" si="3390"/>
        <v>0</v>
      </c>
      <c r="BU176" s="197">
        <f t="shared" si="3390"/>
        <v>0</v>
      </c>
      <c r="BV176" s="197">
        <f t="shared" si="3390"/>
        <v>0</v>
      </c>
      <c r="BW176" s="197">
        <f t="shared" si="3390"/>
        <v>0</v>
      </c>
      <c r="BX176" s="197">
        <f t="shared" si="3390"/>
        <v>0</v>
      </c>
      <c r="BY176" s="197">
        <f t="shared" si="3390"/>
        <v>0</v>
      </c>
      <c r="BZ176" s="197">
        <f t="shared" si="3390"/>
        <v>0</v>
      </c>
      <c r="CA176" s="197">
        <f t="shared" si="3390"/>
        <v>0</v>
      </c>
      <c r="CB176" s="197">
        <f t="shared" si="3390"/>
        <v>0</v>
      </c>
      <c r="CC176" s="197">
        <f t="shared" si="3390"/>
        <v>0</v>
      </c>
      <c r="CD176" s="197">
        <f t="shared" si="3390"/>
        <v>0</v>
      </c>
      <c r="CE176" s="197">
        <f t="shared" si="3390"/>
        <v>0</v>
      </c>
      <c r="CF176" s="197">
        <f t="shared" si="3390"/>
        <v>0</v>
      </c>
      <c r="CG176" s="197">
        <f t="shared" si="3390"/>
        <v>0</v>
      </c>
      <c r="CH176" s="197">
        <f t="shared" si="3390"/>
        <v>0</v>
      </c>
      <c r="CI176" s="197">
        <f t="shared" si="3390"/>
        <v>0</v>
      </c>
      <c r="CJ176" s="197">
        <f t="shared" si="3390"/>
        <v>0</v>
      </c>
      <c r="CK176" s="197">
        <f t="shared" si="3390"/>
        <v>0</v>
      </c>
      <c r="CL176" s="197">
        <f t="shared" si="3390"/>
        <v>0</v>
      </c>
      <c r="CM176" s="197">
        <f t="shared" si="3390"/>
        <v>0</v>
      </c>
      <c r="CN176" s="197">
        <f t="shared" si="3390"/>
        <v>0</v>
      </c>
      <c r="CO176" s="197">
        <f t="shared" si="3390"/>
        <v>0</v>
      </c>
      <c r="CP176" s="197">
        <f t="shared" si="3390"/>
        <v>0</v>
      </c>
      <c r="CQ176" s="197">
        <f t="shared" si="3390"/>
        <v>0</v>
      </c>
      <c r="CR176" s="197">
        <f t="shared" si="3390"/>
        <v>0</v>
      </c>
      <c r="CS176" s="197">
        <f t="shared" si="3390"/>
        <v>1.6601915831415681E-3</v>
      </c>
      <c r="CT176" s="197">
        <f t="shared" si="3390"/>
        <v>0</v>
      </c>
      <c r="CU176" s="197">
        <f t="shared" si="3390"/>
        <v>0</v>
      </c>
      <c r="CV176" s="197">
        <f t="shared" si="3390"/>
        <v>0</v>
      </c>
      <c r="CW176" s="197"/>
      <c r="CX176" s="197">
        <f>CX47-CX300</f>
        <v>0</v>
      </c>
      <c r="CY176" s="197">
        <f>CY47-CY300</f>
        <v>0</v>
      </c>
      <c r="CZ176" s="197">
        <f>CZ47-CZ300</f>
        <v>0</v>
      </c>
      <c r="DA176" s="197">
        <f>DA47-DA300</f>
        <v>0</v>
      </c>
      <c r="DB176" s="197">
        <f>DB47-DB300</f>
        <v>0</v>
      </c>
      <c r="DC176" s="197">
        <f>DC47-DC300</f>
        <v>0</v>
      </c>
      <c r="DD176" s="197"/>
      <c r="DE176" s="197">
        <f t="shared" ref="DE176:EG176" si="3391">DE47-DE300</f>
        <v>0</v>
      </c>
      <c r="DF176" s="197">
        <f t="shared" si="3391"/>
        <v>0</v>
      </c>
      <c r="DG176" s="197">
        <f t="shared" si="3391"/>
        <v>46.046033218866967</v>
      </c>
      <c r="DH176" s="197">
        <f t="shared" si="3391"/>
        <v>0</v>
      </c>
      <c r="DI176" s="197">
        <f t="shared" si="3391"/>
        <v>0</v>
      </c>
      <c r="DJ176" s="197">
        <f t="shared" si="3391"/>
        <v>0</v>
      </c>
      <c r="DK176" s="197">
        <f t="shared" si="3391"/>
        <v>0</v>
      </c>
      <c r="DL176" s="197">
        <f t="shared" si="3391"/>
        <v>0</v>
      </c>
      <c r="DM176" s="197">
        <f t="shared" si="3391"/>
        <v>0</v>
      </c>
      <c r="DN176" s="197">
        <f t="shared" si="3391"/>
        <v>0</v>
      </c>
      <c r="DO176" s="197">
        <f t="shared" si="3391"/>
        <v>0</v>
      </c>
      <c r="DP176" s="197">
        <f t="shared" si="3391"/>
        <v>0</v>
      </c>
      <c r="DQ176" s="197">
        <f t="shared" si="3391"/>
        <v>0</v>
      </c>
      <c r="DR176" s="197">
        <f t="shared" si="3391"/>
        <v>0</v>
      </c>
      <c r="DS176" s="197">
        <f t="shared" si="3391"/>
        <v>1.1767871671804671</v>
      </c>
      <c r="DT176" s="197">
        <f t="shared" si="3391"/>
        <v>0</v>
      </c>
      <c r="DU176" s="197">
        <f t="shared" si="3391"/>
        <v>0</v>
      </c>
      <c r="DV176" s="197">
        <f t="shared" si="3391"/>
        <v>0</v>
      </c>
      <c r="DW176" s="197">
        <f t="shared" si="3391"/>
        <v>0</v>
      </c>
      <c r="DX176" s="197">
        <f t="shared" si="3391"/>
        <v>0</v>
      </c>
      <c r="DY176" s="197">
        <f t="shared" si="3391"/>
        <v>0</v>
      </c>
      <c r="DZ176" s="197">
        <f t="shared" si="3391"/>
        <v>0</v>
      </c>
      <c r="EA176" s="197">
        <f t="shared" si="3391"/>
        <v>0</v>
      </c>
      <c r="EB176" s="197">
        <f t="shared" si="3391"/>
        <v>0</v>
      </c>
      <c r="EC176" s="197">
        <f t="shared" si="3391"/>
        <v>0</v>
      </c>
      <c r="ED176" s="197">
        <f t="shared" si="3391"/>
        <v>0</v>
      </c>
      <c r="EE176" s="197">
        <f t="shared" si="3391"/>
        <v>0</v>
      </c>
      <c r="EF176" s="197">
        <f t="shared" si="3391"/>
        <v>0</v>
      </c>
      <c r="EG176" s="197">
        <f t="shared" si="3391"/>
        <v>0</v>
      </c>
    </row>
    <row r="177" spans="1:137" hidden="1">
      <c r="A177" s="157">
        <v>43435</v>
      </c>
      <c r="B177" s="197">
        <f>B48-B301</f>
        <v>0</v>
      </c>
      <c r="C177" s="197">
        <f>C48-C301</f>
        <v>0</v>
      </c>
      <c r="D177" s="197">
        <f>D48-D301</f>
        <v>0</v>
      </c>
      <c r="E177" s="197">
        <f>E48-E301</f>
        <v>0</v>
      </c>
      <c r="F177" s="197">
        <f>F48-F301</f>
        <v>0</v>
      </c>
      <c r="G177" s="197"/>
      <c r="H177" s="197"/>
      <c r="I177" s="197">
        <f t="shared" ref="I177:AB177" si="3392">I48-I301</f>
        <v>0</v>
      </c>
      <c r="J177" s="197">
        <f t="shared" si="3392"/>
        <v>0</v>
      </c>
      <c r="K177" s="197">
        <f t="shared" si="3392"/>
        <v>0</v>
      </c>
      <c r="L177" s="197">
        <f t="shared" si="3392"/>
        <v>0</v>
      </c>
      <c r="M177" s="197">
        <f t="shared" si="3392"/>
        <v>0</v>
      </c>
      <c r="N177" s="197">
        <f t="shared" si="3392"/>
        <v>0</v>
      </c>
      <c r="O177" s="197">
        <f t="shared" si="3392"/>
        <v>0</v>
      </c>
      <c r="P177" s="197">
        <f t="shared" si="3392"/>
        <v>0</v>
      </c>
      <c r="Q177" s="197">
        <f t="shared" si="3392"/>
        <v>0</v>
      </c>
      <c r="R177" s="197">
        <f t="shared" si="3392"/>
        <v>0</v>
      </c>
      <c r="S177" s="197">
        <f t="shared" si="3392"/>
        <v>0</v>
      </c>
      <c r="T177" s="197">
        <f t="shared" si="3392"/>
        <v>0</v>
      </c>
      <c r="U177" s="197">
        <f t="shared" si="3392"/>
        <v>0</v>
      </c>
      <c r="V177" s="197">
        <f t="shared" si="3392"/>
        <v>0</v>
      </c>
      <c r="W177" s="197">
        <f t="shared" si="3392"/>
        <v>0</v>
      </c>
      <c r="X177" s="197">
        <f t="shared" si="3392"/>
        <v>0</v>
      </c>
      <c r="Y177" s="197">
        <f t="shared" si="3392"/>
        <v>0</v>
      </c>
      <c r="Z177" s="197">
        <f t="shared" si="3392"/>
        <v>0</v>
      </c>
      <c r="AA177" s="197">
        <f t="shared" si="3392"/>
        <v>0</v>
      </c>
      <c r="AB177" s="197">
        <f t="shared" si="3392"/>
        <v>0</v>
      </c>
      <c r="AC177" s="163"/>
      <c r="AD177" s="163"/>
      <c r="AE177" s="163"/>
      <c r="AF177" s="163"/>
      <c r="AH177" s="197"/>
      <c r="AI177" s="197">
        <f t="shared" ref="AI177:BN177" si="3393">AI48-AI301</f>
        <v>0</v>
      </c>
      <c r="AJ177" s="197">
        <f t="shared" si="3393"/>
        <v>0</v>
      </c>
      <c r="AK177" s="197">
        <f t="shared" si="3393"/>
        <v>0</v>
      </c>
      <c r="AL177" s="197">
        <f t="shared" si="3393"/>
        <v>0</v>
      </c>
      <c r="AM177" s="197">
        <f t="shared" si="3393"/>
        <v>0</v>
      </c>
      <c r="AN177" s="197">
        <f t="shared" si="3393"/>
        <v>0</v>
      </c>
      <c r="AO177" s="197">
        <f t="shared" si="3393"/>
        <v>0</v>
      </c>
      <c r="AP177" s="197">
        <f t="shared" si="3393"/>
        <v>-1.7538530449456857E-3</v>
      </c>
      <c r="AQ177" s="197">
        <f t="shared" si="3393"/>
        <v>0</v>
      </c>
      <c r="AR177" s="197">
        <f t="shared" si="3393"/>
        <v>0</v>
      </c>
      <c r="AS177" s="197">
        <f t="shared" si="3393"/>
        <v>0</v>
      </c>
      <c r="AT177" s="197">
        <f t="shared" si="3393"/>
        <v>0</v>
      </c>
      <c r="AU177" s="197">
        <f t="shared" si="3393"/>
        <v>0</v>
      </c>
      <c r="AV177" s="197">
        <f t="shared" si="3393"/>
        <v>0</v>
      </c>
      <c r="AW177" s="197">
        <f t="shared" si="3393"/>
        <v>0</v>
      </c>
      <c r="AX177" s="197">
        <f t="shared" si="3393"/>
        <v>0</v>
      </c>
      <c r="AY177" s="197">
        <f t="shared" si="3393"/>
        <v>0</v>
      </c>
      <c r="AZ177" s="197">
        <f t="shared" si="3393"/>
        <v>0</v>
      </c>
      <c r="BA177" s="197">
        <f t="shared" si="3393"/>
        <v>0</v>
      </c>
      <c r="BB177" s="197">
        <f t="shared" si="3393"/>
        <v>0</v>
      </c>
      <c r="BC177" s="197">
        <f t="shared" si="3393"/>
        <v>0</v>
      </c>
      <c r="BD177" s="197">
        <f t="shared" si="3393"/>
        <v>0</v>
      </c>
      <c r="BE177" s="197">
        <f t="shared" si="3393"/>
        <v>0</v>
      </c>
      <c r="BF177" s="197">
        <f t="shared" si="3393"/>
        <v>0</v>
      </c>
      <c r="BG177" s="197">
        <f t="shared" si="3393"/>
        <v>0</v>
      </c>
      <c r="BH177" s="197">
        <f t="shared" si="3393"/>
        <v>0</v>
      </c>
      <c r="BI177" s="197">
        <f t="shared" si="3393"/>
        <v>0</v>
      </c>
      <c r="BJ177" s="197">
        <f t="shared" si="3393"/>
        <v>0</v>
      </c>
      <c r="BK177" s="197">
        <f t="shared" si="3393"/>
        <v>0</v>
      </c>
      <c r="BL177" s="197">
        <f t="shared" si="3393"/>
        <v>0</v>
      </c>
      <c r="BM177" s="197">
        <f t="shared" si="3393"/>
        <v>0</v>
      </c>
      <c r="BN177" s="197">
        <f t="shared" si="3393"/>
        <v>0</v>
      </c>
      <c r="BO177" s="197">
        <f t="shared" ref="BO177:CV177" si="3394">BO48-BO301</f>
        <v>0</v>
      </c>
      <c r="BP177" s="197">
        <f t="shared" si="3394"/>
        <v>0</v>
      </c>
      <c r="BQ177" s="197">
        <f t="shared" si="3394"/>
        <v>0</v>
      </c>
      <c r="BR177" s="197">
        <f t="shared" si="3394"/>
        <v>0</v>
      </c>
      <c r="BS177" s="197">
        <f t="shared" si="3394"/>
        <v>0</v>
      </c>
      <c r="BT177" s="197">
        <f t="shared" si="3394"/>
        <v>0</v>
      </c>
      <c r="BU177" s="197">
        <f t="shared" si="3394"/>
        <v>0</v>
      </c>
      <c r="BV177" s="197">
        <f t="shared" si="3394"/>
        <v>0</v>
      </c>
      <c r="BW177" s="197">
        <f t="shared" si="3394"/>
        <v>0</v>
      </c>
      <c r="BX177" s="197">
        <f t="shared" si="3394"/>
        <v>0</v>
      </c>
      <c r="BY177" s="197">
        <f t="shared" si="3394"/>
        <v>0</v>
      </c>
      <c r="BZ177" s="197">
        <f t="shared" si="3394"/>
        <v>0</v>
      </c>
      <c r="CA177" s="197">
        <f t="shared" si="3394"/>
        <v>0</v>
      </c>
      <c r="CB177" s="197">
        <f t="shared" si="3394"/>
        <v>0</v>
      </c>
      <c r="CC177" s="197">
        <f t="shared" si="3394"/>
        <v>0</v>
      </c>
      <c r="CD177" s="197">
        <f t="shared" si="3394"/>
        <v>0</v>
      </c>
      <c r="CE177" s="197">
        <f t="shared" si="3394"/>
        <v>0</v>
      </c>
      <c r="CF177" s="197">
        <f t="shared" si="3394"/>
        <v>0</v>
      </c>
      <c r="CG177" s="197">
        <f t="shared" si="3394"/>
        <v>0</v>
      </c>
      <c r="CH177" s="197">
        <f t="shared" si="3394"/>
        <v>0</v>
      </c>
      <c r="CI177" s="197">
        <f t="shared" si="3394"/>
        <v>0</v>
      </c>
      <c r="CJ177" s="197">
        <f t="shared" si="3394"/>
        <v>0</v>
      </c>
      <c r="CK177" s="197">
        <f t="shared" si="3394"/>
        <v>0</v>
      </c>
      <c r="CL177" s="197">
        <f t="shared" si="3394"/>
        <v>0</v>
      </c>
      <c r="CM177" s="197">
        <f t="shared" si="3394"/>
        <v>0</v>
      </c>
      <c r="CN177" s="197">
        <f t="shared" si="3394"/>
        <v>0</v>
      </c>
      <c r="CO177" s="197">
        <f t="shared" si="3394"/>
        <v>0</v>
      </c>
      <c r="CP177" s="197">
        <f t="shared" si="3394"/>
        <v>0</v>
      </c>
      <c r="CQ177" s="197">
        <f t="shared" si="3394"/>
        <v>0</v>
      </c>
      <c r="CR177" s="197">
        <f t="shared" si="3394"/>
        <v>0</v>
      </c>
      <c r="CS177" s="197">
        <f t="shared" si="3394"/>
        <v>1.7538530448746315E-3</v>
      </c>
      <c r="CT177" s="197">
        <f t="shared" si="3394"/>
        <v>0</v>
      </c>
      <c r="CU177" s="197">
        <f t="shared" si="3394"/>
        <v>0</v>
      </c>
      <c r="CV177" s="197">
        <f t="shared" si="3394"/>
        <v>0</v>
      </c>
      <c r="CW177" s="197"/>
      <c r="CX177" s="197">
        <f>CX48-CX301</f>
        <v>0</v>
      </c>
      <c r="CY177" s="197">
        <f>CY48-CY301</f>
        <v>0</v>
      </c>
      <c r="CZ177" s="197">
        <f>CZ48-CZ301</f>
        <v>0</v>
      </c>
      <c r="DA177" s="197">
        <f>DA48-DA301</f>
        <v>0</v>
      </c>
      <c r="DB177" s="197">
        <f>DB48-DB301</f>
        <v>0</v>
      </c>
      <c r="DC177" s="197">
        <f>DC48-DC301</f>
        <v>0</v>
      </c>
      <c r="DD177" s="197"/>
      <c r="DE177" s="197">
        <f t="shared" ref="DE177:EG177" si="3395">DE48-DE301</f>
        <v>0</v>
      </c>
      <c r="DF177" s="197">
        <f t="shared" si="3395"/>
        <v>0</v>
      </c>
      <c r="DG177" s="197">
        <f t="shared" si="3395"/>
        <v>46.066644711299396</v>
      </c>
      <c r="DH177" s="197">
        <f t="shared" si="3395"/>
        <v>0</v>
      </c>
      <c r="DI177" s="197">
        <f t="shared" si="3395"/>
        <v>0</v>
      </c>
      <c r="DJ177" s="197">
        <f t="shared" si="3395"/>
        <v>0</v>
      </c>
      <c r="DK177" s="197">
        <f t="shared" si="3395"/>
        <v>0</v>
      </c>
      <c r="DL177" s="197">
        <f t="shared" si="3395"/>
        <v>0</v>
      </c>
      <c r="DM177" s="197">
        <f t="shared" si="3395"/>
        <v>0</v>
      </c>
      <c r="DN177" s="197">
        <f t="shared" si="3395"/>
        <v>0</v>
      </c>
      <c r="DO177" s="197">
        <f t="shared" si="3395"/>
        <v>0</v>
      </c>
      <c r="DP177" s="197">
        <f t="shared" si="3395"/>
        <v>0</v>
      </c>
      <c r="DQ177" s="197">
        <f t="shared" si="3395"/>
        <v>0</v>
      </c>
      <c r="DR177" s="197">
        <f t="shared" si="3395"/>
        <v>0</v>
      </c>
      <c r="DS177" s="197">
        <f t="shared" si="3395"/>
        <v>0.97004129925214877</v>
      </c>
      <c r="DT177" s="197">
        <f t="shared" si="3395"/>
        <v>0</v>
      </c>
      <c r="DU177" s="197">
        <f t="shared" si="3395"/>
        <v>0</v>
      </c>
      <c r="DV177" s="197">
        <f t="shared" si="3395"/>
        <v>0</v>
      </c>
      <c r="DW177" s="197">
        <f t="shared" si="3395"/>
        <v>0</v>
      </c>
      <c r="DX177" s="197">
        <f t="shared" si="3395"/>
        <v>0</v>
      </c>
      <c r="DY177" s="197">
        <f t="shared" si="3395"/>
        <v>0</v>
      </c>
      <c r="DZ177" s="197">
        <f t="shared" si="3395"/>
        <v>0</v>
      </c>
      <c r="EA177" s="197">
        <f t="shared" si="3395"/>
        <v>0</v>
      </c>
      <c r="EB177" s="197">
        <f t="shared" si="3395"/>
        <v>0</v>
      </c>
      <c r="EC177" s="197">
        <f t="shared" si="3395"/>
        <v>0</v>
      </c>
      <c r="ED177" s="197">
        <f t="shared" si="3395"/>
        <v>0</v>
      </c>
      <c r="EE177" s="197">
        <f t="shared" si="3395"/>
        <v>0</v>
      </c>
      <c r="EF177" s="197">
        <f t="shared" si="3395"/>
        <v>0</v>
      </c>
      <c r="EG177" s="197">
        <f t="shared" si="3395"/>
        <v>0</v>
      </c>
    </row>
    <row r="178" spans="1:137" hidden="1">
      <c r="A178" s="157">
        <v>43466</v>
      </c>
      <c r="B178" s="197">
        <f>B49-B302</f>
        <v>0</v>
      </c>
      <c r="C178" s="197">
        <f>C49-C302</f>
        <v>0</v>
      </c>
      <c r="D178" s="197">
        <f>D49-D302</f>
        <v>0</v>
      </c>
      <c r="E178" s="197">
        <f>E49-E302</f>
        <v>0</v>
      </c>
      <c r="F178" s="197">
        <f>F49-F302</f>
        <v>0</v>
      </c>
      <c r="G178" s="197"/>
      <c r="H178" s="197"/>
      <c r="I178" s="197">
        <f t="shared" ref="I178:AB178" si="3396">I49-I302</f>
        <v>0</v>
      </c>
      <c r="J178" s="197">
        <f t="shared" si="3396"/>
        <v>0</v>
      </c>
      <c r="K178" s="197">
        <f t="shared" si="3396"/>
        <v>0</v>
      </c>
      <c r="L178" s="197">
        <f t="shared" si="3396"/>
        <v>0</v>
      </c>
      <c r="M178" s="197">
        <f t="shared" si="3396"/>
        <v>0</v>
      </c>
      <c r="N178" s="197">
        <f t="shared" si="3396"/>
        <v>0</v>
      </c>
      <c r="O178" s="197">
        <f t="shared" si="3396"/>
        <v>0</v>
      </c>
      <c r="P178" s="197">
        <f t="shared" si="3396"/>
        <v>0</v>
      </c>
      <c r="Q178" s="197">
        <f t="shared" si="3396"/>
        <v>0</v>
      </c>
      <c r="R178" s="197">
        <f t="shared" si="3396"/>
        <v>0</v>
      </c>
      <c r="S178" s="197">
        <f t="shared" si="3396"/>
        <v>0</v>
      </c>
      <c r="T178" s="197">
        <f t="shared" si="3396"/>
        <v>0</v>
      </c>
      <c r="U178" s="197">
        <f t="shared" si="3396"/>
        <v>0</v>
      </c>
      <c r="V178" s="197">
        <f t="shared" si="3396"/>
        <v>0</v>
      </c>
      <c r="W178" s="197">
        <f t="shared" si="3396"/>
        <v>0</v>
      </c>
      <c r="X178" s="197">
        <f t="shared" si="3396"/>
        <v>0</v>
      </c>
      <c r="Y178" s="197">
        <f t="shared" si="3396"/>
        <v>0</v>
      </c>
      <c r="Z178" s="197">
        <f t="shared" si="3396"/>
        <v>0</v>
      </c>
      <c r="AA178" s="197">
        <f t="shared" si="3396"/>
        <v>0</v>
      </c>
      <c r="AB178" s="197">
        <f t="shared" si="3396"/>
        <v>0</v>
      </c>
      <c r="AC178" s="163"/>
      <c r="AD178" s="163"/>
      <c r="AE178" s="163"/>
      <c r="AF178" s="163"/>
      <c r="AH178" s="197"/>
      <c r="AI178" s="197">
        <f t="shared" ref="AI178:BN178" si="3397">AI49-AI302</f>
        <v>0</v>
      </c>
      <c r="AJ178" s="197">
        <f t="shared" si="3397"/>
        <v>0</v>
      </c>
      <c r="AK178" s="197">
        <f t="shared" si="3397"/>
        <v>0</v>
      </c>
      <c r="AL178" s="197">
        <f t="shared" si="3397"/>
        <v>0</v>
      </c>
      <c r="AM178" s="197">
        <f t="shared" si="3397"/>
        <v>0</v>
      </c>
      <c r="AN178" s="197">
        <f t="shared" si="3397"/>
        <v>0</v>
      </c>
      <c r="AO178" s="197">
        <f t="shared" si="3397"/>
        <v>0</v>
      </c>
      <c r="AP178" s="197">
        <f t="shared" si="3397"/>
        <v>0</v>
      </c>
      <c r="AQ178" s="197">
        <f t="shared" si="3397"/>
        <v>0</v>
      </c>
      <c r="AR178" s="197">
        <f t="shared" si="3397"/>
        <v>0</v>
      </c>
      <c r="AS178" s="197">
        <f t="shared" si="3397"/>
        <v>0</v>
      </c>
      <c r="AT178" s="197">
        <f t="shared" si="3397"/>
        <v>0</v>
      </c>
      <c r="AU178" s="197">
        <f t="shared" si="3397"/>
        <v>0</v>
      </c>
      <c r="AV178" s="197">
        <f t="shared" si="3397"/>
        <v>0</v>
      </c>
      <c r="AW178" s="197">
        <f t="shared" si="3397"/>
        <v>0</v>
      </c>
      <c r="AX178" s="197">
        <f t="shared" si="3397"/>
        <v>0</v>
      </c>
      <c r="AY178" s="197">
        <f t="shared" si="3397"/>
        <v>0</v>
      </c>
      <c r="AZ178" s="197">
        <f t="shared" si="3397"/>
        <v>0</v>
      </c>
      <c r="BA178" s="197">
        <f t="shared" si="3397"/>
        <v>0</v>
      </c>
      <c r="BB178" s="197">
        <f t="shared" si="3397"/>
        <v>0</v>
      </c>
      <c r="BC178" s="197">
        <f t="shared" si="3397"/>
        <v>0</v>
      </c>
      <c r="BD178" s="197">
        <f t="shared" si="3397"/>
        <v>0</v>
      </c>
      <c r="BE178" s="197">
        <f t="shared" si="3397"/>
        <v>0</v>
      </c>
      <c r="BF178" s="197">
        <f t="shared" si="3397"/>
        <v>0</v>
      </c>
      <c r="BG178" s="197">
        <f t="shared" si="3397"/>
        <v>0</v>
      </c>
      <c r="BH178" s="197">
        <f t="shared" si="3397"/>
        <v>0</v>
      </c>
      <c r="BI178" s="197">
        <f t="shared" si="3397"/>
        <v>0</v>
      </c>
      <c r="BJ178" s="197">
        <f t="shared" si="3397"/>
        <v>0</v>
      </c>
      <c r="BK178" s="197">
        <f t="shared" si="3397"/>
        <v>0</v>
      </c>
      <c r="BL178" s="197">
        <f t="shared" si="3397"/>
        <v>0</v>
      </c>
      <c r="BM178" s="197">
        <f t="shared" si="3397"/>
        <v>0</v>
      </c>
      <c r="BN178" s="197">
        <f t="shared" si="3397"/>
        <v>0</v>
      </c>
      <c r="BO178" s="197">
        <f t="shared" ref="BO178:CV178" si="3398">BO49-BO302</f>
        <v>0</v>
      </c>
      <c r="BP178" s="197">
        <f t="shared" si="3398"/>
        <v>0</v>
      </c>
      <c r="BQ178" s="197">
        <f t="shared" si="3398"/>
        <v>0</v>
      </c>
      <c r="BR178" s="197">
        <f t="shared" si="3398"/>
        <v>0</v>
      </c>
      <c r="BS178" s="197">
        <f t="shared" si="3398"/>
        <v>0</v>
      </c>
      <c r="BT178" s="197">
        <f t="shared" si="3398"/>
        <v>0</v>
      </c>
      <c r="BU178" s="197">
        <f t="shared" si="3398"/>
        <v>0</v>
      </c>
      <c r="BV178" s="197">
        <f t="shared" si="3398"/>
        <v>0</v>
      </c>
      <c r="BW178" s="197">
        <f t="shared" si="3398"/>
        <v>0</v>
      </c>
      <c r="BX178" s="197">
        <f t="shared" si="3398"/>
        <v>0</v>
      </c>
      <c r="BY178" s="197">
        <f t="shared" si="3398"/>
        <v>0</v>
      </c>
      <c r="BZ178" s="197">
        <f t="shared" si="3398"/>
        <v>0</v>
      </c>
      <c r="CA178" s="197">
        <f t="shared" si="3398"/>
        <v>0</v>
      </c>
      <c r="CB178" s="197">
        <f t="shared" si="3398"/>
        <v>0</v>
      </c>
      <c r="CC178" s="197">
        <f t="shared" si="3398"/>
        <v>0</v>
      </c>
      <c r="CD178" s="197">
        <f t="shared" si="3398"/>
        <v>0</v>
      </c>
      <c r="CE178" s="197">
        <f t="shared" si="3398"/>
        <v>0</v>
      </c>
      <c r="CF178" s="197">
        <f t="shared" si="3398"/>
        <v>0</v>
      </c>
      <c r="CG178" s="197">
        <f t="shared" si="3398"/>
        <v>0</v>
      </c>
      <c r="CH178" s="197">
        <f t="shared" si="3398"/>
        <v>0</v>
      </c>
      <c r="CI178" s="197">
        <f t="shared" si="3398"/>
        <v>0</v>
      </c>
      <c r="CJ178" s="197">
        <f t="shared" si="3398"/>
        <v>0</v>
      </c>
      <c r="CK178" s="197">
        <f t="shared" si="3398"/>
        <v>0</v>
      </c>
      <c r="CL178" s="197">
        <f t="shared" si="3398"/>
        <v>0</v>
      </c>
      <c r="CM178" s="197">
        <f t="shared" si="3398"/>
        <v>0</v>
      </c>
      <c r="CN178" s="197">
        <f t="shared" si="3398"/>
        <v>0</v>
      </c>
      <c r="CO178" s="197">
        <f t="shared" si="3398"/>
        <v>0</v>
      </c>
      <c r="CP178" s="197">
        <f t="shared" si="3398"/>
        <v>0</v>
      </c>
      <c r="CQ178" s="197">
        <f t="shared" si="3398"/>
        <v>0</v>
      </c>
      <c r="CR178" s="197">
        <f t="shared" si="3398"/>
        <v>0</v>
      </c>
      <c r="CS178" s="197">
        <f t="shared" si="3398"/>
        <v>0</v>
      </c>
      <c r="CT178" s="197">
        <f t="shared" si="3398"/>
        <v>0</v>
      </c>
      <c r="CU178" s="197">
        <f t="shared" si="3398"/>
        <v>0</v>
      </c>
      <c r="CV178" s="197">
        <f t="shared" si="3398"/>
        <v>0</v>
      </c>
      <c r="CW178" s="197"/>
      <c r="CX178" s="197">
        <f>CX49-CX302</f>
        <v>0</v>
      </c>
      <c r="CY178" s="197">
        <f>CY49-CY302</f>
        <v>0</v>
      </c>
      <c r="CZ178" s="197">
        <f>CZ49-CZ302</f>
        <v>0</v>
      </c>
      <c r="DA178" s="197">
        <f>DA49-DA302</f>
        <v>0</v>
      </c>
      <c r="DB178" s="197">
        <f>DB49-DB302</f>
        <v>0</v>
      </c>
      <c r="DC178" s="197">
        <f>DC49-DC302</f>
        <v>0</v>
      </c>
      <c r="DD178" s="197"/>
      <c r="DE178" s="197">
        <f t="shared" ref="DE178:EG178" si="3399">DE49-DE302</f>
        <v>0</v>
      </c>
      <c r="DF178" s="197">
        <f t="shared" si="3399"/>
        <v>0</v>
      </c>
      <c r="DG178" s="197">
        <f t="shared" si="3399"/>
        <v>46.216461943165001</v>
      </c>
      <c r="DH178" s="197">
        <f t="shared" si="3399"/>
        <v>0</v>
      </c>
      <c r="DI178" s="197">
        <f t="shared" si="3399"/>
        <v>0</v>
      </c>
      <c r="DJ178" s="197">
        <f t="shared" si="3399"/>
        <v>0</v>
      </c>
      <c r="DK178" s="197">
        <f t="shared" si="3399"/>
        <v>0</v>
      </c>
      <c r="DL178" s="197">
        <f t="shared" si="3399"/>
        <v>0</v>
      </c>
      <c r="DM178" s="197">
        <f t="shared" si="3399"/>
        <v>0</v>
      </c>
      <c r="DN178" s="197">
        <f t="shared" si="3399"/>
        <v>0</v>
      </c>
      <c r="DO178" s="197">
        <f t="shared" si="3399"/>
        <v>0</v>
      </c>
      <c r="DP178" s="197">
        <f t="shared" si="3399"/>
        <v>0</v>
      </c>
      <c r="DQ178" s="197">
        <f t="shared" si="3399"/>
        <v>0</v>
      </c>
      <c r="DR178" s="197">
        <f t="shared" si="3399"/>
        <v>0</v>
      </c>
      <c r="DS178" s="197">
        <f t="shared" si="3399"/>
        <v>0.95114772961968552</v>
      </c>
      <c r="DT178" s="197">
        <f t="shared" si="3399"/>
        <v>0</v>
      </c>
      <c r="DU178" s="197">
        <f t="shared" si="3399"/>
        <v>0</v>
      </c>
      <c r="DV178" s="197">
        <f t="shared" si="3399"/>
        <v>0</v>
      </c>
      <c r="DW178" s="197">
        <f t="shared" si="3399"/>
        <v>0</v>
      </c>
      <c r="DX178" s="197">
        <f t="shared" si="3399"/>
        <v>0</v>
      </c>
      <c r="DY178" s="197">
        <f t="shared" si="3399"/>
        <v>0</v>
      </c>
      <c r="DZ178" s="197">
        <f t="shared" si="3399"/>
        <v>0</v>
      </c>
      <c r="EA178" s="197">
        <f t="shared" si="3399"/>
        <v>0</v>
      </c>
      <c r="EB178" s="197">
        <f t="shared" si="3399"/>
        <v>0</v>
      </c>
      <c r="EC178" s="197">
        <f t="shared" si="3399"/>
        <v>0</v>
      </c>
      <c r="ED178" s="197">
        <f t="shared" si="3399"/>
        <v>0</v>
      </c>
      <c r="EE178" s="197">
        <f t="shared" si="3399"/>
        <v>0</v>
      </c>
      <c r="EF178" s="197">
        <f t="shared" si="3399"/>
        <v>0</v>
      </c>
      <c r="EG178" s="197">
        <f t="shared" si="3399"/>
        <v>0</v>
      </c>
    </row>
    <row r="179" spans="1:137" hidden="1">
      <c r="A179" s="157">
        <v>43497</v>
      </c>
      <c r="B179" s="197">
        <f>B50-B303</f>
        <v>0</v>
      </c>
      <c r="C179" s="197">
        <f>C50-C303</f>
        <v>0</v>
      </c>
      <c r="D179" s="197">
        <f>D50-D303</f>
        <v>0</v>
      </c>
      <c r="E179" s="197">
        <f>E50-E303</f>
        <v>0</v>
      </c>
      <c r="F179" s="197">
        <f>F50-F303</f>
        <v>0</v>
      </c>
      <c r="G179" s="197"/>
      <c r="H179" s="197"/>
      <c r="I179" s="197">
        <f t="shared" ref="I179:AB179" si="3400">I50-I303</f>
        <v>0</v>
      </c>
      <c r="J179" s="197">
        <f t="shared" si="3400"/>
        <v>0</v>
      </c>
      <c r="K179" s="197">
        <f t="shared" si="3400"/>
        <v>0</v>
      </c>
      <c r="L179" s="197">
        <f t="shared" si="3400"/>
        <v>0</v>
      </c>
      <c r="M179" s="197">
        <f t="shared" si="3400"/>
        <v>0</v>
      </c>
      <c r="N179" s="197">
        <f t="shared" si="3400"/>
        <v>0</v>
      </c>
      <c r="O179" s="197">
        <f t="shared" si="3400"/>
        <v>0</v>
      </c>
      <c r="P179" s="197">
        <f t="shared" si="3400"/>
        <v>0</v>
      </c>
      <c r="Q179" s="197">
        <f t="shared" si="3400"/>
        <v>0</v>
      </c>
      <c r="R179" s="197">
        <f t="shared" si="3400"/>
        <v>0</v>
      </c>
      <c r="S179" s="197">
        <f t="shared" si="3400"/>
        <v>0</v>
      </c>
      <c r="T179" s="197">
        <f t="shared" si="3400"/>
        <v>0</v>
      </c>
      <c r="U179" s="197">
        <f t="shared" si="3400"/>
        <v>0</v>
      </c>
      <c r="V179" s="197">
        <f t="shared" si="3400"/>
        <v>0</v>
      </c>
      <c r="W179" s="197">
        <f t="shared" si="3400"/>
        <v>0</v>
      </c>
      <c r="X179" s="197">
        <f t="shared" si="3400"/>
        <v>0</v>
      </c>
      <c r="Y179" s="197">
        <f t="shared" si="3400"/>
        <v>0</v>
      </c>
      <c r="Z179" s="197">
        <f t="shared" si="3400"/>
        <v>0</v>
      </c>
      <c r="AA179" s="197">
        <f t="shared" si="3400"/>
        <v>0</v>
      </c>
      <c r="AB179" s="197">
        <f t="shared" si="3400"/>
        <v>0</v>
      </c>
      <c r="AC179" s="163"/>
      <c r="AD179" s="163"/>
      <c r="AE179" s="163"/>
      <c r="AF179" s="163"/>
      <c r="AH179" s="197"/>
      <c r="AI179" s="197">
        <f t="shared" ref="AI179:BN179" si="3401">AI50-AI303</f>
        <v>0</v>
      </c>
      <c r="AJ179" s="197">
        <f t="shared" si="3401"/>
        <v>0</v>
      </c>
      <c r="AK179" s="197">
        <f t="shared" si="3401"/>
        <v>0</v>
      </c>
      <c r="AL179" s="197">
        <f t="shared" si="3401"/>
        <v>0</v>
      </c>
      <c r="AM179" s="197">
        <f t="shared" si="3401"/>
        <v>0</v>
      </c>
      <c r="AN179" s="197">
        <f t="shared" si="3401"/>
        <v>0</v>
      </c>
      <c r="AO179" s="197">
        <f t="shared" si="3401"/>
        <v>0</v>
      </c>
      <c r="AP179" s="197">
        <f t="shared" si="3401"/>
        <v>0</v>
      </c>
      <c r="AQ179" s="197">
        <f t="shared" si="3401"/>
        <v>0</v>
      </c>
      <c r="AR179" s="197">
        <f t="shared" si="3401"/>
        <v>0</v>
      </c>
      <c r="AS179" s="197">
        <f t="shared" si="3401"/>
        <v>0</v>
      </c>
      <c r="AT179" s="197">
        <f t="shared" si="3401"/>
        <v>0</v>
      </c>
      <c r="AU179" s="197">
        <f t="shared" si="3401"/>
        <v>0</v>
      </c>
      <c r="AV179" s="197">
        <f t="shared" si="3401"/>
        <v>0</v>
      </c>
      <c r="AW179" s="197">
        <f t="shared" si="3401"/>
        <v>0</v>
      </c>
      <c r="AX179" s="197">
        <f t="shared" si="3401"/>
        <v>0</v>
      </c>
      <c r="AY179" s="197">
        <f t="shared" si="3401"/>
        <v>0</v>
      </c>
      <c r="AZ179" s="197">
        <f t="shared" si="3401"/>
        <v>0</v>
      </c>
      <c r="BA179" s="197">
        <f t="shared" si="3401"/>
        <v>0</v>
      </c>
      <c r="BB179" s="197">
        <f t="shared" si="3401"/>
        <v>0</v>
      </c>
      <c r="BC179" s="197">
        <f t="shared" si="3401"/>
        <v>0</v>
      </c>
      <c r="BD179" s="197">
        <f t="shared" si="3401"/>
        <v>0</v>
      </c>
      <c r="BE179" s="197">
        <f t="shared" si="3401"/>
        <v>0</v>
      </c>
      <c r="BF179" s="197">
        <f t="shared" si="3401"/>
        <v>0</v>
      </c>
      <c r="BG179" s="197">
        <f t="shared" si="3401"/>
        <v>0</v>
      </c>
      <c r="BH179" s="197">
        <f t="shared" si="3401"/>
        <v>0</v>
      </c>
      <c r="BI179" s="197">
        <f t="shared" si="3401"/>
        <v>0</v>
      </c>
      <c r="BJ179" s="197">
        <f t="shared" si="3401"/>
        <v>0</v>
      </c>
      <c r="BK179" s="197">
        <f t="shared" si="3401"/>
        <v>0</v>
      </c>
      <c r="BL179" s="197">
        <f t="shared" si="3401"/>
        <v>0</v>
      </c>
      <c r="BM179" s="197">
        <f t="shared" si="3401"/>
        <v>0</v>
      </c>
      <c r="BN179" s="197">
        <f t="shared" si="3401"/>
        <v>0</v>
      </c>
      <c r="BO179" s="197">
        <f t="shared" ref="BO179:CV179" si="3402">BO50-BO303</f>
        <v>0</v>
      </c>
      <c r="BP179" s="197">
        <f t="shared" si="3402"/>
        <v>0</v>
      </c>
      <c r="BQ179" s="197">
        <f t="shared" si="3402"/>
        <v>0</v>
      </c>
      <c r="BR179" s="197">
        <f t="shared" si="3402"/>
        <v>0</v>
      </c>
      <c r="BS179" s="197">
        <f t="shared" si="3402"/>
        <v>0</v>
      </c>
      <c r="BT179" s="197">
        <f t="shared" si="3402"/>
        <v>0</v>
      </c>
      <c r="BU179" s="197">
        <f t="shared" si="3402"/>
        <v>0</v>
      </c>
      <c r="BV179" s="197">
        <f t="shared" si="3402"/>
        <v>0</v>
      </c>
      <c r="BW179" s="197">
        <f t="shared" si="3402"/>
        <v>0</v>
      </c>
      <c r="BX179" s="197">
        <f t="shared" si="3402"/>
        <v>0</v>
      </c>
      <c r="BY179" s="197">
        <f t="shared" si="3402"/>
        <v>0</v>
      </c>
      <c r="BZ179" s="197">
        <f t="shared" si="3402"/>
        <v>0</v>
      </c>
      <c r="CA179" s="197">
        <f t="shared" si="3402"/>
        <v>0</v>
      </c>
      <c r="CB179" s="197">
        <f t="shared" si="3402"/>
        <v>0</v>
      </c>
      <c r="CC179" s="197">
        <f t="shared" si="3402"/>
        <v>0</v>
      </c>
      <c r="CD179" s="197">
        <f t="shared" si="3402"/>
        <v>0</v>
      </c>
      <c r="CE179" s="197">
        <f t="shared" si="3402"/>
        <v>0</v>
      </c>
      <c r="CF179" s="197">
        <f t="shared" si="3402"/>
        <v>0</v>
      </c>
      <c r="CG179" s="197">
        <f t="shared" si="3402"/>
        <v>0</v>
      </c>
      <c r="CH179" s="197">
        <f t="shared" si="3402"/>
        <v>0</v>
      </c>
      <c r="CI179" s="197">
        <f t="shared" si="3402"/>
        <v>0</v>
      </c>
      <c r="CJ179" s="197">
        <f t="shared" si="3402"/>
        <v>0</v>
      </c>
      <c r="CK179" s="197">
        <f t="shared" si="3402"/>
        <v>0</v>
      </c>
      <c r="CL179" s="197">
        <f t="shared" si="3402"/>
        <v>0</v>
      </c>
      <c r="CM179" s="197">
        <f t="shared" si="3402"/>
        <v>0</v>
      </c>
      <c r="CN179" s="197">
        <f t="shared" si="3402"/>
        <v>0</v>
      </c>
      <c r="CO179" s="197">
        <f t="shared" si="3402"/>
        <v>0</v>
      </c>
      <c r="CP179" s="197">
        <f t="shared" si="3402"/>
        <v>0</v>
      </c>
      <c r="CQ179" s="197">
        <f t="shared" si="3402"/>
        <v>0</v>
      </c>
      <c r="CR179" s="197">
        <f t="shared" si="3402"/>
        <v>0</v>
      </c>
      <c r="CS179" s="197">
        <f t="shared" si="3402"/>
        <v>0</v>
      </c>
      <c r="CT179" s="197">
        <f t="shared" si="3402"/>
        <v>0</v>
      </c>
      <c r="CU179" s="197">
        <f t="shared" si="3402"/>
        <v>0</v>
      </c>
      <c r="CV179" s="197">
        <f t="shared" si="3402"/>
        <v>0</v>
      </c>
      <c r="CW179" s="197"/>
      <c r="CX179" s="197">
        <f>CX50-CX303</f>
        <v>0</v>
      </c>
      <c r="CY179" s="197">
        <f>CY50-CY303</f>
        <v>0</v>
      </c>
      <c r="CZ179" s="197">
        <f>CZ50-CZ303</f>
        <v>0</v>
      </c>
      <c r="DA179" s="197">
        <f>DA50-DA303</f>
        <v>0</v>
      </c>
      <c r="DB179" s="197">
        <f>DB50-DB303</f>
        <v>0</v>
      </c>
      <c r="DC179" s="197">
        <f>DC50-DC303</f>
        <v>0</v>
      </c>
      <c r="DD179" s="197"/>
      <c r="DE179" s="197">
        <f t="shared" ref="DE179:EG179" si="3403">DE50-DE303</f>
        <v>0</v>
      </c>
      <c r="DF179" s="197">
        <f t="shared" si="3403"/>
        <v>0</v>
      </c>
      <c r="DG179" s="197">
        <f t="shared" si="3403"/>
        <v>47.406335691319057</v>
      </c>
      <c r="DH179" s="197">
        <f t="shared" si="3403"/>
        <v>0</v>
      </c>
      <c r="DI179" s="197">
        <f t="shared" si="3403"/>
        <v>0</v>
      </c>
      <c r="DJ179" s="197">
        <f t="shared" si="3403"/>
        <v>0</v>
      </c>
      <c r="DK179" s="197">
        <f t="shared" si="3403"/>
        <v>0</v>
      </c>
      <c r="DL179" s="197">
        <f t="shared" si="3403"/>
        <v>0</v>
      </c>
      <c r="DM179" s="197">
        <f t="shared" si="3403"/>
        <v>0</v>
      </c>
      <c r="DN179" s="197">
        <f t="shared" si="3403"/>
        <v>0</v>
      </c>
      <c r="DO179" s="197">
        <f t="shared" si="3403"/>
        <v>0</v>
      </c>
      <c r="DP179" s="197">
        <f t="shared" si="3403"/>
        <v>0</v>
      </c>
      <c r="DQ179" s="197">
        <f t="shared" si="3403"/>
        <v>0</v>
      </c>
      <c r="DR179" s="197">
        <f t="shared" si="3403"/>
        <v>0</v>
      </c>
      <c r="DS179" s="197">
        <f t="shared" si="3403"/>
        <v>0.91454647692374236</v>
      </c>
      <c r="DT179" s="197">
        <f t="shared" si="3403"/>
        <v>0</v>
      </c>
      <c r="DU179" s="197">
        <f t="shared" si="3403"/>
        <v>0</v>
      </c>
      <c r="DV179" s="197">
        <f t="shared" si="3403"/>
        <v>0</v>
      </c>
      <c r="DW179" s="197">
        <f t="shared" si="3403"/>
        <v>0</v>
      </c>
      <c r="DX179" s="197">
        <f t="shared" si="3403"/>
        <v>0</v>
      </c>
      <c r="DY179" s="197">
        <f t="shared" si="3403"/>
        <v>0</v>
      </c>
      <c r="DZ179" s="197">
        <f t="shared" si="3403"/>
        <v>0</v>
      </c>
      <c r="EA179" s="197">
        <f t="shared" si="3403"/>
        <v>0</v>
      </c>
      <c r="EB179" s="197">
        <f t="shared" si="3403"/>
        <v>0</v>
      </c>
      <c r="EC179" s="197">
        <f t="shared" si="3403"/>
        <v>0</v>
      </c>
      <c r="ED179" s="197">
        <f t="shared" si="3403"/>
        <v>0</v>
      </c>
      <c r="EE179" s="197">
        <f t="shared" si="3403"/>
        <v>0</v>
      </c>
      <c r="EF179" s="197">
        <f t="shared" si="3403"/>
        <v>0</v>
      </c>
      <c r="EG179" s="197">
        <f t="shared" si="3403"/>
        <v>0</v>
      </c>
    </row>
    <row r="180" spans="1:137" hidden="1">
      <c r="A180" s="157">
        <v>43525</v>
      </c>
      <c r="B180" s="197">
        <f>B51-B304</f>
        <v>0</v>
      </c>
      <c r="C180" s="197">
        <f>C51-C304</f>
        <v>0</v>
      </c>
      <c r="D180" s="197">
        <f>D51-D304</f>
        <v>0</v>
      </c>
      <c r="E180" s="197">
        <f>E51-E304</f>
        <v>0</v>
      </c>
      <c r="F180" s="197">
        <f>F51-F304</f>
        <v>0</v>
      </c>
      <c r="G180" s="197"/>
      <c r="H180" s="197"/>
      <c r="I180" s="197">
        <f t="shared" ref="I180:AB180" si="3404">I51-I304</f>
        <v>0</v>
      </c>
      <c r="J180" s="197">
        <f t="shared" si="3404"/>
        <v>0</v>
      </c>
      <c r="K180" s="197">
        <f t="shared" si="3404"/>
        <v>0</v>
      </c>
      <c r="L180" s="197">
        <f t="shared" si="3404"/>
        <v>0</v>
      </c>
      <c r="M180" s="197">
        <f t="shared" si="3404"/>
        <v>0</v>
      </c>
      <c r="N180" s="197">
        <f t="shared" si="3404"/>
        <v>0</v>
      </c>
      <c r="O180" s="197">
        <f t="shared" si="3404"/>
        <v>0</v>
      </c>
      <c r="P180" s="197">
        <f t="shared" si="3404"/>
        <v>0</v>
      </c>
      <c r="Q180" s="197">
        <f t="shared" si="3404"/>
        <v>0</v>
      </c>
      <c r="R180" s="197">
        <f t="shared" si="3404"/>
        <v>0</v>
      </c>
      <c r="S180" s="197">
        <f t="shared" si="3404"/>
        <v>0</v>
      </c>
      <c r="T180" s="197">
        <f t="shared" si="3404"/>
        <v>0</v>
      </c>
      <c r="U180" s="197">
        <f t="shared" si="3404"/>
        <v>0</v>
      </c>
      <c r="V180" s="197">
        <f t="shared" si="3404"/>
        <v>0</v>
      </c>
      <c r="W180" s="197">
        <f t="shared" si="3404"/>
        <v>0</v>
      </c>
      <c r="X180" s="197">
        <f t="shared" si="3404"/>
        <v>0</v>
      </c>
      <c r="Y180" s="197">
        <f t="shared" si="3404"/>
        <v>0</v>
      </c>
      <c r="Z180" s="197">
        <f t="shared" si="3404"/>
        <v>0</v>
      </c>
      <c r="AA180" s="197">
        <f t="shared" si="3404"/>
        <v>0</v>
      </c>
      <c r="AB180" s="197">
        <f t="shared" si="3404"/>
        <v>0</v>
      </c>
      <c r="AC180" s="163"/>
      <c r="AD180" s="163"/>
      <c r="AE180" s="163"/>
      <c r="AF180" s="163"/>
      <c r="AH180" s="197"/>
      <c r="AI180" s="197">
        <f t="shared" ref="AI180:BN180" si="3405">AI51-AI304</f>
        <v>0</v>
      </c>
      <c r="AJ180" s="197">
        <f t="shared" si="3405"/>
        <v>0</v>
      </c>
      <c r="AK180" s="197">
        <f t="shared" si="3405"/>
        <v>0</v>
      </c>
      <c r="AL180" s="197">
        <f t="shared" si="3405"/>
        <v>0</v>
      </c>
      <c r="AM180" s="197">
        <f t="shared" si="3405"/>
        <v>0</v>
      </c>
      <c r="AN180" s="197">
        <f t="shared" si="3405"/>
        <v>0</v>
      </c>
      <c r="AO180" s="197">
        <f t="shared" si="3405"/>
        <v>0</v>
      </c>
      <c r="AP180" s="197">
        <f t="shared" si="3405"/>
        <v>0</v>
      </c>
      <c r="AQ180" s="197">
        <f t="shared" si="3405"/>
        <v>0</v>
      </c>
      <c r="AR180" s="197">
        <f t="shared" si="3405"/>
        <v>0</v>
      </c>
      <c r="AS180" s="197">
        <f t="shared" si="3405"/>
        <v>0</v>
      </c>
      <c r="AT180" s="197">
        <f t="shared" si="3405"/>
        <v>0</v>
      </c>
      <c r="AU180" s="197">
        <f t="shared" si="3405"/>
        <v>0</v>
      </c>
      <c r="AV180" s="197">
        <f t="shared" si="3405"/>
        <v>0</v>
      </c>
      <c r="AW180" s="197">
        <f t="shared" si="3405"/>
        <v>0</v>
      </c>
      <c r="AX180" s="197">
        <f t="shared" si="3405"/>
        <v>0</v>
      </c>
      <c r="AY180" s="197">
        <f t="shared" si="3405"/>
        <v>0</v>
      </c>
      <c r="AZ180" s="197">
        <f t="shared" si="3405"/>
        <v>0</v>
      </c>
      <c r="BA180" s="197">
        <f t="shared" si="3405"/>
        <v>0</v>
      </c>
      <c r="BB180" s="197">
        <f t="shared" si="3405"/>
        <v>0</v>
      </c>
      <c r="BC180" s="197">
        <f t="shared" si="3405"/>
        <v>0</v>
      </c>
      <c r="BD180" s="197">
        <f t="shared" si="3405"/>
        <v>0</v>
      </c>
      <c r="BE180" s="197">
        <f t="shared" si="3405"/>
        <v>0</v>
      </c>
      <c r="BF180" s="197">
        <f t="shared" si="3405"/>
        <v>0</v>
      </c>
      <c r="BG180" s="197">
        <f t="shared" si="3405"/>
        <v>0</v>
      </c>
      <c r="BH180" s="197">
        <f t="shared" si="3405"/>
        <v>0</v>
      </c>
      <c r="BI180" s="197">
        <f t="shared" si="3405"/>
        <v>0</v>
      </c>
      <c r="BJ180" s="197">
        <f t="shared" si="3405"/>
        <v>0</v>
      </c>
      <c r="BK180" s="197">
        <f t="shared" si="3405"/>
        <v>0</v>
      </c>
      <c r="BL180" s="197">
        <f t="shared" si="3405"/>
        <v>0</v>
      </c>
      <c r="BM180" s="197">
        <f t="shared" si="3405"/>
        <v>0</v>
      </c>
      <c r="BN180" s="197">
        <f t="shared" si="3405"/>
        <v>0</v>
      </c>
      <c r="BO180" s="197">
        <f t="shared" ref="BO180:CV180" si="3406">BO51-BO304</f>
        <v>0</v>
      </c>
      <c r="BP180" s="197">
        <f t="shared" si="3406"/>
        <v>0</v>
      </c>
      <c r="BQ180" s="197">
        <f t="shared" si="3406"/>
        <v>0</v>
      </c>
      <c r="BR180" s="197">
        <f t="shared" si="3406"/>
        <v>0</v>
      </c>
      <c r="BS180" s="197">
        <f t="shared" si="3406"/>
        <v>0</v>
      </c>
      <c r="BT180" s="197">
        <f t="shared" si="3406"/>
        <v>0</v>
      </c>
      <c r="BU180" s="197">
        <f t="shared" si="3406"/>
        <v>0</v>
      </c>
      <c r="BV180" s="197">
        <f t="shared" si="3406"/>
        <v>0</v>
      </c>
      <c r="BW180" s="197">
        <f t="shared" si="3406"/>
        <v>0</v>
      </c>
      <c r="BX180" s="197">
        <f t="shared" si="3406"/>
        <v>0</v>
      </c>
      <c r="BY180" s="197">
        <f t="shared" si="3406"/>
        <v>0</v>
      </c>
      <c r="BZ180" s="197">
        <f t="shared" si="3406"/>
        <v>0</v>
      </c>
      <c r="CA180" s="197">
        <f t="shared" si="3406"/>
        <v>0</v>
      </c>
      <c r="CB180" s="197">
        <f t="shared" si="3406"/>
        <v>0</v>
      </c>
      <c r="CC180" s="197">
        <f t="shared" si="3406"/>
        <v>0</v>
      </c>
      <c r="CD180" s="197">
        <f t="shared" si="3406"/>
        <v>0</v>
      </c>
      <c r="CE180" s="197">
        <f t="shared" si="3406"/>
        <v>0</v>
      </c>
      <c r="CF180" s="197">
        <f t="shared" si="3406"/>
        <v>0</v>
      </c>
      <c r="CG180" s="197">
        <f t="shared" si="3406"/>
        <v>0</v>
      </c>
      <c r="CH180" s="197">
        <f t="shared" si="3406"/>
        <v>0</v>
      </c>
      <c r="CI180" s="197">
        <f t="shared" si="3406"/>
        <v>0</v>
      </c>
      <c r="CJ180" s="197">
        <f t="shared" si="3406"/>
        <v>0</v>
      </c>
      <c r="CK180" s="197">
        <f t="shared" si="3406"/>
        <v>0</v>
      </c>
      <c r="CL180" s="197">
        <f t="shared" si="3406"/>
        <v>0</v>
      </c>
      <c r="CM180" s="197">
        <f t="shared" si="3406"/>
        <v>0</v>
      </c>
      <c r="CN180" s="197">
        <f t="shared" si="3406"/>
        <v>0</v>
      </c>
      <c r="CO180" s="197">
        <f t="shared" si="3406"/>
        <v>0</v>
      </c>
      <c r="CP180" s="197">
        <f t="shared" si="3406"/>
        <v>0</v>
      </c>
      <c r="CQ180" s="197">
        <f t="shared" si="3406"/>
        <v>0</v>
      </c>
      <c r="CR180" s="197">
        <f t="shared" si="3406"/>
        <v>0</v>
      </c>
      <c r="CS180" s="197">
        <f t="shared" si="3406"/>
        <v>0</v>
      </c>
      <c r="CT180" s="197">
        <f t="shared" si="3406"/>
        <v>0</v>
      </c>
      <c r="CU180" s="197">
        <f t="shared" si="3406"/>
        <v>0</v>
      </c>
      <c r="CV180" s="197">
        <f t="shared" si="3406"/>
        <v>0</v>
      </c>
      <c r="CW180" s="197"/>
      <c r="CX180" s="197">
        <f>CX51-CX304</f>
        <v>0</v>
      </c>
      <c r="CY180" s="197">
        <f>CY51-CY304</f>
        <v>0</v>
      </c>
      <c r="CZ180" s="197">
        <f>CZ51-CZ304</f>
        <v>0</v>
      </c>
      <c r="DA180" s="197">
        <f>DA51-DA304</f>
        <v>0</v>
      </c>
      <c r="DB180" s="197">
        <f>DB51-DB304</f>
        <v>0</v>
      </c>
      <c r="DC180" s="197">
        <f>DC51-DC304</f>
        <v>0</v>
      </c>
      <c r="DD180" s="197"/>
      <c r="DE180" s="197">
        <f t="shared" ref="DE180:EG180" si="3407">DE51-DE304</f>
        <v>0</v>
      </c>
      <c r="DF180" s="197">
        <f t="shared" si="3407"/>
        <v>0</v>
      </c>
      <c r="DG180" s="197">
        <f t="shared" si="3407"/>
        <v>46.939911026351474</v>
      </c>
      <c r="DH180" s="197">
        <f t="shared" si="3407"/>
        <v>0</v>
      </c>
      <c r="DI180" s="197">
        <f t="shared" si="3407"/>
        <v>0</v>
      </c>
      <c r="DJ180" s="197">
        <f t="shared" si="3407"/>
        <v>0</v>
      </c>
      <c r="DK180" s="197">
        <f t="shared" si="3407"/>
        <v>0</v>
      </c>
      <c r="DL180" s="197">
        <f t="shared" si="3407"/>
        <v>0</v>
      </c>
      <c r="DM180" s="197">
        <f t="shared" si="3407"/>
        <v>0</v>
      </c>
      <c r="DN180" s="197">
        <f t="shared" si="3407"/>
        <v>0</v>
      </c>
      <c r="DO180" s="197">
        <f t="shared" si="3407"/>
        <v>0</v>
      </c>
      <c r="DP180" s="197">
        <f t="shared" si="3407"/>
        <v>0</v>
      </c>
      <c r="DQ180" s="197">
        <f t="shared" si="3407"/>
        <v>0</v>
      </c>
      <c r="DR180" s="197">
        <f t="shared" si="3407"/>
        <v>0</v>
      </c>
      <c r="DS180" s="197">
        <f t="shared" si="3407"/>
        <v>1.0333085998972611</v>
      </c>
      <c r="DT180" s="197">
        <f t="shared" si="3407"/>
        <v>0</v>
      </c>
      <c r="DU180" s="197">
        <f t="shared" si="3407"/>
        <v>0</v>
      </c>
      <c r="DV180" s="197">
        <f t="shared" si="3407"/>
        <v>0</v>
      </c>
      <c r="DW180" s="197">
        <f t="shared" si="3407"/>
        <v>0</v>
      </c>
      <c r="DX180" s="197">
        <f t="shared" si="3407"/>
        <v>0</v>
      </c>
      <c r="DY180" s="197">
        <f t="shared" si="3407"/>
        <v>0</v>
      </c>
      <c r="DZ180" s="197">
        <f t="shared" si="3407"/>
        <v>0</v>
      </c>
      <c r="EA180" s="197">
        <f t="shared" si="3407"/>
        <v>0</v>
      </c>
      <c r="EB180" s="197">
        <f t="shared" si="3407"/>
        <v>0</v>
      </c>
      <c r="EC180" s="197">
        <f t="shared" si="3407"/>
        <v>0</v>
      </c>
      <c r="ED180" s="197">
        <f t="shared" si="3407"/>
        <v>0</v>
      </c>
      <c r="EE180" s="197">
        <f t="shared" si="3407"/>
        <v>0</v>
      </c>
      <c r="EF180" s="197">
        <f t="shared" si="3407"/>
        <v>0</v>
      </c>
      <c r="EG180" s="197">
        <f t="shared" si="3407"/>
        <v>0</v>
      </c>
    </row>
    <row r="181" spans="1:137" hidden="1">
      <c r="A181" s="157">
        <v>43556</v>
      </c>
      <c r="B181" s="197">
        <f>B52-B305</f>
        <v>0</v>
      </c>
      <c r="C181" s="197">
        <f>C52-C305</f>
        <v>0</v>
      </c>
      <c r="D181" s="197">
        <f>D52-D305</f>
        <v>0</v>
      </c>
      <c r="E181" s="197">
        <f>E52-E305</f>
        <v>0</v>
      </c>
      <c r="F181" s="197">
        <f>F52-F305</f>
        <v>0</v>
      </c>
      <c r="G181" s="197"/>
      <c r="H181" s="197"/>
      <c r="I181" s="197">
        <f t="shared" ref="I181:AB181" si="3408">I52-I305</f>
        <v>0</v>
      </c>
      <c r="J181" s="197">
        <f t="shared" si="3408"/>
        <v>0</v>
      </c>
      <c r="K181" s="197">
        <f t="shared" si="3408"/>
        <v>0</v>
      </c>
      <c r="L181" s="197">
        <f t="shared" si="3408"/>
        <v>0</v>
      </c>
      <c r="M181" s="197">
        <f t="shared" si="3408"/>
        <v>0</v>
      </c>
      <c r="N181" s="197">
        <f t="shared" si="3408"/>
        <v>0</v>
      </c>
      <c r="O181" s="197">
        <f t="shared" si="3408"/>
        <v>0</v>
      </c>
      <c r="P181" s="197">
        <f t="shared" si="3408"/>
        <v>0</v>
      </c>
      <c r="Q181" s="197">
        <f t="shared" si="3408"/>
        <v>0</v>
      </c>
      <c r="R181" s="197">
        <f t="shared" si="3408"/>
        <v>0</v>
      </c>
      <c r="S181" s="197">
        <f t="shared" si="3408"/>
        <v>0</v>
      </c>
      <c r="T181" s="197">
        <f t="shared" si="3408"/>
        <v>0</v>
      </c>
      <c r="U181" s="197">
        <f t="shared" si="3408"/>
        <v>0</v>
      </c>
      <c r="V181" s="197">
        <f t="shared" si="3408"/>
        <v>0</v>
      </c>
      <c r="W181" s="197">
        <f t="shared" si="3408"/>
        <v>0</v>
      </c>
      <c r="X181" s="197">
        <f t="shared" si="3408"/>
        <v>0</v>
      </c>
      <c r="Y181" s="197">
        <f t="shared" si="3408"/>
        <v>0</v>
      </c>
      <c r="Z181" s="197">
        <f t="shared" si="3408"/>
        <v>0</v>
      </c>
      <c r="AA181" s="197">
        <f t="shared" si="3408"/>
        <v>0</v>
      </c>
      <c r="AB181" s="197">
        <f t="shared" si="3408"/>
        <v>0</v>
      </c>
      <c r="AC181" s="163"/>
      <c r="AD181" s="163"/>
      <c r="AE181" s="163"/>
      <c r="AF181" s="163"/>
      <c r="AH181" s="197"/>
      <c r="AI181" s="197">
        <f t="shared" ref="AI181:BN181" si="3409">AI52-AI305</f>
        <v>0</v>
      </c>
      <c r="AJ181" s="197">
        <f t="shared" si="3409"/>
        <v>0</v>
      </c>
      <c r="AK181" s="197">
        <f t="shared" si="3409"/>
        <v>0</v>
      </c>
      <c r="AL181" s="197">
        <f t="shared" si="3409"/>
        <v>0</v>
      </c>
      <c r="AM181" s="197">
        <f t="shared" si="3409"/>
        <v>0</v>
      </c>
      <c r="AN181" s="197">
        <f t="shared" si="3409"/>
        <v>0</v>
      </c>
      <c r="AO181" s="197">
        <f t="shared" si="3409"/>
        <v>0</v>
      </c>
      <c r="AP181" s="197">
        <f t="shared" si="3409"/>
        <v>0</v>
      </c>
      <c r="AQ181" s="197">
        <f t="shared" si="3409"/>
        <v>0</v>
      </c>
      <c r="AR181" s="197">
        <f t="shared" si="3409"/>
        <v>0</v>
      </c>
      <c r="AS181" s="197">
        <f t="shared" si="3409"/>
        <v>0</v>
      </c>
      <c r="AT181" s="197">
        <f t="shared" si="3409"/>
        <v>0</v>
      </c>
      <c r="AU181" s="197">
        <f t="shared" si="3409"/>
        <v>0</v>
      </c>
      <c r="AV181" s="197">
        <f t="shared" si="3409"/>
        <v>0</v>
      </c>
      <c r="AW181" s="197">
        <f t="shared" si="3409"/>
        <v>0</v>
      </c>
      <c r="AX181" s="197">
        <f t="shared" si="3409"/>
        <v>0</v>
      </c>
      <c r="AY181" s="197">
        <f t="shared" si="3409"/>
        <v>0</v>
      </c>
      <c r="AZ181" s="197">
        <f t="shared" si="3409"/>
        <v>0</v>
      </c>
      <c r="BA181" s="197">
        <f t="shared" si="3409"/>
        <v>0</v>
      </c>
      <c r="BB181" s="197">
        <f t="shared" si="3409"/>
        <v>0</v>
      </c>
      <c r="BC181" s="197">
        <f t="shared" si="3409"/>
        <v>0</v>
      </c>
      <c r="BD181" s="197">
        <f t="shared" si="3409"/>
        <v>0</v>
      </c>
      <c r="BE181" s="197">
        <f t="shared" si="3409"/>
        <v>0</v>
      </c>
      <c r="BF181" s="197">
        <f t="shared" si="3409"/>
        <v>0</v>
      </c>
      <c r="BG181" s="197">
        <f t="shared" si="3409"/>
        <v>0</v>
      </c>
      <c r="BH181" s="197">
        <f t="shared" si="3409"/>
        <v>0</v>
      </c>
      <c r="BI181" s="197">
        <f t="shared" si="3409"/>
        <v>0</v>
      </c>
      <c r="BJ181" s="197">
        <f t="shared" si="3409"/>
        <v>0</v>
      </c>
      <c r="BK181" s="197">
        <f t="shared" si="3409"/>
        <v>0</v>
      </c>
      <c r="BL181" s="197">
        <f t="shared" si="3409"/>
        <v>0</v>
      </c>
      <c r="BM181" s="197">
        <f t="shared" si="3409"/>
        <v>0</v>
      </c>
      <c r="BN181" s="197">
        <f t="shared" si="3409"/>
        <v>0</v>
      </c>
      <c r="BO181" s="197">
        <f t="shared" ref="BO181:CV181" si="3410">BO52-BO305</f>
        <v>0</v>
      </c>
      <c r="BP181" s="197">
        <f t="shared" si="3410"/>
        <v>0</v>
      </c>
      <c r="BQ181" s="197">
        <f t="shared" si="3410"/>
        <v>0</v>
      </c>
      <c r="BR181" s="197">
        <f t="shared" si="3410"/>
        <v>0</v>
      </c>
      <c r="BS181" s="197">
        <f t="shared" si="3410"/>
        <v>0</v>
      </c>
      <c r="BT181" s="197">
        <f t="shared" si="3410"/>
        <v>0</v>
      </c>
      <c r="BU181" s="197">
        <f t="shared" si="3410"/>
        <v>0</v>
      </c>
      <c r="BV181" s="197">
        <f t="shared" si="3410"/>
        <v>0</v>
      </c>
      <c r="BW181" s="197">
        <f t="shared" si="3410"/>
        <v>0</v>
      </c>
      <c r="BX181" s="197">
        <f t="shared" si="3410"/>
        <v>0</v>
      </c>
      <c r="BY181" s="197">
        <f t="shared" si="3410"/>
        <v>0</v>
      </c>
      <c r="BZ181" s="197">
        <f t="shared" si="3410"/>
        <v>0</v>
      </c>
      <c r="CA181" s="197">
        <f t="shared" si="3410"/>
        <v>0</v>
      </c>
      <c r="CB181" s="197">
        <f t="shared" si="3410"/>
        <v>0</v>
      </c>
      <c r="CC181" s="197">
        <f t="shared" si="3410"/>
        <v>0</v>
      </c>
      <c r="CD181" s="197">
        <f t="shared" si="3410"/>
        <v>0</v>
      </c>
      <c r="CE181" s="197">
        <f t="shared" si="3410"/>
        <v>0</v>
      </c>
      <c r="CF181" s="197">
        <f t="shared" si="3410"/>
        <v>0</v>
      </c>
      <c r="CG181" s="197">
        <f t="shared" si="3410"/>
        <v>0</v>
      </c>
      <c r="CH181" s="197">
        <f t="shared" si="3410"/>
        <v>0</v>
      </c>
      <c r="CI181" s="197">
        <f t="shared" si="3410"/>
        <v>0</v>
      </c>
      <c r="CJ181" s="197">
        <f t="shared" si="3410"/>
        <v>0</v>
      </c>
      <c r="CK181" s="197">
        <f t="shared" si="3410"/>
        <v>0</v>
      </c>
      <c r="CL181" s="197">
        <f t="shared" si="3410"/>
        <v>0</v>
      </c>
      <c r="CM181" s="197">
        <f t="shared" si="3410"/>
        <v>0</v>
      </c>
      <c r="CN181" s="197">
        <f t="shared" si="3410"/>
        <v>0</v>
      </c>
      <c r="CO181" s="197">
        <f t="shared" si="3410"/>
        <v>0</v>
      </c>
      <c r="CP181" s="197">
        <f t="shared" si="3410"/>
        <v>0</v>
      </c>
      <c r="CQ181" s="197">
        <f t="shared" si="3410"/>
        <v>0</v>
      </c>
      <c r="CR181" s="197">
        <f t="shared" si="3410"/>
        <v>0</v>
      </c>
      <c r="CS181" s="197">
        <f t="shared" si="3410"/>
        <v>0</v>
      </c>
      <c r="CT181" s="197">
        <f t="shared" si="3410"/>
        <v>0</v>
      </c>
      <c r="CU181" s="197">
        <f t="shared" si="3410"/>
        <v>0</v>
      </c>
      <c r="CV181" s="197">
        <f t="shared" si="3410"/>
        <v>0</v>
      </c>
      <c r="CW181" s="197"/>
      <c r="CX181" s="197">
        <f>CX52-CX305</f>
        <v>0</v>
      </c>
      <c r="CY181" s="197">
        <f>CY52-CY305</f>
        <v>0</v>
      </c>
      <c r="CZ181" s="197">
        <f>CZ52-CZ305</f>
        <v>0</v>
      </c>
      <c r="DA181" s="197">
        <f>DA52-DA305</f>
        <v>0</v>
      </c>
      <c r="DB181" s="197">
        <f>DB52-DB305</f>
        <v>0</v>
      </c>
      <c r="DC181" s="197">
        <f>DC52-DC305</f>
        <v>0</v>
      </c>
      <c r="DD181" s="197"/>
      <c r="DE181" s="197">
        <f t="shared" ref="DE181:EG181" si="3411">DE52-DE305</f>
        <v>0</v>
      </c>
      <c r="DF181" s="197">
        <f t="shared" si="3411"/>
        <v>0</v>
      </c>
      <c r="DG181" s="197">
        <f t="shared" si="3411"/>
        <v>46.313068213756964</v>
      </c>
      <c r="DH181" s="197">
        <f t="shared" si="3411"/>
        <v>0</v>
      </c>
      <c r="DI181" s="197">
        <f t="shared" si="3411"/>
        <v>0</v>
      </c>
      <c r="DJ181" s="197">
        <f t="shared" si="3411"/>
        <v>0</v>
      </c>
      <c r="DK181" s="197">
        <f t="shared" si="3411"/>
        <v>0</v>
      </c>
      <c r="DL181" s="197">
        <f t="shared" si="3411"/>
        <v>0</v>
      </c>
      <c r="DM181" s="197">
        <f t="shared" si="3411"/>
        <v>0</v>
      </c>
      <c r="DN181" s="197">
        <f t="shared" si="3411"/>
        <v>0</v>
      </c>
      <c r="DO181" s="197">
        <f t="shared" si="3411"/>
        <v>0</v>
      </c>
      <c r="DP181" s="197">
        <f t="shared" si="3411"/>
        <v>0</v>
      </c>
      <c r="DQ181" s="197">
        <f t="shared" si="3411"/>
        <v>0</v>
      </c>
      <c r="DR181" s="197">
        <f t="shared" si="3411"/>
        <v>0</v>
      </c>
      <c r="DS181" s="197">
        <f t="shared" si="3411"/>
        <v>0.76540490740140943</v>
      </c>
      <c r="DT181" s="197">
        <f t="shared" si="3411"/>
        <v>0</v>
      </c>
      <c r="DU181" s="197">
        <f t="shared" si="3411"/>
        <v>0</v>
      </c>
      <c r="DV181" s="197">
        <f t="shared" si="3411"/>
        <v>0</v>
      </c>
      <c r="DW181" s="197">
        <f t="shared" si="3411"/>
        <v>0</v>
      </c>
      <c r="DX181" s="197">
        <f t="shared" si="3411"/>
        <v>0</v>
      </c>
      <c r="DY181" s="197">
        <f t="shared" si="3411"/>
        <v>0</v>
      </c>
      <c r="DZ181" s="197">
        <f t="shared" si="3411"/>
        <v>0</v>
      </c>
      <c r="EA181" s="197">
        <f t="shared" si="3411"/>
        <v>0</v>
      </c>
      <c r="EB181" s="197">
        <f t="shared" si="3411"/>
        <v>0</v>
      </c>
      <c r="EC181" s="197">
        <f t="shared" si="3411"/>
        <v>0</v>
      </c>
      <c r="ED181" s="197">
        <f t="shared" si="3411"/>
        <v>0</v>
      </c>
      <c r="EE181" s="197">
        <f t="shared" si="3411"/>
        <v>0</v>
      </c>
      <c r="EF181" s="197">
        <f t="shared" si="3411"/>
        <v>0</v>
      </c>
      <c r="EG181" s="197">
        <f t="shared" si="3411"/>
        <v>0</v>
      </c>
    </row>
    <row r="182" spans="1:137" hidden="1">
      <c r="A182" s="157">
        <v>43586</v>
      </c>
      <c r="B182" s="197">
        <f>B53-B306</f>
        <v>0</v>
      </c>
      <c r="C182" s="197">
        <f>C53-C306</f>
        <v>0</v>
      </c>
      <c r="D182" s="197">
        <f>D53-D306</f>
        <v>0</v>
      </c>
      <c r="E182" s="197">
        <f>E53-E306</f>
        <v>0</v>
      </c>
      <c r="F182" s="197">
        <f>F53-F306</f>
        <v>0</v>
      </c>
      <c r="G182" s="197"/>
      <c r="H182" s="197"/>
      <c r="I182" s="197">
        <f t="shared" ref="I182:AB182" si="3412">I53-I306</f>
        <v>0</v>
      </c>
      <c r="J182" s="197">
        <f t="shared" si="3412"/>
        <v>0</v>
      </c>
      <c r="K182" s="197">
        <f t="shared" si="3412"/>
        <v>0</v>
      </c>
      <c r="L182" s="197">
        <f t="shared" si="3412"/>
        <v>0</v>
      </c>
      <c r="M182" s="197">
        <f t="shared" si="3412"/>
        <v>0</v>
      </c>
      <c r="N182" s="197">
        <f t="shared" si="3412"/>
        <v>0</v>
      </c>
      <c r="O182" s="197">
        <f t="shared" si="3412"/>
        <v>0</v>
      </c>
      <c r="P182" s="197">
        <f t="shared" si="3412"/>
        <v>0</v>
      </c>
      <c r="Q182" s="197">
        <f t="shared" si="3412"/>
        <v>0</v>
      </c>
      <c r="R182" s="197">
        <f t="shared" si="3412"/>
        <v>0</v>
      </c>
      <c r="S182" s="197">
        <f t="shared" si="3412"/>
        <v>0</v>
      </c>
      <c r="T182" s="197">
        <f t="shared" si="3412"/>
        <v>0</v>
      </c>
      <c r="U182" s="197">
        <f t="shared" si="3412"/>
        <v>0</v>
      </c>
      <c r="V182" s="197">
        <f t="shared" si="3412"/>
        <v>0</v>
      </c>
      <c r="W182" s="197">
        <f t="shared" si="3412"/>
        <v>0</v>
      </c>
      <c r="X182" s="197">
        <f t="shared" si="3412"/>
        <v>0</v>
      </c>
      <c r="Y182" s="197">
        <f t="shared" si="3412"/>
        <v>0</v>
      </c>
      <c r="Z182" s="197">
        <f t="shared" si="3412"/>
        <v>0</v>
      </c>
      <c r="AA182" s="197">
        <f t="shared" si="3412"/>
        <v>0</v>
      </c>
      <c r="AB182" s="197">
        <f t="shared" si="3412"/>
        <v>0</v>
      </c>
      <c r="AC182" s="163"/>
      <c r="AD182" s="163"/>
      <c r="AE182" s="163"/>
      <c r="AF182" s="163"/>
      <c r="AH182" s="197"/>
      <c r="AI182" s="197">
        <f t="shared" ref="AI182:BN182" si="3413">AI53-AI306</f>
        <v>0</v>
      </c>
      <c r="AJ182" s="197">
        <f t="shared" si="3413"/>
        <v>0</v>
      </c>
      <c r="AK182" s="197">
        <f t="shared" si="3413"/>
        <v>0</v>
      </c>
      <c r="AL182" s="197">
        <f t="shared" si="3413"/>
        <v>0</v>
      </c>
      <c r="AM182" s="197">
        <f t="shared" si="3413"/>
        <v>0</v>
      </c>
      <c r="AN182" s="197">
        <f t="shared" si="3413"/>
        <v>0</v>
      </c>
      <c r="AO182" s="197">
        <f t="shared" si="3413"/>
        <v>0</v>
      </c>
      <c r="AP182" s="197">
        <f t="shared" si="3413"/>
        <v>0</v>
      </c>
      <c r="AQ182" s="197">
        <f t="shared" si="3413"/>
        <v>0</v>
      </c>
      <c r="AR182" s="197">
        <f t="shared" si="3413"/>
        <v>0</v>
      </c>
      <c r="AS182" s="197">
        <f t="shared" si="3413"/>
        <v>0</v>
      </c>
      <c r="AT182" s="197">
        <f t="shared" si="3413"/>
        <v>0</v>
      </c>
      <c r="AU182" s="197">
        <f t="shared" si="3413"/>
        <v>0</v>
      </c>
      <c r="AV182" s="197">
        <f t="shared" si="3413"/>
        <v>0</v>
      </c>
      <c r="AW182" s="197">
        <f t="shared" si="3413"/>
        <v>0</v>
      </c>
      <c r="AX182" s="197">
        <f t="shared" si="3413"/>
        <v>0</v>
      </c>
      <c r="AY182" s="197">
        <f t="shared" si="3413"/>
        <v>0</v>
      </c>
      <c r="AZ182" s="197">
        <f t="shared" si="3413"/>
        <v>0</v>
      </c>
      <c r="BA182" s="197">
        <f t="shared" si="3413"/>
        <v>0</v>
      </c>
      <c r="BB182" s="197">
        <f t="shared" si="3413"/>
        <v>0</v>
      </c>
      <c r="BC182" s="197">
        <f t="shared" si="3413"/>
        <v>0</v>
      </c>
      <c r="BD182" s="197">
        <f t="shared" si="3413"/>
        <v>0</v>
      </c>
      <c r="BE182" s="197">
        <f t="shared" si="3413"/>
        <v>0</v>
      </c>
      <c r="BF182" s="197">
        <f t="shared" si="3413"/>
        <v>0</v>
      </c>
      <c r="BG182" s="197">
        <f t="shared" si="3413"/>
        <v>0</v>
      </c>
      <c r="BH182" s="197">
        <f t="shared" si="3413"/>
        <v>0</v>
      </c>
      <c r="BI182" s="197">
        <f t="shared" si="3413"/>
        <v>0</v>
      </c>
      <c r="BJ182" s="197">
        <f t="shared" si="3413"/>
        <v>0</v>
      </c>
      <c r="BK182" s="197">
        <f t="shared" si="3413"/>
        <v>0</v>
      </c>
      <c r="BL182" s="197">
        <f t="shared" si="3413"/>
        <v>0</v>
      </c>
      <c r="BM182" s="197">
        <f t="shared" si="3413"/>
        <v>0</v>
      </c>
      <c r="BN182" s="197">
        <f t="shared" si="3413"/>
        <v>0</v>
      </c>
      <c r="BO182" s="197">
        <f t="shared" ref="BO182:CV182" si="3414">BO53-BO306</f>
        <v>0</v>
      </c>
      <c r="BP182" s="197">
        <f t="shared" si="3414"/>
        <v>0</v>
      </c>
      <c r="BQ182" s="197">
        <f t="shared" si="3414"/>
        <v>0</v>
      </c>
      <c r="BR182" s="197">
        <f t="shared" si="3414"/>
        <v>0</v>
      </c>
      <c r="BS182" s="197">
        <f t="shared" si="3414"/>
        <v>0</v>
      </c>
      <c r="BT182" s="197">
        <f t="shared" si="3414"/>
        <v>0</v>
      </c>
      <c r="BU182" s="197">
        <f t="shared" si="3414"/>
        <v>0</v>
      </c>
      <c r="BV182" s="197">
        <f t="shared" si="3414"/>
        <v>0</v>
      </c>
      <c r="BW182" s="197">
        <f t="shared" si="3414"/>
        <v>0</v>
      </c>
      <c r="BX182" s="197">
        <f t="shared" si="3414"/>
        <v>0</v>
      </c>
      <c r="BY182" s="197">
        <f t="shared" si="3414"/>
        <v>0</v>
      </c>
      <c r="BZ182" s="197">
        <f t="shared" si="3414"/>
        <v>0</v>
      </c>
      <c r="CA182" s="197">
        <f t="shared" si="3414"/>
        <v>0</v>
      </c>
      <c r="CB182" s="197">
        <f t="shared" si="3414"/>
        <v>0</v>
      </c>
      <c r="CC182" s="197">
        <f t="shared" si="3414"/>
        <v>0</v>
      </c>
      <c r="CD182" s="197">
        <f t="shared" si="3414"/>
        <v>0</v>
      </c>
      <c r="CE182" s="197">
        <f t="shared" si="3414"/>
        <v>0</v>
      </c>
      <c r="CF182" s="197">
        <f t="shared" si="3414"/>
        <v>0</v>
      </c>
      <c r="CG182" s="197">
        <f t="shared" si="3414"/>
        <v>0</v>
      </c>
      <c r="CH182" s="197">
        <f t="shared" si="3414"/>
        <v>0</v>
      </c>
      <c r="CI182" s="197">
        <f t="shared" si="3414"/>
        <v>0</v>
      </c>
      <c r="CJ182" s="197">
        <f t="shared" si="3414"/>
        <v>0</v>
      </c>
      <c r="CK182" s="197">
        <f t="shared" si="3414"/>
        <v>0</v>
      </c>
      <c r="CL182" s="197">
        <f t="shared" si="3414"/>
        <v>0</v>
      </c>
      <c r="CM182" s="197">
        <f t="shared" si="3414"/>
        <v>0</v>
      </c>
      <c r="CN182" s="197">
        <f t="shared" si="3414"/>
        <v>0</v>
      </c>
      <c r="CO182" s="197">
        <f t="shared" si="3414"/>
        <v>0</v>
      </c>
      <c r="CP182" s="197">
        <f t="shared" si="3414"/>
        <v>0</v>
      </c>
      <c r="CQ182" s="197">
        <f t="shared" si="3414"/>
        <v>0</v>
      </c>
      <c r="CR182" s="197">
        <f t="shared" si="3414"/>
        <v>0</v>
      </c>
      <c r="CS182" s="197">
        <f t="shared" si="3414"/>
        <v>0</v>
      </c>
      <c r="CT182" s="197">
        <f t="shared" si="3414"/>
        <v>0</v>
      </c>
      <c r="CU182" s="197">
        <f t="shared" si="3414"/>
        <v>0</v>
      </c>
      <c r="CV182" s="197">
        <f t="shared" si="3414"/>
        <v>0</v>
      </c>
      <c r="CW182" s="197"/>
      <c r="CX182" s="197">
        <f>CX53-CX306</f>
        <v>0</v>
      </c>
      <c r="CY182" s="197">
        <f>CY53-CY306</f>
        <v>0</v>
      </c>
      <c r="CZ182" s="197">
        <f>CZ53-CZ306</f>
        <v>0</v>
      </c>
      <c r="DA182" s="197">
        <f>DA53-DA306</f>
        <v>0</v>
      </c>
      <c r="DB182" s="197">
        <f>DB53-DB306</f>
        <v>0</v>
      </c>
      <c r="DC182" s="197">
        <f>DC53-DC306</f>
        <v>0</v>
      </c>
      <c r="DD182" s="197"/>
      <c r="DE182" s="197">
        <f t="shared" ref="DE182:EG182" si="3415">DE53-DE306</f>
        <v>0</v>
      </c>
      <c r="DF182" s="197">
        <f t="shared" si="3415"/>
        <v>0</v>
      </c>
      <c r="DG182" s="197">
        <f t="shared" si="3415"/>
        <v>46.935474749819662</v>
      </c>
      <c r="DH182" s="197">
        <f t="shared" si="3415"/>
        <v>0</v>
      </c>
      <c r="DI182" s="197">
        <f t="shared" si="3415"/>
        <v>0</v>
      </c>
      <c r="DJ182" s="197">
        <f t="shared" si="3415"/>
        <v>0</v>
      </c>
      <c r="DK182" s="197">
        <f t="shared" si="3415"/>
        <v>0</v>
      </c>
      <c r="DL182" s="197">
        <f t="shared" si="3415"/>
        <v>0</v>
      </c>
      <c r="DM182" s="197">
        <f t="shared" si="3415"/>
        <v>0</v>
      </c>
      <c r="DN182" s="197">
        <f t="shared" si="3415"/>
        <v>0</v>
      </c>
      <c r="DO182" s="197">
        <f t="shared" si="3415"/>
        <v>0</v>
      </c>
      <c r="DP182" s="197">
        <f t="shared" si="3415"/>
        <v>0</v>
      </c>
      <c r="DQ182" s="197">
        <f t="shared" si="3415"/>
        <v>0</v>
      </c>
      <c r="DR182" s="197">
        <f t="shared" si="3415"/>
        <v>0</v>
      </c>
      <c r="DS182" s="197">
        <f t="shared" si="3415"/>
        <v>1.0448460212963371</v>
      </c>
      <c r="DT182" s="197">
        <f t="shared" si="3415"/>
        <v>0</v>
      </c>
      <c r="DU182" s="197">
        <f t="shared" si="3415"/>
        <v>0</v>
      </c>
      <c r="DV182" s="197">
        <f t="shared" si="3415"/>
        <v>0</v>
      </c>
      <c r="DW182" s="197">
        <f t="shared" si="3415"/>
        <v>0</v>
      </c>
      <c r="DX182" s="197">
        <f t="shared" si="3415"/>
        <v>0</v>
      </c>
      <c r="DY182" s="197">
        <f t="shared" si="3415"/>
        <v>0</v>
      </c>
      <c r="DZ182" s="197">
        <f t="shared" si="3415"/>
        <v>0</v>
      </c>
      <c r="EA182" s="197">
        <f t="shared" si="3415"/>
        <v>0</v>
      </c>
      <c r="EB182" s="197">
        <f t="shared" si="3415"/>
        <v>0</v>
      </c>
      <c r="EC182" s="197">
        <f t="shared" si="3415"/>
        <v>0</v>
      </c>
      <c r="ED182" s="197">
        <f t="shared" si="3415"/>
        <v>0</v>
      </c>
      <c r="EE182" s="197">
        <f t="shared" si="3415"/>
        <v>0</v>
      </c>
      <c r="EF182" s="197">
        <f t="shared" si="3415"/>
        <v>0</v>
      </c>
      <c r="EG182" s="197">
        <f t="shared" si="3415"/>
        <v>0</v>
      </c>
    </row>
    <row r="183" spans="1:137" hidden="1">
      <c r="A183" s="157">
        <v>43617</v>
      </c>
      <c r="B183" s="197">
        <f>B54-B307</f>
        <v>0</v>
      </c>
      <c r="C183" s="197">
        <f>C54-C307</f>
        <v>0</v>
      </c>
      <c r="D183" s="197">
        <f>D54-D307</f>
        <v>0</v>
      </c>
      <c r="E183" s="197">
        <f>E54-E307</f>
        <v>0</v>
      </c>
      <c r="F183" s="197">
        <f>F54-F307</f>
        <v>0</v>
      </c>
      <c r="G183" s="197"/>
      <c r="H183" s="197"/>
      <c r="I183" s="197">
        <f t="shared" ref="I183:AB183" si="3416">I54-I307</f>
        <v>0</v>
      </c>
      <c r="J183" s="197">
        <f t="shared" si="3416"/>
        <v>0</v>
      </c>
      <c r="K183" s="197">
        <f t="shared" si="3416"/>
        <v>0</v>
      </c>
      <c r="L183" s="197">
        <f t="shared" si="3416"/>
        <v>0</v>
      </c>
      <c r="M183" s="197">
        <f t="shared" si="3416"/>
        <v>0</v>
      </c>
      <c r="N183" s="197">
        <f t="shared" si="3416"/>
        <v>0</v>
      </c>
      <c r="O183" s="197">
        <f t="shared" si="3416"/>
        <v>0</v>
      </c>
      <c r="P183" s="197">
        <f t="shared" si="3416"/>
        <v>0</v>
      </c>
      <c r="Q183" s="197">
        <f t="shared" si="3416"/>
        <v>0</v>
      </c>
      <c r="R183" s="197">
        <f t="shared" si="3416"/>
        <v>0</v>
      </c>
      <c r="S183" s="197">
        <f t="shared" si="3416"/>
        <v>0</v>
      </c>
      <c r="T183" s="197">
        <f t="shared" si="3416"/>
        <v>0</v>
      </c>
      <c r="U183" s="197">
        <f t="shared" si="3416"/>
        <v>0</v>
      </c>
      <c r="V183" s="197">
        <f t="shared" si="3416"/>
        <v>0</v>
      </c>
      <c r="W183" s="197">
        <f t="shared" si="3416"/>
        <v>0</v>
      </c>
      <c r="X183" s="197">
        <f t="shared" si="3416"/>
        <v>0</v>
      </c>
      <c r="Y183" s="197">
        <f t="shared" si="3416"/>
        <v>0</v>
      </c>
      <c r="Z183" s="197">
        <f t="shared" si="3416"/>
        <v>0</v>
      </c>
      <c r="AA183" s="197">
        <f t="shared" si="3416"/>
        <v>0</v>
      </c>
      <c r="AB183" s="197">
        <f t="shared" si="3416"/>
        <v>0</v>
      </c>
      <c r="AC183" s="163"/>
      <c r="AD183" s="163"/>
      <c r="AE183" s="163"/>
      <c r="AF183" s="163"/>
      <c r="AH183" s="197"/>
      <c r="AI183" s="197">
        <f t="shared" ref="AI183:BN183" si="3417">AI54-AI307</f>
        <v>0</v>
      </c>
      <c r="AJ183" s="197">
        <f t="shared" si="3417"/>
        <v>0</v>
      </c>
      <c r="AK183" s="197">
        <f t="shared" si="3417"/>
        <v>0</v>
      </c>
      <c r="AL183" s="197">
        <f t="shared" si="3417"/>
        <v>0</v>
      </c>
      <c r="AM183" s="197">
        <f t="shared" si="3417"/>
        <v>0</v>
      </c>
      <c r="AN183" s="197">
        <f t="shared" si="3417"/>
        <v>0</v>
      </c>
      <c r="AO183" s="197">
        <f t="shared" si="3417"/>
        <v>0</v>
      </c>
      <c r="AP183" s="197">
        <f t="shared" si="3417"/>
        <v>0</v>
      </c>
      <c r="AQ183" s="197">
        <f t="shared" si="3417"/>
        <v>0</v>
      </c>
      <c r="AR183" s="197">
        <f t="shared" si="3417"/>
        <v>0</v>
      </c>
      <c r="AS183" s="197">
        <f t="shared" si="3417"/>
        <v>0</v>
      </c>
      <c r="AT183" s="197">
        <f t="shared" si="3417"/>
        <v>0</v>
      </c>
      <c r="AU183" s="197">
        <f t="shared" si="3417"/>
        <v>0</v>
      </c>
      <c r="AV183" s="197">
        <f t="shared" si="3417"/>
        <v>0</v>
      </c>
      <c r="AW183" s="197">
        <f t="shared" si="3417"/>
        <v>0</v>
      </c>
      <c r="AX183" s="197">
        <f t="shared" si="3417"/>
        <v>0</v>
      </c>
      <c r="AY183" s="197">
        <f t="shared" si="3417"/>
        <v>0</v>
      </c>
      <c r="AZ183" s="197">
        <f t="shared" si="3417"/>
        <v>0</v>
      </c>
      <c r="BA183" s="197">
        <f t="shared" si="3417"/>
        <v>0</v>
      </c>
      <c r="BB183" s="197">
        <f t="shared" si="3417"/>
        <v>0</v>
      </c>
      <c r="BC183" s="197">
        <f t="shared" si="3417"/>
        <v>0</v>
      </c>
      <c r="BD183" s="197">
        <f t="shared" si="3417"/>
        <v>0</v>
      </c>
      <c r="BE183" s="197">
        <f t="shared" si="3417"/>
        <v>0</v>
      </c>
      <c r="BF183" s="197">
        <f t="shared" si="3417"/>
        <v>0</v>
      </c>
      <c r="BG183" s="197">
        <f t="shared" si="3417"/>
        <v>0</v>
      </c>
      <c r="BH183" s="197">
        <f t="shared" si="3417"/>
        <v>0</v>
      </c>
      <c r="BI183" s="197">
        <f t="shared" si="3417"/>
        <v>0</v>
      </c>
      <c r="BJ183" s="197">
        <f t="shared" si="3417"/>
        <v>0</v>
      </c>
      <c r="BK183" s="197">
        <f t="shared" si="3417"/>
        <v>0</v>
      </c>
      <c r="BL183" s="197">
        <f t="shared" si="3417"/>
        <v>0</v>
      </c>
      <c r="BM183" s="197">
        <f t="shared" si="3417"/>
        <v>0</v>
      </c>
      <c r="BN183" s="197">
        <f t="shared" si="3417"/>
        <v>0</v>
      </c>
      <c r="BO183" s="197">
        <f t="shared" ref="BO183:CV183" si="3418">BO54-BO307</f>
        <v>0</v>
      </c>
      <c r="BP183" s="197">
        <f t="shared" si="3418"/>
        <v>0</v>
      </c>
      <c r="BQ183" s="197">
        <f t="shared" si="3418"/>
        <v>0</v>
      </c>
      <c r="BR183" s="197">
        <f t="shared" si="3418"/>
        <v>0</v>
      </c>
      <c r="BS183" s="197">
        <f t="shared" si="3418"/>
        <v>0</v>
      </c>
      <c r="BT183" s="197">
        <f t="shared" si="3418"/>
        <v>0</v>
      </c>
      <c r="BU183" s="197">
        <f t="shared" si="3418"/>
        <v>0</v>
      </c>
      <c r="BV183" s="197">
        <f t="shared" si="3418"/>
        <v>0</v>
      </c>
      <c r="BW183" s="197">
        <f t="shared" si="3418"/>
        <v>0</v>
      </c>
      <c r="BX183" s="197">
        <f t="shared" si="3418"/>
        <v>0</v>
      </c>
      <c r="BY183" s="197">
        <f t="shared" si="3418"/>
        <v>0</v>
      </c>
      <c r="BZ183" s="197">
        <f t="shared" si="3418"/>
        <v>0</v>
      </c>
      <c r="CA183" s="197">
        <f t="shared" si="3418"/>
        <v>0</v>
      </c>
      <c r="CB183" s="197">
        <f t="shared" si="3418"/>
        <v>0</v>
      </c>
      <c r="CC183" s="197">
        <f t="shared" si="3418"/>
        <v>0</v>
      </c>
      <c r="CD183" s="197">
        <f t="shared" si="3418"/>
        <v>0</v>
      </c>
      <c r="CE183" s="197">
        <f t="shared" si="3418"/>
        <v>0</v>
      </c>
      <c r="CF183" s="197">
        <f t="shared" si="3418"/>
        <v>0</v>
      </c>
      <c r="CG183" s="197">
        <f t="shared" si="3418"/>
        <v>0</v>
      </c>
      <c r="CH183" s="197">
        <f t="shared" si="3418"/>
        <v>0</v>
      </c>
      <c r="CI183" s="197">
        <f t="shared" si="3418"/>
        <v>0</v>
      </c>
      <c r="CJ183" s="197">
        <f t="shared" si="3418"/>
        <v>0</v>
      </c>
      <c r="CK183" s="197">
        <f t="shared" si="3418"/>
        <v>0</v>
      </c>
      <c r="CL183" s="197">
        <f t="shared" si="3418"/>
        <v>0</v>
      </c>
      <c r="CM183" s="197">
        <f t="shared" si="3418"/>
        <v>0</v>
      </c>
      <c r="CN183" s="197">
        <f t="shared" si="3418"/>
        <v>0</v>
      </c>
      <c r="CO183" s="197">
        <f t="shared" si="3418"/>
        <v>0</v>
      </c>
      <c r="CP183" s="197">
        <f t="shared" si="3418"/>
        <v>0</v>
      </c>
      <c r="CQ183" s="197">
        <f t="shared" si="3418"/>
        <v>0</v>
      </c>
      <c r="CR183" s="197">
        <f t="shared" si="3418"/>
        <v>0</v>
      </c>
      <c r="CS183" s="197">
        <f t="shared" si="3418"/>
        <v>0</v>
      </c>
      <c r="CT183" s="197">
        <f t="shared" si="3418"/>
        <v>0</v>
      </c>
      <c r="CU183" s="197">
        <f t="shared" si="3418"/>
        <v>0</v>
      </c>
      <c r="CV183" s="197">
        <f t="shared" si="3418"/>
        <v>0</v>
      </c>
      <c r="CW183" s="197"/>
      <c r="CX183" s="197">
        <f>CX54-CX307</f>
        <v>0</v>
      </c>
      <c r="CY183" s="197">
        <f>CY54-CY307</f>
        <v>0</v>
      </c>
      <c r="CZ183" s="197">
        <f>CZ54-CZ307</f>
        <v>0</v>
      </c>
      <c r="DA183" s="197">
        <f>DA54-DA307</f>
        <v>0</v>
      </c>
      <c r="DB183" s="197">
        <f>DB54-DB307</f>
        <v>0</v>
      </c>
      <c r="DC183" s="197">
        <f>DC54-DC307</f>
        <v>0</v>
      </c>
      <c r="DD183" s="197"/>
      <c r="DE183" s="197">
        <f t="shared" ref="DE183:EG183" si="3419">DE54-DE307</f>
        <v>0</v>
      </c>
      <c r="DF183" s="197">
        <f t="shared" si="3419"/>
        <v>0</v>
      </c>
      <c r="DG183" s="197">
        <f t="shared" si="3419"/>
        <v>46.459965030300758</v>
      </c>
      <c r="DH183" s="197">
        <f t="shared" si="3419"/>
        <v>0</v>
      </c>
      <c r="DI183" s="197">
        <f t="shared" si="3419"/>
        <v>0</v>
      </c>
      <c r="DJ183" s="197">
        <f t="shared" si="3419"/>
        <v>0</v>
      </c>
      <c r="DK183" s="197">
        <f t="shared" si="3419"/>
        <v>0</v>
      </c>
      <c r="DL183" s="197">
        <f t="shared" si="3419"/>
        <v>0</v>
      </c>
      <c r="DM183" s="197">
        <f t="shared" si="3419"/>
        <v>0</v>
      </c>
      <c r="DN183" s="197">
        <f t="shared" si="3419"/>
        <v>0</v>
      </c>
      <c r="DO183" s="197">
        <f t="shared" si="3419"/>
        <v>0</v>
      </c>
      <c r="DP183" s="197">
        <f t="shared" si="3419"/>
        <v>0</v>
      </c>
      <c r="DQ183" s="197">
        <f t="shared" si="3419"/>
        <v>0</v>
      </c>
      <c r="DR183" s="197">
        <f t="shared" si="3419"/>
        <v>0</v>
      </c>
      <c r="DS183" s="197">
        <f t="shared" si="3419"/>
        <v>1.0428497581508696</v>
      </c>
      <c r="DT183" s="197">
        <f t="shared" si="3419"/>
        <v>0</v>
      </c>
      <c r="DU183" s="197">
        <f t="shared" si="3419"/>
        <v>0</v>
      </c>
      <c r="DV183" s="197">
        <f t="shared" si="3419"/>
        <v>0</v>
      </c>
      <c r="DW183" s="197">
        <f t="shared" si="3419"/>
        <v>0</v>
      </c>
      <c r="DX183" s="197">
        <f t="shared" si="3419"/>
        <v>0</v>
      </c>
      <c r="DY183" s="197">
        <f t="shared" si="3419"/>
        <v>0</v>
      </c>
      <c r="DZ183" s="197">
        <f t="shared" si="3419"/>
        <v>0</v>
      </c>
      <c r="EA183" s="197">
        <f t="shared" si="3419"/>
        <v>0</v>
      </c>
      <c r="EB183" s="197">
        <f t="shared" si="3419"/>
        <v>0</v>
      </c>
      <c r="EC183" s="197">
        <f t="shared" si="3419"/>
        <v>0</v>
      </c>
      <c r="ED183" s="197">
        <f t="shared" si="3419"/>
        <v>0</v>
      </c>
      <c r="EE183" s="197">
        <f t="shared" si="3419"/>
        <v>0</v>
      </c>
      <c r="EF183" s="197">
        <f t="shared" si="3419"/>
        <v>0</v>
      </c>
      <c r="EG183" s="197">
        <f t="shared" si="3419"/>
        <v>0</v>
      </c>
    </row>
    <row r="184" spans="1:137" hidden="1">
      <c r="A184" s="157">
        <v>43647</v>
      </c>
      <c r="B184" s="197">
        <f>B55-B308</f>
        <v>0</v>
      </c>
      <c r="C184" s="197">
        <f>C55-C308</f>
        <v>0</v>
      </c>
      <c r="D184" s="197">
        <f>D55-D308</f>
        <v>0</v>
      </c>
      <c r="E184" s="197">
        <f>E55-E308</f>
        <v>0</v>
      </c>
      <c r="F184" s="197">
        <f>F55-F308</f>
        <v>0</v>
      </c>
      <c r="G184" s="197"/>
      <c r="H184" s="197"/>
      <c r="I184" s="197">
        <f t="shared" ref="I184:AB184" si="3420">I55-I308</f>
        <v>0</v>
      </c>
      <c r="J184" s="197">
        <f t="shared" si="3420"/>
        <v>0</v>
      </c>
      <c r="K184" s="197">
        <f t="shared" si="3420"/>
        <v>0</v>
      </c>
      <c r="L184" s="197">
        <f t="shared" si="3420"/>
        <v>0</v>
      </c>
      <c r="M184" s="197">
        <f t="shared" si="3420"/>
        <v>0</v>
      </c>
      <c r="N184" s="197">
        <f t="shared" si="3420"/>
        <v>0</v>
      </c>
      <c r="O184" s="197">
        <f t="shared" si="3420"/>
        <v>0</v>
      </c>
      <c r="P184" s="197">
        <f t="shared" si="3420"/>
        <v>0</v>
      </c>
      <c r="Q184" s="197">
        <f t="shared" si="3420"/>
        <v>0</v>
      </c>
      <c r="R184" s="197">
        <f t="shared" si="3420"/>
        <v>0</v>
      </c>
      <c r="S184" s="197">
        <f t="shared" si="3420"/>
        <v>0</v>
      </c>
      <c r="T184" s="197">
        <f t="shared" si="3420"/>
        <v>0</v>
      </c>
      <c r="U184" s="197">
        <f t="shared" si="3420"/>
        <v>0</v>
      </c>
      <c r="V184" s="197">
        <f t="shared" si="3420"/>
        <v>0</v>
      </c>
      <c r="W184" s="197">
        <f t="shared" si="3420"/>
        <v>0</v>
      </c>
      <c r="X184" s="197">
        <f t="shared" si="3420"/>
        <v>0</v>
      </c>
      <c r="Y184" s="197">
        <f t="shared" si="3420"/>
        <v>0</v>
      </c>
      <c r="Z184" s="197">
        <f t="shared" si="3420"/>
        <v>0</v>
      </c>
      <c r="AA184" s="197">
        <f t="shared" si="3420"/>
        <v>0</v>
      </c>
      <c r="AB184" s="197">
        <f t="shared" si="3420"/>
        <v>0</v>
      </c>
      <c r="AC184" s="163"/>
      <c r="AD184" s="163"/>
      <c r="AE184" s="163"/>
      <c r="AF184" s="163"/>
      <c r="AH184" s="197"/>
      <c r="AI184" s="197">
        <f t="shared" ref="AI184:BN184" si="3421">AI55-AI308</f>
        <v>0</v>
      </c>
      <c r="AJ184" s="197">
        <f t="shared" si="3421"/>
        <v>0</v>
      </c>
      <c r="AK184" s="197">
        <f t="shared" si="3421"/>
        <v>0</v>
      </c>
      <c r="AL184" s="197">
        <f t="shared" si="3421"/>
        <v>0</v>
      </c>
      <c r="AM184" s="197">
        <f t="shared" si="3421"/>
        <v>0</v>
      </c>
      <c r="AN184" s="197">
        <f t="shared" si="3421"/>
        <v>0</v>
      </c>
      <c r="AO184" s="197">
        <f t="shared" si="3421"/>
        <v>0</v>
      </c>
      <c r="AP184" s="197">
        <f t="shared" si="3421"/>
        <v>0</v>
      </c>
      <c r="AQ184" s="197">
        <f t="shared" si="3421"/>
        <v>0</v>
      </c>
      <c r="AR184" s="197">
        <f t="shared" si="3421"/>
        <v>0</v>
      </c>
      <c r="AS184" s="197">
        <f t="shared" si="3421"/>
        <v>0</v>
      </c>
      <c r="AT184" s="197">
        <f t="shared" si="3421"/>
        <v>0</v>
      </c>
      <c r="AU184" s="197">
        <f t="shared" si="3421"/>
        <v>0</v>
      </c>
      <c r="AV184" s="197">
        <f t="shared" si="3421"/>
        <v>0</v>
      </c>
      <c r="AW184" s="197">
        <f t="shared" si="3421"/>
        <v>0</v>
      </c>
      <c r="AX184" s="197">
        <f t="shared" si="3421"/>
        <v>0</v>
      </c>
      <c r="AY184" s="197">
        <f t="shared" si="3421"/>
        <v>0</v>
      </c>
      <c r="AZ184" s="197">
        <f t="shared" si="3421"/>
        <v>0</v>
      </c>
      <c r="BA184" s="197">
        <f t="shared" si="3421"/>
        <v>0</v>
      </c>
      <c r="BB184" s="197">
        <f t="shared" si="3421"/>
        <v>0</v>
      </c>
      <c r="BC184" s="197">
        <f t="shared" si="3421"/>
        <v>0</v>
      </c>
      <c r="BD184" s="197">
        <f t="shared" si="3421"/>
        <v>0</v>
      </c>
      <c r="BE184" s="197">
        <f t="shared" si="3421"/>
        <v>0</v>
      </c>
      <c r="BF184" s="197">
        <f t="shared" si="3421"/>
        <v>0</v>
      </c>
      <c r="BG184" s="197">
        <f t="shared" si="3421"/>
        <v>0</v>
      </c>
      <c r="BH184" s="197">
        <f t="shared" si="3421"/>
        <v>0</v>
      </c>
      <c r="BI184" s="197">
        <f t="shared" si="3421"/>
        <v>0</v>
      </c>
      <c r="BJ184" s="197">
        <f t="shared" si="3421"/>
        <v>0</v>
      </c>
      <c r="BK184" s="197">
        <f t="shared" si="3421"/>
        <v>0</v>
      </c>
      <c r="BL184" s="197">
        <f t="shared" si="3421"/>
        <v>0</v>
      </c>
      <c r="BM184" s="197">
        <f t="shared" si="3421"/>
        <v>0</v>
      </c>
      <c r="BN184" s="197">
        <f t="shared" si="3421"/>
        <v>0</v>
      </c>
      <c r="BO184" s="197">
        <f t="shared" ref="BO184:CV184" si="3422">BO55-BO308</f>
        <v>0</v>
      </c>
      <c r="BP184" s="197">
        <f t="shared" si="3422"/>
        <v>0</v>
      </c>
      <c r="BQ184" s="197">
        <f t="shared" si="3422"/>
        <v>0</v>
      </c>
      <c r="BR184" s="197">
        <f t="shared" si="3422"/>
        <v>0</v>
      </c>
      <c r="BS184" s="197">
        <f t="shared" si="3422"/>
        <v>0</v>
      </c>
      <c r="BT184" s="197">
        <f t="shared" si="3422"/>
        <v>0</v>
      </c>
      <c r="BU184" s="197">
        <f t="shared" si="3422"/>
        <v>0</v>
      </c>
      <c r="BV184" s="197">
        <f t="shared" si="3422"/>
        <v>0</v>
      </c>
      <c r="BW184" s="197">
        <f t="shared" si="3422"/>
        <v>0</v>
      </c>
      <c r="BX184" s="197">
        <f t="shared" si="3422"/>
        <v>0</v>
      </c>
      <c r="BY184" s="197">
        <f t="shared" si="3422"/>
        <v>0</v>
      </c>
      <c r="BZ184" s="197">
        <f t="shared" si="3422"/>
        <v>0</v>
      </c>
      <c r="CA184" s="197">
        <f t="shared" si="3422"/>
        <v>0</v>
      </c>
      <c r="CB184" s="197">
        <f t="shared" si="3422"/>
        <v>0</v>
      </c>
      <c r="CC184" s="197">
        <f t="shared" si="3422"/>
        <v>0</v>
      </c>
      <c r="CD184" s="197">
        <f t="shared" si="3422"/>
        <v>0</v>
      </c>
      <c r="CE184" s="197">
        <f t="shared" si="3422"/>
        <v>0</v>
      </c>
      <c r="CF184" s="197">
        <f t="shared" si="3422"/>
        <v>0</v>
      </c>
      <c r="CG184" s="197">
        <f t="shared" si="3422"/>
        <v>0</v>
      </c>
      <c r="CH184" s="197">
        <f t="shared" si="3422"/>
        <v>0</v>
      </c>
      <c r="CI184" s="197">
        <f t="shared" si="3422"/>
        <v>0</v>
      </c>
      <c r="CJ184" s="197">
        <f t="shared" si="3422"/>
        <v>0</v>
      </c>
      <c r="CK184" s="197">
        <f t="shared" si="3422"/>
        <v>0</v>
      </c>
      <c r="CL184" s="197">
        <f t="shared" si="3422"/>
        <v>0</v>
      </c>
      <c r="CM184" s="197">
        <f t="shared" si="3422"/>
        <v>0</v>
      </c>
      <c r="CN184" s="197">
        <f t="shared" si="3422"/>
        <v>0</v>
      </c>
      <c r="CO184" s="197">
        <f t="shared" si="3422"/>
        <v>0</v>
      </c>
      <c r="CP184" s="197">
        <f t="shared" si="3422"/>
        <v>0</v>
      </c>
      <c r="CQ184" s="197">
        <f t="shared" si="3422"/>
        <v>0</v>
      </c>
      <c r="CR184" s="197">
        <f t="shared" si="3422"/>
        <v>0</v>
      </c>
      <c r="CS184" s="197">
        <f t="shared" si="3422"/>
        <v>0</v>
      </c>
      <c r="CT184" s="197">
        <f t="shared" si="3422"/>
        <v>0</v>
      </c>
      <c r="CU184" s="197">
        <f t="shared" si="3422"/>
        <v>0</v>
      </c>
      <c r="CV184" s="197">
        <f t="shared" si="3422"/>
        <v>0</v>
      </c>
      <c r="CW184" s="197"/>
      <c r="CX184" s="197">
        <f>CX55-CX308</f>
        <v>0</v>
      </c>
      <c r="CY184" s="197">
        <f>CY55-CY308</f>
        <v>0</v>
      </c>
      <c r="CZ184" s="197">
        <f>CZ55-CZ308</f>
        <v>0</v>
      </c>
      <c r="DA184" s="197">
        <f>DA55-DA308</f>
        <v>0</v>
      </c>
      <c r="DB184" s="197">
        <f>DB55-DB308</f>
        <v>0</v>
      </c>
      <c r="DC184" s="197">
        <f>DC55-DC308</f>
        <v>0</v>
      </c>
      <c r="DD184" s="197"/>
      <c r="DE184" s="197">
        <f t="shared" ref="DE184:EG184" si="3423">DE55-DE308</f>
        <v>0</v>
      </c>
      <c r="DF184" s="197">
        <f t="shared" si="3423"/>
        <v>0</v>
      </c>
      <c r="DG184" s="197">
        <f t="shared" si="3423"/>
        <v>46.795668389490032</v>
      </c>
      <c r="DH184" s="197">
        <f t="shared" si="3423"/>
        <v>0</v>
      </c>
      <c r="DI184" s="197">
        <f t="shared" si="3423"/>
        <v>0</v>
      </c>
      <c r="DJ184" s="197">
        <f t="shared" si="3423"/>
        <v>0</v>
      </c>
      <c r="DK184" s="197">
        <f t="shared" si="3423"/>
        <v>0</v>
      </c>
      <c r="DL184" s="197">
        <f t="shared" si="3423"/>
        <v>0</v>
      </c>
      <c r="DM184" s="197">
        <f t="shared" si="3423"/>
        <v>0</v>
      </c>
      <c r="DN184" s="197">
        <f t="shared" si="3423"/>
        <v>0</v>
      </c>
      <c r="DO184" s="197">
        <f t="shared" si="3423"/>
        <v>0</v>
      </c>
      <c r="DP184" s="197">
        <f t="shared" si="3423"/>
        <v>0</v>
      </c>
      <c r="DQ184" s="197">
        <f t="shared" si="3423"/>
        <v>0</v>
      </c>
      <c r="DR184" s="197">
        <f t="shared" si="3423"/>
        <v>0</v>
      </c>
      <c r="DS184" s="197">
        <f t="shared" si="3423"/>
        <v>0.87139062423139357</v>
      </c>
      <c r="DT184" s="197">
        <f t="shared" si="3423"/>
        <v>0</v>
      </c>
      <c r="DU184" s="197">
        <f t="shared" si="3423"/>
        <v>0</v>
      </c>
      <c r="DV184" s="197">
        <f t="shared" si="3423"/>
        <v>0</v>
      </c>
      <c r="DW184" s="197">
        <f t="shared" si="3423"/>
        <v>0</v>
      </c>
      <c r="DX184" s="197">
        <f t="shared" si="3423"/>
        <v>0</v>
      </c>
      <c r="DY184" s="197">
        <f t="shared" si="3423"/>
        <v>0</v>
      </c>
      <c r="DZ184" s="197">
        <f t="shared" si="3423"/>
        <v>0</v>
      </c>
      <c r="EA184" s="197">
        <f t="shared" si="3423"/>
        <v>0</v>
      </c>
      <c r="EB184" s="197">
        <f t="shared" si="3423"/>
        <v>0</v>
      </c>
      <c r="EC184" s="197">
        <f t="shared" si="3423"/>
        <v>0</v>
      </c>
      <c r="ED184" s="197">
        <f t="shared" si="3423"/>
        <v>0</v>
      </c>
      <c r="EE184" s="197">
        <f t="shared" si="3423"/>
        <v>0</v>
      </c>
      <c r="EF184" s="197">
        <f t="shared" si="3423"/>
        <v>0</v>
      </c>
      <c r="EG184" s="197">
        <f t="shared" si="3423"/>
        <v>0</v>
      </c>
    </row>
    <row r="185" spans="1:137" hidden="1">
      <c r="A185" s="157">
        <v>43678</v>
      </c>
      <c r="B185" s="197">
        <f>B56-B309</f>
        <v>5.6970000000001164</v>
      </c>
      <c r="C185" s="197">
        <f>C56-C309</f>
        <v>0.18989999999999441</v>
      </c>
      <c r="D185" s="197">
        <f>D56-D309</f>
        <v>0.18989999999999441</v>
      </c>
      <c r="E185" s="197">
        <f>E56-E309</f>
        <v>1.1297855251806155E-3</v>
      </c>
      <c r="F185" s="197">
        <f>F56-F309</f>
        <v>4.3470000000002074</v>
      </c>
      <c r="G185" s="197"/>
      <c r="H185" s="197"/>
      <c r="I185" s="197">
        <f t="shared" ref="I185:AB185" si="3424">I56-I309</f>
        <v>0.10199999999997544</v>
      </c>
      <c r="J185" s="197">
        <f t="shared" si="3424"/>
        <v>2.2115500918076236E-3</v>
      </c>
      <c r="K185" s="197">
        <f t="shared" si="3424"/>
        <v>-1.0488261665244636E-3</v>
      </c>
      <c r="L185" s="197">
        <f t="shared" si="3424"/>
        <v>-1.0488261665244636E-3</v>
      </c>
      <c r="M185" s="197">
        <f t="shared" si="3424"/>
        <v>0</v>
      </c>
      <c r="N185" s="197">
        <f t="shared" si="3424"/>
        <v>0</v>
      </c>
      <c r="O185" s="197">
        <f t="shared" si="3424"/>
        <v>1.7210000000000036</v>
      </c>
      <c r="P185" s="197">
        <f t="shared" si="3424"/>
        <v>0.36300000000005639</v>
      </c>
      <c r="Q185" s="197">
        <f t="shared" si="3424"/>
        <v>0.13999999999998636</v>
      </c>
      <c r="R185" s="197">
        <f t="shared" si="3424"/>
        <v>0.22300000000001319</v>
      </c>
      <c r="S185" s="197">
        <f t="shared" si="3424"/>
        <v>0</v>
      </c>
      <c r="T185" s="197">
        <f t="shared" si="3424"/>
        <v>0.15800000000001546</v>
      </c>
      <c r="U185" s="197">
        <f t="shared" si="3424"/>
        <v>0.52099999999995816</v>
      </c>
      <c r="V185" s="197">
        <f t="shared" si="3424"/>
        <v>3.7197121899468222E-4</v>
      </c>
      <c r="W185" s="197">
        <f t="shared" si="3424"/>
        <v>-2.6600348722105593E-3</v>
      </c>
      <c r="X185" s="197">
        <f t="shared" si="3424"/>
        <v>-2.6600348722105593E-3</v>
      </c>
      <c r="Y185" s="197">
        <f t="shared" si="3424"/>
        <v>-3.7088610387314702E-3</v>
      </c>
      <c r="Z185" s="197">
        <f t="shared" si="3424"/>
        <v>1.3499999999999091</v>
      </c>
      <c r="AA185" s="197">
        <f t="shared" si="3424"/>
        <v>1.2899999999999636</v>
      </c>
      <c r="AB185" s="197">
        <f t="shared" si="3424"/>
        <v>1.457623804482569E-5</v>
      </c>
      <c r="AC185" s="163"/>
      <c r="AD185" s="163"/>
      <c r="AE185" s="163"/>
      <c r="AF185" s="163"/>
      <c r="AH185" s="197"/>
      <c r="AI185" s="197">
        <f t="shared" ref="AI185:BN185" si="3425">AI56-AI309</f>
        <v>0</v>
      </c>
      <c r="AJ185" s="197">
        <f t="shared" si="3425"/>
        <v>0</v>
      </c>
      <c r="AK185" s="197">
        <f t="shared" si="3425"/>
        <v>0</v>
      </c>
      <c r="AL185" s="197">
        <f t="shared" si="3425"/>
        <v>0</v>
      </c>
      <c r="AM185" s="197">
        <f t="shared" si="3425"/>
        <v>0</v>
      </c>
      <c r="AN185" s="197">
        <f t="shared" si="3425"/>
        <v>-2.2115500918076236E-3</v>
      </c>
      <c r="AO185" s="197">
        <f t="shared" si="3425"/>
        <v>0</v>
      </c>
      <c r="AP185" s="197">
        <f t="shared" si="3425"/>
        <v>3.1392919432590816E-2</v>
      </c>
      <c r="AQ185" s="197">
        <f t="shared" si="3425"/>
        <v>0</v>
      </c>
      <c r="AR185" s="197">
        <f t="shared" si="3425"/>
        <v>2.6600348722105593E-3</v>
      </c>
      <c r="AS185" s="197">
        <f t="shared" si="3425"/>
        <v>0</v>
      </c>
      <c r="AT185" s="197">
        <f t="shared" si="3425"/>
        <v>5.6970000000000027</v>
      </c>
      <c r="AU185" s="197">
        <f t="shared" si="3425"/>
        <v>0.18990000000000151</v>
      </c>
      <c r="AV185" s="197">
        <f t="shared" si="3425"/>
        <v>0</v>
      </c>
      <c r="AW185" s="197">
        <f t="shared" si="3425"/>
        <v>0</v>
      </c>
      <c r="AX185" s="197">
        <f t="shared" si="3425"/>
        <v>-0.24576045299094318</v>
      </c>
      <c r="AY185" s="197">
        <f t="shared" si="3425"/>
        <v>-0.2479720030827508</v>
      </c>
      <c r="AZ185" s="197">
        <f t="shared" si="3425"/>
        <v>0</v>
      </c>
      <c r="BA185" s="197">
        <f t="shared" si="3425"/>
        <v>0</v>
      </c>
      <c r="BB185" s="197">
        <f t="shared" si="3425"/>
        <v>-6.5215049252866919E-2</v>
      </c>
      <c r="BC185" s="197">
        <f t="shared" si="3425"/>
        <v>-6.255501438065636E-2</v>
      </c>
      <c r="BD185" s="197">
        <f t="shared" si="3425"/>
        <v>-0.31097550224380655</v>
      </c>
      <c r="BE185" s="197">
        <f t="shared" si="3425"/>
        <v>0</v>
      </c>
      <c r="BF185" s="197">
        <f t="shared" si="3425"/>
        <v>0</v>
      </c>
      <c r="BG185" s="197">
        <f t="shared" si="3425"/>
        <v>0</v>
      </c>
      <c r="BH185" s="197">
        <f t="shared" si="3425"/>
        <v>0</v>
      </c>
      <c r="BI185" s="197">
        <f t="shared" si="3425"/>
        <v>0</v>
      </c>
      <c r="BJ185" s="197">
        <f t="shared" si="3425"/>
        <v>-2.2115500918076236E-3</v>
      </c>
      <c r="BK185" s="197">
        <f t="shared" si="3425"/>
        <v>0</v>
      </c>
      <c r="BL185" s="197">
        <f t="shared" si="3425"/>
        <v>0</v>
      </c>
      <c r="BM185" s="197">
        <f t="shared" si="3425"/>
        <v>0</v>
      </c>
      <c r="BN185" s="197">
        <f t="shared" si="3425"/>
        <v>2.6600348722105593E-3</v>
      </c>
      <c r="BO185" s="197">
        <f t="shared" ref="BO185:CV185" si="3426">BO56-BO309</f>
        <v>0</v>
      </c>
      <c r="BP185" s="197">
        <f t="shared" si="3426"/>
        <v>0</v>
      </c>
      <c r="BQ185" s="197">
        <f t="shared" si="3426"/>
        <v>0</v>
      </c>
      <c r="BR185" s="197">
        <f t="shared" si="3426"/>
        <v>0</v>
      </c>
      <c r="BS185" s="197">
        <f t="shared" si="3426"/>
        <v>0</v>
      </c>
      <c r="BT185" s="197">
        <f t="shared" si="3426"/>
        <v>0</v>
      </c>
      <c r="BU185" s="197">
        <f t="shared" si="3426"/>
        <v>-2.2115500918076236E-3</v>
      </c>
      <c r="BV185" s="197">
        <f t="shared" si="3426"/>
        <v>0</v>
      </c>
      <c r="BW185" s="197">
        <f t="shared" si="3426"/>
        <v>0</v>
      </c>
      <c r="BX185" s="197">
        <f t="shared" si="3426"/>
        <v>0</v>
      </c>
      <c r="BY185" s="197">
        <f t="shared" si="3426"/>
        <v>2.6600348722105593E-3</v>
      </c>
      <c r="BZ185" s="197">
        <f t="shared" si="3426"/>
        <v>0</v>
      </c>
      <c r="CA185" s="197">
        <f t="shared" si="3426"/>
        <v>0</v>
      </c>
      <c r="CB185" s="197">
        <f t="shared" si="3426"/>
        <v>0</v>
      </c>
      <c r="CC185" s="197">
        <f t="shared" si="3426"/>
        <v>0</v>
      </c>
      <c r="CD185" s="197">
        <f t="shared" si="3426"/>
        <v>0</v>
      </c>
      <c r="CE185" s="197">
        <f t="shared" si="3426"/>
        <v>0</v>
      </c>
      <c r="CF185" s="197">
        <f t="shared" si="3426"/>
        <v>-2.2115500918076236E-3</v>
      </c>
      <c r="CG185" s="197">
        <f t="shared" si="3426"/>
        <v>0</v>
      </c>
      <c r="CH185" s="197">
        <f t="shared" si="3426"/>
        <v>0</v>
      </c>
      <c r="CI185" s="197">
        <f t="shared" si="3426"/>
        <v>0</v>
      </c>
      <c r="CJ185" s="197">
        <f t="shared" si="3426"/>
        <v>2.6600348722105593E-3</v>
      </c>
      <c r="CK185" s="197">
        <f t="shared" si="3426"/>
        <v>0</v>
      </c>
      <c r="CL185" s="197">
        <f t="shared" si="3426"/>
        <v>0</v>
      </c>
      <c r="CM185" s="197">
        <f t="shared" si="3426"/>
        <v>0</v>
      </c>
      <c r="CN185" s="197">
        <f t="shared" si="3426"/>
        <v>0</v>
      </c>
      <c r="CO185" s="197">
        <f t="shared" si="3426"/>
        <v>0</v>
      </c>
      <c r="CP185" s="197">
        <f t="shared" si="3426"/>
        <v>0</v>
      </c>
      <c r="CQ185" s="197">
        <f t="shared" si="3426"/>
        <v>-2.2115500918076236E-3</v>
      </c>
      <c r="CR185" s="197">
        <f t="shared" si="3426"/>
        <v>0</v>
      </c>
      <c r="CS185" s="197">
        <f t="shared" si="3426"/>
        <v>0.10860708056748081</v>
      </c>
      <c r="CT185" s="197">
        <f t="shared" si="3426"/>
        <v>0</v>
      </c>
      <c r="CU185" s="197">
        <f t="shared" si="3426"/>
        <v>2.6600348722105593E-3</v>
      </c>
      <c r="CV185" s="197">
        <f t="shared" si="3426"/>
        <v>0</v>
      </c>
      <c r="CW185" s="197"/>
      <c r="CX185" s="197">
        <f>CX56-CX309</f>
        <v>0</v>
      </c>
      <c r="CY185" s="197">
        <f>CY56-CY309</f>
        <v>4.3470000000002074</v>
      </c>
      <c r="CZ185" s="197">
        <f>CZ56-CZ309</f>
        <v>0.10199999999998965</v>
      </c>
      <c r="DA185" s="197">
        <f>DA56-DA309</f>
        <v>1.7209999999999468</v>
      </c>
      <c r="DB185" s="197">
        <f>DB56-DB309</f>
        <v>0</v>
      </c>
      <c r="DC185" s="197">
        <f>DC56-DC309</f>
        <v>0</v>
      </c>
      <c r="DD185" s="197"/>
      <c r="DE185" s="197">
        <f t="shared" ref="DE185:EG185" si="3427">DE56-DE309</f>
        <v>0</v>
      </c>
      <c r="DF185" s="197">
        <f t="shared" si="3427"/>
        <v>0</v>
      </c>
      <c r="DG185" s="197">
        <f t="shared" si="3427"/>
        <v>46.134907653583426</v>
      </c>
      <c r="DH185" s="197">
        <f t="shared" si="3427"/>
        <v>0</v>
      </c>
      <c r="DI185" s="197">
        <f t="shared" si="3427"/>
        <v>0</v>
      </c>
      <c r="DJ185" s="197">
        <f t="shared" si="3427"/>
        <v>0</v>
      </c>
      <c r="DK185" s="197">
        <f t="shared" si="3427"/>
        <v>0</v>
      </c>
      <c r="DL185" s="197">
        <f t="shared" si="3427"/>
        <v>0</v>
      </c>
      <c r="DM185" s="197">
        <f t="shared" si="3427"/>
        <v>0</v>
      </c>
      <c r="DN185" s="197">
        <f t="shared" si="3427"/>
        <v>0</v>
      </c>
      <c r="DO185" s="197">
        <f t="shared" si="3427"/>
        <v>0</v>
      </c>
      <c r="DP185" s="197">
        <f t="shared" si="3427"/>
        <v>0</v>
      </c>
      <c r="DQ185" s="197">
        <f t="shared" si="3427"/>
        <v>0</v>
      </c>
      <c r="DR185" s="197">
        <f t="shared" si="3427"/>
        <v>0</v>
      </c>
      <c r="DS185" s="197">
        <f t="shared" si="3427"/>
        <v>0.59963629175726429</v>
      </c>
      <c r="DT185" s="197">
        <f t="shared" si="3427"/>
        <v>0</v>
      </c>
      <c r="DU185" s="197">
        <f t="shared" si="3427"/>
        <v>0</v>
      </c>
      <c r="DV185" s="197">
        <f t="shared" si="3427"/>
        <v>0</v>
      </c>
      <c r="DW185" s="197">
        <f t="shared" si="3427"/>
        <v>0</v>
      </c>
      <c r="DX185" s="197">
        <f t="shared" si="3427"/>
        <v>0</v>
      </c>
      <c r="DY185" s="197">
        <f t="shared" si="3427"/>
        <v>0</v>
      </c>
      <c r="DZ185" s="197">
        <f t="shared" si="3427"/>
        <v>0</v>
      </c>
      <c r="EA185" s="197">
        <f t="shared" si="3427"/>
        <v>0</v>
      </c>
      <c r="EB185" s="197">
        <f t="shared" si="3427"/>
        <v>0</v>
      </c>
      <c r="EC185" s="197">
        <f t="shared" si="3427"/>
        <v>0</v>
      </c>
      <c r="ED185" s="197">
        <f t="shared" si="3427"/>
        <v>0</v>
      </c>
      <c r="EE185" s="197">
        <f t="shared" si="3427"/>
        <v>0</v>
      </c>
      <c r="EF185" s="197">
        <f t="shared" si="3427"/>
        <v>0</v>
      </c>
      <c r="EG185" s="197">
        <f t="shared" si="3427"/>
        <v>0</v>
      </c>
    </row>
    <row r="186" spans="1:137" hidden="1">
      <c r="A186" s="157">
        <v>43709</v>
      </c>
      <c r="B186" s="197">
        <f>B57-B310</f>
        <v>0</v>
      </c>
      <c r="C186" s="197">
        <f>C57-C310</f>
        <v>0</v>
      </c>
      <c r="D186" s="197">
        <f>D57-D310</f>
        <v>0</v>
      </c>
      <c r="E186" s="197">
        <f>E57-E310</f>
        <v>0</v>
      </c>
      <c r="F186" s="197">
        <f>F57-F310</f>
        <v>0</v>
      </c>
      <c r="G186" s="197"/>
      <c r="H186" s="197"/>
      <c r="I186" s="197">
        <f t="shared" ref="I186:AB186" si="3428">I57-I310</f>
        <v>0</v>
      </c>
      <c r="J186" s="197">
        <f t="shared" si="3428"/>
        <v>0</v>
      </c>
      <c r="K186" s="197">
        <f t="shared" si="3428"/>
        <v>0</v>
      </c>
      <c r="L186" s="197">
        <f t="shared" si="3428"/>
        <v>0</v>
      </c>
      <c r="M186" s="197">
        <f t="shared" si="3428"/>
        <v>0</v>
      </c>
      <c r="N186" s="197">
        <f t="shared" si="3428"/>
        <v>0</v>
      </c>
      <c r="O186" s="197">
        <f t="shared" si="3428"/>
        <v>0</v>
      </c>
      <c r="P186" s="197">
        <f t="shared" si="3428"/>
        <v>0</v>
      </c>
      <c r="Q186" s="197">
        <f t="shared" si="3428"/>
        <v>0</v>
      </c>
      <c r="R186" s="197">
        <f t="shared" si="3428"/>
        <v>0</v>
      </c>
      <c r="S186" s="197">
        <f t="shared" si="3428"/>
        <v>0</v>
      </c>
      <c r="T186" s="197">
        <f t="shared" si="3428"/>
        <v>0</v>
      </c>
      <c r="U186" s="197">
        <f t="shared" si="3428"/>
        <v>0</v>
      </c>
      <c r="V186" s="197">
        <f t="shared" si="3428"/>
        <v>0</v>
      </c>
      <c r="W186" s="197">
        <f t="shared" si="3428"/>
        <v>0</v>
      </c>
      <c r="X186" s="197">
        <f t="shared" si="3428"/>
        <v>0</v>
      </c>
      <c r="Y186" s="197">
        <f t="shared" si="3428"/>
        <v>0</v>
      </c>
      <c r="Z186" s="197">
        <f t="shared" si="3428"/>
        <v>0</v>
      </c>
      <c r="AA186" s="197">
        <f t="shared" si="3428"/>
        <v>0</v>
      </c>
      <c r="AB186" s="197">
        <f t="shared" si="3428"/>
        <v>0</v>
      </c>
      <c r="AC186" s="163"/>
      <c r="AD186" s="163"/>
      <c r="AE186" s="163"/>
      <c r="AF186" s="163"/>
      <c r="AH186" s="197"/>
      <c r="AI186" s="197">
        <f t="shared" ref="AI186:BN186" si="3429">AI57-AI310</f>
        <v>0</v>
      </c>
      <c r="AJ186" s="197">
        <f t="shared" si="3429"/>
        <v>0</v>
      </c>
      <c r="AK186" s="197">
        <f t="shared" si="3429"/>
        <v>0</v>
      </c>
      <c r="AL186" s="197">
        <f t="shared" si="3429"/>
        <v>0</v>
      </c>
      <c r="AM186" s="197">
        <f t="shared" si="3429"/>
        <v>0</v>
      </c>
      <c r="AN186" s="197">
        <f t="shared" si="3429"/>
        <v>0</v>
      </c>
      <c r="AO186" s="197">
        <f t="shared" si="3429"/>
        <v>0</v>
      </c>
      <c r="AP186" s="197">
        <f t="shared" si="3429"/>
        <v>0</v>
      </c>
      <c r="AQ186" s="197">
        <f t="shared" si="3429"/>
        <v>0</v>
      </c>
      <c r="AR186" s="197">
        <f t="shared" si="3429"/>
        <v>0</v>
      </c>
      <c r="AS186" s="197">
        <f t="shared" si="3429"/>
        <v>0</v>
      </c>
      <c r="AT186" s="197">
        <f t="shared" si="3429"/>
        <v>0</v>
      </c>
      <c r="AU186" s="197">
        <f t="shared" si="3429"/>
        <v>0</v>
      </c>
      <c r="AV186" s="197">
        <f t="shared" si="3429"/>
        <v>0</v>
      </c>
      <c r="AW186" s="197">
        <f t="shared" si="3429"/>
        <v>0</v>
      </c>
      <c r="AX186" s="197">
        <f t="shared" si="3429"/>
        <v>0</v>
      </c>
      <c r="AY186" s="197">
        <f t="shared" si="3429"/>
        <v>0</v>
      </c>
      <c r="AZ186" s="197">
        <f t="shared" si="3429"/>
        <v>0</v>
      </c>
      <c r="BA186" s="197">
        <f t="shared" si="3429"/>
        <v>0</v>
      </c>
      <c r="BB186" s="197">
        <f t="shared" si="3429"/>
        <v>0</v>
      </c>
      <c r="BC186" s="197">
        <f t="shared" si="3429"/>
        <v>0</v>
      </c>
      <c r="BD186" s="197">
        <f t="shared" si="3429"/>
        <v>0</v>
      </c>
      <c r="BE186" s="197">
        <f t="shared" si="3429"/>
        <v>0</v>
      </c>
      <c r="BF186" s="197">
        <f t="shared" si="3429"/>
        <v>0</v>
      </c>
      <c r="BG186" s="197">
        <f t="shared" si="3429"/>
        <v>0</v>
      </c>
      <c r="BH186" s="197">
        <f t="shared" si="3429"/>
        <v>0</v>
      </c>
      <c r="BI186" s="197">
        <f t="shared" si="3429"/>
        <v>0</v>
      </c>
      <c r="BJ186" s="197">
        <f t="shared" si="3429"/>
        <v>0</v>
      </c>
      <c r="BK186" s="197">
        <f t="shared" si="3429"/>
        <v>0</v>
      </c>
      <c r="BL186" s="197">
        <f t="shared" si="3429"/>
        <v>0</v>
      </c>
      <c r="BM186" s="197">
        <f t="shared" si="3429"/>
        <v>0</v>
      </c>
      <c r="BN186" s="197">
        <f t="shared" si="3429"/>
        <v>0</v>
      </c>
      <c r="BO186" s="197">
        <f t="shared" ref="BO186:CV186" si="3430">BO57-BO310</f>
        <v>0</v>
      </c>
      <c r="BP186" s="197">
        <f t="shared" si="3430"/>
        <v>0</v>
      </c>
      <c r="BQ186" s="197">
        <f t="shared" si="3430"/>
        <v>0</v>
      </c>
      <c r="BR186" s="197">
        <f t="shared" si="3430"/>
        <v>0</v>
      </c>
      <c r="BS186" s="197">
        <f t="shared" si="3430"/>
        <v>0</v>
      </c>
      <c r="BT186" s="197">
        <f t="shared" si="3430"/>
        <v>0</v>
      </c>
      <c r="BU186" s="197">
        <f t="shared" si="3430"/>
        <v>0</v>
      </c>
      <c r="BV186" s="197">
        <f t="shared" si="3430"/>
        <v>0</v>
      </c>
      <c r="BW186" s="197">
        <f t="shared" si="3430"/>
        <v>0</v>
      </c>
      <c r="BX186" s="197">
        <f t="shared" si="3430"/>
        <v>0</v>
      </c>
      <c r="BY186" s="197">
        <f t="shared" si="3430"/>
        <v>0</v>
      </c>
      <c r="BZ186" s="197">
        <f t="shared" si="3430"/>
        <v>0</v>
      </c>
      <c r="CA186" s="197">
        <f t="shared" si="3430"/>
        <v>0</v>
      </c>
      <c r="CB186" s="197">
        <f t="shared" si="3430"/>
        <v>0</v>
      </c>
      <c r="CC186" s="197">
        <f t="shared" si="3430"/>
        <v>0</v>
      </c>
      <c r="CD186" s="197">
        <f t="shared" si="3430"/>
        <v>0</v>
      </c>
      <c r="CE186" s="197">
        <f t="shared" si="3430"/>
        <v>0</v>
      </c>
      <c r="CF186" s="197">
        <f t="shared" si="3430"/>
        <v>0</v>
      </c>
      <c r="CG186" s="197">
        <f t="shared" si="3430"/>
        <v>0</v>
      </c>
      <c r="CH186" s="197">
        <f t="shared" si="3430"/>
        <v>0</v>
      </c>
      <c r="CI186" s="197">
        <f t="shared" si="3430"/>
        <v>0</v>
      </c>
      <c r="CJ186" s="197">
        <f t="shared" si="3430"/>
        <v>0</v>
      </c>
      <c r="CK186" s="197">
        <f t="shared" si="3430"/>
        <v>0</v>
      </c>
      <c r="CL186" s="197">
        <f t="shared" si="3430"/>
        <v>0</v>
      </c>
      <c r="CM186" s="197">
        <f t="shared" si="3430"/>
        <v>0</v>
      </c>
      <c r="CN186" s="197">
        <f t="shared" si="3430"/>
        <v>0</v>
      </c>
      <c r="CO186" s="197">
        <f t="shared" si="3430"/>
        <v>0</v>
      </c>
      <c r="CP186" s="197">
        <f t="shared" si="3430"/>
        <v>0</v>
      </c>
      <c r="CQ186" s="197">
        <f t="shared" si="3430"/>
        <v>0</v>
      </c>
      <c r="CR186" s="197">
        <f t="shared" si="3430"/>
        <v>0</v>
      </c>
      <c r="CS186" s="197">
        <f t="shared" si="3430"/>
        <v>0</v>
      </c>
      <c r="CT186" s="197">
        <f t="shared" si="3430"/>
        <v>0</v>
      </c>
      <c r="CU186" s="197">
        <f t="shared" si="3430"/>
        <v>0</v>
      </c>
      <c r="CV186" s="197">
        <f t="shared" si="3430"/>
        <v>0</v>
      </c>
      <c r="CW186" s="197"/>
      <c r="CX186" s="197">
        <f>CX57-CX310</f>
        <v>0</v>
      </c>
      <c r="CY186" s="197">
        <f>CY57-CY310</f>
        <v>0</v>
      </c>
      <c r="CZ186" s="197">
        <f>CZ57-CZ310</f>
        <v>0</v>
      </c>
      <c r="DA186" s="197">
        <f>DA57-DA310</f>
        <v>0</v>
      </c>
      <c r="DB186" s="197">
        <f>DB57-DB310</f>
        <v>0</v>
      </c>
      <c r="DC186" s="197">
        <f>DC57-DC310</f>
        <v>0</v>
      </c>
      <c r="DD186" s="197"/>
      <c r="DE186" s="197">
        <f t="shared" ref="DE186:EG186" si="3431">DE57-DE310</f>
        <v>0</v>
      </c>
      <c r="DF186" s="197">
        <f t="shared" si="3431"/>
        <v>0</v>
      </c>
      <c r="DG186" s="197">
        <f t="shared" si="3431"/>
        <v>45.688922312064228</v>
      </c>
      <c r="DH186" s="197">
        <f t="shared" si="3431"/>
        <v>0</v>
      </c>
      <c r="DI186" s="197">
        <f t="shared" si="3431"/>
        <v>0</v>
      </c>
      <c r="DJ186" s="197">
        <f t="shared" si="3431"/>
        <v>0</v>
      </c>
      <c r="DK186" s="197">
        <f t="shared" si="3431"/>
        <v>0</v>
      </c>
      <c r="DL186" s="197">
        <f t="shared" si="3431"/>
        <v>0</v>
      </c>
      <c r="DM186" s="197">
        <f t="shared" si="3431"/>
        <v>0</v>
      </c>
      <c r="DN186" s="197">
        <f t="shared" si="3431"/>
        <v>0</v>
      </c>
      <c r="DO186" s="197">
        <f t="shared" si="3431"/>
        <v>0</v>
      </c>
      <c r="DP186" s="197">
        <f t="shared" si="3431"/>
        <v>0</v>
      </c>
      <c r="DQ186" s="197">
        <f t="shared" si="3431"/>
        <v>0</v>
      </c>
      <c r="DR186" s="197">
        <f t="shared" si="3431"/>
        <v>0</v>
      </c>
      <c r="DS186" s="197">
        <f t="shared" si="3431"/>
        <v>0.92888597465109868</v>
      </c>
      <c r="DT186" s="197">
        <f t="shared" si="3431"/>
        <v>0</v>
      </c>
      <c r="DU186" s="197">
        <f t="shared" si="3431"/>
        <v>0</v>
      </c>
      <c r="DV186" s="197">
        <f t="shared" si="3431"/>
        <v>0</v>
      </c>
      <c r="DW186" s="197">
        <f t="shared" si="3431"/>
        <v>0</v>
      </c>
      <c r="DX186" s="197">
        <f t="shared" si="3431"/>
        <v>0</v>
      </c>
      <c r="DY186" s="197">
        <f t="shared" si="3431"/>
        <v>0</v>
      </c>
      <c r="DZ186" s="197">
        <f t="shared" si="3431"/>
        <v>0</v>
      </c>
      <c r="EA186" s="197">
        <f t="shared" si="3431"/>
        <v>0</v>
      </c>
      <c r="EB186" s="197">
        <f t="shared" si="3431"/>
        <v>0</v>
      </c>
      <c r="EC186" s="197">
        <f t="shared" si="3431"/>
        <v>0</v>
      </c>
      <c r="ED186" s="197">
        <f t="shared" si="3431"/>
        <v>0</v>
      </c>
      <c r="EE186" s="197">
        <f t="shared" si="3431"/>
        <v>0</v>
      </c>
      <c r="EF186" s="197">
        <f t="shared" si="3431"/>
        <v>0</v>
      </c>
      <c r="EG186" s="197">
        <f t="shared" si="3431"/>
        <v>0</v>
      </c>
    </row>
    <row r="187" spans="1:137" hidden="1">
      <c r="A187" s="157">
        <v>43739</v>
      </c>
      <c r="B187" s="197">
        <f>B58-B311</f>
        <v>5.8590000000003783</v>
      </c>
      <c r="C187" s="197">
        <f>C58-C311</f>
        <v>0.19530000000000314</v>
      </c>
      <c r="D187" s="197">
        <f>D58-D311</f>
        <v>0.19530000000000314</v>
      </c>
      <c r="E187" s="197">
        <f>E58-E311</f>
        <v>1.1134740046865321E-3</v>
      </c>
      <c r="F187" s="197">
        <f>F58-F311</f>
        <v>4.4860000000007858</v>
      </c>
      <c r="G187" s="197"/>
      <c r="H187" s="197"/>
      <c r="I187" s="197">
        <f t="shared" ref="I187:AB187" si="3432">I58-I311</f>
        <v>9.6000000000003638E-2</v>
      </c>
      <c r="J187" s="197">
        <f t="shared" si="3432"/>
        <v>2.1670920040932629E-3</v>
      </c>
      <c r="K187" s="197">
        <f t="shared" si="3432"/>
        <v>-9.1707820304520737E-4</v>
      </c>
      <c r="L187" s="197">
        <f t="shared" si="3432"/>
        <v>-9.1707820304520737E-4</v>
      </c>
      <c r="M187" s="197">
        <f t="shared" si="3432"/>
        <v>0</v>
      </c>
      <c r="N187" s="197">
        <f t="shared" si="3432"/>
        <v>0</v>
      </c>
      <c r="O187" s="197">
        <f t="shared" si="3432"/>
        <v>1.7280000000000655</v>
      </c>
      <c r="P187" s="197">
        <f t="shared" si="3432"/>
        <v>0.35599999999999454</v>
      </c>
      <c r="Q187" s="197">
        <f t="shared" si="3432"/>
        <v>0.14200000000005275</v>
      </c>
      <c r="R187" s="197">
        <f t="shared" si="3432"/>
        <v>0.21399999999999864</v>
      </c>
      <c r="S187" s="197">
        <f t="shared" si="3432"/>
        <v>0</v>
      </c>
      <c r="T187" s="197">
        <f t="shared" si="3432"/>
        <v>0.16800000000000637</v>
      </c>
      <c r="U187" s="197">
        <f t="shared" si="3432"/>
        <v>0.52399999999988722</v>
      </c>
      <c r="V187" s="197">
        <f t="shared" si="3432"/>
        <v>3.6821309138068692E-4</v>
      </c>
      <c r="W187" s="197">
        <f t="shared" si="3432"/>
        <v>-2.7549315375559047E-3</v>
      </c>
      <c r="X187" s="197">
        <f t="shared" si="3432"/>
        <v>-2.7549315375559047E-3</v>
      </c>
      <c r="Y187" s="197">
        <f t="shared" si="3432"/>
        <v>-3.6720097405975594E-3</v>
      </c>
      <c r="Z187" s="197">
        <f t="shared" si="3432"/>
        <v>1.3840000000000146</v>
      </c>
      <c r="AA187" s="197">
        <f t="shared" si="3432"/>
        <v>1.3309999999999036</v>
      </c>
      <c r="AB187" s="197">
        <f t="shared" si="3432"/>
        <v>8.9802703304407705E-6</v>
      </c>
      <c r="AC187" s="163"/>
      <c r="AD187" s="163"/>
      <c r="AE187" s="163"/>
      <c r="AF187" s="163"/>
      <c r="AH187" s="197"/>
      <c r="AI187" s="197">
        <f t="shared" ref="AI187:BN187" si="3433">AI58-AI311</f>
        <v>0</v>
      </c>
      <c r="AJ187" s="197">
        <f t="shared" si="3433"/>
        <v>0</v>
      </c>
      <c r="AK187" s="197">
        <f t="shared" si="3433"/>
        <v>0</v>
      </c>
      <c r="AL187" s="197">
        <f t="shared" si="3433"/>
        <v>0</v>
      </c>
      <c r="AM187" s="197">
        <f t="shared" si="3433"/>
        <v>0</v>
      </c>
      <c r="AN187" s="197">
        <f t="shared" si="3433"/>
        <v>-2.1670920040932629E-3</v>
      </c>
      <c r="AO187" s="197">
        <f t="shared" si="3433"/>
        <v>0</v>
      </c>
      <c r="AP187" s="197">
        <f t="shared" si="3433"/>
        <v>0</v>
      </c>
      <c r="AQ187" s="197">
        <f t="shared" si="3433"/>
        <v>0</v>
      </c>
      <c r="AR187" s="197">
        <f t="shared" si="3433"/>
        <v>2.7549315375559047E-3</v>
      </c>
      <c r="AS187" s="197">
        <f t="shared" si="3433"/>
        <v>0</v>
      </c>
      <c r="AT187" s="197">
        <f t="shared" si="3433"/>
        <v>5.8589999999999236</v>
      </c>
      <c r="AU187" s="197">
        <f t="shared" si="3433"/>
        <v>0.19529999999999603</v>
      </c>
      <c r="AV187" s="197">
        <f t="shared" si="3433"/>
        <v>0</v>
      </c>
      <c r="AW187" s="197">
        <f t="shared" si="3433"/>
        <v>0</v>
      </c>
      <c r="AX187" s="197">
        <f t="shared" si="3433"/>
        <v>-0.21950952113213162</v>
      </c>
      <c r="AY187" s="197">
        <f t="shared" si="3433"/>
        <v>-0.22167661313622489</v>
      </c>
      <c r="AZ187" s="197">
        <f t="shared" si="3433"/>
        <v>0</v>
      </c>
      <c r="BA187" s="197">
        <f t="shared" si="3433"/>
        <v>0</v>
      </c>
      <c r="BB187" s="197">
        <f t="shared" si="3433"/>
        <v>-5.7676450699599258E-2</v>
      </c>
      <c r="BC187" s="197">
        <f t="shared" si="3433"/>
        <v>-5.4921519162043353E-2</v>
      </c>
      <c r="BD187" s="197">
        <f t="shared" si="3433"/>
        <v>-0.27718597183173443</v>
      </c>
      <c r="BE187" s="197">
        <f t="shared" si="3433"/>
        <v>0</v>
      </c>
      <c r="BF187" s="197">
        <f t="shared" si="3433"/>
        <v>0</v>
      </c>
      <c r="BG187" s="197">
        <f t="shared" si="3433"/>
        <v>0</v>
      </c>
      <c r="BH187" s="197">
        <f t="shared" si="3433"/>
        <v>0</v>
      </c>
      <c r="BI187" s="197">
        <f t="shared" si="3433"/>
        <v>0</v>
      </c>
      <c r="BJ187" s="197">
        <f t="shared" si="3433"/>
        <v>-2.1670920040932629E-3</v>
      </c>
      <c r="BK187" s="197">
        <f t="shared" si="3433"/>
        <v>0</v>
      </c>
      <c r="BL187" s="197">
        <f t="shared" si="3433"/>
        <v>0</v>
      </c>
      <c r="BM187" s="197">
        <f t="shared" si="3433"/>
        <v>0</v>
      </c>
      <c r="BN187" s="197">
        <f t="shared" si="3433"/>
        <v>2.7549315375559047E-3</v>
      </c>
      <c r="BO187" s="197">
        <f t="shared" ref="BO187:CV187" si="3434">BO58-BO311</f>
        <v>0</v>
      </c>
      <c r="BP187" s="197">
        <f t="shared" si="3434"/>
        <v>0</v>
      </c>
      <c r="BQ187" s="197">
        <f t="shared" si="3434"/>
        <v>0</v>
      </c>
      <c r="BR187" s="197">
        <f t="shared" si="3434"/>
        <v>0</v>
      </c>
      <c r="BS187" s="197">
        <f t="shared" si="3434"/>
        <v>0</v>
      </c>
      <c r="BT187" s="197">
        <f t="shared" si="3434"/>
        <v>0</v>
      </c>
      <c r="BU187" s="197">
        <f t="shared" si="3434"/>
        <v>-2.1670920040932629E-3</v>
      </c>
      <c r="BV187" s="197">
        <f t="shared" si="3434"/>
        <v>0</v>
      </c>
      <c r="BW187" s="197">
        <f t="shared" si="3434"/>
        <v>0</v>
      </c>
      <c r="BX187" s="197">
        <f t="shared" si="3434"/>
        <v>0</v>
      </c>
      <c r="BY187" s="197">
        <f t="shared" si="3434"/>
        <v>2.7549315375559047E-3</v>
      </c>
      <c r="BZ187" s="197">
        <f t="shared" si="3434"/>
        <v>0</v>
      </c>
      <c r="CA187" s="197">
        <f t="shared" si="3434"/>
        <v>0</v>
      </c>
      <c r="CB187" s="197">
        <f t="shared" si="3434"/>
        <v>0</v>
      </c>
      <c r="CC187" s="197">
        <f t="shared" si="3434"/>
        <v>0</v>
      </c>
      <c r="CD187" s="197">
        <f t="shared" si="3434"/>
        <v>0</v>
      </c>
      <c r="CE187" s="197">
        <f t="shared" si="3434"/>
        <v>0</v>
      </c>
      <c r="CF187" s="197">
        <f t="shared" si="3434"/>
        <v>-2.1670920040932629E-3</v>
      </c>
      <c r="CG187" s="197">
        <f t="shared" si="3434"/>
        <v>0</v>
      </c>
      <c r="CH187" s="197">
        <f t="shared" si="3434"/>
        <v>0</v>
      </c>
      <c r="CI187" s="197">
        <f t="shared" si="3434"/>
        <v>0</v>
      </c>
      <c r="CJ187" s="197">
        <f t="shared" si="3434"/>
        <v>2.7549315375559047E-3</v>
      </c>
      <c r="CK187" s="197">
        <f t="shared" si="3434"/>
        <v>0</v>
      </c>
      <c r="CL187" s="197">
        <f t="shared" si="3434"/>
        <v>0</v>
      </c>
      <c r="CM187" s="197">
        <f t="shared" si="3434"/>
        <v>0</v>
      </c>
      <c r="CN187" s="197">
        <f t="shared" si="3434"/>
        <v>0</v>
      </c>
      <c r="CO187" s="197">
        <f t="shared" si="3434"/>
        <v>0</v>
      </c>
      <c r="CP187" s="197">
        <f t="shared" si="3434"/>
        <v>0</v>
      </c>
      <c r="CQ187" s="197">
        <f t="shared" si="3434"/>
        <v>-2.1670920040932629E-3</v>
      </c>
      <c r="CR187" s="197">
        <f t="shared" si="3434"/>
        <v>0</v>
      </c>
      <c r="CS187" s="197">
        <f t="shared" si="3434"/>
        <v>0</v>
      </c>
      <c r="CT187" s="197">
        <f t="shared" si="3434"/>
        <v>0</v>
      </c>
      <c r="CU187" s="197">
        <f t="shared" si="3434"/>
        <v>2.7549315375559047E-3</v>
      </c>
      <c r="CV187" s="197">
        <f t="shared" si="3434"/>
        <v>0</v>
      </c>
      <c r="CW187" s="197"/>
      <c r="CX187" s="197">
        <f>CX58-CX311</f>
        <v>0</v>
      </c>
      <c r="CY187" s="197">
        <f>CY58-CY311</f>
        <v>4.4860000000003311</v>
      </c>
      <c r="CZ187" s="197">
        <f>CZ58-CZ311</f>
        <v>9.6000000000003638E-2</v>
      </c>
      <c r="DA187" s="197">
        <f>DA58-DA311</f>
        <v>1.7280000000000655</v>
      </c>
      <c r="DB187" s="197">
        <f>DB58-DB311</f>
        <v>0.14200000000008117</v>
      </c>
      <c r="DC187" s="197">
        <f>DC58-DC311</f>
        <v>0</v>
      </c>
      <c r="DD187" s="197"/>
      <c r="DE187" s="197">
        <f t="shared" ref="DE187:EG187" si="3435">DE58-DE311</f>
        <v>0</v>
      </c>
      <c r="DF187" s="197">
        <f t="shared" si="3435"/>
        <v>0</v>
      </c>
      <c r="DG187" s="197">
        <f t="shared" si="3435"/>
        <v>44.680377146387691</v>
      </c>
      <c r="DH187" s="197">
        <f t="shared" si="3435"/>
        <v>0</v>
      </c>
      <c r="DI187" s="197">
        <f t="shared" si="3435"/>
        <v>0</v>
      </c>
      <c r="DJ187" s="197">
        <f t="shared" si="3435"/>
        <v>0</v>
      </c>
      <c r="DK187" s="197">
        <f t="shared" si="3435"/>
        <v>0</v>
      </c>
      <c r="DL187" s="197">
        <f t="shared" si="3435"/>
        <v>0</v>
      </c>
      <c r="DM187" s="197">
        <f t="shared" si="3435"/>
        <v>0</v>
      </c>
      <c r="DN187" s="197">
        <f t="shared" si="3435"/>
        <v>0</v>
      </c>
      <c r="DO187" s="197">
        <f t="shared" si="3435"/>
        <v>0</v>
      </c>
      <c r="DP187" s="197">
        <f t="shared" si="3435"/>
        <v>0</v>
      </c>
      <c r="DQ187" s="197">
        <f t="shared" si="3435"/>
        <v>0</v>
      </c>
      <c r="DR187" s="197">
        <f t="shared" si="3435"/>
        <v>0</v>
      </c>
      <c r="DS187" s="197">
        <f t="shared" si="3435"/>
        <v>0.80419571539233248</v>
      </c>
      <c r="DT187" s="197">
        <f t="shared" si="3435"/>
        <v>0</v>
      </c>
      <c r="DU187" s="197">
        <f t="shared" si="3435"/>
        <v>0</v>
      </c>
      <c r="DV187" s="197">
        <f t="shared" si="3435"/>
        <v>0</v>
      </c>
      <c r="DW187" s="197">
        <f t="shared" si="3435"/>
        <v>0</v>
      </c>
      <c r="DX187" s="197">
        <f t="shared" si="3435"/>
        <v>0</v>
      </c>
      <c r="DY187" s="197">
        <f t="shared" si="3435"/>
        <v>0</v>
      </c>
      <c r="DZ187" s="197">
        <f t="shared" si="3435"/>
        <v>0</v>
      </c>
      <c r="EA187" s="197">
        <f t="shared" si="3435"/>
        <v>0</v>
      </c>
      <c r="EB187" s="197">
        <f t="shared" si="3435"/>
        <v>0</v>
      </c>
      <c r="EC187" s="197">
        <f t="shared" si="3435"/>
        <v>0</v>
      </c>
      <c r="ED187" s="197">
        <f t="shared" si="3435"/>
        <v>0</v>
      </c>
      <c r="EE187" s="197">
        <f t="shared" si="3435"/>
        <v>0</v>
      </c>
      <c r="EF187" s="197">
        <f t="shared" si="3435"/>
        <v>0</v>
      </c>
      <c r="EG187" s="197">
        <f t="shared" si="3435"/>
        <v>0</v>
      </c>
    </row>
    <row r="188" spans="1:137" hidden="1">
      <c r="A188" s="157">
        <v>43770</v>
      </c>
      <c r="B188" s="197">
        <f>B59-B312</f>
        <v>0</v>
      </c>
      <c r="C188" s="197">
        <f>C59-C312</f>
        <v>0</v>
      </c>
      <c r="D188" s="197">
        <f>D59-D312</f>
        <v>0</v>
      </c>
      <c r="E188" s="197">
        <f>E59-E312</f>
        <v>0</v>
      </c>
      <c r="F188" s="197">
        <f>F59-F312</f>
        <v>0</v>
      </c>
      <c r="G188" s="197"/>
      <c r="H188" s="197"/>
      <c r="I188" s="197">
        <f t="shared" ref="I188:AB188" si="3436">I59-I312</f>
        <v>0</v>
      </c>
      <c r="J188" s="197">
        <f t="shared" si="3436"/>
        <v>0</v>
      </c>
      <c r="K188" s="197">
        <f t="shared" si="3436"/>
        <v>0</v>
      </c>
      <c r="L188" s="197">
        <f t="shared" si="3436"/>
        <v>0</v>
      </c>
      <c r="M188" s="197">
        <f t="shared" si="3436"/>
        <v>0</v>
      </c>
      <c r="N188" s="197">
        <f t="shared" si="3436"/>
        <v>0</v>
      </c>
      <c r="O188" s="197">
        <f t="shared" si="3436"/>
        <v>0</v>
      </c>
      <c r="P188" s="197">
        <f t="shared" si="3436"/>
        <v>0</v>
      </c>
      <c r="Q188" s="197">
        <f t="shared" si="3436"/>
        <v>0</v>
      </c>
      <c r="R188" s="197">
        <f t="shared" si="3436"/>
        <v>0</v>
      </c>
      <c r="S188" s="197">
        <f t="shared" si="3436"/>
        <v>0</v>
      </c>
      <c r="T188" s="197">
        <f t="shared" si="3436"/>
        <v>0</v>
      </c>
      <c r="U188" s="197">
        <f t="shared" si="3436"/>
        <v>0</v>
      </c>
      <c r="V188" s="197">
        <f t="shared" si="3436"/>
        <v>0</v>
      </c>
      <c r="W188" s="197">
        <f t="shared" si="3436"/>
        <v>0</v>
      </c>
      <c r="X188" s="197">
        <f t="shared" si="3436"/>
        <v>0</v>
      </c>
      <c r="Y188" s="197">
        <f t="shared" si="3436"/>
        <v>0</v>
      </c>
      <c r="Z188" s="197">
        <f t="shared" si="3436"/>
        <v>0</v>
      </c>
      <c r="AA188" s="197">
        <f t="shared" si="3436"/>
        <v>0</v>
      </c>
      <c r="AB188" s="197">
        <f t="shared" si="3436"/>
        <v>0</v>
      </c>
      <c r="AC188" s="163"/>
      <c r="AD188" s="163"/>
      <c r="AE188" s="163"/>
      <c r="AF188" s="163"/>
      <c r="AH188" s="197"/>
      <c r="AI188" s="197">
        <f t="shared" ref="AI188:BN188" si="3437">AI59-AI312</f>
        <v>0</v>
      </c>
      <c r="AJ188" s="197">
        <f t="shared" si="3437"/>
        <v>0</v>
      </c>
      <c r="AK188" s="197">
        <f t="shared" si="3437"/>
        <v>0</v>
      </c>
      <c r="AL188" s="197">
        <f t="shared" si="3437"/>
        <v>0</v>
      </c>
      <c r="AM188" s="197">
        <f t="shared" si="3437"/>
        <v>0</v>
      </c>
      <c r="AN188" s="197">
        <f t="shared" si="3437"/>
        <v>0</v>
      </c>
      <c r="AO188" s="197">
        <f t="shared" si="3437"/>
        <v>0</v>
      </c>
      <c r="AP188" s="197">
        <f t="shared" si="3437"/>
        <v>0</v>
      </c>
      <c r="AQ188" s="197">
        <f t="shared" si="3437"/>
        <v>0</v>
      </c>
      <c r="AR188" s="197">
        <f t="shared" si="3437"/>
        <v>0</v>
      </c>
      <c r="AS188" s="197">
        <f t="shared" si="3437"/>
        <v>0</v>
      </c>
      <c r="AT188" s="197">
        <f t="shared" si="3437"/>
        <v>0</v>
      </c>
      <c r="AU188" s="197">
        <f t="shared" si="3437"/>
        <v>0</v>
      </c>
      <c r="AV188" s="197">
        <f t="shared" si="3437"/>
        <v>0</v>
      </c>
      <c r="AW188" s="197">
        <f t="shared" si="3437"/>
        <v>0</v>
      </c>
      <c r="AX188" s="197">
        <f t="shared" si="3437"/>
        <v>0</v>
      </c>
      <c r="AY188" s="197">
        <f t="shared" si="3437"/>
        <v>0</v>
      </c>
      <c r="AZ188" s="197">
        <f t="shared" si="3437"/>
        <v>0</v>
      </c>
      <c r="BA188" s="197">
        <f t="shared" si="3437"/>
        <v>0</v>
      </c>
      <c r="BB188" s="197">
        <f t="shared" si="3437"/>
        <v>0</v>
      </c>
      <c r="BC188" s="197">
        <f t="shared" si="3437"/>
        <v>0</v>
      </c>
      <c r="BD188" s="197">
        <f t="shared" si="3437"/>
        <v>0</v>
      </c>
      <c r="BE188" s="197">
        <f t="shared" si="3437"/>
        <v>0</v>
      </c>
      <c r="BF188" s="197">
        <f t="shared" si="3437"/>
        <v>0</v>
      </c>
      <c r="BG188" s="197">
        <f t="shared" si="3437"/>
        <v>0</v>
      </c>
      <c r="BH188" s="197">
        <f t="shared" si="3437"/>
        <v>0</v>
      </c>
      <c r="BI188" s="197">
        <f t="shared" si="3437"/>
        <v>0</v>
      </c>
      <c r="BJ188" s="197">
        <f t="shared" si="3437"/>
        <v>0</v>
      </c>
      <c r="BK188" s="197">
        <f t="shared" si="3437"/>
        <v>0</v>
      </c>
      <c r="BL188" s="197">
        <f t="shared" si="3437"/>
        <v>0</v>
      </c>
      <c r="BM188" s="197">
        <f t="shared" si="3437"/>
        <v>0</v>
      </c>
      <c r="BN188" s="197">
        <f t="shared" si="3437"/>
        <v>0</v>
      </c>
      <c r="BO188" s="197">
        <f t="shared" ref="BO188:CV188" si="3438">BO59-BO312</f>
        <v>0</v>
      </c>
      <c r="BP188" s="197">
        <f t="shared" si="3438"/>
        <v>0</v>
      </c>
      <c r="BQ188" s="197">
        <f t="shared" si="3438"/>
        <v>0</v>
      </c>
      <c r="BR188" s="197">
        <f t="shared" si="3438"/>
        <v>0</v>
      </c>
      <c r="BS188" s="197">
        <f t="shared" si="3438"/>
        <v>0</v>
      </c>
      <c r="BT188" s="197">
        <f t="shared" si="3438"/>
        <v>0</v>
      </c>
      <c r="BU188" s="197">
        <f t="shared" si="3438"/>
        <v>0</v>
      </c>
      <c r="BV188" s="197">
        <f t="shared" si="3438"/>
        <v>0</v>
      </c>
      <c r="BW188" s="197">
        <f t="shared" si="3438"/>
        <v>0</v>
      </c>
      <c r="BX188" s="197">
        <f t="shared" si="3438"/>
        <v>0</v>
      </c>
      <c r="BY188" s="197">
        <f t="shared" si="3438"/>
        <v>0</v>
      </c>
      <c r="BZ188" s="197">
        <f t="shared" si="3438"/>
        <v>0</v>
      </c>
      <c r="CA188" s="197">
        <f t="shared" si="3438"/>
        <v>0</v>
      </c>
      <c r="CB188" s="197">
        <f t="shared" si="3438"/>
        <v>0</v>
      </c>
      <c r="CC188" s="197">
        <f t="shared" si="3438"/>
        <v>0</v>
      </c>
      <c r="CD188" s="197">
        <f t="shared" si="3438"/>
        <v>0</v>
      </c>
      <c r="CE188" s="197">
        <f t="shared" si="3438"/>
        <v>0</v>
      </c>
      <c r="CF188" s="197">
        <f t="shared" si="3438"/>
        <v>0</v>
      </c>
      <c r="CG188" s="197">
        <f t="shared" si="3438"/>
        <v>0</v>
      </c>
      <c r="CH188" s="197">
        <f t="shared" si="3438"/>
        <v>0</v>
      </c>
      <c r="CI188" s="197">
        <f t="shared" si="3438"/>
        <v>0</v>
      </c>
      <c r="CJ188" s="197">
        <f t="shared" si="3438"/>
        <v>0</v>
      </c>
      <c r="CK188" s="197">
        <f t="shared" si="3438"/>
        <v>0</v>
      </c>
      <c r="CL188" s="197">
        <f t="shared" si="3438"/>
        <v>0</v>
      </c>
      <c r="CM188" s="197">
        <f t="shared" si="3438"/>
        <v>0</v>
      </c>
      <c r="CN188" s="197">
        <f t="shared" si="3438"/>
        <v>0</v>
      </c>
      <c r="CO188" s="197">
        <f t="shared" si="3438"/>
        <v>0</v>
      </c>
      <c r="CP188" s="197">
        <f t="shared" si="3438"/>
        <v>0</v>
      </c>
      <c r="CQ188" s="197">
        <f t="shared" si="3438"/>
        <v>0</v>
      </c>
      <c r="CR188" s="197">
        <f t="shared" si="3438"/>
        <v>0</v>
      </c>
      <c r="CS188" s="197">
        <f t="shared" si="3438"/>
        <v>0</v>
      </c>
      <c r="CT188" s="197">
        <f t="shared" si="3438"/>
        <v>0</v>
      </c>
      <c r="CU188" s="197">
        <f t="shared" si="3438"/>
        <v>0</v>
      </c>
      <c r="CV188" s="197">
        <f t="shared" si="3438"/>
        <v>0</v>
      </c>
      <c r="CW188" s="197"/>
      <c r="CX188" s="197">
        <f>CX59-CX312</f>
        <v>0</v>
      </c>
      <c r="CY188" s="197">
        <f>CY59-CY312</f>
        <v>0</v>
      </c>
      <c r="CZ188" s="197">
        <f>CZ59-CZ312</f>
        <v>0</v>
      </c>
      <c r="DA188" s="197">
        <f>DA59-DA312</f>
        <v>0</v>
      </c>
      <c r="DB188" s="197">
        <f>DB59-DB312</f>
        <v>0</v>
      </c>
      <c r="DC188" s="197">
        <f>DC59-DC312</f>
        <v>0</v>
      </c>
      <c r="DD188" s="197"/>
      <c r="DE188" s="197">
        <f t="shared" ref="DE188:EG188" si="3439">DE59-DE312</f>
        <v>0</v>
      </c>
      <c r="DF188" s="197">
        <f t="shared" si="3439"/>
        <v>0</v>
      </c>
      <c r="DG188" s="197">
        <f t="shared" si="3439"/>
        <v>46.260442468963291</v>
      </c>
      <c r="DH188" s="197">
        <f t="shared" si="3439"/>
        <v>0</v>
      </c>
      <c r="DI188" s="197">
        <f t="shared" si="3439"/>
        <v>0</v>
      </c>
      <c r="DJ188" s="197">
        <f t="shared" si="3439"/>
        <v>0</v>
      </c>
      <c r="DK188" s="197">
        <f t="shared" si="3439"/>
        <v>0</v>
      </c>
      <c r="DL188" s="197">
        <f t="shared" si="3439"/>
        <v>0</v>
      </c>
      <c r="DM188" s="197">
        <f t="shared" si="3439"/>
        <v>0</v>
      </c>
      <c r="DN188" s="197">
        <f t="shared" si="3439"/>
        <v>0</v>
      </c>
      <c r="DO188" s="197">
        <f t="shared" si="3439"/>
        <v>0</v>
      </c>
      <c r="DP188" s="197">
        <f t="shared" si="3439"/>
        <v>0</v>
      </c>
      <c r="DQ188" s="197">
        <f t="shared" si="3439"/>
        <v>0</v>
      </c>
      <c r="DR188" s="197">
        <f t="shared" si="3439"/>
        <v>0</v>
      </c>
      <c r="DS188" s="197">
        <f t="shared" si="3439"/>
        <v>0.78564887906536152</v>
      </c>
      <c r="DT188" s="197">
        <f t="shared" si="3439"/>
        <v>0</v>
      </c>
      <c r="DU188" s="197">
        <f t="shared" si="3439"/>
        <v>0</v>
      </c>
      <c r="DV188" s="197">
        <f t="shared" si="3439"/>
        <v>0</v>
      </c>
      <c r="DW188" s="197">
        <f t="shared" si="3439"/>
        <v>0</v>
      </c>
      <c r="DX188" s="197">
        <f t="shared" si="3439"/>
        <v>0</v>
      </c>
      <c r="DY188" s="197">
        <f t="shared" si="3439"/>
        <v>0</v>
      </c>
      <c r="DZ188" s="197">
        <f t="shared" si="3439"/>
        <v>0</v>
      </c>
      <c r="EA188" s="197">
        <f t="shared" si="3439"/>
        <v>0</v>
      </c>
      <c r="EB188" s="197">
        <f t="shared" si="3439"/>
        <v>0</v>
      </c>
      <c r="EC188" s="197">
        <f t="shared" si="3439"/>
        <v>0</v>
      </c>
      <c r="ED188" s="197">
        <f t="shared" si="3439"/>
        <v>5</v>
      </c>
      <c r="EE188" s="197">
        <f t="shared" si="3439"/>
        <v>0</v>
      </c>
      <c r="EF188" s="197">
        <f t="shared" si="3439"/>
        <v>5</v>
      </c>
      <c r="EG188" s="197">
        <f t="shared" si="3439"/>
        <v>0</v>
      </c>
    </row>
    <row r="189" spans="1:137" hidden="1">
      <c r="A189" s="157">
        <v>43800</v>
      </c>
      <c r="B189" s="197">
        <f>B60-B313</f>
        <v>0</v>
      </c>
      <c r="C189" s="197">
        <f>C60-C313</f>
        <v>0</v>
      </c>
      <c r="D189" s="197">
        <f>D60-D313</f>
        <v>0</v>
      </c>
      <c r="E189" s="197">
        <f>E60-E313</f>
        <v>0</v>
      </c>
      <c r="F189" s="197">
        <f>F60-F313</f>
        <v>0</v>
      </c>
      <c r="G189" s="197"/>
      <c r="H189" s="197"/>
      <c r="I189" s="197">
        <f t="shared" ref="I189:AB189" si="3440">I60-I313</f>
        <v>0</v>
      </c>
      <c r="J189" s="197">
        <f t="shared" si="3440"/>
        <v>0</v>
      </c>
      <c r="K189" s="197">
        <f t="shared" si="3440"/>
        <v>0</v>
      </c>
      <c r="L189" s="197">
        <f t="shared" si="3440"/>
        <v>0</v>
      </c>
      <c r="M189" s="197">
        <f t="shared" si="3440"/>
        <v>0</v>
      </c>
      <c r="N189" s="197">
        <f t="shared" si="3440"/>
        <v>0</v>
      </c>
      <c r="O189" s="197">
        <f t="shared" si="3440"/>
        <v>0</v>
      </c>
      <c r="P189" s="197">
        <f t="shared" si="3440"/>
        <v>0</v>
      </c>
      <c r="Q189" s="197">
        <f t="shared" si="3440"/>
        <v>0</v>
      </c>
      <c r="R189" s="197">
        <f t="shared" si="3440"/>
        <v>0</v>
      </c>
      <c r="S189" s="197">
        <f t="shared" si="3440"/>
        <v>0</v>
      </c>
      <c r="T189" s="197">
        <f t="shared" si="3440"/>
        <v>0</v>
      </c>
      <c r="U189" s="197">
        <f t="shared" si="3440"/>
        <v>0</v>
      </c>
      <c r="V189" s="197">
        <f t="shared" si="3440"/>
        <v>0</v>
      </c>
      <c r="W189" s="197">
        <f t="shared" si="3440"/>
        <v>0</v>
      </c>
      <c r="X189" s="197">
        <f t="shared" si="3440"/>
        <v>0</v>
      </c>
      <c r="Y189" s="197">
        <f t="shared" si="3440"/>
        <v>0</v>
      </c>
      <c r="Z189" s="197">
        <f t="shared" si="3440"/>
        <v>0</v>
      </c>
      <c r="AA189" s="197">
        <f t="shared" si="3440"/>
        <v>0</v>
      </c>
      <c r="AB189" s="197">
        <f t="shared" si="3440"/>
        <v>0</v>
      </c>
      <c r="AC189" s="163"/>
      <c r="AD189" s="163"/>
      <c r="AE189" s="163"/>
      <c r="AF189" s="163"/>
      <c r="AH189" s="197"/>
      <c r="AI189" s="197">
        <f t="shared" ref="AI189:BN189" si="3441">AI60-AI313</f>
        <v>0</v>
      </c>
      <c r="AJ189" s="197">
        <f t="shared" si="3441"/>
        <v>0</v>
      </c>
      <c r="AK189" s="197">
        <f t="shared" si="3441"/>
        <v>0</v>
      </c>
      <c r="AL189" s="197">
        <f t="shared" si="3441"/>
        <v>0</v>
      </c>
      <c r="AM189" s="197">
        <f t="shared" si="3441"/>
        <v>0</v>
      </c>
      <c r="AN189" s="197">
        <f t="shared" si="3441"/>
        <v>0</v>
      </c>
      <c r="AO189" s="197">
        <f t="shared" si="3441"/>
        <v>0</v>
      </c>
      <c r="AP189" s="197">
        <f t="shared" si="3441"/>
        <v>0</v>
      </c>
      <c r="AQ189" s="197">
        <f t="shared" si="3441"/>
        <v>0</v>
      </c>
      <c r="AR189" s="197">
        <f t="shared" si="3441"/>
        <v>0</v>
      </c>
      <c r="AS189" s="197">
        <f t="shared" si="3441"/>
        <v>0</v>
      </c>
      <c r="AT189" s="197">
        <f t="shared" si="3441"/>
        <v>0</v>
      </c>
      <c r="AU189" s="197">
        <f t="shared" si="3441"/>
        <v>0</v>
      </c>
      <c r="AV189" s="197">
        <f t="shared" si="3441"/>
        <v>0</v>
      </c>
      <c r="AW189" s="197">
        <f t="shared" si="3441"/>
        <v>0</v>
      </c>
      <c r="AX189" s="197">
        <f t="shared" si="3441"/>
        <v>0</v>
      </c>
      <c r="AY189" s="197">
        <f t="shared" si="3441"/>
        <v>0</v>
      </c>
      <c r="AZ189" s="197">
        <f t="shared" si="3441"/>
        <v>0</v>
      </c>
      <c r="BA189" s="197">
        <f t="shared" si="3441"/>
        <v>0</v>
      </c>
      <c r="BB189" s="197">
        <f t="shared" si="3441"/>
        <v>0</v>
      </c>
      <c r="BC189" s="197">
        <f t="shared" si="3441"/>
        <v>0</v>
      </c>
      <c r="BD189" s="197">
        <f t="shared" si="3441"/>
        <v>0</v>
      </c>
      <c r="BE189" s="197">
        <f t="shared" si="3441"/>
        <v>0</v>
      </c>
      <c r="BF189" s="197">
        <f t="shared" si="3441"/>
        <v>0</v>
      </c>
      <c r="BG189" s="197">
        <f t="shared" si="3441"/>
        <v>0</v>
      </c>
      <c r="BH189" s="197">
        <f t="shared" si="3441"/>
        <v>0</v>
      </c>
      <c r="BI189" s="197">
        <f t="shared" si="3441"/>
        <v>0</v>
      </c>
      <c r="BJ189" s="197">
        <f t="shared" si="3441"/>
        <v>0</v>
      </c>
      <c r="BK189" s="197">
        <f t="shared" si="3441"/>
        <v>0</v>
      </c>
      <c r="BL189" s="197">
        <f t="shared" si="3441"/>
        <v>0</v>
      </c>
      <c r="BM189" s="197">
        <f t="shared" si="3441"/>
        <v>0</v>
      </c>
      <c r="BN189" s="197">
        <f t="shared" si="3441"/>
        <v>0</v>
      </c>
      <c r="BO189" s="197">
        <f t="shared" ref="BO189:CV189" si="3442">BO60-BO313</f>
        <v>0</v>
      </c>
      <c r="BP189" s="197">
        <f t="shared" si="3442"/>
        <v>0</v>
      </c>
      <c r="BQ189" s="197">
        <f t="shared" si="3442"/>
        <v>0</v>
      </c>
      <c r="BR189" s="197">
        <f t="shared" si="3442"/>
        <v>0</v>
      </c>
      <c r="BS189" s="197">
        <f t="shared" si="3442"/>
        <v>0</v>
      </c>
      <c r="BT189" s="197">
        <f t="shared" si="3442"/>
        <v>0</v>
      </c>
      <c r="BU189" s="197">
        <f t="shared" si="3442"/>
        <v>0</v>
      </c>
      <c r="BV189" s="197">
        <f t="shared" si="3442"/>
        <v>0</v>
      </c>
      <c r="BW189" s="197">
        <f t="shared" si="3442"/>
        <v>0</v>
      </c>
      <c r="BX189" s="197">
        <f t="shared" si="3442"/>
        <v>0</v>
      </c>
      <c r="BY189" s="197">
        <f t="shared" si="3442"/>
        <v>0</v>
      </c>
      <c r="BZ189" s="197">
        <f t="shared" si="3442"/>
        <v>0</v>
      </c>
      <c r="CA189" s="197">
        <f t="shared" si="3442"/>
        <v>0</v>
      </c>
      <c r="CB189" s="197">
        <f t="shared" si="3442"/>
        <v>0</v>
      </c>
      <c r="CC189" s="197">
        <f t="shared" si="3442"/>
        <v>0</v>
      </c>
      <c r="CD189" s="197">
        <f t="shared" si="3442"/>
        <v>0</v>
      </c>
      <c r="CE189" s="197">
        <f t="shared" si="3442"/>
        <v>0</v>
      </c>
      <c r="CF189" s="197">
        <f t="shared" si="3442"/>
        <v>0</v>
      </c>
      <c r="CG189" s="197">
        <f t="shared" si="3442"/>
        <v>0</v>
      </c>
      <c r="CH189" s="197">
        <f t="shared" si="3442"/>
        <v>0</v>
      </c>
      <c r="CI189" s="197">
        <f t="shared" si="3442"/>
        <v>0</v>
      </c>
      <c r="CJ189" s="197">
        <f t="shared" si="3442"/>
        <v>0</v>
      </c>
      <c r="CK189" s="197">
        <f t="shared" si="3442"/>
        <v>0</v>
      </c>
      <c r="CL189" s="197">
        <f t="shared" si="3442"/>
        <v>0</v>
      </c>
      <c r="CM189" s="197">
        <f t="shared" si="3442"/>
        <v>0</v>
      </c>
      <c r="CN189" s="197">
        <f t="shared" si="3442"/>
        <v>0</v>
      </c>
      <c r="CO189" s="197">
        <f t="shared" si="3442"/>
        <v>0</v>
      </c>
      <c r="CP189" s="197">
        <f t="shared" si="3442"/>
        <v>0</v>
      </c>
      <c r="CQ189" s="197">
        <f t="shared" si="3442"/>
        <v>0</v>
      </c>
      <c r="CR189" s="197">
        <f t="shared" si="3442"/>
        <v>0</v>
      </c>
      <c r="CS189" s="197">
        <f t="shared" si="3442"/>
        <v>0</v>
      </c>
      <c r="CT189" s="197">
        <f t="shared" si="3442"/>
        <v>0</v>
      </c>
      <c r="CU189" s="197">
        <f t="shared" si="3442"/>
        <v>0</v>
      </c>
      <c r="CV189" s="197">
        <f t="shared" si="3442"/>
        <v>0</v>
      </c>
      <c r="CW189" s="197"/>
      <c r="CX189" s="197">
        <f>CX60-CX313</f>
        <v>0</v>
      </c>
      <c r="CY189" s="197">
        <f>CY60-CY313</f>
        <v>0</v>
      </c>
      <c r="CZ189" s="197">
        <f>CZ60-CZ313</f>
        <v>0</v>
      </c>
      <c r="DA189" s="197">
        <f>DA60-DA313</f>
        <v>0</v>
      </c>
      <c r="DB189" s="197">
        <f>DB60-DB313</f>
        <v>0</v>
      </c>
      <c r="DC189" s="197">
        <f>DC60-DC313</f>
        <v>0</v>
      </c>
      <c r="DD189" s="197"/>
      <c r="DE189" s="197">
        <f t="shared" ref="DE189:EG189" si="3443">DE60-DE313</f>
        <v>0</v>
      </c>
      <c r="DF189" s="197">
        <f t="shared" si="3443"/>
        <v>0</v>
      </c>
      <c r="DG189" s="197">
        <f t="shared" si="3443"/>
        <v>45.239149794747931</v>
      </c>
      <c r="DH189" s="197">
        <f t="shared" si="3443"/>
        <v>0</v>
      </c>
      <c r="DI189" s="197">
        <f t="shared" si="3443"/>
        <v>0</v>
      </c>
      <c r="DJ189" s="197">
        <f t="shared" si="3443"/>
        <v>0</v>
      </c>
      <c r="DK189" s="197">
        <f t="shared" si="3443"/>
        <v>0</v>
      </c>
      <c r="DL189" s="197">
        <f t="shared" si="3443"/>
        <v>0</v>
      </c>
      <c r="DM189" s="197">
        <f t="shared" si="3443"/>
        <v>0</v>
      </c>
      <c r="DN189" s="197">
        <f t="shared" si="3443"/>
        <v>0</v>
      </c>
      <c r="DO189" s="197">
        <f t="shared" si="3443"/>
        <v>0</v>
      </c>
      <c r="DP189" s="197">
        <f t="shared" si="3443"/>
        <v>0</v>
      </c>
      <c r="DQ189" s="197">
        <f t="shared" si="3443"/>
        <v>0</v>
      </c>
      <c r="DR189" s="197">
        <f t="shared" si="3443"/>
        <v>0</v>
      </c>
      <c r="DS189" s="197">
        <f t="shared" si="3443"/>
        <v>0.74145759476411233</v>
      </c>
      <c r="DT189" s="197">
        <f t="shared" si="3443"/>
        <v>0</v>
      </c>
      <c r="DU189" s="197">
        <f t="shared" si="3443"/>
        <v>0</v>
      </c>
      <c r="DV189" s="197">
        <f t="shared" si="3443"/>
        <v>0</v>
      </c>
      <c r="DW189" s="197">
        <f t="shared" si="3443"/>
        <v>0</v>
      </c>
      <c r="DX189" s="197">
        <f t="shared" si="3443"/>
        <v>0</v>
      </c>
      <c r="DY189" s="197">
        <f t="shared" si="3443"/>
        <v>0</v>
      </c>
      <c r="DZ189" s="197">
        <f t="shared" si="3443"/>
        <v>0</v>
      </c>
      <c r="EA189" s="197">
        <f t="shared" si="3443"/>
        <v>0</v>
      </c>
      <c r="EB189" s="197">
        <f t="shared" si="3443"/>
        <v>0</v>
      </c>
      <c r="EC189" s="197">
        <f t="shared" si="3443"/>
        <v>0</v>
      </c>
      <c r="ED189" s="197">
        <f t="shared" si="3443"/>
        <v>5</v>
      </c>
      <c r="EE189" s="197">
        <f t="shared" si="3443"/>
        <v>0</v>
      </c>
      <c r="EF189" s="197">
        <f t="shared" si="3443"/>
        <v>5</v>
      </c>
      <c r="EG189" s="197">
        <f t="shared" si="3443"/>
        <v>0</v>
      </c>
    </row>
    <row r="190" spans="1:137" hidden="1">
      <c r="A190" s="157">
        <v>43831</v>
      </c>
      <c r="B190" s="197">
        <f>B61-B314</f>
        <v>0</v>
      </c>
      <c r="C190" s="197">
        <f>C61-C314</f>
        <v>0</v>
      </c>
      <c r="D190" s="197">
        <f>D61-D314</f>
        <v>0</v>
      </c>
      <c r="E190" s="197">
        <f>E61-E314</f>
        <v>0</v>
      </c>
      <c r="F190" s="197">
        <f>F61-F314</f>
        <v>0</v>
      </c>
      <c r="G190" s="197"/>
      <c r="H190" s="197"/>
      <c r="I190" s="197">
        <f t="shared" ref="I190:AB190" si="3444">I61-I314</f>
        <v>0</v>
      </c>
      <c r="J190" s="197">
        <f t="shared" si="3444"/>
        <v>0</v>
      </c>
      <c r="K190" s="197">
        <f t="shared" si="3444"/>
        <v>0</v>
      </c>
      <c r="L190" s="197">
        <f t="shared" si="3444"/>
        <v>0</v>
      </c>
      <c r="M190" s="197">
        <f t="shared" si="3444"/>
        <v>0</v>
      </c>
      <c r="N190" s="197">
        <f t="shared" si="3444"/>
        <v>0</v>
      </c>
      <c r="O190" s="197">
        <f t="shared" si="3444"/>
        <v>0</v>
      </c>
      <c r="P190" s="197">
        <f t="shared" si="3444"/>
        <v>0</v>
      </c>
      <c r="Q190" s="197">
        <f t="shared" si="3444"/>
        <v>0</v>
      </c>
      <c r="R190" s="197">
        <f t="shared" si="3444"/>
        <v>0</v>
      </c>
      <c r="S190" s="197">
        <f t="shared" si="3444"/>
        <v>0</v>
      </c>
      <c r="T190" s="197">
        <f t="shared" si="3444"/>
        <v>4.1129999999999995</v>
      </c>
      <c r="U190" s="197">
        <f t="shared" si="3444"/>
        <v>4.112999999999829</v>
      </c>
      <c r="V190" s="197">
        <f t="shared" si="3444"/>
        <v>2.0434951965691006E-3</v>
      </c>
      <c r="W190" s="197">
        <f t="shared" si="3444"/>
        <v>0</v>
      </c>
      <c r="X190" s="197">
        <f t="shared" si="3444"/>
        <v>0</v>
      </c>
      <c r="Y190" s="197">
        <f t="shared" si="3444"/>
        <v>0</v>
      </c>
      <c r="Z190" s="197">
        <f t="shared" si="3444"/>
        <v>35.139000000000124</v>
      </c>
      <c r="AA190" s="197">
        <f t="shared" si="3444"/>
        <v>33.629999999999882</v>
      </c>
      <c r="AB190" s="197">
        <f t="shared" si="3444"/>
        <v>4.749541532442017E-4</v>
      </c>
      <c r="AC190" s="163"/>
      <c r="AD190" s="163"/>
      <c r="AE190" s="163"/>
      <c r="AF190" s="163"/>
      <c r="AH190" s="197"/>
      <c r="AI190" s="197">
        <f t="shared" ref="AI190:BN190" si="3445">AI61-AI314</f>
        <v>0</v>
      </c>
      <c r="AJ190" s="197">
        <f t="shared" si="3445"/>
        <v>0</v>
      </c>
      <c r="AK190" s="197">
        <f t="shared" si="3445"/>
        <v>0</v>
      </c>
      <c r="AL190" s="197">
        <f t="shared" si="3445"/>
        <v>0</v>
      </c>
      <c r="AM190" s="197">
        <f t="shared" si="3445"/>
        <v>0</v>
      </c>
      <c r="AN190" s="197">
        <f t="shared" si="3445"/>
        <v>0</v>
      </c>
      <c r="AO190" s="197">
        <f t="shared" si="3445"/>
        <v>0</v>
      </c>
      <c r="AP190" s="197">
        <f t="shared" si="3445"/>
        <v>0</v>
      </c>
      <c r="AQ190" s="197">
        <f t="shared" si="3445"/>
        <v>0</v>
      </c>
      <c r="AR190" s="197">
        <f t="shared" si="3445"/>
        <v>0</v>
      </c>
      <c r="AS190" s="197">
        <f t="shared" si="3445"/>
        <v>0</v>
      </c>
      <c r="AT190" s="197">
        <f t="shared" si="3445"/>
        <v>0</v>
      </c>
      <c r="AU190" s="197">
        <f t="shared" si="3445"/>
        <v>0</v>
      </c>
      <c r="AV190" s="197">
        <f t="shared" si="3445"/>
        <v>0</v>
      </c>
      <c r="AW190" s="197">
        <f t="shared" si="3445"/>
        <v>0</v>
      </c>
      <c r="AX190" s="197">
        <f t="shared" si="3445"/>
        <v>0</v>
      </c>
      <c r="AY190" s="197">
        <f t="shared" si="3445"/>
        <v>0</v>
      </c>
      <c r="AZ190" s="197">
        <f t="shared" si="3445"/>
        <v>0</v>
      </c>
      <c r="BA190" s="197">
        <f t="shared" si="3445"/>
        <v>0</v>
      </c>
      <c r="BB190" s="197">
        <f t="shared" si="3445"/>
        <v>0</v>
      </c>
      <c r="BC190" s="197">
        <f t="shared" si="3445"/>
        <v>0</v>
      </c>
      <c r="BD190" s="197">
        <f t="shared" si="3445"/>
        <v>0</v>
      </c>
      <c r="BE190" s="197">
        <f t="shared" si="3445"/>
        <v>0</v>
      </c>
      <c r="BF190" s="197">
        <f t="shared" si="3445"/>
        <v>0</v>
      </c>
      <c r="BG190" s="197">
        <f t="shared" si="3445"/>
        <v>0</v>
      </c>
      <c r="BH190" s="197">
        <f t="shared" si="3445"/>
        <v>0</v>
      </c>
      <c r="BI190" s="197">
        <f t="shared" si="3445"/>
        <v>0</v>
      </c>
      <c r="BJ190" s="197">
        <f t="shared" si="3445"/>
        <v>0</v>
      </c>
      <c r="BK190" s="197">
        <f t="shared" si="3445"/>
        <v>0</v>
      </c>
      <c r="BL190" s="197">
        <f t="shared" si="3445"/>
        <v>0</v>
      </c>
      <c r="BM190" s="197">
        <f t="shared" si="3445"/>
        <v>0</v>
      </c>
      <c r="BN190" s="197">
        <f t="shared" si="3445"/>
        <v>0</v>
      </c>
      <c r="BO190" s="197">
        <f t="shared" ref="BO190:CV190" si="3446">BO61-BO314</f>
        <v>0</v>
      </c>
      <c r="BP190" s="197">
        <f t="shared" si="3446"/>
        <v>0</v>
      </c>
      <c r="BQ190" s="197">
        <f t="shared" si="3446"/>
        <v>0</v>
      </c>
      <c r="BR190" s="197">
        <f t="shared" si="3446"/>
        <v>0</v>
      </c>
      <c r="BS190" s="197">
        <f t="shared" si="3446"/>
        <v>0</v>
      </c>
      <c r="BT190" s="197">
        <f t="shared" si="3446"/>
        <v>0</v>
      </c>
      <c r="BU190" s="197">
        <f t="shared" si="3446"/>
        <v>0</v>
      </c>
      <c r="BV190" s="197">
        <f t="shared" si="3446"/>
        <v>0</v>
      </c>
      <c r="BW190" s="197">
        <f t="shared" si="3446"/>
        <v>0</v>
      </c>
      <c r="BX190" s="197">
        <f t="shared" si="3446"/>
        <v>0</v>
      </c>
      <c r="BY190" s="197">
        <f t="shared" si="3446"/>
        <v>0</v>
      </c>
      <c r="BZ190" s="197">
        <f t="shared" si="3446"/>
        <v>0</v>
      </c>
      <c r="CA190" s="197">
        <f t="shared" si="3446"/>
        <v>0</v>
      </c>
      <c r="CB190" s="197">
        <f t="shared" si="3446"/>
        <v>0</v>
      </c>
      <c r="CC190" s="197">
        <f t="shared" si="3446"/>
        <v>0</v>
      </c>
      <c r="CD190" s="197">
        <f t="shared" si="3446"/>
        <v>0</v>
      </c>
      <c r="CE190" s="197">
        <f t="shared" si="3446"/>
        <v>0</v>
      </c>
      <c r="CF190" s="197">
        <f t="shared" si="3446"/>
        <v>0</v>
      </c>
      <c r="CG190" s="197">
        <f t="shared" si="3446"/>
        <v>0</v>
      </c>
      <c r="CH190" s="197">
        <f t="shared" si="3446"/>
        <v>0.11741125293654875</v>
      </c>
      <c r="CI190" s="197">
        <f t="shared" si="3446"/>
        <v>0</v>
      </c>
      <c r="CJ190" s="197">
        <f t="shared" si="3446"/>
        <v>0</v>
      </c>
      <c r="CK190" s="197">
        <f t="shared" si="3446"/>
        <v>0</v>
      </c>
      <c r="CL190" s="197">
        <f t="shared" si="3446"/>
        <v>0</v>
      </c>
      <c r="CM190" s="197">
        <f t="shared" si="3446"/>
        <v>0</v>
      </c>
      <c r="CN190" s="197">
        <f t="shared" si="3446"/>
        <v>0</v>
      </c>
      <c r="CO190" s="197">
        <f t="shared" si="3446"/>
        <v>0</v>
      </c>
      <c r="CP190" s="197">
        <f t="shared" si="3446"/>
        <v>0</v>
      </c>
      <c r="CQ190" s="197">
        <f t="shared" si="3446"/>
        <v>0</v>
      </c>
      <c r="CR190" s="197">
        <f t="shared" si="3446"/>
        <v>0</v>
      </c>
      <c r="CS190" s="197">
        <f t="shared" si="3446"/>
        <v>-0.11741125293654875</v>
      </c>
      <c r="CT190" s="197">
        <f t="shared" si="3446"/>
        <v>0</v>
      </c>
      <c r="CU190" s="197">
        <f t="shared" si="3446"/>
        <v>0</v>
      </c>
      <c r="CV190" s="197">
        <f t="shared" si="3446"/>
        <v>0</v>
      </c>
      <c r="CW190" s="197"/>
      <c r="CX190" s="197">
        <f>CX61-CX314</f>
        <v>0</v>
      </c>
      <c r="CY190" s="197">
        <f>CY61-CY314</f>
        <v>0</v>
      </c>
      <c r="CZ190" s="197">
        <f>CZ61-CZ314</f>
        <v>0</v>
      </c>
      <c r="DA190" s="197">
        <f>DA61-DA314</f>
        <v>0</v>
      </c>
      <c r="DB190" s="197">
        <f>DB61-DB314</f>
        <v>0</v>
      </c>
      <c r="DC190" s="197">
        <f>DC61-DC314</f>
        <v>0</v>
      </c>
      <c r="DD190" s="197"/>
      <c r="DE190" s="197">
        <f t="shared" ref="DE190:EG190" si="3447">DE61-DE314</f>
        <v>0</v>
      </c>
      <c r="DF190" s="197">
        <f t="shared" si="3447"/>
        <v>0</v>
      </c>
      <c r="DG190" s="197">
        <f t="shared" si="3447"/>
        <v>45.572689930570434</v>
      </c>
      <c r="DH190" s="197">
        <f t="shared" si="3447"/>
        <v>0</v>
      </c>
      <c r="DI190" s="197">
        <f t="shared" si="3447"/>
        <v>0</v>
      </c>
      <c r="DJ190" s="197">
        <f t="shared" si="3447"/>
        <v>0</v>
      </c>
      <c r="DK190" s="197">
        <f t="shared" si="3447"/>
        <v>0</v>
      </c>
      <c r="DL190" s="197">
        <f t="shared" si="3447"/>
        <v>0</v>
      </c>
      <c r="DM190" s="197">
        <f t="shared" si="3447"/>
        <v>0</v>
      </c>
      <c r="DN190" s="197">
        <f t="shared" si="3447"/>
        <v>0</v>
      </c>
      <c r="DO190" s="197">
        <f t="shared" si="3447"/>
        <v>0</v>
      </c>
      <c r="DP190" s="197">
        <f t="shared" si="3447"/>
        <v>0</v>
      </c>
      <c r="DQ190" s="197">
        <f t="shared" si="3447"/>
        <v>0</v>
      </c>
      <c r="DR190" s="197">
        <f t="shared" si="3447"/>
        <v>0</v>
      </c>
      <c r="DS190" s="197">
        <f t="shared" si="3447"/>
        <v>0.74380111877867872</v>
      </c>
      <c r="DT190" s="197">
        <f t="shared" si="3447"/>
        <v>0</v>
      </c>
      <c r="DU190" s="197">
        <f t="shared" si="3447"/>
        <v>0</v>
      </c>
      <c r="DV190" s="197">
        <f t="shared" si="3447"/>
        <v>0</v>
      </c>
      <c r="DW190" s="197">
        <f t="shared" si="3447"/>
        <v>0</v>
      </c>
      <c r="DX190" s="197">
        <f t="shared" si="3447"/>
        <v>0</v>
      </c>
      <c r="DY190" s="197">
        <f t="shared" si="3447"/>
        <v>0</v>
      </c>
      <c r="DZ190" s="197">
        <f t="shared" si="3447"/>
        <v>0</v>
      </c>
      <c r="EA190" s="197">
        <f t="shared" si="3447"/>
        <v>0</v>
      </c>
      <c r="EB190" s="197">
        <f t="shared" si="3447"/>
        <v>0</v>
      </c>
      <c r="EC190" s="197">
        <f t="shared" si="3447"/>
        <v>0</v>
      </c>
      <c r="ED190" s="197">
        <f t="shared" si="3447"/>
        <v>10</v>
      </c>
      <c r="EE190" s="197">
        <f t="shared" si="3447"/>
        <v>0</v>
      </c>
      <c r="EF190" s="197">
        <f t="shared" si="3447"/>
        <v>10</v>
      </c>
      <c r="EG190" s="197">
        <f t="shared" si="3447"/>
        <v>0</v>
      </c>
    </row>
    <row r="191" spans="1:137" hidden="1">
      <c r="A191" s="157">
        <v>43862</v>
      </c>
      <c r="B191" s="197">
        <f>B62-B315</f>
        <v>-188.27099999999973</v>
      </c>
      <c r="C191" s="197">
        <f>C62-C315</f>
        <v>-6.2757000000000005</v>
      </c>
      <c r="D191" s="197">
        <f>D62-D315</f>
        <v>-6.2757000000000005</v>
      </c>
      <c r="E191" s="197">
        <f>E62-E315</f>
        <v>-3.7739945155393029E-2</v>
      </c>
      <c r="F191" s="197">
        <f>F62-F315</f>
        <v>-137.56400000000031</v>
      </c>
      <c r="G191" s="197"/>
      <c r="H191" s="197"/>
      <c r="I191" s="197">
        <f t="shared" ref="I191:AB191" si="3448">I62-I315</f>
        <v>-22.240999999999985</v>
      </c>
      <c r="J191" s="197">
        <f t="shared" si="3448"/>
        <v>8.2986811110501435E-3</v>
      </c>
      <c r="K191" s="197">
        <f t="shared" si="3448"/>
        <v>-7.3867504854092658E-3</v>
      </c>
      <c r="L191" s="197">
        <f t="shared" si="3448"/>
        <v>-7.3867504854092658E-3</v>
      </c>
      <c r="M191" s="197">
        <f t="shared" si="3448"/>
        <v>-10.701999999999998</v>
      </c>
      <c r="N191" s="197">
        <f t="shared" si="3448"/>
        <v>-0.22699999999999676</v>
      </c>
      <c r="O191" s="197">
        <f t="shared" si="3448"/>
        <v>-74.93100000000004</v>
      </c>
      <c r="P191" s="197">
        <f t="shared" si="3448"/>
        <v>-37.976999999999862</v>
      </c>
      <c r="Q191" s="197">
        <f t="shared" si="3448"/>
        <v>-4.6639999999999873</v>
      </c>
      <c r="R191" s="197">
        <f t="shared" si="3448"/>
        <v>-33.312999999999988</v>
      </c>
      <c r="S191" s="197">
        <f t="shared" si="3448"/>
        <v>0</v>
      </c>
      <c r="T191" s="197">
        <f t="shared" si="3448"/>
        <v>-5.4569999999999936</v>
      </c>
      <c r="U191" s="197">
        <f t="shared" si="3448"/>
        <v>-43.433999999999742</v>
      </c>
      <c r="V191" s="197">
        <f t="shared" si="3448"/>
        <v>-2.2596924229496551E-2</v>
      </c>
      <c r="W191" s="197">
        <f t="shared" si="3448"/>
        <v>-1.842536493870206E-2</v>
      </c>
      <c r="X191" s="197">
        <f t="shared" si="3448"/>
        <v>-1.842536493870206E-2</v>
      </c>
      <c r="Y191" s="197">
        <f t="shared" si="3448"/>
        <v>-2.581211542410955E-2</v>
      </c>
      <c r="Z191" s="197">
        <f t="shared" si="3448"/>
        <v>22.875999999999976</v>
      </c>
      <c r="AA191" s="197">
        <f t="shared" si="3448"/>
        <v>22.064999999999827</v>
      </c>
      <c r="AB191" s="197">
        <f t="shared" si="3448"/>
        <v>1.2239166653767869E-4</v>
      </c>
      <c r="AC191" s="163"/>
      <c r="AD191" s="163"/>
      <c r="AE191" s="163"/>
      <c r="AF191" s="163"/>
      <c r="AH191" s="197"/>
      <c r="AI191" s="197">
        <f t="shared" ref="AI191:BN191" si="3449">AI62-AI315</f>
        <v>-2.5620000000000118</v>
      </c>
      <c r="AJ191" s="197">
        <f t="shared" si="3449"/>
        <v>-8.539999999999992E-2</v>
      </c>
      <c r="AK191" s="197">
        <f t="shared" si="3449"/>
        <v>-1.9680000000000177</v>
      </c>
      <c r="AL191" s="197">
        <f t="shared" si="3449"/>
        <v>-0.53600000000000136</v>
      </c>
      <c r="AM191" s="197">
        <f t="shared" si="3449"/>
        <v>-8.3331663270698186E-3</v>
      </c>
      <c r="AN191" s="197">
        <f t="shared" si="3449"/>
        <v>-1.6631847438119962E-2</v>
      </c>
      <c r="AO191" s="197">
        <f t="shared" si="3449"/>
        <v>-1.13900000000001</v>
      </c>
      <c r="AP191" s="197">
        <f t="shared" si="3449"/>
        <v>-6.1000000000007049E-2</v>
      </c>
      <c r="AQ191" s="197">
        <f t="shared" si="3449"/>
        <v>-6.9663910922077577E-3</v>
      </c>
      <c r="AR191" s="197">
        <f t="shared" si="3449"/>
        <v>1.1458973846494303E-2</v>
      </c>
      <c r="AS191" s="197">
        <f t="shared" si="3449"/>
        <v>-1.52995574192758E-2</v>
      </c>
      <c r="AT191" s="197">
        <f t="shared" si="3449"/>
        <v>-0.75900000000001455</v>
      </c>
      <c r="AU191" s="197">
        <f t="shared" si="3449"/>
        <v>-2.5300000000001432E-2</v>
      </c>
      <c r="AV191" s="197">
        <f t="shared" si="3449"/>
        <v>-0.52099999999995816</v>
      </c>
      <c r="AW191" s="197">
        <f t="shared" si="3449"/>
        <v>-1.8000000000000682E-2</v>
      </c>
      <c r="AX191" s="197">
        <f t="shared" si="3449"/>
        <v>1.8552430251261853E-3</v>
      </c>
      <c r="AY191" s="197">
        <f t="shared" si="3449"/>
        <v>-6.4434380859239582E-3</v>
      </c>
      <c r="AZ191" s="197">
        <f t="shared" si="3449"/>
        <v>-0.17700000000002092</v>
      </c>
      <c r="BA191" s="197">
        <f t="shared" si="3449"/>
        <v>-2.6999999999986812E-2</v>
      </c>
      <c r="BB191" s="197">
        <f t="shared" si="3449"/>
        <v>3.1136538098248678E-3</v>
      </c>
      <c r="BC191" s="197">
        <f t="shared" si="3449"/>
        <v>2.1539018748526928E-2</v>
      </c>
      <c r="BD191" s="197">
        <f t="shared" si="3449"/>
        <v>4.9688968349528295E-3</v>
      </c>
      <c r="BE191" s="197">
        <f t="shared" si="3449"/>
        <v>0</v>
      </c>
      <c r="BF191" s="197">
        <f t="shared" si="3449"/>
        <v>0</v>
      </c>
      <c r="BG191" s="197">
        <f t="shared" si="3449"/>
        <v>0</v>
      </c>
      <c r="BH191" s="197">
        <f t="shared" si="3449"/>
        <v>0</v>
      </c>
      <c r="BI191" s="197">
        <f t="shared" si="3449"/>
        <v>0</v>
      </c>
      <c r="BJ191" s="197">
        <f t="shared" si="3449"/>
        <v>-8.2986811110501435E-3</v>
      </c>
      <c r="BK191" s="197">
        <f t="shared" si="3449"/>
        <v>0</v>
      </c>
      <c r="BL191" s="197">
        <f t="shared" si="3449"/>
        <v>0</v>
      </c>
      <c r="BM191" s="197">
        <f t="shared" si="3449"/>
        <v>0</v>
      </c>
      <c r="BN191" s="197">
        <f t="shared" si="3449"/>
        <v>1.842536493870206E-2</v>
      </c>
      <c r="BO191" s="197">
        <f t="shared" ref="BO191:CV191" si="3450">BO62-BO315</f>
        <v>0</v>
      </c>
      <c r="BP191" s="197">
        <f t="shared" si="3450"/>
        <v>-184.46799999999996</v>
      </c>
      <c r="BQ191" s="197">
        <f t="shared" si="3450"/>
        <v>-6.148933333333332</v>
      </c>
      <c r="BR191" s="197">
        <f t="shared" si="3450"/>
        <v>-134.69899999999996</v>
      </c>
      <c r="BS191" s="197">
        <f t="shared" si="3450"/>
        <v>-21.643000000000001</v>
      </c>
      <c r="BT191" s="197">
        <f t="shared" si="3450"/>
        <v>9.3651411671686446E-2</v>
      </c>
      <c r="BU191" s="197">
        <f t="shared" si="3450"/>
        <v>8.5352730560636303E-2</v>
      </c>
      <c r="BV191" s="197">
        <f t="shared" si="3450"/>
        <v>-73.471000000000004</v>
      </c>
      <c r="BW191" s="197">
        <f t="shared" si="3450"/>
        <v>-4.5750000000000171</v>
      </c>
      <c r="BX191" s="197">
        <f t="shared" si="3450"/>
        <v>-0.18914230906889529</v>
      </c>
      <c r="BY191" s="197">
        <f t="shared" si="3450"/>
        <v>-0.17071694413019323</v>
      </c>
      <c r="BZ191" s="197">
        <f t="shared" si="3450"/>
        <v>-9.5490897397205288E-2</v>
      </c>
      <c r="CA191" s="197">
        <f t="shared" si="3450"/>
        <v>0</v>
      </c>
      <c r="CB191" s="197">
        <f t="shared" si="3450"/>
        <v>0</v>
      </c>
      <c r="CC191" s="197">
        <f t="shared" si="3450"/>
        <v>0</v>
      </c>
      <c r="CD191" s="197">
        <f t="shared" si="3450"/>
        <v>0</v>
      </c>
      <c r="CE191" s="197">
        <f t="shared" si="3450"/>
        <v>0</v>
      </c>
      <c r="CF191" s="197">
        <f t="shared" si="3450"/>
        <v>-8.2986811110501435E-3</v>
      </c>
      <c r="CG191" s="197">
        <f t="shared" si="3450"/>
        <v>0</v>
      </c>
      <c r="CH191" s="197">
        <f t="shared" si="3450"/>
        <v>0</v>
      </c>
      <c r="CI191" s="197">
        <f t="shared" si="3450"/>
        <v>0</v>
      </c>
      <c r="CJ191" s="197">
        <f t="shared" si="3450"/>
        <v>1.842536493870206E-2</v>
      </c>
      <c r="CK191" s="197">
        <f t="shared" si="3450"/>
        <v>0</v>
      </c>
      <c r="CL191" s="197">
        <f t="shared" si="3450"/>
        <v>-0.4819999999999709</v>
      </c>
      <c r="CM191" s="197">
        <f t="shared" si="3450"/>
        <v>-1.6066666666667118E-2</v>
      </c>
      <c r="CN191" s="197">
        <f t="shared" si="3450"/>
        <v>-0.37599999999997635</v>
      </c>
      <c r="CO191" s="197">
        <f t="shared" si="3450"/>
        <v>-4.399999999999693E-2</v>
      </c>
      <c r="CP191" s="197">
        <f t="shared" si="3450"/>
        <v>-1.4258327853511332E-3</v>
      </c>
      <c r="CQ191" s="197">
        <f t="shared" si="3450"/>
        <v>-9.7245138964012767E-3</v>
      </c>
      <c r="CR191" s="197">
        <f t="shared" si="3450"/>
        <v>-0.14400000000000546</v>
      </c>
      <c r="CS191" s="197">
        <f t="shared" si="3450"/>
        <v>-1.0000000000047748E-3</v>
      </c>
      <c r="CT191" s="197">
        <f t="shared" si="3450"/>
        <v>1.3675856047132839E-3</v>
      </c>
      <c r="CU191" s="197">
        <f t="shared" si="3450"/>
        <v>1.9792950543415344E-2</v>
      </c>
      <c r="CV191" s="197">
        <f t="shared" si="3450"/>
        <v>-5.824718063962564E-5</v>
      </c>
      <c r="CW191" s="197"/>
      <c r="CX191" s="197">
        <f>CX62-CX315</f>
        <v>0</v>
      </c>
      <c r="CY191" s="197">
        <f>CY62-CY315</f>
        <v>0</v>
      </c>
      <c r="CZ191" s="197">
        <f>CZ62-CZ315</f>
        <v>0</v>
      </c>
      <c r="DA191" s="197">
        <f>DA62-DA315</f>
        <v>0</v>
      </c>
      <c r="DB191" s="197">
        <f>DB62-DB315</f>
        <v>0</v>
      </c>
      <c r="DC191" s="197">
        <f>DC62-DC315</f>
        <v>0</v>
      </c>
      <c r="DD191" s="197"/>
      <c r="DE191" s="197">
        <f t="shared" ref="DE191:EG191" si="3451">DE62-DE315</f>
        <v>0</v>
      </c>
      <c r="DF191" s="197">
        <f t="shared" si="3451"/>
        <v>0</v>
      </c>
      <c r="DG191" s="197">
        <f t="shared" si="3451"/>
        <v>45.352061585593589</v>
      </c>
      <c r="DH191" s="197">
        <f t="shared" si="3451"/>
        <v>0</v>
      </c>
      <c r="DI191" s="197">
        <f t="shared" si="3451"/>
        <v>0</v>
      </c>
      <c r="DJ191" s="197">
        <f t="shared" si="3451"/>
        <v>0</v>
      </c>
      <c r="DK191" s="197">
        <f t="shared" si="3451"/>
        <v>0</v>
      </c>
      <c r="DL191" s="197">
        <f t="shared" si="3451"/>
        <v>0</v>
      </c>
      <c r="DM191" s="197">
        <f t="shared" si="3451"/>
        <v>0</v>
      </c>
      <c r="DN191" s="197">
        <f t="shared" si="3451"/>
        <v>0</v>
      </c>
      <c r="DO191" s="197">
        <f t="shared" si="3451"/>
        <v>0</v>
      </c>
      <c r="DP191" s="197">
        <f t="shared" si="3451"/>
        <v>0</v>
      </c>
      <c r="DQ191" s="197">
        <f t="shared" si="3451"/>
        <v>0</v>
      </c>
      <c r="DR191" s="197">
        <f t="shared" si="3451"/>
        <v>0</v>
      </c>
      <c r="DS191" s="197">
        <f t="shared" si="3451"/>
        <v>0.98803043824809778</v>
      </c>
      <c r="DT191" s="197">
        <f t="shared" si="3451"/>
        <v>0</v>
      </c>
      <c r="DU191" s="197">
        <f t="shared" si="3451"/>
        <v>0</v>
      </c>
      <c r="DV191" s="197">
        <f t="shared" si="3451"/>
        <v>0</v>
      </c>
      <c r="DW191" s="197">
        <f t="shared" si="3451"/>
        <v>0</v>
      </c>
      <c r="DX191" s="197">
        <f t="shared" si="3451"/>
        <v>0</v>
      </c>
      <c r="DY191" s="197">
        <f t="shared" si="3451"/>
        <v>0</v>
      </c>
      <c r="DZ191" s="197">
        <f t="shared" si="3451"/>
        <v>0</v>
      </c>
      <c r="EA191" s="197">
        <f t="shared" si="3451"/>
        <v>0</v>
      </c>
      <c r="EB191" s="197">
        <f t="shared" si="3451"/>
        <v>0</v>
      </c>
      <c r="EC191" s="197">
        <f t="shared" si="3451"/>
        <v>0</v>
      </c>
      <c r="ED191" s="197">
        <f t="shared" si="3451"/>
        <v>0</v>
      </c>
      <c r="EE191" s="197">
        <f t="shared" si="3451"/>
        <v>0</v>
      </c>
      <c r="EF191" s="197">
        <f t="shared" si="3451"/>
        <v>2.8569999999999993</v>
      </c>
      <c r="EG191" s="197">
        <f t="shared" si="3451"/>
        <v>1.1913665510577598E-2</v>
      </c>
    </row>
    <row r="192" spans="1:137" hidden="1">
      <c r="A192" s="157">
        <v>43891</v>
      </c>
      <c r="B192" s="197">
        <f>B63-B316</f>
        <v>0</v>
      </c>
      <c r="C192" s="197">
        <f>C63-C316</f>
        <v>0</v>
      </c>
      <c r="D192" s="197">
        <f>D63-D316</f>
        <v>0</v>
      </c>
      <c r="E192" s="197">
        <f>E63-E316</f>
        <v>0</v>
      </c>
      <c r="F192" s="197">
        <f>F63-F316</f>
        <v>0</v>
      </c>
      <c r="G192" s="197"/>
      <c r="H192" s="197"/>
      <c r="I192" s="197">
        <f t="shared" ref="I192:AB192" si="3452">I63-I316</f>
        <v>0</v>
      </c>
      <c r="J192" s="197">
        <f t="shared" si="3452"/>
        <v>0</v>
      </c>
      <c r="K192" s="197">
        <f t="shared" si="3452"/>
        <v>0</v>
      </c>
      <c r="L192" s="197">
        <f t="shared" si="3452"/>
        <v>0</v>
      </c>
      <c r="M192" s="197">
        <f t="shared" si="3452"/>
        <v>0</v>
      </c>
      <c r="N192" s="197">
        <f t="shared" si="3452"/>
        <v>0</v>
      </c>
      <c r="O192" s="197">
        <f t="shared" si="3452"/>
        <v>0</v>
      </c>
      <c r="P192" s="197">
        <f t="shared" si="3452"/>
        <v>0</v>
      </c>
      <c r="Q192" s="197">
        <f t="shared" si="3452"/>
        <v>0</v>
      </c>
      <c r="R192" s="197">
        <f t="shared" si="3452"/>
        <v>0</v>
      </c>
      <c r="S192" s="197">
        <f t="shared" si="3452"/>
        <v>0</v>
      </c>
      <c r="T192" s="197">
        <f t="shared" si="3452"/>
        <v>-0.99699999999995725</v>
      </c>
      <c r="U192" s="197">
        <f t="shared" si="3452"/>
        <v>-0.99699999999984357</v>
      </c>
      <c r="V192" s="197">
        <f t="shared" si="3452"/>
        <v>-5.2505132021152257E-4</v>
      </c>
      <c r="W192" s="197">
        <f t="shared" si="3452"/>
        <v>0</v>
      </c>
      <c r="X192" s="197">
        <f t="shared" si="3452"/>
        <v>0</v>
      </c>
      <c r="Y192" s="197">
        <f t="shared" si="3452"/>
        <v>0</v>
      </c>
      <c r="Z192" s="197">
        <f t="shared" si="3452"/>
        <v>57.751999999999953</v>
      </c>
      <c r="AA192" s="197">
        <f t="shared" si="3452"/>
        <v>55.807000000000016</v>
      </c>
      <c r="AB192" s="197">
        <f t="shared" si="3452"/>
        <v>3.9583054058203726E-4</v>
      </c>
      <c r="AC192" s="163"/>
      <c r="AD192" s="163"/>
      <c r="AE192" s="163"/>
      <c r="AF192" s="163"/>
      <c r="AH192" s="197"/>
      <c r="AI192" s="197">
        <f t="shared" ref="AI192:BN192" si="3453">AI63-AI316</f>
        <v>0</v>
      </c>
      <c r="AJ192" s="197">
        <f t="shared" si="3453"/>
        <v>0</v>
      </c>
      <c r="AK192" s="197">
        <f t="shared" si="3453"/>
        <v>0</v>
      </c>
      <c r="AL192" s="197">
        <f t="shared" si="3453"/>
        <v>0</v>
      </c>
      <c r="AM192" s="197">
        <f t="shared" si="3453"/>
        <v>0</v>
      </c>
      <c r="AN192" s="197">
        <f t="shared" si="3453"/>
        <v>0</v>
      </c>
      <c r="AO192" s="197">
        <f t="shared" si="3453"/>
        <v>0</v>
      </c>
      <c r="AP192" s="197">
        <f t="shared" si="3453"/>
        <v>0</v>
      </c>
      <c r="AQ192" s="197">
        <f t="shared" si="3453"/>
        <v>0</v>
      </c>
      <c r="AR192" s="197">
        <f t="shared" si="3453"/>
        <v>0</v>
      </c>
      <c r="AS192" s="197">
        <f t="shared" si="3453"/>
        <v>0</v>
      </c>
      <c r="AT192" s="197">
        <f t="shared" si="3453"/>
        <v>0</v>
      </c>
      <c r="AU192" s="197">
        <f t="shared" si="3453"/>
        <v>0</v>
      </c>
      <c r="AV192" s="197">
        <f t="shared" si="3453"/>
        <v>0</v>
      </c>
      <c r="AW192" s="197">
        <f t="shared" si="3453"/>
        <v>0</v>
      </c>
      <c r="AX192" s="197">
        <f t="shared" si="3453"/>
        <v>0</v>
      </c>
      <c r="AY192" s="197">
        <f t="shared" si="3453"/>
        <v>0</v>
      </c>
      <c r="AZ192" s="197">
        <f t="shared" si="3453"/>
        <v>0</v>
      </c>
      <c r="BA192" s="197">
        <f t="shared" si="3453"/>
        <v>0</v>
      </c>
      <c r="BB192" s="197">
        <f t="shared" si="3453"/>
        <v>0</v>
      </c>
      <c r="BC192" s="197">
        <f t="shared" si="3453"/>
        <v>0</v>
      </c>
      <c r="BD192" s="197">
        <f t="shared" si="3453"/>
        <v>0</v>
      </c>
      <c r="BE192" s="197">
        <f t="shared" si="3453"/>
        <v>0</v>
      </c>
      <c r="BF192" s="197">
        <f t="shared" si="3453"/>
        <v>0</v>
      </c>
      <c r="BG192" s="197">
        <f t="shared" si="3453"/>
        <v>0</v>
      </c>
      <c r="BH192" s="197">
        <f t="shared" si="3453"/>
        <v>0</v>
      </c>
      <c r="BI192" s="197">
        <f t="shared" si="3453"/>
        <v>0</v>
      </c>
      <c r="BJ192" s="197">
        <f t="shared" si="3453"/>
        <v>0</v>
      </c>
      <c r="BK192" s="197">
        <f t="shared" si="3453"/>
        <v>0</v>
      </c>
      <c r="BL192" s="197">
        <f t="shared" si="3453"/>
        <v>0</v>
      </c>
      <c r="BM192" s="197">
        <f t="shared" si="3453"/>
        <v>0</v>
      </c>
      <c r="BN192" s="197">
        <f t="shared" si="3453"/>
        <v>0</v>
      </c>
      <c r="BO192" s="197">
        <f t="shared" ref="BO192:CV192" si="3454">BO63-BO316</f>
        <v>0</v>
      </c>
      <c r="BP192" s="197">
        <f t="shared" si="3454"/>
        <v>0</v>
      </c>
      <c r="BQ192" s="197">
        <f t="shared" si="3454"/>
        <v>0</v>
      </c>
      <c r="BR192" s="197">
        <f t="shared" si="3454"/>
        <v>0</v>
      </c>
      <c r="BS192" s="197">
        <f t="shared" si="3454"/>
        <v>0</v>
      </c>
      <c r="BT192" s="197">
        <f t="shared" si="3454"/>
        <v>0</v>
      </c>
      <c r="BU192" s="197">
        <f t="shared" si="3454"/>
        <v>0</v>
      </c>
      <c r="BV192" s="197">
        <f t="shared" si="3454"/>
        <v>0</v>
      </c>
      <c r="BW192" s="197">
        <f t="shared" si="3454"/>
        <v>0</v>
      </c>
      <c r="BX192" s="197">
        <f t="shared" si="3454"/>
        <v>0</v>
      </c>
      <c r="BY192" s="197">
        <f t="shared" si="3454"/>
        <v>0</v>
      </c>
      <c r="BZ192" s="197">
        <f t="shared" si="3454"/>
        <v>0</v>
      </c>
      <c r="CA192" s="197">
        <f t="shared" si="3454"/>
        <v>0</v>
      </c>
      <c r="CB192" s="197">
        <f t="shared" si="3454"/>
        <v>0</v>
      </c>
      <c r="CC192" s="197">
        <f t="shared" si="3454"/>
        <v>0</v>
      </c>
      <c r="CD192" s="197">
        <f t="shared" si="3454"/>
        <v>0</v>
      </c>
      <c r="CE192" s="197">
        <f t="shared" si="3454"/>
        <v>0</v>
      </c>
      <c r="CF192" s="197">
        <f t="shared" si="3454"/>
        <v>0</v>
      </c>
      <c r="CG192" s="197">
        <f t="shared" si="3454"/>
        <v>0</v>
      </c>
      <c r="CH192" s="197">
        <f t="shared" si="3454"/>
        <v>0</v>
      </c>
      <c r="CI192" s="197">
        <f t="shared" si="3454"/>
        <v>0</v>
      </c>
      <c r="CJ192" s="197">
        <f t="shared" si="3454"/>
        <v>0</v>
      </c>
      <c r="CK192" s="197">
        <f t="shared" si="3454"/>
        <v>0</v>
      </c>
      <c r="CL192" s="197">
        <f t="shared" si="3454"/>
        <v>0</v>
      </c>
      <c r="CM192" s="197">
        <f t="shared" si="3454"/>
        <v>0</v>
      </c>
      <c r="CN192" s="197">
        <f t="shared" si="3454"/>
        <v>0</v>
      </c>
      <c r="CO192" s="197">
        <f t="shared" si="3454"/>
        <v>0</v>
      </c>
      <c r="CP192" s="197">
        <f t="shared" si="3454"/>
        <v>0</v>
      </c>
      <c r="CQ192" s="197">
        <f t="shared" si="3454"/>
        <v>0</v>
      </c>
      <c r="CR192" s="197">
        <f t="shared" si="3454"/>
        <v>0</v>
      </c>
      <c r="CS192" s="197">
        <f t="shared" si="3454"/>
        <v>0</v>
      </c>
      <c r="CT192" s="197">
        <f t="shared" si="3454"/>
        <v>0</v>
      </c>
      <c r="CU192" s="197">
        <f t="shared" si="3454"/>
        <v>0</v>
      </c>
      <c r="CV192" s="197">
        <f t="shared" si="3454"/>
        <v>0</v>
      </c>
      <c r="CW192" s="197"/>
      <c r="CX192" s="197">
        <f>CX63-CX316</f>
        <v>0</v>
      </c>
      <c r="CY192" s="197">
        <f>CY63-CY316</f>
        <v>0</v>
      </c>
      <c r="CZ192" s="197">
        <f>CZ63-CZ316</f>
        <v>0</v>
      </c>
      <c r="DA192" s="197">
        <f>DA63-DA316</f>
        <v>0</v>
      </c>
      <c r="DB192" s="197">
        <f>DB63-DB316</f>
        <v>0</v>
      </c>
      <c r="DC192" s="197">
        <f>DC63-DC316</f>
        <v>0</v>
      </c>
      <c r="DD192" s="197"/>
      <c r="DE192" s="197">
        <f t="shared" ref="DE192:EG192" si="3455">DE63-DE316</f>
        <v>0</v>
      </c>
      <c r="DF192" s="197">
        <f t="shared" si="3455"/>
        <v>0</v>
      </c>
      <c r="DG192" s="197">
        <f t="shared" si="3455"/>
        <v>44.914198838692897</v>
      </c>
      <c r="DH192" s="197">
        <f t="shared" si="3455"/>
        <v>0</v>
      </c>
      <c r="DI192" s="197">
        <f t="shared" si="3455"/>
        <v>0</v>
      </c>
      <c r="DJ192" s="197">
        <f t="shared" si="3455"/>
        <v>0</v>
      </c>
      <c r="DK192" s="197">
        <f t="shared" si="3455"/>
        <v>0</v>
      </c>
      <c r="DL192" s="197">
        <f t="shared" si="3455"/>
        <v>0</v>
      </c>
      <c r="DM192" s="197">
        <f t="shared" si="3455"/>
        <v>0</v>
      </c>
      <c r="DN192" s="197">
        <f t="shared" si="3455"/>
        <v>0</v>
      </c>
      <c r="DO192" s="197">
        <f t="shared" si="3455"/>
        <v>0</v>
      </c>
      <c r="DP192" s="197">
        <f t="shared" si="3455"/>
        <v>0</v>
      </c>
      <c r="DQ192" s="197">
        <f t="shared" si="3455"/>
        <v>0</v>
      </c>
      <c r="DR192" s="197">
        <f t="shared" si="3455"/>
        <v>0</v>
      </c>
      <c r="DS192" s="197">
        <f t="shared" si="3455"/>
        <v>0.78817942214928638</v>
      </c>
      <c r="DT192" s="197">
        <f t="shared" si="3455"/>
        <v>0</v>
      </c>
      <c r="DU192" s="197">
        <f t="shared" si="3455"/>
        <v>0</v>
      </c>
      <c r="DV192" s="197">
        <f t="shared" si="3455"/>
        <v>0</v>
      </c>
      <c r="DW192" s="197">
        <f t="shared" si="3455"/>
        <v>0</v>
      </c>
      <c r="DX192" s="197">
        <f t="shared" si="3455"/>
        <v>0</v>
      </c>
      <c r="DY192" s="197">
        <f t="shared" si="3455"/>
        <v>0</v>
      </c>
      <c r="DZ192" s="197">
        <f t="shared" si="3455"/>
        <v>0</v>
      </c>
      <c r="EA192" s="197">
        <f t="shared" si="3455"/>
        <v>0</v>
      </c>
      <c r="EB192" s="197">
        <f t="shared" si="3455"/>
        <v>0</v>
      </c>
      <c r="EC192" s="197">
        <f t="shared" si="3455"/>
        <v>0</v>
      </c>
      <c r="ED192" s="197">
        <f t="shared" si="3455"/>
        <v>0</v>
      </c>
      <c r="EE192" s="197">
        <f t="shared" si="3455"/>
        <v>0</v>
      </c>
      <c r="EF192" s="197">
        <f t="shared" si="3455"/>
        <v>6.1379999999999981</v>
      </c>
      <c r="EG192" s="197">
        <f t="shared" si="3455"/>
        <v>0</v>
      </c>
    </row>
    <row r="193" spans="1:137" hidden="1">
      <c r="A193" s="157">
        <v>43922</v>
      </c>
      <c r="B193" s="197">
        <f>B64-B317</f>
        <v>0</v>
      </c>
      <c r="C193" s="197">
        <f>C64-C317</f>
        <v>0</v>
      </c>
      <c r="D193" s="197">
        <f>D64-D317</f>
        <v>0</v>
      </c>
      <c r="E193" s="197">
        <f>E64-E317</f>
        <v>0</v>
      </c>
      <c r="F193" s="197">
        <f>F64-F317</f>
        <v>-1.0450000000000728</v>
      </c>
      <c r="G193" s="197"/>
      <c r="H193" s="197"/>
      <c r="I193" s="197">
        <f t="shared" ref="I193:AB193" si="3456">I64-I317</f>
        <v>0</v>
      </c>
      <c r="J193" s="197">
        <f t="shared" si="3456"/>
        <v>-1.1396218527487179E-2</v>
      </c>
      <c r="K193" s="197">
        <f t="shared" si="3456"/>
        <v>0</v>
      </c>
      <c r="L193" s="197">
        <f t="shared" si="3456"/>
        <v>0</v>
      </c>
      <c r="M193" s="197">
        <f t="shared" si="3456"/>
        <v>1.0450000000000159</v>
      </c>
      <c r="N193" s="197">
        <f t="shared" si="3456"/>
        <v>0</v>
      </c>
      <c r="O193" s="197">
        <f t="shared" si="3456"/>
        <v>0</v>
      </c>
      <c r="P193" s="197">
        <f t="shared" si="3456"/>
        <v>-0.46900000000005093</v>
      </c>
      <c r="Q193" s="197">
        <f t="shared" si="3456"/>
        <v>-5.3999999999973625E-2</v>
      </c>
      <c r="R193" s="197">
        <f t="shared" si="3456"/>
        <v>-0.41500000000002046</v>
      </c>
      <c r="S193" s="197">
        <f t="shared" si="3456"/>
        <v>0</v>
      </c>
      <c r="T193" s="197">
        <f t="shared" si="3456"/>
        <v>-0.90100000000001046</v>
      </c>
      <c r="U193" s="197">
        <f t="shared" si="3456"/>
        <v>-1.3699999999998909</v>
      </c>
      <c r="V193" s="197">
        <f t="shared" si="3456"/>
        <v>-6.4903317743914002E-4</v>
      </c>
      <c r="W193" s="197">
        <f t="shared" si="3456"/>
        <v>0</v>
      </c>
      <c r="X193" s="197">
        <f t="shared" si="3456"/>
        <v>0</v>
      </c>
      <c r="Y193" s="197">
        <f t="shared" si="3456"/>
        <v>0</v>
      </c>
      <c r="Z193" s="197">
        <f t="shared" si="3456"/>
        <v>39.288000000000011</v>
      </c>
      <c r="AA193" s="197">
        <f t="shared" si="3456"/>
        <v>37.722999999999956</v>
      </c>
      <c r="AB193" s="197">
        <f t="shared" si="3456"/>
        <v>5.8547657086873914E-4</v>
      </c>
      <c r="AC193" s="163"/>
      <c r="AD193" s="163"/>
      <c r="AE193" s="163"/>
      <c r="AF193" s="163"/>
      <c r="AH193" s="197"/>
      <c r="AI193" s="197">
        <f t="shared" ref="AI193:BN193" si="3457">AI64-AI317</f>
        <v>0</v>
      </c>
      <c r="AJ193" s="197">
        <f t="shared" si="3457"/>
        <v>0</v>
      </c>
      <c r="AK193" s="197">
        <f t="shared" si="3457"/>
        <v>0</v>
      </c>
      <c r="AL193" s="197">
        <f t="shared" si="3457"/>
        <v>0</v>
      </c>
      <c r="AM193" s="197">
        <f t="shared" si="3457"/>
        <v>0</v>
      </c>
      <c r="AN193" s="197">
        <f t="shared" si="3457"/>
        <v>1.1396218527487179E-2</v>
      </c>
      <c r="AO193" s="197">
        <f t="shared" si="3457"/>
        <v>0</v>
      </c>
      <c r="AP193" s="197">
        <f t="shared" si="3457"/>
        <v>0</v>
      </c>
      <c r="AQ193" s="197">
        <f t="shared" si="3457"/>
        <v>0</v>
      </c>
      <c r="AR193" s="197">
        <f t="shared" si="3457"/>
        <v>0</v>
      </c>
      <c r="AS193" s="197">
        <f t="shared" si="3457"/>
        <v>0</v>
      </c>
      <c r="AT193" s="197">
        <f t="shared" si="3457"/>
        <v>0</v>
      </c>
      <c r="AU193" s="197">
        <f t="shared" si="3457"/>
        <v>0</v>
      </c>
      <c r="AV193" s="197">
        <f t="shared" si="3457"/>
        <v>0</v>
      </c>
      <c r="AW193" s="197">
        <f t="shared" si="3457"/>
        <v>0</v>
      </c>
      <c r="AX193" s="197">
        <f t="shared" si="3457"/>
        <v>0</v>
      </c>
      <c r="AY193" s="197">
        <f t="shared" si="3457"/>
        <v>1.1396218527487179E-2</v>
      </c>
      <c r="AZ193" s="197">
        <f t="shared" si="3457"/>
        <v>0</v>
      </c>
      <c r="BA193" s="197">
        <f t="shared" si="3457"/>
        <v>0</v>
      </c>
      <c r="BB193" s="197">
        <f t="shared" si="3457"/>
        <v>0</v>
      </c>
      <c r="BC193" s="197">
        <f t="shared" si="3457"/>
        <v>0</v>
      </c>
      <c r="BD193" s="197">
        <f t="shared" si="3457"/>
        <v>0</v>
      </c>
      <c r="BE193" s="197">
        <f t="shared" si="3457"/>
        <v>0</v>
      </c>
      <c r="BF193" s="197">
        <f t="shared" si="3457"/>
        <v>0</v>
      </c>
      <c r="BG193" s="197">
        <f t="shared" si="3457"/>
        <v>0</v>
      </c>
      <c r="BH193" s="197">
        <f t="shared" si="3457"/>
        <v>0</v>
      </c>
      <c r="BI193" s="197">
        <f t="shared" si="3457"/>
        <v>0</v>
      </c>
      <c r="BJ193" s="197">
        <f t="shared" si="3457"/>
        <v>1.1396218527487179E-2</v>
      </c>
      <c r="BK193" s="197">
        <f t="shared" si="3457"/>
        <v>0</v>
      </c>
      <c r="BL193" s="197">
        <f t="shared" si="3457"/>
        <v>0</v>
      </c>
      <c r="BM193" s="197">
        <f t="shared" si="3457"/>
        <v>0</v>
      </c>
      <c r="BN193" s="197">
        <f t="shared" si="3457"/>
        <v>0</v>
      </c>
      <c r="BO193" s="197">
        <f t="shared" ref="BO193:CV193" si="3458">BO64-BO317</f>
        <v>0</v>
      </c>
      <c r="BP193" s="197">
        <f t="shared" si="3458"/>
        <v>0</v>
      </c>
      <c r="BQ193" s="197">
        <f t="shared" si="3458"/>
        <v>0</v>
      </c>
      <c r="BR193" s="197">
        <f t="shared" si="3458"/>
        <v>0</v>
      </c>
      <c r="BS193" s="197">
        <f t="shared" si="3458"/>
        <v>0</v>
      </c>
      <c r="BT193" s="197">
        <f t="shared" si="3458"/>
        <v>0</v>
      </c>
      <c r="BU193" s="197">
        <f t="shared" si="3458"/>
        <v>1.1396218527487179E-2</v>
      </c>
      <c r="BV193" s="197">
        <f t="shared" si="3458"/>
        <v>0</v>
      </c>
      <c r="BW193" s="197">
        <f t="shared" si="3458"/>
        <v>0</v>
      </c>
      <c r="BX193" s="197">
        <f t="shared" si="3458"/>
        <v>0</v>
      </c>
      <c r="BY193" s="197">
        <f t="shared" si="3458"/>
        <v>0</v>
      </c>
      <c r="BZ193" s="197">
        <f t="shared" si="3458"/>
        <v>0</v>
      </c>
      <c r="CA193" s="197">
        <f t="shared" si="3458"/>
        <v>0</v>
      </c>
      <c r="CB193" s="197">
        <f t="shared" si="3458"/>
        <v>0</v>
      </c>
      <c r="CC193" s="197">
        <f t="shared" si="3458"/>
        <v>0</v>
      </c>
      <c r="CD193" s="197">
        <f t="shared" si="3458"/>
        <v>0</v>
      </c>
      <c r="CE193" s="197">
        <f t="shared" si="3458"/>
        <v>0</v>
      </c>
      <c r="CF193" s="197">
        <f t="shared" si="3458"/>
        <v>1.1396218527487179E-2</v>
      </c>
      <c r="CG193" s="197">
        <f t="shared" si="3458"/>
        <v>0</v>
      </c>
      <c r="CH193" s="197">
        <f t="shared" si="3458"/>
        <v>0</v>
      </c>
      <c r="CI193" s="197">
        <f t="shared" si="3458"/>
        <v>0</v>
      </c>
      <c r="CJ193" s="197">
        <f t="shared" si="3458"/>
        <v>0</v>
      </c>
      <c r="CK193" s="197">
        <f t="shared" si="3458"/>
        <v>0</v>
      </c>
      <c r="CL193" s="197">
        <f t="shared" si="3458"/>
        <v>0</v>
      </c>
      <c r="CM193" s="197">
        <f t="shared" si="3458"/>
        <v>0</v>
      </c>
      <c r="CN193" s="197">
        <f t="shared" si="3458"/>
        <v>0</v>
      </c>
      <c r="CO193" s="197">
        <f t="shared" si="3458"/>
        <v>0</v>
      </c>
      <c r="CP193" s="197">
        <f t="shared" si="3458"/>
        <v>0</v>
      </c>
      <c r="CQ193" s="197">
        <f t="shared" si="3458"/>
        <v>1.1396218527487179E-2</v>
      </c>
      <c r="CR193" s="197">
        <f t="shared" si="3458"/>
        <v>0</v>
      </c>
      <c r="CS193" s="197">
        <f t="shared" si="3458"/>
        <v>0</v>
      </c>
      <c r="CT193" s="197">
        <f t="shared" si="3458"/>
        <v>0</v>
      </c>
      <c r="CU193" s="197">
        <f t="shared" si="3458"/>
        <v>0</v>
      </c>
      <c r="CV193" s="197">
        <f t="shared" si="3458"/>
        <v>0</v>
      </c>
      <c r="CW193" s="197"/>
      <c r="CX193" s="197">
        <f>CX64-CX317</f>
        <v>0</v>
      </c>
      <c r="CY193" s="197">
        <f>CY64-CY317</f>
        <v>-1.044999999999618</v>
      </c>
      <c r="CZ193" s="197">
        <f>CZ64-CZ317</f>
        <v>0</v>
      </c>
      <c r="DA193" s="197">
        <f>DA64-DA317</f>
        <v>0</v>
      </c>
      <c r="DB193" s="197">
        <f>DB64-DB317</f>
        <v>-5.4000000000044679E-2</v>
      </c>
      <c r="DC193" s="197">
        <f>DC64-DC317</f>
        <v>0</v>
      </c>
      <c r="DD193" s="197"/>
      <c r="DE193" s="197">
        <f t="shared" ref="DE193:EG193" si="3459">DE64-DE317</f>
        <v>0</v>
      </c>
      <c r="DF193" s="197">
        <f t="shared" si="3459"/>
        <v>0</v>
      </c>
      <c r="DG193" s="197">
        <f t="shared" si="3459"/>
        <v>45.351145692717559</v>
      </c>
      <c r="DH193" s="197">
        <f t="shared" si="3459"/>
        <v>0</v>
      </c>
      <c r="DI193" s="197">
        <f t="shared" si="3459"/>
        <v>0</v>
      </c>
      <c r="DJ193" s="197">
        <f t="shared" si="3459"/>
        <v>0</v>
      </c>
      <c r="DK193" s="197">
        <f t="shared" si="3459"/>
        <v>0</v>
      </c>
      <c r="DL193" s="197">
        <f t="shared" si="3459"/>
        <v>0</v>
      </c>
      <c r="DM193" s="197">
        <f t="shared" si="3459"/>
        <v>0</v>
      </c>
      <c r="DN193" s="197">
        <f t="shared" si="3459"/>
        <v>0</v>
      </c>
      <c r="DO193" s="197">
        <f t="shared" si="3459"/>
        <v>0</v>
      </c>
      <c r="DP193" s="197">
        <f t="shared" si="3459"/>
        <v>0</v>
      </c>
      <c r="DQ193" s="197">
        <f t="shared" si="3459"/>
        <v>0</v>
      </c>
      <c r="DR193" s="197">
        <f t="shared" si="3459"/>
        <v>0</v>
      </c>
      <c r="DS193" s="197">
        <f t="shared" si="3459"/>
        <v>0.95056025362787189</v>
      </c>
      <c r="DT193" s="197">
        <f t="shared" si="3459"/>
        <v>0</v>
      </c>
      <c r="DU193" s="197">
        <f t="shared" si="3459"/>
        <v>0</v>
      </c>
      <c r="DV193" s="197">
        <f t="shared" si="3459"/>
        <v>0</v>
      </c>
      <c r="DW193" s="197">
        <f t="shared" si="3459"/>
        <v>0</v>
      </c>
      <c r="DX193" s="197">
        <f t="shared" si="3459"/>
        <v>0</v>
      </c>
      <c r="DY193" s="197">
        <f t="shared" si="3459"/>
        <v>0</v>
      </c>
      <c r="DZ193" s="197">
        <f t="shared" si="3459"/>
        <v>0</v>
      </c>
      <c r="EA193" s="197">
        <f t="shared" si="3459"/>
        <v>0</v>
      </c>
      <c r="EB193" s="197">
        <f t="shared" si="3459"/>
        <v>0</v>
      </c>
      <c r="EC193" s="197">
        <f t="shared" si="3459"/>
        <v>0</v>
      </c>
      <c r="ED193" s="197">
        <f t="shared" si="3459"/>
        <v>0</v>
      </c>
      <c r="EE193" s="197">
        <f t="shared" si="3459"/>
        <v>0</v>
      </c>
      <c r="EF193" s="197">
        <f t="shared" si="3459"/>
        <v>5.3780000000000072</v>
      </c>
      <c r="EG193" s="197">
        <f t="shared" si="3459"/>
        <v>0</v>
      </c>
    </row>
    <row r="194" spans="1:137" hidden="1">
      <c r="A194" s="157">
        <v>43952</v>
      </c>
      <c r="B194" s="197">
        <f>B65-B318</f>
        <v>0</v>
      </c>
      <c r="C194" s="197">
        <f>C65-C318</f>
        <v>0</v>
      </c>
      <c r="D194" s="197">
        <f>D65-D318</f>
        <v>0</v>
      </c>
      <c r="E194" s="197">
        <f>E65-E318</f>
        <v>0</v>
      </c>
      <c r="F194" s="197">
        <f>F65-F318</f>
        <v>0</v>
      </c>
      <c r="G194" s="197"/>
      <c r="H194" s="197"/>
      <c r="I194" s="197">
        <f t="shared" ref="I194:AB194" si="3460">I65-I318</f>
        <v>0</v>
      </c>
      <c r="J194" s="197">
        <f t="shared" si="3460"/>
        <v>0</v>
      </c>
      <c r="K194" s="197">
        <f t="shared" si="3460"/>
        <v>0</v>
      </c>
      <c r="L194" s="197">
        <f t="shared" si="3460"/>
        <v>0</v>
      </c>
      <c r="M194" s="197">
        <f t="shared" si="3460"/>
        <v>0</v>
      </c>
      <c r="N194" s="197">
        <f t="shared" si="3460"/>
        <v>0</v>
      </c>
      <c r="O194" s="197">
        <f t="shared" si="3460"/>
        <v>0</v>
      </c>
      <c r="P194" s="197">
        <f t="shared" si="3460"/>
        <v>-5.4000000000087311E-2</v>
      </c>
      <c r="Q194" s="197">
        <f t="shared" si="3460"/>
        <v>-5.3999999999973625E-2</v>
      </c>
      <c r="R194" s="197">
        <f t="shared" si="3460"/>
        <v>0</v>
      </c>
      <c r="S194" s="197">
        <f t="shared" si="3460"/>
        <v>0</v>
      </c>
      <c r="T194" s="197">
        <f t="shared" si="3460"/>
        <v>-1.7789999999999964</v>
      </c>
      <c r="U194" s="197">
        <f t="shared" si="3460"/>
        <v>-1.8330000000000837</v>
      </c>
      <c r="V194" s="197">
        <f t="shared" si="3460"/>
        <v>-9.7488332513395726E-4</v>
      </c>
      <c r="W194" s="197">
        <f t="shared" si="3460"/>
        <v>0</v>
      </c>
      <c r="X194" s="197">
        <f t="shared" si="3460"/>
        <v>0</v>
      </c>
      <c r="Y194" s="197">
        <f t="shared" si="3460"/>
        <v>0</v>
      </c>
      <c r="Z194" s="197">
        <f t="shared" si="3460"/>
        <v>80.598999999999933</v>
      </c>
      <c r="AA194" s="197">
        <f t="shared" si="3460"/>
        <v>77.575000000000045</v>
      </c>
      <c r="AB194" s="197">
        <f t="shared" si="3460"/>
        <v>7.3743054020506543E-4</v>
      </c>
      <c r="AC194" s="163"/>
      <c r="AD194" s="163"/>
      <c r="AE194" s="163"/>
      <c r="AF194" s="163"/>
      <c r="AH194" s="197"/>
      <c r="AI194" s="197">
        <f t="shared" ref="AI194:BN194" si="3461">AI65-AI318</f>
        <v>0</v>
      </c>
      <c r="AJ194" s="197">
        <f t="shared" si="3461"/>
        <v>0</v>
      </c>
      <c r="AK194" s="197">
        <f t="shared" si="3461"/>
        <v>0</v>
      </c>
      <c r="AL194" s="197">
        <f t="shared" si="3461"/>
        <v>0</v>
      </c>
      <c r="AM194" s="197">
        <f t="shared" si="3461"/>
        <v>0</v>
      </c>
      <c r="AN194" s="197">
        <f t="shared" si="3461"/>
        <v>0</v>
      </c>
      <c r="AO194" s="197">
        <f t="shared" si="3461"/>
        <v>0</v>
      </c>
      <c r="AP194" s="197">
        <f t="shared" si="3461"/>
        <v>0</v>
      </c>
      <c r="AQ194" s="197">
        <f t="shared" si="3461"/>
        <v>0</v>
      </c>
      <c r="AR194" s="197">
        <f t="shared" si="3461"/>
        <v>0</v>
      </c>
      <c r="AS194" s="197">
        <f t="shared" si="3461"/>
        <v>0</v>
      </c>
      <c r="AT194" s="197">
        <f t="shared" si="3461"/>
        <v>0</v>
      </c>
      <c r="AU194" s="197">
        <f t="shared" si="3461"/>
        <v>0</v>
      </c>
      <c r="AV194" s="197">
        <f t="shared" si="3461"/>
        <v>0</v>
      </c>
      <c r="AW194" s="197">
        <f t="shared" si="3461"/>
        <v>0</v>
      </c>
      <c r="AX194" s="197">
        <f t="shared" si="3461"/>
        <v>0</v>
      </c>
      <c r="AY194" s="197">
        <f t="shared" si="3461"/>
        <v>0</v>
      </c>
      <c r="AZ194" s="197">
        <f t="shared" si="3461"/>
        <v>0</v>
      </c>
      <c r="BA194" s="197">
        <f t="shared" si="3461"/>
        <v>0</v>
      </c>
      <c r="BB194" s="197">
        <f t="shared" si="3461"/>
        <v>0</v>
      </c>
      <c r="BC194" s="197">
        <f t="shared" si="3461"/>
        <v>0</v>
      </c>
      <c r="BD194" s="197">
        <f t="shared" si="3461"/>
        <v>0</v>
      </c>
      <c r="BE194" s="197">
        <f t="shared" si="3461"/>
        <v>0</v>
      </c>
      <c r="BF194" s="197">
        <f t="shared" si="3461"/>
        <v>0</v>
      </c>
      <c r="BG194" s="197">
        <f t="shared" si="3461"/>
        <v>0</v>
      </c>
      <c r="BH194" s="197">
        <f t="shared" si="3461"/>
        <v>0</v>
      </c>
      <c r="BI194" s="197">
        <f t="shared" si="3461"/>
        <v>0</v>
      </c>
      <c r="BJ194" s="197">
        <f t="shared" si="3461"/>
        <v>0</v>
      </c>
      <c r="BK194" s="197">
        <f t="shared" si="3461"/>
        <v>0</v>
      </c>
      <c r="BL194" s="197">
        <f t="shared" si="3461"/>
        <v>0</v>
      </c>
      <c r="BM194" s="197">
        <f t="shared" si="3461"/>
        <v>0</v>
      </c>
      <c r="BN194" s="197">
        <f t="shared" si="3461"/>
        <v>0</v>
      </c>
      <c r="BO194" s="197">
        <f t="shared" ref="BO194:CV194" si="3462">BO65-BO318</f>
        <v>0</v>
      </c>
      <c r="BP194" s="197">
        <f t="shared" si="3462"/>
        <v>0</v>
      </c>
      <c r="BQ194" s="197">
        <f t="shared" si="3462"/>
        <v>0</v>
      </c>
      <c r="BR194" s="197">
        <f t="shared" si="3462"/>
        <v>0</v>
      </c>
      <c r="BS194" s="197">
        <f t="shared" si="3462"/>
        <v>0</v>
      </c>
      <c r="BT194" s="197">
        <f t="shared" si="3462"/>
        <v>0</v>
      </c>
      <c r="BU194" s="197">
        <f t="shared" si="3462"/>
        <v>0</v>
      </c>
      <c r="BV194" s="197">
        <f t="shared" si="3462"/>
        <v>0</v>
      </c>
      <c r="BW194" s="197">
        <f t="shared" si="3462"/>
        <v>0</v>
      </c>
      <c r="BX194" s="197">
        <f t="shared" si="3462"/>
        <v>0</v>
      </c>
      <c r="BY194" s="197">
        <f t="shared" si="3462"/>
        <v>0</v>
      </c>
      <c r="BZ194" s="197">
        <f t="shared" si="3462"/>
        <v>0</v>
      </c>
      <c r="CA194" s="197">
        <f t="shared" si="3462"/>
        <v>0</v>
      </c>
      <c r="CB194" s="197">
        <f t="shared" si="3462"/>
        <v>0</v>
      </c>
      <c r="CC194" s="197">
        <f t="shared" si="3462"/>
        <v>0</v>
      </c>
      <c r="CD194" s="197">
        <f t="shared" si="3462"/>
        <v>0</v>
      </c>
      <c r="CE194" s="197">
        <f t="shared" si="3462"/>
        <v>0</v>
      </c>
      <c r="CF194" s="197">
        <f t="shared" si="3462"/>
        <v>0</v>
      </c>
      <c r="CG194" s="197">
        <f t="shared" si="3462"/>
        <v>0</v>
      </c>
      <c r="CH194" s="197">
        <f t="shared" si="3462"/>
        <v>0</v>
      </c>
      <c r="CI194" s="197">
        <f t="shared" si="3462"/>
        <v>0</v>
      </c>
      <c r="CJ194" s="197">
        <f t="shared" si="3462"/>
        <v>0</v>
      </c>
      <c r="CK194" s="197">
        <f t="shared" si="3462"/>
        <v>0</v>
      </c>
      <c r="CL194" s="197">
        <f t="shared" si="3462"/>
        <v>0</v>
      </c>
      <c r="CM194" s="197">
        <f t="shared" si="3462"/>
        <v>0</v>
      </c>
      <c r="CN194" s="197">
        <f t="shared" si="3462"/>
        <v>0</v>
      </c>
      <c r="CO194" s="197">
        <f t="shared" si="3462"/>
        <v>0</v>
      </c>
      <c r="CP194" s="197">
        <f t="shared" si="3462"/>
        <v>0</v>
      </c>
      <c r="CQ194" s="197">
        <f t="shared" si="3462"/>
        <v>0</v>
      </c>
      <c r="CR194" s="197">
        <f t="shared" si="3462"/>
        <v>0</v>
      </c>
      <c r="CS194" s="197">
        <f t="shared" si="3462"/>
        <v>0</v>
      </c>
      <c r="CT194" s="197">
        <f t="shared" si="3462"/>
        <v>0</v>
      </c>
      <c r="CU194" s="197">
        <f t="shared" si="3462"/>
        <v>0</v>
      </c>
      <c r="CV194" s="197">
        <f t="shared" si="3462"/>
        <v>0</v>
      </c>
      <c r="CW194" s="197"/>
      <c r="CX194" s="197">
        <f>CX65-CX318</f>
        <v>0</v>
      </c>
      <c r="CY194" s="197">
        <f>CY65-CY318</f>
        <v>0</v>
      </c>
      <c r="CZ194" s="197">
        <f>CZ65-CZ318</f>
        <v>0</v>
      </c>
      <c r="DA194" s="197">
        <f>DA65-DA318</f>
        <v>0</v>
      </c>
      <c r="DB194" s="197">
        <f>DB65-DB318</f>
        <v>-5.4000000000030468E-2</v>
      </c>
      <c r="DC194" s="197">
        <f>DC65-DC318</f>
        <v>0</v>
      </c>
      <c r="DD194" s="197"/>
      <c r="DE194" s="197">
        <f t="shared" ref="DE194:EG194" si="3463">DE65-DE318</f>
        <v>0</v>
      </c>
      <c r="DF194" s="197">
        <f t="shared" si="3463"/>
        <v>0</v>
      </c>
      <c r="DG194" s="197">
        <f t="shared" si="3463"/>
        <v>0</v>
      </c>
      <c r="DH194" s="197">
        <f t="shared" si="3463"/>
        <v>0</v>
      </c>
      <c r="DI194" s="197">
        <f t="shared" si="3463"/>
        <v>0</v>
      </c>
      <c r="DJ194" s="197">
        <f t="shared" si="3463"/>
        <v>0</v>
      </c>
      <c r="DK194" s="197">
        <f t="shared" si="3463"/>
        <v>0</v>
      </c>
      <c r="DL194" s="197">
        <f t="shared" si="3463"/>
        <v>0</v>
      </c>
      <c r="DM194" s="197">
        <f t="shared" si="3463"/>
        <v>0</v>
      </c>
      <c r="DN194" s="197">
        <f t="shared" si="3463"/>
        <v>0</v>
      </c>
      <c r="DO194" s="197">
        <f t="shared" si="3463"/>
        <v>0</v>
      </c>
      <c r="DP194" s="197">
        <f t="shared" si="3463"/>
        <v>0</v>
      </c>
      <c r="DQ194" s="197">
        <f t="shared" si="3463"/>
        <v>0</v>
      </c>
      <c r="DR194" s="197">
        <f t="shared" si="3463"/>
        <v>0</v>
      </c>
      <c r="DS194" s="197">
        <f t="shared" si="3463"/>
        <v>0.78491976095321769</v>
      </c>
      <c r="DT194" s="197">
        <f t="shared" si="3463"/>
        <v>0</v>
      </c>
      <c r="DU194" s="197">
        <f t="shared" si="3463"/>
        <v>0</v>
      </c>
      <c r="DV194" s="197">
        <f t="shared" si="3463"/>
        <v>0</v>
      </c>
      <c r="DW194" s="197">
        <f t="shared" si="3463"/>
        <v>0</v>
      </c>
      <c r="DX194" s="197">
        <f t="shared" si="3463"/>
        <v>0</v>
      </c>
      <c r="DY194" s="197">
        <f t="shared" si="3463"/>
        <v>0</v>
      </c>
      <c r="DZ194" s="197">
        <f t="shared" si="3463"/>
        <v>0</v>
      </c>
      <c r="EA194" s="197">
        <f t="shared" si="3463"/>
        <v>0</v>
      </c>
      <c r="EB194" s="197">
        <f t="shared" si="3463"/>
        <v>0</v>
      </c>
      <c r="EC194" s="197">
        <f t="shared" si="3463"/>
        <v>0</v>
      </c>
      <c r="ED194" s="197">
        <f t="shared" si="3463"/>
        <v>0</v>
      </c>
      <c r="EE194" s="197">
        <f t="shared" si="3463"/>
        <v>0</v>
      </c>
      <c r="EF194" s="197">
        <f t="shared" si="3463"/>
        <v>1.5470000000000041</v>
      </c>
      <c r="EG194" s="197">
        <f t="shared" si="3463"/>
        <v>0</v>
      </c>
    </row>
    <row r="195" spans="1:137" hidden="1">
      <c r="A195" s="157">
        <v>43983</v>
      </c>
      <c r="B195" s="197">
        <f>B66-B319</f>
        <v>0</v>
      </c>
      <c r="C195" s="197">
        <f>C66-C319</f>
        <v>0</v>
      </c>
      <c r="D195" s="197">
        <f>D66-D319</f>
        <v>0</v>
      </c>
      <c r="E195" s="197">
        <f>E66-E319</f>
        <v>0</v>
      </c>
      <c r="F195" s="197">
        <f>F66-F319</f>
        <v>0</v>
      </c>
      <c r="G195" s="197"/>
      <c r="H195" s="197"/>
      <c r="I195" s="197">
        <f t="shared" ref="I195:AB195" si="3464">I66-I319</f>
        <v>0</v>
      </c>
      <c r="J195" s="197">
        <f t="shared" si="3464"/>
        <v>0</v>
      </c>
      <c r="K195" s="197">
        <f t="shared" si="3464"/>
        <v>0</v>
      </c>
      <c r="L195" s="197">
        <f t="shared" si="3464"/>
        <v>0</v>
      </c>
      <c r="M195" s="197">
        <f t="shared" si="3464"/>
        <v>0</v>
      </c>
      <c r="N195" s="197">
        <f t="shared" si="3464"/>
        <v>0</v>
      </c>
      <c r="O195" s="197">
        <f t="shared" si="3464"/>
        <v>0</v>
      </c>
      <c r="P195" s="197">
        <f t="shared" si="3464"/>
        <v>0.14499999999998181</v>
      </c>
      <c r="Q195" s="197">
        <f t="shared" si="3464"/>
        <v>0.1450000000000955</v>
      </c>
      <c r="R195" s="197">
        <f t="shared" si="3464"/>
        <v>0</v>
      </c>
      <c r="S195" s="197">
        <f t="shared" si="3464"/>
        <v>0</v>
      </c>
      <c r="T195" s="197">
        <f t="shared" si="3464"/>
        <v>0</v>
      </c>
      <c r="U195" s="197">
        <f t="shared" si="3464"/>
        <v>0.14499999999998181</v>
      </c>
      <c r="V195" s="197">
        <f t="shared" si="3464"/>
        <v>8.1566252047471366E-5</v>
      </c>
      <c r="W195" s="197">
        <f t="shared" si="3464"/>
        <v>0</v>
      </c>
      <c r="X195" s="197">
        <f t="shared" si="3464"/>
        <v>0</v>
      </c>
      <c r="Y195" s="197">
        <f t="shared" si="3464"/>
        <v>0</v>
      </c>
      <c r="Z195" s="197">
        <f t="shared" si="3464"/>
        <v>58.169999999999845</v>
      </c>
      <c r="AA195" s="197">
        <f t="shared" si="3464"/>
        <v>56.310999999999922</v>
      </c>
      <c r="AB195" s="197">
        <f t="shared" si="3464"/>
        <v>3.9421685785076196E-4</v>
      </c>
      <c r="AC195" s="163"/>
      <c r="AD195" s="163"/>
      <c r="AE195" s="163"/>
      <c r="AF195" s="163"/>
      <c r="AH195" s="197"/>
      <c r="AI195" s="197">
        <f t="shared" ref="AI195:BN195" si="3465">AI66-AI319</f>
        <v>0</v>
      </c>
      <c r="AJ195" s="197">
        <f t="shared" si="3465"/>
        <v>0</v>
      </c>
      <c r="AK195" s="197">
        <f t="shared" si="3465"/>
        <v>0</v>
      </c>
      <c r="AL195" s="197">
        <f t="shared" si="3465"/>
        <v>0</v>
      </c>
      <c r="AM195" s="197">
        <f t="shared" si="3465"/>
        <v>0</v>
      </c>
      <c r="AN195" s="197">
        <f t="shared" si="3465"/>
        <v>0</v>
      </c>
      <c r="AO195" s="197">
        <f t="shared" si="3465"/>
        <v>0</v>
      </c>
      <c r="AP195" s="197">
        <f t="shared" si="3465"/>
        <v>0</v>
      </c>
      <c r="AQ195" s="197">
        <f t="shared" si="3465"/>
        <v>0</v>
      </c>
      <c r="AR195" s="197">
        <f t="shared" si="3465"/>
        <v>0</v>
      </c>
      <c r="AS195" s="197">
        <f t="shared" si="3465"/>
        <v>0</v>
      </c>
      <c r="AT195" s="197">
        <f t="shared" si="3465"/>
        <v>0</v>
      </c>
      <c r="AU195" s="197">
        <f t="shared" si="3465"/>
        <v>0</v>
      </c>
      <c r="AV195" s="197">
        <f t="shared" si="3465"/>
        <v>0</v>
      </c>
      <c r="AW195" s="197">
        <f t="shared" si="3465"/>
        <v>0</v>
      </c>
      <c r="AX195" s="197">
        <f t="shared" si="3465"/>
        <v>0</v>
      </c>
      <c r="AY195" s="197">
        <f t="shared" si="3465"/>
        <v>0</v>
      </c>
      <c r="AZ195" s="197">
        <f t="shared" si="3465"/>
        <v>0</v>
      </c>
      <c r="BA195" s="197">
        <f t="shared" si="3465"/>
        <v>0</v>
      </c>
      <c r="BB195" s="197">
        <f t="shared" si="3465"/>
        <v>0</v>
      </c>
      <c r="BC195" s="197">
        <f t="shared" si="3465"/>
        <v>0</v>
      </c>
      <c r="BD195" s="197">
        <f t="shared" si="3465"/>
        <v>0</v>
      </c>
      <c r="BE195" s="197">
        <f t="shared" si="3465"/>
        <v>0</v>
      </c>
      <c r="BF195" s="197">
        <f t="shared" si="3465"/>
        <v>0</v>
      </c>
      <c r="BG195" s="197">
        <f t="shared" si="3465"/>
        <v>0</v>
      </c>
      <c r="BH195" s="197">
        <f t="shared" si="3465"/>
        <v>0</v>
      </c>
      <c r="BI195" s="197">
        <f t="shared" si="3465"/>
        <v>0</v>
      </c>
      <c r="BJ195" s="197">
        <f t="shared" si="3465"/>
        <v>0</v>
      </c>
      <c r="BK195" s="197">
        <f t="shared" si="3465"/>
        <v>0</v>
      </c>
      <c r="BL195" s="197">
        <f t="shared" si="3465"/>
        <v>0</v>
      </c>
      <c r="BM195" s="197">
        <f t="shared" si="3465"/>
        <v>0</v>
      </c>
      <c r="BN195" s="197">
        <f t="shared" si="3465"/>
        <v>0</v>
      </c>
      <c r="BO195" s="197">
        <f t="shared" ref="BO195:CV195" si="3466">BO66-BO319</f>
        <v>0</v>
      </c>
      <c r="BP195" s="197">
        <f t="shared" si="3466"/>
        <v>0</v>
      </c>
      <c r="BQ195" s="197">
        <f t="shared" si="3466"/>
        <v>0</v>
      </c>
      <c r="BR195" s="197">
        <f t="shared" si="3466"/>
        <v>0</v>
      </c>
      <c r="BS195" s="197">
        <f t="shared" si="3466"/>
        <v>0</v>
      </c>
      <c r="BT195" s="197">
        <f t="shared" si="3466"/>
        <v>0</v>
      </c>
      <c r="BU195" s="197">
        <f t="shared" si="3466"/>
        <v>0</v>
      </c>
      <c r="BV195" s="197">
        <f t="shared" si="3466"/>
        <v>0</v>
      </c>
      <c r="BW195" s="197">
        <f t="shared" si="3466"/>
        <v>0</v>
      </c>
      <c r="BX195" s="197">
        <f t="shared" si="3466"/>
        <v>0</v>
      </c>
      <c r="BY195" s="197">
        <f t="shared" si="3466"/>
        <v>0</v>
      </c>
      <c r="BZ195" s="197">
        <f t="shared" si="3466"/>
        <v>0</v>
      </c>
      <c r="CA195" s="197">
        <f t="shared" si="3466"/>
        <v>0</v>
      </c>
      <c r="CB195" s="197">
        <f t="shared" si="3466"/>
        <v>0</v>
      </c>
      <c r="CC195" s="197">
        <f t="shared" si="3466"/>
        <v>0</v>
      </c>
      <c r="CD195" s="197">
        <f t="shared" si="3466"/>
        <v>0</v>
      </c>
      <c r="CE195" s="197">
        <f t="shared" si="3466"/>
        <v>0</v>
      </c>
      <c r="CF195" s="197">
        <f t="shared" si="3466"/>
        <v>0</v>
      </c>
      <c r="CG195" s="197">
        <f t="shared" si="3466"/>
        <v>0</v>
      </c>
      <c r="CH195" s="197">
        <f t="shared" si="3466"/>
        <v>0</v>
      </c>
      <c r="CI195" s="197">
        <f t="shared" si="3466"/>
        <v>0</v>
      </c>
      <c r="CJ195" s="197">
        <f t="shared" si="3466"/>
        <v>0</v>
      </c>
      <c r="CK195" s="197">
        <f t="shared" si="3466"/>
        <v>0</v>
      </c>
      <c r="CL195" s="197">
        <f t="shared" si="3466"/>
        <v>0</v>
      </c>
      <c r="CM195" s="197">
        <f t="shared" si="3466"/>
        <v>0</v>
      </c>
      <c r="CN195" s="197">
        <f t="shared" si="3466"/>
        <v>0</v>
      </c>
      <c r="CO195" s="197">
        <f t="shared" si="3466"/>
        <v>0</v>
      </c>
      <c r="CP195" s="197">
        <f t="shared" si="3466"/>
        <v>0</v>
      </c>
      <c r="CQ195" s="197">
        <f t="shared" si="3466"/>
        <v>0</v>
      </c>
      <c r="CR195" s="197">
        <f t="shared" si="3466"/>
        <v>0</v>
      </c>
      <c r="CS195" s="197">
        <f t="shared" si="3466"/>
        <v>0</v>
      </c>
      <c r="CT195" s="197">
        <f t="shared" si="3466"/>
        <v>0</v>
      </c>
      <c r="CU195" s="197">
        <f t="shared" si="3466"/>
        <v>0</v>
      </c>
      <c r="CV195" s="197">
        <f t="shared" si="3466"/>
        <v>0</v>
      </c>
      <c r="CW195" s="197"/>
      <c r="CX195" s="197">
        <f>CX66-CX319</f>
        <v>0</v>
      </c>
      <c r="CY195" s="197">
        <f>CY66-CY319</f>
        <v>0</v>
      </c>
      <c r="CZ195" s="197">
        <f>CZ66-CZ319</f>
        <v>0</v>
      </c>
      <c r="DA195" s="197">
        <f>DA66-DA319</f>
        <v>0</v>
      </c>
      <c r="DB195" s="197">
        <f>DB66-DB319</f>
        <v>0.14500000000020918</v>
      </c>
      <c r="DC195" s="197">
        <f>DC66-DC319</f>
        <v>0</v>
      </c>
      <c r="DD195" s="197"/>
      <c r="DE195" s="197">
        <f t="shared" ref="DE195:EG195" si="3467">DE66-DE319</f>
        <v>0</v>
      </c>
      <c r="DF195" s="197">
        <f t="shared" si="3467"/>
        <v>0</v>
      </c>
      <c r="DG195" s="197">
        <f t="shared" si="3467"/>
        <v>60.625</v>
      </c>
      <c r="DH195" s="197">
        <f t="shared" si="3467"/>
        <v>0</v>
      </c>
      <c r="DI195" s="197">
        <f t="shared" si="3467"/>
        <v>0</v>
      </c>
      <c r="DJ195" s="197">
        <f t="shared" si="3467"/>
        <v>0</v>
      </c>
      <c r="DK195" s="197">
        <f t="shared" si="3467"/>
        <v>0</v>
      </c>
      <c r="DL195" s="197">
        <f t="shared" si="3467"/>
        <v>0</v>
      </c>
      <c r="DM195" s="197">
        <f t="shared" si="3467"/>
        <v>0</v>
      </c>
      <c r="DN195" s="197">
        <f t="shared" si="3467"/>
        <v>0</v>
      </c>
      <c r="DO195" s="197">
        <f t="shared" si="3467"/>
        <v>0</v>
      </c>
      <c r="DP195" s="197">
        <f t="shared" si="3467"/>
        <v>0</v>
      </c>
      <c r="DQ195" s="197">
        <f t="shared" si="3467"/>
        <v>0</v>
      </c>
      <c r="DR195" s="197">
        <f t="shared" si="3467"/>
        <v>0</v>
      </c>
      <c r="DS195" s="197">
        <f t="shared" si="3467"/>
        <v>1.1339399850388705</v>
      </c>
      <c r="DT195" s="197">
        <f t="shared" si="3467"/>
        <v>0</v>
      </c>
      <c r="DU195" s="197">
        <f t="shared" si="3467"/>
        <v>0</v>
      </c>
      <c r="DV195" s="197">
        <f t="shared" si="3467"/>
        <v>0</v>
      </c>
      <c r="DW195" s="197">
        <f t="shared" si="3467"/>
        <v>0</v>
      </c>
      <c r="DX195" s="197">
        <f t="shared" si="3467"/>
        <v>0</v>
      </c>
      <c r="DY195" s="197">
        <f t="shared" si="3467"/>
        <v>0</v>
      </c>
      <c r="DZ195" s="197">
        <f t="shared" si="3467"/>
        <v>0</v>
      </c>
      <c r="EA195" s="197">
        <f t="shared" si="3467"/>
        <v>0</v>
      </c>
      <c r="EB195" s="197">
        <f t="shared" si="3467"/>
        <v>0</v>
      </c>
      <c r="EC195" s="197">
        <f t="shared" si="3467"/>
        <v>0</v>
      </c>
      <c r="ED195" s="197">
        <f t="shared" si="3467"/>
        <v>2.527000000000001</v>
      </c>
      <c r="EE195" s="197">
        <f t="shared" si="3467"/>
        <v>0</v>
      </c>
      <c r="EF195" s="197">
        <f t="shared" si="3467"/>
        <v>1.9830000000000041</v>
      </c>
      <c r="EG195" s="197">
        <f t="shared" si="3467"/>
        <v>0</v>
      </c>
    </row>
    <row r="196" spans="1:137" hidden="1">
      <c r="A196" s="157">
        <v>44013</v>
      </c>
      <c r="B196" s="197">
        <f>B67-B320</f>
        <v>0</v>
      </c>
      <c r="C196" s="197">
        <f>C67-C320</f>
        <v>0</v>
      </c>
      <c r="D196" s="197">
        <f>D67-D320</f>
        <v>0</v>
      </c>
      <c r="E196" s="197">
        <f>E67-E320</f>
        <v>0</v>
      </c>
      <c r="F196" s="197">
        <f>F67-F320</f>
        <v>0</v>
      </c>
      <c r="G196" s="197"/>
      <c r="H196" s="197"/>
      <c r="I196" s="197">
        <f t="shared" ref="I196:AB196" si="3468">I67-I320</f>
        <v>0</v>
      </c>
      <c r="J196" s="197">
        <f t="shared" si="3468"/>
        <v>0</v>
      </c>
      <c r="K196" s="197">
        <f t="shared" si="3468"/>
        <v>0</v>
      </c>
      <c r="L196" s="197">
        <f t="shared" si="3468"/>
        <v>0</v>
      </c>
      <c r="M196" s="197">
        <f t="shared" si="3468"/>
        <v>0</v>
      </c>
      <c r="N196" s="197">
        <f t="shared" si="3468"/>
        <v>0</v>
      </c>
      <c r="O196" s="197">
        <f t="shared" si="3468"/>
        <v>0.29799999999977445</v>
      </c>
      <c r="P196" s="197">
        <f t="shared" si="3468"/>
        <v>7.999999999992724E-2</v>
      </c>
      <c r="Q196" s="197">
        <f t="shared" si="3468"/>
        <v>0.14600000000007185</v>
      </c>
      <c r="R196" s="197">
        <f t="shared" si="3468"/>
        <v>-6.5999999999974079E-2</v>
      </c>
      <c r="S196" s="197">
        <f t="shared" si="3468"/>
        <v>0</v>
      </c>
      <c r="T196" s="197">
        <f t="shared" si="3468"/>
        <v>-0.61199999999996635</v>
      </c>
      <c r="U196" s="197">
        <f t="shared" si="3468"/>
        <v>-0.5320000000001528</v>
      </c>
      <c r="V196" s="197">
        <f t="shared" si="3468"/>
        <v>-3.2860723652428092E-4</v>
      </c>
      <c r="W196" s="197">
        <f t="shared" si="3468"/>
        <v>1.6151189587478854E-3</v>
      </c>
      <c r="X196" s="197">
        <f t="shared" si="3468"/>
        <v>1.6151189587478854E-3</v>
      </c>
      <c r="Y196" s="197">
        <f t="shared" si="3468"/>
        <v>1.615118958746109E-3</v>
      </c>
      <c r="Z196" s="197">
        <f t="shared" si="3468"/>
        <v>86.878999999999905</v>
      </c>
      <c r="AA196" s="197">
        <f t="shared" si="3468"/>
        <v>84.985999999999876</v>
      </c>
      <c r="AB196" s="197">
        <f t="shared" si="3468"/>
        <v>-2.5113345625459721E-4</v>
      </c>
      <c r="AC196" s="163"/>
      <c r="AD196" s="163"/>
      <c r="AE196" s="163"/>
      <c r="AF196" s="163"/>
      <c r="AH196" s="197"/>
      <c r="AI196" s="197">
        <f t="shared" ref="AI196:BN196" si="3469">AI67-AI320</f>
        <v>0</v>
      </c>
      <c r="AJ196" s="197">
        <f t="shared" si="3469"/>
        <v>0</v>
      </c>
      <c r="AK196" s="197">
        <f t="shared" si="3469"/>
        <v>0</v>
      </c>
      <c r="AL196" s="197">
        <f t="shared" si="3469"/>
        <v>0</v>
      </c>
      <c r="AM196" s="197">
        <f t="shared" si="3469"/>
        <v>0</v>
      </c>
      <c r="AN196" s="197">
        <f t="shared" si="3469"/>
        <v>0</v>
      </c>
      <c r="AO196" s="197">
        <f t="shared" si="3469"/>
        <v>0</v>
      </c>
      <c r="AP196" s="197">
        <f t="shared" si="3469"/>
        <v>0</v>
      </c>
      <c r="AQ196" s="197">
        <f t="shared" si="3469"/>
        <v>0</v>
      </c>
      <c r="AR196" s="197">
        <f t="shared" si="3469"/>
        <v>-1.6151189587478854E-3</v>
      </c>
      <c r="AS196" s="197">
        <f t="shared" si="3469"/>
        <v>0</v>
      </c>
      <c r="AT196" s="197">
        <f t="shared" si="3469"/>
        <v>0</v>
      </c>
      <c r="AU196" s="197">
        <f t="shared" si="3469"/>
        <v>0</v>
      </c>
      <c r="AV196" s="197">
        <f t="shared" si="3469"/>
        <v>0</v>
      </c>
      <c r="AW196" s="197">
        <f t="shared" si="3469"/>
        <v>0</v>
      </c>
      <c r="AX196" s="197">
        <f t="shared" si="3469"/>
        <v>0</v>
      </c>
      <c r="AY196" s="197">
        <f t="shared" si="3469"/>
        <v>0</v>
      </c>
      <c r="AZ196" s="197">
        <f t="shared" si="3469"/>
        <v>0</v>
      </c>
      <c r="BA196" s="197">
        <f t="shared" si="3469"/>
        <v>0</v>
      </c>
      <c r="BB196" s="197">
        <f t="shared" si="3469"/>
        <v>0</v>
      </c>
      <c r="BC196" s="197">
        <f t="shared" si="3469"/>
        <v>-1.6151189587478854E-3</v>
      </c>
      <c r="BD196" s="197">
        <f t="shared" si="3469"/>
        <v>0</v>
      </c>
      <c r="BE196" s="197">
        <f t="shared" si="3469"/>
        <v>0</v>
      </c>
      <c r="BF196" s="197">
        <f t="shared" si="3469"/>
        <v>0</v>
      </c>
      <c r="BG196" s="197">
        <f t="shared" si="3469"/>
        <v>0</v>
      </c>
      <c r="BH196" s="197">
        <f t="shared" si="3469"/>
        <v>0</v>
      </c>
      <c r="BI196" s="197">
        <f t="shared" si="3469"/>
        <v>0</v>
      </c>
      <c r="BJ196" s="197">
        <f t="shared" si="3469"/>
        <v>0</v>
      </c>
      <c r="BK196" s="197">
        <f t="shared" si="3469"/>
        <v>0</v>
      </c>
      <c r="BL196" s="197">
        <f t="shared" si="3469"/>
        <v>0</v>
      </c>
      <c r="BM196" s="197">
        <f t="shared" si="3469"/>
        <v>0</v>
      </c>
      <c r="BN196" s="197">
        <f t="shared" si="3469"/>
        <v>-1.6151189587478854E-3</v>
      </c>
      <c r="BO196" s="197">
        <f t="shared" ref="BO196:CV196" si="3470">BO67-BO320</f>
        <v>0</v>
      </c>
      <c r="BP196" s="197">
        <f t="shared" si="3470"/>
        <v>0</v>
      </c>
      <c r="BQ196" s="197">
        <f t="shared" si="3470"/>
        <v>0</v>
      </c>
      <c r="BR196" s="197">
        <f t="shared" si="3470"/>
        <v>0</v>
      </c>
      <c r="BS196" s="197">
        <f t="shared" si="3470"/>
        <v>0</v>
      </c>
      <c r="BT196" s="197">
        <f t="shared" si="3470"/>
        <v>0</v>
      </c>
      <c r="BU196" s="197">
        <f t="shared" si="3470"/>
        <v>0</v>
      </c>
      <c r="BV196" s="197">
        <f t="shared" si="3470"/>
        <v>0</v>
      </c>
      <c r="BW196" s="197">
        <f t="shared" si="3470"/>
        <v>0</v>
      </c>
      <c r="BX196" s="197">
        <f t="shared" si="3470"/>
        <v>0</v>
      </c>
      <c r="BY196" s="197">
        <f t="shared" si="3470"/>
        <v>-1.6151189587478854E-3</v>
      </c>
      <c r="BZ196" s="197">
        <f t="shared" si="3470"/>
        <v>0</v>
      </c>
      <c r="CA196" s="197">
        <f t="shared" si="3470"/>
        <v>0</v>
      </c>
      <c r="CB196" s="197">
        <f t="shared" si="3470"/>
        <v>0</v>
      </c>
      <c r="CC196" s="197">
        <f t="shared" si="3470"/>
        <v>0</v>
      </c>
      <c r="CD196" s="197">
        <f t="shared" si="3470"/>
        <v>0</v>
      </c>
      <c r="CE196" s="197">
        <f t="shared" si="3470"/>
        <v>0</v>
      </c>
      <c r="CF196" s="197">
        <f t="shared" si="3470"/>
        <v>0</v>
      </c>
      <c r="CG196" s="197">
        <f t="shared" si="3470"/>
        <v>0.77699999999998681</v>
      </c>
      <c r="CH196" s="197">
        <f t="shared" si="3470"/>
        <v>0</v>
      </c>
      <c r="CI196" s="197">
        <f t="shared" si="3470"/>
        <v>3.4462417336767359E-2</v>
      </c>
      <c r="CJ196" s="197">
        <f t="shared" si="3470"/>
        <v>3.2847298378019474E-2</v>
      </c>
      <c r="CK196" s="197">
        <f t="shared" si="3470"/>
        <v>3.4462417336769136E-2</v>
      </c>
      <c r="CL196" s="197">
        <f t="shared" si="3470"/>
        <v>0</v>
      </c>
      <c r="CM196" s="197">
        <f t="shared" si="3470"/>
        <v>0</v>
      </c>
      <c r="CN196" s="197">
        <f t="shared" si="3470"/>
        <v>0</v>
      </c>
      <c r="CO196" s="197">
        <f t="shared" si="3470"/>
        <v>0</v>
      </c>
      <c r="CP196" s="197">
        <f t="shared" si="3470"/>
        <v>0</v>
      </c>
      <c r="CQ196" s="197">
        <f t="shared" si="3470"/>
        <v>0</v>
      </c>
      <c r="CR196" s="197">
        <f t="shared" si="3470"/>
        <v>0</v>
      </c>
      <c r="CS196" s="197">
        <f t="shared" si="3470"/>
        <v>0</v>
      </c>
      <c r="CT196" s="197">
        <f t="shared" si="3470"/>
        <v>0</v>
      </c>
      <c r="CU196" s="197">
        <f t="shared" si="3470"/>
        <v>-1.6151189587478854E-3</v>
      </c>
      <c r="CV196" s="197">
        <f t="shared" si="3470"/>
        <v>0</v>
      </c>
      <c r="CW196" s="197"/>
      <c r="CX196" s="197">
        <f>CX67-CX320</f>
        <v>0</v>
      </c>
      <c r="CY196" s="197">
        <f>CY67-CY320</f>
        <v>0</v>
      </c>
      <c r="CZ196" s="197">
        <f>CZ67-CZ320</f>
        <v>0</v>
      </c>
      <c r="DA196" s="197">
        <f>DA67-DA320</f>
        <v>-0.4790000000003829</v>
      </c>
      <c r="DB196" s="197">
        <f>DB67-DB320</f>
        <v>0.14600000000011448</v>
      </c>
      <c r="DC196" s="197">
        <f>DC67-DC320</f>
        <v>0</v>
      </c>
      <c r="DD196" s="197"/>
      <c r="DE196" s="197">
        <f t="shared" ref="DE196:EG196" si="3471">DE67-DE320</f>
        <v>-1.907999999999987</v>
      </c>
      <c r="DF196" s="197">
        <f t="shared" si="3471"/>
        <v>-1.0569999999999879</v>
      </c>
      <c r="DG196" s="197">
        <f t="shared" si="3471"/>
        <v>0.625</v>
      </c>
      <c r="DH196" s="197">
        <f t="shared" si="3471"/>
        <v>1.0269461840528571E-4</v>
      </c>
      <c r="DI196" s="197">
        <f t="shared" si="3471"/>
        <v>-4.5999999999992269E-2</v>
      </c>
      <c r="DJ196" s="197">
        <f t="shared" si="3471"/>
        <v>3.8719528766709144E-3</v>
      </c>
      <c r="DK196" s="197">
        <f t="shared" si="3471"/>
        <v>1.4519999999999982</v>
      </c>
      <c r="DL196" s="197">
        <f t="shared" si="3471"/>
        <v>-0.32999999999998408</v>
      </c>
      <c r="DM196" s="197">
        <f t="shared" si="3471"/>
        <v>1.0350060761442736E-2</v>
      </c>
      <c r="DN196" s="197">
        <f t="shared" si="3471"/>
        <v>-0.65100000000001046</v>
      </c>
      <c r="DO196" s="197">
        <f t="shared" si="3471"/>
        <v>-1.4220000000000041</v>
      </c>
      <c r="DP196" s="197">
        <f t="shared" si="3471"/>
        <v>0.74399999999999977</v>
      </c>
      <c r="DQ196" s="197">
        <f t="shared" si="3471"/>
        <v>-0.67799999999999727</v>
      </c>
      <c r="DR196" s="197">
        <f t="shared" si="3471"/>
        <v>3.9746474950762556E-3</v>
      </c>
      <c r="DS196" s="197">
        <f t="shared" si="3471"/>
        <v>0.96788736622141136</v>
      </c>
      <c r="DT196" s="197">
        <f t="shared" si="3471"/>
        <v>0</v>
      </c>
      <c r="DU196" s="197">
        <f t="shared" si="3471"/>
        <v>0</v>
      </c>
      <c r="DV196" s="197">
        <f t="shared" si="3471"/>
        <v>0</v>
      </c>
      <c r="DW196" s="197">
        <f t="shared" si="3471"/>
        <v>0</v>
      </c>
      <c r="DX196" s="197">
        <f t="shared" si="3471"/>
        <v>0</v>
      </c>
      <c r="DY196" s="197">
        <f t="shared" si="3471"/>
        <v>0</v>
      </c>
      <c r="DZ196" s="197">
        <f t="shared" si="3471"/>
        <v>0</v>
      </c>
      <c r="EA196" s="197">
        <f t="shared" si="3471"/>
        <v>0</v>
      </c>
      <c r="EB196" s="197">
        <f t="shared" si="3471"/>
        <v>0</v>
      </c>
      <c r="EC196" s="197">
        <f t="shared" si="3471"/>
        <v>0</v>
      </c>
      <c r="ED196" s="197">
        <f t="shared" si="3471"/>
        <v>0.73000000000000043</v>
      </c>
      <c r="EE196" s="197">
        <f t="shared" si="3471"/>
        <v>0</v>
      </c>
      <c r="EF196" s="197">
        <f t="shared" si="3471"/>
        <v>0.72999999999999687</v>
      </c>
      <c r="EG196" s="197">
        <f t="shared" si="3471"/>
        <v>0</v>
      </c>
    </row>
    <row r="197" spans="1:137" hidden="1">
      <c r="A197" s="157">
        <v>44044</v>
      </c>
      <c r="B197" s="197">
        <f>B68-B321</f>
        <v>-4.0000000008149073E-3</v>
      </c>
      <c r="C197" s="197">
        <f>C68-C321</f>
        <v>-1.3333333336618125E-4</v>
      </c>
      <c r="D197" s="197">
        <f>D68-D321</f>
        <v>-1.3333333336618125E-4</v>
      </c>
      <c r="E197" s="197">
        <f>E68-E321</f>
        <v>-8.0781153766196212E-7</v>
      </c>
      <c r="F197" s="197">
        <f>F68-F321</f>
        <v>-1.4819999999999709</v>
      </c>
      <c r="G197" s="197"/>
      <c r="H197" s="197"/>
      <c r="I197" s="197">
        <f t="shared" ref="I197:AB197" si="3472">I68-I321</f>
        <v>-0.78800000000001091</v>
      </c>
      <c r="J197" s="197">
        <f t="shared" si="3472"/>
        <v>-1.6935048448843304E-2</v>
      </c>
      <c r="K197" s="197">
        <f t="shared" si="3472"/>
        <v>-7.2118313928797306E-3</v>
      </c>
      <c r="L197" s="197">
        <f t="shared" si="3472"/>
        <v>-7.2118313928797306E-3</v>
      </c>
      <c r="M197" s="197">
        <f t="shared" si="3472"/>
        <v>0.84900000000004638</v>
      </c>
      <c r="N197" s="197">
        <f t="shared" si="3472"/>
        <v>0.23800000000000665</v>
      </c>
      <c r="O197" s="197">
        <f t="shared" si="3472"/>
        <v>0.12400000000002365</v>
      </c>
      <c r="P197" s="197">
        <f t="shared" si="3472"/>
        <v>-17.791000000000167</v>
      </c>
      <c r="Q197" s="197">
        <f t="shared" si="3472"/>
        <v>-17.29099999999994</v>
      </c>
      <c r="R197" s="197">
        <f t="shared" si="3472"/>
        <v>-4.6299999999999955</v>
      </c>
      <c r="S197" s="197">
        <f t="shared" si="3472"/>
        <v>4.1299999999999955</v>
      </c>
      <c r="T197" s="197">
        <f t="shared" si="3472"/>
        <v>4.7119999999999891</v>
      </c>
      <c r="U197" s="197">
        <f t="shared" si="3472"/>
        <v>-13.079000000000178</v>
      </c>
      <c r="V197" s="197">
        <f t="shared" si="3472"/>
        <v>-8.6130483171005245E-3</v>
      </c>
      <c r="W197" s="197">
        <f t="shared" si="3472"/>
        <v>7.1868797462926182E-4</v>
      </c>
      <c r="X197" s="197">
        <f t="shared" si="3472"/>
        <v>7.1868797462926182E-4</v>
      </c>
      <c r="Y197" s="197">
        <f t="shared" si="3472"/>
        <v>-6.4931434182469161E-3</v>
      </c>
      <c r="Z197" s="197">
        <f t="shared" si="3472"/>
        <v>96.360999999999876</v>
      </c>
      <c r="AA197" s="197">
        <f t="shared" si="3472"/>
        <v>93.826999999999998</v>
      </c>
      <c r="AB197" s="197">
        <f t="shared" si="3472"/>
        <v>4.4876992886504902E-5</v>
      </c>
      <c r="AC197" s="163"/>
      <c r="AD197" s="163"/>
      <c r="AE197" s="163"/>
      <c r="AF197" s="163"/>
      <c r="AH197" s="197"/>
      <c r="AI197" s="197">
        <f t="shared" ref="AI197:BN197" si="3473">AI68-AI321</f>
        <v>0</v>
      </c>
      <c r="AJ197" s="197">
        <f t="shared" si="3473"/>
        <v>0</v>
      </c>
      <c r="AK197" s="197">
        <f t="shared" si="3473"/>
        <v>0</v>
      </c>
      <c r="AL197" s="197">
        <f t="shared" si="3473"/>
        <v>0</v>
      </c>
      <c r="AM197" s="197">
        <f t="shared" si="3473"/>
        <v>0</v>
      </c>
      <c r="AN197" s="197">
        <f t="shared" si="3473"/>
        <v>1.6935048448843304E-2</v>
      </c>
      <c r="AO197" s="197">
        <f t="shared" si="3473"/>
        <v>0</v>
      </c>
      <c r="AP197" s="197">
        <f t="shared" si="3473"/>
        <v>0</v>
      </c>
      <c r="AQ197" s="197">
        <f t="shared" si="3473"/>
        <v>0</v>
      </c>
      <c r="AR197" s="197">
        <f t="shared" si="3473"/>
        <v>-7.1868797462926182E-4</v>
      </c>
      <c r="AS197" s="197">
        <f t="shared" si="3473"/>
        <v>0</v>
      </c>
      <c r="AT197" s="197">
        <f t="shared" si="3473"/>
        <v>0</v>
      </c>
      <c r="AU197" s="197">
        <f t="shared" si="3473"/>
        <v>0</v>
      </c>
      <c r="AV197" s="197">
        <f t="shared" si="3473"/>
        <v>0</v>
      </c>
      <c r="AW197" s="197">
        <f t="shared" si="3473"/>
        <v>0</v>
      </c>
      <c r="AX197" s="197">
        <f t="shared" si="3473"/>
        <v>0</v>
      </c>
      <c r="AY197" s="197">
        <f t="shared" si="3473"/>
        <v>1.6935048448843304E-2</v>
      </c>
      <c r="AZ197" s="197">
        <f t="shared" si="3473"/>
        <v>0</v>
      </c>
      <c r="BA197" s="197">
        <f t="shared" si="3473"/>
        <v>0</v>
      </c>
      <c r="BB197" s="197">
        <f t="shared" si="3473"/>
        <v>0</v>
      </c>
      <c r="BC197" s="197">
        <f t="shared" si="3473"/>
        <v>-7.1868797462926182E-4</v>
      </c>
      <c r="BD197" s="197">
        <f t="shared" si="3473"/>
        <v>0</v>
      </c>
      <c r="BE197" s="197">
        <f t="shared" si="3473"/>
        <v>0</v>
      </c>
      <c r="BF197" s="197">
        <f t="shared" si="3473"/>
        <v>0</v>
      </c>
      <c r="BG197" s="197">
        <f t="shared" si="3473"/>
        <v>0</v>
      </c>
      <c r="BH197" s="197">
        <f t="shared" si="3473"/>
        <v>0</v>
      </c>
      <c r="BI197" s="197">
        <f t="shared" si="3473"/>
        <v>0</v>
      </c>
      <c r="BJ197" s="197">
        <f t="shared" si="3473"/>
        <v>1.6935048448843304E-2</v>
      </c>
      <c r="BK197" s="197">
        <f t="shared" si="3473"/>
        <v>0</v>
      </c>
      <c r="BL197" s="197">
        <f t="shared" si="3473"/>
        <v>0</v>
      </c>
      <c r="BM197" s="197">
        <f t="shared" si="3473"/>
        <v>0</v>
      </c>
      <c r="BN197" s="197">
        <f t="shared" si="3473"/>
        <v>-7.1868797462926182E-4</v>
      </c>
      <c r="BO197" s="197">
        <f t="shared" ref="BO197:CV197" si="3474">BO68-BO321</f>
        <v>0</v>
      </c>
      <c r="BP197" s="197">
        <f t="shared" si="3474"/>
        <v>-4.0000000000190994E-3</v>
      </c>
      <c r="BQ197" s="197">
        <f t="shared" si="3474"/>
        <v>-1.3333333333420683E-4</v>
      </c>
      <c r="BR197" s="197">
        <f t="shared" si="3474"/>
        <v>-1.4819999999999709</v>
      </c>
      <c r="BS197" s="197">
        <f t="shared" si="3474"/>
        <v>-0.7879999999999967</v>
      </c>
      <c r="BT197" s="197">
        <f t="shared" si="3474"/>
        <v>-0.10436793779552289</v>
      </c>
      <c r="BU197" s="197">
        <f t="shared" si="3474"/>
        <v>-8.7432889346679588E-2</v>
      </c>
      <c r="BV197" s="197">
        <f t="shared" si="3474"/>
        <v>0.12400000000002365</v>
      </c>
      <c r="BW197" s="197">
        <f t="shared" si="3474"/>
        <v>-20.435999999999979</v>
      </c>
      <c r="BX197" s="197">
        <f t="shared" si="3474"/>
        <v>4.4267344050350488E-3</v>
      </c>
      <c r="BY197" s="197">
        <f t="shared" si="3474"/>
        <v>3.708046430405787E-3</v>
      </c>
      <c r="BZ197" s="197">
        <f t="shared" si="3474"/>
        <v>-9.9941203390486066E-2</v>
      </c>
      <c r="CA197" s="197">
        <f t="shared" si="3474"/>
        <v>0</v>
      </c>
      <c r="CB197" s="197">
        <f t="shared" si="3474"/>
        <v>0</v>
      </c>
      <c r="CC197" s="197">
        <f t="shared" si="3474"/>
        <v>0</v>
      </c>
      <c r="CD197" s="197">
        <f t="shared" si="3474"/>
        <v>0</v>
      </c>
      <c r="CE197" s="197">
        <f t="shared" si="3474"/>
        <v>0</v>
      </c>
      <c r="CF197" s="197">
        <f t="shared" si="3474"/>
        <v>1.6935048448843304E-2</v>
      </c>
      <c r="CG197" s="197">
        <f t="shared" si="3474"/>
        <v>0</v>
      </c>
      <c r="CH197" s="197">
        <f t="shared" si="3474"/>
        <v>0</v>
      </c>
      <c r="CI197" s="197">
        <f t="shared" si="3474"/>
        <v>0</v>
      </c>
      <c r="CJ197" s="197">
        <f t="shared" si="3474"/>
        <v>-7.1868797462926182E-4</v>
      </c>
      <c r="CK197" s="197">
        <f t="shared" si="3474"/>
        <v>0</v>
      </c>
      <c r="CL197" s="197">
        <f t="shared" si="3474"/>
        <v>0</v>
      </c>
      <c r="CM197" s="197">
        <f t="shared" si="3474"/>
        <v>0</v>
      </c>
      <c r="CN197" s="197">
        <f t="shared" si="3474"/>
        <v>0</v>
      </c>
      <c r="CO197" s="197">
        <f t="shared" si="3474"/>
        <v>0</v>
      </c>
      <c r="CP197" s="197">
        <f t="shared" si="3474"/>
        <v>0</v>
      </c>
      <c r="CQ197" s="197">
        <f t="shared" si="3474"/>
        <v>1.6935048448843304E-2</v>
      </c>
      <c r="CR197" s="197">
        <f t="shared" si="3474"/>
        <v>0</v>
      </c>
      <c r="CS197" s="197">
        <f t="shared" si="3474"/>
        <v>0</v>
      </c>
      <c r="CT197" s="197">
        <f t="shared" si="3474"/>
        <v>0</v>
      </c>
      <c r="CU197" s="197">
        <f t="shared" si="3474"/>
        <v>-7.1868797462926182E-4</v>
      </c>
      <c r="CV197" s="197">
        <f t="shared" si="3474"/>
        <v>0</v>
      </c>
      <c r="CW197" s="197"/>
      <c r="CX197" s="197">
        <f>CX68-CX321</f>
        <v>0</v>
      </c>
      <c r="CY197" s="197">
        <f>CY68-CY321</f>
        <v>0</v>
      </c>
      <c r="CZ197" s="197">
        <f>CZ68-CZ321</f>
        <v>0</v>
      </c>
      <c r="DA197" s="197">
        <f>DA68-DA321</f>
        <v>0</v>
      </c>
      <c r="DB197" s="197">
        <f>DB68-DB321</f>
        <v>3.1450000000000813</v>
      </c>
      <c r="DC197" s="197">
        <f>DC68-DC321</f>
        <v>0</v>
      </c>
      <c r="DD197" s="197"/>
      <c r="DE197" s="197">
        <f t="shared" ref="DE197:EG197" si="3475">DE68-DE321</f>
        <v>3.3000000000015461E-2</v>
      </c>
      <c r="DF197" s="197">
        <f t="shared" si="3475"/>
        <v>-0.28200000000001069</v>
      </c>
      <c r="DG197" s="197">
        <f t="shared" si="3475"/>
        <v>8.115000000000002</v>
      </c>
      <c r="DH197" s="197">
        <f t="shared" si="3475"/>
        <v>-1.485245678640168E-3</v>
      </c>
      <c r="DI197" s="197">
        <f t="shared" si="3475"/>
        <v>2.199999999999136E-2</v>
      </c>
      <c r="DJ197" s="197">
        <f t="shared" si="3475"/>
        <v>-1.4663772700262978E-5</v>
      </c>
      <c r="DK197" s="197">
        <f t="shared" si="3475"/>
        <v>9.769999999999996</v>
      </c>
      <c r="DL197" s="197">
        <f t="shared" si="3475"/>
        <v>9.7270000000000039</v>
      </c>
      <c r="DM197" s="197">
        <f t="shared" si="3475"/>
        <v>-2.8138311246798109E-3</v>
      </c>
      <c r="DN197" s="197">
        <f t="shared" si="3475"/>
        <v>12.36099999999999</v>
      </c>
      <c r="DO197" s="197">
        <f t="shared" si="3475"/>
        <v>-7.3840000000000003</v>
      </c>
      <c r="DP197" s="197">
        <f t="shared" si="3475"/>
        <v>0.67900000000000205</v>
      </c>
      <c r="DQ197" s="197">
        <f t="shared" si="3475"/>
        <v>-6.7050000000000125</v>
      </c>
      <c r="DR197" s="197">
        <f t="shared" si="3475"/>
        <v>-1.4999094513404865E-3</v>
      </c>
      <c r="DS197" s="197">
        <f t="shared" si="3475"/>
        <v>0.76448673324821148</v>
      </c>
      <c r="DT197" s="197">
        <f t="shared" si="3475"/>
        <v>0</v>
      </c>
      <c r="DU197" s="197">
        <f t="shared" si="3475"/>
        <v>0</v>
      </c>
      <c r="DV197" s="197">
        <f t="shared" si="3475"/>
        <v>-2.6039999999999992</v>
      </c>
      <c r="DW197" s="197">
        <f t="shared" si="3475"/>
        <v>0</v>
      </c>
      <c r="DX197" s="197">
        <f t="shared" si="3475"/>
        <v>0</v>
      </c>
      <c r="DY197" s="197">
        <f t="shared" si="3475"/>
        <v>0</v>
      </c>
      <c r="DZ197" s="197">
        <f t="shared" si="3475"/>
        <v>0.85200000000000387</v>
      </c>
      <c r="EA197" s="197">
        <f t="shared" si="3475"/>
        <v>0.83500000000000085</v>
      </c>
      <c r="EB197" s="197">
        <f t="shared" si="3475"/>
        <v>-2.3095389987715098E-4</v>
      </c>
      <c r="EC197" s="197">
        <f t="shared" si="3475"/>
        <v>-0.73899999999999721</v>
      </c>
      <c r="ED197" s="197">
        <f t="shared" si="3475"/>
        <v>1.5650000000000013</v>
      </c>
      <c r="EE197" s="197">
        <f t="shared" si="3475"/>
        <v>0.74500000000000099</v>
      </c>
      <c r="EF197" s="197">
        <f t="shared" si="3475"/>
        <v>2.3100000000000023</v>
      </c>
      <c r="EG197" s="197">
        <f t="shared" si="3475"/>
        <v>0</v>
      </c>
    </row>
    <row r="198" spans="1:137" hidden="1">
      <c r="A198" s="157">
        <v>44075</v>
      </c>
      <c r="B198" s="197">
        <f>B69-B322</f>
        <v>0</v>
      </c>
      <c r="C198" s="197">
        <f>C69-C322</f>
        <v>0</v>
      </c>
      <c r="D198" s="197">
        <f>D69-D322</f>
        <v>0</v>
      </c>
      <c r="E198" s="197">
        <f>E69-E322</f>
        <v>0</v>
      </c>
      <c r="F198" s="197">
        <f>F69-F322</f>
        <v>0</v>
      </c>
      <c r="G198" s="197"/>
      <c r="H198" s="197"/>
      <c r="I198" s="197">
        <f t="shared" ref="I198:AB198" si="3476">I69-I322</f>
        <v>0</v>
      </c>
      <c r="J198" s="197">
        <f t="shared" si="3476"/>
        <v>0</v>
      </c>
      <c r="K198" s="197">
        <f t="shared" si="3476"/>
        <v>0</v>
      </c>
      <c r="L198" s="197">
        <f t="shared" si="3476"/>
        <v>0</v>
      </c>
      <c r="M198" s="197">
        <f t="shared" si="3476"/>
        <v>0</v>
      </c>
      <c r="N198" s="197">
        <f t="shared" si="3476"/>
        <v>0</v>
      </c>
      <c r="O198" s="197">
        <f t="shared" si="3476"/>
        <v>0</v>
      </c>
      <c r="P198" s="197">
        <f t="shared" si="3476"/>
        <v>4.1449999999999818</v>
      </c>
      <c r="Q198" s="197">
        <f t="shared" si="3476"/>
        <v>4.1449999999999818</v>
      </c>
      <c r="R198" s="197">
        <f t="shared" si="3476"/>
        <v>0</v>
      </c>
      <c r="S198" s="197">
        <f t="shared" si="3476"/>
        <v>0</v>
      </c>
      <c r="T198" s="197">
        <f t="shared" si="3476"/>
        <v>0</v>
      </c>
      <c r="U198" s="197">
        <f t="shared" si="3476"/>
        <v>4.1449999999999818</v>
      </c>
      <c r="V198" s="197">
        <f t="shared" si="3476"/>
        <v>2.8919398253253181E-3</v>
      </c>
      <c r="W198" s="197">
        <f t="shared" si="3476"/>
        <v>0</v>
      </c>
      <c r="X198" s="197">
        <f t="shared" si="3476"/>
        <v>0</v>
      </c>
      <c r="Y198" s="197">
        <f t="shared" si="3476"/>
        <v>0</v>
      </c>
      <c r="Z198" s="197">
        <f t="shared" si="3476"/>
        <v>45.833999999999833</v>
      </c>
      <c r="AA198" s="197">
        <f t="shared" si="3476"/>
        <v>44.09699999999998</v>
      </c>
      <c r="AB198" s="197">
        <f t="shared" si="3476"/>
        <v>4.4919827806939525E-4</v>
      </c>
      <c r="AC198" s="163"/>
      <c r="AD198" s="163"/>
      <c r="AE198" s="163"/>
      <c r="AF198" s="163"/>
      <c r="AH198" s="197"/>
      <c r="AI198" s="197">
        <f t="shared" ref="AI198:BN198" si="3477">AI69-AI322</f>
        <v>0</v>
      </c>
      <c r="AJ198" s="197">
        <f t="shared" si="3477"/>
        <v>0</v>
      </c>
      <c r="AK198" s="197">
        <f t="shared" si="3477"/>
        <v>0</v>
      </c>
      <c r="AL198" s="197">
        <f t="shared" si="3477"/>
        <v>0</v>
      </c>
      <c r="AM198" s="197">
        <f t="shared" si="3477"/>
        <v>0</v>
      </c>
      <c r="AN198" s="197">
        <f t="shared" si="3477"/>
        <v>0</v>
      </c>
      <c r="AO198" s="197">
        <f t="shared" si="3477"/>
        <v>0</v>
      </c>
      <c r="AP198" s="197">
        <f t="shared" si="3477"/>
        <v>0</v>
      </c>
      <c r="AQ198" s="197">
        <f t="shared" si="3477"/>
        <v>0</v>
      </c>
      <c r="AR198" s="197">
        <f t="shared" si="3477"/>
        <v>0</v>
      </c>
      <c r="AS198" s="197">
        <f t="shared" si="3477"/>
        <v>0</v>
      </c>
      <c r="AT198" s="197">
        <f t="shared" si="3477"/>
        <v>0</v>
      </c>
      <c r="AU198" s="197">
        <f t="shared" si="3477"/>
        <v>0</v>
      </c>
      <c r="AV198" s="197">
        <f t="shared" si="3477"/>
        <v>0</v>
      </c>
      <c r="AW198" s="197">
        <f t="shared" si="3477"/>
        <v>0</v>
      </c>
      <c r="AX198" s="197">
        <f t="shared" si="3477"/>
        <v>0</v>
      </c>
      <c r="AY198" s="197">
        <f t="shared" si="3477"/>
        <v>0</v>
      </c>
      <c r="AZ198" s="197">
        <f t="shared" si="3477"/>
        <v>0</v>
      </c>
      <c r="BA198" s="197">
        <f t="shared" si="3477"/>
        <v>0</v>
      </c>
      <c r="BB198" s="197">
        <f t="shared" si="3477"/>
        <v>0</v>
      </c>
      <c r="BC198" s="197">
        <f t="shared" si="3477"/>
        <v>0</v>
      </c>
      <c r="BD198" s="197">
        <f t="shared" si="3477"/>
        <v>0</v>
      </c>
      <c r="BE198" s="197">
        <f t="shared" si="3477"/>
        <v>0</v>
      </c>
      <c r="BF198" s="197">
        <f t="shared" si="3477"/>
        <v>0</v>
      </c>
      <c r="BG198" s="197">
        <f t="shared" si="3477"/>
        <v>0</v>
      </c>
      <c r="BH198" s="197">
        <f t="shared" si="3477"/>
        <v>0</v>
      </c>
      <c r="BI198" s="197">
        <f t="shared" si="3477"/>
        <v>0</v>
      </c>
      <c r="BJ198" s="197">
        <f t="shared" si="3477"/>
        <v>0</v>
      </c>
      <c r="BK198" s="197">
        <f t="shared" si="3477"/>
        <v>0</v>
      </c>
      <c r="BL198" s="197">
        <f t="shared" si="3477"/>
        <v>0</v>
      </c>
      <c r="BM198" s="197">
        <f t="shared" si="3477"/>
        <v>0</v>
      </c>
      <c r="BN198" s="197">
        <f t="shared" si="3477"/>
        <v>0</v>
      </c>
      <c r="BO198" s="197">
        <f t="shared" ref="BO198:CV198" si="3478">BO69-BO322</f>
        <v>0</v>
      </c>
      <c r="BP198" s="197">
        <f t="shared" si="3478"/>
        <v>0</v>
      </c>
      <c r="BQ198" s="197">
        <f t="shared" si="3478"/>
        <v>0</v>
      </c>
      <c r="BR198" s="197">
        <f t="shared" si="3478"/>
        <v>0</v>
      </c>
      <c r="BS198" s="197">
        <f t="shared" si="3478"/>
        <v>0</v>
      </c>
      <c r="BT198" s="197">
        <f t="shared" si="3478"/>
        <v>0</v>
      </c>
      <c r="BU198" s="197">
        <f t="shared" si="3478"/>
        <v>0</v>
      </c>
      <c r="BV198" s="197">
        <f t="shared" si="3478"/>
        <v>0</v>
      </c>
      <c r="BW198" s="197">
        <f t="shared" si="3478"/>
        <v>0</v>
      </c>
      <c r="BX198" s="197">
        <f t="shared" si="3478"/>
        <v>0</v>
      </c>
      <c r="BY198" s="197">
        <f t="shared" si="3478"/>
        <v>0</v>
      </c>
      <c r="BZ198" s="197">
        <f t="shared" si="3478"/>
        <v>0</v>
      </c>
      <c r="CA198" s="197">
        <f t="shared" si="3478"/>
        <v>0</v>
      </c>
      <c r="CB198" s="197">
        <f t="shared" si="3478"/>
        <v>0</v>
      </c>
      <c r="CC198" s="197">
        <f t="shared" si="3478"/>
        <v>0</v>
      </c>
      <c r="CD198" s="197">
        <f t="shared" si="3478"/>
        <v>0</v>
      </c>
      <c r="CE198" s="197">
        <f t="shared" si="3478"/>
        <v>0</v>
      </c>
      <c r="CF198" s="197">
        <f t="shared" si="3478"/>
        <v>0</v>
      </c>
      <c r="CG198" s="197">
        <f t="shared" si="3478"/>
        <v>0</v>
      </c>
      <c r="CH198" s="197">
        <f t="shared" si="3478"/>
        <v>0</v>
      </c>
      <c r="CI198" s="197">
        <f t="shared" si="3478"/>
        <v>0</v>
      </c>
      <c r="CJ198" s="197">
        <f t="shared" si="3478"/>
        <v>0</v>
      </c>
      <c r="CK198" s="197">
        <f t="shared" si="3478"/>
        <v>0</v>
      </c>
      <c r="CL198" s="197">
        <f t="shared" si="3478"/>
        <v>0</v>
      </c>
      <c r="CM198" s="197">
        <f t="shared" si="3478"/>
        <v>0</v>
      </c>
      <c r="CN198" s="197">
        <f t="shared" si="3478"/>
        <v>0</v>
      </c>
      <c r="CO198" s="197">
        <f t="shared" si="3478"/>
        <v>0</v>
      </c>
      <c r="CP198" s="197">
        <f t="shared" si="3478"/>
        <v>0</v>
      </c>
      <c r="CQ198" s="197">
        <f t="shared" si="3478"/>
        <v>0</v>
      </c>
      <c r="CR198" s="197">
        <f t="shared" si="3478"/>
        <v>0</v>
      </c>
      <c r="CS198" s="197">
        <f t="shared" si="3478"/>
        <v>0</v>
      </c>
      <c r="CT198" s="197">
        <f t="shared" si="3478"/>
        <v>0</v>
      </c>
      <c r="CU198" s="197">
        <f t="shared" si="3478"/>
        <v>0</v>
      </c>
      <c r="CV198" s="197">
        <f t="shared" si="3478"/>
        <v>0</v>
      </c>
      <c r="CW198" s="197"/>
      <c r="CX198" s="197">
        <f>CX69-CX322</f>
        <v>0</v>
      </c>
      <c r="CY198" s="197">
        <f>CY69-CY322</f>
        <v>0</v>
      </c>
      <c r="CZ198" s="197">
        <f>CZ69-CZ322</f>
        <v>0</v>
      </c>
      <c r="DA198" s="197">
        <f>DA69-DA322</f>
        <v>0</v>
      </c>
      <c r="DB198" s="197">
        <f>DB69-DB322</f>
        <v>4.1450000000000387</v>
      </c>
      <c r="DC198" s="197">
        <f>DC69-DC322</f>
        <v>0</v>
      </c>
      <c r="DD198" s="197"/>
      <c r="DE198" s="197">
        <f t="shared" ref="DE198:EG198" si="3479">DE69-DE322</f>
        <v>0</v>
      </c>
      <c r="DF198" s="197">
        <f t="shared" si="3479"/>
        <v>0</v>
      </c>
      <c r="DG198" s="197">
        <f t="shared" si="3479"/>
        <v>0</v>
      </c>
      <c r="DH198" s="197">
        <f t="shared" si="3479"/>
        <v>0</v>
      </c>
      <c r="DI198" s="197">
        <f t="shared" si="3479"/>
        <v>0</v>
      </c>
      <c r="DJ198" s="197">
        <f t="shared" si="3479"/>
        <v>0</v>
      </c>
      <c r="DK198" s="197">
        <f t="shared" si="3479"/>
        <v>0</v>
      </c>
      <c r="DL198" s="197">
        <f t="shared" si="3479"/>
        <v>0</v>
      </c>
      <c r="DM198" s="197">
        <f t="shared" si="3479"/>
        <v>0</v>
      </c>
      <c r="DN198" s="197">
        <f t="shared" si="3479"/>
        <v>0</v>
      </c>
      <c r="DO198" s="197">
        <f t="shared" si="3479"/>
        <v>0</v>
      </c>
      <c r="DP198" s="197">
        <f t="shared" si="3479"/>
        <v>0</v>
      </c>
      <c r="DQ198" s="197">
        <f t="shared" si="3479"/>
        <v>0</v>
      </c>
      <c r="DR198" s="197">
        <f t="shared" si="3479"/>
        <v>0</v>
      </c>
      <c r="DS198" s="197">
        <f t="shared" si="3479"/>
        <v>0.97176041642780153</v>
      </c>
      <c r="DT198" s="197">
        <f t="shared" si="3479"/>
        <v>0</v>
      </c>
      <c r="DU198" s="197">
        <f t="shared" si="3479"/>
        <v>0</v>
      </c>
      <c r="DV198" s="197">
        <f t="shared" si="3479"/>
        <v>0</v>
      </c>
      <c r="DW198" s="197">
        <f t="shared" si="3479"/>
        <v>0</v>
      </c>
      <c r="DX198" s="197">
        <f t="shared" si="3479"/>
        <v>0</v>
      </c>
      <c r="DY198" s="197">
        <f t="shared" si="3479"/>
        <v>0</v>
      </c>
      <c r="DZ198" s="197">
        <f t="shared" si="3479"/>
        <v>0</v>
      </c>
      <c r="EA198" s="197">
        <f t="shared" si="3479"/>
        <v>0</v>
      </c>
      <c r="EB198" s="197">
        <f t="shared" si="3479"/>
        <v>0</v>
      </c>
      <c r="EC198" s="197">
        <f t="shared" si="3479"/>
        <v>-0.18700000000000472</v>
      </c>
      <c r="ED198" s="197">
        <f t="shared" si="3479"/>
        <v>5</v>
      </c>
      <c r="EE198" s="197">
        <f t="shared" si="3479"/>
        <v>0</v>
      </c>
      <c r="EF198" s="197">
        <f t="shared" si="3479"/>
        <v>5</v>
      </c>
      <c r="EG198" s="197">
        <f t="shared" si="3479"/>
        <v>0</v>
      </c>
    </row>
    <row r="199" spans="1:137" hidden="1">
      <c r="A199" s="157">
        <v>44105</v>
      </c>
      <c r="B199" s="197">
        <f>B70-B323</f>
        <v>0</v>
      </c>
      <c r="C199" s="197">
        <f>C70-C323</f>
        <v>0</v>
      </c>
      <c r="D199" s="197">
        <f>D70-D323</f>
        <v>0</v>
      </c>
      <c r="E199" s="197">
        <f>E70-E323</f>
        <v>0</v>
      </c>
      <c r="F199" s="197">
        <f>F70-F323</f>
        <v>0</v>
      </c>
      <c r="G199" s="197"/>
      <c r="H199" s="197"/>
      <c r="I199" s="197">
        <f t="shared" ref="I199:AB199" si="3480">I70-I323</f>
        <v>0</v>
      </c>
      <c r="J199" s="197">
        <f t="shared" si="3480"/>
        <v>0</v>
      </c>
      <c r="K199" s="197">
        <f t="shared" si="3480"/>
        <v>0</v>
      </c>
      <c r="L199" s="197">
        <f t="shared" si="3480"/>
        <v>0</v>
      </c>
      <c r="M199" s="197">
        <f t="shared" si="3480"/>
        <v>0</v>
      </c>
      <c r="N199" s="197">
        <f t="shared" si="3480"/>
        <v>0</v>
      </c>
      <c r="O199" s="197">
        <f t="shared" si="3480"/>
        <v>0</v>
      </c>
      <c r="P199" s="197">
        <f t="shared" si="3480"/>
        <v>4.1449999999999818</v>
      </c>
      <c r="Q199" s="197">
        <f t="shared" si="3480"/>
        <v>4.1449999999999818</v>
      </c>
      <c r="R199" s="197">
        <f t="shared" si="3480"/>
        <v>0</v>
      </c>
      <c r="S199" s="197">
        <f t="shared" si="3480"/>
        <v>0</v>
      </c>
      <c r="T199" s="197">
        <f t="shared" si="3480"/>
        <v>0</v>
      </c>
      <c r="U199" s="197">
        <f t="shared" si="3480"/>
        <v>4.1449999999999818</v>
      </c>
      <c r="V199" s="197">
        <f t="shared" si="3480"/>
        <v>2.7868693741546213E-3</v>
      </c>
      <c r="W199" s="197">
        <f t="shared" si="3480"/>
        <v>0</v>
      </c>
      <c r="X199" s="197">
        <f t="shared" si="3480"/>
        <v>0</v>
      </c>
      <c r="Y199" s="197">
        <f t="shared" si="3480"/>
        <v>0</v>
      </c>
      <c r="Z199" s="197">
        <f t="shared" si="3480"/>
        <v>63.543999999999869</v>
      </c>
      <c r="AA199" s="197">
        <f t="shared" si="3480"/>
        <v>61.409999999999854</v>
      </c>
      <c r="AB199" s="197">
        <f t="shared" si="3480"/>
        <v>3.386459353425901E-4</v>
      </c>
      <c r="AC199" s="163"/>
      <c r="AD199" s="163"/>
      <c r="AE199" s="163"/>
      <c r="AF199" s="163"/>
      <c r="AH199" s="197"/>
      <c r="AI199" s="197">
        <f t="shared" ref="AI199:BN199" si="3481">AI70-AI323</f>
        <v>0</v>
      </c>
      <c r="AJ199" s="197">
        <f t="shared" si="3481"/>
        <v>0</v>
      </c>
      <c r="AK199" s="197">
        <f t="shared" si="3481"/>
        <v>0</v>
      </c>
      <c r="AL199" s="197">
        <f t="shared" si="3481"/>
        <v>0</v>
      </c>
      <c r="AM199" s="197">
        <f t="shared" si="3481"/>
        <v>0</v>
      </c>
      <c r="AN199" s="197">
        <f t="shared" si="3481"/>
        <v>0</v>
      </c>
      <c r="AO199" s="197">
        <f t="shared" si="3481"/>
        <v>0</v>
      </c>
      <c r="AP199" s="197">
        <f t="shared" si="3481"/>
        <v>0</v>
      </c>
      <c r="AQ199" s="197">
        <f t="shared" si="3481"/>
        <v>0</v>
      </c>
      <c r="AR199" s="197">
        <f t="shared" si="3481"/>
        <v>0</v>
      </c>
      <c r="AS199" s="197">
        <f t="shared" si="3481"/>
        <v>0</v>
      </c>
      <c r="AT199" s="197">
        <f t="shared" si="3481"/>
        <v>0</v>
      </c>
      <c r="AU199" s="197">
        <f t="shared" si="3481"/>
        <v>0</v>
      </c>
      <c r="AV199" s="197">
        <f t="shared" si="3481"/>
        <v>0</v>
      </c>
      <c r="AW199" s="197">
        <f t="shared" si="3481"/>
        <v>0</v>
      </c>
      <c r="AX199" s="197">
        <f t="shared" si="3481"/>
        <v>0</v>
      </c>
      <c r="AY199" s="197">
        <f t="shared" si="3481"/>
        <v>0</v>
      </c>
      <c r="AZ199" s="197">
        <f t="shared" si="3481"/>
        <v>0</v>
      </c>
      <c r="BA199" s="197">
        <f t="shared" si="3481"/>
        <v>0</v>
      </c>
      <c r="BB199" s="197">
        <f t="shared" si="3481"/>
        <v>0</v>
      </c>
      <c r="BC199" s="197">
        <f t="shared" si="3481"/>
        <v>0</v>
      </c>
      <c r="BD199" s="197">
        <f t="shared" si="3481"/>
        <v>0</v>
      </c>
      <c r="BE199" s="197">
        <f t="shared" si="3481"/>
        <v>0</v>
      </c>
      <c r="BF199" s="197">
        <f t="shared" si="3481"/>
        <v>0</v>
      </c>
      <c r="BG199" s="197">
        <f t="shared" si="3481"/>
        <v>0</v>
      </c>
      <c r="BH199" s="197">
        <f t="shared" si="3481"/>
        <v>0</v>
      </c>
      <c r="BI199" s="197">
        <f t="shared" si="3481"/>
        <v>0</v>
      </c>
      <c r="BJ199" s="197">
        <f t="shared" si="3481"/>
        <v>0</v>
      </c>
      <c r="BK199" s="197">
        <f t="shared" si="3481"/>
        <v>0</v>
      </c>
      <c r="BL199" s="197">
        <f t="shared" si="3481"/>
        <v>0</v>
      </c>
      <c r="BM199" s="197">
        <f t="shared" si="3481"/>
        <v>0</v>
      </c>
      <c r="BN199" s="197">
        <f t="shared" si="3481"/>
        <v>0</v>
      </c>
      <c r="BO199" s="197">
        <f t="shared" ref="BO199:CV199" si="3482">BO70-BO323</f>
        <v>0</v>
      </c>
      <c r="BP199" s="197">
        <f t="shared" si="3482"/>
        <v>0</v>
      </c>
      <c r="BQ199" s="197">
        <f t="shared" si="3482"/>
        <v>0</v>
      </c>
      <c r="BR199" s="197">
        <f t="shared" si="3482"/>
        <v>0</v>
      </c>
      <c r="BS199" s="197">
        <f t="shared" si="3482"/>
        <v>0</v>
      </c>
      <c r="BT199" s="197">
        <f t="shared" si="3482"/>
        <v>0</v>
      </c>
      <c r="BU199" s="197">
        <f t="shared" si="3482"/>
        <v>0</v>
      </c>
      <c r="BV199" s="197">
        <f t="shared" si="3482"/>
        <v>0</v>
      </c>
      <c r="BW199" s="197">
        <f t="shared" si="3482"/>
        <v>0</v>
      </c>
      <c r="BX199" s="197">
        <f t="shared" si="3482"/>
        <v>0</v>
      </c>
      <c r="BY199" s="197">
        <f t="shared" si="3482"/>
        <v>0</v>
      </c>
      <c r="BZ199" s="197">
        <f t="shared" si="3482"/>
        <v>0</v>
      </c>
      <c r="CA199" s="197">
        <f t="shared" si="3482"/>
        <v>0</v>
      </c>
      <c r="CB199" s="197">
        <f t="shared" si="3482"/>
        <v>0</v>
      </c>
      <c r="CC199" s="197">
        <f t="shared" si="3482"/>
        <v>0</v>
      </c>
      <c r="CD199" s="197">
        <f t="shared" si="3482"/>
        <v>0</v>
      </c>
      <c r="CE199" s="197">
        <f t="shared" si="3482"/>
        <v>0</v>
      </c>
      <c r="CF199" s="197">
        <f t="shared" si="3482"/>
        <v>0</v>
      </c>
      <c r="CG199" s="197">
        <f t="shared" si="3482"/>
        <v>0</v>
      </c>
      <c r="CH199" s="197">
        <f t="shared" si="3482"/>
        <v>0</v>
      </c>
      <c r="CI199" s="197">
        <f t="shared" si="3482"/>
        <v>0</v>
      </c>
      <c r="CJ199" s="197">
        <f t="shared" si="3482"/>
        <v>0</v>
      </c>
      <c r="CK199" s="197">
        <f t="shared" si="3482"/>
        <v>0</v>
      </c>
      <c r="CL199" s="197">
        <f t="shared" si="3482"/>
        <v>0</v>
      </c>
      <c r="CM199" s="197">
        <f t="shared" si="3482"/>
        <v>0</v>
      </c>
      <c r="CN199" s="197">
        <f t="shared" si="3482"/>
        <v>0</v>
      </c>
      <c r="CO199" s="197">
        <f t="shared" si="3482"/>
        <v>0</v>
      </c>
      <c r="CP199" s="197">
        <f t="shared" si="3482"/>
        <v>0</v>
      </c>
      <c r="CQ199" s="197">
        <f t="shared" si="3482"/>
        <v>0</v>
      </c>
      <c r="CR199" s="197">
        <f t="shared" si="3482"/>
        <v>0</v>
      </c>
      <c r="CS199" s="197">
        <f t="shared" si="3482"/>
        <v>0</v>
      </c>
      <c r="CT199" s="197">
        <f t="shared" si="3482"/>
        <v>0</v>
      </c>
      <c r="CU199" s="197">
        <f t="shared" si="3482"/>
        <v>0</v>
      </c>
      <c r="CV199" s="197">
        <f t="shared" si="3482"/>
        <v>0</v>
      </c>
      <c r="CW199" s="197"/>
      <c r="CX199" s="197">
        <f>CX70-CX323</f>
        <v>0</v>
      </c>
      <c r="CY199" s="197">
        <f>CY70-CY323</f>
        <v>0</v>
      </c>
      <c r="CZ199" s="197">
        <f>CZ70-CZ323</f>
        <v>0</v>
      </c>
      <c r="DA199" s="197">
        <f>DA70-DA323</f>
        <v>0</v>
      </c>
      <c r="DB199" s="197">
        <f>DB70-DB323</f>
        <v>4.144999999999925</v>
      </c>
      <c r="DC199" s="197">
        <f>DC70-DC323</f>
        <v>0</v>
      </c>
      <c r="DD199" s="197"/>
      <c r="DE199" s="197">
        <f t="shared" ref="DE199:EG199" si="3483">DE70-DE323</f>
        <v>0</v>
      </c>
      <c r="DF199" s="197">
        <f t="shared" si="3483"/>
        <v>0</v>
      </c>
      <c r="DG199" s="197">
        <f t="shared" si="3483"/>
        <v>0</v>
      </c>
      <c r="DH199" s="197">
        <f t="shared" si="3483"/>
        <v>0</v>
      </c>
      <c r="DI199" s="197">
        <f t="shared" si="3483"/>
        <v>0</v>
      </c>
      <c r="DJ199" s="197">
        <f t="shared" si="3483"/>
        <v>0</v>
      </c>
      <c r="DK199" s="197">
        <f t="shared" si="3483"/>
        <v>0</v>
      </c>
      <c r="DL199" s="197">
        <f t="shared" si="3483"/>
        <v>0</v>
      </c>
      <c r="DM199" s="197">
        <f t="shared" si="3483"/>
        <v>0</v>
      </c>
      <c r="DN199" s="197">
        <f t="shared" si="3483"/>
        <v>0</v>
      </c>
      <c r="DO199" s="197">
        <f t="shared" si="3483"/>
        <v>0</v>
      </c>
      <c r="DP199" s="197">
        <f t="shared" si="3483"/>
        <v>0</v>
      </c>
      <c r="DQ199" s="197">
        <f t="shared" si="3483"/>
        <v>0</v>
      </c>
      <c r="DR199" s="197">
        <f t="shared" si="3483"/>
        <v>0</v>
      </c>
      <c r="DS199" s="197">
        <f t="shared" si="3483"/>
        <v>0.88824718774785238</v>
      </c>
      <c r="DT199" s="197">
        <f t="shared" si="3483"/>
        <v>0</v>
      </c>
      <c r="DU199" s="197">
        <f t="shared" si="3483"/>
        <v>0</v>
      </c>
      <c r="DV199" s="197">
        <f t="shared" si="3483"/>
        <v>0</v>
      </c>
      <c r="DW199" s="197">
        <f t="shared" si="3483"/>
        <v>0</v>
      </c>
      <c r="DX199" s="197">
        <f t="shared" si="3483"/>
        <v>0</v>
      </c>
      <c r="DY199" s="197">
        <f t="shared" si="3483"/>
        <v>0</v>
      </c>
      <c r="DZ199" s="197">
        <f t="shared" si="3483"/>
        <v>0</v>
      </c>
      <c r="EA199" s="197">
        <f t="shared" si="3483"/>
        <v>0</v>
      </c>
      <c r="EB199" s="197">
        <f t="shared" si="3483"/>
        <v>0</v>
      </c>
      <c r="EC199" s="197">
        <f t="shared" si="3483"/>
        <v>0</v>
      </c>
      <c r="ED199" s="197">
        <f t="shared" si="3483"/>
        <v>-5</v>
      </c>
      <c r="EE199" s="197">
        <f t="shared" si="3483"/>
        <v>0</v>
      </c>
      <c r="EF199" s="197">
        <f t="shared" si="3483"/>
        <v>-5</v>
      </c>
      <c r="EG199" s="197">
        <f t="shared" si="3483"/>
        <v>0</v>
      </c>
    </row>
    <row r="200" spans="1:137" hidden="1">
      <c r="A200" s="157">
        <v>44136</v>
      </c>
      <c r="B200" s="197">
        <f>B71-B324</f>
        <v>0</v>
      </c>
      <c r="C200" s="197">
        <f>C71-C324</f>
        <v>0</v>
      </c>
      <c r="D200" s="197">
        <f>D71-D324</f>
        <v>0</v>
      </c>
      <c r="E200" s="197">
        <f>E71-E324</f>
        <v>0</v>
      </c>
      <c r="F200" s="197">
        <f>F71-F324</f>
        <v>0</v>
      </c>
      <c r="G200" s="197"/>
      <c r="H200" s="197"/>
      <c r="I200" s="197">
        <f t="shared" ref="I200:AB200" si="3484">I71-I324</f>
        <v>0</v>
      </c>
      <c r="J200" s="197">
        <f t="shared" si="3484"/>
        <v>0</v>
      </c>
      <c r="K200" s="197">
        <f t="shared" si="3484"/>
        <v>0</v>
      </c>
      <c r="L200" s="197">
        <f t="shared" si="3484"/>
        <v>0</v>
      </c>
      <c r="M200" s="197">
        <f t="shared" si="3484"/>
        <v>0</v>
      </c>
      <c r="N200" s="197">
        <f t="shared" si="3484"/>
        <v>0</v>
      </c>
      <c r="O200" s="197">
        <f t="shared" si="3484"/>
        <v>0</v>
      </c>
      <c r="P200" s="197">
        <f t="shared" si="3484"/>
        <v>-0.59600000000000364</v>
      </c>
      <c r="Q200" s="197">
        <f t="shared" si="3484"/>
        <v>-0.59600000000000364</v>
      </c>
      <c r="R200" s="197">
        <f t="shared" si="3484"/>
        <v>0</v>
      </c>
      <c r="S200" s="197">
        <f t="shared" si="3484"/>
        <v>0</v>
      </c>
      <c r="T200" s="197">
        <f t="shared" si="3484"/>
        <v>0</v>
      </c>
      <c r="U200" s="197">
        <f t="shared" si="3484"/>
        <v>-0.59600000000000364</v>
      </c>
      <c r="V200" s="197">
        <f t="shared" si="3484"/>
        <v>-3.825834654616056E-4</v>
      </c>
      <c r="W200" s="197">
        <f t="shared" si="3484"/>
        <v>0</v>
      </c>
      <c r="X200" s="197">
        <f t="shared" si="3484"/>
        <v>0</v>
      </c>
      <c r="Y200" s="197">
        <f t="shared" si="3484"/>
        <v>0</v>
      </c>
      <c r="Z200" s="197">
        <f t="shared" si="3484"/>
        <v>63.649999999999864</v>
      </c>
      <c r="AA200" s="197">
        <f t="shared" si="3484"/>
        <v>61.580999999999904</v>
      </c>
      <c r="AB200" s="197">
        <f t="shared" si="3484"/>
        <v>4.0747928318703858E-4</v>
      </c>
      <c r="AC200" s="163"/>
      <c r="AD200" s="163"/>
      <c r="AE200" s="163"/>
      <c r="AF200" s="163"/>
      <c r="AH200" s="197"/>
      <c r="AI200" s="197">
        <f t="shared" ref="AI200:BN200" si="3485">AI71-AI324</f>
        <v>0</v>
      </c>
      <c r="AJ200" s="197">
        <f t="shared" si="3485"/>
        <v>0</v>
      </c>
      <c r="AK200" s="197">
        <f t="shared" si="3485"/>
        <v>0</v>
      </c>
      <c r="AL200" s="197">
        <f t="shared" si="3485"/>
        <v>0</v>
      </c>
      <c r="AM200" s="197">
        <f t="shared" si="3485"/>
        <v>0</v>
      </c>
      <c r="AN200" s="197">
        <f t="shared" si="3485"/>
        <v>0</v>
      </c>
      <c r="AO200" s="197">
        <f t="shared" si="3485"/>
        <v>0</v>
      </c>
      <c r="AP200" s="197">
        <f t="shared" si="3485"/>
        <v>0</v>
      </c>
      <c r="AQ200" s="197">
        <f t="shared" si="3485"/>
        <v>0</v>
      </c>
      <c r="AR200" s="197">
        <f t="shared" si="3485"/>
        <v>0</v>
      </c>
      <c r="AS200" s="197">
        <f t="shared" si="3485"/>
        <v>0</v>
      </c>
      <c r="AT200" s="197">
        <f t="shared" si="3485"/>
        <v>0</v>
      </c>
      <c r="AU200" s="197">
        <f t="shared" si="3485"/>
        <v>0</v>
      </c>
      <c r="AV200" s="197">
        <f t="shared" si="3485"/>
        <v>0</v>
      </c>
      <c r="AW200" s="197">
        <f t="shared" si="3485"/>
        <v>0</v>
      </c>
      <c r="AX200" s="197">
        <f t="shared" si="3485"/>
        <v>0</v>
      </c>
      <c r="AY200" s="197">
        <f t="shared" si="3485"/>
        <v>0</v>
      </c>
      <c r="AZ200" s="197">
        <f t="shared" si="3485"/>
        <v>0</v>
      </c>
      <c r="BA200" s="197">
        <f t="shared" si="3485"/>
        <v>0</v>
      </c>
      <c r="BB200" s="197">
        <f t="shared" si="3485"/>
        <v>0</v>
      </c>
      <c r="BC200" s="197">
        <f t="shared" si="3485"/>
        <v>0</v>
      </c>
      <c r="BD200" s="197">
        <f t="shared" si="3485"/>
        <v>0</v>
      </c>
      <c r="BE200" s="197">
        <f t="shared" si="3485"/>
        <v>0</v>
      </c>
      <c r="BF200" s="197">
        <f t="shared" si="3485"/>
        <v>0</v>
      </c>
      <c r="BG200" s="197">
        <f t="shared" si="3485"/>
        <v>0</v>
      </c>
      <c r="BH200" s="197">
        <f t="shared" si="3485"/>
        <v>0</v>
      </c>
      <c r="BI200" s="197">
        <f t="shared" si="3485"/>
        <v>0</v>
      </c>
      <c r="BJ200" s="197">
        <f t="shared" si="3485"/>
        <v>0</v>
      </c>
      <c r="BK200" s="197">
        <f t="shared" si="3485"/>
        <v>0</v>
      </c>
      <c r="BL200" s="197">
        <f t="shared" si="3485"/>
        <v>0</v>
      </c>
      <c r="BM200" s="197">
        <f t="shared" si="3485"/>
        <v>0</v>
      </c>
      <c r="BN200" s="197">
        <f t="shared" si="3485"/>
        <v>0</v>
      </c>
      <c r="BO200" s="197">
        <f t="shared" ref="BO200:CV200" si="3486">BO71-BO324</f>
        <v>0</v>
      </c>
      <c r="BP200" s="197">
        <f t="shared" si="3486"/>
        <v>0</v>
      </c>
      <c r="BQ200" s="197">
        <f t="shared" si="3486"/>
        <v>0</v>
      </c>
      <c r="BR200" s="197">
        <f t="shared" si="3486"/>
        <v>0</v>
      </c>
      <c r="BS200" s="197">
        <f t="shared" si="3486"/>
        <v>0</v>
      </c>
      <c r="BT200" s="197">
        <f t="shared" si="3486"/>
        <v>0</v>
      </c>
      <c r="BU200" s="197">
        <f t="shared" si="3486"/>
        <v>0</v>
      </c>
      <c r="BV200" s="197">
        <f t="shared" si="3486"/>
        <v>0</v>
      </c>
      <c r="BW200" s="197">
        <f t="shared" si="3486"/>
        <v>0</v>
      </c>
      <c r="BX200" s="197">
        <f t="shared" si="3486"/>
        <v>0</v>
      </c>
      <c r="BY200" s="197">
        <f t="shared" si="3486"/>
        <v>0</v>
      </c>
      <c r="BZ200" s="197">
        <f t="shared" si="3486"/>
        <v>0</v>
      </c>
      <c r="CA200" s="197">
        <f t="shared" si="3486"/>
        <v>0</v>
      </c>
      <c r="CB200" s="197">
        <f t="shared" si="3486"/>
        <v>0</v>
      </c>
      <c r="CC200" s="197">
        <f t="shared" si="3486"/>
        <v>0</v>
      </c>
      <c r="CD200" s="197">
        <f t="shared" si="3486"/>
        <v>0</v>
      </c>
      <c r="CE200" s="197">
        <f t="shared" si="3486"/>
        <v>0</v>
      </c>
      <c r="CF200" s="197">
        <f t="shared" si="3486"/>
        <v>0</v>
      </c>
      <c r="CG200" s="197">
        <f t="shared" si="3486"/>
        <v>0</v>
      </c>
      <c r="CH200" s="197">
        <f t="shared" si="3486"/>
        <v>0</v>
      </c>
      <c r="CI200" s="197">
        <f t="shared" si="3486"/>
        <v>0</v>
      </c>
      <c r="CJ200" s="197">
        <f t="shared" si="3486"/>
        <v>0</v>
      </c>
      <c r="CK200" s="197">
        <f t="shared" si="3486"/>
        <v>0</v>
      </c>
      <c r="CL200" s="197">
        <f t="shared" si="3486"/>
        <v>0</v>
      </c>
      <c r="CM200" s="197">
        <f t="shared" si="3486"/>
        <v>0</v>
      </c>
      <c r="CN200" s="197">
        <f t="shared" si="3486"/>
        <v>0</v>
      </c>
      <c r="CO200" s="197">
        <f t="shared" si="3486"/>
        <v>0</v>
      </c>
      <c r="CP200" s="197">
        <f t="shared" si="3486"/>
        <v>0</v>
      </c>
      <c r="CQ200" s="197">
        <f t="shared" si="3486"/>
        <v>0</v>
      </c>
      <c r="CR200" s="197">
        <f t="shared" si="3486"/>
        <v>0</v>
      </c>
      <c r="CS200" s="197">
        <f t="shared" si="3486"/>
        <v>0</v>
      </c>
      <c r="CT200" s="197">
        <f t="shared" si="3486"/>
        <v>0</v>
      </c>
      <c r="CU200" s="197">
        <f t="shared" si="3486"/>
        <v>0</v>
      </c>
      <c r="CV200" s="197">
        <f t="shared" si="3486"/>
        <v>0</v>
      </c>
      <c r="CW200" s="197"/>
      <c r="CX200" s="197">
        <f>CX71-CX324</f>
        <v>0</v>
      </c>
      <c r="CY200" s="197">
        <f>CY71-CY324</f>
        <v>0</v>
      </c>
      <c r="CZ200" s="197">
        <f>CZ71-CZ324</f>
        <v>0</v>
      </c>
      <c r="DA200" s="197">
        <f>DA71-DA324</f>
        <v>0</v>
      </c>
      <c r="DB200" s="197">
        <f>DB71-DB324</f>
        <v>-0.59600000000000364</v>
      </c>
      <c r="DC200" s="197">
        <f>DC71-DC324</f>
        <v>0</v>
      </c>
      <c r="DD200" s="197"/>
      <c r="DE200" s="197">
        <f t="shared" ref="DE200:EG200" si="3487">DE71-DE324</f>
        <v>0</v>
      </c>
      <c r="DF200" s="197">
        <f t="shared" si="3487"/>
        <v>0</v>
      </c>
      <c r="DG200" s="197">
        <f t="shared" si="3487"/>
        <v>0</v>
      </c>
      <c r="DH200" s="197">
        <f t="shared" si="3487"/>
        <v>0</v>
      </c>
      <c r="DI200" s="197">
        <f t="shared" si="3487"/>
        <v>0</v>
      </c>
      <c r="DJ200" s="197">
        <f t="shared" si="3487"/>
        <v>0</v>
      </c>
      <c r="DK200" s="197">
        <f t="shared" si="3487"/>
        <v>0</v>
      </c>
      <c r="DL200" s="197">
        <f t="shared" si="3487"/>
        <v>0</v>
      </c>
      <c r="DM200" s="197">
        <f t="shared" si="3487"/>
        <v>0</v>
      </c>
      <c r="DN200" s="197">
        <f t="shared" si="3487"/>
        <v>0</v>
      </c>
      <c r="DO200" s="197">
        <f t="shared" si="3487"/>
        <v>0</v>
      </c>
      <c r="DP200" s="197">
        <f t="shared" si="3487"/>
        <v>0</v>
      </c>
      <c r="DQ200" s="197">
        <f t="shared" si="3487"/>
        <v>0</v>
      </c>
      <c r="DR200" s="197">
        <f t="shared" si="3487"/>
        <v>0</v>
      </c>
      <c r="DS200" s="197">
        <f t="shared" si="3487"/>
        <v>0.87740976180459096</v>
      </c>
      <c r="DT200" s="197">
        <f t="shared" si="3487"/>
        <v>0</v>
      </c>
      <c r="DU200" s="197">
        <f t="shared" si="3487"/>
        <v>0</v>
      </c>
      <c r="DV200" s="197">
        <f t="shared" si="3487"/>
        <v>0</v>
      </c>
      <c r="DW200" s="197">
        <f t="shared" si="3487"/>
        <v>0</v>
      </c>
      <c r="DX200" s="197">
        <f t="shared" si="3487"/>
        <v>0</v>
      </c>
      <c r="DY200" s="197">
        <f t="shared" si="3487"/>
        <v>0</v>
      </c>
      <c r="DZ200" s="197">
        <f t="shared" si="3487"/>
        <v>0</v>
      </c>
      <c r="EA200" s="197">
        <f t="shared" si="3487"/>
        <v>0</v>
      </c>
      <c r="EB200" s="197">
        <f t="shared" si="3487"/>
        <v>0</v>
      </c>
      <c r="EC200" s="197">
        <f t="shared" si="3487"/>
        <v>0</v>
      </c>
      <c r="ED200" s="197">
        <f t="shared" si="3487"/>
        <v>0</v>
      </c>
      <c r="EE200" s="197">
        <f t="shared" si="3487"/>
        <v>0</v>
      </c>
      <c r="EF200" s="197">
        <f t="shared" si="3487"/>
        <v>0</v>
      </c>
      <c r="EG200" s="197">
        <f t="shared" si="3487"/>
        <v>0</v>
      </c>
    </row>
    <row r="201" spans="1:137" hidden="1">
      <c r="A201" s="157">
        <v>44166</v>
      </c>
      <c r="B201" s="197">
        <f>B72-B325</f>
        <v>-18.764000000000124</v>
      </c>
      <c r="C201" s="197">
        <f>C72-C325</f>
        <v>-0.62546666666668216</v>
      </c>
      <c r="D201" s="197">
        <f>D72-D325</f>
        <v>-0.62546666666668216</v>
      </c>
      <c r="E201" s="197">
        <f>E72-E325</f>
        <v>-3.4148836075031941E-3</v>
      </c>
      <c r="F201" s="197">
        <f>F72-F325</f>
        <v>-34.141999999999825</v>
      </c>
      <c r="G201" s="197"/>
      <c r="H201" s="197"/>
      <c r="I201" s="197">
        <f t="shared" ref="I201:AB201" si="3488">I72-I325</f>
        <v>-49.201000000000022</v>
      </c>
      <c r="J201" s="197">
        <f t="shared" si="3488"/>
        <v>-0.21081806484964716</v>
      </c>
      <c r="K201" s="197">
        <f t="shared" si="3488"/>
        <v>-0.13762625696543296</v>
      </c>
      <c r="L201" s="197">
        <f t="shared" si="3488"/>
        <v>-0.13762625696543296</v>
      </c>
      <c r="M201" s="197">
        <f t="shared" si="3488"/>
        <v>6.1030000000000086</v>
      </c>
      <c r="N201" s="197">
        <f t="shared" si="3488"/>
        <v>10.725000000000001</v>
      </c>
      <c r="O201" s="197">
        <f t="shared" si="3488"/>
        <v>1.7680000000000291</v>
      </c>
      <c r="P201" s="197">
        <f t="shared" si="3488"/>
        <v>-90.832999999999856</v>
      </c>
      <c r="Q201" s="197">
        <f t="shared" si="3488"/>
        <v>-45.490999999999985</v>
      </c>
      <c r="R201" s="197">
        <f t="shared" si="3488"/>
        <v>-6.1209999999999809</v>
      </c>
      <c r="S201" s="197">
        <f t="shared" si="3488"/>
        <v>-39.221000000000004</v>
      </c>
      <c r="T201" s="197">
        <f t="shared" si="3488"/>
        <v>-17.149000000000001</v>
      </c>
      <c r="U201" s="197">
        <f t="shared" si="3488"/>
        <v>-107.98199999999997</v>
      </c>
      <c r="V201" s="197">
        <f t="shared" si="3488"/>
        <v>-6.3565488075952192E-2</v>
      </c>
      <c r="W201" s="197">
        <f t="shared" si="3488"/>
        <v>4.6452307020500072E-2</v>
      </c>
      <c r="X201" s="197">
        <f t="shared" si="3488"/>
        <v>4.6452307020500072E-2</v>
      </c>
      <c r="Y201" s="197">
        <f t="shared" si="3488"/>
        <v>-9.117394994493111E-2</v>
      </c>
      <c r="Z201" s="197">
        <f t="shared" si="3488"/>
        <v>80.101999999999862</v>
      </c>
      <c r="AA201" s="197">
        <f t="shared" si="3488"/>
        <v>76.215000000000146</v>
      </c>
      <c r="AB201" s="197">
        <f t="shared" si="3488"/>
        <v>1.2941279879980748E-3</v>
      </c>
      <c r="AC201" s="163"/>
      <c r="AD201" s="163"/>
      <c r="AE201" s="163"/>
      <c r="AF201" s="163"/>
      <c r="AH201" s="197"/>
      <c r="AI201" s="197">
        <f t="shared" ref="AI201:BN201" si="3489">AI72-AI325</f>
        <v>-14.225999999999999</v>
      </c>
      <c r="AJ201" s="197">
        <f t="shared" si="3489"/>
        <v>-0.47419999999999973</v>
      </c>
      <c r="AK201" s="197">
        <f t="shared" si="3489"/>
        <v>-20.658000000000015</v>
      </c>
      <c r="AL201" s="197">
        <f t="shared" si="3489"/>
        <v>-26.856999999999999</v>
      </c>
      <c r="AM201" s="197">
        <f t="shared" si="3489"/>
        <v>-0.91919709152456619</v>
      </c>
      <c r="AN201" s="197">
        <f t="shared" si="3489"/>
        <v>-0.70837902667491903</v>
      </c>
      <c r="AO201" s="197">
        <f t="shared" si="3489"/>
        <v>-6.3070000000000164</v>
      </c>
      <c r="AP201" s="197">
        <f t="shared" si="3489"/>
        <v>-11.102000000000004</v>
      </c>
      <c r="AQ201" s="197">
        <f t="shared" si="3489"/>
        <v>-3.9878011086923237E-2</v>
      </c>
      <c r="AR201" s="197">
        <f t="shared" si="3489"/>
        <v>-8.6330318107423309E-2</v>
      </c>
      <c r="AS201" s="197">
        <f t="shared" si="3489"/>
        <v>-0.95907510261149298</v>
      </c>
      <c r="AT201" s="197">
        <f t="shared" si="3489"/>
        <v>5.0839999999998327</v>
      </c>
      <c r="AU201" s="197">
        <f t="shared" si="3489"/>
        <v>0.16946666666666488</v>
      </c>
      <c r="AV201" s="197">
        <f t="shared" si="3489"/>
        <v>-0.58300000000008367</v>
      </c>
      <c r="AW201" s="197">
        <f t="shared" si="3489"/>
        <v>-5.3160000000000025</v>
      </c>
      <c r="AX201" s="197">
        <f t="shared" si="3489"/>
        <v>-0.21525712170090117</v>
      </c>
      <c r="AY201" s="197">
        <f t="shared" si="3489"/>
        <v>-4.4390568512540085E-3</v>
      </c>
      <c r="AZ201" s="197">
        <f t="shared" si="3489"/>
        <v>6.5220000000000482</v>
      </c>
      <c r="BA201" s="197">
        <f t="shared" si="3489"/>
        <v>-0.53200000000001069</v>
      </c>
      <c r="BB201" s="197">
        <f t="shared" si="3489"/>
        <v>0.11238978885507045</v>
      </c>
      <c r="BC201" s="197">
        <f t="shared" si="3489"/>
        <v>6.5937481834570377E-2</v>
      </c>
      <c r="BD201" s="197">
        <f t="shared" si="3489"/>
        <v>-0.10286733284583249</v>
      </c>
      <c r="BE201" s="197">
        <f t="shared" si="3489"/>
        <v>-0.16799999999989268</v>
      </c>
      <c r="BF201" s="197">
        <f t="shared" si="3489"/>
        <v>-5.6000000000011596E-3</v>
      </c>
      <c r="BG201" s="197">
        <f t="shared" si="3489"/>
        <v>-8.8899999999999864</v>
      </c>
      <c r="BH201" s="197">
        <f t="shared" si="3489"/>
        <v>-0.54500000000000171</v>
      </c>
      <c r="BI201" s="197">
        <f t="shared" si="3489"/>
        <v>-0.40864630156941928</v>
      </c>
      <c r="BJ201" s="197">
        <f t="shared" si="3489"/>
        <v>-0.19782823671977212</v>
      </c>
      <c r="BK201" s="197">
        <f t="shared" si="3489"/>
        <v>0.60899999999998045</v>
      </c>
      <c r="BL201" s="197">
        <f t="shared" si="3489"/>
        <v>20.419999999999987</v>
      </c>
      <c r="BM201" s="197">
        <f t="shared" si="3489"/>
        <v>1.5705804299216197E-2</v>
      </c>
      <c r="BN201" s="197">
        <f t="shared" si="3489"/>
        <v>-3.0746502721283875E-2</v>
      </c>
      <c r="BO201" s="197">
        <f t="shared" ref="BO201:CV201" si="3490">BO72-BO325</f>
        <v>-0.39294049727020308</v>
      </c>
      <c r="BP201" s="197">
        <f t="shared" si="3490"/>
        <v>-1.4000000000010004E-2</v>
      </c>
      <c r="BQ201" s="197">
        <f t="shared" si="3490"/>
        <v>-4.6666666666794754E-4</v>
      </c>
      <c r="BR201" s="197">
        <f t="shared" si="3490"/>
        <v>2.0639999999999645</v>
      </c>
      <c r="BS201" s="197">
        <f t="shared" si="3490"/>
        <v>-11.930999999999997</v>
      </c>
      <c r="BT201" s="197">
        <f t="shared" si="3490"/>
        <v>0.1334177237822729</v>
      </c>
      <c r="BU201" s="197">
        <f t="shared" si="3490"/>
        <v>0.34423578863192006</v>
      </c>
      <c r="BV201" s="197">
        <f t="shared" si="3490"/>
        <v>1.4700000000000273</v>
      </c>
      <c r="BW201" s="197">
        <f t="shared" si="3490"/>
        <v>-22.424999999999983</v>
      </c>
      <c r="BX201" s="197">
        <f t="shared" si="3490"/>
        <v>4.7443067891290269E-2</v>
      </c>
      <c r="BY201" s="197">
        <f t="shared" si="3490"/>
        <v>9.9076087079019715E-4</v>
      </c>
      <c r="BZ201" s="197">
        <f t="shared" si="3490"/>
        <v>0.18086079167356672</v>
      </c>
      <c r="CA201" s="197">
        <f t="shared" si="3490"/>
        <v>-6.4300000000000637</v>
      </c>
      <c r="CB201" s="197">
        <f t="shared" si="3490"/>
        <v>-0.21433333333333593</v>
      </c>
      <c r="CC201" s="197">
        <f t="shared" si="3490"/>
        <v>-3.9220000000000255</v>
      </c>
      <c r="CD201" s="197">
        <f t="shared" si="3490"/>
        <v>-8.7639999999999993</v>
      </c>
      <c r="CE201" s="197">
        <f t="shared" si="3490"/>
        <v>5.9432243882149294E-2</v>
      </c>
      <c r="CF201" s="197">
        <f t="shared" si="3490"/>
        <v>0.27025030873179645</v>
      </c>
      <c r="CG201" s="197">
        <f t="shared" si="3490"/>
        <v>-4.0840000000000032</v>
      </c>
      <c r="CH201" s="197">
        <f t="shared" si="3490"/>
        <v>-13.862999999999992</v>
      </c>
      <c r="CI201" s="197">
        <f t="shared" si="3490"/>
        <v>-6.8420152153233715E-2</v>
      </c>
      <c r="CJ201" s="197">
        <f t="shared" si="3490"/>
        <v>-0.11487245917373379</v>
      </c>
      <c r="CK201" s="197">
        <f t="shared" si="3490"/>
        <v>-8.9879082710879743E-3</v>
      </c>
      <c r="CL201" s="197">
        <f t="shared" si="3490"/>
        <v>-3.0099999999999909</v>
      </c>
      <c r="CM201" s="197">
        <f t="shared" si="3490"/>
        <v>-0.10033333333333161</v>
      </c>
      <c r="CN201" s="197">
        <f t="shared" si="3490"/>
        <v>-2.15300000000002</v>
      </c>
      <c r="CO201" s="197">
        <f t="shared" si="3490"/>
        <v>4.2119999999999962</v>
      </c>
      <c r="CP201" s="197">
        <f t="shared" si="3490"/>
        <v>2.5646532530458899E-3</v>
      </c>
      <c r="CQ201" s="197">
        <f t="shared" si="3490"/>
        <v>0.21338271810269305</v>
      </c>
      <c r="CR201" s="197">
        <f t="shared" si="3490"/>
        <v>3.5579999999999927</v>
      </c>
      <c r="CS201" s="197">
        <f t="shared" si="3490"/>
        <v>-17.98899999999999</v>
      </c>
      <c r="CT201" s="197">
        <f t="shared" si="3490"/>
        <v>0.14628114436164807</v>
      </c>
      <c r="CU201" s="197">
        <f t="shared" si="3490"/>
        <v>9.9828837341148002E-2</v>
      </c>
      <c r="CV201" s="197">
        <f t="shared" si="3490"/>
        <v>0.14884579761469752</v>
      </c>
      <c r="CW201" s="197"/>
      <c r="CX201" s="197">
        <f>CX72-CX325</f>
        <v>0</v>
      </c>
      <c r="CY201" s="197">
        <f>CY72-CY325</f>
        <v>0</v>
      </c>
      <c r="CZ201" s="197">
        <f>CZ72-CZ325</f>
        <v>0</v>
      </c>
      <c r="DA201" s="197">
        <f>DA72-DA325</f>
        <v>0</v>
      </c>
      <c r="DB201" s="197">
        <f>DB72-DB325</f>
        <v>0</v>
      </c>
      <c r="DC201" s="197">
        <f>DC72-DC325</f>
        <v>0</v>
      </c>
      <c r="DD201" s="197"/>
      <c r="DE201" s="197">
        <f t="shared" ref="DE201:EG201" si="3491">DE72-DE325</f>
        <v>17.613</v>
      </c>
      <c r="DF201" s="197">
        <f t="shared" si="3491"/>
        <v>7.9390000000000072</v>
      </c>
      <c r="DG201" s="197">
        <f t="shared" si="3491"/>
        <v>-17.363999999999997</v>
      </c>
      <c r="DH201" s="197">
        <f t="shared" si="3491"/>
        <v>-8.9747878410313398E-3</v>
      </c>
      <c r="DI201" s="197">
        <f t="shared" si="3491"/>
        <v>12.706000000000017</v>
      </c>
      <c r="DJ201" s="197">
        <f t="shared" si="3491"/>
        <v>-4.3839092138444058E-3</v>
      </c>
      <c r="DK201" s="197">
        <f t="shared" si="3491"/>
        <v>4.3559999999999945</v>
      </c>
      <c r="DL201" s="197">
        <f t="shared" si="3491"/>
        <v>4.2259999999999991</v>
      </c>
      <c r="DM201" s="197">
        <f t="shared" si="3491"/>
        <v>-1.1568503961578713E-4</v>
      </c>
      <c r="DN201" s="197">
        <f t="shared" si="3491"/>
        <v>19.143000000000001</v>
      </c>
      <c r="DO201" s="197">
        <f t="shared" si="3491"/>
        <v>10.599000000000004</v>
      </c>
      <c r="DP201" s="197">
        <f t="shared" si="3491"/>
        <v>-3.3810000000000002</v>
      </c>
      <c r="DQ201" s="197">
        <f t="shared" si="3491"/>
        <v>7.2180000000000177</v>
      </c>
      <c r="DR201" s="197">
        <f t="shared" si="3491"/>
        <v>-1.335869705487569E-2</v>
      </c>
      <c r="DS201" s="197">
        <f t="shared" si="3491"/>
        <v>0.84010028750594246</v>
      </c>
      <c r="DT201" s="197">
        <f t="shared" si="3491"/>
        <v>158.99799999999999</v>
      </c>
      <c r="DU201" s="197">
        <f t="shared" si="3491"/>
        <v>69.927000000000007</v>
      </c>
      <c r="DV201" s="197">
        <f t="shared" si="3491"/>
        <v>15.677</v>
      </c>
      <c r="DW201" s="197">
        <f t="shared" si="3491"/>
        <v>0.43979798488031302</v>
      </c>
      <c r="DX201" s="197">
        <f t="shared" si="3491"/>
        <v>42.473999999999997</v>
      </c>
      <c r="DY201" s="197">
        <f t="shared" si="3491"/>
        <v>0.1335677178329287</v>
      </c>
      <c r="DZ201" s="197">
        <f t="shared" si="3491"/>
        <v>35.697000000000003</v>
      </c>
      <c r="EA201" s="197">
        <f t="shared" si="3491"/>
        <v>34.654000000000003</v>
      </c>
      <c r="EB201" s="197">
        <f t="shared" si="3491"/>
        <v>2.9218141580524937E-2</v>
      </c>
      <c r="EC201" s="197">
        <f t="shared" si="3491"/>
        <v>44.584000000000003</v>
      </c>
      <c r="ED201" s="197">
        <f t="shared" si="3491"/>
        <v>27.085000000000001</v>
      </c>
      <c r="EE201" s="197">
        <f t="shared" si="3491"/>
        <v>24.337</v>
      </c>
      <c r="EF201" s="197">
        <f t="shared" si="3491"/>
        <v>51.421999999999997</v>
      </c>
      <c r="EG201" s="197">
        <f t="shared" si="3491"/>
        <v>0.57336570271324172</v>
      </c>
    </row>
    <row r="202" spans="1:137" hidden="1">
      <c r="A202" s="157">
        <v>44197</v>
      </c>
      <c r="B202" s="197">
        <f>B73-B326</f>
        <v>0</v>
      </c>
      <c r="C202" s="197">
        <f>C73-C326</f>
        <v>0</v>
      </c>
      <c r="D202" s="197">
        <f>D73-D326</f>
        <v>0</v>
      </c>
      <c r="E202" s="197">
        <f>E73-E326</f>
        <v>0</v>
      </c>
      <c r="F202" s="197">
        <f>F73-F326</f>
        <v>0</v>
      </c>
      <c r="G202" s="197"/>
      <c r="H202" s="197"/>
      <c r="I202" s="197">
        <f t="shared" ref="I202:AB202" si="3492">I73-I326</f>
        <v>2.9999999999290594E-3</v>
      </c>
      <c r="J202" s="197">
        <f t="shared" si="3492"/>
        <v>0</v>
      </c>
      <c r="K202" s="197">
        <f t="shared" si="3492"/>
        <v>0</v>
      </c>
      <c r="L202" s="197">
        <f t="shared" si="3492"/>
        <v>0</v>
      </c>
      <c r="M202" s="197">
        <f t="shared" si="3492"/>
        <v>0</v>
      </c>
      <c r="N202" s="197">
        <f t="shared" si="3492"/>
        <v>0</v>
      </c>
      <c r="O202" s="197">
        <f t="shared" si="3492"/>
        <v>0</v>
      </c>
      <c r="P202" s="197">
        <f t="shared" si="3492"/>
        <v>0</v>
      </c>
      <c r="Q202" s="197">
        <f t="shared" si="3492"/>
        <v>0</v>
      </c>
      <c r="R202" s="197">
        <f t="shared" si="3492"/>
        <v>0</v>
      </c>
      <c r="S202" s="197">
        <f t="shared" si="3492"/>
        <v>0</v>
      </c>
      <c r="T202" s="197">
        <f t="shared" si="3492"/>
        <v>0</v>
      </c>
      <c r="U202" s="197">
        <f t="shared" si="3492"/>
        <v>0</v>
      </c>
      <c r="V202" s="197">
        <f t="shared" si="3492"/>
        <v>0</v>
      </c>
      <c r="W202" s="197">
        <f t="shared" si="3492"/>
        <v>0</v>
      </c>
      <c r="X202" s="197">
        <f t="shared" si="3492"/>
        <v>0</v>
      </c>
      <c r="Y202" s="197">
        <f t="shared" si="3492"/>
        <v>0</v>
      </c>
      <c r="Z202" s="197">
        <f t="shared" si="3492"/>
        <v>0</v>
      </c>
      <c r="AA202" s="197">
        <f t="shared" si="3492"/>
        <v>0</v>
      </c>
      <c r="AB202" s="197">
        <f t="shared" si="3492"/>
        <v>0</v>
      </c>
      <c r="AC202" s="163"/>
      <c r="AD202" s="163"/>
      <c r="AE202" s="163"/>
      <c r="AF202" s="163"/>
      <c r="AH202" s="197"/>
      <c r="AI202" s="197">
        <f t="shared" ref="AI202:BN202" si="3493">AI73-AI326</f>
        <v>0</v>
      </c>
      <c r="AJ202" s="197">
        <f t="shared" si="3493"/>
        <v>0</v>
      </c>
      <c r="AK202" s="197">
        <f t="shared" si="3493"/>
        <v>0</v>
      </c>
      <c r="AL202" s="197">
        <f t="shared" si="3493"/>
        <v>3.0000000000001137E-3</v>
      </c>
      <c r="AM202" s="197">
        <f t="shared" si="3493"/>
        <v>0</v>
      </c>
      <c r="AN202" s="197">
        <f t="shared" si="3493"/>
        <v>0</v>
      </c>
      <c r="AO202" s="197">
        <f t="shared" si="3493"/>
        <v>0</v>
      </c>
      <c r="AP202" s="197">
        <f t="shared" si="3493"/>
        <v>0</v>
      </c>
      <c r="AQ202" s="197">
        <f t="shared" si="3493"/>
        <v>0</v>
      </c>
      <c r="AR202" s="197">
        <f t="shared" si="3493"/>
        <v>0</v>
      </c>
      <c r="AS202" s="197">
        <f t="shared" si="3493"/>
        <v>0</v>
      </c>
      <c r="AT202" s="197">
        <f t="shared" si="3493"/>
        <v>0</v>
      </c>
      <c r="AU202" s="197">
        <f t="shared" si="3493"/>
        <v>0</v>
      </c>
      <c r="AV202" s="197">
        <f t="shared" si="3493"/>
        <v>0</v>
      </c>
      <c r="AW202" s="197">
        <f t="shared" si="3493"/>
        <v>0</v>
      </c>
      <c r="AX202" s="197">
        <f t="shared" si="3493"/>
        <v>0</v>
      </c>
      <c r="AY202" s="197">
        <f t="shared" si="3493"/>
        <v>0</v>
      </c>
      <c r="AZ202" s="197">
        <f t="shared" si="3493"/>
        <v>0</v>
      </c>
      <c r="BA202" s="197">
        <f t="shared" si="3493"/>
        <v>0</v>
      </c>
      <c r="BB202" s="197">
        <f t="shared" si="3493"/>
        <v>0</v>
      </c>
      <c r="BC202" s="197">
        <f t="shared" si="3493"/>
        <v>0</v>
      </c>
      <c r="BD202" s="197">
        <f t="shared" si="3493"/>
        <v>0</v>
      </c>
      <c r="BE202" s="197">
        <f t="shared" si="3493"/>
        <v>0</v>
      </c>
      <c r="BF202" s="197">
        <f t="shared" si="3493"/>
        <v>0</v>
      </c>
      <c r="BG202" s="197">
        <f t="shared" si="3493"/>
        <v>0</v>
      </c>
      <c r="BH202" s="197">
        <f t="shared" si="3493"/>
        <v>0</v>
      </c>
      <c r="BI202" s="197">
        <f t="shared" si="3493"/>
        <v>0</v>
      </c>
      <c r="BJ202" s="197">
        <f t="shared" si="3493"/>
        <v>0</v>
      </c>
      <c r="BK202" s="197">
        <f t="shared" si="3493"/>
        <v>0</v>
      </c>
      <c r="BL202" s="197">
        <f t="shared" si="3493"/>
        <v>0</v>
      </c>
      <c r="BM202" s="197">
        <f t="shared" si="3493"/>
        <v>0</v>
      </c>
      <c r="BN202" s="197">
        <f t="shared" si="3493"/>
        <v>0</v>
      </c>
      <c r="BO202" s="197">
        <f t="shared" ref="BO202:CV202" si="3494">BO73-BO326</f>
        <v>0</v>
      </c>
      <c r="BP202" s="197">
        <f t="shared" si="3494"/>
        <v>0</v>
      </c>
      <c r="BQ202" s="197">
        <f t="shared" si="3494"/>
        <v>0</v>
      </c>
      <c r="BR202" s="197">
        <f t="shared" si="3494"/>
        <v>0</v>
      </c>
      <c r="BS202" s="197">
        <f t="shared" si="3494"/>
        <v>0</v>
      </c>
      <c r="BT202" s="197">
        <f t="shared" si="3494"/>
        <v>0</v>
      </c>
      <c r="BU202" s="197">
        <f t="shared" si="3494"/>
        <v>0</v>
      </c>
      <c r="BV202" s="197">
        <f t="shared" si="3494"/>
        <v>0</v>
      </c>
      <c r="BW202" s="197">
        <f t="shared" si="3494"/>
        <v>0</v>
      </c>
      <c r="BX202" s="197">
        <f t="shared" si="3494"/>
        <v>0</v>
      </c>
      <c r="BY202" s="197">
        <f t="shared" si="3494"/>
        <v>0</v>
      </c>
      <c r="BZ202" s="197">
        <f t="shared" si="3494"/>
        <v>0</v>
      </c>
      <c r="CA202" s="197">
        <f t="shared" si="3494"/>
        <v>0</v>
      </c>
      <c r="CB202" s="197">
        <f t="shared" si="3494"/>
        <v>0</v>
      </c>
      <c r="CC202" s="197">
        <f t="shared" si="3494"/>
        <v>0</v>
      </c>
      <c r="CD202" s="197">
        <f t="shared" si="3494"/>
        <v>0</v>
      </c>
      <c r="CE202" s="197">
        <f t="shared" si="3494"/>
        <v>0</v>
      </c>
      <c r="CF202" s="197">
        <f t="shared" si="3494"/>
        <v>0</v>
      </c>
      <c r="CG202" s="197">
        <f t="shared" si="3494"/>
        <v>0</v>
      </c>
      <c r="CH202" s="197">
        <f t="shared" si="3494"/>
        <v>0</v>
      </c>
      <c r="CI202" s="197">
        <f t="shared" si="3494"/>
        <v>0</v>
      </c>
      <c r="CJ202" s="197">
        <f t="shared" si="3494"/>
        <v>0</v>
      </c>
      <c r="CK202" s="197">
        <f t="shared" si="3494"/>
        <v>0</v>
      </c>
      <c r="CL202" s="197">
        <f t="shared" si="3494"/>
        <v>0</v>
      </c>
      <c r="CM202" s="197">
        <f t="shared" si="3494"/>
        <v>0</v>
      </c>
      <c r="CN202" s="197">
        <f t="shared" si="3494"/>
        <v>0</v>
      </c>
      <c r="CO202" s="197">
        <f t="shared" si="3494"/>
        <v>0</v>
      </c>
      <c r="CP202" s="197">
        <f t="shared" si="3494"/>
        <v>0</v>
      </c>
      <c r="CQ202" s="197">
        <f t="shared" si="3494"/>
        <v>0</v>
      </c>
      <c r="CR202" s="197">
        <f t="shared" si="3494"/>
        <v>0</v>
      </c>
      <c r="CS202" s="197">
        <f t="shared" si="3494"/>
        <v>0</v>
      </c>
      <c r="CT202" s="197">
        <f t="shared" si="3494"/>
        <v>0</v>
      </c>
      <c r="CU202" s="197">
        <f t="shared" si="3494"/>
        <v>0</v>
      </c>
      <c r="CV202" s="197">
        <f t="shared" si="3494"/>
        <v>0</v>
      </c>
      <c r="CW202" s="197"/>
      <c r="CX202" s="197">
        <f>CX73-CX326</f>
        <v>0</v>
      </c>
      <c r="CY202" s="197">
        <f>CY73-CY326</f>
        <v>0</v>
      </c>
      <c r="CZ202" s="197">
        <f>CZ73-CZ326</f>
        <v>-2.9999999999148486E-3</v>
      </c>
      <c r="DA202" s="197">
        <f>DA73-DA326</f>
        <v>0</v>
      </c>
      <c r="DB202" s="197">
        <f>DB73-DB326</f>
        <v>0</v>
      </c>
      <c r="DC202" s="197">
        <f>DC73-DC326</f>
        <v>0</v>
      </c>
      <c r="DD202" s="197"/>
      <c r="DE202" s="197">
        <f t="shared" ref="DE202:EG202" si="3495">DE73-DE326</f>
        <v>0</v>
      </c>
      <c r="DF202" s="197">
        <f t="shared" si="3495"/>
        <v>0</v>
      </c>
      <c r="DG202" s="197">
        <f t="shared" si="3495"/>
        <v>0</v>
      </c>
      <c r="DH202" s="197">
        <f t="shared" si="3495"/>
        <v>0</v>
      </c>
      <c r="DI202" s="197">
        <f t="shared" si="3495"/>
        <v>0</v>
      </c>
      <c r="DJ202" s="197">
        <f t="shared" si="3495"/>
        <v>0</v>
      </c>
      <c r="DK202" s="197">
        <f t="shared" si="3495"/>
        <v>0</v>
      </c>
      <c r="DL202" s="197">
        <f t="shared" si="3495"/>
        <v>0</v>
      </c>
      <c r="DM202" s="197">
        <f t="shared" si="3495"/>
        <v>0</v>
      </c>
      <c r="DN202" s="197">
        <f t="shared" si="3495"/>
        <v>0</v>
      </c>
      <c r="DO202" s="197">
        <f t="shared" si="3495"/>
        <v>0</v>
      </c>
      <c r="DP202" s="197">
        <f t="shared" si="3495"/>
        <v>0</v>
      </c>
      <c r="DQ202" s="197">
        <f t="shared" si="3495"/>
        <v>0</v>
      </c>
      <c r="DR202" s="197">
        <f t="shared" si="3495"/>
        <v>0</v>
      </c>
      <c r="DS202" s="197">
        <f t="shared" si="3495"/>
        <v>0.91140685380504793</v>
      </c>
      <c r="DT202" s="197">
        <f t="shared" si="3495"/>
        <v>139.26599999999999</v>
      </c>
      <c r="DU202" s="197">
        <f t="shared" si="3495"/>
        <v>59.258000000000003</v>
      </c>
      <c r="DV202" s="197">
        <f t="shared" si="3495"/>
        <v>13.461</v>
      </c>
      <c r="DW202" s="197">
        <f t="shared" si="3495"/>
        <v>0.42550227621960857</v>
      </c>
      <c r="DX202" s="197">
        <f t="shared" si="3495"/>
        <v>37.847999999999999</v>
      </c>
      <c r="DY202" s="197">
        <f t="shared" si="3495"/>
        <v>0.13588384817543406</v>
      </c>
      <c r="DZ202" s="197">
        <f t="shared" si="3495"/>
        <v>41.232999999999997</v>
      </c>
      <c r="EA202" s="197">
        <f t="shared" si="3495"/>
        <v>39.883000000000003</v>
      </c>
      <c r="EB202" s="197">
        <f t="shared" si="3495"/>
        <v>3.2740765891397516E-2</v>
      </c>
      <c r="EC202" s="197">
        <f t="shared" si="3495"/>
        <v>38.392000000000003</v>
      </c>
      <c r="ED202" s="197">
        <f t="shared" si="3495"/>
        <v>24.103999999999999</v>
      </c>
      <c r="EE202" s="197">
        <f t="shared" si="3495"/>
        <v>26.047000000000001</v>
      </c>
      <c r="EF202" s="197">
        <f t="shared" si="3495"/>
        <v>50.150999999999996</v>
      </c>
      <c r="EG202" s="197">
        <f t="shared" si="3495"/>
        <v>0.56138612439504265</v>
      </c>
    </row>
    <row r="203" spans="1:137" hidden="1">
      <c r="A203" s="157">
        <v>44228</v>
      </c>
      <c r="B203" s="197">
        <f>B74-B327</f>
        <v>0</v>
      </c>
      <c r="C203" s="197">
        <f>C74-C327</f>
        <v>0</v>
      </c>
      <c r="D203" s="197">
        <f>D74-D327</f>
        <v>0</v>
      </c>
      <c r="E203" s="197">
        <f>E74-E327</f>
        <v>0</v>
      </c>
      <c r="F203" s="197">
        <f>F74-F327</f>
        <v>0</v>
      </c>
      <c r="G203" s="197"/>
      <c r="H203" s="197"/>
      <c r="I203" s="197">
        <f t="shared" ref="I203:AB203" si="3496">I74-I327</f>
        <v>0</v>
      </c>
      <c r="J203" s="197">
        <f t="shared" si="3496"/>
        <v>0</v>
      </c>
      <c r="K203" s="197">
        <f t="shared" si="3496"/>
        <v>0</v>
      </c>
      <c r="L203" s="197">
        <f t="shared" si="3496"/>
        <v>0</v>
      </c>
      <c r="M203" s="197">
        <f t="shared" si="3496"/>
        <v>0</v>
      </c>
      <c r="N203" s="197">
        <f t="shared" si="3496"/>
        <v>0</v>
      </c>
      <c r="O203" s="197">
        <f t="shared" si="3496"/>
        <v>-5.0499999999999545</v>
      </c>
      <c r="P203" s="197">
        <f t="shared" si="3496"/>
        <v>0</v>
      </c>
      <c r="Q203" s="197">
        <f t="shared" si="3496"/>
        <v>0</v>
      </c>
      <c r="R203" s="197">
        <f t="shared" si="3496"/>
        <v>0</v>
      </c>
      <c r="S203" s="197">
        <f t="shared" si="3496"/>
        <v>0</v>
      </c>
      <c r="T203" s="197">
        <f t="shared" si="3496"/>
        <v>0</v>
      </c>
      <c r="U203" s="197">
        <f t="shared" si="3496"/>
        <v>0</v>
      </c>
      <c r="V203" s="197">
        <f t="shared" si="3496"/>
        <v>0</v>
      </c>
      <c r="W203" s="197">
        <f t="shared" si="3496"/>
        <v>-3.0727113016348895E-2</v>
      </c>
      <c r="X203" s="197">
        <f t="shared" si="3496"/>
        <v>-3.0727113016348895E-2</v>
      </c>
      <c r="Y203" s="197">
        <f t="shared" si="3496"/>
        <v>-3.0727113016347118E-2</v>
      </c>
      <c r="Z203" s="197">
        <f t="shared" si="3496"/>
        <v>0</v>
      </c>
      <c r="AA203" s="197">
        <f t="shared" si="3496"/>
        <v>0</v>
      </c>
      <c r="AB203" s="197">
        <f t="shared" si="3496"/>
        <v>0</v>
      </c>
      <c r="AC203" s="163"/>
      <c r="AD203" s="163"/>
      <c r="AE203" s="163"/>
      <c r="AF203" s="163"/>
      <c r="AH203" s="197"/>
      <c r="AI203" s="197">
        <f t="shared" ref="AI203:BN203" si="3497">AI74-AI327</f>
        <v>0</v>
      </c>
      <c r="AJ203" s="197">
        <f t="shared" si="3497"/>
        <v>0</v>
      </c>
      <c r="AK203" s="197">
        <f t="shared" si="3497"/>
        <v>0</v>
      </c>
      <c r="AL203" s="197">
        <f t="shared" si="3497"/>
        <v>0</v>
      </c>
      <c r="AM203" s="197">
        <f t="shared" si="3497"/>
        <v>0</v>
      </c>
      <c r="AN203" s="197">
        <f t="shared" si="3497"/>
        <v>0</v>
      </c>
      <c r="AO203" s="197">
        <f t="shared" si="3497"/>
        <v>0</v>
      </c>
      <c r="AP203" s="197">
        <f t="shared" si="3497"/>
        <v>0</v>
      </c>
      <c r="AQ203" s="197">
        <f t="shared" si="3497"/>
        <v>0</v>
      </c>
      <c r="AR203" s="197">
        <f t="shared" si="3497"/>
        <v>3.0727113016348895E-2</v>
      </c>
      <c r="AS203" s="197">
        <f t="shared" si="3497"/>
        <v>0</v>
      </c>
      <c r="AT203" s="197">
        <f t="shared" si="3497"/>
        <v>0</v>
      </c>
      <c r="AU203" s="197">
        <f t="shared" si="3497"/>
        <v>0</v>
      </c>
      <c r="AV203" s="197">
        <f t="shared" si="3497"/>
        <v>0</v>
      </c>
      <c r="AW203" s="197">
        <f t="shared" si="3497"/>
        <v>0</v>
      </c>
      <c r="AX203" s="197">
        <f t="shared" si="3497"/>
        <v>0</v>
      </c>
      <c r="AY203" s="197">
        <f t="shared" si="3497"/>
        <v>0</v>
      </c>
      <c r="AZ203" s="197">
        <f t="shared" si="3497"/>
        <v>0</v>
      </c>
      <c r="BA203" s="197">
        <f t="shared" si="3497"/>
        <v>0</v>
      </c>
      <c r="BB203" s="197">
        <f t="shared" si="3497"/>
        <v>0</v>
      </c>
      <c r="BC203" s="197">
        <f t="shared" si="3497"/>
        <v>3.0727113016348895E-2</v>
      </c>
      <c r="BD203" s="197">
        <f t="shared" si="3497"/>
        <v>0</v>
      </c>
      <c r="BE203" s="197">
        <f t="shared" si="3497"/>
        <v>0</v>
      </c>
      <c r="BF203" s="197">
        <f t="shared" si="3497"/>
        <v>0</v>
      </c>
      <c r="BG203" s="197">
        <f t="shared" si="3497"/>
        <v>0</v>
      </c>
      <c r="BH203" s="197">
        <f t="shared" si="3497"/>
        <v>0</v>
      </c>
      <c r="BI203" s="197">
        <f t="shared" si="3497"/>
        <v>0</v>
      </c>
      <c r="BJ203" s="197">
        <f t="shared" si="3497"/>
        <v>0</v>
      </c>
      <c r="BK203" s="197">
        <f t="shared" si="3497"/>
        <v>0</v>
      </c>
      <c r="BL203" s="197">
        <f t="shared" si="3497"/>
        <v>0</v>
      </c>
      <c r="BM203" s="197">
        <f t="shared" si="3497"/>
        <v>0</v>
      </c>
      <c r="BN203" s="197">
        <f t="shared" si="3497"/>
        <v>3.0727113016348895E-2</v>
      </c>
      <c r="BO203" s="197">
        <f t="shared" ref="BO203:CV203" si="3498">BO74-BO327</f>
        <v>0</v>
      </c>
      <c r="BP203" s="197">
        <f t="shared" si="3498"/>
        <v>0</v>
      </c>
      <c r="BQ203" s="197">
        <f t="shared" si="3498"/>
        <v>0</v>
      </c>
      <c r="BR203" s="197">
        <f t="shared" si="3498"/>
        <v>0</v>
      </c>
      <c r="BS203" s="197">
        <f t="shared" si="3498"/>
        <v>0</v>
      </c>
      <c r="BT203" s="197">
        <f t="shared" si="3498"/>
        <v>0</v>
      </c>
      <c r="BU203" s="197">
        <f t="shared" si="3498"/>
        <v>0</v>
      </c>
      <c r="BV203" s="197">
        <f t="shared" si="3498"/>
        <v>0</v>
      </c>
      <c r="BW203" s="197">
        <f t="shared" si="3498"/>
        <v>0</v>
      </c>
      <c r="BX203" s="197">
        <f t="shared" si="3498"/>
        <v>0</v>
      </c>
      <c r="BY203" s="197">
        <f t="shared" si="3498"/>
        <v>3.0727113016348895E-2</v>
      </c>
      <c r="BZ203" s="197">
        <f t="shared" si="3498"/>
        <v>0</v>
      </c>
      <c r="CA203" s="197">
        <f t="shared" si="3498"/>
        <v>0</v>
      </c>
      <c r="CB203" s="197">
        <f t="shared" si="3498"/>
        <v>0</v>
      </c>
      <c r="CC203" s="197">
        <f t="shared" si="3498"/>
        <v>0</v>
      </c>
      <c r="CD203" s="197">
        <f t="shared" si="3498"/>
        <v>0</v>
      </c>
      <c r="CE203" s="197">
        <f t="shared" si="3498"/>
        <v>0</v>
      </c>
      <c r="CF203" s="197">
        <f t="shared" si="3498"/>
        <v>0</v>
      </c>
      <c r="CG203" s="197">
        <f t="shared" si="3498"/>
        <v>-5.0500000000000114</v>
      </c>
      <c r="CH203" s="197">
        <f t="shared" si="3498"/>
        <v>0</v>
      </c>
      <c r="CI203" s="197">
        <f t="shared" si="3498"/>
        <v>-0.23879176097496391</v>
      </c>
      <c r="CJ203" s="197">
        <f t="shared" si="3498"/>
        <v>-0.20806464795861501</v>
      </c>
      <c r="CK203" s="197">
        <f t="shared" si="3498"/>
        <v>-0.23879176097496213</v>
      </c>
      <c r="CL203" s="197">
        <f t="shared" si="3498"/>
        <v>0</v>
      </c>
      <c r="CM203" s="197">
        <f t="shared" si="3498"/>
        <v>0</v>
      </c>
      <c r="CN203" s="197">
        <f t="shared" si="3498"/>
        <v>0</v>
      </c>
      <c r="CO203" s="197">
        <f t="shared" si="3498"/>
        <v>0</v>
      </c>
      <c r="CP203" s="197">
        <f t="shared" si="3498"/>
        <v>0</v>
      </c>
      <c r="CQ203" s="197">
        <f t="shared" si="3498"/>
        <v>0</v>
      </c>
      <c r="CR203" s="197">
        <f t="shared" si="3498"/>
        <v>0</v>
      </c>
      <c r="CS203" s="197">
        <f t="shared" si="3498"/>
        <v>0</v>
      </c>
      <c r="CT203" s="197">
        <f t="shared" si="3498"/>
        <v>0</v>
      </c>
      <c r="CU203" s="197">
        <f t="shared" si="3498"/>
        <v>3.0727113016348895E-2</v>
      </c>
      <c r="CV203" s="197">
        <f t="shared" si="3498"/>
        <v>0</v>
      </c>
      <c r="CW203" s="197"/>
      <c r="CX203" s="197">
        <f>CX74-CX327</f>
        <v>0</v>
      </c>
      <c r="CY203" s="197">
        <f>CY74-CY327</f>
        <v>0</v>
      </c>
      <c r="CZ203" s="197">
        <f>CZ74-CZ327</f>
        <v>0</v>
      </c>
      <c r="DA203" s="197">
        <f>DA74-DA327</f>
        <v>0</v>
      </c>
      <c r="DB203" s="197">
        <f>DB74-DB327</f>
        <v>0</v>
      </c>
      <c r="DC203" s="197">
        <f>DC74-DC327</f>
        <v>0</v>
      </c>
      <c r="DD203" s="197"/>
      <c r="DE203" s="197">
        <f t="shared" ref="DE203:EG203" si="3499">DE74-DE327</f>
        <v>0</v>
      </c>
      <c r="DF203" s="197">
        <f t="shared" si="3499"/>
        <v>0</v>
      </c>
      <c r="DG203" s="197">
        <f t="shared" si="3499"/>
        <v>0</v>
      </c>
      <c r="DH203" s="197">
        <f t="shared" si="3499"/>
        <v>0</v>
      </c>
      <c r="DI203" s="197">
        <f t="shared" si="3499"/>
        <v>0</v>
      </c>
      <c r="DJ203" s="197">
        <f t="shared" si="3499"/>
        <v>0</v>
      </c>
      <c r="DK203" s="197">
        <f t="shared" si="3499"/>
        <v>0</v>
      </c>
      <c r="DL203" s="197">
        <f t="shared" si="3499"/>
        <v>0</v>
      </c>
      <c r="DM203" s="197">
        <f t="shared" si="3499"/>
        <v>0</v>
      </c>
      <c r="DN203" s="197">
        <f t="shared" si="3499"/>
        <v>0</v>
      </c>
      <c r="DO203" s="197">
        <f t="shared" si="3499"/>
        <v>0</v>
      </c>
      <c r="DP203" s="197">
        <f t="shared" si="3499"/>
        <v>0</v>
      </c>
      <c r="DQ203" s="197">
        <f t="shared" si="3499"/>
        <v>0</v>
      </c>
      <c r="DR203" s="197">
        <f t="shared" si="3499"/>
        <v>0</v>
      </c>
      <c r="DS203" s="197">
        <f t="shared" si="3499"/>
        <v>1.029780575723676</v>
      </c>
      <c r="DT203" s="197">
        <f t="shared" si="3499"/>
        <v>0</v>
      </c>
      <c r="DU203" s="197">
        <f t="shared" si="3499"/>
        <v>0</v>
      </c>
      <c r="DV203" s="197">
        <f t="shared" si="3499"/>
        <v>0</v>
      </c>
      <c r="DW203" s="197">
        <f t="shared" si="3499"/>
        <v>0</v>
      </c>
      <c r="DX203" s="197">
        <f t="shared" si="3499"/>
        <v>0</v>
      </c>
      <c r="DY203" s="197">
        <f t="shared" si="3499"/>
        <v>0</v>
      </c>
      <c r="DZ203" s="197">
        <f t="shared" si="3499"/>
        <v>0</v>
      </c>
      <c r="EA203" s="197">
        <f t="shared" si="3499"/>
        <v>0</v>
      </c>
      <c r="EB203" s="197">
        <f t="shared" si="3499"/>
        <v>0</v>
      </c>
      <c r="EC203" s="197">
        <f t="shared" si="3499"/>
        <v>0</v>
      </c>
      <c r="ED203" s="197">
        <f t="shared" si="3499"/>
        <v>0</v>
      </c>
      <c r="EE203" s="197">
        <f t="shared" si="3499"/>
        <v>0</v>
      </c>
      <c r="EF203" s="197">
        <f t="shared" si="3499"/>
        <v>0</v>
      </c>
      <c r="EG203" s="197">
        <f t="shared" si="3499"/>
        <v>0</v>
      </c>
    </row>
    <row r="204" spans="1:137" s="246" customFormat="1" hidden="1">
      <c r="A204" s="245">
        <v>44256</v>
      </c>
      <c r="B204" s="201">
        <f>B75-B328</f>
        <v>0</v>
      </c>
      <c r="C204" s="201">
        <f>C75-C328</f>
        <v>0</v>
      </c>
      <c r="D204" s="201">
        <f>D75-D328</f>
        <v>0</v>
      </c>
      <c r="E204" s="201">
        <f>E75-E328</f>
        <v>0</v>
      </c>
      <c r="F204" s="201">
        <f>F75-F328</f>
        <v>0</v>
      </c>
      <c r="G204" s="201"/>
      <c r="H204" s="201"/>
      <c r="I204" s="201">
        <f t="shared" ref="I204:AB204" si="3500">I75-I328</f>
        <v>0</v>
      </c>
      <c r="J204" s="201">
        <f t="shared" si="3500"/>
        <v>0</v>
      </c>
      <c r="K204" s="201">
        <f t="shared" si="3500"/>
        <v>0</v>
      </c>
      <c r="L204" s="201">
        <f t="shared" si="3500"/>
        <v>0</v>
      </c>
      <c r="M204" s="201">
        <f t="shared" si="3500"/>
        <v>0</v>
      </c>
      <c r="N204" s="201">
        <f t="shared" si="3500"/>
        <v>0</v>
      </c>
      <c r="O204" s="201">
        <f t="shared" si="3500"/>
        <v>0</v>
      </c>
      <c r="P204" s="201">
        <f t="shared" si="3500"/>
        <v>0</v>
      </c>
      <c r="Q204" s="201">
        <f t="shared" si="3500"/>
        <v>0</v>
      </c>
      <c r="R204" s="201">
        <f t="shared" si="3500"/>
        <v>0</v>
      </c>
      <c r="S204" s="201">
        <f t="shared" si="3500"/>
        <v>0</v>
      </c>
      <c r="T204" s="201">
        <f t="shared" si="3500"/>
        <v>0</v>
      </c>
      <c r="U204" s="201">
        <f t="shared" si="3500"/>
        <v>0</v>
      </c>
      <c r="V204" s="201">
        <f t="shared" si="3500"/>
        <v>0</v>
      </c>
      <c r="W204" s="201">
        <f t="shared" si="3500"/>
        <v>0</v>
      </c>
      <c r="X204" s="201">
        <f t="shared" si="3500"/>
        <v>0</v>
      </c>
      <c r="Y204" s="201">
        <f t="shared" si="3500"/>
        <v>0</v>
      </c>
      <c r="Z204" s="201">
        <f t="shared" si="3500"/>
        <v>355.1400000000001</v>
      </c>
      <c r="AA204" s="201">
        <f t="shared" si="3500"/>
        <v>0</v>
      </c>
      <c r="AB204" s="201">
        <f t="shared" si="3500"/>
        <v>0.23992229900641068</v>
      </c>
      <c r="AC204" s="163"/>
      <c r="AD204" s="163"/>
      <c r="AE204" s="163"/>
      <c r="AF204" s="163"/>
      <c r="AH204" s="201"/>
      <c r="AI204" s="201">
        <f t="shared" ref="AI204:BN204" si="3501">AI75-AI328</f>
        <v>0</v>
      </c>
      <c r="AJ204" s="201">
        <f t="shared" si="3501"/>
        <v>0</v>
      </c>
      <c r="AK204" s="201">
        <f t="shared" si="3501"/>
        <v>0</v>
      </c>
      <c r="AL204" s="201">
        <f t="shared" si="3501"/>
        <v>0</v>
      </c>
      <c r="AM204" s="201">
        <f t="shared" si="3501"/>
        <v>0</v>
      </c>
      <c r="AN204" s="201">
        <f t="shared" si="3501"/>
        <v>-0.55905650139337837</v>
      </c>
      <c r="AO204" s="201">
        <f t="shared" si="3501"/>
        <v>0</v>
      </c>
      <c r="AP204" s="201">
        <f t="shared" si="3501"/>
        <v>0</v>
      </c>
      <c r="AQ204" s="201">
        <f t="shared" si="3501"/>
        <v>0</v>
      </c>
      <c r="AR204" s="201">
        <f t="shared" si="3501"/>
        <v>0</v>
      </c>
      <c r="AS204" s="201">
        <f t="shared" si="3501"/>
        <v>0</v>
      </c>
      <c r="AT204" s="201">
        <f t="shared" si="3501"/>
        <v>0</v>
      </c>
      <c r="AU204" s="201">
        <f t="shared" si="3501"/>
        <v>0</v>
      </c>
      <c r="AV204" s="201">
        <f t="shared" si="3501"/>
        <v>0</v>
      </c>
      <c r="AW204" s="201">
        <f t="shared" si="3501"/>
        <v>0</v>
      </c>
      <c r="AX204" s="201">
        <f t="shared" si="3501"/>
        <v>0</v>
      </c>
      <c r="AY204" s="201">
        <f t="shared" si="3501"/>
        <v>-0.55905650139337837</v>
      </c>
      <c r="AZ204" s="201">
        <f t="shared" si="3501"/>
        <v>0</v>
      </c>
      <c r="BA204" s="201">
        <f t="shared" si="3501"/>
        <v>0</v>
      </c>
      <c r="BB204" s="201">
        <f t="shared" si="3501"/>
        <v>0</v>
      </c>
      <c r="BC204" s="201">
        <f t="shared" si="3501"/>
        <v>0</v>
      </c>
      <c r="BD204" s="201">
        <f t="shared" si="3501"/>
        <v>0</v>
      </c>
      <c r="BE204" s="201">
        <f t="shared" si="3501"/>
        <v>0</v>
      </c>
      <c r="BF204" s="201">
        <f t="shared" si="3501"/>
        <v>0</v>
      </c>
      <c r="BG204" s="201">
        <f t="shared" si="3501"/>
        <v>0</v>
      </c>
      <c r="BH204" s="201">
        <f t="shared" si="3501"/>
        <v>0</v>
      </c>
      <c r="BI204" s="201">
        <f t="shared" si="3501"/>
        <v>0</v>
      </c>
      <c r="BJ204" s="201">
        <f t="shared" si="3501"/>
        <v>-0.55905650139337837</v>
      </c>
      <c r="BK204" s="201">
        <f t="shared" si="3501"/>
        <v>0</v>
      </c>
      <c r="BL204" s="201">
        <f t="shared" si="3501"/>
        <v>0</v>
      </c>
      <c r="BM204" s="201">
        <f t="shared" si="3501"/>
        <v>0</v>
      </c>
      <c r="BN204" s="201">
        <f t="shared" si="3501"/>
        <v>0</v>
      </c>
      <c r="BO204" s="201">
        <f t="shared" ref="BO204:CV204" si="3502">BO75-BO328</f>
        <v>0</v>
      </c>
      <c r="BP204" s="201">
        <f t="shared" si="3502"/>
        <v>0</v>
      </c>
      <c r="BQ204" s="201">
        <f t="shared" si="3502"/>
        <v>0</v>
      </c>
      <c r="BR204" s="201">
        <f t="shared" si="3502"/>
        <v>0</v>
      </c>
      <c r="BS204" s="201">
        <f t="shared" si="3502"/>
        <v>0</v>
      </c>
      <c r="BT204" s="201">
        <f t="shared" si="3502"/>
        <v>0</v>
      </c>
      <c r="BU204" s="201">
        <f t="shared" si="3502"/>
        <v>-0.55905650139337837</v>
      </c>
      <c r="BV204" s="201">
        <f t="shared" si="3502"/>
        <v>0</v>
      </c>
      <c r="BW204" s="201">
        <f t="shared" si="3502"/>
        <v>0</v>
      </c>
      <c r="BX204" s="201">
        <f t="shared" si="3502"/>
        <v>0</v>
      </c>
      <c r="BY204" s="201">
        <f t="shared" si="3502"/>
        <v>0</v>
      </c>
      <c r="BZ204" s="201">
        <f t="shared" si="3502"/>
        <v>0</v>
      </c>
      <c r="CA204" s="201">
        <f t="shared" si="3502"/>
        <v>0</v>
      </c>
      <c r="CB204" s="201">
        <f t="shared" si="3502"/>
        <v>0</v>
      </c>
      <c r="CC204" s="201">
        <f t="shared" si="3502"/>
        <v>0</v>
      </c>
      <c r="CD204" s="201">
        <f t="shared" si="3502"/>
        <v>0</v>
      </c>
      <c r="CE204" s="201">
        <f t="shared" si="3502"/>
        <v>0</v>
      </c>
      <c r="CF204" s="201">
        <f t="shared" si="3502"/>
        <v>-0.55905650139337837</v>
      </c>
      <c r="CG204" s="201">
        <f t="shared" si="3502"/>
        <v>0</v>
      </c>
      <c r="CH204" s="201">
        <f t="shared" si="3502"/>
        <v>0</v>
      </c>
      <c r="CI204" s="201">
        <f t="shared" si="3502"/>
        <v>0</v>
      </c>
      <c r="CJ204" s="201">
        <f t="shared" si="3502"/>
        <v>0</v>
      </c>
      <c r="CK204" s="201">
        <f t="shared" si="3502"/>
        <v>0</v>
      </c>
      <c r="CL204" s="201">
        <f t="shared" si="3502"/>
        <v>0</v>
      </c>
      <c r="CM204" s="201">
        <f t="shared" si="3502"/>
        <v>0</v>
      </c>
      <c r="CN204" s="201">
        <f t="shared" si="3502"/>
        <v>0</v>
      </c>
      <c r="CO204" s="201">
        <f t="shared" si="3502"/>
        <v>0</v>
      </c>
      <c r="CP204" s="201">
        <f t="shared" si="3502"/>
        <v>0</v>
      </c>
      <c r="CQ204" s="201">
        <f t="shared" si="3502"/>
        <v>-0.55905650139337837</v>
      </c>
      <c r="CR204" s="201">
        <f t="shared" si="3502"/>
        <v>0</v>
      </c>
      <c r="CS204" s="201">
        <f t="shared" si="3502"/>
        <v>0</v>
      </c>
      <c r="CT204" s="201">
        <f t="shared" si="3502"/>
        <v>0</v>
      </c>
      <c r="CU204" s="201">
        <f t="shared" si="3502"/>
        <v>0</v>
      </c>
      <c r="CV204" s="201">
        <f t="shared" si="3502"/>
        <v>0</v>
      </c>
      <c r="CW204" s="201"/>
      <c r="CX204" s="201">
        <f>CX75-CX328</f>
        <v>0</v>
      </c>
      <c r="CY204" s="201">
        <f>CY75-CY328</f>
        <v>52.61400000000026</v>
      </c>
      <c r="CZ204" s="201">
        <f>CZ75-CZ328</f>
        <v>0</v>
      </c>
      <c r="DA204" s="201">
        <f>DA75-DA328</f>
        <v>0</v>
      </c>
      <c r="DB204" s="201">
        <f>DB75-DB328</f>
        <v>0</v>
      </c>
      <c r="DC204" s="201">
        <f>DC75-DC328</f>
        <v>0</v>
      </c>
      <c r="DD204" s="201"/>
      <c r="DE204" s="201">
        <f t="shared" ref="DE204:EG204" si="3503">DE75-DE328</f>
        <v>0</v>
      </c>
      <c r="DF204" s="201">
        <f t="shared" si="3503"/>
        <v>0</v>
      </c>
      <c r="DG204" s="201">
        <f t="shared" si="3503"/>
        <v>0</v>
      </c>
      <c r="DH204" s="201">
        <f t="shared" si="3503"/>
        <v>0</v>
      </c>
      <c r="DI204" s="201">
        <f t="shared" si="3503"/>
        <v>0</v>
      </c>
      <c r="DJ204" s="201">
        <f t="shared" si="3503"/>
        <v>0</v>
      </c>
      <c r="DK204" s="201">
        <f t="shared" si="3503"/>
        <v>0</v>
      </c>
      <c r="DL204" s="201">
        <f t="shared" si="3503"/>
        <v>0</v>
      </c>
      <c r="DM204" s="201">
        <f t="shared" si="3503"/>
        <v>0</v>
      </c>
      <c r="DN204" s="201">
        <f t="shared" si="3503"/>
        <v>0</v>
      </c>
      <c r="DO204" s="201">
        <f t="shared" si="3503"/>
        <v>0</v>
      </c>
      <c r="DP204" s="201">
        <f t="shared" si="3503"/>
        <v>0</v>
      </c>
      <c r="DQ204" s="201">
        <f t="shared" si="3503"/>
        <v>0</v>
      </c>
      <c r="DR204" s="201">
        <f t="shared" si="3503"/>
        <v>0</v>
      </c>
      <c r="DS204" s="201">
        <f t="shared" si="3503"/>
        <v>0.93315756463564781</v>
      </c>
      <c r="DT204" s="201">
        <f t="shared" si="3503"/>
        <v>0</v>
      </c>
      <c r="DU204" s="201">
        <f t="shared" si="3503"/>
        <v>0</v>
      </c>
      <c r="DV204" s="201">
        <f t="shared" si="3503"/>
        <v>0</v>
      </c>
      <c r="DW204" s="201">
        <f t="shared" si="3503"/>
        <v>0</v>
      </c>
      <c r="DX204" s="201">
        <f t="shared" si="3503"/>
        <v>0</v>
      </c>
      <c r="DY204" s="201">
        <f t="shared" si="3503"/>
        <v>0</v>
      </c>
      <c r="DZ204" s="201">
        <f t="shared" si="3503"/>
        <v>0</v>
      </c>
      <c r="EA204" s="201">
        <f t="shared" si="3503"/>
        <v>0</v>
      </c>
      <c r="EB204" s="201">
        <f t="shared" si="3503"/>
        <v>0</v>
      </c>
      <c r="EC204" s="201">
        <f t="shared" si="3503"/>
        <v>0</v>
      </c>
      <c r="ED204" s="201">
        <f t="shared" si="3503"/>
        <v>0</v>
      </c>
      <c r="EE204" s="201">
        <f t="shared" si="3503"/>
        <v>0</v>
      </c>
      <c r="EF204" s="201">
        <f t="shared" si="3503"/>
        <v>0</v>
      </c>
      <c r="EG204" s="201">
        <f t="shared" si="3503"/>
        <v>0</v>
      </c>
    </row>
    <row r="205" spans="1:137" hidden="1">
      <c r="A205" s="157">
        <v>44287</v>
      </c>
      <c r="B205" s="197">
        <f>B76-B329</f>
        <v>0</v>
      </c>
      <c r="C205" s="197">
        <f>C76-C329</f>
        <v>0</v>
      </c>
      <c r="D205" s="197">
        <f>D76-D329</f>
        <v>0</v>
      </c>
      <c r="E205" s="197">
        <f>E76-E329</f>
        <v>0</v>
      </c>
      <c r="F205" s="197">
        <f>F76-F329</f>
        <v>42.222000000000207</v>
      </c>
      <c r="G205" s="197"/>
      <c r="H205" s="197"/>
      <c r="I205" s="197">
        <f t="shared" ref="I205:AB205" si="3504">I76-I329</f>
        <v>0</v>
      </c>
      <c r="J205" s="197">
        <f t="shared" si="3504"/>
        <v>0.49715530814535214</v>
      </c>
      <c r="K205" s="197">
        <f t="shared" si="3504"/>
        <v>0.49715530814535214</v>
      </c>
      <c r="L205" s="197">
        <f t="shared" si="3504"/>
        <v>0.49715530814535214</v>
      </c>
      <c r="M205" s="197">
        <f t="shared" si="3504"/>
        <v>0</v>
      </c>
      <c r="N205" s="197">
        <f t="shared" si="3504"/>
        <v>0</v>
      </c>
      <c r="O205" s="197">
        <f t="shared" si="3504"/>
        <v>0</v>
      </c>
      <c r="P205" s="197">
        <f t="shared" si="3504"/>
        <v>0</v>
      </c>
      <c r="Q205" s="197">
        <f t="shared" si="3504"/>
        <v>0</v>
      </c>
      <c r="R205" s="197">
        <f t="shared" si="3504"/>
        <v>0</v>
      </c>
      <c r="S205" s="197">
        <f t="shared" si="3504"/>
        <v>0</v>
      </c>
      <c r="T205" s="197">
        <f t="shared" si="3504"/>
        <v>0</v>
      </c>
      <c r="U205" s="197">
        <f t="shared" si="3504"/>
        <v>0</v>
      </c>
      <c r="V205" s="197">
        <f t="shared" si="3504"/>
        <v>0</v>
      </c>
      <c r="W205" s="197">
        <f t="shared" si="3504"/>
        <v>0</v>
      </c>
      <c r="X205" s="197">
        <f t="shared" si="3504"/>
        <v>0</v>
      </c>
      <c r="Y205" s="197">
        <f t="shared" si="3504"/>
        <v>0.49715530814535214</v>
      </c>
      <c r="Z205" s="197">
        <f t="shared" si="3504"/>
        <v>0</v>
      </c>
      <c r="AA205" s="197">
        <f t="shared" si="3504"/>
        <v>0</v>
      </c>
      <c r="AB205" s="197">
        <f t="shared" si="3504"/>
        <v>0</v>
      </c>
      <c r="AC205" s="163"/>
      <c r="AD205" s="163"/>
      <c r="AE205" s="163"/>
      <c r="AF205" s="163"/>
      <c r="AH205" s="197"/>
      <c r="AI205" s="197">
        <f t="shared" ref="AI205:BN205" si="3505">AI76-AI329</f>
        <v>0</v>
      </c>
      <c r="AJ205" s="197">
        <f t="shared" si="3505"/>
        <v>0</v>
      </c>
      <c r="AK205" s="197">
        <f t="shared" si="3505"/>
        <v>0</v>
      </c>
      <c r="AL205" s="197">
        <f t="shared" si="3505"/>
        <v>0</v>
      </c>
      <c r="AM205" s="197">
        <f t="shared" si="3505"/>
        <v>0</v>
      </c>
      <c r="AN205" s="197">
        <f t="shared" si="3505"/>
        <v>0</v>
      </c>
      <c r="AO205" s="197">
        <f t="shared" si="3505"/>
        <v>0</v>
      </c>
      <c r="AP205" s="197">
        <f t="shared" si="3505"/>
        <v>0</v>
      </c>
      <c r="AQ205" s="197">
        <f t="shared" si="3505"/>
        <v>0</v>
      </c>
      <c r="AR205" s="197">
        <f t="shared" si="3505"/>
        <v>0</v>
      </c>
      <c r="AS205" s="197">
        <f t="shared" si="3505"/>
        <v>0</v>
      </c>
      <c r="AT205" s="197">
        <f t="shared" si="3505"/>
        <v>0</v>
      </c>
      <c r="AU205" s="197">
        <f t="shared" si="3505"/>
        <v>0</v>
      </c>
      <c r="AV205" s="197">
        <f t="shared" si="3505"/>
        <v>0</v>
      </c>
      <c r="AW205" s="197">
        <f t="shared" si="3505"/>
        <v>0</v>
      </c>
      <c r="AX205" s="197">
        <f t="shared" si="3505"/>
        <v>0</v>
      </c>
      <c r="AY205" s="197">
        <f t="shared" si="3505"/>
        <v>0</v>
      </c>
      <c r="AZ205" s="197">
        <f t="shared" si="3505"/>
        <v>0</v>
      </c>
      <c r="BA205" s="197">
        <f t="shared" si="3505"/>
        <v>0</v>
      </c>
      <c r="BB205" s="197">
        <f t="shared" si="3505"/>
        <v>0</v>
      </c>
      <c r="BC205" s="197">
        <f t="shared" si="3505"/>
        <v>0</v>
      </c>
      <c r="BD205" s="197">
        <f t="shared" si="3505"/>
        <v>0</v>
      </c>
      <c r="BE205" s="197">
        <f t="shared" si="3505"/>
        <v>0</v>
      </c>
      <c r="BF205" s="197">
        <f t="shared" si="3505"/>
        <v>0</v>
      </c>
      <c r="BG205" s="197">
        <f t="shared" si="3505"/>
        <v>0</v>
      </c>
      <c r="BH205" s="197">
        <f t="shared" si="3505"/>
        <v>0</v>
      </c>
      <c r="BI205" s="197">
        <f t="shared" si="3505"/>
        <v>0</v>
      </c>
      <c r="BJ205" s="197">
        <f t="shared" si="3505"/>
        <v>0</v>
      </c>
      <c r="BK205" s="197">
        <f t="shared" si="3505"/>
        <v>0</v>
      </c>
      <c r="BL205" s="197">
        <f t="shared" si="3505"/>
        <v>0</v>
      </c>
      <c r="BM205" s="197">
        <f t="shared" si="3505"/>
        <v>0</v>
      </c>
      <c r="BN205" s="197">
        <f t="shared" si="3505"/>
        <v>0</v>
      </c>
      <c r="BO205" s="197">
        <f t="shared" ref="BO205:CV205" si="3506">BO76-BO329</f>
        <v>0</v>
      </c>
      <c r="BP205" s="197">
        <f t="shared" si="3506"/>
        <v>0</v>
      </c>
      <c r="BQ205" s="197">
        <f t="shared" si="3506"/>
        <v>0</v>
      </c>
      <c r="BR205" s="197">
        <f t="shared" si="3506"/>
        <v>0</v>
      </c>
      <c r="BS205" s="197">
        <f t="shared" si="3506"/>
        <v>0</v>
      </c>
      <c r="BT205" s="197">
        <f t="shared" si="3506"/>
        <v>0</v>
      </c>
      <c r="BU205" s="197">
        <f t="shared" si="3506"/>
        <v>0</v>
      </c>
      <c r="BV205" s="197">
        <f t="shared" si="3506"/>
        <v>0</v>
      </c>
      <c r="BW205" s="197">
        <f t="shared" si="3506"/>
        <v>0</v>
      </c>
      <c r="BX205" s="197">
        <f t="shared" si="3506"/>
        <v>0</v>
      </c>
      <c r="BY205" s="197">
        <f t="shared" si="3506"/>
        <v>0</v>
      </c>
      <c r="BZ205" s="197">
        <f t="shared" si="3506"/>
        <v>0</v>
      </c>
      <c r="CA205" s="197">
        <f t="shared" si="3506"/>
        <v>0</v>
      </c>
      <c r="CB205" s="197">
        <f t="shared" si="3506"/>
        <v>0</v>
      </c>
      <c r="CC205" s="197">
        <f t="shared" si="3506"/>
        <v>0</v>
      </c>
      <c r="CD205" s="197">
        <f t="shared" si="3506"/>
        <v>0</v>
      </c>
      <c r="CE205" s="197">
        <f t="shared" si="3506"/>
        <v>0</v>
      </c>
      <c r="CF205" s="197">
        <f t="shared" si="3506"/>
        <v>0</v>
      </c>
      <c r="CG205" s="197">
        <f t="shared" si="3506"/>
        <v>0</v>
      </c>
      <c r="CH205" s="197">
        <f t="shared" si="3506"/>
        <v>0</v>
      </c>
      <c r="CI205" s="197">
        <f t="shared" si="3506"/>
        <v>0</v>
      </c>
      <c r="CJ205" s="197">
        <f t="shared" si="3506"/>
        <v>0</v>
      </c>
      <c r="CK205" s="197">
        <f t="shared" si="3506"/>
        <v>0</v>
      </c>
      <c r="CL205" s="197">
        <f t="shared" si="3506"/>
        <v>0</v>
      </c>
      <c r="CM205" s="197">
        <f t="shared" si="3506"/>
        <v>0</v>
      </c>
      <c r="CN205" s="197">
        <f t="shared" si="3506"/>
        <v>0</v>
      </c>
      <c r="CO205" s="197">
        <f t="shared" si="3506"/>
        <v>0</v>
      </c>
      <c r="CP205" s="197">
        <f t="shared" si="3506"/>
        <v>0</v>
      </c>
      <c r="CQ205" s="197">
        <f t="shared" si="3506"/>
        <v>0</v>
      </c>
      <c r="CR205" s="197">
        <f t="shared" si="3506"/>
        <v>0</v>
      </c>
      <c r="CS205" s="197">
        <f t="shared" si="3506"/>
        <v>0</v>
      </c>
      <c r="CT205" s="197">
        <f t="shared" si="3506"/>
        <v>0</v>
      </c>
      <c r="CU205" s="197">
        <f t="shared" si="3506"/>
        <v>0</v>
      </c>
      <c r="CV205" s="197">
        <f t="shared" si="3506"/>
        <v>0</v>
      </c>
      <c r="CW205" s="197"/>
      <c r="CX205" s="197">
        <f>CX76-CX329</f>
        <v>0</v>
      </c>
      <c r="CY205" s="197">
        <f>CY76-CY329</f>
        <v>0</v>
      </c>
      <c r="CZ205" s="197">
        <f>CZ76-CZ329</f>
        <v>0</v>
      </c>
      <c r="DA205" s="197">
        <f>DA76-DA329</f>
        <v>0</v>
      </c>
      <c r="DB205" s="197">
        <f>DB76-DB329</f>
        <v>0</v>
      </c>
      <c r="DC205" s="197">
        <f>DC76-DC329</f>
        <v>0</v>
      </c>
      <c r="DD205" s="197"/>
      <c r="DE205" s="197">
        <f t="shared" ref="DE205:EG205" si="3507">DE76-DE329</f>
        <v>0</v>
      </c>
      <c r="DF205" s="197">
        <f t="shared" si="3507"/>
        <v>0</v>
      </c>
      <c r="DG205" s="197">
        <f t="shared" si="3507"/>
        <v>0</v>
      </c>
      <c r="DH205" s="197">
        <f t="shared" si="3507"/>
        <v>0</v>
      </c>
      <c r="DI205" s="197">
        <f t="shared" si="3507"/>
        <v>0</v>
      </c>
      <c r="DJ205" s="197">
        <f t="shared" si="3507"/>
        <v>0</v>
      </c>
      <c r="DK205" s="197">
        <f t="shared" si="3507"/>
        <v>0</v>
      </c>
      <c r="DL205" s="197">
        <f t="shared" si="3507"/>
        <v>0</v>
      </c>
      <c r="DM205" s="197">
        <f t="shared" si="3507"/>
        <v>0</v>
      </c>
      <c r="DN205" s="197">
        <f t="shared" si="3507"/>
        <v>0</v>
      </c>
      <c r="DO205" s="197">
        <f t="shared" si="3507"/>
        <v>0</v>
      </c>
      <c r="DP205" s="197">
        <f t="shared" si="3507"/>
        <v>0</v>
      </c>
      <c r="DQ205" s="197">
        <f t="shared" si="3507"/>
        <v>0</v>
      </c>
      <c r="DR205" s="197">
        <f t="shared" si="3507"/>
        <v>0</v>
      </c>
      <c r="DS205" s="197">
        <f t="shared" si="3507"/>
        <v>0.93946135099668815</v>
      </c>
      <c r="DT205" s="197">
        <f t="shared" si="3507"/>
        <v>-4.9230000000000018</v>
      </c>
      <c r="DU205" s="197">
        <f t="shared" si="3507"/>
        <v>-2.8980000000000032</v>
      </c>
      <c r="DV205" s="197">
        <f t="shared" si="3507"/>
        <v>-11.012</v>
      </c>
      <c r="DW205" s="197">
        <f t="shared" si="3507"/>
        <v>-6.4230911898594534E-3</v>
      </c>
      <c r="DX205" s="197">
        <f t="shared" si="3507"/>
        <v>-1.9310000000000009</v>
      </c>
      <c r="DY205" s="197">
        <f t="shared" si="3507"/>
        <v>-2.4963655584522015E-3</v>
      </c>
      <c r="DZ205" s="197">
        <f t="shared" si="3507"/>
        <v>0.23600000000000421</v>
      </c>
      <c r="EA205" s="197">
        <f t="shared" si="3507"/>
        <v>0.25</v>
      </c>
      <c r="EB205" s="197">
        <f t="shared" si="3507"/>
        <v>-6.6353502844529455E-4</v>
      </c>
      <c r="EC205" s="197">
        <f t="shared" si="3507"/>
        <v>-0.14499999999999602</v>
      </c>
      <c r="ED205" s="197">
        <f t="shared" si="3507"/>
        <v>-3.7639999999999993</v>
      </c>
      <c r="EE205" s="197">
        <f t="shared" si="3507"/>
        <v>5.6999999999998607E-2</v>
      </c>
      <c r="EF205" s="197">
        <f t="shared" si="3507"/>
        <v>-3.7070000000000007</v>
      </c>
      <c r="EG205" s="197">
        <f t="shared" si="3507"/>
        <v>-8.9194567483116272E-3</v>
      </c>
    </row>
    <row r="206" spans="1:137" hidden="1">
      <c r="A206" s="157">
        <v>44317</v>
      </c>
      <c r="B206" s="197">
        <f>B77-B330</f>
        <v>0</v>
      </c>
      <c r="C206" s="197">
        <f>C77-C330</f>
        <v>0</v>
      </c>
      <c r="D206" s="197">
        <f>D77-D330</f>
        <v>0</v>
      </c>
      <c r="E206" s="197">
        <f>E77-E330</f>
        <v>0</v>
      </c>
      <c r="F206" s="197">
        <f>F77-F330</f>
        <v>0</v>
      </c>
      <c r="G206" s="197"/>
      <c r="H206" s="197"/>
      <c r="I206" s="197">
        <f t="shared" ref="I206:AB206" si="3508">I77-I330</f>
        <v>0</v>
      </c>
      <c r="J206" s="197">
        <f t="shared" si="3508"/>
        <v>0</v>
      </c>
      <c r="K206" s="197">
        <f t="shared" si="3508"/>
        <v>0</v>
      </c>
      <c r="L206" s="197">
        <f t="shared" si="3508"/>
        <v>0</v>
      </c>
      <c r="M206" s="197">
        <f t="shared" si="3508"/>
        <v>0</v>
      </c>
      <c r="N206" s="197">
        <f t="shared" si="3508"/>
        <v>0</v>
      </c>
      <c r="O206" s="197">
        <f t="shared" si="3508"/>
        <v>7.6999999999998181E-2</v>
      </c>
      <c r="P206" s="197">
        <f t="shared" si="3508"/>
        <v>0.58999999999991815</v>
      </c>
      <c r="Q206" s="197">
        <f t="shared" si="3508"/>
        <v>0</v>
      </c>
      <c r="R206" s="197">
        <f t="shared" si="3508"/>
        <v>0.59000000000000341</v>
      </c>
      <c r="S206" s="197">
        <f t="shared" si="3508"/>
        <v>0</v>
      </c>
      <c r="T206" s="197">
        <f t="shared" si="3508"/>
        <v>-0.26200000000000045</v>
      </c>
      <c r="U206" s="197">
        <f t="shared" si="3508"/>
        <v>0.32799999999997453</v>
      </c>
      <c r="V206" s="197">
        <f t="shared" si="3508"/>
        <v>1.9634252192402002E-4</v>
      </c>
      <c r="W206" s="197">
        <f t="shared" si="3508"/>
        <v>4.438013061207613E-4</v>
      </c>
      <c r="X206" s="197">
        <f t="shared" si="3508"/>
        <v>4.438013061207613E-4</v>
      </c>
      <c r="Y206" s="197">
        <f t="shared" si="3508"/>
        <v>4.4380130611898494E-4</v>
      </c>
      <c r="Z206" s="197">
        <f t="shared" si="3508"/>
        <v>-3.0999999999949068E-2</v>
      </c>
      <c r="AA206" s="197">
        <f t="shared" si="3508"/>
        <v>-2.5000000000090949E-2</v>
      </c>
      <c r="AB206" s="197">
        <f t="shared" si="3508"/>
        <v>-3.0159716044066143E-6</v>
      </c>
      <c r="AC206" s="163"/>
      <c r="AD206" s="163"/>
      <c r="AE206" s="163"/>
      <c r="AF206" s="163"/>
      <c r="AH206" s="197"/>
      <c r="AI206" s="197">
        <f t="shared" ref="AI206:BN206" si="3509">AI77-AI330</f>
        <v>0</v>
      </c>
      <c r="AJ206" s="197">
        <f t="shared" si="3509"/>
        <v>0</v>
      </c>
      <c r="AK206" s="197">
        <f t="shared" si="3509"/>
        <v>0</v>
      </c>
      <c r="AL206" s="197">
        <f t="shared" si="3509"/>
        <v>0</v>
      </c>
      <c r="AM206" s="197">
        <f t="shared" si="3509"/>
        <v>0</v>
      </c>
      <c r="AN206" s="197">
        <f t="shared" si="3509"/>
        <v>0</v>
      </c>
      <c r="AO206" s="197">
        <f t="shared" si="3509"/>
        <v>0</v>
      </c>
      <c r="AP206" s="197">
        <f t="shared" si="3509"/>
        <v>0</v>
      </c>
      <c r="AQ206" s="197">
        <f t="shared" si="3509"/>
        <v>0</v>
      </c>
      <c r="AR206" s="197">
        <f t="shared" si="3509"/>
        <v>0</v>
      </c>
      <c r="AS206" s="197">
        <f t="shared" si="3509"/>
        <v>0</v>
      </c>
      <c r="AT206" s="197">
        <f t="shared" si="3509"/>
        <v>0</v>
      </c>
      <c r="AU206" s="197">
        <f t="shared" si="3509"/>
        <v>0</v>
      </c>
      <c r="AV206" s="197">
        <f t="shared" si="3509"/>
        <v>0</v>
      </c>
      <c r="AW206" s="197">
        <f t="shared" si="3509"/>
        <v>0</v>
      </c>
      <c r="AX206" s="197">
        <f t="shared" si="3509"/>
        <v>0</v>
      </c>
      <c r="AY206" s="197">
        <f t="shared" si="3509"/>
        <v>0</v>
      </c>
      <c r="AZ206" s="197">
        <f t="shared" si="3509"/>
        <v>0</v>
      </c>
      <c r="BA206" s="197">
        <f t="shared" si="3509"/>
        <v>0</v>
      </c>
      <c r="BB206" s="197">
        <f t="shared" si="3509"/>
        <v>0</v>
      </c>
      <c r="BC206" s="197">
        <f t="shared" si="3509"/>
        <v>0</v>
      </c>
      <c r="BD206" s="197">
        <f t="shared" si="3509"/>
        <v>0</v>
      </c>
      <c r="BE206" s="197">
        <f t="shared" si="3509"/>
        <v>0</v>
      </c>
      <c r="BF206" s="197">
        <f t="shared" si="3509"/>
        <v>0</v>
      </c>
      <c r="BG206" s="197">
        <f t="shared" si="3509"/>
        <v>0</v>
      </c>
      <c r="BH206" s="197">
        <f t="shared" si="3509"/>
        <v>0</v>
      </c>
      <c r="BI206" s="197">
        <f t="shared" si="3509"/>
        <v>0</v>
      </c>
      <c r="BJ206" s="197">
        <f t="shared" si="3509"/>
        <v>0</v>
      </c>
      <c r="BK206" s="197">
        <f t="shared" si="3509"/>
        <v>0</v>
      </c>
      <c r="BL206" s="197">
        <f t="shared" si="3509"/>
        <v>0</v>
      </c>
      <c r="BM206" s="197">
        <f t="shared" si="3509"/>
        <v>0</v>
      </c>
      <c r="BN206" s="197">
        <f t="shared" si="3509"/>
        <v>0</v>
      </c>
      <c r="BO206" s="197">
        <f t="shared" ref="BO206:CV206" si="3510">BO77-BO330</f>
        <v>0</v>
      </c>
      <c r="BP206" s="197">
        <f t="shared" si="3510"/>
        <v>0</v>
      </c>
      <c r="BQ206" s="197">
        <f t="shared" si="3510"/>
        <v>0</v>
      </c>
      <c r="BR206" s="197">
        <f t="shared" si="3510"/>
        <v>0</v>
      </c>
      <c r="BS206" s="197">
        <f t="shared" si="3510"/>
        <v>0</v>
      </c>
      <c r="BT206" s="197">
        <f t="shared" si="3510"/>
        <v>0</v>
      </c>
      <c r="BU206" s="197">
        <f t="shared" si="3510"/>
        <v>0</v>
      </c>
      <c r="BV206" s="197">
        <f t="shared" si="3510"/>
        <v>0</v>
      </c>
      <c r="BW206" s="197">
        <f t="shared" si="3510"/>
        <v>0</v>
      </c>
      <c r="BX206" s="197">
        <f t="shared" si="3510"/>
        <v>0</v>
      </c>
      <c r="BY206" s="197">
        <f t="shared" si="3510"/>
        <v>0</v>
      </c>
      <c r="BZ206" s="197">
        <f t="shared" si="3510"/>
        <v>0</v>
      </c>
      <c r="CA206" s="197">
        <f t="shared" si="3510"/>
        <v>0</v>
      </c>
      <c r="CB206" s="197">
        <f t="shared" si="3510"/>
        <v>0</v>
      </c>
      <c r="CC206" s="197">
        <f t="shared" si="3510"/>
        <v>0</v>
      </c>
      <c r="CD206" s="197">
        <f t="shared" si="3510"/>
        <v>0</v>
      </c>
      <c r="CE206" s="197">
        <f t="shared" si="3510"/>
        <v>0</v>
      </c>
      <c r="CF206" s="197">
        <f t="shared" si="3510"/>
        <v>0</v>
      </c>
      <c r="CG206" s="197">
        <f t="shared" si="3510"/>
        <v>7.6999999999998181E-2</v>
      </c>
      <c r="CH206" s="197">
        <f t="shared" si="3510"/>
        <v>0</v>
      </c>
      <c r="CI206" s="197">
        <f t="shared" si="3510"/>
        <v>3.3744105737376628E-3</v>
      </c>
      <c r="CJ206" s="197">
        <f t="shared" si="3510"/>
        <v>3.3744105737376628E-3</v>
      </c>
      <c r="CK206" s="197">
        <f t="shared" si="3510"/>
        <v>3.3744105737412156E-3</v>
      </c>
      <c r="CL206" s="197">
        <f t="shared" si="3510"/>
        <v>0</v>
      </c>
      <c r="CM206" s="197">
        <f t="shared" si="3510"/>
        <v>0</v>
      </c>
      <c r="CN206" s="197">
        <f t="shared" si="3510"/>
        <v>0</v>
      </c>
      <c r="CO206" s="197">
        <f t="shared" si="3510"/>
        <v>0</v>
      </c>
      <c r="CP206" s="197">
        <f t="shared" si="3510"/>
        <v>0</v>
      </c>
      <c r="CQ206" s="197">
        <f t="shared" si="3510"/>
        <v>0</v>
      </c>
      <c r="CR206" s="197">
        <f t="shared" si="3510"/>
        <v>0</v>
      </c>
      <c r="CS206" s="197">
        <f t="shared" si="3510"/>
        <v>0</v>
      </c>
      <c r="CT206" s="197">
        <f t="shared" si="3510"/>
        <v>0</v>
      </c>
      <c r="CU206" s="197">
        <f t="shared" si="3510"/>
        <v>0</v>
      </c>
      <c r="CV206" s="197">
        <f t="shared" si="3510"/>
        <v>0</v>
      </c>
      <c r="CW206" s="197"/>
      <c r="CX206" s="197">
        <f>CX77-CX330</f>
        <v>0</v>
      </c>
      <c r="CY206" s="197">
        <f>CY77-CY330</f>
        <v>0</v>
      </c>
      <c r="CZ206" s="197">
        <f>CZ77-CZ330</f>
        <v>0</v>
      </c>
      <c r="DA206" s="197">
        <f>DA77-DA330</f>
        <v>-7.7000000000055024E-2</v>
      </c>
      <c r="DB206" s="197">
        <f>DB77-DB330</f>
        <v>0</v>
      </c>
      <c r="DC206" s="197">
        <f>DC77-DC330</f>
        <v>0</v>
      </c>
      <c r="DD206" s="197"/>
      <c r="DE206" s="197">
        <f t="shared" ref="DE206:EG206" si="3511">DE77-DE330</f>
        <v>-0.67900000000000205</v>
      </c>
      <c r="DF206" s="197">
        <f t="shared" si="3511"/>
        <v>-0.48199999999999932</v>
      </c>
      <c r="DG206" s="197">
        <f t="shared" si="3511"/>
        <v>-0.42800000000000438</v>
      </c>
      <c r="DH206" s="197">
        <f t="shared" si="3511"/>
        <v>-6.0024799694080588E-4</v>
      </c>
      <c r="DI206" s="197">
        <f t="shared" si="3511"/>
        <v>-0.58400000000000318</v>
      </c>
      <c r="DJ206" s="197">
        <f t="shared" si="3511"/>
        <v>-4.1340761160024719E-5</v>
      </c>
      <c r="DK206" s="197">
        <f t="shared" si="3511"/>
        <v>-1.0689999999999884</v>
      </c>
      <c r="DL206" s="197">
        <f t="shared" si="3511"/>
        <v>-1.0240000000000009</v>
      </c>
      <c r="DM206" s="197">
        <f t="shared" si="3511"/>
        <v>-6.1505463536781768E-5</v>
      </c>
      <c r="DN206" s="197">
        <f t="shared" si="3511"/>
        <v>3.3999999999991815E-2</v>
      </c>
      <c r="DO206" s="197">
        <f t="shared" si="3511"/>
        <v>8.2999999999998408E-2</v>
      </c>
      <c r="DP206" s="197">
        <f t="shared" si="3511"/>
        <v>-0.11400000000000432</v>
      </c>
      <c r="DQ206" s="197">
        <f t="shared" si="3511"/>
        <v>-3.1000000000005912E-2</v>
      </c>
      <c r="DR206" s="197">
        <f t="shared" si="3511"/>
        <v>-6.415887581008306E-4</v>
      </c>
      <c r="DS206" s="197">
        <f t="shared" si="3511"/>
        <v>1.1483242499682269</v>
      </c>
      <c r="DT206" s="197">
        <f t="shared" si="3511"/>
        <v>0</v>
      </c>
      <c r="DU206" s="197">
        <f t="shared" si="3511"/>
        <v>0</v>
      </c>
      <c r="DV206" s="197">
        <f t="shared" si="3511"/>
        <v>0</v>
      </c>
      <c r="DW206" s="197">
        <f t="shared" si="3511"/>
        <v>0</v>
      </c>
      <c r="DX206" s="197">
        <f t="shared" si="3511"/>
        <v>0</v>
      </c>
      <c r="DY206" s="197">
        <f t="shared" si="3511"/>
        <v>0</v>
      </c>
      <c r="DZ206" s="197">
        <f t="shared" si="3511"/>
        <v>0</v>
      </c>
      <c r="EA206" s="197">
        <f t="shared" si="3511"/>
        <v>0</v>
      </c>
      <c r="EB206" s="197">
        <f t="shared" si="3511"/>
        <v>0</v>
      </c>
      <c r="EC206" s="197">
        <f t="shared" si="3511"/>
        <v>0</v>
      </c>
      <c r="ED206" s="197">
        <f t="shared" si="3511"/>
        <v>0</v>
      </c>
      <c r="EE206" s="197">
        <f t="shared" si="3511"/>
        <v>0</v>
      </c>
      <c r="EF206" s="197">
        <f t="shared" si="3511"/>
        <v>0</v>
      </c>
      <c r="EG206" s="197">
        <f t="shared" si="3511"/>
        <v>0</v>
      </c>
    </row>
    <row r="207" spans="1:137" hidden="1">
      <c r="A207" s="157">
        <v>44348</v>
      </c>
      <c r="B207" s="197">
        <f>B78-B331</f>
        <v>0</v>
      </c>
      <c r="C207" s="197">
        <f>C78-C331</f>
        <v>0</v>
      </c>
      <c r="D207" s="197">
        <f>D78-D331</f>
        <v>0</v>
      </c>
      <c r="E207" s="197">
        <f>E78-E331</f>
        <v>0</v>
      </c>
      <c r="F207" s="197">
        <f>F78-F331</f>
        <v>0</v>
      </c>
      <c r="G207" s="197"/>
      <c r="H207" s="197"/>
      <c r="I207" s="197">
        <f t="shared" ref="I207:AB207" si="3512">I78-I331</f>
        <v>0</v>
      </c>
      <c r="J207" s="197">
        <f t="shared" si="3512"/>
        <v>0</v>
      </c>
      <c r="K207" s="197">
        <f t="shared" si="3512"/>
        <v>0</v>
      </c>
      <c r="L207" s="197">
        <f t="shared" si="3512"/>
        <v>0</v>
      </c>
      <c r="M207" s="197">
        <f t="shared" si="3512"/>
        <v>0</v>
      </c>
      <c r="N207" s="197">
        <f t="shared" si="3512"/>
        <v>0</v>
      </c>
      <c r="O207" s="197">
        <f t="shared" si="3512"/>
        <v>0</v>
      </c>
      <c r="P207" s="197">
        <f t="shared" si="3512"/>
        <v>0.33400000000006003</v>
      </c>
      <c r="Q207" s="197">
        <f t="shared" si="3512"/>
        <v>0</v>
      </c>
      <c r="R207" s="197">
        <f t="shared" si="3512"/>
        <v>0.33400000000000318</v>
      </c>
      <c r="S207" s="197">
        <f t="shared" si="3512"/>
        <v>0</v>
      </c>
      <c r="T207" s="197">
        <f t="shared" si="3512"/>
        <v>0.46600000000000819</v>
      </c>
      <c r="U207" s="197">
        <f t="shared" si="3512"/>
        <v>0.8000000000001819</v>
      </c>
      <c r="V207" s="197">
        <f t="shared" si="3512"/>
        <v>5.2039797435110557E-4</v>
      </c>
      <c r="W207" s="197">
        <f t="shared" si="3512"/>
        <v>0</v>
      </c>
      <c r="X207" s="197">
        <f t="shared" si="3512"/>
        <v>0</v>
      </c>
      <c r="Y207" s="197">
        <f t="shared" si="3512"/>
        <v>0</v>
      </c>
      <c r="Z207" s="197">
        <f t="shared" si="3512"/>
        <v>0.86300000000005639</v>
      </c>
      <c r="AA207" s="197">
        <f t="shared" si="3512"/>
        <v>0.84600000000000364</v>
      </c>
      <c r="AB207" s="197">
        <f t="shared" si="3512"/>
        <v>-2.4377304601100325E-6</v>
      </c>
      <c r="AC207" s="163"/>
      <c r="AD207" s="163"/>
      <c r="AE207" s="163"/>
      <c r="AF207" s="163"/>
      <c r="AH207" s="197"/>
      <c r="AI207" s="197">
        <f t="shared" ref="AI207:BN207" si="3513">AI78-AI331</f>
        <v>0</v>
      </c>
      <c r="AJ207" s="197">
        <f t="shared" si="3513"/>
        <v>0</v>
      </c>
      <c r="AK207" s="197">
        <f t="shared" si="3513"/>
        <v>0</v>
      </c>
      <c r="AL207" s="197">
        <f t="shared" si="3513"/>
        <v>0</v>
      </c>
      <c r="AM207" s="197">
        <f t="shared" si="3513"/>
        <v>0</v>
      </c>
      <c r="AN207" s="197">
        <f t="shared" si="3513"/>
        <v>0</v>
      </c>
      <c r="AO207" s="197">
        <f t="shared" si="3513"/>
        <v>0</v>
      </c>
      <c r="AP207" s="197">
        <f t="shared" si="3513"/>
        <v>0</v>
      </c>
      <c r="AQ207" s="197">
        <f t="shared" si="3513"/>
        <v>0</v>
      </c>
      <c r="AR207" s="197">
        <f t="shared" si="3513"/>
        <v>0</v>
      </c>
      <c r="AS207" s="197">
        <f t="shared" si="3513"/>
        <v>0</v>
      </c>
      <c r="AT207" s="197">
        <f t="shared" si="3513"/>
        <v>0</v>
      </c>
      <c r="AU207" s="197">
        <f t="shared" si="3513"/>
        <v>0</v>
      </c>
      <c r="AV207" s="197">
        <f t="shared" si="3513"/>
        <v>0</v>
      </c>
      <c r="AW207" s="197">
        <f t="shared" si="3513"/>
        <v>0</v>
      </c>
      <c r="AX207" s="197">
        <f t="shared" si="3513"/>
        <v>0</v>
      </c>
      <c r="AY207" s="197">
        <f t="shared" si="3513"/>
        <v>0</v>
      </c>
      <c r="AZ207" s="197">
        <f t="shared" si="3513"/>
        <v>0</v>
      </c>
      <c r="BA207" s="197">
        <f t="shared" si="3513"/>
        <v>0</v>
      </c>
      <c r="BB207" s="197">
        <f t="shared" si="3513"/>
        <v>0</v>
      </c>
      <c r="BC207" s="197">
        <f t="shared" si="3513"/>
        <v>0</v>
      </c>
      <c r="BD207" s="197">
        <f t="shared" si="3513"/>
        <v>0</v>
      </c>
      <c r="BE207" s="197">
        <f t="shared" si="3513"/>
        <v>0</v>
      </c>
      <c r="BF207" s="197">
        <f t="shared" si="3513"/>
        <v>0</v>
      </c>
      <c r="BG207" s="197">
        <f t="shared" si="3513"/>
        <v>0</v>
      </c>
      <c r="BH207" s="197">
        <f t="shared" si="3513"/>
        <v>0</v>
      </c>
      <c r="BI207" s="197">
        <f t="shared" si="3513"/>
        <v>0</v>
      </c>
      <c r="BJ207" s="197">
        <f t="shared" si="3513"/>
        <v>0</v>
      </c>
      <c r="BK207" s="197">
        <f t="shared" si="3513"/>
        <v>0</v>
      </c>
      <c r="BL207" s="197">
        <f t="shared" si="3513"/>
        <v>0</v>
      </c>
      <c r="BM207" s="197">
        <f t="shared" si="3513"/>
        <v>0</v>
      </c>
      <c r="BN207" s="197">
        <f t="shared" si="3513"/>
        <v>0</v>
      </c>
      <c r="BO207" s="197">
        <f t="shared" ref="BO207:CV207" si="3514">BO78-BO331</f>
        <v>0</v>
      </c>
      <c r="BP207" s="197">
        <f t="shared" si="3514"/>
        <v>0</v>
      </c>
      <c r="BQ207" s="197">
        <f t="shared" si="3514"/>
        <v>0</v>
      </c>
      <c r="BR207" s="197">
        <f t="shared" si="3514"/>
        <v>0</v>
      </c>
      <c r="BS207" s="197">
        <f t="shared" si="3514"/>
        <v>0</v>
      </c>
      <c r="BT207" s="197">
        <f t="shared" si="3514"/>
        <v>0</v>
      </c>
      <c r="BU207" s="197">
        <f t="shared" si="3514"/>
        <v>0</v>
      </c>
      <c r="BV207" s="197">
        <f t="shared" si="3514"/>
        <v>0</v>
      </c>
      <c r="BW207" s="197">
        <f t="shared" si="3514"/>
        <v>0</v>
      </c>
      <c r="BX207" s="197">
        <f t="shared" si="3514"/>
        <v>0</v>
      </c>
      <c r="BY207" s="197">
        <f t="shared" si="3514"/>
        <v>0</v>
      </c>
      <c r="BZ207" s="197">
        <f t="shared" si="3514"/>
        <v>0</v>
      </c>
      <c r="CA207" s="197">
        <f t="shared" si="3514"/>
        <v>0</v>
      </c>
      <c r="CB207" s="197">
        <f t="shared" si="3514"/>
        <v>0</v>
      </c>
      <c r="CC207" s="197">
        <f t="shared" si="3514"/>
        <v>0</v>
      </c>
      <c r="CD207" s="197">
        <f t="shared" si="3514"/>
        <v>0</v>
      </c>
      <c r="CE207" s="197">
        <f t="shared" si="3514"/>
        <v>0</v>
      </c>
      <c r="CF207" s="197">
        <f t="shared" si="3514"/>
        <v>0</v>
      </c>
      <c r="CG207" s="197">
        <f t="shared" si="3514"/>
        <v>0</v>
      </c>
      <c r="CH207" s="197">
        <f t="shared" si="3514"/>
        <v>0</v>
      </c>
      <c r="CI207" s="197">
        <f t="shared" si="3514"/>
        <v>0</v>
      </c>
      <c r="CJ207" s="197">
        <f t="shared" si="3514"/>
        <v>0</v>
      </c>
      <c r="CK207" s="197">
        <f t="shared" si="3514"/>
        <v>0</v>
      </c>
      <c r="CL207" s="197">
        <f t="shared" si="3514"/>
        <v>0</v>
      </c>
      <c r="CM207" s="197">
        <f t="shared" si="3514"/>
        <v>0</v>
      </c>
      <c r="CN207" s="197">
        <f t="shared" si="3514"/>
        <v>0</v>
      </c>
      <c r="CO207" s="197">
        <f t="shared" si="3514"/>
        <v>0</v>
      </c>
      <c r="CP207" s="197">
        <f t="shared" si="3514"/>
        <v>0</v>
      </c>
      <c r="CQ207" s="197">
        <f t="shared" si="3514"/>
        <v>0</v>
      </c>
      <c r="CR207" s="197">
        <f t="shared" si="3514"/>
        <v>0</v>
      </c>
      <c r="CS207" s="197">
        <f t="shared" si="3514"/>
        <v>0</v>
      </c>
      <c r="CT207" s="197">
        <f t="shared" si="3514"/>
        <v>0</v>
      </c>
      <c r="CU207" s="197">
        <f t="shared" si="3514"/>
        <v>0</v>
      </c>
      <c r="CV207" s="197">
        <f t="shared" si="3514"/>
        <v>0</v>
      </c>
      <c r="CW207" s="197"/>
      <c r="CX207" s="197">
        <f>CX78-CX331</f>
        <v>0</v>
      </c>
      <c r="CY207" s="197">
        <f>CY78-CY331</f>
        <v>0</v>
      </c>
      <c r="CZ207" s="197">
        <f>CZ78-CZ331</f>
        <v>0</v>
      </c>
      <c r="DA207" s="197">
        <f>DA78-DA331</f>
        <v>0</v>
      </c>
      <c r="DB207" s="197">
        <f>DB78-DB331</f>
        <v>0</v>
      </c>
      <c r="DC207" s="197">
        <f>DC78-DC331</f>
        <v>0</v>
      </c>
      <c r="DD207" s="197"/>
      <c r="DE207" s="197">
        <f t="shared" ref="DE207:EG207" si="3515">DE78-DE331</f>
        <v>2.2350000000000136</v>
      </c>
      <c r="DF207" s="197">
        <f t="shared" si="3515"/>
        <v>1.296999999999997</v>
      </c>
      <c r="DG207" s="197">
        <f t="shared" si="3515"/>
        <v>0.64900000000000091</v>
      </c>
      <c r="DH207" s="197">
        <f t="shared" si="3515"/>
        <v>2.389876796506929E-4</v>
      </c>
      <c r="DI207" s="197">
        <f t="shared" si="3515"/>
        <v>1.8550000000000182</v>
      </c>
      <c r="DJ207" s="197">
        <f t="shared" si="3515"/>
        <v>5.0880733828473357E-5</v>
      </c>
      <c r="DK207" s="197">
        <f t="shared" si="3515"/>
        <v>2.3909999999999911</v>
      </c>
      <c r="DL207" s="197">
        <f t="shared" si="3515"/>
        <v>2.2560000000000002</v>
      </c>
      <c r="DM207" s="197">
        <f t="shared" si="3515"/>
        <v>4.2697932341662082E-4</v>
      </c>
      <c r="DN207" s="197">
        <f t="shared" si="3515"/>
        <v>2.2459999999999809</v>
      </c>
      <c r="DO207" s="197">
        <f t="shared" si="3515"/>
        <v>0.71600000000000108</v>
      </c>
      <c r="DP207" s="197">
        <f t="shared" si="3515"/>
        <v>0.37399999999999523</v>
      </c>
      <c r="DQ207" s="197">
        <f t="shared" si="3515"/>
        <v>1.0900000000000034</v>
      </c>
      <c r="DR207" s="197">
        <f t="shared" si="3515"/>
        <v>2.8986841347922176E-4</v>
      </c>
      <c r="DS207" s="197">
        <f t="shared" si="3515"/>
        <v>1.1986605317733459</v>
      </c>
      <c r="DT207" s="197">
        <f t="shared" si="3515"/>
        <v>0</v>
      </c>
      <c r="DU207" s="197">
        <f t="shared" si="3515"/>
        <v>0</v>
      </c>
      <c r="DV207" s="197">
        <f t="shared" si="3515"/>
        <v>0</v>
      </c>
      <c r="DW207" s="197">
        <f t="shared" si="3515"/>
        <v>0</v>
      </c>
      <c r="DX207" s="197">
        <f t="shared" si="3515"/>
        <v>0</v>
      </c>
      <c r="DY207" s="197">
        <f t="shared" si="3515"/>
        <v>0</v>
      </c>
      <c r="DZ207" s="197">
        <f t="shared" si="3515"/>
        <v>0</v>
      </c>
      <c r="EA207" s="197">
        <f t="shared" si="3515"/>
        <v>0</v>
      </c>
      <c r="EB207" s="197">
        <f t="shared" si="3515"/>
        <v>0</v>
      </c>
      <c r="EC207" s="197">
        <f t="shared" si="3515"/>
        <v>0</v>
      </c>
      <c r="ED207" s="197">
        <f t="shared" si="3515"/>
        <v>0</v>
      </c>
      <c r="EE207" s="197">
        <f t="shared" si="3515"/>
        <v>0</v>
      </c>
      <c r="EF207" s="197">
        <f t="shared" si="3515"/>
        <v>0</v>
      </c>
      <c r="EG207" s="197">
        <f t="shared" si="3515"/>
        <v>0</v>
      </c>
    </row>
    <row r="208" spans="1:137" hidden="1">
      <c r="A208" s="157">
        <v>44378</v>
      </c>
      <c r="B208" s="197">
        <f>B79-B332</f>
        <v>-0.97900000000026921</v>
      </c>
      <c r="C208" s="197">
        <f>C79-C332</f>
        <v>-3.2633333333336623E-2</v>
      </c>
      <c r="D208" s="197">
        <f>D79-D332</f>
        <v>-3.2633333333336623E-2</v>
      </c>
      <c r="E208" s="197">
        <f>E79-E332</f>
        <v>-2.1039510868980926E-4</v>
      </c>
      <c r="F208" s="197">
        <f>F79-F332</f>
        <v>-0.68900000000030559</v>
      </c>
      <c r="G208" s="197"/>
      <c r="H208" s="197"/>
      <c r="I208" s="197">
        <f t="shared" ref="I208:AB208" si="3516">I79-I332</f>
        <v>6.0000000000002274E-2</v>
      </c>
      <c r="J208" s="197">
        <f t="shared" si="3516"/>
        <v>4.4079926672679903E-4</v>
      </c>
      <c r="K208" s="197">
        <f t="shared" si="3516"/>
        <v>3.7651663869411323E-3</v>
      </c>
      <c r="L208" s="197">
        <f t="shared" si="3516"/>
        <v>3.7651663869411323E-3</v>
      </c>
      <c r="M208" s="197">
        <f t="shared" si="3516"/>
        <v>0.22399999999998954</v>
      </c>
      <c r="N208" s="197">
        <f t="shared" si="3516"/>
        <v>0.12900000000000489</v>
      </c>
      <c r="O208" s="197">
        <f t="shared" si="3516"/>
        <v>-0.556999999999789</v>
      </c>
      <c r="P208" s="197">
        <f t="shared" si="3516"/>
        <v>-0.2740000000001146</v>
      </c>
      <c r="Q208" s="197">
        <f t="shared" si="3516"/>
        <v>-0.24300000000005184</v>
      </c>
      <c r="R208" s="197">
        <f t="shared" si="3516"/>
        <v>-3.1000000000005912E-2</v>
      </c>
      <c r="S208" s="197">
        <f t="shared" si="3516"/>
        <v>0</v>
      </c>
      <c r="T208" s="197">
        <f t="shared" si="3516"/>
        <v>-0.10200000000003229</v>
      </c>
      <c r="U208" s="197">
        <f t="shared" si="3516"/>
        <v>-0.37600000000020373</v>
      </c>
      <c r="V208" s="197">
        <f t="shared" si="3516"/>
        <v>-2.3255770802022013E-4</v>
      </c>
      <c r="W208" s="197">
        <f t="shared" si="3516"/>
        <v>-1.0216840995891374E-3</v>
      </c>
      <c r="X208" s="197">
        <f t="shared" si="3516"/>
        <v>-1.0216840995891374E-3</v>
      </c>
      <c r="Y208" s="197">
        <f t="shared" si="3516"/>
        <v>2.7434822873502185E-3</v>
      </c>
      <c r="Z208" s="197">
        <f t="shared" si="3516"/>
        <v>-0.33799999999996544</v>
      </c>
      <c r="AA208" s="197">
        <f t="shared" si="3516"/>
        <v>-0.35999999999989996</v>
      </c>
      <c r="AB208" s="197">
        <f t="shared" si="3516"/>
        <v>1.8213352374941288E-5</v>
      </c>
      <c r="AC208" s="163"/>
      <c r="AD208" s="163"/>
      <c r="AE208" s="163"/>
      <c r="AF208" s="163"/>
      <c r="AH208" s="197"/>
      <c r="AI208" s="197">
        <f t="shared" ref="AI208:BN208" si="3517">AI79-AI332</f>
        <v>-0.97900000000004184</v>
      </c>
      <c r="AJ208" s="197">
        <f t="shared" si="3517"/>
        <v>-3.263333333333307E-2</v>
      </c>
      <c r="AK208" s="197">
        <f t="shared" si="3517"/>
        <v>-0.68900000000002137</v>
      </c>
      <c r="AL208" s="197">
        <f t="shared" si="3517"/>
        <v>6.0000000000002274E-2</v>
      </c>
      <c r="AM208" s="197">
        <f t="shared" si="3517"/>
        <v>3.7486759371176959E-3</v>
      </c>
      <c r="AN208" s="197">
        <f t="shared" si="3517"/>
        <v>3.7486759371176959E-3</v>
      </c>
      <c r="AO208" s="197">
        <f t="shared" si="3517"/>
        <v>-0.55700000000001637</v>
      </c>
      <c r="AP208" s="197">
        <f t="shared" si="3517"/>
        <v>-0.242999999999995</v>
      </c>
      <c r="AQ208" s="197">
        <f t="shared" si="3517"/>
        <v>-8.8906490734572685E-3</v>
      </c>
      <c r="AR208" s="197">
        <f t="shared" si="3517"/>
        <v>-8.8906490734572685E-3</v>
      </c>
      <c r="AS208" s="197">
        <f t="shared" si="3517"/>
        <v>-5.1419731363466781E-3</v>
      </c>
      <c r="AT208" s="197">
        <f t="shared" si="3517"/>
        <v>0</v>
      </c>
      <c r="AU208" s="197">
        <f t="shared" si="3517"/>
        <v>0</v>
      </c>
      <c r="AV208" s="197">
        <f t="shared" si="3517"/>
        <v>0</v>
      </c>
      <c r="AW208" s="197">
        <f t="shared" si="3517"/>
        <v>0</v>
      </c>
      <c r="AX208" s="197">
        <f t="shared" si="3517"/>
        <v>0</v>
      </c>
      <c r="AY208" s="197">
        <f t="shared" si="3517"/>
        <v>0</v>
      </c>
      <c r="AZ208" s="197">
        <f t="shared" si="3517"/>
        <v>0</v>
      </c>
      <c r="BA208" s="197">
        <f t="shared" si="3517"/>
        <v>0</v>
      </c>
      <c r="BB208" s="197">
        <f t="shared" si="3517"/>
        <v>0</v>
      </c>
      <c r="BC208" s="197">
        <f t="shared" si="3517"/>
        <v>0</v>
      </c>
      <c r="BD208" s="197">
        <f t="shared" si="3517"/>
        <v>0</v>
      </c>
      <c r="BE208" s="197">
        <f t="shared" si="3517"/>
        <v>0</v>
      </c>
      <c r="BF208" s="197">
        <f t="shared" si="3517"/>
        <v>0</v>
      </c>
      <c r="BG208" s="197">
        <f t="shared" si="3517"/>
        <v>0</v>
      </c>
      <c r="BH208" s="197">
        <f t="shared" si="3517"/>
        <v>0</v>
      </c>
      <c r="BI208" s="197">
        <f t="shared" si="3517"/>
        <v>0</v>
      </c>
      <c r="BJ208" s="197">
        <f t="shared" si="3517"/>
        <v>0</v>
      </c>
      <c r="BK208" s="197">
        <f t="shared" si="3517"/>
        <v>0</v>
      </c>
      <c r="BL208" s="197">
        <f t="shared" si="3517"/>
        <v>0</v>
      </c>
      <c r="BM208" s="197">
        <f t="shared" si="3517"/>
        <v>0</v>
      </c>
      <c r="BN208" s="197">
        <f t="shared" si="3517"/>
        <v>0</v>
      </c>
      <c r="BO208" s="197">
        <f t="shared" ref="BO208:CV208" si="3518">BO79-BO332</f>
        <v>0</v>
      </c>
      <c r="BP208" s="197">
        <f t="shared" si="3518"/>
        <v>0</v>
      </c>
      <c r="BQ208" s="197">
        <f t="shared" si="3518"/>
        <v>0</v>
      </c>
      <c r="BR208" s="197">
        <f t="shared" si="3518"/>
        <v>0</v>
      </c>
      <c r="BS208" s="197">
        <f t="shared" si="3518"/>
        <v>0</v>
      </c>
      <c r="BT208" s="197">
        <f t="shared" si="3518"/>
        <v>0</v>
      </c>
      <c r="BU208" s="197">
        <f t="shared" si="3518"/>
        <v>0</v>
      </c>
      <c r="BV208" s="197">
        <f t="shared" si="3518"/>
        <v>0</v>
      </c>
      <c r="BW208" s="197">
        <f t="shared" si="3518"/>
        <v>0</v>
      </c>
      <c r="BX208" s="197">
        <f t="shared" si="3518"/>
        <v>0</v>
      </c>
      <c r="BY208" s="197">
        <f t="shared" si="3518"/>
        <v>0</v>
      </c>
      <c r="BZ208" s="197">
        <f t="shared" si="3518"/>
        <v>0</v>
      </c>
      <c r="CA208" s="197">
        <f t="shared" si="3518"/>
        <v>0</v>
      </c>
      <c r="CB208" s="197">
        <f t="shared" si="3518"/>
        <v>0</v>
      </c>
      <c r="CC208" s="197">
        <f t="shared" si="3518"/>
        <v>0</v>
      </c>
      <c r="CD208" s="197">
        <f t="shared" si="3518"/>
        <v>0</v>
      </c>
      <c r="CE208" s="197">
        <f t="shared" si="3518"/>
        <v>0</v>
      </c>
      <c r="CF208" s="197">
        <f t="shared" si="3518"/>
        <v>0</v>
      </c>
      <c r="CG208" s="197">
        <f t="shared" si="3518"/>
        <v>0</v>
      </c>
      <c r="CH208" s="197">
        <f t="shared" si="3518"/>
        <v>0</v>
      </c>
      <c r="CI208" s="197">
        <f t="shared" si="3518"/>
        <v>0</v>
      </c>
      <c r="CJ208" s="197">
        <f t="shared" si="3518"/>
        <v>0</v>
      </c>
      <c r="CK208" s="197">
        <f t="shared" si="3518"/>
        <v>0</v>
      </c>
      <c r="CL208" s="197">
        <f t="shared" si="3518"/>
        <v>0</v>
      </c>
      <c r="CM208" s="197">
        <f t="shared" si="3518"/>
        <v>0</v>
      </c>
      <c r="CN208" s="197">
        <f t="shared" si="3518"/>
        <v>0</v>
      </c>
      <c r="CO208" s="197">
        <f t="shared" si="3518"/>
        <v>0</v>
      </c>
      <c r="CP208" s="197">
        <f t="shared" si="3518"/>
        <v>0</v>
      </c>
      <c r="CQ208" s="197">
        <f t="shared" si="3518"/>
        <v>0</v>
      </c>
      <c r="CR208" s="197">
        <f t="shared" si="3518"/>
        <v>0</v>
      </c>
      <c r="CS208" s="197">
        <f t="shared" si="3518"/>
        <v>0</v>
      </c>
      <c r="CT208" s="197">
        <f t="shared" si="3518"/>
        <v>0</v>
      </c>
      <c r="CU208" s="197">
        <f t="shared" si="3518"/>
        <v>0</v>
      </c>
      <c r="CV208" s="197">
        <f t="shared" si="3518"/>
        <v>0</v>
      </c>
      <c r="CW208" s="197"/>
      <c r="CX208" s="197">
        <f>CX79-CX332</f>
        <v>3.2633333333336623E-2</v>
      </c>
      <c r="CY208" s="197">
        <f>CY79-CY332</f>
        <v>0.68900000000064665</v>
      </c>
      <c r="CZ208" s="197">
        <f>CZ79-CZ332</f>
        <v>-6.000000000002359E-2</v>
      </c>
      <c r="DA208" s="197">
        <f>DA79-DA332</f>
        <v>0.55699999999995953</v>
      </c>
      <c r="DB208" s="197">
        <f>DB79-DB332</f>
        <v>0.24299999999990973</v>
      </c>
      <c r="DC208" s="197">
        <f>DC79-DC332</f>
        <v>0</v>
      </c>
      <c r="DD208" s="197"/>
      <c r="DE208" s="197">
        <f t="shared" ref="DE208:EG208" si="3519">DE79-DE332</f>
        <v>-2.199999999999136E-2</v>
      </c>
      <c r="DF208" s="197">
        <f t="shared" si="3519"/>
        <v>-8.5999999999998522E-2</v>
      </c>
      <c r="DG208" s="197">
        <f t="shared" si="3519"/>
        <v>0.33300000000000196</v>
      </c>
      <c r="DH208" s="197">
        <f t="shared" si="3519"/>
        <v>-4.9849137397428578E-4</v>
      </c>
      <c r="DI208" s="197">
        <f t="shared" si="3519"/>
        <v>-8.1999999999993634E-2</v>
      </c>
      <c r="DJ208" s="197">
        <f t="shared" si="3519"/>
        <v>-2.1650702582765025E-4</v>
      </c>
      <c r="DK208" s="197">
        <f t="shared" si="3519"/>
        <v>-0.507000000000005</v>
      </c>
      <c r="DL208" s="197">
        <f t="shared" si="3519"/>
        <v>-0.47799999999998022</v>
      </c>
      <c r="DM208" s="197">
        <f t="shared" si="3519"/>
        <v>-9.6379476769103967E-5</v>
      </c>
      <c r="DN208" s="197">
        <f t="shared" si="3519"/>
        <v>0.11199999999999477</v>
      </c>
      <c r="DO208" s="197">
        <f t="shared" si="3519"/>
        <v>-0.35999999999999943</v>
      </c>
      <c r="DP208" s="197">
        <f t="shared" si="3519"/>
        <v>0.45099999999999341</v>
      </c>
      <c r="DQ208" s="197">
        <f t="shared" si="3519"/>
        <v>9.0999999999979764E-2</v>
      </c>
      <c r="DR208" s="197">
        <f t="shared" si="3519"/>
        <v>-7.1499839980204705E-4</v>
      </c>
      <c r="DS208" s="197">
        <f t="shared" si="3519"/>
        <v>1.2140186465972367</v>
      </c>
      <c r="DT208" s="197">
        <f t="shared" si="3519"/>
        <v>0</v>
      </c>
      <c r="DU208" s="197">
        <f t="shared" si="3519"/>
        <v>0</v>
      </c>
      <c r="DV208" s="197">
        <f t="shared" si="3519"/>
        <v>0</v>
      </c>
      <c r="DW208" s="197">
        <f t="shared" si="3519"/>
        <v>0</v>
      </c>
      <c r="DX208" s="197">
        <f t="shared" si="3519"/>
        <v>0</v>
      </c>
      <c r="DY208" s="197">
        <f t="shared" si="3519"/>
        <v>0</v>
      </c>
      <c r="DZ208" s="197">
        <f t="shared" si="3519"/>
        <v>0</v>
      </c>
      <c r="EA208" s="197">
        <f t="shared" si="3519"/>
        <v>0</v>
      </c>
      <c r="EB208" s="197">
        <f t="shared" si="3519"/>
        <v>0</v>
      </c>
      <c r="EC208" s="197">
        <f t="shared" si="3519"/>
        <v>0</v>
      </c>
      <c r="ED208" s="197">
        <f t="shared" si="3519"/>
        <v>0</v>
      </c>
      <c r="EE208" s="197">
        <f t="shared" si="3519"/>
        <v>0</v>
      </c>
      <c r="EF208" s="197">
        <f t="shared" si="3519"/>
        <v>0</v>
      </c>
      <c r="EG208" s="197">
        <f t="shared" si="3519"/>
        <v>0</v>
      </c>
    </row>
    <row r="209" spans="1:137" hidden="1">
      <c r="A209" s="157">
        <v>44409</v>
      </c>
      <c r="B209" s="197">
        <f>B80-B333</f>
        <v>0</v>
      </c>
      <c r="C209" s="197">
        <f>C80-C333</f>
        <v>0</v>
      </c>
      <c r="D209" s="197">
        <f>D80-D333</f>
        <v>0</v>
      </c>
      <c r="E209" s="197">
        <f>E80-E333</f>
        <v>0</v>
      </c>
      <c r="F209" s="197">
        <f>F80-F333</f>
        <v>0</v>
      </c>
      <c r="G209" s="197"/>
      <c r="H209" s="197"/>
      <c r="I209" s="197">
        <f t="shared" ref="I209:AB209" si="3520">I80-I333</f>
        <v>0</v>
      </c>
      <c r="J209" s="197">
        <f t="shared" si="3520"/>
        <v>0</v>
      </c>
      <c r="K209" s="197">
        <f t="shared" si="3520"/>
        <v>0</v>
      </c>
      <c r="L209" s="197">
        <f t="shared" si="3520"/>
        <v>0</v>
      </c>
      <c r="M209" s="197">
        <f t="shared" si="3520"/>
        <v>0</v>
      </c>
      <c r="N209" s="197">
        <f t="shared" si="3520"/>
        <v>0</v>
      </c>
      <c r="O209" s="197">
        <f t="shared" si="3520"/>
        <v>0</v>
      </c>
      <c r="P209" s="197">
        <f t="shared" si="3520"/>
        <v>8.1000000000130967E-2</v>
      </c>
      <c r="Q209" s="197">
        <f t="shared" si="3520"/>
        <v>0</v>
      </c>
      <c r="R209" s="197">
        <f t="shared" si="3520"/>
        <v>8.0999999999960437E-2</v>
      </c>
      <c r="S209" s="197">
        <f t="shared" si="3520"/>
        <v>0</v>
      </c>
      <c r="T209" s="197">
        <f t="shared" si="3520"/>
        <v>-0.15000000000003411</v>
      </c>
      <c r="U209" s="197">
        <f t="shared" si="3520"/>
        <v>-6.8999999999959982E-2</v>
      </c>
      <c r="V209" s="197">
        <f t="shared" si="3520"/>
        <v>-4.1371172567084002E-5</v>
      </c>
      <c r="W209" s="197">
        <f t="shared" si="3520"/>
        <v>0</v>
      </c>
      <c r="X209" s="197">
        <f t="shared" si="3520"/>
        <v>0</v>
      </c>
      <c r="Y209" s="197">
        <f t="shared" si="3520"/>
        <v>0</v>
      </c>
      <c r="Z209" s="197">
        <f t="shared" si="3520"/>
        <v>7.5000000000045475E-2</v>
      </c>
      <c r="AA209" s="197">
        <f t="shared" si="3520"/>
        <v>7.5000000000045475E-2</v>
      </c>
      <c r="AB209" s="197">
        <f t="shared" si="3520"/>
        <v>-1.1156568529534228E-6</v>
      </c>
      <c r="AC209" s="163"/>
      <c r="AD209" s="163"/>
      <c r="AE209" s="163"/>
      <c r="AF209" s="163"/>
      <c r="AH209" s="197"/>
      <c r="AI209" s="197">
        <f t="shared" ref="AI209:BN209" si="3521">AI80-AI333</f>
        <v>0</v>
      </c>
      <c r="AJ209" s="197">
        <f t="shared" si="3521"/>
        <v>0</v>
      </c>
      <c r="AK209" s="197">
        <f t="shared" si="3521"/>
        <v>0</v>
      </c>
      <c r="AL209" s="197">
        <f t="shared" si="3521"/>
        <v>0</v>
      </c>
      <c r="AM209" s="197">
        <f t="shared" si="3521"/>
        <v>0</v>
      </c>
      <c r="AN209" s="197">
        <f t="shared" si="3521"/>
        <v>0</v>
      </c>
      <c r="AO209" s="197">
        <f t="shared" si="3521"/>
        <v>0</v>
      </c>
      <c r="AP209" s="197">
        <f t="shared" si="3521"/>
        <v>0</v>
      </c>
      <c r="AQ209" s="197">
        <f t="shared" si="3521"/>
        <v>0</v>
      </c>
      <c r="AR209" s="197">
        <f t="shared" si="3521"/>
        <v>0</v>
      </c>
      <c r="AS209" s="197">
        <f t="shared" si="3521"/>
        <v>0</v>
      </c>
      <c r="AT209" s="197">
        <f t="shared" si="3521"/>
        <v>0</v>
      </c>
      <c r="AU209" s="197">
        <f t="shared" si="3521"/>
        <v>0</v>
      </c>
      <c r="AV209" s="197">
        <f t="shared" si="3521"/>
        <v>0</v>
      </c>
      <c r="AW209" s="197">
        <f t="shared" si="3521"/>
        <v>0</v>
      </c>
      <c r="AX209" s="197">
        <f t="shared" si="3521"/>
        <v>0</v>
      </c>
      <c r="AY209" s="197">
        <f t="shared" si="3521"/>
        <v>0</v>
      </c>
      <c r="AZ209" s="197">
        <f t="shared" si="3521"/>
        <v>0</v>
      </c>
      <c r="BA209" s="197">
        <f t="shared" si="3521"/>
        <v>0</v>
      </c>
      <c r="BB209" s="197">
        <f t="shared" si="3521"/>
        <v>0</v>
      </c>
      <c r="BC209" s="197">
        <f t="shared" si="3521"/>
        <v>0</v>
      </c>
      <c r="BD209" s="197">
        <f t="shared" si="3521"/>
        <v>0</v>
      </c>
      <c r="BE209" s="197">
        <f t="shared" si="3521"/>
        <v>0</v>
      </c>
      <c r="BF209" s="197">
        <f t="shared" si="3521"/>
        <v>0</v>
      </c>
      <c r="BG209" s="197">
        <f t="shared" si="3521"/>
        <v>0</v>
      </c>
      <c r="BH209" s="197">
        <f t="shared" si="3521"/>
        <v>0</v>
      </c>
      <c r="BI209" s="197">
        <f t="shared" si="3521"/>
        <v>0</v>
      </c>
      <c r="BJ209" s="197">
        <f t="shared" si="3521"/>
        <v>0</v>
      </c>
      <c r="BK209" s="197">
        <f t="shared" si="3521"/>
        <v>0</v>
      </c>
      <c r="BL209" s="197">
        <f t="shared" si="3521"/>
        <v>0</v>
      </c>
      <c r="BM209" s="197">
        <f t="shared" si="3521"/>
        <v>0</v>
      </c>
      <c r="BN209" s="197">
        <f t="shared" si="3521"/>
        <v>0</v>
      </c>
      <c r="BO209" s="197">
        <f t="shared" ref="BO209:CV209" si="3522">BO80-BO333</f>
        <v>0</v>
      </c>
      <c r="BP209" s="197">
        <f t="shared" si="3522"/>
        <v>0</v>
      </c>
      <c r="BQ209" s="197">
        <f t="shared" si="3522"/>
        <v>0</v>
      </c>
      <c r="BR209" s="197">
        <f t="shared" si="3522"/>
        <v>0</v>
      </c>
      <c r="BS209" s="197">
        <f t="shared" si="3522"/>
        <v>0</v>
      </c>
      <c r="BT209" s="197">
        <f t="shared" si="3522"/>
        <v>0</v>
      </c>
      <c r="BU209" s="197">
        <f t="shared" si="3522"/>
        <v>0</v>
      </c>
      <c r="BV209" s="197">
        <f t="shared" si="3522"/>
        <v>0</v>
      </c>
      <c r="BW209" s="197">
        <f t="shared" si="3522"/>
        <v>0</v>
      </c>
      <c r="BX209" s="197">
        <f t="shared" si="3522"/>
        <v>0</v>
      </c>
      <c r="BY209" s="197">
        <f t="shared" si="3522"/>
        <v>0</v>
      </c>
      <c r="BZ209" s="197">
        <f t="shared" si="3522"/>
        <v>0</v>
      </c>
      <c r="CA209" s="197">
        <f t="shared" si="3522"/>
        <v>0</v>
      </c>
      <c r="CB209" s="197">
        <f t="shared" si="3522"/>
        <v>0</v>
      </c>
      <c r="CC209" s="197">
        <f t="shared" si="3522"/>
        <v>0</v>
      </c>
      <c r="CD209" s="197">
        <f t="shared" si="3522"/>
        <v>0</v>
      </c>
      <c r="CE209" s="197">
        <f t="shared" si="3522"/>
        <v>0</v>
      </c>
      <c r="CF209" s="197">
        <f t="shared" si="3522"/>
        <v>0</v>
      </c>
      <c r="CG209" s="197">
        <f t="shared" si="3522"/>
        <v>0</v>
      </c>
      <c r="CH209" s="197">
        <f t="shared" si="3522"/>
        <v>0</v>
      </c>
      <c r="CI209" s="197">
        <f t="shared" si="3522"/>
        <v>0</v>
      </c>
      <c r="CJ209" s="197">
        <f t="shared" si="3522"/>
        <v>0</v>
      </c>
      <c r="CK209" s="197">
        <f t="shared" si="3522"/>
        <v>0</v>
      </c>
      <c r="CL209" s="197">
        <f t="shared" si="3522"/>
        <v>0</v>
      </c>
      <c r="CM209" s="197">
        <f t="shared" si="3522"/>
        <v>0</v>
      </c>
      <c r="CN209" s="197">
        <f t="shared" si="3522"/>
        <v>0</v>
      </c>
      <c r="CO209" s="197">
        <f t="shared" si="3522"/>
        <v>0</v>
      </c>
      <c r="CP209" s="197">
        <f t="shared" si="3522"/>
        <v>0</v>
      </c>
      <c r="CQ209" s="197">
        <f t="shared" si="3522"/>
        <v>0</v>
      </c>
      <c r="CR209" s="197">
        <f t="shared" si="3522"/>
        <v>0</v>
      </c>
      <c r="CS209" s="197">
        <f t="shared" si="3522"/>
        <v>0</v>
      </c>
      <c r="CT209" s="197">
        <f t="shared" si="3522"/>
        <v>0</v>
      </c>
      <c r="CU209" s="197">
        <f t="shared" si="3522"/>
        <v>0</v>
      </c>
      <c r="CV209" s="197">
        <f t="shared" si="3522"/>
        <v>0</v>
      </c>
      <c r="CW209" s="197"/>
      <c r="CX209" s="197">
        <f>CX80-CX333</f>
        <v>0</v>
      </c>
      <c r="CY209" s="197">
        <f>CY80-CY333</f>
        <v>0</v>
      </c>
      <c r="CZ209" s="197">
        <f>CZ80-CZ333</f>
        <v>0</v>
      </c>
      <c r="DA209" s="197">
        <f>DA80-DA333</f>
        <v>0</v>
      </c>
      <c r="DB209" s="197">
        <f>DB80-DB333</f>
        <v>0</v>
      </c>
      <c r="DC209" s="197">
        <f>DC80-DC333</f>
        <v>0</v>
      </c>
      <c r="DD209" s="197"/>
      <c r="DE209" s="197">
        <f t="shared" ref="DE209:EG209" si="3523">DE80-DE333</f>
        <v>-1.2719999999999914</v>
      </c>
      <c r="DF209" s="197">
        <f t="shared" si="3523"/>
        <v>-0.75600000000000023</v>
      </c>
      <c r="DG209" s="197">
        <f t="shared" si="3523"/>
        <v>-0.52899999999999991</v>
      </c>
      <c r="DH209" s="197">
        <f t="shared" si="3523"/>
        <v>-2.5119292345643363E-4</v>
      </c>
      <c r="DI209" s="197">
        <f t="shared" si="3523"/>
        <v>-0.94899999999999807</v>
      </c>
      <c r="DJ209" s="197">
        <f t="shared" si="3523"/>
        <v>2.2496299377416928E-4</v>
      </c>
      <c r="DK209" s="197">
        <f t="shared" si="3523"/>
        <v>-0.71700000000001296</v>
      </c>
      <c r="DL209" s="197">
        <f t="shared" si="3523"/>
        <v>-0.67399999999999238</v>
      </c>
      <c r="DM209" s="197">
        <f t="shared" si="3523"/>
        <v>-1.7602080534340203E-4</v>
      </c>
      <c r="DN209" s="197">
        <f t="shared" si="3523"/>
        <v>-0.10699999999999932</v>
      </c>
      <c r="DO209" s="197">
        <f t="shared" si="3523"/>
        <v>0.16799999999999926</v>
      </c>
      <c r="DP209" s="197">
        <f t="shared" si="3523"/>
        <v>-0.49099999999999966</v>
      </c>
      <c r="DQ209" s="197">
        <f t="shared" si="3523"/>
        <v>-0.3230000000000075</v>
      </c>
      <c r="DR209" s="197">
        <f t="shared" si="3523"/>
        <v>-2.6229929682264341E-5</v>
      </c>
      <c r="DS209" s="197">
        <f t="shared" si="3523"/>
        <v>1.1631887681507838</v>
      </c>
      <c r="DT209" s="197">
        <f t="shared" si="3523"/>
        <v>0</v>
      </c>
      <c r="DU209" s="197">
        <f t="shared" si="3523"/>
        <v>0</v>
      </c>
      <c r="DV209" s="197">
        <f t="shared" si="3523"/>
        <v>0</v>
      </c>
      <c r="DW209" s="197">
        <f t="shared" si="3523"/>
        <v>0</v>
      </c>
      <c r="DX209" s="197">
        <f t="shared" si="3523"/>
        <v>0</v>
      </c>
      <c r="DY209" s="197">
        <f t="shared" si="3523"/>
        <v>0</v>
      </c>
      <c r="DZ209" s="197">
        <f t="shared" si="3523"/>
        <v>0</v>
      </c>
      <c r="EA209" s="197">
        <f t="shared" si="3523"/>
        <v>0</v>
      </c>
      <c r="EB209" s="197">
        <f t="shared" si="3523"/>
        <v>0</v>
      </c>
      <c r="EC209" s="197">
        <f t="shared" si="3523"/>
        <v>0</v>
      </c>
      <c r="ED209" s="197">
        <f t="shared" si="3523"/>
        <v>0</v>
      </c>
      <c r="EE209" s="197">
        <f t="shared" si="3523"/>
        <v>0</v>
      </c>
      <c r="EF209" s="197">
        <f t="shared" si="3523"/>
        <v>0</v>
      </c>
      <c r="EG209" s="197">
        <f t="shared" si="3523"/>
        <v>0</v>
      </c>
    </row>
    <row r="210" spans="1:137" hidden="1">
      <c r="A210" s="157">
        <v>44440</v>
      </c>
      <c r="B210" s="197">
        <f>B81-B334</f>
        <v>0</v>
      </c>
      <c r="C210" s="197">
        <f>C81-C334</f>
        <v>0</v>
      </c>
      <c r="D210" s="197">
        <f>D81-D334</f>
        <v>0</v>
      </c>
      <c r="E210" s="197">
        <f>E81-E334</f>
        <v>0</v>
      </c>
      <c r="F210" s="197">
        <f>F81-F334</f>
        <v>0</v>
      </c>
      <c r="G210" s="197"/>
      <c r="H210" s="197"/>
      <c r="I210" s="197">
        <f t="shared" ref="I210:AB210" si="3524">I81-I334</f>
        <v>0</v>
      </c>
      <c r="J210" s="197">
        <f t="shared" si="3524"/>
        <v>0</v>
      </c>
      <c r="K210" s="197">
        <f t="shared" si="3524"/>
        <v>0</v>
      </c>
      <c r="L210" s="197">
        <f t="shared" si="3524"/>
        <v>0</v>
      </c>
      <c r="M210" s="197">
        <f t="shared" si="3524"/>
        <v>0</v>
      </c>
      <c r="N210" s="197">
        <f t="shared" si="3524"/>
        <v>0</v>
      </c>
      <c r="O210" s="197">
        <f t="shared" si="3524"/>
        <v>0</v>
      </c>
      <c r="P210" s="197">
        <f t="shared" si="3524"/>
        <v>0</v>
      </c>
      <c r="Q210" s="197">
        <f t="shared" si="3524"/>
        <v>0</v>
      </c>
      <c r="R210" s="197">
        <f t="shared" si="3524"/>
        <v>0</v>
      </c>
      <c r="S210" s="197">
        <f t="shared" si="3524"/>
        <v>0</v>
      </c>
      <c r="T210" s="197">
        <f t="shared" si="3524"/>
        <v>-45.593000000000018</v>
      </c>
      <c r="U210" s="197">
        <f t="shared" si="3524"/>
        <v>-45.592999999999847</v>
      </c>
      <c r="V210" s="197">
        <f t="shared" si="3524"/>
        <v>-2.7071864866902828E-2</v>
      </c>
      <c r="W210" s="197">
        <f t="shared" si="3524"/>
        <v>0</v>
      </c>
      <c r="X210" s="197">
        <f t="shared" si="3524"/>
        <v>0</v>
      </c>
      <c r="Y210" s="197">
        <f t="shared" si="3524"/>
        <v>0</v>
      </c>
      <c r="Z210" s="197">
        <f t="shared" si="3524"/>
        <v>-316.44200000000001</v>
      </c>
      <c r="AA210" s="197">
        <f t="shared" si="3524"/>
        <v>-316.43399999999997</v>
      </c>
      <c r="AB210" s="197">
        <f t="shared" si="3524"/>
        <v>3.9820129292012056E-3</v>
      </c>
      <c r="AC210" s="163"/>
      <c r="AD210" s="163"/>
      <c r="AE210" s="163"/>
      <c r="AF210" s="163"/>
      <c r="AH210" s="197"/>
      <c r="AI210" s="197">
        <f t="shared" ref="AI210:BN210" si="3525">AI81-AI334</f>
        <v>0</v>
      </c>
      <c r="AJ210" s="197">
        <f t="shared" si="3525"/>
        <v>0</v>
      </c>
      <c r="AK210" s="197">
        <f t="shared" si="3525"/>
        <v>0</v>
      </c>
      <c r="AL210" s="197">
        <f t="shared" si="3525"/>
        <v>0</v>
      </c>
      <c r="AM210" s="197">
        <f t="shared" si="3525"/>
        <v>0</v>
      </c>
      <c r="AN210" s="197">
        <f t="shared" si="3525"/>
        <v>0</v>
      </c>
      <c r="AO210" s="197">
        <f t="shared" si="3525"/>
        <v>0</v>
      </c>
      <c r="AP210" s="197">
        <f t="shared" si="3525"/>
        <v>0</v>
      </c>
      <c r="AQ210" s="197">
        <f t="shared" si="3525"/>
        <v>0</v>
      </c>
      <c r="AR210" s="197">
        <f t="shared" si="3525"/>
        <v>0</v>
      </c>
      <c r="AS210" s="197">
        <f t="shared" si="3525"/>
        <v>0</v>
      </c>
      <c r="AT210" s="197">
        <f t="shared" si="3525"/>
        <v>0</v>
      </c>
      <c r="AU210" s="197">
        <f t="shared" si="3525"/>
        <v>0</v>
      </c>
      <c r="AV210" s="197">
        <f t="shared" si="3525"/>
        <v>0</v>
      </c>
      <c r="AW210" s="197">
        <f t="shared" si="3525"/>
        <v>0</v>
      </c>
      <c r="AX210" s="197">
        <f t="shared" si="3525"/>
        <v>0</v>
      </c>
      <c r="AY210" s="197">
        <f t="shared" si="3525"/>
        <v>0</v>
      </c>
      <c r="AZ210" s="197">
        <f t="shared" si="3525"/>
        <v>0</v>
      </c>
      <c r="BA210" s="197">
        <f t="shared" si="3525"/>
        <v>0</v>
      </c>
      <c r="BB210" s="197">
        <f t="shared" si="3525"/>
        <v>0</v>
      </c>
      <c r="BC210" s="197">
        <f t="shared" si="3525"/>
        <v>0</v>
      </c>
      <c r="BD210" s="197">
        <f t="shared" si="3525"/>
        <v>0</v>
      </c>
      <c r="BE210" s="197">
        <f t="shared" si="3525"/>
        <v>0</v>
      </c>
      <c r="BF210" s="197">
        <f t="shared" si="3525"/>
        <v>0</v>
      </c>
      <c r="BG210" s="197">
        <f t="shared" si="3525"/>
        <v>0</v>
      </c>
      <c r="BH210" s="197">
        <f t="shared" si="3525"/>
        <v>0</v>
      </c>
      <c r="BI210" s="197">
        <f t="shared" si="3525"/>
        <v>0</v>
      </c>
      <c r="BJ210" s="197">
        <f t="shared" si="3525"/>
        <v>0</v>
      </c>
      <c r="BK210" s="197">
        <f t="shared" si="3525"/>
        <v>0</v>
      </c>
      <c r="BL210" s="197">
        <f t="shared" si="3525"/>
        <v>0</v>
      </c>
      <c r="BM210" s="197">
        <f t="shared" si="3525"/>
        <v>0</v>
      </c>
      <c r="BN210" s="197">
        <f t="shared" si="3525"/>
        <v>0</v>
      </c>
      <c r="BO210" s="197">
        <f t="shared" ref="BO210:CV210" si="3526">BO81-BO334</f>
        <v>0</v>
      </c>
      <c r="BP210" s="197">
        <f t="shared" si="3526"/>
        <v>0</v>
      </c>
      <c r="BQ210" s="197">
        <f t="shared" si="3526"/>
        <v>0</v>
      </c>
      <c r="BR210" s="197">
        <f t="shared" si="3526"/>
        <v>0</v>
      </c>
      <c r="BS210" s="197">
        <f t="shared" si="3526"/>
        <v>0</v>
      </c>
      <c r="BT210" s="197">
        <f t="shared" si="3526"/>
        <v>0</v>
      </c>
      <c r="BU210" s="197">
        <f t="shared" si="3526"/>
        <v>0</v>
      </c>
      <c r="BV210" s="197">
        <f t="shared" si="3526"/>
        <v>0</v>
      </c>
      <c r="BW210" s="197">
        <f t="shared" si="3526"/>
        <v>0</v>
      </c>
      <c r="BX210" s="197">
        <f t="shared" si="3526"/>
        <v>0</v>
      </c>
      <c r="BY210" s="197">
        <f t="shared" si="3526"/>
        <v>0</v>
      </c>
      <c r="BZ210" s="197">
        <f t="shared" si="3526"/>
        <v>0</v>
      </c>
      <c r="CA210" s="197">
        <f t="shared" si="3526"/>
        <v>0</v>
      </c>
      <c r="CB210" s="197">
        <f t="shared" si="3526"/>
        <v>0</v>
      </c>
      <c r="CC210" s="197">
        <f t="shared" si="3526"/>
        <v>0</v>
      </c>
      <c r="CD210" s="197">
        <f t="shared" si="3526"/>
        <v>0</v>
      </c>
      <c r="CE210" s="197">
        <f t="shared" si="3526"/>
        <v>0</v>
      </c>
      <c r="CF210" s="197">
        <f t="shared" si="3526"/>
        <v>0</v>
      </c>
      <c r="CG210" s="197">
        <f t="shared" si="3526"/>
        <v>0</v>
      </c>
      <c r="CH210" s="197">
        <f t="shared" si="3526"/>
        <v>0</v>
      </c>
      <c r="CI210" s="197">
        <f t="shared" si="3526"/>
        <v>0</v>
      </c>
      <c r="CJ210" s="197">
        <f t="shared" si="3526"/>
        <v>0</v>
      </c>
      <c r="CK210" s="197">
        <f t="shared" si="3526"/>
        <v>0</v>
      </c>
      <c r="CL210" s="197">
        <f t="shared" si="3526"/>
        <v>0</v>
      </c>
      <c r="CM210" s="197">
        <f t="shared" si="3526"/>
        <v>0</v>
      </c>
      <c r="CN210" s="197">
        <f t="shared" si="3526"/>
        <v>0</v>
      </c>
      <c r="CO210" s="197">
        <f t="shared" si="3526"/>
        <v>0</v>
      </c>
      <c r="CP210" s="197">
        <f t="shared" si="3526"/>
        <v>0</v>
      </c>
      <c r="CQ210" s="197">
        <f t="shared" si="3526"/>
        <v>0</v>
      </c>
      <c r="CR210" s="197">
        <f t="shared" si="3526"/>
        <v>0</v>
      </c>
      <c r="CS210" s="197">
        <f t="shared" si="3526"/>
        <v>0</v>
      </c>
      <c r="CT210" s="197">
        <f t="shared" si="3526"/>
        <v>0</v>
      </c>
      <c r="CU210" s="197">
        <f t="shared" si="3526"/>
        <v>0</v>
      </c>
      <c r="CV210" s="197">
        <f t="shared" si="3526"/>
        <v>0</v>
      </c>
      <c r="CW210" s="197"/>
      <c r="CX210" s="197">
        <f>CX81-CX334</f>
        <v>0</v>
      </c>
      <c r="CY210" s="197">
        <f>CY81-CY334</f>
        <v>0</v>
      </c>
      <c r="CZ210" s="197">
        <f>CZ81-CZ334</f>
        <v>0</v>
      </c>
      <c r="DA210" s="197">
        <f>DA81-DA334</f>
        <v>0</v>
      </c>
      <c r="DB210" s="197">
        <f>DB81-DB334</f>
        <v>0</v>
      </c>
      <c r="DC210" s="197">
        <f>DC81-DC334</f>
        <v>0</v>
      </c>
      <c r="DD210" s="197"/>
      <c r="DE210" s="197">
        <f t="shared" ref="DE210:EG210" si="3527">DE81-DE334</f>
        <v>0</v>
      </c>
      <c r="DF210" s="197">
        <f t="shared" si="3527"/>
        <v>0</v>
      </c>
      <c r="DG210" s="197">
        <f t="shared" si="3527"/>
        <v>0</v>
      </c>
      <c r="DH210" s="197">
        <f t="shared" si="3527"/>
        <v>0</v>
      </c>
      <c r="DI210" s="197">
        <f t="shared" si="3527"/>
        <v>0</v>
      </c>
      <c r="DJ210" s="197">
        <f t="shared" si="3527"/>
        <v>0</v>
      </c>
      <c r="DK210" s="197">
        <f t="shared" si="3527"/>
        <v>0</v>
      </c>
      <c r="DL210" s="197">
        <f t="shared" si="3527"/>
        <v>0</v>
      </c>
      <c r="DM210" s="197">
        <f t="shared" si="3527"/>
        <v>0</v>
      </c>
      <c r="DN210" s="197">
        <f t="shared" si="3527"/>
        <v>0</v>
      </c>
      <c r="DO210" s="197">
        <f t="shared" si="3527"/>
        <v>0</v>
      </c>
      <c r="DP210" s="197">
        <f t="shared" si="3527"/>
        <v>0</v>
      </c>
      <c r="DQ210" s="197">
        <f t="shared" si="3527"/>
        <v>0</v>
      </c>
      <c r="DR210" s="197">
        <f t="shared" si="3527"/>
        <v>0</v>
      </c>
      <c r="DS210" s="197">
        <f t="shared" si="3527"/>
        <v>1.0575722322033398</v>
      </c>
      <c r="DT210" s="197">
        <f t="shared" si="3527"/>
        <v>0</v>
      </c>
      <c r="DU210" s="197">
        <f t="shared" si="3527"/>
        <v>0</v>
      </c>
      <c r="DV210" s="197">
        <f t="shared" si="3527"/>
        <v>0</v>
      </c>
      <c r="DW210" s="197">
        <f t="shared" si="3527"/>
        <v>0</v>
      </c>
      <c r="DX210" s="197">
        <f t="shared" si="3527"/>
        <v>0</v>
      </c>
      <c r="DY210" s="197">
        <f t="shared" si="3527"/>
        <v>0</v>
      </c>
      <c r="DZ210" s="197">
        <f t="shared" si="3527"/>
        <v>0</v>
      </c>
      <c r="EA210" s="197">
        <f t="shared" si="3527"/>
        <v>0</v>
      </c>
      <c r="EB210" s="197">
        <f t="shared" si="3527"/>
        <v>0</v>
      </c>
      <c r="EC210" s="197">
        <f t="shared" si="3527"/>
        <v>0</v>
      </c>
      <c r="ED210" s="197">
        <f t="shared" si="3527"/>
        <v>9.6809999999999974</v>
      </c>
      <c r="EE210" s="197">
        <f t="shared" si="3527"/>
        <v>6.0269999999999992</v>
      </c>
      <c r="EF210" s="197">
        <f t="shared" si="3527"/>
        <v>15.707999999999998</v>
      </c>
      <c r="EG210" s="197">
        <f t="shared" si="3527"/>
        <v>0</v>
      </c>
    </row>
    <row r="211" spans="1:137" hidden="1">
      <c r="A211" s="157">
        <v>44470</v>
      </c>
      <c r="B211" s="197">
        <f>B82-B335</f>
        <v>0</v>
      </c>
      <c r="C211" s="197">
        <f>C82-C335</f>
        <v>0</v>
      </c>
      <c r="D211" s="197">
        <f>D82-D335</f>
        <v>0</v>
      </c>
      <c r="E211" s="197">
        <f>E82-E335</f>
        <v>0</v>
      </c>
      <c r="F211" s="197">
        <f>F82-F335</f>
        <v>0</v>
      </c>
      <c r="G211" s="197"/>
      <c r="H211" s="197"/>
      <c r="I211" s="197">
        <f t="shared" ref="I211:AB211" si="3528">I82-I335</f>
        <v>0</v>
      </c>
      <c r="J211" s="197">
        <f t="shared" si="3528"/>
        <v>0</v>
      </c>
      <c r="K211" s="197">
        <f t="shared" si="3528"/>
        <v>0</v>
      </c>
      <c r="L211" s="197">
        <f t="shared" si="3528"/>
        <v>0</v>
      </c>
      <c r="M211" s="197">
        <f t="shared" si="3528"/>
        <v>0</v>
      </c>
      <c r="N211" s="197">
        <f t="shared" si="3528"/>
        <v>0</v>
      </c>
      <c r="O211" s="197">
        <f t="shared" si="3528"/>
        <v>0</v>
      </c>
      <c r="P211" s="197">
        <f t="shared" si="3528"/>
        <v>0</v>
      </c>
      <c r="Q211" s="197">
        <f t="shared" si="3528"/>
        <v>0</v>
      </c>
      <c r="R211" s="197">
        <f t="shared" si="3528"/>
        <v>0</v>
      </c>
      <c r="S211" s="197">
        <f t="shared" si="3528"/>
        <v>0</v>
      </c>
      <c r="T211" s="197">
        <f t="shared" si="3528"/>
        <v>0</v>
      </c>
      <c r="U211" s="197">
        <f t="shared" si="3528"/>
        <v>0</v>
      </c>
      <c r="V211" s="197">
        <f t="shared" si="3528"/>
        <v>0</v>
      </c>
      <c r="W211" s="197">
        <f t="shared" si="3528"/>
        <v>0</v>
      </c>
      <c r="X211" s="197">
        <f t="shared" si="3528"/>
        <v>0</v>
      </c>
      <c r="Y211" s="197">
        <f t="shared" si="3528"/>
        <v>0</v>
      </c>
      <c r="Z211" s="197">
        <f t="shared" si="3528"/>
        <v>0</v>
      </c>
      <c r="AA211" s="197">
        <f t="shared" si="3528"/>
        <v>0</v>
      </c>
      <c r="AB211" s="197">
        <f t="shared" si="3528"/>
        <v>0</v>
      </c>
      <c r="AC211" s="163"/>
      <c r="AD211" s="163"/>
      <c r="AE211" s="163"/>
      <c r="AF211" s="163"/>
      <c r="AH211" s="197"/>
      <c r="AI211" s="197">
        <f t="shared" ref="AI211:BN211" si="3529">AI82-AI335</f>
        <v>0</v>
      </c>
      <c r="AJ211" s="197">
        <f t="shared" si="3529"/>
        <v>0</v>
      </c>
      <c r="AK211" s="197">
        <f t="shared" si="3529"/>
        <v>0</v>
      </c>
      <c r="AL211" s="197">
        <f t="shared" si="3529"/>
        <v>0</v>
      </c>
      <c r="AM211" s="197">
        <f t="shared" si="3529"/>
        <v>0</v>
      </c>
      <c r="AN211" s="197">
        <f t="shared" si="3529"/>
        <v>0</v>
      </c>
      <c r="AO211" s="197">
        <f t="shared" si="3529"/>
        <v>0</v>
      </c>
      <c r="AP211" s="197">
        <f t="shared" si="3529"/>
        <v>0</v>
      </c>
      <c r="AQ211" s="197">
        <f t="shared" si="3529"/>
        <v>0</v>
      </c>
      <c r="AR211" s="197">
        <f t="shared" si="3529"/>
        <v>0</v>
      </c>
      <c r="AS211" s="197">
        <f t="shared" si="3529"/>
        <v>0</v>
      </c>
      <c r="AT211" s="197">
        <f t="shared" si="3529"/>
        <v>0</v>
      </c>
      <c r="AU211" s="197">
        <f t="shared" si="3529"/>
        <v>0</v>
      </c>
      <c r="AV211" s="197">
        <f t="shared" si="3529"/>
        <v>0</v>
      </c>
      <c r="AW211" s="197">
        <f t="shared" si="3529"/>
        <v>0</v>
      </c>
      <c r="AX211" s="197">
        <f t="shared" si="3529"/>
        <v>0</v>
      </c>
      <c r="AY211" s="197">
        <f t="shared" si="3529"/>
        <v>0</v>
      </c>
      <c r="AZ211" s="197">
        <f t="shared" si="3529"/>
        <v>0</v>
      </c>
      <c r="BA211" s="197">
        <f t="shared" si="3529"/>
        <v>0</v>
      </c>
      <c r="BB211" s="197">
        <f t="shared" si="3529"/>
        <v>0</v>
      </c>
      <c r="BC211" s="197">
        <f t="shared" si="3529"/>
        <v>0</v>
      </c>
      <c r="BD211" s="197">
        <f t="shared" si="3529"/>
        <v>0</v>
      </c>
      <c r="BE211" s="197">
        <f t="shared" si="3529"/>
        <v>0</v>
      </c>
      <c r="BF211" s="197">
        <f t="shared" si="3529"/>
        <v>0</v>
      </c>
      <c r="BG211" s="197">
        <f t="shared" si="3529"/>
        <v>0</v>
      </c>
      <c r="BH211" s="197">
        <f t="shared" si="3529"/>
        <v>0</v>
      </c>
      <c r="BI211" s="197">
        <f t="shared" si="3529"/>
        <v>0</v>
      </c>
      <c r="BJ211" s="197">
        <f t="shared" si="3529"/>
        <v>0</v>
      </c>
      <c r="BK211" s="197">
        <f t="shared" si="3529"/>
        <v>0</v>
      </c>
      <c r="BL211" s="197">
        <f t="shared" si="3529"/>
        <v>0</v>
      </c>
      <c r="BM211" s="197">
        <f t="shared" si="3529"/>
        <v>0</v>
      </c>
      <c r="BN211" s="197">
        <f t="shared" si="3529"/>
        <v>0</v>
      </c>
      <c r="BO211" s="197">
        <f t="shared" ref="BO211:CV211" si="3530">BO82-BO335</f>
        <v>0</v>
      </c>
      <c r="BP211" s="197">
        <f t="shared" si="3530"/>
        <v>0</v>
      </c>
      <c r="BQ211" s="197">
        <f t="shared" si="3530"/>
        <v>0</v>
      </c>
      <c r="BR211" s="197">
        <f t="shared" si="3530"/>
        <v>0</v>
      </c>
      <c r="BS211" s="197">
        <f t="shared" si="3530"/>
        <v>0</v>
      </c>
      <c r="BT211" s="197">
        <f t="shared" si="3530"/>
        <v>0</v>
      </c>
      <c r="BU211" s="197">
        <f t="shared" si="3530"/>
        <v>0</v>
      </c>
      <c r="BV211" s="197">
        <f t="shared" si="3530"/>
        <v>0</v>
      </c>
      <c r="BW211" s="197">
        <f t="shared" si="3530"/>
        <v>0</v>
      </c>
      <c r="BX211" s="197">
        <f t="shared" si="3530"/>
        <v>0</v>
      </c>
      <c r="BY211" s="197">
        <f t="shared" si="3530"/>
        <v>0</v>
      </c>
      <c r="BZ211" s="197">
        <f t="shared" si="3530"/>
        <v>0</v>
      </c>
      <c r="CA211" s="197">
        <f t="shared" si="3530"/>
        <v>0</v>
      </c>
      <c r="CB211" s="197">
        <f t="shared" si="3530"/>
        <v>0</v>
      </c>
      <c r="CC211" s="197">
        <f t="shared" si="3530"/>
        <v>0</v>
      </c>
      <c r="CD211" s="197">
        <f t="shared" si="3530"/>
        <v>0</v>
      </c>
      <c r="CE211" s="197">
        <f t="shared" si="3530"/>
        <v>0</v>
      </c>
      <c r="CF211" s="197">
        <f t="shared" si="3530"/>
        <v>0</v>
      </c>
      <c r="CG211" s="197">
        <f t="shared" si="3530"/>
        <v>0</v>
      </c>
      <c r="CH211" s="197">
        <f t="shared" si="3530"/>
        <v>0</v>
      </c>
      <c r="CI211" s="197">
        <f t="shared" si="3530"/>
        <v>0</v>
      </c>
      <c r="CJ211" s="197">
        <f t="shared" si="3530"/>
        <v>0</v>
      </c>
      <c r="CK211" s="197">
        <f t="shared" si="3530"/>
        <v>0</v>
      </c>
      <c r="CL211" s="197">
        <f t="shared" si="3530"/>
        <v>0</v>
      </c>
      <c r="CM211" s="197">
        <f t="shared" si="3530"/>
        <v>0</v>
      </c>
      <c r="CN211" s="197">
        <f t="shared" si="3530"/>
        <v>0</v>
      </c>
      <c r="CO211" s="197">
        <f t="shared" si="3530"/>
        <v>0</v>
      </c>
      <c r="CP211" s="197">
        <f t="shared" si="3530"/>
        <v>0</v>
      </c>
      <c r="CQ211" s="197">
        <f t="shared" si="3530"/>
        <v>0</v>
      </c>
      <c r="CR211" s="197">
        <f t="shared" si="3530"/>
        <v>0</v>
      </c>
      <c r="CS211" s="197">
        <f t="shared" si="3530"/>
        <v>0</v>
      </c>
      <c r="CT211" s="197">
        <f t="shared" si="3530"/>
        <v>0</v>
      </c>
      <c r="CU211" s="197">
        <f t="shared" si="3530"/>
        <v>0</v>
      </c>
      <c r="CV211" s="197">
        <f t="shared" si="3530"/>
        <v>0</v>
      </c>
      <c r="CW211" s="197"/>
      <c r="CX211" s="197">
        <f>CX82-CX335</f>
        <v>0</v>
      </c>
      <c r="CY211" s="197">
        <f>CY82-CY335</f>
        <v>0</v>
      </c>
      <c r="CZ211" s="197">
        <f>CZ82-CZ335</f>
        <v>0</v>
      </c>
      <c r="DA211" s="197">
        <f>DA82-DA335</f>
        <v>0</v>
      </c>
      <c r="DB211" s="197">
        <f>DB82-DB335</f>
        <v>0</v>
      </c>
      <c r="DC211" s="197">
        <f>DC82-DC335</f>
        <v>0</v>
      </c>
      <c r="DD211" s="197"/>
      <c r="DE211" s="197">
        <f t="shared" ref="DE211:EG211" si="3531">DE82-DE335</f>
        <v>0</v>
      </c>
      <c r="DF211" s="197">
        <f t="shared" si="3531"/>
        <v>0</v>
      </c>
      <c r="DG211" s="197">
        <f t="shared" si="3531"/>
        <v>0</v>
      </c>
      <c r="DH211" s="197">
        <f t="shared" si="3531"/>
        <v>0</v>
      </c>
      <c r="DI211" s="197">
        <f t="shared" si="3531"/>
        <v>0</v>
      </c>
      <c r="DJ211" s="197">
        <f t="shared" si="3531"/>
        <v>0</v>
      </c>
      <c r="DK211" s="197">
        <f t="shared" si="3531"/>
        <v>0</v>
      </c>
      <c r="DL211" s="197">
        <f t="shared" si="3531"/>
        <v>0</v>
      </c>
      <c r="DM211" s="197">
        <f t="shared" si="3531"/>
        <v>0</v>
      </c>
      <c r="DN211" s="197">
        <f t="shared" si="3531"/>
        <v>0</v>
      </c>
      <c r="DO211" s="197">
        <f t="shared" si="3531"/>
        <v>0</v>
      </c>
      <c r="DP211" s="197">
        <f t="shared" si="3531"/>
        <v>0</v>
      </c>
      <c r="DQ211" s="197">
        <f t="shared" si="3531"/>
        <v>0</v>
      </c>
      <c r="DR211" s="197">
        <f t="shared" si="3531"/>
        <v>0</v>
      </c>
      <c r="DS211" s="197">
        <f t="shared" si="3531"/>
        <v>0.97312517958049993</v>
      </c>
      <c r="DT211" s="197">
        <f t="shared" si="3531"/>
        <v>0</v>
      </c>
      <c r="DU211" s="197">
        <f t="shared" si="3531"/>
        <v>0</v>
      </c>
      <c r="DV211" s="197">
        <f t="shared" si="3531"/>
        <v>0</v>
      </c>
      <c r="DW211" s="197">
        <f t="shared" si="3531"/>
        <v>0</v>
      </c>
      <c r="DX211" s="197">
        <f t="shared" si="3531"/>
        <v>0</v>
      </c>
      <c r="DY211" s="197">
        <f t="shared" si="3531"/>
        <v>0</v>
      </c>
      <c r="DZ211" s="197">
        <f t="shared" si="3531"/>
        <v>0</v>
      </c>
      <c r="EA211" s="197">
        <f t="shared" si="3531"/>
        <v>0</v>
      </c>
      <c r="EB211" s="197">
        <f t="shared" si="3531"/>
        <v>0</v>
      </c>
      <c r="EC211" s="197">
        <f t="shared" si="3531"/>
        <v>0</v>
      </c>
      <c r="ED211" s="197">
        <f t="shared" si="3531"/>
        <v>0</v>
      </c>
      <c r="EE211" s="197">
        <f t="shared" si="3531"/>
        <v>0</v>
      </c>
      <c r="EF211" s="197">
        <f t="shared" si="3531"/>
        <v>0</v>
      </c>
      <c r="EG211" s="197">
        <f t="shared" si="3531"/>
        <v>0</v>
      </c>
    </row>
    <row r="212" spans="1:137" hidden="1">
      <c r="A212" s="157">
        <v>44501</v>
      </c>
      <c r="B212" s="197">
        <f>B83-B336</f>
        <v>3.0880000000006476</v>
      </c>
      <c r="C212" s="197">
        <f>C83-C336</f>
        <v>0.10293333333336818</v>
      </c>
      <c r="D212" s="197">
        <f>D83-D336</f>
        <v>0.10293333333336818</v>
      </c>
      <c r="E212" s="197">
        <f>E83-E336</f>
        <v>5.7356617742687632E-4</v>
      </c>
      <c r="F212" s="197">
        <f>F83-F336</f>
        <v>-10.259000000000015</v>
      </c>
      <c r="G212" s="197"/>
      <c r="H212" s="197"/>
      <c r="I212" s="197">
        <f t="shared" ref="I212:AB212" si="3532">I83-I336</f>
        <v>-23.450000000000045</v>
      </c>
      <c r="J212" s="197">
        <f t="shared" si="3532"/>
        <v>-0.13132411127833876</v>
      </c>
      <c r="K212" s="197">
        <f t="shared" si="3532"/>
        <v>-0.16163032692610102</v>
      </c>
      <c r="L212" s="197">
        <f t="shared" si="3532"/>
        <v>-0.16163032692610102</v>
      </c>
      <c r="M212" s="197">
        <f t="shared" si="3532"/>
        <v>-2.7290000000000418</v>
      </c>
      <c r="N212" s="197">
        <f t="shared" si="3532"/>
        <v>-0.28699999999999903</v>
      </c>
      <c r="O212" s="197">
        <f t="shared" si="3532"/>
        <v>-12.846000000000004</v>
      </c>
      <c r="P212" s="197">
        <f t="shared" si="3532"/>
        <v>-18.361000000000104</v>
      </c>
      <c r="Q212" s="197">
        <f t="shared" si="3532"/>
        <v>-21.043999999999983</v>
      </c>
      <c r="R212" s="197">
        <f t="shared" si="3532"/>
        <v>-0.82499999999998863</v>
      </c>
      <c r="S212" s="197">
        <f t="shared" si="3532"/>
        <v>3.5080000000000382</v>
      </c>
      <c r="T212" s="197">
        <f t="shared" si="3532"/>
        <v>8.83299999999997</v>
      </c>
      <c r="U212" s="197">
        <f t="shared" si="3532"/>
        <v>-9.5280000000002474</v>
      </c>
      <c r="V212" s="197">
        <f t="shared" si="3532"/>
        <v>-5.200305643488834E-3</v>
      </c>
      <c r="W212" s="197">
        <f t="shared" si="3532"/>
        <v>-7.3772062263296689E-2</v>
      </c>
      <c r="X212" s="197">
        <f t="shared" si="3532"/>
        <v>-7.3772062263296689E-2</v>
      </c>
      <c r="Y212" s="197">
        <f t="shared" si="3532"/>
        <v>-0.23540238918940304</v>
      </c>
      <c r="Z212" s="197">
        <f t="shared" si="3532"/>
        <v>5.2490000000000236</v>
      </c>
      <c r="AA212" s="197">
        <f t="shared" si="3532"/>
        <v>5.1300000000001091</v>
      </c>
      <c r="AB212" s="197">
        <f t="shared" si="3532"/>
        <v>8.4896459992891971E-7</v>
      </c>
      <c r="AC212" s="163"/>
      <c r="AD212" s="163"/>
      <c r="AE212" s="163"/>
      <c r="AF212" s="163"/>
      <c r="AH212" s="197"/>
      <c r="AI212" s="197">
        <f t="shared" ref="AI212:BN212" si="3533">AI83-AI336</f>
        <v>-1.5449999999999591</v>
      </c>
      <c r="AJ212" s="197">
        <f t="shared" si="3533"/>
        <v>-5.1500000000000767E-2</v>
      </c>
      <c r="AK212" s="197">
        <f t="shared" si="3533"/>
        <v>-7.0660000000000309</v>
      </c>
      <c r="AL212" s="197">
        <f t="shared" si="3533"/>
        <v>17.698000000000008</v>
      </c>
      <c r="AM212" s="197">
        <f t="shared" si="3533"/>
        <v>-0.53418049583242322</v>
      </c>
      <c r="AN212" s="197">
        <f t="shared" si="3533"/>
        <v>-0.40285638455408446</v>
      </c>
      <c r="AO212" s="197">
        <f t="shared" si="3533"/>
        <v>-2.6020000000000323</v>
      </c>
      <c r="AP212" s="197">
        <f t="shared" si="3533"/>
        <v>-8.771000000000015</v>
      </c>
      <c r="AQ212" s="197">
        <f t="shared" si="3533"/>
        <v>-8.9798835382522313E-2</v>
      </c>
      <c r="AR212" s="197">
        <f t="shared" si="3533"/>
        <v>-1.6026773119225624E-2</v>
      </c>
      <c r="AS212" s="197">
        <f t="shared" si="3533"/>
        <v>-0.62397933121494731</v>
      </c>
      <c r="AT212" s="197">
        <f t="shared" si="3533"/>
        <v>0.30700000000001637</v>
      </c>
      <c r="AU212" s="197">
        <f t="shared" si="3533"/>
        <v>1.0233333333331984E-2</v>
      </c>
      <c r="AV212" s="197">
        <f t="shared" si="3533"/>
        <v>-5.1169999999999618</v>
      </c>
      <c r="AW212" s="197">
        <f t="shared" si="3533"/>
        <v>-1.3179999999999978</v>
      </c>
      <c r="AX212" s="197">
        <f t="shared" si="3533"/>
        <v>-0.26819775415125235</v>
      </c>
      <c r="AY212" s="197">
        <f t="shared" si="3533"/>
        <v>-0.13687364287291359</v>
      </c>
      <c r="AZ212" s="197">
        <f t="shared" si="3533"/>
        <v>-4.6630000000000109</v>
      </c>
      <c r="BA212" s="197">
        <f t="shared" si="3533"/>
        <v>0.40599999999997749</v>
      </c>
      <c r="BB212" s="197">
        <f t="shared" si="3533"/>
        <v>-0.12008970390609619</v>
      </c>
      <c r="BC212" s="197">
        <f t="shared" si="3533"/>
        <v>-4.6317641642799501E-2</v>
      </c>
      <c r="BD212" s="197">
        <f t="shared" si="3533"/>
        <v>-0.38828745805734854</v>
      </c>
      <c r="BE212" s="197">
        <f t="shared" si="3533"/>
        <v>-7.8379999999999654</v>
      </c>
      <c r="BF212" s="197">
        <f t="shared" si="3533"/>
        <v>-0.26126666666666409</v>
      </c>
      <c r="BG212" s="197">
        <f t="shared" si="3533"/>
        <v>-6.8300000000000409</v>
      </c>
      <c r="BH212" s="197">
        <f t="shared" si="3533"/>
        <v>-23.912999999999997</v>
      </c>
      <c r="BI212" s="197">
        <f t="shared" si="3533"/>
        <v>-5.1048633053540016E-2</v>
      </c>
      <c r="BJ212" s="197">
        <f t="shared" si="3533"/>
        <v>8.0275478224798746E-2</v>
      </c>
      <c r="BK212" s="197">
        <f t="shared" si="3533"/>
        <v>-7.9150000000000205</v>
      </c>
      <c r="BL212" s="197">
        <f t="shared" si="3533"/>
        <v>-1.3709999999999809</v>
      </c>
      <c r="BM212" s="197">
        <f t="shared" si="3533"/>
        <v>-0.11327651493124513</v>
      </c>
      <c r="BN212" s="197">
        <f t="shared" si="3533"/>
        <v>-3.9504452667948442E-2</v>
      </c>
      <c r="BO212" s="197">
        <f t="shared" ref="BO212:CV212" si="3534">BO83-BO336</f>
        <v>-0.16432514798479048</v>
      </c>
      <c r="BP212" s="197">
        <f t="shared" si="3534"/>
        <v>-1.4999999999986358E-2</v>
      </c>
      <c r="BQ212" s="197">
        <f t="shared" si="3534"/>
        <v>-4.9999999999883471E-4</v>
      </c>
      <c r="BR212" s="197">
        <f t="shared" si="3534"/>
        <v>-0.6029999999999518</v>
      </c>
      <c r="BS212" s="197">
        <f t="shared" si="3534"/>
        <v>-5.8410000000000011</v>
      </c>
      <c r="BT212" s="197">
        <f t="shared" si="3534"/>
        <v>-3.7849495726923976E-2</v>
      </c>
      <c r="BU212" s="197">
        <f t="shared" si="3534"/>
        <v>9.3474615551414786E-2</v>
      </c>
      <c r="BV212" s="197">
        <f t="shared" si="3534"/>
        <v>4.9080000000000155</v>
      </c>
      <c r="BW212" s="197">
        <f t="shared" si="3534"/>
        <v>-10.34899999999999</v>
      </c>
      <c r="BX212" s="197">
        <f t="shared" si="3534"/>
        <v>0.15708654480176598</v>
      </c>
      <c r="BY212" s="197">
        <f t="shared" si="3534"/>
        <v>0.23085860706506267</v>
      </c>
      <c r="BZ212" s="197">
        <f t="shared" si="3534"/>
        <v>0.11923704907484023</v>
      </c>
      <c r="CA212" s="197">
        <f t="shared" si="3534"/>
        <v>12.165000000000077</v>
      </c>
      <c r="CB212" s="197">
        <f t="shared" si="3534"/>
        <v>0.40550000000000352</v>
      </c>
      <c r="CC212" s="197">
        <f t="shared" si="3534"/>
        <v>3.9399999999999977</v>
      </c>
      <c r="CD212" s="197">
        <f t="shared" si="3534"/>
        <v>-1.6829999999999998</v>
      </c>
      <c r="CE212" s="197">
        <f t="shared" si="3534"/>
        <v>-0.42464087427578079</v>
      </c>
      <c r="CF212" s="197">
        <f t="shared" si="3534"/>
        <v>-0.29331676299744203</v>
      </c>
      <c r="CG212" s="197">
        <f t="shared" si="3534"/>
        <v>0.80200000000002092</v>
      </c>
      <c r="CH212" s="197">
        <f t="shared" si="3534"/>
        <v>2.4749999999999943</v>
      </c>
      <c r="CI212" s="197">
        <f t="shared" si="3534"/>
        <v>-0.17180167162347715</v>
      </c>
      <c r="CJ212" s="197">
        <f t="shared" si="3534"/>
        <v>-9.8029609360180459E-2</v>
      </c>
      <c r="CK212" s="197">
        <f t="shared" si="3534"/>
        <v>-0.59644254589925794</v>
      </c>
      <c r="CL212" s="197">
        <f t="shared" si="3534"/>
        <v>1.4000000000010004E-2</v>
      </c>
      <c r="CM212" s="197">
        <f t="shared" si="3534"/>
        <v>4.6666666666794754E-4</v>
      </c>
      <c r="CN212" s="197">
        <f t="shared" si="3534"/>
        <v>5.41700000000003</v>
      </c>
      <c r="CO212" s="197">
        <f t="shared" si="3534"/>
        <v>-8.3930000000000007</v>
      </c>
      <c r="CP212" s="197">
        <f t="shared" si="3534"/>
        <v>0.34265422540217116</v>
      </c>
      <c r="CQ212" s="197">
        <f t="shared" si="3534"/>
        <v>0.47397833668050993</v>
      </c>
      <c r="CR212" s="197">
        <f t="shared" si="3534"/>
        <v>-3.3759999999999764</v>
      </c>
      <c r="CS212" s="197">
        <f t="shared" si="3534"/>
        <v>-3.4339999999999975</v>
      </c>
      <c r="CT212" s="197">
        <f t="shared" si="3534"/>
        <v>-0.10715792523419942</v>
      </c>
      <c r="CU212" s="197">
        <f t="shared" si="3534"/>
        <v>-3.3385862970902735E-2</v>
      </c>
      <c r="CV212" s="197">
        <f t="shared" si="3534"/>
        <v>0.23549630016797352</v>
      </c>
      <c r="CW212" s="197"/>
      <c r="CX212" s="197">
        <f>CX83-CX336</f>
        <v>0</v>
      </c>
      <c r="CY212" s="197">
        <f>CY83-CY336</f>
        <v>0</v>
      </c>
      <c r="CZ212" s="197">
        <f>CZ83-CZ336</f>
        <v>-6.3948846218409017E-14</v>
      </c>
      <c r="DA212" s="197">
        <f>DA83-DA336</f>
        <v>0</v>
      </c>
      <c r="DB212" s="197">
        <f>DB83-DB336</f>
        <v>0</v>
      </c>
      <c r="DC212" s="197">
        <f>DC83-DC336</f>
        <v>0</v>
      </c>
      <c r="DD212" s="197"/>
      <c r="DE212" s="197">
        <f t="shared" ref="DE212:EG212" si="3535">DE83-DE336</f>
        <v>-35.538000000000011</v>
      </c>
      <c r="DF212" s="197">
        <f t="shared" si="3535"/>
        <v>-19.419999999999987</v>
      </c>
      <c r="DG212" s="197">
        <f t="shared" si="3535"/>
        <v>-3.5739999999999981</v>
      </c>
      <c r="DH212" s="197">
        <f t="shared" si="3535"/>
        <v>7.2174750823948974E-3</v>
      </c>
      <c r="DI212" s="197">
        <f t="shared" si="3535"/>
        <v>-30.008999999999986</v>
      </c>
      <c r="DJ212" s="197">
        <f t="shared" si="3535"/>
        <v>-5.7504488329833681E-3</v>
      </c>
      <c r="DK212" s="197">
        <f t="shared" si="3535"/>
        <v>-7.3329999999999984</v>
      </c>
      <c r="DL212" s="197">
        <f t="shared" si="3535"/>
        <v>-7.1200000000000045</v>
      </c>
      <c r="DM212" s="197">
        <f t="shared" si="3535"/>
        <v>6.321128140018839E-5</v>
      </c>
      <c r="DN212" s="197">
        <f t="shared" si="3535"/>
        <v>-5.1800000000000068</v>
      </c>
      <c r="DO212" s="197">
        <f t="shared" si="3535"/>
        <v>-3.8520000000000039</v>
      </c>
      <c r="DP212" s="197">
        <f t="shared" si="3535"/>
        <v>-1.9399999999999977</v>
      </c>
      <c r="DQ212" s="197">
        <f t="shared" si="3535"/>
        <v>-5.7920000000000016</v>
      </c>
      <c r="DR212" s="197">
        <f t="shared" si="3535"/>
        <v>1.4670262494114183E-3</v>
      </c>
      <c r="DS212" s="197">
        <f t="shared" si="3535"/>
        <v>1.1532215526749037</v>
      </c>
      <c r="DT212" s="197">
        <f t="shared" si="3535"/>
        <v>7.576999999999984</v>
      </c>
      <c r="DU212" s="197">
        <f t="shared" si="3535"/>
        <v>1.6739999999999995</v>
      </c>
      <c r="DV212" s="197">
        <f t="shared" si="3535"/>
        <v>-2.2910000000000039</v>
      </c>
      <c r="DW212" s="197">
        <f t="shared" si="3535"/>
        <v>-1.2573092664255825E-2</v>
      </c>
      <c r="DX212" s="197">
        <f t="shared" si="3535"/>
        <v>3.2619999999999969</v>
      </c>
      <c r="DY212" s="197">
        <f t="shared" si="3535"/>
        <v>5.0621680082282988E-3</v>
      </c>
      <c r="DZ212" s="197">
        <f t="shared" si="3535"/>
        <v>-5.4949999999999974</v>
      </c>
      <c r="EA212" s="197">
        <f t="shared" si="3535"/>
        <v>-4.955999999999996</v>
      </c>
      <c r="EB212" s="197">
        <f t="shared" si="3535"/>
        <v>-1.0260176813794875E-2</v>
      </c>
      <c r="EC212" s="197">
        <f t="shared" si="3535"/>
        <v>-1.8509999999999991</v>
      </c>
      <c r="ED212" s="197">
        <f t="shared" si="3535"/>
        <v>2.5</v>
      </c>
      <c r="EE212" s="197">
        <f t="shared" si="3535"/>
        <v>-3.1050000000000004</v>
      </c>
      <c r="EF212" s="197">
        <f t="shared" si="3535"/>
        <v>-0.60500000000000398</v>
      </c>
      <c r="EG212" s="197">
        <f t="shared" si="3535"/>
        <v>-7.51092465602754E-3</v>
      </c>
    </row>
    <row r="213" spans="1:137" hidden="1">
      <c r="A213" s="157">
        <v>44531</v>
      </c>
      <c r="B213" s="197">
        <f>B84-B337</f>
        <v>0</v>
      </c>
      <c r="C213" s="197">
        <f>C84-C337</f>
        <v>0</v>
      </c>
      <c r="D213" s="197">
        <f>D84-D337</f>
        <v>0</v>
      </c>
      <c r="E213" s="197">
        <f>E84-E337</f>
        <v>0</v>
      </c>
      <c r="F213" s="197">
        <f>F84-F337</f>
        <v>0</v>
      </c>
      <c r="G213" s="197"/>
      <c r="H213" s="197"/>
      <c r="I213" s="197">
        <f t="shared" ref="I213:AB213" si="3536">I84-I337</f>
        <v>0</v>
      </c>
      <c r="J213" s="197">
        <f t="shared" si="3536"/>
        <v>0</v>
      </c>
      <c r="K213" s="197">
        <f t="shared" si="3536"/>
        <v>0</v>
      </c>
      <c r="L213" s="197">
        <f t="shared" si="3536"/>
        <v>0</v>
      </c>
      <c r="M213" s="197">
        <f t="shared" si="3536"/>
        <v>0</v>
      </c>
      <c r="N213" s="197">
        <f t="shared" si="3536"/>
        <v>0</v>
      </c>
      <c r="O213" s="197">
        <f t="shared" si="3536"/>
        <v>0</v>
      </c>
      <c r="P213" s="197">
        <f t="shared" si="3536"/>
        <v>0</v>
      </c>
      <c r="Q213" s="197">
        <f t="shared" si="3536"/>
        <v>0</v>
      </c>
      <c r="R213" s="197">
        <f t="shared" si="3536"/>
        <v>0</v>
      </c>
      <c r="S213" s="197">
        <f t="shared" si="3536"/>
        <v>0</v>
      </c>
      <c r="T213" s="197">
        <f t="shared" si="3536"/>
        <v>0</v>
      </c>
      <c r="U213" s="197">
        <f t="shared" si="3536"/>
        <v>0</v>
      </c>
      <c r="V213" s="197">
        <f t="shared" si="3536"/>
        <v>0</v>
      </c>
      <c r="W213" s="197">
        <f t="shared" si="3536"/>
        <v>0</v>
      </c>
      <c r="X213" s="197">
        <f t="shared" si="3536"/>
        <v>0</v>
      </c>
      <c r="Y213" s="197">
        <f t="shared" si="3536"/>
        <v>0</v>
      </c>
      <c r="Z213" s="197">
        <f t="shared" si="3536"/>
        <v>0</v>
      </c>
      <c r="AA213" s="197">
        <f t="shared" si="3536"/>
        <v>0</v>
      </c>
      <c r="AB213" s="197">
        <f t="shared" si="3536"/>
        <v>0</v>
      </c>
      <c r="AC213" s="163"/>
      <c r="AD213" s="163"/>
      <c r="AE213" s="163"/>
      <c r="AF213" s="163"/>
      <c r="AH213" s="197"/>
      <c r="AI213" s="197">
        <f t="shared" ref="AI213:BN213" si="3537">AI84-AI337</f>
        <v>0</v>
      </c>
      <c r="AJ213" s="197">
        <f t="shared" si="3537"/>
        <v>0</v>
      </c>
      <c r="AK213" s="197">
        <f t="shared" si="3537"/>
        <v>0</v>
      </c>
      <c r="AL213" s="197">
        <f t="shared" si="3537"/>
        <v>0</v>
      </c>
      <c r="AM213" s="197">
        <f t="shared" si="3537"/>
        <v>0</v>
      </c>
      <c r="AN213" s="197">
        <f t="shared" si="3537"/>
        <v>0</v>
      </c>
      <c r="AO213" s="197">
        <f t="shared" si="3537"/>
        <v>0</v>
      </c>
      <c r="AP213" s="197">
        <f t="shared" si="3537"/>
        <v>0</v>
      </c>
      <c r="AQ213" s="197">
        <f t="shared" si="3537"/>
        <v>0</v>
      </c>
      <c r="AR213" s="197">
        <f t="shared" si="3537"/>
        <v>0</v>
      </c>
      <c r="AS213" s="197">
        <f t="shared" si="3537"/>
        <v>0</v>
      </c>
      <c r="AT213" s="197">
        <f t="shared" si="3537"/>
        <v>0</v>
      </c>
      <c r="AU213" s="197">
        <f t="shared" si="3537"/>
        <v>0</v>
      </c>
      <c r="AV213" s="197">
        <f t="shared" si="3537"/>
        <v>0</v>
      </c>
      <c r="AW213" s="197">
        <f t="shared" si="3537"/>
        <v>0</v>
      </c>
      <c r="AX213" s="197">
        <f t="shared" si="3537"/>
        <v>0</v>
      </c>
      <c r="AY213" s="197">
        <f t="shared" si="3537"/>
        <v>0</v>
      </c>
      <c r="AZ213" s="197">
        <f t="shared" si="3537"/>
        <v>0</v>
      </c>
      <c r="BA213" s="197">
        <f t="shared" si="3537"/>
        <v>0</v>
      </c>
      <c r="BB213" s="197">
        <f t="shared" si="3537"/>
        <v>0</v>
      </c>
      <c r="BC213" s="197">
        <f t="shared" si="3537"/>
        <v>0</v>
      </c>
      <c r="BD213" s="197">
        <f t="shared" si="3537"/>
        <v>0</v>
      </c>
      <c r="BE213" s="197">
        <f t="shared" si="3537"/>
        <v>0</v>
      </c>
      <c r="BF213" s="197">
        <f t="shared" si="3537"/>
        <v>0</v>
      </c>
      <c r="BG213" s="197">
        <f t="shared" si="3537"/>
        <v>0</v>
      </c>
      <c r="BH213" s="197">
        <f t="shared" si="3537"/>
        <v>0</v>
      </c>
      <c r="BI213" s="197">
        <f t="shared" si="3537"/>
        <v>0</v>
      </c>
      <c r="BJ213" s="197">
        <f t="shared" si="3537"/>
        <v>0</v>
      </c>
      <c r="BK213" s="197">
        <f t="shared" si="3537"/>
        <v>0</v>
      </c>
      <c r="BL213" s="197">
        <f t="shared" si="3537"/>
        <v>0</v>
      </c>
      <c r="BM213" s="197">
        <f t="shared" si="3537"/>
        <v>0</v>
      </c>
      <c r="BN213" s="197">
        <f t="shared" si="3537"/>
        <v>0</v>
      </c>
      <c r="BO213" s="197">
        <f t="shared" ref="BO213:CV213" si="3538">BO84-BO337</f>
        <v>0</v>
      </c>
      <c r="BP213" s="197">
        <f t="shared" si="3538"/>
        <v>0</v>
      </c>
      <c r="BQ213" s="197">
        <f t="shared" si="3538"/>
        <v>0</v>
      </c>
      <c r="BR213" s="197">
        <f t="shared" si="3538"/>
        <v>0</v>
      </c>
      <c r="BS213" s="197">
        <f t="shared" si="3538"/>
        <v>0</v>
      </c>
      <c r="BT213" s="197">
        <f t="shared" si="3538"/>
        <v>0</v>
      </c>
      <c r="BU213" s="197">
        <f t="shared" si="3538"/>
        <v>0</v>
      </c>
      <c r="BV213" s="197">
        <f t="shared" si="3538"/>
        <v>0</v>
      </c>
      <c r="BW213" s="197">
        <f t="shared" si="3538"/>
        <v>0</v>
      </c>
      <c r="BX213" s="197">
        <f t="shared" si="3538"/>
        <v>0</v>
      </c>
      <c r="BY213" s="197">
        <f t="shared" si="3538"/>
        <v>0</v>
      </c>
      <c r="BZ213" s="197">
        <f t="shared" si="3538"/>
        <v>0</v>
      </c>
      <c r="CA213" s="197">
        <f t="shared" si="3538"/>
        <v>0</v>
      </c>
      <c r="CB213" s="197">
        <f t="shared" si="3538"/>
        <v>0</v>
      </c>
      <c r="CC213" s="197">
        <f t="shared" si="3538"/>
        <v>0</v>
      </c>
      <c r="CD213" s="197">
        <f t="shared" si="3538"/>
        <v>0</v>
      </c>
      <c r="CE213" s="197">
        <f t="shared" si="3538"/>
        <v>0</v>
      </c>
      <c r="CF213" s="197">
        <f t="shared" si="3538"/>
        <v>0</v>
      </c>
      <c r="CG213" s="197">
        <f t="shared" si="3538"/>
        <v>0</v>
      </c>
      <c r="CH213" s="197">
        <f t="shared" si="3538"/>
        <v>0</v>
      </c>
      <c r="CI213" s="197">
        <f t="shared" si="3538"/>
        <v>0</v>
      </c>
      <c r="CJ213" s="197">
        <f t="shared" si="3538"/>
        <v>0</v>
      </c>
      <c r="CK213" s="197">
        <f t="shared" si="3538"/>
        <v>0</v>
      </c>
      <c r="CL213" s="197">
        <f t="shared" si="3538"/>
        <v>0</v>
      </c>
      <c r="CM213" s="197">
        <f t="shared" si="3538"/>
        <v>0</v>
      </c>
      <c r="CN213" s="197">
        <f t="shared" si="3538"/>
        <v>0</v>
      </c>
      <c r="CO213" s="197">
        <f t="shared" si="3538"/>
        <v>0</v>
      </c>
      <c r="CP213" s="197">
        <f t="shared" si="3538"/>
        <v>0</v>
      </c>
      <c r="CQ213" s="197">
        <f t="shared" si="3538"/>
        <v>0</v>
      </c>
      <c r="CR213" s="197">
        <f t="shared" si="3538"/>
        <v>0</v>
      </c>
      <c r="CS213" s="197">
        <f t="shared" si="3538"/>
        <v>0</v>
      </c>
      <c r="CT213" s="197">
        <f t="shared" si="3538"/>
        <v>0</v>
      </c>
      <c r="CU213" s="197">
        <f t="shared" si="3538"/>
        <v>0</v>
      </c>
      <c r="CV213" s="197">
        <f t="shared" si="3538"/>
        <v>0</v>
      </c>
      <c r="CW213" s="197"/>
      <c r="CX213" s="197">
        <f>CX84-CX337</f>
        <v>0</v>
      </c>
      <c r="CY213" s="197">
        <f>CY84-CY337</f>
        <v>0</v>
      </c>
      <c r="CZ213" s="197">
        <f>CZ84-CZ337</f>
        <v>0</v>
      </c>
      <c r="DA213" s="197">
        <f>DA84-DA337</f>
        <v>0</v>
      </c>
      <c r="DB213" s="197">
        <f>DB84-DB337</f>
        <v>0</v>
      </c>
      <c r="DC213" s="197">
        <f>DC84-DC337</f>
        <v>0</v>
      </c>
      <c r="DD213" s="197"/>
      <c r="DE213" s="197">
        <f t="shared" ref="DE213:EG213" si="3539">DE84-DE337</f>
        <v>0</v>
      </c>
      <c r="DF213" s="197">
        <f t="shared" si="3539"/>
        <v>0</v>
      </c>
      <c r="DG213" s="197">
        <f t="shared" si="3539"/>
        <v>0</v>
      </c>
      <c r="DH213" s="197">
        <f t="shared" si="3539"/>
        <v>0</v>
      </c>
      <c r="DI213" s="197">
        <f t="shared" si="3539"/>
        <v>0</v>
      </c>
      <c r="DJ213" s="197">
        <f t="shared" si="3539"/>
        <v>0</v>
      </c>
      <c r="DK213" s="197">
        <f t="shared" si="3539"/>
        <v>0</v>
      </c>
      <c r="DL213" s="197">
        <f t="shared" si="3539"/>
        <v>0</v>
      </c>
      <c r="DM213" s="197">
        <f t="shared" si="3539"/>
        <v>0</v>
      </c>
      <c r="DN213" s="197">
        <f t="shared" si="3539"/>
        <v>0</v>
      </c>
      <c r="DO213" s="197">
        <f t="shared" si="3539"/>
        <v>0</v>
      </c>
      <c r="DP213" s="197">
        <f t="shared" si="3539"/>
        <v>0</v>
      </c>
      <c r="DQ213" s="197">
        <f t="shared" si="3539"/>
        <v>0</v>
      </c>
      <c r="DR213" s="197">
        <f t="shared" si="3539"/>
        <v>0</v>
      </c>
      <c r="DS213" s="197">
        <f t="shared" si="3539"/>
        <v>1.0842738954909876</v>
      </c>
      <c r="DT213" s="197">
        <f t="shared" si="3539"/>
        <v>0</v>
      </c>
      <c r="DU213" s="197">
        <f t="shared" si="3539"/>
        <v>0</v>
      </c>
      <c r="DV213" s="197">
        <f t="shared" si="3539"/>
        <v>0</v>
      </c>
      <c r="DW213" s="197">
        <f t="shared" si="3539"/>
        <v>0</v>
      </c>
      <c r="DX213" s="197">
        <f t="shared" si="3539"/>
        <v>0</v>
      </c>
      <c r="DY213" s="197">
        <f t="shared" si="3539"/>
        <v>0</v>
      </c>
      <c r="DZ213" s="197">
        <f t="shared" si="3539"/>
        <v>0</v>
      </c>
      <c r="EA213" s="197">
        <f t="shared" si="3539"/>
        <v>0</v>
      </c>
      <c r="EB213" s="197">
        <f t="shared" si="3539"/>
        <v>0</v>
      </c>
      <c r="EC213" s="197">
        <f t="shared" si="3539"/>
        <v>0</v>
      </c>
      <c r="ED213" s="197">
        <f t="shared" si="3539"/>
        <v>0</v>
      </c>
      <c r="EE213" s="197">
        <f t="shared" si="3539"/>
        <v>0</v>
      </c>
      <c r="EF213" s="197">
        <f t="shared" si="3539"/>
        <v>0</v>
      </c>
      <c r="EG213" s="197">
        <f t="shared" si="3539"/>
        <v>0</v>
      </c>
    </row>
    <row r="214" spans="1:137" hidden="1">
      <c r="A214" s="157">
        <v>44562</v>
      </c>
      <c r="B214" s="197">
        <f>B85-B338</f>
        <v>0</v>
      </c>
      <c r="C214" s="197">
        <f>C85-C338</f>
        <v>0</v>
      </c>
      <c r="D214" s="197">
        <f>D85-D338</f>
        <v>0</v>
      </c>
      <c r="E214" s="197">
        <f>E85-E338</f>
        <v>0</v>
      </c>
      <c r="F214" s="197">
        <f>F85-F338</f>
        <v>0</v>
      </c>
      <c r="G214" s="197"/>
      <c r="H214" s="197"/>
      <c r="I214" s="197">
        <f t="shared" ref="I214:AB214" si="3540">I85-I338</f>
        <v>0</v>
      </c>
      <c r="J214" s="197">
        <f t="shared" si="3540"/>
        <v>0</v>
      </c>
      <c r="K214" s="197">
        <f t="shared" si="3540"/>
        <v>0</v>
      </c>
      <c r="L214" s="197">
        <f t="shared" si="3540"/>
        <v>0</v>
      </c>
      <c r="M214" s="197">
        <f t="shared" si="3540"/>
        <v>0</v>
      </c>
      <c r="N214" s="197">
        <f t="shared" si="3540"/>
        <v>0</v>
      </c>
      <c r="O214" s="197">
        <f t="shared" si="3540"/>
        <v>0</v>
      </c>
      <c r="P214" s="197">
        <f t="shared" si="3540"/>
        <v>0</v>
      </c>
      <c r="Q214" s="197">
        <f t="shared" si="3540"/>
        <v>0</v>
      </c>
      <c r="R214" s="197">
        <f t="shared" si="3540"/>
        <v>0</v>
      </c>
      <c r="S214" s="197">
        <f t="shared" si="3540"/>
        <v>0</v>
      </c>
      <c r="T214" s="197">
        <f t="shared" si="3540"/>
        <v>0</v>
      </c>
      <c r="U214" s="197">
        <f t="shared" si="3540"/>
        <v>0</v>
      </c>
      <c r="V214" s="197">
        <f t="shared" si="3540"/>
        <v>0</v>
      </c>
      <c r="W214" s="197">
        <f t="shared" si="3540"/>
        <v>0</v>
      </c>
      <c r="X214" s="197">
        <f t="shared" si="3540"/>
        <v>0</v>
      </c>
      <c r="Y214" s="197">
        <f t="shared" si="3540"/>
        <v>0</v>
      </c>
      <c r="Z214" s="197">
        <f t="shared" si="3540"/>
        <v>0</v>
      </c>
      <c r="AA214" s="197">
        <f t="shared" si="3540"/>
        <v>0</v>
      </c>
      <c r="AB214" s="197">
        <f t="shared" si="3540"/>
        <v>0</v>
      </c>
      <c r="AC214" s="163"/>
      <c r="AD214" s="163"/>
      <c r="AE214" s="163"/>
      <c r="AF214" s="163"/>
      <c r="AH214" s="197"/>
      <c r="AI214" s="197">
        <f t="shared" ref="AI214:BN214" si="3541">AI85-AI338</f>
        <v>0</v>
      </c>
      <c r="AJ214" s="197">
        <f t="shared" si="3541"/>
        <v>0</v>
      </c>
      <c r="AK214" s="197">
        <f t="shared" si="3541"/>
        <v>0</v>
      </c>
      <c r="AL214" s="197">
        <f t="shared" si="3541"/>
        <v>0</v>
      </c>
      <c r="AM214" s="197">
        <f t="shared" si="3541"/>
        <v>0</v>
      </c>
      <c r="AN214" s="197">
        <f t="shared" si="3541"/>
        <v>0</v>
      </c>
      <c r="AO214" s="197">
        <f t="shared" si="3541"/>
        <v>0</v>
      </c>
      <c r="AP214" s="197">
        <f t="shared" si="3541"/>
        <v>0</v>
      </c>
      <c r="AQ214" s="197">
        <f t="shared" si="3541"/>
        <v>0</v>
      </c>
      <c r="AR214" s="197">
        <f t="shared" si="3541"/>
        <v>0</v>
      </c>
      <c r="AS214" s="197">
        <f t="shared" si="3541"/>
        <v>0</v>
      </c>
      <c r="AT214" s="197">
        <f t="shared" si="3541"/>
        <v>0</v>
      </c>
      <c r="AU214" s="197">
        <f t="shared" si="3541"/>
        <v>0</v>
      </c>
      <c r="AV214" s="197">
        <f t="shared" si="3541"/>
        <v>0</v>
      </c>
      <c r="AW214" s="197">
        <f t="shared" si="3541"/>
        <v>0</v>
      </c>
      <c r="AX214" s="197">
        <f t="shared" si="3541"/>
        <v>0</v>
      </c>
      <c r="AY214" s="197">
        <f t="shared" si="3541"/>
        <v>0</v>
      </c>
      <c r="AZ214" s="197">
        <f t="shared" si="3541"/>
        <v>0</v>
      </c>
      <c r="BA214" s="197">
        <f t="shared" si="3541"/>
        <v>0</v>
      </c>
      <c r="BB214" s="197">
        <f t="shared" si="3541"/>
        <v>0</v>
      </c>
      <c r="BC214" s="197">
        <f t="shared" si="3541"/>
        <v>0</v>
      </c>
      <c r="BD214" s="197">
        <f t="shared" si="3541"/>
        <v>0</v>
      </c>
      <c r="BE214" s="197">
        <f t="shared" si="3541"/>
        <v>0</v>
      </c>
      <c r="BF214" s="197">
        <f t="shared" si="3541"/>
        <v>0</v>
      </c>
      <c r="BG214" s="197">
        <f t="shared" si="3541"/>
        <v>0</v>
      </c>
      <c r="BH214" s="197">
        <f t="shared" si="3541"/>
        <v>0</v>
      </c>
      <c r="BI214" s="197">
        <f t="shared" si="3541"/>
        <v>0</v>
      </c>
      <c r="BJ214" s="197">
        <f t="shared" si="3541"/>
        <v>0</v>
      </c>
      <c r="BK214" s="197">
        <f t="shared" si="3541"/>
        <v>0</v>
      </c>
      <c r="BL214" s="197">
        <f t="shared" si="3541"/>
        <v>0</v>
      </c>
      <c r="BM214" s="197">
        <f t="shared" si="3541"/>
        <v>0</v>
      </c>
      <c r="BN214" s="197">
        <f t="shared" si="3541"/>
        <v>0</v>
      </c>
      <c r="BO214" s="197">
        <f t="shared" ref="BO214:CV214" si="3542">BO85-BO338</f>
        <v>0</v>
      </c>
      <c r="BP214" s="197">
        <f t="shared" si="3542"/>
        <v>0</v>
      </c>
      <c r="BQ214" s="197">
        <f t="shared" si="3542"/>
        <v>0</v>
      </c>
      <c r="BR214" s="197">
        <f t="shared" si="3542"/>
        <v>0</v>
      </c>
      <c r="BS214" s="197">
        <f t="shared" si="3542"/>
        <v>0</v>
      </c>
      <c r="BT214" s="197">
        <f t="shared" si="3542"/>
        <v>0</v>
      </c>
      <c r="BU214" s="197">
        <f t="shared" si="3542"/>
        <v>0</v>
      </c>
      <c r="BV214" s="197">
        <f t="shared" si="3542"/>
        <v>0</v>
      </c>
      <c r="BW214" s="197">
        <f t="shared" si="3542"/>
        <v>0</v>
      </c>
      <c r="BX214" s="197">
        <f t="shared" si="3542"/>
        <v>0</v>
      </c>
      <c r="BY214" s="197">
        <f t="shared" si="3542"/>
        <v>0</v>
      </c>
      <c r="BZ214" s="197">
        <f t="shared" si="3542"/>
        <v>0</v>
      </c>
      <c r="CA214" s="197">
        <f t="shared" si="3542"/>
        <v>0</v>
      </c>
      <c r="CB214" s="197">
        <f t="shared" si="3542"/>
        <v>0</v>
      </c>
      <c r="CC214" s="197">
        <f t="shared" si="3542"/>
        <v>0</v>
      </c>
      <c r="CD214" s="197">
        <f t="shared" si="3542"/>
        <v>0</v>
      </c>
      <c r="CE214" s="197">
        <f t="shared" si="3542"/>
        <v>0</v>
      </c>
      <c r="CF214" s="197">
        <f t="shared" si="3542"/>
        <v>0</v>
      </c>
      <c r="CG214" s="197">
        <f t="shared" si="3542"/>
        <v>0</v>
      </c>
      <c r="CH214" s="197">
        <f t="shared" si="3542"/>
        <v>0</v>
      </c>
      <c r="CI214" s="197">
        <f t="shared" si="3542"/>
        <v>0</v>
      </c>
      <c r="CJ214" s="197">
        <f t="shared" si="3542"/>
        <v>0</v>
      </c>
      <c r="CK214" s="197">
        <f t="shared" si="3542"/>
        <v>0</v>
      </c>
      <c r="CL214" s="197">
        <f t="shared" si="3542"/>
        <v>0</v>
      </c>
      <c r="CM214" s="197">
        <f t="shared" si="3542"/>
        <v>0</v>
      </c>
      <c r="CN214" s="197">
        <f t="shared" si="3542"/>
        <v>0</v>
      </c>
      <c r="CO214" s="197">
        <f t="shared" si="3542"/>
        <v>0</v>
      </c>
      <c r="CP214" s="197">
        <f t="shared" si="3542"/>
        <v>0</v>
      </c>
      <c r="CQ214" s="197">
        <f t="shared" si="3542"/>
        <v>0</v>
      </c>
      <c r="CR214" s="197">
        <f t="shared" si="3542"/>
        <v>0</v>
      </c>
      <c r="CS214" s="197">
        <f t="shared" si="3542"/>
        <v>0</v>
      </c>
      <c r="CT214" s="197">
        <f t="shared" si="3542"/>
        <v>0</v>
      </c>
      <c r="CU214" s="197">
        <f t="shared" si="3542"/>
        <v>0</v>
      </c>
      <c r="CV214" s="197">
        <f t="shared" si="3542"/>
        <v>0</v>
      </c>
      <c r="CW214" s="197"/>
      <c r="CX214" s="197">
        <f>CX85-CX338</f>
        <v>0</v>
      </c>
      <c r="CY214" s="197">
        <f>CY85-CY338</f>
        <v>0</v>
      </c>
      <c r="CZ214" s="197">
        <f>CZ85-CZ338</f>
        <v>0</v>
      </c>
      <c r="DA214" s="197">
        <f>DA85-DA338</f>
        <v>0</v>
      </c>
      <c r="DB214" s="197">
        <f>DB85-DB338</f>
        <v>0</v>
      </c>
      <c r="DC214" s="197">
        <f>DC85-DC338</f>
        <v>0</v>
      </c>
      <c r="DD214" s="197"/>
      <c r="DE214" s="197">
        <f t="shared" ref="DE214:EG214" si="3543">DE85-DE338</f>
        <v>0</v>
      </c>
      <c r="DF214" s="197">
        <f t="shared" si="3543"/>
        <v>0</v>
      </c>
      <c r="DG214" s="197">
        <f t="shared" si="3543"/>
        <v>0</v>
      </c>
      <c r="DH214" s="197">
        <f t="shared" si="3543"/>
        <v>0</v>
      </c>
      <c r="DI214" s="197">
        <f t="shared" si="3543"/>
        <v>0</v>
      </c>
      <c r="DJ214" s="197">
        <f t="shared" si="3543"/>
        <v>0</v>
      </c>
      <c r="DK214" s="197">
        <f t="shared" si="3543"/>
        <v>0</v>
      </c>
      <c r="DL214" s="197">
        <f t="shared" si="3543"/>
        <v>0</v>
      </c>
      <c r="DM214" s="197">
        <f t="shared" si="3543"/>
        <v>0</v>
      </c>
      <c r="DN214" s="197">
        <f t="shared" si="3543"/>
        <v>0</v>
      </c>
      <c r="DO214" s="197">
        <f t="shared" si="3543"/>
        <v>0</v>
      </c>
      <c r="DP214" s="197">
        <f t="shared" si="3543"/>
        <v>0</v>
      </c>
      <c r="DQ214" s="197">
        <f t="shared" si="3543"/>
        <v>0</v>
      </c>
      <c r="DR214" s="197">
        <f t="shared" si="3543"/>
        <v>0</v>
      </c>
      <c r="DS214" s="197">
        <f t="shared" si="3543"/>
        <v>1.1229347893418757</v>
      </c>
      <c r="DT214" s="197">
        <f t="shared" si="3543"/>
        <v>0</v>
      </c>
      <c r="DU214" s="197">
        <f t="shared" si="3543"/>
        <v>0</v>
      </c>
      <c r="DV214" s="197">
        <f t="shared" si="3543"/>
        <v>0</v>
      </c>
      <c r="DW214" s="197">
        <f t="shared" si="3543"/>
        <v>0</v>
      </c>
      <c r="DX214" s="197">
        <f t="shared" si="3543"/>
        <v>0</v>
      </c>
      <c r="DY214" s="197">
        <f t="shared" si="3543"/>
        <v>0</v>
      </c>
      <c r="DZ214" s="197">
        <f t="shared" si="3543"/>
        <v>0</v>
      </c>
      <c r="EA214" s="197">
        <f t="shared" si="3543"/>
        <v>0</v>
      </c>
      <c r="EB214" s="197">
        <f t="shared" si="3543"/>
        <v>0</v>
      </c>
      <c r="EC214" s="197">
        <f t="shared" si="3543"/>
        <v>0</v>
      </c>
      <c r="ED214" s="197">
        <f t="shared" si="3543"/>
        <v>0</v>
      </c>
      <c r="EE214" s="197">
        <f t="shared" si="3543"/>
        <v>0</v>
      </c>
      <c r="EF214" s="197">
        <f t="shared" si="3543"/>
        <v>0</v>
      </c>
      <c r="EG214" s="197">
        <f t="shared" si="3543"/>
        <v>0</v>
      </c>
    </row>
    <row r="215" spans="1:137" hidden="1">
      <c r="A215" s="157">
        <v>44593</v>
      </c>
      <c r="B215" s="197">
        <f>B86-B339</f>
        <v>0</v>
      </c>
      <c r="C215" s="197">
        <f>C86-C339</f>
        <v>0</v>
      </c>
      <c r="D215" s="197">
        <f>D86-D339</f>
        <v>0</v>
      </c>
      <c r="E215" s="197">
        <f>E86-E339</f>
        <v>0</v>
      </c>
      <c r="F215" s="197">
        <f>F86-F339</f>
        <v>0</v>
      </c>
      <c r="G215" s="197"/>
      <c r="H215" s="197"/>
      <c r="I215" s="197">
        <f t="shared" ref="I215:AB215" si="3544">I86-I339</f>
        <v>0</v>
      </c>
      <c r="J215" s="197">
        <f t="shared" si="3544"/>
        <v>0</v>
      </c>
      <c r="K215" s="197">
        <f t="shared" si="3544"/>
        <v>0</v>
      </c>
      <c r="L215" s="197">
        <f t="shared" si="3544"/>
        <v>0</v>
      </c>
      <c r="M215" s="197">
        <f t="shared" si="3544"/>
        <v>0</v>
      </c>
      <c r="N215" s="197">
        <f t="shared" si="3544"/>
        <v>0</v>
      </c>
      <c r="O215" s="197">
        <f t="shared" si="3544"/>
        <v>0</v>
      </c>
      <c r="P215" s="197">
        <f t="shared" si="3544"/>
        <v>0</v>
      </c>
      <c r="Q215" s="197">
        <f t="shared" si="3544"/>
        <v>0</v>
      </c>
      <c r="R215" s="197">
        <f t="shared" si="3544"/>
        <v>0</v>
      </c>
      <c r="S215" s="197">
        <f t="shared" si="3544"/>
        <v>0</v>
      </c>
      <c r="T215" s="197">
        <f t="shared" si="3544"/>
        <v>0</v>
      </c>
      <c r="U215" s="197">
        <f t="shared" si="3544"/>
        <v>0</v>
      </c>
      <c r="V215" s="197">
        <f t="shared" si="3544"/>
        <v>0</v>
      </c>
      <c r="W215" s="197">
        <f t="shared" si="3544"/>
        <v>0</v>
      </c>
      <c r="X215" s="197">
        <f t="shared" si="3544"/>
        <v>0</v>
      </c>
      <c r="Y215" s="197">
        <f t="shared" si="3544"/>
        <v>0</v>
      </c>
      <c r="Z215" s="197">
        <f t="shared" si="3544"/>
        <v>-0.82699999999999818</v>
      </c>
      <c r="AA215" s="197">
        <f t="shared" si="3544"/>
        <v>-0.97700000000008913</v>
      </c>
      <c r="AB215" s="197">
        <f t="shared" si="3544"/>
        <v>1.0514919552110508E-4</v>
      </c>
      <c r="AC215" s="163"/>
      <c r="AD215" s="163"/>
      <c r="AE215" s="163"/>
      <c r="AF215" s="163"/>
      <c r="AH215" s="197"/>
      <c r="AI215" s="197">
        <f t="shared" ref="AI215:BN215" si="3545">AI86-AI339</f>
        <v>0</v>
      </c>
      <c r="AJ215" s="197">
        <f t="shared" si="3545"/>
        <v>0</v>
      </c>
      <c r="AK215" s="197">
        <f t="shared" si="3545"/>
        <v>0</v>
      </c>
      <c r="AL215" s="197">
        <f t="shared" si="3545"/>
        <v>0</v>
      </c>
      <c r="AM215" s="197">
        <f t="shared" si="3545"/>
        <v>0</v>
      </c>
      <c r="AN215" s="197">
        <f t="shared" si="3545"/>
        <v>0</v>
      </c>
      <c r="AO215" s="197">
        <f t="shared" si="3545"/>
        <v>0</v>
      </c>
      <c r="AP215" s="197">
        <f t="shared" si="3545"/>
        <v>0</v>
      </c>
      <c r="AQ215" s="197">
        <f t="shared" si="3545"/>
        <v>0</v>
      </c>
      <c r="AR215" s="197">
        <f t="shared" si="3545"/>
        <v>0</v>
      </c>
      <c r="AS215" s="197">
        <f t="shared" si="3545"/>
        <v>0</v>
      </c>
      <c r="AT215" s="197">
        <f t="shared" si="3545"/>
        <v>0</v>
      </c>
      <c r="AU215" s="197">
        <f t="shared" si="3545"/>
        <v>0</v>
      </c>
      <c r="AV215" s="197">
        <f t="shared" si="3545"/>
        <v>0</v>
      </c>
      <c r="AW215" s="197">
        <f t="shared" si="3545"/>
        <v>0</v>
      </c>
      <c r="AX215" s="197">
        <f t="shared" si="3545"/>
        <v>0</v>
      </c>
      <c r="AY215" s="197">
        <f t="shared" si="3545"/>
        <v>0</v>
      </c>
      <c r="AZ215" s="197">
        <f t="shared" si="3545"/>
        <v>0</v>
      </c>
      <c r="BA215" s="197">
        <f t="shared" si="3545"/>
        <v>0</v>
      </c>
      <c r="BB215" s="197">
        <f t="shared" si="3545"/>
        <v>0</v>
      </c>
      <c r="BC215" s="197">
        <f t="shared" si="3545"/>
        <v>0</v>
      </c>
      <c r="BD215" s="197">
        <f t="shared" si="3545"/>
        <v>0</v>
      </c>
      <c r="BE215" s="197">
        <f t="shared" si="3545"/>
        <v>0</v>
      </c>
      <c r="BF215" s="197">
        <f t="shared" si="3545"/>
        <v>0</v>
      </c>
      <c r="BG215" s="197">
        <f t="shared" si="3545"/>
        <v>0</v>
      </c>
      <c r="BH215" s="197">
        <f t="shared" si="3545"/>
        <v>0</v>
      </c>
      <c r="BI215" s="197">
        <f t="shared" si="3545"/>
        <v>0</v>
      </c>
      <c r="BJ215" s="197">
        <f t="shared" si="3545"/>
        <v>0</v>
      </c>
      <c r="BK215" s="197">
        <f t="shared" si="3545"/>
        <v>0</v>
      </c>
      <c r="BL215" s="197">
        <f t="shared" si="3545"/>
        <v>0</v>
      </c>
      <c r="BM215" s="197">
        <f t="shared" si="3545"/>
        <v>0</v>
      </c>
      <c r="BN215" s="197">
        <f t="shared" si="3545"/>
        <v>0</v>
      </c>
      <c r="BO215" s="197">
        <f t="shared" ref="BO215:CV215" si="3546">BO86-BO339</f>
        <v>0</v>
      </c>
      <c r="BP215" s="197">
        <f t="shared" si="3546"/>
        <v>0</v>
      </c>
      <c r="BQ215" s="197">
        <f t="shared" si="3546"/>
        <v>0</v>
      </c>
      <c r="BR215" s="197">
        <f t="shared" si="3546"/>
        <v>0</v>
      </c>
      <c r="BS215" s="197">
        <f t="shared" si="3546"/>
        <v>0</v>
      </c>
      <c r="BT215" s="197">
        <f t="shared" si="3546"/>
        <v>0</v>
      </c>
      <c r="BU215" s="197">
        <f t="shared" si="3546"/>
        <v>0</v>
      </c>
      <c r="BV215" s="197">
        <f t="shared" si="3546"/>
        <v>0</v>
      </c>
      <c r="BW215" s="197">
        <f t="shared" si="3546"/>
        <v>0</v>
      </c>
      <c r="BX215" s="197">
        <f t="shared" si="3546"/>
        <v>0</v>
      </c>
      <c r="BY215" s="197">
        <f t="shared" si="3546"/>
        <v>0</v>
      </c>
      <c r="BZ215" s="197">
        <f t="shared" si="3546"/>
        <v>0</v>
      </c>
      <c r="CA215" s="197">
        <f t="shared" si="3546"/>
        <v>0</v>
      </c>
      <c r="CB215" s="197">
        <f t="shared" si="3546"/>
        <v>0</v>
      </c>
      <c r="CC215" s="197">
        <f t="shared" si="3546"/>
        <v>0</v>
      </c>
      <c r="CD215" s="197">
        <f t="shared" si="3546"/>
        <v>0</v>
      </c>
      <c r="CE215" s="197">
        <f t="shared" si="3546"/>
        <v>0</v>
      </c>
      <c r="CF215" s="197">
        <f t="shared" si="3546"/>
        <v>0</v>
      </c>
      <c r="CG215" s="197">
        <f t="shared" si="3546"/>
        <v>0</v>
      </c>
      <c r="CH215" s="197">
        <f t="shared" si="3546"/>
        <v>0</v>
      </c>
      <c r="CI215" s="197">
        <f t="shared" si="3546"/>
        <v>0</v>
      </c>
      <c r="CJ215" s="197">
        <f t="shared" si="3546"/>
        <v>0</v>
      </c>
      <c r="CK215" s="197">
        <f t="shared" si="3546"/>
        <v>0</v>
      </c>
      <c r="CL215" s="197">
        <f t="shared" si="3546"/>
        <v>0</v>
      </c>
      <c r="CM215" s="197">
        <f t="shared" si="3546"/>
        <v>0</v>
      </c>
      <c r="CN215" s="197">
        <f t="shared" si="3546"/>
        <v>0</v>
      </c>
      <c r="CO215" s="197">
        <f t="shared" si="3546"/>
        <v>0</v>
      </c>
      <c r="CP215" s="197">
        <f t="shared" si="3546"/>
        <v>0</v>
      </c>
      <c r="CQ215" s="197">
        <f t="shared" si="3546"/>
        <v>0</v>
      </c>
      <c r="CR215" s="197">
        <f t="shared" si="3546"/>
        <v>0</v>
      </c>
      <c r="CS215" s="197">
        <f t="shared" si="3546"/>
        <v>0</v>
      </c>
      <c r="CT215" s="197">
        <f t="shared" si="3546"/>
        <v>0</v>
      </c>
      <c r="CU215" s="197">
        <f t="shared" si="3546"/>
        <v>0</v>
      </c>
      <c r="CV215" s="197">
        <f t="shared" si="3546"/>
        <v>0</v>
      </c>
      <c r="CW215" s="197"/>
      <c r="CX215" s="197">
        <f>CX86-CX339</f>
        <v>0</v>
      </c>
      <c r="CY215" s="197">
        <f>CY86-CY339</f>
        <v>0</v>
      </c>
      <c r="CZ215" s="197">
        <f>CZ86-CZ339</f>
        <v>0</v>
      </c>
      <c r="DA215" s="197">
        <f>DA86-DA339</f>
        <v>0</v>
      </c>
      <c r="DB215" s="197">
        <f>DB86-DB339</f>
        <v>0</v>
      </c>
      <c r="DC215" s="197">
        <f>DC86-DC339</f>
        <v>0</v>
      </c>
      <c r="DD215" s="197"/>
      <c r="DE215" s="197">
        <f t="shared" ref="DE215:EG215" si="3547">DE86-DE339</f>
        <v>0</v>
      </c>
      <c r="DF215" s="197">
        <f t="shared" si="3547"/>
        <v>0</v>
      </c>
      <c r="DG215" s="197">
        <f t="shared" si="3547"/>
        <v>0</v>
      </c>
      <c r="DH215" s="197">
        <f t="shared" si="3547"/>
        <v>0</v>
      </c>
      <c r="DI215" s="197">
        <f t="shared" si="3547"/>
        <v>0</v>
      </c>
      <c r="DJ215" s="197">
        <f t="shared" si="3547"/>
        <v>0</v>
      </c>
      <c r="DK215" s="197">
        <f t="shared" si="3547"/>
        <v>0</v>
      </c>
      <c r="DL215" s="197">
        <f t="shared" si="3547"/>
        <v>0</v>
      </c>
      <c r="DM215" s="197">
        <f t="shared" si="3547"/>
        <v>0</v>
      </c>
      <c r="DN215" s="197">
        <f t="shared" si="3547"/>
        <v>-2.3640000000000043</v>
      </c>
      <c r="DO215" s="197">
        <f t="shared" si="3547"/>
        <v>0</v>
      </c>
      <c r="DP215" s="197">
        <f t="shared" si="3547"/>
        <v>0</v>
      </c>
      <c r="DQ215" s="197">
        <f t="shared" si="3547"/>
        <v>0</v>
      </c>
      <c r="DR215" s="197">
        <f t="shared" si="3547"/>
        <v>0</v>
      </c>
      <c r="DS215" s="197">
        <f t="shared" si="3547"/>
        <v>0.99161019045263421</v>
      </c>
      <c r="DT215" s="197">
        <f t="shared" si="3547"/>
        <v>0</v>
      </c>
      <c r="DU215" s="197">
        <f t="shared" si="3547"/>
        <v>0</v>
      </c>
      <c r="DV215" s="197">
        <f t="shared" si="3547"/>
        <v>0</v>
      </c>
      <c r="DW215" s="197">
        <f t="shared" si="3547"/>
        <v>0</v>
      </c>
      <c r="DX215" s="197">
        <f t="shared" si="3547"/>
        <v>0</v>
      </c>
      <c r="DY215" s="197">
        <f t="shared" si="3547"/>
        <v>0</v>
      </c>
      <c r="DZ215" s="197">
        <f t="shared" si="3547"/>
        <v>0</v>
      </c>
      <c r="EA215" s="197">
        <f t="shared" si="3547"/>
        <v>0</v>
      </c>
      <c r="EB215" s="197">
        <f t="shared" si="3547"/>
        <v>0</v>
      </c>
      <c r="EC215" s="197">
        <f t="shared" si="3547"/>
        <v>0</v>
      </c>
      <c r="ED215" s="197">
        <f t="shared" si="3547"/>
        <v>0</v>
      </c>
      <c r="EE215" s="197">
        <f t="shared" si="3547"/>
        <v>0</v>
      </c>
      <c r="EF215" s="197">
        <f t="shared" si="3547"/>
        <v>0</v>
      </c>
      <c r="EG215" s="197">
        <f t="shared" si="3547"/>
        <v>0</v>
      </c>
    </row>
    <row r="216" spans="1:137" hidden="1">
      <c r="A216" s="157">
        <v>44621</v>
      </c>
      <c r="B216" s="197">
        <f>B87-B340</f>
        <v>0</v>
      </c>
      <c r="C216" s="197">
        <f>C87-C340</f>
        <v>0</v>
      </c>
      <c r="D216" s="197">
        <f>D87-D340</f>
        <v>-0.70600000000001728</v>
      </c>
      <c r="E216" s="197">
        <f>E87-E340</f>
        <v>-4.1058049489053339E-3</v>
      </c>
      <c r="F216" s="197">
        <f>F87-F340</f>
        <v>0</v>
      </c>
      <c r="G216" s="197">
        <f>G87-G340</f>
        <v>0</v>
      </c>
      <c r="H216" s="197">
        <f>H87-H340</f>
        <v>0</v>
      </c>
      <c r="I216" s="197">
        <f t="shared" ref="I216:AB216" si="3548">I87-I340</f>
        <v>0</v>
      </c>
      <c r="J216" s="197">
        <f t="shared" si="3548"/>
        <v>0</v>
      </c>
      <c r="K216" s="197">
        <f t="shared" si="3548"/>
        <v>0</v>
      </c>
      <c r="L216" s="197">
        <f t="shared" si="3548"/>
        <v>0</v>
      </c>
      <c r="M216" s="197">
        <f t="shared" si="3548"/>
        <v>0</v>
      </c>
      <c r="N216" s="197">
        <f t="shared" si="3548"/>
        <v>0</v>
      </c>
      <c r="O216" s="197">
        <f t="shared" si="3548"/>
        <v>0</v>
      </c>
      <c r="P216" s="197">
        <f t="shared" si="3548"/>
        <v>0</v>
      </c>
      <c r="Q216" s="197">
        <f t="shared" si="3548"/>
        <v>0</v>
      </c>
      <c r="R216" s="197">
        <f t="shared" si="3548"/>
        <v>0</v>
      </c>
      <c r="S216" s="197">
        <f t="shared" si="3548"/>
        <v>0</v>
      </c>
      <c r="T216" s="197">
        <f t="shared" si="3548"/>
        <v>0</v>
      </c>
      <c r="U216" s="197">
        <f t="shared" si="3548"/>
        <v>0</v>
      </c>
      <c r="V216" s="197">
        <f t="shared" si="3548"/>
        <v>0</v>
      </c>
      <c r="W216" s="197">
        <f t="shared" si="3548"/>
        <v>0</v>
      </c>
      <c r="X216" s="197">
        <f t="shared" si="3548"/>
        <v>9.9999999999997868E-3</v>
      </c>
      <c r="Y216" s="197">
        <f t="shared" si="3548"/>
        <v>0</v>
      </c>
      <c r="Z216" s="197">
        <f t="shared" si="3548"/>
        <v>0</v>
      </c>
      <c r="AA216" s="197">
        <f t="shared" si="3548"/>
        <v>0</v>
      </c>
      <c r="AB216" s="197">
        <f t="shared" si="3548"/>
        <v>0</v>
      </c>
      <c r="AC216" s="197">
        <f>AC87-AC340</f>
        <v>0</v>
      </c>
      <c r="AD216" s="197">
        <f>AD87-AD340</f>
        <v>0</v>
      </c>
      <c r="AE216" s="197">
        <f>AE87-AE340</f>
        <v>0</v>
      </c>
      <c r="AF216" s="197">
        <f>AF87-AF340</f>
        <v>0</v>
      </c>
      <c r="AH216" s="197"/>
      <c r="AI216" s="197">
        <f t="shared" ref="AI216:BN216" si="3549">AI87-AI340</f>
        <v>0</v>
      </c>
      <c r="AJ216" s="197">
        <f t="shared" si="3549"/>
        <v>0</v>
      </c>
      <c r="AK216" s="197">
        <f t="shared" si="3549"/>
        <v>0</v>
      </c>
      <c r="AL216" s="197">
        <f t="shared" si="3549"/>
        <v>0</v>
      </c>
      <c r="AM216" s="197">
        <f t="shared" si="3549"/>
        <v>0</v>
      </c>
      <c r="AN216" s="197">
        <f t="shared" si="3549"/>
        <v>0</v>
      </c>
      <c r="AO216" s="197">
        <f t="shared" si="3549"/>
        <v>0</v>
      </c>
      <c r="AP216" s="197">
        <f t="shared" si="3549"/>
        <v>0</v>
      </c>
      <c r="AQ216" s="197">
        <f t="shared" si="3549"/>
        <v>0</v>
      </c>
      <c r="AR216" s="197">
        <f t="shared" si="3549"/>
        <v>0</v>
      </c>
      <c r="AS216" s="197">
        <f t="shared" si="3549"/>
        <v>0</v>
      </c>
      <c r="AT216" s="197">
        <f t="shared" si="3549"/>
        <v>0</v>
      </c>
      <c r="AU216" s="197">
        <f t="shared" si="3549"/>
        <v>0</v>
      </c>
      <c r="AV216" s="197">
        <f t="shared" si="3549"/>
        <v>0</v>
      </c>
      <c r="AW216" s="197">
        <f t="shared" si="3549"/>
        <v>0</v>
      </c>
      <c r="AX216" s="197">
        <f t="shared" si="3549"/>
        <v>0</v>
      </c>
      <c r="AY216" s="197">
        <f t="shared" si="3549"/>
        <v>0</v>
      </c>
      <c r="AZ216" s="197">
        <f t="shared" si="3549"/>
        <v>0</v>
      </c>
      <c r="BA216" s="197">
        <f t="shared" si="3549"/>
        <v>0</v>
      </c>
      <c r="BB216" s="197">
        <f t="shared" si="3549"/>
        <v>0</v>
      </c>
      <c r="BC216" s="197">
        <f t="shared" si="3549"/>
        <v>0</v>
      </c>
      <c r="BD216" s="197">
        <f t="shared" si="3549"/>
        <v>0</v>
      </c>
      <c r="BE216" s="197">
        <f t="shared" si="3549"/>
        <v>0</v>
      </c>
      <c r="BF216" s="197">
        <f t="shared" si="3549"/>
        <v>0</v>
      </c>
      <c r="BG216" s="197">
        <f t="shared" si="3549"/>
        <v>0</v>
      </c>
      <c r="BH216" s="197">
        <f t="shared" si="3549"/>
        <v>0</v>
      </c>
      <c r="BI216" s="197">
        <f t="shared" si="3549"/>
        <v>0</v>
      </c>
      <c r="BJ216" s="197">
        <f t="shared" si="3549"/>
        <v>0</v>
      </c>
      <c r="BK216" s="197">
        <f t="shared" si="3549"/>
        <v>0</v>
      </c>
      <c r="BL216" s="197">
        <f t="shared" si="3549"/>
        <v>0</v>
      </c>
      <c r="BM216" s="197">
        <f t="shared" si="3549"/>
        <v>0</v>
      </c>
      <c r="BN216" s="197">
        <f t="shared" si="3549"/>
        <v>0</v>
      </c>
      <c r="BO216" s="197">
        <f t="shared" ref="BO216:CV216" si="3550">BO87-BO340</f>
        <v>0</v>
      </c>
      <c r="BP216" s="197">
        <f t="shared" si="3550"/>
        <v>0</v>
      </c>
      <c r="BQ216" s="197">
        <f t="shared" si="3550"/>
        <v>0</v>
      </c>
      <c r="BR216" s="197">
        <f t="shared" si="3550"/>
        <v>0</v>
      </c>
      <c r="BS216" s="197">
        <f t="shared" si="3550"/>
        <v>0</v>
      </c>
      <c r="BT216" s="197">
        <f t="shared" si="3550"/>
        <v>0</v>
      </c>
      <c r="BU216" s="197">
        <f t="shared" si="3550"/>
        <v>0</v>
      </c>
      <c r="BV216" s="197">
        <f t="shared" si="3550"/>
        <v>0</v>
      </c>
      <c r="BW216" s="197">
        <f t="shared" si="3550"/>
        <v>0</v>
      </c>
      <c r="BX216" s="197">
        <f t="shared" si="3550"/>
        <v>0</v>
      </c>
      <c r="BY216" s="197">
        <f t="shared" si="3550"/>
        <v>0</v>
      </c>
      <c r="BZ216" s="197">
        <f t="shared" si="3550"/>
        <v>0</v>
      </c>
      <c r="CA216" s="197">
        <f t="shared" si="3550"/>
        <v>0</v>
      </c>
      <c r="CB216" s="197">
        <f t="shared" si="3550"/>
        <v>0</v>
      </c>
      <c r="CC216" s="197">
        <f t="shared" si="3550"/>
        <v>0</v>
      </c>
      <c r="CD216" s="197">
        <f t="shared" si="3550"/>
        <v>0</v>
      </c>
      <c r="CE216" s="197">
        <f t="shared" si="3550"/>
        <v>0</v>
      </c>
      <c r="CF216" s="197">
        <f t="shared" si="3550"/>
        <v>0</v>
      </c>
      <c r="CG216" s="197">
        <f t="shared" si="3550"/>
        <v>0</v>
      </c>
      <c r="CH216" s="197">
        <f t="shared" si="3550"/>
        <v>0</v>
      </c>
      <c r="CI216" s="197">
        <f t="shared" si="3550"/>
        <v>0</v>
      </c>
      <c r="CJ216" s="197">
        <f t="shared" si="3550"/>
        <v>0</v>
      </c>
      <c r="CK216" s="197">
        <f t="shared" si="3550"/>
        <v>0</v>
      </c>
      <c r="CL216" s="197">
        <f t="shared" si="3550"/>
        <v>0</v>
      </c>
      <c r="CM216" s="197">
        <f t="shared" si="3550"/>
        <v>0</v>
      </c>
      <c r="CN216" s="197">
        <f t="shared" si="3550"/>
        <v>0</v>
      </c>
      <c r="CO216" s="197">
        <f t="shared" si="3550"/>
        <v>0</v>
      </c>
      <c r="CP216" s="197">
        <f t="shared" si="3550"/>
        <v>0</v>
      </c>
      <c r="CQ216" s="197">
        <f t="shared" si="3550"/>
        <v>0</v>
      </c>
      <c r="CR216" s="197">
        <f t="shared" si="3550"/>
        <v>0</v>
      </c>
      <c r="CS216" s="197">
        <f t="shared" si="3550"/>
        <v>0</v>
      </c>
      <c r="CT216" s="197">
        <f t="shared" si="3550"/>
        <v>0</v>
      </c>
      <c r="CU216" s="197">
        <f t="shared" si="3550"/>
        <v>0</v>
      </c>
      <c r="CV216" s="197">
        <f t="shared" si="3550"/>
        <v>0</v>
      </c>
      <c r="CW216" s="197"/>
      <c r="CX216" s="197">
        <f>CX87-CX340</f>
        <v>0</v>
      </c>
      <c r="CY216" s="197">
        <f>CY87-CY340</f>
        <v>0</v>
      </c>
      <c r="CZ216" s="197">
        <f>CZ87-CZ340</f>
        <v>0</v>
      </c>
      <c r="DA216" s="197">
        <f>DA87-DA340</f>
        <v>0</v>
      </c>
      <c r="DB216" s="197">
        <f>DB87-DB340</f>
        <v>0</v>
      </c>
      <c r="DC216" s="197">
        <f>DC87-DC340</f>
        <v>0</v>
      </c>
      <c r="DD216" s="197"/>
      <c r="DE216" s="197">
        <f t="shared" ref="DE216:EG216" si="3551">DE87-DE340</f>
        <v>0</v>
      </c>
      <c r="DF216" s="197">
        <f t="shared" si="3551"/>
        <v>0</v>
      </c>
      <c r="DG216" s="197">
        <f t="shared" si="3551"/>
        <v>0</v>
      </c>
      <c r="DH216" s="197">
        <f t="shared" si="3551"/>
        <v>0</v>
      </c>
      <c r="DI216" s="197">
        <f t="shared" si="3551"/>
        <v>0</v>
      </c>
      <c r="DJ216" s="197">
        <f t="shared" si="3551"/>
        <v>0</v>
      </c>
      <c r="DK216" s="197">
        <f t="shared" si="3551"/>
        <v>0</v>
      </c>
      <c r="DL216" s="197">
        <f t="shared" si="3551"/>
        <v>0</v>
      </c>
      <c r="DM216" s="197">
        <f t="shared" si="3551"/>
        <v>0</v>
      </c>
      <c r="DN216" s="197">
        <f t="shared" si="3551"/>
        <v>0</v>
      </c>
      <c r="DO216" s="197">
        <f t="shared" si="3551"/>
        <v>0</v>
      </c>
      <c r="DP216" s="197">
        <f t="shared" si="3551"/>
        <v>0</v>
      </c>
      <c r="DQ216" s="197">
        <f t="shared" si="3551"/>
        <v>0</v>
      </c>
      <c r="DR216" s="197">
        <f t="shared" si="3551"/>
        <v>0</v>
      </c>
      <c r="DS216" s="197">
        <f t="shared" si="3551"/>
        <v>1.2491902882814823</v>
      </c>
      <c r="DT216" s="197">
        <f t="shared" si="3551"/>
        <v>0</v>
      </c>
      <c r="DU216" s="197">
        <f t="shared" si="3551"/>
        <v>0</v>
      </c>
      <c r="DV216" s="197">
        <f t="shared" si="3551"/>
        <v>0</v>
      </c>
      <c r="DW216" s="197">
        <f t="shared" si="3551"/>
        <v>0</v>
      </c>
      <c r="DX216" s="197">
        <f t="shared" si="3551"/>
        <v>0</v>
      </c>
      <c r="DY216" s="197">
        <f t="shared" si="3551"/>
        <v>0</v>
      </c>
      <c r="DZ216" s="197">
        <f t="shared" si="3551"/>
        <v>0</v>
      </c>
      <c r="EA216" s="197">
        <f t="shared" si="3551"/>
        <v>0</v>
      </c>
      <c r="EB216" s="197">
        <f t="shared" si="3551"/>
        <v>0</v>
      </c>
      <c r="EC216" s="197">
        <f t="shared" si="3551"/>
        <v>0</v>
      </c>
      <c r="ED216" s="197">
        <f t="shared" si="3551"/>
        <v>0</v>
      </c>
      <c r="EE216" s="197">
        <f t="shared" si="3551"/>
        <v>0</v>
      </c>
      <c r="EF216" s="197">
        <f t="shared" si="3551"/>
        <v>0</v>
      </c>
      <c r="EG216" s="197">
        <f t="shared" si="3551"/>
        <v>0</v>
      </c>
    </row>
    <row r="217" spans="1:137" hidden="1">
      <c r="A217" s="157">
        <v>44652</v>
      </c>
      <c r="B217" s="197">
        <f>B88-B341</f>
        <v>0</v>
      </c>
      <c r="C217" s="197">
        <f>C88-C341</f>
        <v>0</v>
      </c>
      <c r="D217" s="197">
        <f>D88-D341</f>
        <v>0</v>
      </c>
      <c r="E217" s="197">
        <f>E88-E341</f>
        <v>0</v>
      </c>
      <c r="F217" s="197">
        <f>F88-F341</f>
        <v>0</v>
      </c>
      <c r="G217" s="197">
        <f>G88-G341</f>
        <v>0</v>
      </c>
      <c r="H217" s="197">
        <f>H88-H341</f>
        <v>0</v>
      </c>
      <c r="I217" s="197">
        <f t="shared" ref="I217:AB217" si="3552">I88-I341</f>
        <v>0</v>
      </c>
      <c r="J217" s="197">
        <f t="shared" si="3552"/>
        <v>0</v>
      </c>
      <c r="K217" s="197">
        <f t="shared" si="3552"/>
        <v>0</v>
      </c>
      <c r="L217" s="197">
        <f t="shared" si="3552"/>
        <v>0</v>
      </c>
      <c r="M217" s="197">
        <f t="shared" si="3552"/>
        <v>0</v>
      </c>
      <c r="N217" s="197">
        <f t="shared" si="3552"/>
        <v>0</v>
      </c>
      <c r="O217" s="197">
        <f t="shared" si="3552"/>
        <v>0</v>
      </c>
      <c r="P217" s="197">
        <f t="shared" si="3552"/>
        <v>0</v>
      </c>
      <c r="Q217" s="197">
        <f t="shared" si="3552"/>
        <v>0</v>
      </c>
      <c r="R217" s="197">
        <f t="shared" si="3552"/>
        <v>0</v>
      </c>
      <c r="S217" s="197">
        <f t="shared" si="3552"/>
        <v>0</v>
      </c>
      <c r="T217" s="197">
        <f t="shared" si="3552"/>
        <v>0</v>
      </c>
      <c r="U217" s="197">
        <f t="shared" si="3552"/>
        <v>0</v>
      </c>
      <c r="V217" s="197">
        <f t="shared" si="3552"/>
        <v>0</v>
      </c>
      <c r="W217" s="197">
        <f t="shared" si="3552"/>
        <v>0</v>
      </c>
      <c r="X217" s="197">
        <f t="shared" si="3552"/>
        <v>0</v>
      </c>
      <c r="Y217" s="197">
        <f t="shared" si="3552"/>
        <v>0</v>
      </c>
      <c r="Z217" s="197">
        <f t="shared" si="3552"/>
        <v>0</v>
      </c>
      <c r="AA217" s="197">
        <f t="shared" si="3552"/>
        <v>0</v>
      </c>
      <c r="AB217" s="197">
        <f t="shared" si="3552"/>
        <v>0</v>
      </c>
      <c r="AC217" s="197">
        <f>AC88-AC341</f>
        <v>0</v>
      </c>
      <c r="AD217" s="197">
        <f>AD88-AD341</f>
        <v>0</v>
      </c>
      <c r="AE217" s="197">
        <f>AE88-AE341</f>
        <v>0</v>
      </c>
      <c r="AF217" s="197">
        <f>AF88-AF341</f>
        <v>0</v>
      </c>
      <c r="AH217" s="197"/>
      <c r="AI217" s="197">
        <f t="shared" ref="AI217:BN217" si="3553">AI88-AI341</f>
        <v>0</v>
      </c>
      <c r="AJ217" s="197">
        <f t="shared" si="3553"/>
        <v>0</v>
      </c>
      <c r="AK217" s="197">
        <f t="shared" si="3553"/>
        <v>0</v>
      </c>
      <c r="AL217" s="197">
        <f t="shared" si="3553"/>
        <v>0</v>
      </c>
      <c r="AM217" s="197">
        <f t="shared" si="3553"/>
        <v>0</v>
      </c>
      <c r="AN217" s="197">
        <f t="shared" si="3553"/>
        <v>0</v>
      </c>
      <c r="AO217" s="197">
        <f t="shared" si="3553"/>
        <v>0</v>
      </c>
      <c r="AP217" s="197">
        <f t="shared" si="3553"/>
        <v>0</v>
      </c>
      <c r="AQ217" s="197">
        <f t="shared" si="3553"/>
        <v>0</v>
      </c>
      <c r="AR217" s="197">
        <f t="shared" si="3553"/>
        <v>0</v>
      </c>
      <c r="AS217" s="197">
        <f t="shared" si="3553"/>
        <v>0</v>
      </c>
      <c r="AT217" s="197">
        <f t="shared" si="3553"/>
        <v>0</v>
      </c>
      <c r="AU217" s="197">
        <f t="shared" si="3553"/>
        <v>0</v>
      </c>
      <c r="AV217" s="197">
        <f t="shared" si="3553"/>
        <v>0</v>
      </c>
      <c r="AW217" s="197">
        <f t="shared" si="3553"/>
        <v>0</v>
      </c>
      <c r="AX217" s="197">
        <f t="shared" si="3553"/>
        <v>0</v>
      </c>
      <c r="AY217" s="197">
        <f t="shared" si="3553"/>
        <v>0</v>
      </c>
      <c r="AZ217" s="197">
        <f t="shared" si="3553"/>
        <v>0</v>
      </c>
      <c r="BA217" s="197">
        <f t="shared" si="3553"/>
        <v>0</v>
      </c>
      <c r="BB217" s="197">
        <f t="shared" si="3553"/>
        <v>0</v>
      </c>
      <c r="BC217" s="197">
        <f t="shared" si="3553"/>
        <v>0</v>
      </c>
      <c r="BD217" s="197">
        <f t="shared" si="3553"/>
        <v>0</v>
      </c>
      <c r="BE217" s="197">
        <f t="shared" si="3553"/>
        <v>0</v>
      </c>
      <c r="BF217" s="197">
        <f t="shared" si="3553"/>
        <v>0</v>
      </c>
      <c r="BG217" s="197">
        <f t="shared" si="3553"/>
        <v>0</v>
      </c>
      <c r="BH217" s="197">
        <f t="shared" si="3553"/>
        <v>0</v>
      </c>
      <c r="BI217" s="197">
        <f t="shared" si="3553"/>
        <v>0</v>
      </c>
      <c r="BJ217" s="197">
        <f t="shared" si="3553"/>
        <v>0</v>
      </c>
      <c r="BK217" s="197">
        <f t="shared" si="3553"/>
        <v>0</v>
      </c>
      <c r="BL217" s="197">
        <f t="shared" si="3553"/>
        <v>0</v>
      </c>
      <c r="BM217" s="197">
        <f t="shared" si="3553"/>
        <v>0</v>
      </c>
      <c r="BN217" s="197">
        <f t="shared" si="3553"/>
        <v>0</v>
      </c>
      <c r="BO217" s="197">
        <f t="shared" ref="BO217:CV217" si="3554">BO88-BO341</f>
        <v>0</v>
      </c>
      <c r="BP217" s="197">
        <f t="shared" si="3554"/>
        <v>0</v>
      </c>
      <c r="BQ217" s="197">
        <f t="shared" si="3554"/>
        <v>0</v>
      </c>
      <c r="BR217" s="197">
        <f t="shared" si="3554"/>
        <v>0</v>
      </c>
      <c r="BS217" s="197">
        <f t="shared" si="3554"/>
        <v>0</v>
      </c>
      <c r="BT217" s="197">
        <f t="shared" si="3554"/>
        <v>0</v>
      </c>
      <c r="BU217" s="197">
        <f t="shared" si="3554"/>
        <v>0</v>
      </c>
      <c r="BV217" s="197">
        <f t="shared" si="3554"/>
        <v>0</v>
      </c>
      <c r="BW217" s="197">
        <f t="shared" si="3554"/>
        <v>0</v>
      </c>
      <c r="BX217" s="197">
        <f t="shared" si="3554"/>
        <v>0</v>
      </c>
      <c r="BY217" s="197">
        <f t="shared" si="3554"/>
        <v>0</v>
      </c>
      <c r="BZ217" s="197">
        <f t="shared" si="3554"/>
        <v>0</v>
      </c>
      <c r="CA217" s="197">
        <f t="shared" si="3554"/>
        <v>0</v>
      </c>
      <c r="CB217" s="197">
        <f t="shared" si="3554"/>
        <v>0</v>
      </c>
      <c r="CC217" s="197">
        <f t="shared" si="3554"/>
        <v>0</v>
      </c>
      <c r="CD217" s="197">
        <f t="shared" si="3554"/>
        <v>0</v>
      </c>
      <c r="CE217" s="197">
        <f t="shared" si="3554"/>
        <v>0</v>
      </c>
      <c r="CF217" s="197">
        <f t="shared" si="3554"/>
        <v>0</v>
      </c>
      <c r="CG217" s="197">
        <f t="shared" si="3554"/>
        <v>0</v>
      </c>
      <c r="CH217" s="197">
        <f t="shared" si="3554"/>
        <v>0</v>
      </c>
      <c r="CI217" s="197">
        <f t="shared" si="3554"/>
        <v>0</v>
      </c>
      <c r="CJ217" s="197">
        <f t="shared" si="3554"/>
        <v>0</v>
      </c>
      <c r="CK217" s="197">
        <f t="shared" si="3554"/>
        <v>0</v>
      </c>
      <c r="CL217" s="197">
        <f t="shared" si="3554"/>
        <v>0</v>
      </c>
      <c r="CM217" s="197">
        <f t="shared" si="3554"/>
        <v>0</v>
      </c>
      <c r="CN217" s="197">
        <f t="shared" si="3554"/>
        <v>0</v>
      </c>
      <c r="CO217" s="197">
        <f t="shared" si="3554"/>
        <v>0</v>
      </c>
      <c r="CP217" s="197">
        <f t="shared" si="3554"/>
        <v>0</v>
      </c>
      <c r="CQ217" s="197">
        <f t="shared" si="3554"/>
        <v>0</v>
      </c>
      <c r="CR217" s="197">
        <f t="shared" si="3554"/>
        <v>0</v>
      </c>
      <c r="CS217" s="197">
        <f t="shared" si="3554"/>
        <v>0</v>
      </c>
      <c r="CT217" s="197">
        <f t="shared" si="3554"/>
        <v>0</v>
      </c>
      <c r="CU217" s="197">
        <f t="shared" si="3554"/>
        <v>0</v>
      </c>
      <c r="CV217" s="197">
        <f t="shared" si="3554"/>
        <v>0</v>
      </c>
      <c r="CW217" s="197"/>
      <c r="CX217" s="197">
        <f>CX88-CX341</f>
        <v>0</v>
      </c>
      <c r="CY217" s="197">
        <f>CY88-CY341</f>
        <v>0</v>
      </c>
      <c r="CZ217" s="197">
        <f>CZ88-CZ341</f>
        <v>0</v>
      </c>
      <c r="DA217" s="197">
        <f>DA88-DA341</f>
        <v>0</v>
      </c>
      <c r="DB217" s="197">
        <f>DB88-DB341</f>
        <v>0</v>
      </c>
      <c r="DC217" s="197">
        <f>DC88-DC341</f>
        <v>0</v>
      </c>
      <c r="DD217" s="197"/>
      <c r="DE217" s="197">
        <f t="shared" ref="DE217:EG217" si="3555">DE88-DE341</f>
        <v>-0.31000000000000227</v>
      </c>
      <c r="DF217" s="197">
        <f t="shared" si="3555"/>
        <v>-0.35599999999999454</v>
      </c>
      <c r="DG217" s="197">
        <f t="shared" si="3555"/>
        <v>-0.52400000000000091</v>
      </c>
      <c r="DH217" s="197">
        <f t="shared" si="3555"/>
        <v>-1.2022706598505684E-3</v>
      </c>
      <c r="DI217" s="197">
        <f t="shared" si="3555"/>
        <v>-0.26000000000000512</v>
      </c>
      <c r="DJ217" s="197">
        <f t="shared" si="3555"/>
        <v>-6.2241951528041461E-5</v>
      </c>
      <c r="DK217" s="197">
        <f t="shared" si="3555"/>
        <v>-2.8919999999999959</v>
      </c>
      <c r="DL217" s="197">
        <f t="shared" si="3555"/>
        <v>-2.722999999999999</v>
      </c>
      <c r="DM217" s="197">
        <f t="shared" si="3555"/>
        <v>-6.9998689992178953E-4</v>
      </c>
      <c r="DN217" s="197">
        <f t="shared" si="3555"/>
        <v>-0.33699999999998909</v>
      </c>
      <c r="DO217" s="197">
        <f t="shared" si="3555"/>
        <v>-1.2000000000000455E-2</v>
      </c>
      <c r="DP217" s="197">
        <f t="shared" si="3555"/>
        <v>-0.59900000000000375</v>
      </c>
      <c r="DQ217" s="197">
        <f t="shared" si="3555"/>
        <v>-0.61099999999999</v>
      </c>
      <c r="DR217" s="197">
        <f t="shared" si="3555"/>
        <v>-1.2645126113786098E-3</v>
      </c>
      <c r="DS217" s="197">
        <f t="shared" si="3555"/>
        <v>1.1352839931153185</v>
      </c>
      <c r="DT217" s="197">
        <f t="shared" si="3555"/>
        <v>0</v>
      </c>
      <c r="DU217" s="197">
        <f t="shared" si="3555"/>
        <v>0</v>
      </c>
      <c r="DV217" s="197">
        <f t="shared" si="3555"/>
        <v>0</v>
      </c>
      <c r="DW217" s="197">
        <f t="shared" si="3555"/>
        <v>0</v>
      </c>
      <c r="DX217" s="197">
        <f t="shared" si="3555"/>
        <v>-0.28199999999999648</v>
      </c>
      <c r="DY217" s="197">
        <f t="shared" si="3555"/>
        <v>-1.1115578364827572E-3</v>
      </c>
      <c r="DZ217" s="197">
        <f t="shared" si="3555"/>
        <v>0</v>
      </c>
      <c r="EA217" s="197">
        <f t="shared" si="3555"/>
        <v>0</v>
      </c>
      <c r="EB217" s="197">
        <f t="shared" si="3555"/>
        <v>0</v>
      </c>
      <c r="EC217" s="197">
        <f t="shared" si="3555"/>
        <v>0</v>
      </c>
      <c r="ED217" s="197">
        <f t="shared" si="3555"/>
        <v>0</v>
      </c>
      <c r="EE217" s="197">
        <f t="shared" si="3555"/>
        <v>0</v>
      </c>
      <c r="EF217" s="197">
        <f t="shared" si="3555"/>
        <v>0</v>
      </c>
      <c r="EG217" s="197">
        <f t="shared" si="3555"/>
        <v>-1.1115578364827572E-3</v>
      </c>
    </row>
    <row r="218" spans="1:137" hidden="1">
      <c r="A218" s="157">
        <v>44682</v>
      </c>
      <c r="B218" s="197">
        <f>B89-B342</f>
        <v>0</v>
      </c>
      <c r="C218" s="197">
        <f>C89-C342</f>
        <v>0</v>
      </c>
      <c r="D218" s="197">
        <f>D89-D342</f>
        <v>0</v>
      </c>
      <c r="E218" s="197">
        <f>E89-E342</f>
        <v>0</v>
      </c>
      <c r="F218" s="197">
        <f>F89-F342</f>
        <v>0</v>
      </c>
      <c r="G218" s="197">
        <f>G89-G342</f>
        <v>0</v>
      </c>
      <c r="H218" s="197">
        <f>H89-H342</f>
        <v>0</v>
      </c>
      <c r="I218" s="197">
        <f t="shared" ref="I218:AB218" si="3556">I89-I342</f>
        <v>0</v>
      </c>
      <c r="J218" s="197">
        <f t="shared" si="3556"/>
        <v>0</v>
      </c>
      <c r="K218" s="197">
        <f t="shared" si="3556"/>
        <v>0</v>
      </c>
      <c r="L218" s="197">
        <f t="shared" si="3556"/>
        <v>0</v>
      </c>
      <c r="M218" s="197">
        <f t="shared" si="3556"/>
        <v>0</v>
      </c>
      <c r="N218" s="197">
        <f t="shared" si="3556"/>
        <v>0</v>
      </c>
      <c r="O218" s="197">
        <f t="shared" si="3556"/>
        <v>0</v>
      </c>
      <c r="P218" s="197">
        <f t="shared" si="3556"/>
        <v>0</v>
      </c>
      <c r="Q218" s="197">
        <f t="shared" si="3556"/>
        <v>0</v>
      </c>
      <c r="R218" s="197">
        <f t="shared" si="3556"/>
        <v>0</v>
      </c>
      <c r="S218" s="197">
        <f t="shared" si="3556"/>
        <v>0</v>
      </c>
      <c r="T218" s="197">
        <f t="shared" si="3556"/>
        <v>0</v>
      </c>
      <c r="U218" s="197">
        <f t="shared" si="3556"/>
        <v>0</v>
      </c>
      <c r="V218" s="197">
        <f t="shared" si="3556"/>
        <v>0</v>
      </c>
      <c r="W218" s="197">
        <f t="shared" si="3556"/>
        <v>0</v>
      </c>
      <c r="X218" s="197">
        <f t="shared" si="3556"/>
        <v>0</v>
      </c>
      <c r="Y218" s="197">
        <f t="shared" si="3556"/>
        <v>0</v>
      </c>
      <c r="Z218" s="197">
        <f t="shared" si="3556"/>
        <v>0</v>
      </c>
      <c r="AA218" s="197">
        <f t="shared" si="3556"/>
        <v>0</v>
      </c>
      <c r="AB218" s="197">
        <f t="shared" si="3556"/>
        <v>0</v>
      </c>
      <c r="AC218" s="197">
        <f>AC89-AC342</f>
        <v>0</v>
      </c>
      <c r="AD218" s="197">
        <f>AD89-AD342</f>
        <v>0</v>
      </c>
      <c r="AE218" s="197">
        <f>AE89-AE342</f>
        <v>0</v>
      </c>
      <c r="AF218" s="197">
        <f>AF89-AF342</f>
        <v>0</v>
      </c>
      <c r="AH218" s="197"/>
      <c r="AI218" s="197">
        <f t="shared" ref="AI218:BN218" si="3557">AI89-AI342</f>
        <v>0</v>
      </c>
      <c r="AJ218" s="197">
        <f t="shared" si="3557"/>
        <v>0</v>
      </c>
      <c r="AK218" s="197">
        <f t="shared" si="3557"/>
        <v>0</v>
      </c>
      <c r="AL218" s="197">
        <f t="shared" si="3557"/>
        <v>0</v>
      </c>
      <c r="AM218" s="197">
        <f t="shared" si="3557"/>
        <v>0</v>
      </c>
      <c r="AN218" s="197">
        <f t="shared" si="3557"/>
        <v>0</v>
      </c>
      <c r="AO218" s="197">
        <f t="shared" si="3557"/>
        <v>0</v>
      </c>
      <c r="AP218" s="197">
        <f t="shared" si="3557"/>
        <v>0</v>
      </c>
      <c r="AQ218" s="197">
        <f t="shared" si="3557"/>
        <v>0</v>
      </c>
      <c r="AR218" s="197">
        <f t="shared" si="3557"/>
        <v>0</v>
      </c>
      <c r="AS218" s="197">
        <f t="shared" si="3557"/>
        <v>0</v>
      </c>
      <c r="AT218" s="197">
        <f t="shared" si="3557"/>
        <v>0</v>
      </c>
      <c r="AU218" s="197">
        <f t="shared" si="3557"/>
        <v>0</v>
      </c>
      <c r="AV218" s="197">
        <f t="shared" si="3557"/>
        <v>0</v>
      </c>
      <c r="AW218" s="197">
        <f t="shared" si="3557"/>
        <v>0</v>
      </c>
      <c r="AX218" s="197">
        <f t="shared" si="3557"/>
        <v>0</v>
      </c>
      <c r="AY218" s="197">
        <f t="shared" si="3557"/>
        <v>0</v>
      </c>
      <c r="AZ218" s="197">
        <f t="shared" si="3557"/>
        <v>0</v>
      </c>
      <c r="BA218" s="197">
        <f t="shared" si="3557"/>
        <v>0</v>
      </c>
      <c r="BB218" s="197">
        <f t="shared" si="3557"/>
        <v>0</v>
      </c>
      <c r="BC218" s="197">
        <f t="shared" si="3557"/>
        <v>0</v>
      </c>
      <c r="BD218" s="197">
        <f t="shared" si="3557"/>
        <v>0</v>
      </c>
      <c r="BE218" s="197">
        <f t="shared" si="3557"/>
        <v>0</v>
      </c>
      <c r="BF218" s="197">
        <f t="shared" si="3557"/>
        <v>0</v>
      </c>
      <c r="BG218" s="197">
        <f t="shared" si="3557"/>
        <v>0</v>
      </c>
      <c r="BH218" s="197">
        <f t="shared" si="3557"/>
        <v>0</v>
      </c>
      <c r="BI218" s="197">
        <f t="shared" si="3557"/>
        <v>0</v>
      </c>
      <c r="BJ218" s="197">
        <f t="shared" si="3557"/>
        <v>0</v>
      </c>
      <c r="BK218" s="197">
        <f t="shared" si="3557"/>
        <v>0</v>
      </c>
      <c r="BL218" s="197">
        <f t="shared" si="3557"/>
        <v>0</v>
      </c>
      <c r="BM218" s="197">
        <f t="shared" si="3557"/>
        <v>0</v>
      </c>
      <c r="BN218" s="197">
        <f t="shared" si="3557"/>
        <v>0</v>
      </c>
      <c r="BO218" s="197">
        <f t="shared" ref="BO218:CV218" si="3558">BO89-BO342</f>
        <v>0</v>
      </c>
      <c r="BP218" s="197">
        <f t="shared" si="3558"/>
        <v>0</v>
      </c>
      <c r="BQ218" s="197">
        <f t="shared" si="3558"/>
        <v>0</v>
      </c>
      <c r="BR218" s="197">
        <f t="shared" si="3558"/>
        <v>0</v>
      </c>
      <c r="BS218" s="197">
        <f t="shared" si="3558"/>
        <v>0</v>
      </c>
      <c r="BT218" s="197">
        <f t="shared" si="3558"/>
        <v>0</v>
      </c>
      <c r="BU218" s="197">
        <f t="shared" si="3558"/>
        <v>0</v>
      </c>
      <c r="BV218" s="197">
        <f t="shared" si="3558"/>
        <v>0</v>
      </c>
      <c r="BW218" s="197">
        <f t="shared" si="3558"/>
        <v>0</v>
      </c>
      <c r="BX218" s="197">
        <f t="shared" si="3558"/>
        <v>0</v>
      </c>
      <c r="BY218" s="197">
        <f t="shared" si="3558"/>
        <v>0</v>
      </c>
      <c r="BZ218" s="197">
        <f t="shared" si="3558"/>
        <v>0</v>
      </c>
      <c r="CA218" s="197">
        <f t="shared" si="3558"/>
        <v>0</v>
      </c>
      <c r="CB218" s="197">
        <f t="shared" si="3558"/>
        <v>0</v>
      </c>
      <c r="CC218" s="197">
        <f t="shared" si="3558"/>
        <v>0</v>
      </c>
      <c r="CD218" s="197">
        <f t="shared" si="3558"/>
        <v>0</v>
      </c>
      <c r="CE218" s="197">
        <f t="shared" si="3558"/>
        <v>0</v>
      </c>
      <c r="CF218" s="197">
        <f t="shared" si="3558"/>
        <v>0</v>
      </c>
      <c r="CG218" s="197">
        <f t="shared" si="3558"/>
        <v>0</v>
      </c>
      <c r="CH218" s="197">
        <f t="shared" si="3558"/>
        <v>0</v>
      </c>
      <c r="CI218" s="197">
        <f t="shared" si="3558"/>
        <v>0</v>
      </c>
      <c r="CJ218" s="197">
        <f t="shared" si="3558"/>
        <v>0</v>
      </c>
      <c r="CK218" s="197">
        <f t="shared" si="3558"/>
        <v>0</v>
      </c>
      <c r="CL218" s="197">
        <f t="shared" si="3558"/>
        <v>0</v>
      </c>
      <c r="CM218" s="197">
        <f t="shared" si="3558"/>
        <v>0</v>
      </c>
      <c r="CN218" s="197">
        <f t="shared" si="3558"/>
        <v>0</v>
      </c>
      <c r="CO218" s="197">
        <f t="shared" si="3558"/>
        <v>0</v>
      </c>
      <c r="CP218" s="197">
        <f t="shared" si="3558"/>
        <v>0</v>
      </c>
      <c r="CQ218" s="197">
        <f t="shared" si="3558"/>
        <v>0</v>
      </c>
      <c r="CR218" s="197">
        <f t="shared" si="3558"/>
        <v>0</v>
      </c>
      <c r="CS218" s="197">
        <f t="shared" si="3558"/>
        <v>0</v>
      </c>
      <c r="CT218" s="197">
        <f t="shared" si="3558"/>
        <v>0</v>
      </c>
      <c r="CU218" s="197">
        <f t="shared" si="3558"/>
        <v>0</v>
      </c>
      <c r="CV218" s="197">
        <f t="shared" si="3558"/>
        <v>0</v>
      </c>
      <c r="CW218" s="197"/>
      <c r="CX218" s="197">
        <f>CX89-CX342</f>
        <v>0</v>
      </c>
      <c r="CY218" s="197">
        <f>CY89-CY342</f>
        <v>0</v>
      </c>
      <c r="CZ218" s="197">
        <f>CZ89-CZ342</f>
        <v>0</v>
      </c>
      <c r="DA218" s="197">
        <f>DA89-DA342</f>
        <v>0</v>
      </c>
      <c r="DB218" s="197">
        <f>DB89-DB342</f>
        <v>0</v>
      </c>
      <c r="DC218" s="197">
        <f>DC89-DC342</f>
        <v>0</v>
      </c>
      <c r="DD218" s="197"/>
      <c r="DE218" s="197">
        <f t="shared" ref="DE218:EG218" si="3559">DE89-DE342</f>
        <v>0</v>
      </c>
      <c r="DF218" s="197">
        <f t="shared" si="3559"/>
        <v>0</v>
      </c>
      <c r="DG218" s="197">
        <f t="shared" si="3559"/>
        <v>0</v>
      </c>
      <c r="DH218" s="197">
        <f t="shared" si="3559"/>
        <v>0</v>
      </c>
      <c r="DI218" s="197">
        <f t="shared" si="3559"/>
        <v>0</v>
      </c>
      <c r="DJ218" s="197">
        <f t="shared" si="3559"/>
        <v>0</v>
      </c>
      <c r="DK218" s="197">
        <f t="shared" si="3559"/>
        <v>0</v>
      </c>
      <c r="DL218" s="197">
        <f t="shared" si="3559"/>
        <v>0</v>
      </c>
      <c r="DM218" s="197">
        <f t="shared" si="3559"/>
        <v>0</v>
      </c>
      <c r="DN218" s="197">
        <f t="shared" si="3559"/>
        <v>0</v>
      </c>
      <c r="DO218" s="197">
        <f t="shared" si="3559"/>
        <v>0</v>
      </c>
      <c r="DP218" s="197">
        <f t="shared" si="3559"/>
        <v>0</v>
      </c>
      <c r="DQ218" s="197">
        <f t="shared" si="3559"/>
        <v>0</v>
      </c>
      <c r="DR218" s="197">
        <f t="shared" si="3559"/>
        <v>0</v>
      </c>
      <c r="DS218" s="197">
        <f t="shared" si="3559"/>
        <v>0</v>
      </c>
      <c r="DT218" s="197">
        <f t="shared" si="3559"/>
        <v>0</v>
      </c>
      <c r="DU218" s="197">
        <f t="shared" si="3559"/>
        <v>0</v>
      </c>
      <c r="DV218" s="197">
        <f t="shared" si="3559"/>
        <v>0</v>
      </c>
      <c r="DW218" s="197">
        <f t="shared" si="3559"/>
        <v>0</v>
      </c>
      <c r="DX218" s="197">
        <f t="shared" si="3559"/>
        <v>0</v>
      </c>
      <c r="DY218" s="197">
        <f t="shared" si="3559"/>
        <v>0</v>
      </c>
      <c r="DZ218" s="197">
        <f t="shared" si="3559"/>
        <v>0</v>
      </c>
      <c r="EA218" s="197">
        <f t="shared" si="3559"/>
        <v>0</v>
      </c>
      <c r="EB218" s="197">
        <f t="shared" si="3559"/>
        <v>0</v>
      </c>
      <c r="EC218" s="197">
        <f t="shared" si="3559"/>
        <v>0</v>
      </c>
      <c r="ED218" s="197">
        <f t="shared" si="3559"/>
        <v>0</v>
      </c>
      <c r="EE218" s="197">
        <f t="shared" si="3559"/>
        <v>0</v>
      </c>
      <c r="EF218" s="197">
        <f t="shared" si="3559"/>
        <v>0</v>
      </c>
      <c r="EG218" s="197">
        <f t="shared" si="3559"/>
        <v>0</v>
      </c>
    </row>
    <row r="219" spans="1:137" hidden="1">
      <c r="A219" s="157">
        <v>44713</v>
      </c>
      <c r="B219" s="197">
        <f>B90-B343</f>
        <v>0</v>
      </c>
      <c r="C219" s="197">
        <f>C90-C343</f>
        <v>0</v>
      </c>
      <c r="D219" s="197">
        <f>D90-D343</f>
        <v>0</v>
      </c>
      <c r="E219" s="197">
        <f>E90-E343</f>
        <v>0</v>
      </c>
      <c r="F219" s="197">
        <f>F90-F343</f>
        <v>0</v>
      </c>
      <c r="G219" s="197">
        <f>G90-G343</f>
        <v>0</v>
      </c>
      <c r="H219" s="197">
        <f>H90-H343</f>
        <v>0</v>
      </c>
      <c r="I219" s="197">
        <f t="shared" ref="I219:AB219" si="3560">I90-I343</f>
        <v>0</v>
      </c>
      <c r="J219" s="197">
        <f t="shared" si="3560"/>
        <v>0</v>
      </c>
      <c r="K219" s="197">
        <f t="shared" si="3560"/>
        <v>0</v>
      </c>
      <c r="L219" s="197">
        <f t="shared" si="3560"/>
        <v>0</v>
      </c>
      <c r="M219" s="197">
        <f t="shared" si="3560"/>
        <v>0</v>
      </c>
      <c r="N219" s="197">
        <f t="shared" si="3560"/>
        <v>0</v>
      </c>
      <c r="O219" s="197">
        <f t="shared" si="3560"/>
        <v>0</v>
      </c>
      <c r="P219" s="197">
        <f t="shared" si="3560"/>
        <v>0</v>
      </c>
      <c r="Q219" s="197">
        <f t="shared" si="3560"/>
        <v>0</v>
      </c>
      <c r="R219" s="197">
        <f t="shared" si="3560"/>
        <v>0</v>
      </c>
      <c r="S219" s="197">
        <f t="shared" si="3560"/>
        <v>0</v>
      </c>
      <c r="T219" s="197">
        <f t="shared" si="3560"/>
        <v>0</v>
      </c>
      <c r="U219" s="197">
        <f t="shared" si="3560"/>
        <v>0</v>
      </c>
      <c r="V219" s="197">
        <f t="shared" si="3560"/>
        <v>0</v>
      </c>
      <c r="W219" s="197">
        <f t="shared" si="3560"/>
        <v>0</v>
      </c>
      <c r="X219" s="197">
        <f t="shared" si="3560"/>
        <v>0</v>
      </c>
      <c r="Y219" s="197">
        <f t="shared" si="3560"/>
        <v>0</v>
      </c>
      <c r="Z219" s="197">
        <f t="shared" si="3560"/>
        <v>0</v>
      </c>
      <c r="AA219" s="197">
        <f t="shared" si="3560"/>
        <v>0</v>
      </c>
      <c r="AB219" s="197">
        <f t="shared" si="3560"/>
        <v>0</v>
      </c>
      <c r="AC219" s="197">
        <f>AC90-AC343</f>
        <v>0</v>
      </c>
      <c r="AD219" s="197">
        <f>AD90-AD343</f>
        <v>0</v>
      </c>
      <c r="AE219" s="197">
        <f>AE90-AE343</f>
        <v>0</v>
      </c>
      <c r="AF219" s="197">
        <f>AF90-AF343</f>
        <v>0</v>
      </c>
      <c r="AH219" s="197"/>
      <c r="AI219" s="197">
        <f t="shared" ref="AI219:BN219" si="3561">AI90-AI343</f>
        <v>0</v>
      </c>
      <c r="AJ219" s="197">
        <f t="shared" si="3561"/>
        <v>0</v>
      </c>
      <c r="AK219" s="197">
        <f t="shared" si="3561"/>
        <v>0</v>
      </c>
      <c r="AL219" s="197">
        <f t="shared" si="3561"/>
        <v>0</v>
      </c>
      <c r="AM219" s="197">
        <f t="shared" si="3561"/>
        <v>0</v>
      </c>
      <c r="AN219" s="197">
        <f t="shared" si="3561"/>
        <v>0</v>
      </c>
      <c r="AO219" s="197">
        <f t="shared" si="3561"/>
        <v>0</v>
      </c>
      <c r="AP219" s="197">
        <f t="shared" si="3561"/>
        <v>0</v>
      </c>
      <c r="AQ219" s="197">
        <f t="shared" si="3561"/>
        <v>0</v>
      </c>
      <c r="AR219" s="197">
        <f t="shared" si="3561"/>
        <v>0</v>
      </c>
      <c r="AS219" s="197">
        <f t="shared" si="3561"/>
        <v>0</v>
      </c>
      <c r="AT219" s="197">
        <f t="shared" si="3561"/>
        <v>0</v>
      </c>
      <c r="AU219" s="197">
        <f t="shared" si="3561"/>
        <v>0</v>
      </c>
      <c r="AV219" s="197">
        <f t="shared" si="3561"/>
        <v>0</v>
      </c>
      <c r="AW219" s="197">
        <f t="shared" si="3561"/>
        <v>0</v>
      </c>
      <c r="AX219" s="197">
        <f t="shared" si="3561"/>
        <v>0</v>
      </c>
      <c r="AY219" s="197">
        <f t="shared" si="3561"/>
        <v>0</v>
      </c>
      <c r="AZ219" s="197">
        <f t="shared" si="3561"/>
        <v>0</v>
      </c>
      <c r="BA219" s="197">
        <f t="shared" si="3561"/>
        <v>0</v>
      </c>
      <c r="BB219" s="197">
        <f t="shared" si="3561"/>
        <v>0</v>
      </c>
      <c r="BC219" s="197">
        <f t="shared" si="3561"/>
        <v>0</v>
      </c>
      <c r="BD219" s="197">
        <f t="shared" si="3561"/>
        <v>0</v>
      </c>
      <c r="BE219" s="197">
        <f t="shared" si="3561"/>
        <v>0</v>
      </c>
      <c r="BF219" s="197">
        <f t="shared" si="3561"/>
        <v>0</v>
      </c>
      <c r="BG219" s="197">
        <f t="shared" si="3561"/>
        <v>0</v>
      </c>
      <c r="BH219" s="197">
        <f t="shared" si="3561"/>
        <v>0</v>
      </c>
      <c r="BI219" s="197">
        <f t="shared" si="3561"/>
        <v>0</v>
      </c>
      <c r="BJ219" s="197">
        <f t="shared" si="3561"/>
        <v>0</v>
      </c>
      <c r="BK219" s="197">
        <f t="shared" si="3561"/>
        <v>0</v>
      </c>
      <c r="BL219" s="197">
        <f t="shared" si="3561"/>
        <v>0</v>
      </c>
      <c r="BM219" s="197">
        <f t="shared" si="3561"/>
        <v>0</v>
      </c>
      <c r="BN219" s="197">
        <f t="shared" si="3561"/>
        <v>0</v>
      </c>
      <c r="BO219" s="197">
        <f t="shared" ref="BO219:CV219" si="3562">BO90-BO343</f>
        <v>0</v>
      </c>
      <c r="BP219" s="197">
        <f t="shared" si="3562"/>
        <v>0</v>
      </c>
      <c r="BQ219" s="197">
        <f t="shared" si="3562"/>
        <v>0</v>
      </c>
      <c r="BR219" s="197">
        <f t="shared" si="3562"/>
        <v>0</v>
      </c>
      <c r="BS219" s="197">
        <f t="shared" si="3562"/>
        <v>0</v>
      </c>
      <c r="BT219" s="197">
        <f t="shared" si="3562"/>
        <v>0</v>
      </c>
      <c r="BU219" s="197">
        <f t="shared" si="3562"/>
        <v>0</v>
      </c>
      <c r="BV219" s="197">
        <f t="shared" si="3562"/>
        <v>0</v>
      </c>
      <c r="BW219" s="197">
        <f t="shared" si="3562"/>
        <v>0</v>
      </c>
      <c r="BX219" s="197">
        <f t="shared" si="3562"/>
        <v>0</v>
      </c>
      <c r="BY219" s="197">
        <f t="shared" si="3562"/>
        <v>0</v>
      </c>
      <c r="BZ219" s="197">
        <f t="shared" si="3562"/>
        <v>0</v>
      </c>
      <c r="CA219" s="197">
        <f t="shared" si="3562"/>
        <v>0</v>
      </c>
      <c r="CB219" s="197">
        <f t="shared" si="3562"/>
        <v>0</v>
      </c>
      <c r="CC219" s="197">
        <f t="shared" si="3562"/>
        <v>0</v>
      </c>
      <c r="CD219" s="197">
        <f t="shared" si="3562"/>
        <v>0</v>
      </c>
      <c r="CE219" s="197">
        <f t="shared" si="3562"/>
        <v>0</v>
      </c>
      <c r="CF219" s="197">
        <f t="shared" si="3562"/>
        <v>0</v>
      </c>
      <c r="CG219" s="197">
        <f t="shared" si="3562"/>
        <v>0</v>
      </c>
      <c r="CH219" s="197">
        <f t="shared" si="3562"/>
        <v>0</v>
      </c>
      <c r="CI219" s="197">
        <f t="shared" si="3562"/>
        <v>0</v>
      </c>
      <c r="CJ219" s="197">
        <f t="shared" si="3562"/>
        <v>0</v>
      </c>
      <c r="CK219" s="197">
        <f t="shared" si="3562"/>
        <v>0</v>
      </c>
      <c r="CL219" s="197">
        <f t="shared" si="3562"/>
        <v>0</v>
      </c>
      <c r="CM219" s="197">
        <f t="shared" si="3562"/>
        <v>0</v>
      </c>
      <c r="CN219" s="197">
        <f t="shared" si="3562"/>
        <v>0</v>
      </c>
      <c r="CO219" s="197">
        <f t="shared" si="3562"/>
        <v>0</v>
      </c>
      <c r="CP219" s="197">
        <f t="shared" si="3562"/>
        <v>0</v>
      </c>
      <c r="CQ219" s="197">
        <f t="shared" si="3562"/>
        <v>0</v>
      </c>
      <c r="CR219" s="197">
        <f t="shared" si="3562"/>
        <v>0</v>
      </c>
      <c r="CS219" s="197">
        <f t="shared" si="3562"/>
        <v>0</v>
      </c>
      <c r="CT219" s="197">
        <f t="shared" si="3562"/>
        <v>0</v>
      </c>
      <c r="CU219" s="197">
        <f t="shared" si="3562"/>
        <v>0</v>
      </c>
      <c r="CV219" s="197">
        <f t="shared" si="3562"/>
        <v>0</v>
      </c>
      <c r="CW219" s="197"/>
      <c r="CX219" s="197">
        <f>CX90-CX343</f>
        <v>0</v>
      </c>
      <c r="CY219" s="197">
        <f>CY90-CY343</f>
        <v>0</v>
      </c>
      <c r="CZ219" s="197">
        <f>CZ90-CZ343</f>
        <v>0</v>
      </c>
      <c r="DA219" s="197">
        <f>DA90-DA343</f>
        <v>0</v>
      </c>
      <c r="DB219" s="197">
        <f>DB90-DB343</f>
        <v>0</v>
      </c>
      <c r="DC219" s="197">
        <f>DC90-DC343</f>
        <v>0</v>
      </c>
      <c r="DD219" s="197"/>
      <c r="DE219" s="197">
        <f t="shared" ref="DE219:EG219" si="3563">DE90-DE343</f>
        <v>0</v>
      </c>
      <c r="DF219" s="197">
        <f t="shared" si="3563"/>
        <v>0</v>
      </c>
      <c r="DG219" s="197">
        <f t="shared" si="3563"/>
        <v>0</v>
      </c>
      <c r="DH219" s="197">
        <f t="shared" si="3563"/>
        <v>0</v>
      </c>
      <c r="DI219" s="197">
        <f t="shared" si="3563"/>
        <v>0</v>
      </c>
      <c r="DJ219" s="197">
        <f t="shared" si="3563"/>
        <v>0</v>
      </c>
      <c r="DK219" s="197">
        <f t="shared" si="3563"/>
        <v>0</v>
      </c>
      <c r="DL219" s="197">
        <f t="shared" si="3563"/>
        <v>0</v>
      </c>
      <c r="DM219" s="197">
        <f t="shared" si="3563"/>
        <v>0</v>
      </c>
      <c r="DN219" s="197">
        <f t="shared" si="3563"/>
        <v>0</v>
      </c>
      <c r="DO219" s="197">
        <f t="shared" si="3563"/>
        <v>0</v>
      </c>
      <c r="DP219" s="197">
        <f t="shared" si="3563"/>
        <v>0</v>
      </c>
      <c r="DQ219" s="197">
        <f t="shared" si="3563"/>
        <v>0</v>
      </c>
      <c r="DR219" s="197">
        <f t="shared" si="3563"/>
        <v>0</v>
      </c>
      <c r="DS219" s="197">
        <f t="shared" si="3563"/>
        <v>0</v>
      </c>
      <c r="DT219" s="197">
        <f t="shared" si="3563"/>
        <v>0</v>
      </c>
      <c r="DU219" s="197">
        <f t="shared" si="3563"/>
        <v>0</v>
      </c>
      <c r="DV219" s="197">
        <f t="shared" si="3563"/>
        <v>0</v>
      </c>
      <c r="DW219" s="197">
        <f t="shared" si="3563"/>
        <v>0</v>
      </c>
      <c r="DX219" s="197">
        <f t="shared" si="3563"/>
        <v>0</v>
      </c>
      <c r="DY219" s="197">
        <f t="shared" si="3563"/>
        <v>0</v>
      </c>
      <c r="DZ219" s="197">
        <f t="shared" si="3563"/>
        <v>0</v>
      </c>
      <c r="EA219" s="197">
        <f t="shared" si="3563"/>
        <v>0</v>
      </c>
      <c r="EB219" s="197">
        <f t="shared" si="3563"/>
        <v>0</v>
      </c>
      <c r="EC219" s="197">
        <f t="shared" si="3563"/>
        <v>0</v>
      </c>
      <c r="ED219" s="197">
        <f t="shared" si="3563"/>
        <v>0</v>
      </c>
      <c r="EE219" s="197">
        <f t="shared" si="3563"/>
        <v>0</v>
      </c>
      <c r="EF219" s="197">
        <f t="shared" si="3563"/>
        <v>0</v>
      </c>
      <c r="EG219" s="197">
        <f t="shared" si="3563"/>
        <v>0</v>
      </c>
    </row>
    <row r="220" spans="1:137" hidden="1">
      <c r="A220" s="157">
        <v>44743</v>
      </c>
      <c r="B220" s="197">
        <f>B91-B344</f>
        <v>1.73700000000008</v>
      </c>
      <c r="C220" s="197">
        <f>C91-C344</f>
        <v>5.7899999999989404E-2</v>
      </c>
      <c r="D220" s="197">
        <f>D91-D344</f>
        <v>5.7899999999989404E-2</v>
      </c>
      <c r="E220" s="197">
        <f>E91-E344</f>
        <v>3.4014804370796625E-4</v>
      </c>
      <c r="F220" s="197">
        <f>F91-F344</f>
        <v>3.5990000000001601</v>
      </c>
      <c r="G220" s="197">
        <f>G91-G344</f>
        <v>3.4290000000000873</v>
      </c>
      <c r="H220" s="197">
        <f>H91-H344</f>
        <v>0.17000000000000171</v>
      </c>
      <c r="I220" s="197">
        <f t="shared" ref="I220:AB220" si="3564">I91-I344</f>
        <v>2.4230000000000018</v>
      </c>
      <c r="J220" s="197">
        <f t="shared" si="3564"/>
        <v>2.5653164716146648E-2</v>
      </c>
      <c r="K220" s="197">
        <f t="shared" si="3564"/>
        <v>2.8024844483574896E-2</v>
      </c>
      <c r="L220" s="197">
        <f t="shared" si="3564"/>
        <v>2.8024844483574896E-2</v>
      </c>
      <c r="M220" s="197">
        <f t="shared" si="3564"/>
        <v>0.30500000000000682</v>
      </c>
      <c r="N220" s="197">
        <f t="shared" si="3564"/>
        <v>0.6699999999999946</v>
      </c>
      <c r="O220" s="197">
        <f t="shared" si="3564"/>
        <v>11.960000000000036</v>
      </c>
      <c r="P220" s="197">
        <f t="shared" si="3564"/>
        <v>36.093000000000075</v>
      </c>
      <c r="Q220" s="197">
        <f t="shared" si="3564"/>
        <v>27.394000000000005</v>
      </c>
      <c r="R220" s="197">
        <f t="shared" si="3564"/>
        <v>8.6990000000000123</v>
      </c>
      <c r="S220" s="197">
        <f t="shared" si="3564"/>
        <v>0</v>
      </c>
      <c r="T220" s="197">
        <f t="shared" si="3564"/>
        <v>2.5120000000000005</v>
      </c>
      <c r="U220" s="197">
        <f t="shared" si="3564"/>
        <v>38.605000000000018</v>
      </c>
      <c r="V220" s="197">
        <f t="shared" si="3564"/>
        <v>2.2930235182660796E-2</v>
      </c>
      <c r="W220" s="197">
        <f t="shared" si="3564"/>
        <v>6.2135711763161794E-2</v>
      </c>
      <c r="X220" s="197">
        <f t="shared" si="3564"/>
        <v>6.2135711763161794E-2</v>
      </c>
      <c r="Y220" s="197">
        <f t="shared" si="3564"/>
        <v>9.0160556246736689E-2</v>
      </c>
      <c r="Z220" s="197">
        <f t="shared" si="3564"/>
        <v>11.278999999999996</v>
      </c>
      <c r="AA220" s="197">
        <f t="shared" si="3564"/>
        <v>10.755000000000109</v>
      </c>
      <c r="AB220" s="197">
        <f t="shared" si="3564"/>
        <v>1.7869663468936953E-4</v>
      </c>
      <c r="AC220" s="197">
        <f>AC91-AC344</f>
        <v>0</v>
      </c>
      <c r="AD220" s="197">
        <f>AD91-AD344</f>
        <v>8.2429999999999382</v>
      </c>
      <c r="AE220" s="197">
        <f>AE91-AE344</f>
        <v>8.2430000000001655</v>
      </c>
      <c r="AF220" s="197">
        <f>AF91-AF344</f>
        <v>0</v>
      </c>
      <c r="AH220" s="197"/>
      <c r="AI220" s="197">
        <f t="shared" ref="AI220:BN220" si="3565">AI91-AI344</f>
        <v>0</v>
      </c>
      <c r="AJ220" s="197">
        <f t="shared" si="3565"/>
        <v>0</v>
      </c>
      <c r="AK220" s="197">
        <f t="shared" si="3565"/>
        <v>0</v>
      </c>
      <c r="AL220" s="197">
        <f t="shared" si="3565"/>
        <v>0</v>
      </c>
      <c r="AM220" s="197">
        <f t="shared" si="3565"/>
        <v>0</v>
      </c>
      <c r="AN220" s="197">
        <f t="shared" si="3565"/>
        <v>-2.5653164716146648E-2</v>
      </c>
      <c r="AO220" s="197">
        <f t="shared" si="3565"/>
        <v>0</v>
      </c>
      <c r="AP220" s="197">
        <f t="shared" si="3565"/>
        <v>0</v>
      </c>
      <c r="AQ220" s="197">
        <f t="shared" si="3565"/>
        <v>0</v>
      </c>
      <c r="AR220" s="197">
        <f t="shared" si="3565"/>
        <v>-6.2135711763161794E-2</v>
      </c>
      <c r="AS220" s="197">
        <f t="shared" si="3565"/>
        <v>0</v>
      </c>
      <c r="AT220" s="197">
        <f t="shared" si="3565"/>
        <v>0</v>
      </c>
      <c r="AU220" s="197">
        <f t="shared" si="3565"/>
        <v>0</v>
      </c>
      <c r="AV220" s="197">
        <f t="shared" si="3565"/>
        <v>0</v>
      </c>
      <c r="AW220" s="197">
        <f t="shared" si="3565"/>
        <v>0</v>
      </c>
      <c r="AX220" s="197">
        <f t="shared" si="3565"/>
        <v>0</v>
      </c>
      <c r="AY220" s="197">
        <f t="shared" si="3565"/>
        <v>-2.5653164716146648E-2</v>
      </c>
      <c r="AZ220" s="197">
        <f t="shared" si="3565"/>
        <v>0</v>
      </c>
      <c r="BA220" s="197">
        <f t="shared" si="3565"/>
        <v>0</v>
      </c>
      <c r="BB220" s="197">
        <f t="shared" si="3565"/>
        <v>0</v>
      </c>
      <c r="BC220" s="197">
        <f t="shared" si="3565"/>
        <v>-6.2135711763161794E-2</v>
      </c>
      <c r="BD220" s="197">
        <f t="shared" si="3565"/>
        <v>0</v>
      </c>
      <c r="BE220" s="197">
        <f t="shared" si="3565"/>
        <v>0</v>
      </c>
      <c r="BF220" s="197">
        <f t="shared" si="3565"/>
        <v>0</v>
      </c>
      <c r="BG220" s="197">
        <f t="shared" si="3565"/>
        <v>0</v>
      </c>
      <c r="BH220" s="197">
        <f t="shared" si="3565"/>
        <v>0</v>
      </c>
      <c r="BI220" s="197">
        <f t="shared" si="3565"/>
        <v>0</v>
      </c>
      <c r="BJ220" s="197">
        <f t="shared" si="3565"/>
        <v>-2.5653164716146648E-2</v>
      </c>
      <c r="BK220" s="197">
        <f t="shared" si="3565"/>
        <v>0</v>
      </c>
      <c r="BL220" s="197">
        <f t="shared" si="3565"/>
        <v>0</v>
      </c>
      <c r="BM220" s="197">
        <f t="shared" si="3565"/>
        <v>0</v>
      </c>
      <c r="BN220" s="197">
        <f t="shared" si="3565"/>
        <v>-6.2135711763161794E-2</v>
      </c>
      <c r="BO220" s="197">
        <f t="shared" ref="BO220:CV220" si="3566">BO91-BO344</f>
        <v>0</v>
      </c>
      <c r="BP220" s="197">
        <f t="shared" si="3566"/>
        <v>1.7369999999999663</v>
      </c>
      <c r="BQ220" s="197">
        <f t="shared" si="3566"/>
        <v>5.7900000000003615E-2</v>
      </c>
      <c r="BR220" s="197">
        <f t="shared" si="3566"/>
        <v>3.5989999999999327</v>
      </c>
      <c r="BS220" s="197">
        <f t="shared" si="3566"/>
        <v>2.4229999999999876</v>
      </c>
      <c r="BT220" s="197">
        <f t="shared" si="3566"/>
        <v>0.14418155255864207</v>
      </c>
      <c r="BU220" s="197">
        <f t="shared" si="3566"/>
        <v>0.11852838784249542</v>
      </c>
      <c r="BV220" s="197">
        <f t="shared" si="3566"/>
        <v>11.95999999999998</v>
      </c>
      <c r="BW220" s="197">
        <f t="shared" si="3566"/>
        <v>27.394000000000005</v>
      </c>
      <c r="BX220" s="197">
        <f t="shared" si="3566"/>
        <v>0.35247108215769707</v>
      </c>
      <c r="BY220" s="197">
        <f t="shared" si="3566"/>
        <v>0.29033537039453527</v>
      </c>
      <c r="BZ220" s="197">
        <f t="shared" si="3566"/>
        <v>0.49665263471634091</v>
      </c>
      <c r="CA220" s="197">
        <f t="shared" si="3566"/>
        <v>0</v>
      </c>
      <c r="CB220" s="197">
        <f t="shared" si="3566"/>
        <v>0</v>
      </c>
      <c r="CC220" s="197">
        <f t="shared" si="3566"/>
        <v>0</v>
      </c>
      <c r="CD220" s="197">
        <f t="shared" si="3566"/>
        <v>0</v>
      </c>
      <c r="CE220" s="197">
        <f t="shared" si="3566"/>
        <v>0</v>
      </c>
      <c r="CF220" s="197">
        <f t="shared" si="3566"/>
        <v>-2.5653164716146648E-2</v>
      </c>
      <c r="CG220" s="197">
        <f t="shared" si="3566"/>
        <v>0</v>
      </c>
      <c r="CH220" s="197">
        <f t="shared" si="3566"/>
        <v>0</v>
      </c>
      <c r="CI220" s="197">
        <f t="shared" si="3566"/>
        <v>0</v>
      </c>
      <c r="CJ220" s="197">
        <f t="shared" si="3566"/>
        <v>-6.2135711763161794E-2</v>
      </c>
      <c r="CK220" s="197">
        <f t="shared" si="3566"/>
        <v>0</v>
      </c>
      <c r="CL220" s="197">
        <f t="shared" si="3566"/>
        <v>0</v>
      </c>
      <c r="CM220" s="197">
        <f t="shared" si="3566"/>
        <v>0</v>
      </c>
      <c r="CN220" s="197">
        <f t="shared" si="3566"/>
        <v>0</v>
      </c>
      <c r="CO220" s="197">
        <f t="shared" si="3566"/>
        <v>0</v>
      </c>
      <c r="CP220" s="197">
        <f t="shared" si="3566"/>
        <v>0</v>
      </c>
      <c r="CQ220" s="197">
        <f t="shared" si="3566"/>
        <v>-2.5653164716146648E-2</v>
      </c>
      <c r="CR220" s="197">
        <f t="shared" si="3566"/>
        <v>0</v>
      </c>
      <c r="CS220" s="197">
        <f t="shared" si="3566"/>
        <v>0</v>
      </c>
      <c r="CT220" s="197">
        <f t="shared" si="3566"/>
        <v>0</v>
      </c>
      <c r="CU220" s="197">
        <f t="shared" si="3566"/>
        <v>-6.2135711763161794E-2</v>
      </c>
      <c r="CV220" s="197">
        <f t="shared" si="3566"/>
        <v>0</v>
      </c>
      <c r="CW220" s="197"/>
      <c r="CX220" s="197">
        <f>CX91-CX344</f>
        <v>0</v>
      </c>
      <c r="CY220" s="197">
        <f>CY91-CY344</f>
        <v>0</v>
      </c>
      <c r="CZ220" s="197">
        <f>CZ91-CZ344</f>
        <v>0</v>
      </c>
      <c r="DA220" s="197">
        <f>DA91-DA344</f>
        <v>0</v>
      </c>
      <c r="DB220" s="197">
        <f>DB91-DB344</f>
        <v>0</v>
      </c>
      <c r="DC220" s="197">
        <f>DC91-DC344</f>
        <v>0</v>
      </c>
      <c r="DD220" s="197"/>
      <c r="DE220" s="197">
        <f t="shared" ref="DE220:EG220" si="3567">DE91-DE344</f>
        <v>1.3629999999999995</v>
      </c>
      <c r="DF220" s="197">
        <f t="shared" si="3567"/>
        <v>-0.74099999999999966</v>
      </c>
      <c r="DG220" s="197">
        <f t="shared" si="3567"/>
        <v>0</v>
      </c>
      <c r="DH220" s="197">
        <f t="shared" si="3567"/>
        <v>-1.0238636630564124E-2</v>
      </c>
      <c r="DI220" s="197">
        <f t="shared" si="3567"/>
        <v>2.2780000000000058</v>
      </c>
      <c r="DJ220" s="197">
        <f t="shared" si="3567"/>
        <v>4.0162208797933086E-3</v>
      </c>
      <c r="DK220" s="197">
        <f t="shared" si="3567"/>
        <v>2.8640000000000043</v>
      </c>
      <c r="DL220" s="197">
        <f t="shared" si="3567"/>
        <v>2.3800000000000097</v>
      </c>
      <c r="DM220" s="197">
        <f t="shared" si="3567"/>
        <v>3.287827668472576E-3</v>
      </c>
      <c r="DN220" s="197">
        <f t="shared" si="3567"/>
        <v>6.0319999999999965</v>
      </c>
      <c r="DO220" s="197">
        <f t="shared" si="3567"/>
        <v>7.4690000000000012</v>
      </c>
      <c r="DP220" s="197">
        <f t="shared" si="3567"/>
        <v>-3.6519999999999868</v>
      </c>
      <c r="DQ220" s="197">
        <f t="shared" si="3567"/>
        <v>3.8170000000000357</v>
      </c>
      <c r="DR220" s="197">
        <f t="shared" si="3567"/>
        <v>-6.2224157507708711E-3</v>
      </c>
      <c r="DS220" s="197">
        <f t="shared" si="3567"/>
        <v>4.07727835103322E-3</v>
      </c>
      <c r="DT220" s="197">
        <f t="shared" si="3567"/>
        <v>0</v>
      </c>
      <c r="DU220" s="197">
        <f t="shared" si="3567"/>
        <v>0</v>
      </c>
      <c r="DV220" s="197">
        <f t="shared" si="3567"/>
        <v>0</v>
      </c>
      <c r="DW220" s="197">
        <f t="shared" si="3567"/>
        <v>0</v>
      </c>
      <c r="DX220" s="197">
        <f t="shared" si="3567"/>
        <v>0</v>
      </c>
      <c r="DY220" s="197">
        <f t="shared" si="3567"/>
        <v>0</v>
      </c>
      <c r="DZ220" s="197">
        <f t="shared" si="3567"/>
        <v>0</v>
      </c>
      <c r="EA220" s="197">
        <f t="shared" si="3567"/>
        <v>0</v>
      </c>
      <c r="EB220" s="197">
        <f t="shared" si="3567"/>
        <v>0</v>
      </c>
      <c r="EC220" s="197">
        <f t="shared" si="3567"/>
        <v>0</v>
      </c>
      <c r="ED220" s="197">
        <f t="shared" si="3567"/>
        <v>0</v>
      </c>
      <c r="EE220" s="197">
        <f t="shared" si="3567"/>
        <v>0</v>
      </c>
      <c r="EF220" s="197">
        <f t="shared" si="3567"/>
        <v>0</v>
      </c>
      <c r="EG220" s="197">
        <f t="shared" si="3567"/>
        <v>0</v>
      </c>
    </row>
    <row r="221" spans="1:137" hidden="1">
      <c r="A221" s="157">
        <v>44774</v>
      </c>
      <c r="B221" s="197">
        <f>B92-B345</f>
        <v>0.71599999999943975</v>
      </c>
      <c r="C221" s="197">
        <f>C92-C345</f>
        <v>2.386666666666315E-2</v>
      </c>
      <c r="D221" s="197">
        <f>D92-D345</f>
        <v>2.386666666666315E-2</v>
      </c>
      <c r="E221" s="197">
        <f>E92-E345</f>
        <v>1.4417636232577635E-4</v>
      </c>
      <c r="F221" s="197">
        <f>F92-F345</f>
        <v>6.2100000000000364</v>
      </c>
      <c r="G221" s="197">
        <f>G92-G345</f>
        <v>7.6739999999999782</v>
      </c>
      <c r="H221" s="197">
        <f>H92-H345</f>
        <v>-1.4639999999999986</v>
      </c>
      <c r="I221" s="197">
        <f t="shared" ref="I221:AB221" si="3568">I92-I345</f>
        <v>-1.3179999999999836</v>
      </c>
      <c r="J221" s="197">
        <f t="shared" si="3568"/>
        <v>6.4918172533538154E-2</v>
      </c>
      <c r="K221" s="197">
        <f t="shared" si="3568"/>
        <v>9.0557779340173283E-2</v>
      </c>
      <c r="L221" s="197">
        <f t="shared" si="3568"/>
        <v>9.0557779340173283E-2</v>
      </c>
      <c r="M221" s="197">
        <f t="shared" si="3568"/>
        <v>2.2820000000000391</v>
      </c>
      <c r="N221" s="197">
        <f t="shared" si="3568"/>
        <v>8.4000000000003183E-2</v>
      </c>
      <c r="O221" s="197">
        <f t="shared" si="3568"/>
        <v>5.2119999999999891</v>
      </c>
      <c r="P221" s="197">
        <f t="shared" si="3568"/>
        <v>0.10299999999983811</v>
      </c>
      <c r="Q221" s="197">
        <f t="shared" si="3568"/>
        <v>-6.5579999999999927</v>
      </c>
      <c r="R221" s="197">
        <f t="shared" si="3568"/>
        <v>6.6610000000000014</v>
      </c>
      <c r="S221" s="197">
        <f t="shared" si="3568"/>
        <v>0</v>
      </c>
      <c r="T221" s="197">
        <f t="shared" si="3568"/>
        <v>0.62299999999999045</v>
      </c>
      <c r="U221" s="197">
        <f t="shared" si="3568"/>
        <v>0.72599999999965803</v>
      </c>
      <c r="V221" s="197">
        <f t="shared" si="3568"/>
        <v>4.6397781086815471E-4</v>
      </c>
      <c r="W221" s="197">
        <f t="shared" si="3568"/>
        <v>2.8140343614770913E-2</v>
      </c>
      <c r="X221" s="197">
        <f t="shared" si="3568"/>
        <v>2.8140343614770913E-2</v>
      </c>
      <c r="Y221" s="197">
        <f t="shared" si="3568"/>
        <v>0.11869812295494597</v>
      </c>
      <c r="Z221" s="197">
        <f t="shared" si="3568"/>
        <v>12.094000000000051</v>
      </c>
      <c r="AA221" s="197">
        <f t="shared" si="3568"/>
        <v>11.963999999999942</v>
      </c>
      <c r="AB221" s="197">
        <f t="shared" si="3568"/>
        <v>-9.1347523145466486E-5</v>
      </c>
      <c r="AC221" s="197">
        <f>AC92-AC345</f>
        <v>0</v>
      </c>
      <c r="AD221" s="197">
        <f>AD92-AD345</f>
        <v>12.152000000000044</v>
      </c>
      <c r="AE221" s="197">
        <f>AE92-AE345</f>
        <v>12.152000000000044</v>
      </c>
      <c r="AF221" s="197">
        <f>AF92-AF345</f>
        <v>0</v>
      </c>
      <c r="AH221" s="197"/>
      <c r="AI221" s="197">
        <f t="shared" ref="AI221:BN221" si="3569">AI92-AI345</f>
        <v>0</v>
      </c>
      <c r="AJ221" s="197">
        <f t="shared" si="3569"/>
        <v>0</v>
      </c>
      <c r="AK221" s="197">
        <f t="shared" si="3569"/>
        <v>0</v>
      </c>
      <c r="AL221" s="197">
        <f t="shared" si="3569"/>
        <v>0</v>
      </c>
      <c r="AM221" s="197">
        <f t="shared" si="3569"/>
        <v>0</v>
      </c>
      <c r="AN221" s="197">
        <f t="shared" si="3569"/>
        <v>-6.4918172533538154E-2</v>
      </c>
      <c r="AO221" s="197">
        <f t="shared" si="3569"/>
        <v>0</v>
      </c>
      <c r="AP221" s="197">
        <f t="shared" si="3569"/>
        <v>0</v>
      </c>
      <c r="AQ221" s="197">
        <f t="shared" si="3569"/>
        <v>0</v>
      </c>
      <c r="AR221" s="197">
        <f t="shared" si="3569"/>
        <v>-2.8140343614770913E-2</v>
      </c>
      <c r="AS221" s="197">
        <f t="shared" si="3569"/>
        <v>0</v>
      </c>
      <c r="AT221" s="197">
        <f t="shared" si="3569"/>
        <v>0</v>
      </c>
      <c r="AU221" s="197">
        <f t="shared" si="3569"/>
        <v>0</v>
      </c>
      <c r="AV221" s="197">
        <f t="shared" si="3569"/>
        <v>0</v>
      </c>
      <c r="AW221" s="197">
        <f t="shared" si="3569"/>
        <v>0</v>
      </c>
      <c r="AX221" s="197">
        <f t="shared" si="3569"/>
        <v>0</v>
      </c>
      <c r="AY221" s="197">
        <f t="shared" si="3569"/>
        <v>-6.4918172533538154E-2</v>
      </c>
      <c r="AZ221" s="197">
        <f t="shared" si="3569"/>
        <v>0</v>
      </c>
      <c r="BA221" s="197">
        <f t="shared" si="3569"/>
        <v>0</v>
      </c>
      <c r="BB221" s="197">
        <f t="shared" si="3569"/>
        <v>0</v>
      </c>
      <c r="BC221" s="197">
        <f t="shared" si="3569"/>
        <v>-2.8140343614770913E-2</v>
      </c>
      <c r="BD221" s="197">
        <f t="shared" si="3569"/>
        <v>0</v>
      </c>
      <c r="BE221" s="197">
        <f t="shared" si="3569"/>
        <v>0</v>
      </c>
      <c r="BF221" s="197">
        <f t="shared" si="3569"/>
        <v>0</v>
      </c>
      <c r="BG221" s="197">
        <f t="shared" si="3569"/>
        <v>0</v>
      </c>
      <c r="BH221" s="197">
        <f t="shared" si="3569"/>
        <v>0</v>
      </c>
      <c r="BI221" s="197">
        <f t="shared" si="3569"/>
        <v>0</v>
      </c>
      <c r="BJ221" s="197">
        <f t="shared" si="3569"/>
        <v>-6.4918172533538154E-2</v>
      </c>
      <c r="BK221" s="197">
        <f t="shared" si="3569"/>
        <v>0</v>
      </c>
      <c r="BL221" s="197">
        <f t="shared" si="3569"/>
        <v>0</v>
      </c>
      <c r="BM221" s="197">
        <f t="shared" si="3569"/>
        <v>0</v>
      </c>
      <c r="BN221" s="197">
        <f t="shared" si="3569"/>
        <v>-2.8140343614770913E-2</v>
      </c>
      <c r="BO221" s="197">
        <f t="shared" ref="BO221:CV221" si="3570">BO92-BO345</f>
        <v>0</v>
      </c>
      <c r="BP221" s="197">
        <f t="shared" si="3570"/>
        <v>0.71600000000000819</v>
      </c>
      <c r="BQ221" s="197">
        <f t="shared" si="3570"/>
        <v>2.3866666666666703E-2</v>
      </c>
      <c r="BR221" s="197">
        <f t="shared" si="3570"/>
        <v>6.2100000000000364</v>
      </c>
      <c r="BS221" s="197">
        <f t="shared" si="3570"/>
        <v>-1.3179999999999978</v>
      </c>
      <c r="BT221" s="197">
        <f t="shared" si="3570"/>
        <v>0.39464060066342199</v>
      </c>
      <c r="BU221" s="197">
        <f t="shared" si="3570"/>
        <v>0.32972242812988384</v>
      </c>
      <c r="BV221" s="197">
        <f t="shared" si="3570"/>
        <v>5.2119999999999891</v>
      </c>
      <c r="BW221" s="197">
        <f t="shared" si="3570"/>
        <v>-6.5579999999999927</v>
      </c>
      <c r="BX221" s="197">
        <f t="shared" si="3570"/>
        <v>0.17127111586192001</v>
      </c>
      <c r="BY221" s="197">
        <f t="shared" si="3570"/>
        <v>0.1431307722471491</v>
      </c>
      <c r="BZ221" s="197">
        <f t="shared" si="3570"/>
        <v>0.565911716525342</v>
      </c>
      <c r="CA221" s="197">
        <f t="shared" si="3570"/>
        <v>0</v>
      </c>
      <c r="CB221" s="197">
        <f t="shared" si="3570"/>
        <v>0</v>
      </c>
      <c r="CC221" s="197">
        <f t="shared" si="3570"/>
        <v>0</v>
      </c>
      <c r="CD221" s="197">
        <f t="shared" si="3570"/>
        <v>0</v>
      </c>
      <c r="CE221" s="197">
        <f t="shared" si="3570"/>
        <v>0</v>
      </c>
      <c r="CF221" s="197">
        <f t="shared" si="3570"/>
        <v>-6.4918172533538154E-2</v>
      </c>
      <c r="CG221" s="197">
        <f t="shared" si="3570"/>
        <v>0</v>
      </c>
      <c r="CH221" s="197">
        <f t="shared" si="3570"/>
        <v>0</v>
      </c>
      <c r="CI221" s="197">
        <f t="shared" si="3570"/>
        <v>0</v>
      </c>
      <c r="CJ221" s="197">
        <f t="shared" si="3570"/>
        <v>-2.8140343614770913E-2</v>
      </c>
      <c r="CK221" s="197">
        <f t="shared" si="3570"/>
        <v>0</v>
      </c>
      <c r="CL221" s="197">
        <f t="shared" si="3570"/>
        <v>0</v>
      </c>
      <c r="CM221" s="197">
        <f t="shared" si="3570"/>
        <v>0</v>
      </c>
      <c r="CN221" s="197">
        <f t="shared" si="3570"/>
        <v>0</v>
      </c>
      <c r="CO221" s="197">
        <f t="shared" si="3570"/>
        <v>0</v>
      </c>
      <c r="CP221" s="197">
        <f t="shared" si="3570"/>
        <v>0</v>
      </c>
      <c r="CQ221" s="197">
        <f t="shared" si="3570"/>
        <v>-6.4918172533538154E-2</v>
      </c>
      <c r="CR221" s="197">
        <f t="shared" si="3570"/>
        <v>0</v>
      </c>
      <c r="CS221" s="197">
        <f t="shared" si="3570"/>
        <v>0</v>
      </c>
      <c r="CT221" s="197">
        <f t="shared" si="3570"/>
        <v>0</v>
      </c>
      <c r="CU221" s="197">
        <f t="shared" si="3570"/>
        <v>-2.8140343614770913E-2</v>
      </c>
      <c r="CV221" s="197">
        <f t="shared" si="3570"/>
        <v>0</v>
      </c>
      <c r="CW221" s="197"/>
      <c r="CX221" s="197">
        <f>CX92-CX345</f>
        <v>0</v>
      </c>
      <c r="CY221" s="197">
        <f>CY92-CY345</f>
        <v>0</v>
      </c>
      <c r="CZ221" s="197">
        <f>CZ92-CZ345</f>
        <v>0</v>
      </c>
      <c r="DA221" s="197">
        <f>DA92-DA345</f>
        <v>0</v>
      </c>
      <c r="DB221" s="197">
        <f>DB92-DB345</f>
        <v>0</v>
      </c>
      <c r="DC221" s="197">
        <f>DC92-DC345</f>
        <v>0</v>
      </c>
      <c r="DD221" s="197"/>
      <c r="DE221" s="197">
        <f t="shared" ref="DE221:EG221" si="3571">DE92-DE345</f>
        <v>-3.73599999999999</v>
      </c>
      <c r="DF221" s="197">
        <f t="shared" si="3571"/>
        <v>-2.6529999999999916</v>
      </c>
      <c r="DG221" s="197">
        <f t="shared" si="3571"/>
        <v>-2.3419999999999987</v>
      </c>
      <c r="DH221" s="197">
        <f t="shared" si="3571"/>
        <v>-2.9422129515459527E-3</v>
      </c>
      <c r="DI221" s="197">
        <f t="shared" si="3571"/>
        <v>-3.6349999999999909</v>
      </c>
      <c r="DJ221" s="197">
        <f t="shared" si="3571"/>
        <v>-1.8778812597101679E-3</v>
      </c>
      <c r="DK221" s="197">
        <f t="shared" si="3571"/>
        <v>-1.6659999999999968</v>
      </c>
      <c r="DL221" s="197">
        <f t="shared" si="3571"/>
        <v>-2.9699999999999989</v>
      </c>
      <c r="DM221" s="197">
        <f t="shared" si="3571"/>
        <v>9.612683073290107E-3</v>
      </c>
      <c r="DN221" s="197">
        <f t="shared" si="3571"/>
        <v>-21.757999999999981</v>
      </c>
      <c r="DO221" s="197">
        <f t="shared" si="3571"/>
        <v>2.6229999999999976</v>
      </c>
      <c r="DP221" s="197">
        <f t="shared" si="3571"/>
        <v>3.402000000000001</v>
      </c>
      <c r="DQ221" s="197">
        <f t="shared" si="3571"/>
        <v>6.0250000000000057</v>
      </c>
      <c r="DR221" s="197">
        <f t="shared" si="3571"/>
        <v>-4.8200942112561762E-3</v>
      </c>
      <c r="DS221" s="197">
        <f t="shared" si="3571"/>
        <v>1.4651704949156796E-2</v>
      </c>
      <c r="DT221" s="197">
        <f t="shared" si="3571"/>
        <v>0</v>
      </c>
      <c r="DU221" s="197">
        <f t="shared" si="3571"/>
        <v>0</v>
      </c>
      <c r="DV221" s="197">
        <f t="shared" si="3571"/>
        <v>0</v>
      </c>
      <c r="DW221" s="197">
        <f t="shared" si="3571"/>
        <v>0</v>
      </c>
      <c r="DX221" s="197">
        <f t="shared" si="3571"/>
        <v>0</v>
      </c>
      <c r="DY221" s="197">
        <f t="shared" si="3571"/>
        <v>0</v>
      </c>
      <c r="DZ221" s="197">
        <f t="shared" si="3571"/>
        <v>0</v>
      </c>
      <c r="EA221" s="197">
        <f t="shared" si="3571"/>
        <v>0</v>
      </c>
      <c r="EB221" s="197">
        <f t="shared" si="3571"/>
        <v>0</v>
      </c>
      <c r="EC221" s="197">
        <f t="shared" si="3571"/>
        <v>0</v>
      </c>
      <c r="ED221" s="197">
        <f t="shared" si="3571"/>
        <v>0</v>
      </c>
      <c r="EE221" s="197">
        <f t="shared" si="3571"/>
        <v>0</v>
      </c>
      <c r="EF221" s="197">
        <f t="shared" si="3571"/>
        <v>0</v>
      </c>
      <c r="EG221" s="197">
        <f t="shared" si="3571"/>
        <v>0</v>
      </c>
    </row>
    <row r="222" spans="1:137" hidden="1">
      <c r="A222" s="157">
        <v>44805</v>
      </c>
      <c r="B222" s="197">
        <f>B93-B346</f>
        <v>0</v>
      </c>
      <c r="C222" s="197">
        <f>C93-C346</f>
        <v>0</v>
      </c>
      <c r="D222" s="197">
        <f>D93-D346</f>
        <v>0</v>
      </c>
      <c r="E222" s="197">
        <f>E93-E346</f>
        <v>0</v>
      </c>
      <c r="F222" s="197">
        <f>F93-F346</f>
        <v>0</v>
      </c>
      <c r="G222" s="197">
        <f>G93-G346</f>
        <v>0</v>
      </c>
      <c r="H222" s="197">
        <f>H93-H346</f>
        <v>0</v>
      </c>
      <c r="I222" s="197">
        <f t="shared" ref="I222:AB222" si="3572">I93-I346</f>
        <v>0</v>
      </c>
      <c r="J222" s="197">
        <f t="shared" si="3572"/>
        <v>0</v>
      </c>
      <c r="K222" s="197">
        <f t="shared" si="3572"/>
        <v>0</v>
      </c>
      <c r="L222" s="197">
        <f t="shared" si="3572"/>
        <v>0</v>
      </c>
      <c r="M222" s="197">
        <f t="shared" si="3572"/>
        <v>0</v>
      </c>
      <c r="N222" s="197">
        <f t="shared" si="3572"/>
        <v>0</v>
      </c>
      <c r="O222" s="197">
        <f t="shared" si="3572"/>
        <v>0</v>
      </c>
      <c r="P222" s="197">
        <f t="shared" si="3572"/>
        <v>-1.5319999999999254</v>
      </c>
      <c r="Q222" s="197">
        <f t="shared" si="3572"/>
        <v>0</v>
      </c>
      <c r="R222" s="197">
        <f t="shared" si="3572"/>
        <v>-1.5320000000000391</v>
      </c>
      <c r="S222" s="197">
        <f t="shared" si="3572"/>
        <v>0</v>
      </c>
      <c r="T222" s="197">
        <f t="shared" si="3572"/>
        <v>-6.7579999999999814</v>
      </c>
      <c r="U222" s="197">
        <f t="shared" si="3572"/>
        <v>-8.2899999999999636</v>
      </c>
      <c r="V222" s="197">
        <f t="shared" si="3572"/>
        <v>-5.680965476313693E-3</v>
      </c>
      <c r="W222" s="197">
        <f t="shared" si="3572"/>
        <v>0</v>
      </c>
      <c r="X222" s="197">
        <f t="shared" si="3572"/>
        <v>0</v>
      </c>
      <c r="Y222" s="197">
        <f t="shared" si="3572"/>
        <v>0</v>
      </c>
      <c r="Z222" s="197">
        <f t="shared" si="3572"/>
        <v>-1.2820000000001528</v>
      </c>
      <c r="AA222" s="197">
        <f t="shared" si="3572"/>
        <v>-1.1469999999999345</v>
      </c>
      <c r="AB222" s="197">
        <f t="shared" si="3572"/>
        <v>-6.0355464982838475E-5</v>
      </c>
      <c r="AC222" s="197">
        <f>AC93-AC346</f>
        <v>0</v>
      </c>
      <c r="AD222" s="197">
        <f>AD93-AD346</f>
        <v>2.4809999999999945</v>
      </c>
      <c r="AE222" s="197">
        <f>AE93-AE346</f>
        <v>2.4809999999999945</v>
      </c>
      <c r="AF222" s="197">
        <f>AF93-AF346</f>
        <v>0</v>
      </c>
      <c r="AH222" s="197"/>
      <c r="AI222" s="197">
        <f t="shared" ref="AI222:BN222" si="3573">AI93-AI346</f>
        <v>0</v>
      </c>
      <c r="AJ222" s="197">
        <f t="shared" si="3573"/>
        <v>0</v>
      </c>
      <c r="AK222" s="197">
        <f t="shared" si="3573"/>
        <v>0</v>
      </c>
      <c r="AL222" s="197">
        <f t="shared" si="3573"/>
        <v>0</v>
      </c>
      <c r="AM222" s="197">
        <f t="shared" si="3573"/>
        <v>0</v>
      </c>
      <c r="AN222" s="197">
        <f t="shared" si="3573"/>
        <v>0</v>
      </c>
      <c r="AO222" s="197">
        <f t="shared" si="3573"/>
        <v>0</v>
      </c>
      <c r="AP222" s="197">
        <f t="shared" si="3573"/>
        <v>0</v>
      </c>
      <c r="AQ222" s="197">
        <f t="shared" si="3573"/>
        <v>0</v>
      </c>
      <c r="AR222" s="197">
        <f t="shared" si="3573"/>
        <v>0</v>
      </c>
      <c r="AS222" s="197">
        <f t="shared" si="3573"/>
        <v>0</v>
      </c>
      <c r="AT222" s="197">
        <f t="shared" si="3573"/>
        <v>0</v>
      </c>
      <c r="AU222" s="197">
        <f t="shared" si="3573"/>
        <v>0</v>
      </c>
      <c r="AV222" s="197">
        <f t="shared" si="3573"/>
        <v>0</v>
      </c>
      <c r="AW222" s="197">
        <f t="shared" si="3573"/>
        <v>0</v>
      </c>
      <c r="AX222" s="197">
        <f t="shared" si="3573"/>
        <v>0</v>
      </c>
      <c r="AY222" s="197">
        <f t="shared" si="3573"/>
        <v>0</v>
      </c>
      <c r="AZ222" s="197">
        <f t="shared" si="3573"/>
        <v>0</v>
      </c>
      <c r="BA222" s="197">
        <f t="shared" si="3573"/>
        <v>0</v>
      </c>
      <c r="BB222" s="197">
        <f t="shared" si="3573"/>
        <v>0</v>
      </c>
      <c r="BC222" s="197">
        <f t="shared" si="3573"/>
        <v>0</v>
      </c>
      <c r="BD222" s="197">
        <f t="shared" si="3573"/>
        <v>0</v>
      </c>
      <c r="BE222" s="197">
        <f t="shared" si="3573"/>
        <v>0</v>
      </c>
      <c r="BF222" s="197">
        <f t="shared" si="3573"/>
        <v>0</v>
      </c>
      <c r="BG222" s="197">
        <f t="shared" si="3573"/>
        <v>0</v>
      </c>
      <c r="BH222" s="197">
        <f t="shared" si="3573"/>
        <v>0</v>
      </c>
      <c r="BI222" s="197">
        <f t="shared" si="3573"/>
        <v>0</v>
      </c>
      <c r="BJ222" s="197">
        <f t="shared" si="3573"/>
        <v>0</v>
      </c>
      <c r="BK222" s="197">
        <f t="shared" si="3573"/>
        <v>0</v>
      </c>
      <c r="BL222" s="197">
        <f t="shared" si="3573"/>
        <v>0</v>
      </c>
      <c r="BM222" s="197">
        <f t="shared" si="3573"/>
        <v>0</v>
      </c>
      <c r="BN222" s="197">
        <f t="shared" si="3573"/>
        <v>0</v>
      </c>
      <c r="BO222" s="197">
        <f t="shared" ref="BO222:CV222" si="3574">BO93-BO346</f>
        <v>0</v>
      </c>
      <c r="BP222" s="197">
        <f t="shared" si="3574"/>
        <v>0</v>
      </c>
      <c r="BQ222" s="197">
        <f t="shared" si="3574"/>
        <v>0</v>
      </c>
      <c r="BR222" s="197">
        <f t="shared" si="3574"/>
        <v>0</v>
      </c>
      <c r="BS222" s="197">
        <f t="shared" si="3574"/>
        <v>0</v>
      </c>
      <c r="BT222" s="197">
        <f t="shared" si="3574"/>
        <v>0</v>
      </c>
      <c r="BU222" s="197">
        <f t="shared" si="3574"/>
        <v>0</v>
      </c>
      <c r="BV222" s="197">
        <f t="shared" si="3574"/>
        <v>0</v>
      </c>
      <c r="BW222" s="197">
        <f t="shared" si="3574"/>
        <v>0</v>
      </c>
      <c r="BX222" s="197">
        <f t="shared" si="3574"/>
        <v>0</v>
      </c>
      <c r="BY222" s="197">
        <f t="shared" si="3574"/>
        <v>0</v>
      </c>
      <c r="BZ222" s="197">
        <f t="shared" si="3574"/>
        <v>0</v>
      </c>
      <c r="CA222" s="197">
        <f t="shared" si="3574"/>
        <v>0</v>
      </c>
      <c r="CB222" s="197">
        <f t="shared" si="3574"/>
        <v>0</v>
      </c>
      <c r="CC222" s="197">
        <f t="shared" si="3574"/>
        <v>0</v>
      </c>
      <c r="CD222" s="197">
        <f t="shared" si="3574"/>
        <v>0</v>
      </c>
      <c r="CE222" s="197">
        <f t="shared" si="3574"/>
        <v>0</v>
      </c>
      <c r="CF222" s="197">
        <f t="shared" si="3574"/>
        <v>0</v>
      </c>
      <c r="CG222" s="197">
        <f t="shared" si="3574"/>
        <v>0</v>
      </c>
      <c r="CH222" s="197">
        <f t="shared" si="3574"/>
        <v>0</v>
      </c>
      <c r="CI222" s="197">
        <f t="shared" si="3574"/>
        <v>0</v>
      </c>
      <c r="CJ222" s="197">
        <f t="shared" si="3574"/>
        <v>0</v>
      </c>
      <c r="CK222" s="197">
        <f t="shared" si="3574"/>
        <v>0</v>
      </c>
      <c r="CL222" s="197">
        <f t="shared" si="3574"/>
        <v>0</v>
      </c>
      <c r="CM222" s="197">
        <f t="shared" si="3574"/>
        <v>0</v>
      </c>
      <c r="CN222" s="197">
        <f t="shared" si="3574"/>
        <v>0</v>
      </c>
      <c r="CO222" s="197">
        <f t="shared" si="3574"/>
        <v>0</v>
      </c>
      <c r="CP222" s="197">
        <f t="shared" si="3574"/>
        <v>0</v>
      </c>
      <c r="CQ222" s="197">
        <f t="shared" si="3574"/>
        <v>0</v>
      </c>
      <c r="CR222" s="197">
        <f t="shared" si="3574"/>
        <v>0</v>
      </c>
      <c r="CS222" s="197">
        <f t="shared" si="3574"/>
        <v>0</v>
      </c>
      <c r="CT222" s="197">
        <f t="shared" si="3574"/>
        <v>0</v>
      </c>
      <c r="CU222" s="197">
        <f t="shared" si="3574"/>
        <v>0</v>
      </c>
      <c r="CV222" s="197">
        <f t="shared" si="3574"/>
        <v>0</v>
      </c>
      <c r="CW222" s="197"/>
      <c r="CX222" s="197">
        <f>CX93-CX346</f>
        <v>0</v>
      </c>
      <c r="CY222" s="197">
        <f>CY93-CY346</f>
        <v>0</v>
      </c>
      <c r="CZ222" s="197">
        <f>CZ93-CZ346</f>
        <v>0</v>
      </c>
      <c r="DA222" s="197">
        <f>DA93-DA346</f>
        <v>0</v>
      </c>
      <c r="DB222" s="197">
        <f>DB93-DB346</f>
        <v>0</v>
      </c>
      <c r="DC222" s="197">
        <f>DC93-DC346</f>
        <v>0</v>
      </c>
      <c r="DD222" s="197"/>
      <c r="DE222" s="197">
        <f t="shared" ref="DE222:EG222" si="3575">DE93-DE346</f>
        <v>-8.2230000000000132</v>
      </c>
      <c r="DF222" s="197">
        <f t="shared" si="3575"/>
        <v>-5.3579999999999899</v>
      </c>
      <c r="DG222" s="197">
        <f t="shared" si="3575"/>
        <v>-0.33800000000000097</v>
      </c>
      <c r="DH222" s="197">
        <f t="shared" si="3575"/>
        <v>-3.6909496093412431E-3</v>
      </c>
      <c r="DI222" s="197">
        <f t="shared" si="3575"/>
        <v>-6.686000000000007</v>
      </c>
      <c r="DJ222" s="197">
        <f t="shared" si="3575"/>
        <v>-5.991338422733361E-4</v>
      </c>
      <c r="DK222" s="197">
        <f t="shared" si="3575"/>
        <v>-7.5240000000000009</v>
      </c>
      <c r="DL222" s="197">
        <f t="shared" si="3575"/>
        <v>-6.6670000000000016</v>
      </c>
      <c r="DM222" s="197">
        <f t="shared" si="3575"/>
        <v>-3.650949670715109E-3</v>
      </c>
      <c r="DN222" s="197">
        <f t="shared" si="3575"/>
        <v>-6.5339999999999918</v>
      </c>
      <c r="DO222" s="197">
        <f t="shared" si="3575"/>
        <v>-3.1769999999999996</v>
      </c>
      <c r="DP222" s="197">
        <f t="shared" si="3575"/>
        <v>-0.78300000000000125</v>
      </c>
      <c r="DQ222" s="197">
        <f t="shared" si="3575"/>
        <v>-3.9599999999999795</v>
      </c>
      <c r="DR222" s="197">
        <f t="shared" si="3575"/>
        <v>-4.2900834516145236E-3</v>
      </c>
      <c r="DS222" s="197">
        <f t="shared" si="3575"/>
        <v>-1.5255034661483258E-3</v>
      </c>
      <c r="DT222" s="197">
        <f t="shared" si="3575"/>
        <v>0</v>
      </c>
      <c r="DU222" s="197">
        <f t="shared" si="3575"/>
        <v>0</v>
      </c>
      <c r="DV222" s="197">
        <f t="shared" si="3575"/>
        <v>0</v>
      </c>
      <c r="DW222" s="197">
        <f t="shared" si="3575"/>
        <v>0</v>
      </c>
      <c r="DX222" s="197">
        <f t="shared" si="3575"/>
        <v>0</v>
      </c>
      <c r="DY222" s="197">
        <f t="shared" si="3575"/>
        <v>0</v>
      </c>
      <c r="DZ222" s="197">
        <f t="shared" si="3575"/>
        <v>0</v>
      </c>
      <c r="EA222" s="197">
        <f t="shared" si="3575"/>
        <v>0</v>
      </c>
      <c r="EB222" s="197">
        <f t="shared" si="3575"/>
        <v>0</v>
      </c>
      <c r="EC222" s="197">
        <f t="shared" si="3575"/>
        <v>0</v>
      </c>
      <c r="ED222" s="197">
        <f t="shared" si="3575"/>
        <v>0</v>
      </c>
      <c r="EE222" s="197">
        <f t="shared" si="3575"/>
        <v>0</v>
      </c>
      <c r="EF222" s="197">
        <f t="shared" si="3575"/>
        <v>0</v>
      </c>
      <c r="EG222" s="197">
        <f t="shared" si="3575"/>
        <v>0</v>
      </c>
    </row>
    <row r="223" spans="1:137" ht="11.25" customHeight="1">
      <c r="A223" s="157">
        <v>44835</v>
      </c>
      <c r="B223" s="247">
        <f>B94-B347</f>
        <v>0</v>
      </c>
      <c r="C223" s="247">
        <f>C94-C347</f>
        <v>0</v>
      </c>
      <c r="D223" s="247">
        <f>D94-D347</f>
        <v>0</v>
      </c>
      <c r="E223" s="247">
        <f>E94-E347</f>
        <v>0</v>
      </c>
      <c r="F223" s="247">
        <f>F94-F347</f>
        <v>0</v>
      </c>
      <c r="G223" s="247">
        <f>G94-G347</f>
        <v>0</v>
      </c>
      <c r="H223" s="247">
        <f>H94-H347</f>
        <v>0</v>
      </c>
      <c r="I223" s="247">
        <f t="shared" ref="I223:AB223" si="3576">I94-I347</f>
        <v>0</v>
      </c>
      <c r="J223" s="247">
        <f t="shared" si="3576"/>
        <v>0</v>
      </c>
      <c r="K223" s="247">
        <f t="shared" si="3576"/>
        <v>0</v>
      </c>
      <c r="L223" s="247">
        <f t="shared" si="3576"/>
        <v>0</v>
      </c>
      <c r="M223" s="247">
        <f t="shared" si="3576"/>
        <v>0</v>
      </c>
      <c r="N223" s="247">
        <f t="shared" si="3576"/>
        <v>0</v>
      </c>
      <c r="O223" s="247">
        <f t="shared" si="3576"/>
        <v>0</v>
      </c>
      <c r="P223" s="247">
        <f t="shared" si="3576"/>
        <v>3.1999999999925421E-2</v>
      </c>
      <c r="Q223" s="247">
        <f t="shared" si="3576"/>
        <v>0</v>
      </c>
      <c r="R223" s="247">
        <f t="shared" si="3576"/>
        <v>3.2000000000010687E-2</v>
      </c>
      <c r="S223" s="247">
        <f t="shared" si="3576"/>
        <v>0</v>
      </c>
      <c r="T223" s="247">
        <f t="shared" si="3576"/>
        <v>-0.18400000000002592</v>
      </c>
      <c r="U223" s="247">
        <f t="shared" si="3576"/>
        <v>-0.15200000000004366</v>
      </c>
      <c r="V223" s="247">
        <f t="shared" si="3576"/>
        <v>-9.9494541546230053E-5</v>
      </c>
      <c r="W223" s="247">
        <f t="shared" si="3576"/>
        <v>0</v>
      </c>
      <c r="X223" s="247">
        <f t="shared" si="3576"/>
        <v>0</v>
      </c>
      <c r="Y223" s="247">
        <f t="shared" si="3576"/>
        <v>0</v>
      </c>
      <c r="Z223" s="247">
        <f t="shared" si="3576"/>
        <v>-0.42200000000002547</v>
      </c>
      <c r="AA223" s="247">
        <f t="shared" si="3576"/>
        <v>-0.41599999999993997</v>
      </c>
      <c r="AB223" s="247">
        <f t="shared" si="3576"/>
        <v>2.035374187546457E-6</v>
      </c>
      <c r="AC223" s="247">
        <f>AC94-AC347</f>
        <v>3.9999999999992042E-2</v>
      </c>
      <c r="AD223" s="247">
        <f>AD94-AD347</f>
        <v>5.7999999999992724E-2</v>
      </c>
      <c r="AE223" s="247">
        <f>AE94-AE347</f>
        <v>5.7999999999992724E-2</v>
      </c>
      <c r="AF223" s="247">
        <f>AF94-AF347</f>
        <v>0</v>
      </c>
      <c r="AG223" s="248"/>
      <c r="AH223" s="247"/>
      <c r="AI223" s="247">
        <f t="shared" ref="AI223:BN223" si="3577">AI94-AI347</f>
        <v>0</v>
      </c>
      <c r="AJ223" s="247">
        <f t="shared" si="3577"/>
        <v>0</v>
      </c>
      <c r="AK223" s="247">
        <f t="shared" si="3577"/>
        <v>0</v>
      </c>
      <c r="AL223" s="247">
        <f t="shared" si="3577"/>
        <v>0</v>
      </c>
      <c r="AM223" s="247">
        <f t="shared" si="3577"/>
        <v>0</v>
      </c>
      <c r="AN223" s="247">
        <f t="shared" si="3577"/>
        <v>0</v>
      </c>
      <c r="AO223" s="247">
        <f t="shared" si="3577"/>
        <v>0</v>
      </c>
      <c r="AP223" s="247">
        <f t="shared" si="3577"/>
        <v>9.9819680848213466E-2</v>
      </c>
      <c r="AQ223" s="247">
        <f t="shared" si="3577"/>
        <v>0</v>
      </c>
      <c r="AR223" s="247">
        <f t="shared" si="3577"/>
        <v>0</v>
      </c>
      <c r="AS223" s="247">
        <f t="shared" si="3577"/>
        <v>0</v>
      </c>
      <c r="AT223" s="247">
        <f t="shared" si="3577"/>
        <v>0</v>
      </c>
      <c r="AU223" s="247">
        <f t="shared" si="3577"/>
        <v>0</v>
      </c>
      <c r="AV223" s="247">
        <f t="shared" si="3577"/>
        <v>0</v>
      </c>
      <c r="AW223" s="247">
        <f t="shared" si="3577"/>
        <v>0</v>
      </c>
      <c r="AX223" s="247">
        <f t="shared" si="3577"/>
        <v>0</v>
      </c>
      <c r="AY223" s="247">
        <f t="shared" si="3577"/>
        <v>0</v>
      </c>
      <c r="AZ223" s="247">
        <f t="shared" si="3577"/>
        <v>0</v>
      </c>
      <c r="BA223" s="247">
        <f t="shared" si="3577"/>
        <v>0</v>
      </c>
      <c r="BB223" s="247">
        <f t="shared" si="3577"/>
        <v>0</v>
      </c>
      <c r="BC223" s="247">
        <f t="shared" si="3577"/>
        <v>0</v>
      </c>
      <c r="BD223" s="247">
        <f t="shared" si="3577"/>
        <v>0</v>
      </c>
      <c r="BE223" s="247">
        <f t="shared" si="3577"/>
        <v>0</v>
      </c>
      <c r="BF223" s="247">
        <f t="shared" si="3577"/>
        <v>0</v>
      </c>
      <c r="BG223" s="247">
        <f t="shared" si="3577"/>
        <v>0</v>
      </c>
      <c r="BH223" s="247">
        <f t="shared" si="3577"/>
        <v>0</v>
      </c>
      <c r="BI223" s="247">
        <f t="shared" si="3577"/>
        <v>0</v>
      </c>
      <c r="BJ223" s="247">
        <f t="shared" si="3577"/>
        <v>0</v>
      </c>
      <c r="BK223" s="247">
        <f t="shared" si="3577"/>
        <v>0</v>
      </c>
      <c r="BL223" s="247">
        <f t="shared" si="3577"/>
        <v>0</v>
      </c>
      <c r="BM223" s="247">
        <f t="shared" si="3577"/>
        <v>0</v>
      </c>
      <c r="BN223" s="247">
        <f t="shared" si="3577"/>
        <v>0</v>
      </c>
      <c r="BO223" s="247">
        <f t="shared" ref="BO223:CV223" si="3578">BO94-BO347</f>
        <v>0</v>
      </c>
      <c r="BP223" s="247">
        <f t="shared" si="3578"/>
        <v>0</v>
      </c>
      <c r="BQ223" s="247">
        <f t="shared" si="3578"/>
        <v>0</v>
      </c>
      <c r="BR223" s="247">
        <f t="shared" si="3578"/>
        <v>0</v>
      </c>
      <c r="BS223" s="247">
        <f t="shared" si="3578"/>
        <v>0</v>
      </c>
      <c r="BT223" s="247">
        <f t="shared" si="3578"/>
        <v>0</v>
      </c>
      <c r="BU223" s="247">
        <f t="shared" si="3578"/>
        <v>0</v>
      </c>
      <c r="BV223" s="247">
        <f t="shared" si="3578"/>
        <v>0</v>
      </c>
      <c r="BW223" s="247">
        <f t="shared" si="3578"/>
        <v>0</v>
      </c>
      <c r="BX223" s="247">
        <f t="shared" si="3578"/>
        <v>0</v>
      </c>
      <c r="BY223" s="247">
        <f t="shared" si="3578"/>
        <v>0</v>
      </c>
      <c r="BZ223" s="247">
        <f t="shared" si="3578"/>
        <v>0</v>
      </c>
      <c r="CA223" s="247">
        <f t="shared" si="3578"/>
        <v>0</v>
      </c>
      <c r="CB223" s="247">
        <f t="shared" si="3578"/>
        <v>0</v>
      </c>
      <c r="CC223" s="247">
        <f t="shared" si="3578"/>
        <v>0</v>
      </c>
      <c r="CD223" s="247">
        <f t="shared" si="3578"/>
        <v>0</v>
      </c>
      <c r="CE223" s="247">
        <f t="shared" si="3578"/>
        <v>0</v>
      </c>
      <c r="CF223" s="247">
        <f t="shared" si="3578"/>
        <v>0</v>
      </c>
      <c r="CG223" s="247">
        <f t="shared" si="3578"/>
        <v>0</v>
      </c>
      <c r="CH223" s="247">
        <f t="shared" si="3578"/>
        <v>-9.9819680848220571E-2</v>
      </c>
      <c r="CI223" s="247">
        <f t="shared" si="3578"/>
        <v>0</v>
      </c>
      <c r="CJ223" s="247">
        <f t="shared" si="3578"/>
        <v>0</v>
      </c>
      <c r="CK223" s="247">
        <f t="shared" si="3578"/>
        <v>0</v>
      </c>
      <c r="CL223" s="247">
        <f t="shared" si="3578"/>
        <v>0</v>
      </c>
      <c r="CM223" s="247">
        <f t="shared" si="3578"/>
        <v>0</v>
      </c>
      <c r="CN223" s="247">
        <f t="shared" si="3578"/>
        <v>0</v>
      </c>
      <c r="CO223" s="247">
        <f t="shared" si="3578"/>
        <v>0</v>
      </c>
      <c r="CP223" s="247">
        <f t="shared" si="3578"/>
        <v>0</v>
      </c>
      <c r="CQ223" s="247">
        <f t="shared" si="3578"/>
        <v>0</v>
      </c>
      <c r="CR223" s="247">
        <f t="shared" si="3578"/>
        <v>0</v>
      </c>
      <c r="CS223" s="247">
        <f t="shared" si="3578"/>
        <v>0</v>
      </c>
      <c r="CT223" s="247">
        <f t="shared" si="3578"/>
        <v>0</v>
      </c>
      <c r="CU223" s="247">
        <f t="shared" si="3578"/>
        <v>0</v>
      </c>
      <c r="CV223" s="247">
        <f t="shared" si="3578"/>
        <v>0</v>
      </c>
      <c r="CW223" s="247"/>
      <c r="CX223" s="247">
        <f>CX94-CX347</f>
        <v>0</v>
      </c>
      <c r="CY223" s="247">
        <f>CY94-CY347</f>
        <v>0</v>
      </c>
      <c r="CZ223" s="247">
        <f>CZ94-CZ347</f>
        <v>0</v>
      </c>
      <c r="DA223" s="247">
        <f>DA94-DA347</f>
        <v>0</v>
      </c>
      <c r="DB223" s="247">
        <f>DB94-DB347</f>
        <v>0</v>
      </c>
      <c r="DC223" s="247">
        <f>DC94-DC347</f>
        <v>0</v>
      </c>
      <c r="DD223" s="247"/>
      <c r="DE223" s="247">
        <f t="shared" ref="DE223:EG223" si="3579">DE94-DE347</f>
        <v>2.6810000000000116</v>
      </c>
      <c r="DF223" s="247">
        <f t="shared" si="3579"/>
        <v>0.92499999999999716</v>
      </c>
      <c r="DG223" s="247">
        <f t="shared" si="3579"/>
        <v>-3.0999999999998806E-2</v>
      </c>
      <c r="DH223" s="247">
        <f t="shared" si="3579"/>
        <v>-3.0472534186692934E-3</v>
      </c>
      <c r="DI223" s="247">
        <f t="shared" si="3579"/>
        <v>2.2420000000000186</v>
      </c>
      <c r="DJ223" s="247">
        <f t="shared" si="3579"/>
        <v>9.5090258891039614E-5</v>
      </c>
      <c r="DK223" s="247">
        <f t="shared" si="3579"/>
        <v>-0.63499999999999091</v>
      </c>
      <c r="DL223" s="247">
        <f t="shared" si="3579"/>
        <v>-0.62399999999999523</v>
      </c>
      <c r="DM223" s="247">
        <f t="shared" si="3579"/>
        <v>5.2126843500421849E-5</v>
      </c>
      <c r="DN223" s="247">
        <f t="shared" si="3579"/>
        <v>2.0000000000010232E-2</v>
      </c>
      <c r="DO223" s="247">
        <f t="shared" si="3579"/>
        <v>1.0390000000000015</v>
      </c>
      <c r="DP223" s="247">
        <f t="shared" si="3579"/>
        <v>-0.60900000000000887</v>
      </c>
      <c r="DQ223" s="247">
        <f t="shared" si="3579"/>
        <v>0.43000000000000682</v>
      </c>
      <c r="DR223" s="247">
        <f t="shared" si="3579"/>
        <v>-2.9521631597781983E-3</v>
      </c>
      <c r="DS223" s="247">
        <f t="shared" si="3579"/>
        <v>-1.6564945042130019E-2</v>
      </c>
      <c r="DT223" s="247">
        <f t="shared" si="3579"/>
        <v>8.625</v>
      </c>
      <c r="DU223" s="247">
        <f t="shared" si="3579"/>
        <v>5.3160000000000025</v>
      </c>
      <c r="DV223" s="247">
        <f t="shared" si="3579"/>
        <v>0.93200000000000216</v>
      </c>
      <c r="DW223" s="247">
        <f t="shared" si="3579"/>
        <v>1.315563163794442E-2</v>
      </c>
      <c r="DX223" s="247">
        <f t="shared" si="3579"/>
        <v>3.2669999999999995</v>
      </c>
      <c r="DY223" s="247">
        <f t="shared" si="3579"/>
        <v>4.964790866752028E-3</v>
      </c>
      <c r="DZ223" s="247">
        <f t="shared" si="3579"/>
        <v>3.267000000000003</v>
      </c>
      <c r="EA223" s="247">
        <f t="shared" si="3579"/>
        <v>3.2669999999999959</v>
      </c>
      <c r="EB223" s="247">
        <f t="shared" si="3579"/>
        <v>-2.3947726636823763E-3</v>
      </c>
      <c r="EC223" s="247">
        <f t="shared" si="3579"/>
        <v>8.3999999999996078E-2</v>
      </c>
      <c r="ED223" s="247">
        <f t="shared" si="3579"/>
        <v>0</v>
      </c>
      <c r="EE223" s="247">
        <f t="shared" si="3579"/>
        <v>0.62800000000000011</v>
      </c>
      <c r="EF223" s="247">
        <f t="shared" si="3579"/>
        <v>0.62800000000000011</v>
      </c>
      <c r="EG223" s="247">
        <f t="shared" si="3579"/>
        <v>1.8120422504696476E-2</v>
      </c>
    </row>
    <row r="224" spans="1:137" ht="11.25" customHeight="1">
      <c r="A224" s="157">
        <v>44866</v>
      </c>
      <c r="B224" s="247">
        <f>B95-B348</f>
        <v>2.6059999999997672</v>
      </c>
      <c r="C224" s="247">
        <f>C95-C348</f>
        <v>8.6866666666651327E-2</v>
      </c>
      <c r="D224" s="247">
        <f>D95-D348</f>
        <v>8.6866666666651327E-2</v>
      </c>
      <c r="E224" s="247">
        <f>E95-E348</f>
        <v>4.8479030865844486E-4</v>
      </c>
      <c r="F224" s="247">
        <f>F95-F348</f>
        <v>1.2340000000003783</v>
      </c>
      <c r="G224" s="247">
        <f>G95-G348</f>
        <v>1.2340000000003783</v>
      </c>
      <c r="H224" s="247">
        <f>H95-H348</f>
        <v>0</v>
      </c>
      <c r="I224" s="247">
        <f t="shared" ref="I224:AB224" si="3580">I95-I348</f>
        <v>0.89400000000000546</v>
      </c>
      <c r="J224" s="247">
        <f t="shared" si="3580"/>
        <v>-7.243249087331094E-3</v>
      </c>
      <c r="K224" s="247">
        <f t="shared" si="3580"/>
        <v>-8.5932989395729464E-3</v>
      </c>
      <c r="L224" s="247">
        <f t="shared" si="3580"/>
        <v>-8.5932989395729464E-3</v>
      </c>
      <c r="M224" s="247">
        <f t="shared" si="3580"/>
        <v>0</v>
      </c>
      <c r="N224" s="247">
        <f t="shared" si="3580"/>
        <v>0</v>
      </c>
      <c r="O224" s="247">
        <f t="shared" si="3580"/>
        <v>1.7800000000002001</v>
      </c>
      <c r="P224" s="247">
        <f t="shared" si="3580"/>
        <v>4.3289999999999509</v>
      </c>
      <c r="Q224" s="247">
        <f t="shared" si="3580"/>
        <v>4.3289999999999509</v>
      </c>
      <c r="R224" s="247">
        <f t="shared" si="3580"/>
        <v>0</v>
      </c>
      <c r="S224" s="247">
        <f t="shared" si="3580"/>
        <v>0</v>
      </c>
      <c r="T224" s="247">
        <f t="shared" si="3580"/>
        <v>0</v>
      </c>
      <c r="U224" s="247">
        <f t="shared" si="3580"/>
        <v>4.3289999999997235</v>
      </c>
      <c r="V224" s="247">
        <f t="shared" si="3580"/>
        <v>2.6554991344629464E-3</v>
      </c>
      <c r="W224" s="247">
        <f t="shared" si="3580"/>
        <v>4.0737729613553597E-3</v>
      </c>
      <c r="X224" s="247">
        <f t="shared" si="3580"/>
        <v>4.0737729613553597E-3</v>
      </c>
      <c r="Y224" s="247">
        <f t="shared" si="3580"/>
        <v>-4.5195259782175867E-3</v>
      </c>
      <c r="Z224" s="247">
        <f t="shared" si="3580"/>
        <v>0</v>
      </c>
      <c r="AA224" s="247">
        <f t="shared" si="3580"/>
        <v>0</v>
      </c>
      <c r="AB224" s="247">
        <f t="shared" si="3580"/>
        <v>0</v>
      </c>
      <c r="AC224" s="247">
        <f>AC95-AC348</f>
        <v>0</v>
      </c>
      <c r="AD224" s="247">
        <f>AD95-AD348</f>
        <v>0</v>
      </c>
      <c r="AE224" s="247">
        <f>AE95-AE348</f>
        <v>0</v>
      </c>
      <c r="AF224" s="247">
        <f>AF95-AF348</f>
        <v>0</v>
      </c>
      <c r="AG224" s="248"/>
      <c r="AH224" s="247"/>
      <c r="AI224" s="247">
        <f t="shared" ref="AI224:BN224" si="3581">AI95-AI348</f>
        <v>0</v>
      </c>
      <c r="AJ224" s="247">
        <f t="shared" si="3581"/>
        <v>0</v>
      </c>
      <c r="AK224" s="247">
        <f t="shared" si="3581"/>
        <v>0</v>
      </c>
      <c r="AL224" s="247">
        <f t="shared" si="3581"/>
        <v>0</v>
      </c>
      <c r="AM224" s="247">
        <f t="shared" si="3581"/>
        <v>0</v>
      </c>
      <c r="AN224" s="247">
        <f t="shared" si="3581"/>
        <v>7.243249087331094E-3</v>
      </c>
      <c r="AO224" s="247">
        <f t="shared" si="3581"/>
        <v>0</v>
      </c>
      <c r="AP224" s="247">
        <f t="shared" si="3581"/>
        <v>4.2994417256498991</v>
      </c>
      <c r="AQ224" s="247">
        <f t="shared" si="3581"/>
        <v>0</v>
      </c>
      <c r="AR224" s="247">
        <f t="shared" si="3581"/>
        <v>-4.0737729613553597E-3</v>
      </c>
      <c r="AS224" s="247">
        <f t="shared" si="3581"/>
        <v>0</v>
      </c>
      <c r="AT224" s="247">
        <f t="shared" si="3581"/>
        <v>0</v>
      </c>
      <c r="AU224" s="247">
        <f t="shared" si="3581"/>
        <v>0</v>
      </c>
      <c r="AV224" s="247">
        <f t="shared" si="3581"/>
        <v>0</v>
      </c>
      <c r="AW224" s="247">
        <f t="shared" si="3581"/>
        <v>0</v>
      </c>
      <c r="AX224" s="247">
        <f t="shared" si="3581"/>
        <v>0</v>
      </c>
      <c r="AY224" s="247">
        <f t="shared" si="3581"/>
        <v>7.243249087331094E-3</v>
      </c>
      <c r="AZ224" s="247">
        <f t="shared" si="3581"/>
        <v>0</v>
      </c>
      <c r="BA224" s="247">
        <f t="shared" si="3581"/>
        <v>0</v>
      </c>
      <c r="BB224" s="247">
        <f t="shared" si="3581"/>
        <v>0</v>
      </c>
      <c r="BC224" s="247">
        <f t="shared" si="3581"/>
        <v>-4.0737729613553597E-3</v>
      </c>
      <c r="BD224" s="247">
        <f t="shared" si="3581"/>
        <v>0</v>
      </c>
      <c r="BE224" s="247">
        <f t="shared" si="3581"/>
        <v>2.6059999999999945</v>
      </c>
      <c r="BF224" s="247">
        <f t="shared" si="3581"/>
        <v>8.6866666666665537E-2</v>
      </c>
      <c r="BG224" s="247">
        <f t="shared" si="3581"/>
        <v>0</v>
      </c>
      <c r="BH224" s="247">
        <f t="shared" si="3581"/>
        <v>0</v>
      </c>
      <c r="BI224" s="247">
        <f t="shared" si="3581"/>
        <v>-9.0946858168685196E-2</v>
      </c>
      <c r="BJ224" s="247">
        <f t="shared" si="3581"/>
        <v>-8.3703609081354102E-2</v>
      </c>
      <c r="BK224" s="247">
        <f t="shared" si="3581"/>
        <v>0</v>
      </c>
      <c r="BL224" s="247">
        <f t="shared" si="3581"/>
        <v>0</v>
      </c>
      <c r="BM224" s="247">
        <f t="shared" si="3581"/>
        <v>-2.334489916177418E-2</v>
      </c>
      <c r="BN224" s="247">
        <f t="shared" si="3581"/>
        <v>-2.7418672123129539E-2</v>
      </c>
      <c r="BO224" s="247">
        <f t="shared" ref="BO224:CV224" si="3582">BO95-BO348</f>
        <v>-0.11429175733046293</v>
      </c>
      <c r="BP224" s="247">
        <f t="shared" si="3582"/>
        <v>0</v>
      </c>
      <c r="BQ224" s="247">
        <f t="shared" si="3582"/>
        <v>0</v>
      </c>
      <c r="BR224" s="247">
        <f t="shared" si="3582"/>
        <v>0</v>
      </c>
      <c r="BS224" s="247">
        <f t="shared" si="3582"/>
        <v>0</v>
      </c>
      <c r="BT224" s="247">
        <f t="shared" si="3582"/>
        <v>0</v>
      </c>
      <c r="BU224" s="247">
        <f t="shared" si="3582"/>
        <v>7.243249087331094E-3</v>
      </c>
      <c r="BV224" s="247">
        <f t="shared" si="3582"/>
        <v>0</v>
      </c>
      <c r="BW224" s="247">
        <f t="shared" si="3582"/>
        <v>0</v>
      </c>
      <c r="BX224" s="247">
        <f t="shared" si="3582"/>
        <v>0</v>
      </c>
      <c r="BY224" s="247">
        <f t="shared" si="3582"/>
        <v>-4.0737729613553597E-3</v>
      </c>
      <c r="BZ224" s="247">
        <f t="shared" si="3582"/>
        <v>0</v>
      </c>
      <c r="CA224" s="247">
        <f t="shared" si="3582"/>
        <v>0</v>
      </c>
      <c r="CB224" s="247">
        <f t="shared" si="3582"/>
        <v>0</v>
      </c>
      <c r="CC224" s="247">
        <f t="shared" si="3582"/>
        <v>0</v>
      </c>
      <c r="CD224" s="247">
        <f t="shared" si="3582"/>
        <v>0</v>
      </c>
      <c r="CE224" s="247">
        <f t="shared" si="3582"/>
        <v>0</v>
      </c>
      <c r="CF224" s="247">
        <f t="shared" si="3582"/>
        <v>7.243249087331094E-3</v>
      </c>
      <c r="CG224" s="247">
        <f t="shared" si="3582"/>
        <v>0</v>
      </c>
      <c r="CH224" s="247">
        <f t="shared" si="3582"/>
        <v>2.9558274350051761E-2</v>
      </c>
      <c r="CI224" s="247">
        <f t="shared" si="3582"/>
        <v>0</v>
      </c>
      <c r="CJ224" s="247">
        <f t="shared" si="3582"/>
        <v>-4.0737729613553597E-3</v>
      </c>
      <c r="CK224" s="247">
        <f t="shared" si="3582"/>
        <v>0</v>
      </c>
      <c r="CL224" s="247">
        <f t="shared" si="3582"/>
        <v>0</v>
      </c>
      <c r="CM224" s="247">
        <f t="shared" si="3582"/>
        <v>0</v>
      </c>
      <c r="CN224" s="247">
        <f t="shared" si="3582"/>
        <v>0</v>
      </c>
      <c r="CO224" s="247">
        <f t="shared" si="3582"/>
        <v>0</v>
      </c>
      <c r="CP224" s="247">
        <f t="shared" si="3582"/>
        <v>0</v>
      </c>
      <c r="CQ224" s="247">
        <f t="shared" si="3582"/>
        <v>7.243249087331094E-3</v>
      </c>
      <c r="CR224" s="247">
        <f t="shared" si="3582"/>
        <v>0</v>
      </c>
      <c r="CS224" s="247">
        <f t="shared" si="3582"/>
        <v>0</v>
      </c>
      <c r="CT224" s="247">
        <f t="shared" si="3582"/>
        <v>0</v>
      </c>
      <c r="CU224" s="247">
        <f t="shared" si="3582"/>
        <v>-4.0737729613553597E-3</v>
      </c>
      <c r="CV224" s="247">
        <f t="shared" si="3582"/>
        <v>0</v>
      </c>
      <c r="CW224" s="247"/>
      <c r="CX224" s="247">
        <f>CX95-CX348</f>
        <v>0</v>
      </c>
      <c r="CY224" s="247">
        <f>CY95-CY348</f>
        <v>1.234000000000151</v>
      </c>
      <c r="CZ224" s="247">
        <f>CZ95-CZ348</f>
        <v>0.89400000000004098</v>
      </c>
      <c r="DA224" s="247">
        <f>DA95-DA348</f>
        <v>1.7799999999999727</v>
      </c>
      <c r="DB224" s="247">
        <f>DB95-DB348</f>
        <v>0</v>
      </c>
      <c r="DC224" s="247">
        <f>DC95-DC348</f>
        <v>0</v>
      </c>
      <c r="DD224" s="247"/>
      <c r="DE224" s="247">
        <f t="shared" ref="DE224:EG224" si="3583">DE95-DE348</f>
        <v>0</v>
      </c>
      <c r="DF224" s="247">
        <f t="shared" si="3583"/>
        <v>0</v>
      </c>
      <c r="DG224" s="247">
        <f t="shared" si="3583"/>
        <v>0</v>
      </c>
      <c r="DH224" s="247">
        <f t="shared" si="3583"/>
        <v>0</v>
      </c>
      <c r="DI224" s="247">
        <f t="shared" si="3583"/>
        <v>0</v>
      </c>
      <c r="DJ224" s="247">
        <f t="shared" si="3583"/>
        <v>0</v>
      </c>
      <c r="DK224" s="247">
        <f t="shared" si="3583"/>
        <v>0</v>
      </c>
      <c r="DL224" s="247">
        <f t="shared" si="3583"/>
        <v>0</v>
      </c>
      <c r="DM224" s="247">
        <f t="shared" si="3583"/>
        <v>0</v>
      </c>
      <c r="DN224" s="247">
        <f t="shared" si="3583"/>
        <v>0</v>
      </c>
      <c r="DO224" s="247">
        <f t="shared" si="3583"/>
        <v>0</v>
      </c>
      <c r="DP224" s="247">
        <f t="shared" si="3583"/>
        <v>0</v>
      </c>
      <c r="DQ224" s="247">
        <f t="shared" si="3583"/>
        <v>0</v>
      </c>
      <c r="DR224" s="247">
        <f t="shared" si="3583"/>
        <v>0</v>
      </c>
      <c r="DS224" s="247">
        <f t="shared" si="3583"/>
        <v>0</v>
      </c>
      <c r="DT224" s="247">
        <f t="shared" si="3583"/>
        <v>0</v>
      </c>
      <c r="DU224" s="247">
        <f t="shared" si="3583"/>
        <v>0</v>
      </c>
      <c r="DV224" s="247">
        <f t="shared" si="3583"/>
        <v>0</v>
      </c>
      <c r="DW224" s="247">
        <f t="shared" si="3583"/>
        <v>0</v>
      </c>
      <c r="DX224" s="247">
        <f t="shared" si="3583"/>
        <v>0</v>
      </c>
      <c r="DY224" s="247">
        <f t="shared" si="3583"/>
        <v>0</v>
      </c>
      <c r="DZ224" s="247">
        <f t="shared" si="3583"/>
        <v>0</v>
      </c>
      <c r="EA224" s="247">
        <f t="shared" si="3583"/>
        <v>0</v>
      </c>
      <c r="EB224" s="247">
        <f t="shared" si="3583"/>
        <v>0</v>
      </c>
      <c r="EC224" s="247">
        <f t="shared" si="3583"/>
        <v>0</v>
      </c>
      <c r="ED224" s="247">
        <f t="shared" si="3583"/>
        <v>0</v>
      </c>
      <c r="EE224" s="247">
        <f t="shared" si="3583"/>
        <v>0</v>
      </c>
      <c r="EF224" s="247">
        <f t="shared" si="3583"/>
        <v>0</v>
      </c>
      <c r="EG224" s="247">
        <f t="shared" si="3583"/>
        <v>0</v>
      </c>
    </row>
    <row r="225" spans="1:137" ht="11.25" customHeight="1">
      <c r="A225" s="157">
        <v>44896</v>
      </c>
      <c r="B225" s="247">
        <f>B96-B349</f>
        <v>0</v>
      </c>
      <c r="C225" s="247">
        <f>C96-C349</f>
        <v>0</v>
      </c>
      <c r="D225" s="247">
        <f>D96-D349</f>
        <v>0</v>
      </c>
      <c r="E225" s="247">
        <f>E96-E349</f>
        <v>0</v>
      </c>
      <c r="F225" s="247">
        <f>F96-F349</f>
        <v>0</v>
      </c>
      <c r="G225" s="247">
        <f>G96-G349</f>
        <v>0</v>
      </c>
      <c r="H225" s="247">
        <f>H96-H349</f>
        <v>0</v>
      </c>
      <c r="I225" s="247">
        <f t="shared" ref="I225:AB225" si="3584">I96-I349</f>
        <v>0</v>
      </c>
      <c r="J225" s="247">
        <f t="shared" si="3584"/>
        <v>0</v>
      </c>
      <c r="K225" s="247">
        <f t="shared" si="3584"/>
        <v>0</v>
      </c>
      <c r="L225" s="247">
        <f t="shared" si="3584"/>
        <v>0</v>
      </c>
      <c r="M225" s="247">
        <f t="shared" si="3584"/>
        <v>0</v>
      </c>
      <c r="N225" s="247">
        <f t="shared" si="3584"/>
        <v>0</v>
      </c>
      <c r="O225" s="247">
        <f t="shared" si="3584"/>
        <v>0</v>
      </c>
      <c r="P225" s="247">
        <f t="shared" si="3584"/>
        <v>0</v>
      </c>
      <c r="Q225" s="247">
        <f t="shared" si="3584"/>
        <v>0</v>
      </c>
      <c r="R225" s="247">
        <f t="shared" si="3584"/>
        <v>0</v>
      </c>
      <c r="S225" s="247">
        <f t="shared" si="3584"/>
        <v>0</v>
      </c>
      <c r="T225" s="247">
        <f t="shared" si="3584"/>
        <v>0</v>
      </c>
      <c r="U225" s="247">
        <f t="shared" si="3584"/>
        <v>0</v>
      </c>
      <c r="V225" s="247">
        <f t="shared" si="3584"/>
        <v>0</v>
      </c>
      <c r="W225" s="247">
        <f t="shared" si="3584"/>
        <v>0</v>
      </c>
      <c r="X225" s="247">
        <f t="shared" si="3584"/>
        <v>0</v>
      </c>
      <c r="Y225" s="247">
        <f t="shared" si="3584"/>
        <v>0</v>
      </c>
      <c r="Z225" s="247">
        <f t="shared" si="3584"/>
        <v>0</v>
      </c>
      <c r="AA225" s="247">
        <f t="shared" si="3584"/>
        <v>0</v>
      </c>
      <c r="AB225" s="247">
        <f t="shared" si="3584"/>
        <v>0</v>
      </c>
      <c r="AC225" s="247">
        <f>AC96-AC349</f>
        <v>0</v>
      </c>
      <c r="AD225" s="247">
        <f>AD96-AD349</f>
        <v>0</v>
      </c>
      <c r="AE225" s="247">
        <f>AE96-AE349</f>
        <v>0</v>
      </c>
      <c r="AF225" s="247">
        <f>AF96-AF349</f>
        <v>0</v>
      </c>
      <c r="AG225" s="248"/>
      <c r="AH225" s="247"/>
      <c r="AI225" s="247">
        <f t="shared" ref="AI225:BN225" si="3585">AI96-AI349</f>
        <v>0</v>
      </c>
      <c r="AJ225" s="247">
        <f t="shared" si="3585"/>
        <v>0</v>
      </c>
      <c r="AK225" s="247">
        <f t="shared" si="3585"/>
        <v>0</v>
      </c>
      <c r="AL225" s="247">
        <f t="shared" si="3585"/>
        <v>0</v>
      </c>
      <c r="AM225" s="247">
        <f t="shared" si="3585"/>
        <v>0</v>
      </c>
      <c r="AN225" s="247">
        <f t="shared" si="3585"/>
        <v>0</v>
      </c>
      <c r="AO225" s="247">
        <f t="shared" si="3585"/>
        <v>0</v>
      </c>
      <c r="AP225" s="247">
        <f t="shared" si="3585"/>
        <v>0.14720028093580595</v>
      </c>
      <c r="AQ225" s="247">
        <f t="shared" si="3585"/>
        <v>0</v>
      </c>
      <c r="AR225" s="247">
        <f t="shared" si="3585"/>
        <v>0</v>
      </c>
      <c r="AS225" s="247">
        <f t="shared" si="3585"/>
        <v>0</v>
      </c>
      <c r="AT225" s="247">
        <f t="shared" si="3585"/>
        <v>0</v>
      </c>
      <c r="AU225" s="247">
        <f t="shared" si="3585"/>
        <v>0</v>
      </c>
      <c r="AV225" s="247">
        <f t="shared" si="3585"/>
        <v>0</v>
      </c>
      <c r="AW225" s="247">
        <f t="shared" si="3585"/>
        <v>0</v>
      </c>
      <c r="AX225" s="247">
        <f t="shared" si="3585"/>
        <v>0</v>
      </c>
      <c r="AY225" s="247">
        <f t="shared" si="3585"/>
        <v>0</v>
      </c>
      <c r="AZ225" s="247">
        <f t="shared" si="3585"/>
        <v>0</v>
      </c>
      <c r="BA225" s="247">
        <f t="shared" si="3585"/>
        <v>0</v>
      </c>
      <c r="BB225" s="247">
        <f t="shared" si="3585"/>
        <v>0</v>
      </c>
      <c r="BC225" s="247">
        <f t="shared" si="3585"/>
        <v>0</v>
      </c>
      <c r="BD225" s="247">
        <f t="shared" si="3585"/>
        <v>0</v>
      </c>
      <c r="BE225" s="247">
        <f t="shared" si="3585"/>
        <v>0</v>
      </c>
      <c r="BF225" s="247">
        <f t="shared" si="3585"/>
        <v>0</v>
      </c>
      <c r="BG225" s="247">
        <f t="shared" si="3585"/>
        <v>0</v>
      </c>
      <c r="BH225" s="247">
        <f t="shared" si="3585"/>
        <v>0</v>
      </c>
      <c r="BI225" s="247">
        <f t="shared" si="3585"/>
        <v>0</v>
      </c>
      <c r="BJ225" s="247">
        <f t="shared" si="3585"/>
        <v>0</v>
      </c>
      <c r="BK225" s="247">
        <f t="shared" si="3585"/>
        <v>0</v>
      </c>
      <c r="BL225" s="247">
        <f t="shared" si="3585"/>
        <v>0</v>
      </c>
      <c r="BM225" s="247">
        <f t="shared" si="3585"/>
        <v>0</v>
      </c>
      <c r="BN225" s="247">
        <f t="shared" si="3585"/>
        <v>0</v>
      </c>
      <c r="BO225" s="247">
        <f t="shared" ref="BO225:CV225" si="3586">BO96-BO349</f>
        <v>0</v>
      </c>
      <c r="BP225" s="247">
        <f t="shared" si="3586"/>
        <v>0</v>
      </c>
      <c r="BQ225" s="247">
        <f t="shared" si="3586"/>
        <v>0</v>
      </c>
      <c r="BR225" s="247">
        <f t="shared" si="3586"/>
        <v>0</v>
      </c>
      <c r="BS225" s="247">
        <f t="shared" si="3586"/>
        <v>0</v>
      </c>
      <c r="BT225" s="247">
        <f t="shared" si="3586"/>
        <v>0</v>
      </c>
      <c r="BU225" s="247">
        <f t="shared" si="3586"/>
        <v>0</v>
      </c>
      <c r="BV225" s="247">
        <f t="shared" si="3586"/>
        <v>0</v>
      </c>
      <c r="BW225" s="247">
        <f t="shared" si="3586"/>
        <v>0</v>
      </c>
      <c r="BX225" s="247">
        <f t="shared" si="3586"/>
        <v>0</v>
      </c>
      <c r="BY225" s="247">
        <f t="shared" si="3586"/>
        <v>0</v>
      </c>
      <c r="BZ225" s="247">
        <f t="shared" si="3586"/>
        <v>0</v>
      </c>
      <c r="CA225" s="247">
        <f t="shared" si="3586"/>
        <v>0</v>
      </c>
      <c r="CB225" s="247">
        <f t="shared" si="3586"/>
        <v>0</v>
      </c>
      <c r="CC225" s="247">
        <f t="shared" si="3586"/>
        <v>0</v>
      </c>
      <c r="CD225" s="247">
        <f t="shared" si="3586"/>
        <v>0</v>
      </c>
      <c r="CE225" s="247">
        <f t="shared" si="3586"/>
        <v>0</v>
      </c>
      <c r="CF225" s="247">
        <f t="shared" si="3586"/>
        <v>0</v>
      </c>
      <c r="CG225" s="247">
        <f t="shared" si="3586"/>
        <v>0</v>
      </c>
      <c r="CH225" s="247">
        <f t="shared" si="3586"/>
        <v>-0.14720028093580595</v>
      </c>
      <c r="CI225" s="247">
        <f t="shared" si="3586"/>
        <v>0</v>
      </c>
      <c r="CJ225" s="247">
        <f t="shared" si="3586"/>
        <v>0</v>
      </c>
      <c r="CK225" s="247">
        <f t="shared" si="3586"/>
        <v>0</v>
      </c>
      <c r="CL225" s="247">
        <f t="shared" si="3586"/>
        <v>0</v>
      </c>
      <c r="CM225" s="247">
        <f t="shared" si="3586"/>
        <v>0</v>
      </c>
      <c r="CN225" s="247">
        <f t="shared" si="3586"/>
        <v>0</v>
      </c>
      <c r="CO225" s="247">
        <f t="shared" si="3586"/>
        <v>0</v>
      </c>
      <c r="CP225" s="247">
        <f t="shared" si="3586"/>
        <v>0</v>
      </c>
      <c r="CQ225" s="247">
        <f t="shared" si="3586"/>
        <v>0</v>
      </c>
      <c r="CR225" s="247">
        <f t="shared" si="3586"/>
        <v>0</v>
      </c>
      <c r="CS225" s="247">
        <f t="shared" si="3586"/>
        <v>0</v>
      </c>
      <c r="CT225" s="247">
        <f t="shared" si="3586"/>
        <v>0</v>
      </c>
      <c r="CU225" s="247">
        <f t="shared" si="3586"/>
        <v>0</v>
      </c>
      <c r="CV225" s="247">
        <f t="shared" si="3586"/>
        <v>0</v>
      </c>
      <c r="CW225" s="247"/>
      <c r="CX225" s="247">
        <f>CX96-CX349</f>
        <v>0</v>
      </c>
      <c r="CY225" s="247">
        <f>CY96-CY349</f>
        <v>0</v>
      </c>
      <c r="CZ225" s="247">
        <f>CZ96-CZ349</f>
        <v>0</v>
      </c>
      <c r="DA225" s="247">
        <f>DA96-DA349</f>
        <v>0</v>
      </c>
      <c r="DB225" s="247">
        <f>DB96-DB349</f>
        <v>0</v>
      </c>
      <c r="DC225" s="247">
        <f>DC96-DC349</f>
        <v>0</v>
      </c>
      <c r="DD225" s="247"/>
      <c r="DE225" s="247">
        <f t="shared" ref="DE225:EG225" si="3587">DE96-DE349</f>
        <v>0</v>
      </c>
      <c r="DF225" s="247">
        <f t="shared" si="3587"/>
        <v>0</v>
      </c>
      <c r="DG225" s="247">
        <f t="shared" si="3587"/>
        <v>0</v>
      </c>
      <c r="DH225" s="247">
        <f t="shared" si="3587"/>
        <v>0</v>
      </c>
      <c r="DI225" s="247">
        <f t="shared" si="3587"/>
        <v>0</v>
      </c>
      <c r="DJ225" s="247">
        <f t="shared" si="3587"/>
        <v>0</v>
      </c>
      <c r="DK225" s="247">
        <f t="shared" si="3587"/>
        <v>0.48500000000001364</v>
      </c>
      <c r="DL225" s="247">
        <f t="shared" si="3587"/>
        <v>0</v>
      </c>
      <c r="DM225" s="247">
        <f t="shared" si="3587"/>
        <v>3.3876680312019403E-3</v>
      </c>
      <c r="DN225" s="247">
        <f t="shared" si="3587"/>
        <v>0</v>
      </c>
      <c r="DO225" s="247">
        <f t="shared" si="3587"/>
        <v>0</v>
      </c>
      <c r="DP225" s="247">
        <f t="shared" si="3587"/>
        <v>0</v>
      </c>
      <c r="DQ225" s="247">
        <f t="shared" si="3587"/>
        <v>0</v>
      </c>
      <c r="DR225" s="247">
        <f t="shared" si="3587"/>
        <v>0</v>
      </c>
      <c r="DS225" s="247">
        <f t="shared" si="3587"/>
        <v>3.3238757076087255E-3</v>
      </c>
      <c r="DT225" s="247">
        <f t="shared" si="3587"/>
        <v>0</v>
      </c>
      <c r="DU225" s="247">
        <f t="shared" si="3587"/>
        <v>0</v>
      </c>
      <c r="DV225" s="247">
        <f t="shared" si="3587"/>
        <v>0</v>
      </c>
      <c r="DW225" s="247">
        <f t="shared" si="3587"/>
        <v>0</v>
      </c>
      <c r="DX225" s="247">
        <f t="shared" si="3587"/>
        <v>0</v>
      </c>
      <c r="DY225" s="247">
        <f t="shared" si="3587"/>
        <v>0</v>
      </c>
      <c r="DZ225" s="247">
        <f t="shared" si="3587"/>
        <v>0</v>
      </c>
      <c r="EA225" s="247">
        <f t="shared" si="3587"/>
        <v>0</v>
      </c>
      <c r="EB225" s="247">
        <f t="shared" si="3587"/>
        <v>0</v>
      </c>
      <c r="EC225" s="247">
        <f t="shared" si="3587"/>
        <v>0</v>
      </c>
      <c r="ED225" s="247">
        <f t="shared" si="3587"/>
        <v>0</v>
      </c>
      <c r="EE225" s="247">
        <f t="shared" si="3587"/>
        <v>0</v>
      </c>
      <c r="EF225" s="247">
        <f t="shared" si="3587"/>
        <v>0</v>
      </c>
      <c r="EG225" s="247">
        <f t="shared" si="3587"/>
        <v>0</v>
      </c>
    </row>
    <row r="226" spans="1:137" ht="11.25" customHeight="1">
      <c r="A226" s="157">
        <v>44927</v>
      </c>
      <c r="B226" s="247">
        <f>B97-B350</f>
        <v>0</v>
      </c>
      <c r="C226" s="247">
        <f>C97-C350</f>
        <v>0</v>
      </c>
      <c r="D226" s="247">
        <f>D97-D350</f>
        <v>0</v>
      </c>
      <c r="E226" s="247">
        <f>E97-E350</f>
        <v>0</v>
      </c>
      <c r="F226" s="247">
        <f>F97-F350</f>
        <v>0</v>
      </c>
      <c r="G226" s="247">
        <f>G97-G350</f>
        <v>0</v>
      </c>
      <c r="H226" s="247">
        <f>H97-H350</f>
        <v>0</v>
      </c>
      <c r="I226" s="247">
        <f t="shared" ref="I226:AB226" si="3588">I97-I350</f>
        <v>0</v>
      </c>
      <c r="J226" s="247">
        <f t="shared" si="3588"/>
        <v>0</v>
      </c>
      <c r="K226" s="247">
        <f t="shared" si="3588"/>
        <v>0</v>
      </c>
      <c r="L226" s="247">
        <f t="shared" si="3588"/>
        <v>0</v>
      </c>
      <c r="M226" s="247">
        <f t="shared" si="3588"/>
        <v>0</v>
      </c>
      <c r="N226" s="247">
        <f t="shared" si="3588"/>
        <v>0</v>
      </c>
      <c r="O226" s="247">
        <f t="shared" si="3588"/>
        <v>0</v>
      </c>
      <c r="P226" s="247">
        <f t="shared" si="3588"/>
        <v>0</v>
      </c>
      <c r="Q226" s="247">
        <f t="shared" si="3588"/>
        <v>0</v>
      </c>
      <c r="R226" s="247">
        <f t="shared" si="3588"/>
        <v>0</v>
      </c>
      <c r="S226" s="247">
        <f t="shared" si="3588"/>
        <v>0</v>
      </c>
      <c r="T226" s="247">
        <f t="shared" si="3588"/>
        <v>0</v>
      </c>
      <c r="U226" s="247">
        <f t="shared" si="3588"/>
        <v>0</v>
      </c>
      <c r="V226" s="247">
        <f t="shared" si="3588"/>
        <v>0</v>
      </c>
      <c r="W226" s="247">
        <f t="shared" si="3588"/>
        <v>0</v>
      </c>
      <c r="X226" s="247">
        <f t="shared" si="3588"/>
        <v>0</v>
      </c>
      <c r="Y226" s="247">
        <f t="shared" si="3588"/>
        <v>0</v>
      </c>
      <c r="Z226" s="247">
        <f t="shared" si="3588"/>
        <v>0</v>
      </c>
      <c r="AA226" s="247">
        <f t="shared" si="3588"/>
        <v>0</v>
      </c>
      <c r="AB226" s="247">
        <f t="shared" si="3588"/>
        <v>0</v>
      </c>
      <c r="AC226" s="247">
        <f>AC97-AC350</f>
        <v>0</v>
      </c>
      <c r="AD226" s="247">
        <f>AD97-AD350</f>
        <v>0</v>
      </c>
      <c r="AE226" s="247">
        <f>AE97-AE350</f>
        <v>0</v>
      </c>
      <c r="AF226" s="247">
        <f>AF97-AF350</f>
        <v>0</v>
      </c>
      <c r="AG226" s="248"/>
      <c r="AH226" s="247"/>
      <c r="AI226" s="247">
        <f t="shared" ref="AI226:BN226" si="3589">AI97-AI350</f>
        <v>0</v>
      </c>
      <c r="AJ226" s="247">
        <f t="shared" si="3589"/>
        <v>0</v>
      </c>
      <c r="AK226" s="247">
        <f t="shared" si="3589"/>
        <v>0</v>
      </c>
      <c r="AL226" s="247">
        <f t="shared" si="3589"/>
        <v>15.077600122518405</v>
      </c>
      <c r="AM226" s="247">
        <f t="shared" si="3589"/>
        <v>0</v>
      </c>
      <c r="AN226" s="247">
        <f t="shared" si="3589"/>
        <v>0</v>
      </c>
      <c r="AO226" s="247">
        <f t="shared" si="3589"/>
        <v>0</v>
      </c>
      <c r="AP226" s="247">
        <f t="shared" si="3589"/>
        <v>0.1676859816921592</v>
      </c>
      <c r="AQ226" s="247">
        <f t="shared" si="3589"/>
        <v>0</v>
      </c>
      <c r="AR226" s="247">
        <f t="shared" si="3589"/>
        <v>0</v>
      </c>
      <c r="AS226" s="247">
        <f t="shared" si="3589"/>
        <v>0</v>
      </c>
      <c r="AT226" s="247">
        <f t="shared" si="3589"/>
        <v>0</v>
      </c>
      <c r="AU226" s="247">
        <f t="shared" si="3589"/>
        <v>0</v>
      </c>
      <c r="AV226" s="247">
        <f t="shared" si="3589"/>
        <v>0</v>
      </c>
      <c r="AW226" s="247">
        <f t="shared" si="3589"/>
        <v>0</v>
      </c>
      <c r="AX226" s="247">
        <f t="shared" si="3589"/>
        <v>0</v>
      </c>
      <c r="AY226" s="247">
        <f t="shared" si="3589"/>
        <v>0</v>
      </c>
      <c r="AZ226" s="247">
        <f t="shared" si="3589"/>
        <v>0</v>
      </c>
      <c r="BA226" s="247">
        <f t="shared" si="3589"/>
        <v>0</v>
      </c>
      <c r="BB226" s="247">
        <f t="shared" si="3589"/>
        <v>0</v>
      </c>
      <c r="BC226" s="247">
        <f t="shared" si="3589"/>
        <v>0</v>
      </c>
      <c r="BD226" s="247">
        <f t="shared" si="3589"/>
        <v>0</v>
      </c>
      <c r="BE226" s="247">
        <f t="shared" si="3589"/>
        <v>0</v>
      </c>
      <c r="BF226" s="247">
        <f t="shared" si="3589"/>
        <v>0</v>
      </c>
      <c r="BG226" s="247">
        <f t="shared" si="3589"/>
        <v>0</v>
      </c>
      <c r="BH226" s="247">
        <f t="shared" si="3589"/>
        <v>0</v>
      </c>
      <c r="BI226" s="247">
        <f t="shared" si="3589"/>
        <v>0</v>
      </c>
      <c r="BJ226" s="247">
        <f t="shared" si="3589"/>
        <v>0</v>
      </c>
      <c r="BK226" s="247">
        <f t="shared" si="3589"/>
        <v>0</v>
      </c>
      <c r="BL226" s="247">
        <f t="shared" si="3589"/>
        <v>0</v>
      </c>
      <c r="BM226" s="247">
        <f t="shared" si="3589"/>
        <v>0</v>
      </c>
      <c r="BN226" s="247">
        <f t="shared" si="3589"/>
        <v>0</v>
      </c>
      <c r="BO226" s="247">
        <f t="shared" ref="BO226:CV226" si="3590">BO97-BO350</f>
        <v>0</v>
      </c>
      <c r="BP226" s="247">
        <f t="shared" si="3590"/>
        <v>0</v>
      </c>
      <c r="BQ226" s="247">
        <f t="shared" si="3590"/>
        <v>0</v>
      </c>
      <c r="BR226" s="247">
        <f t="shared" si="3590"/>
        <v>0</v>
      </c>
      <c r="BS226" s="247">
        <f t="shared" si="3590"/>
        <v>0</v>
      </c>
      <c r="BT226" s="247">
        <f t="shared" si="3590"/>
        <v>0</v>
      </c>
      <c r="BU226" s="247">
        <f t="shared" si="3590"/>
        <v>0</v>
      </c>
      <c r="BV226" s="247">
        <f t="shared" si="3590"/>
        <v>0</v>
      </c>
      <c r="BW226" s="247">
        <f t="shared" si="3590"/>
        <v>0</v>
      </c>
      <c r="BX226" s="247">
        <f t="shared" si="3590"/>
        <v>0</v>
      </c>
      <c r="BY226" s="247">
        <f t="shared" si="3590"/>
        <v>0</v>
      </c>
      <c r="BZ226" s="247">
        <f t="shared" si="3590"/>
        <v>0</v>
      </c>
      <c r="CA226" s="247">
        <f t="shared" si="3590"/>
        <v>0</v>
      </c>
      <c r="CB226" s="247">
        <f t="shared" si="3590"/>
        <v>0</v>
      </c>
      <c r="CC226" s="247">
        <f t="shared" si="3590"/>
        <v>0</v>
      </c>
      <c r="CD226" s="247">
        <f t="shared" si="3590"/>
        <v>-15.077600122518412</v>
      </c>
      <c r="CE226" s="247">
        <f t="shared" si="3590"/>
        <v>0</v>
      </c>
      <c r="CF226" s="247">
        <f t="shared" si="3590"/>
        <v>0</v>
      </c>
      <c r="CG226" s="247">
        <f t="shared" si="3590"/>
        <v>0</v>
      </c>
      <c r="CH226" s="247">
        <f t="shared" si="3590"/>
        <v>-0.16768598169218762</v>
      </c>
      <c r="CI226" s="247">
        <f t="shared" si="3590"/>
        <v>0</v>
      </c>
      <c r="CJ226" s="247">
        <f t="shared" si="3590"/>
        <v>0</v>
      </c>
      <c r="CK226" s="247">
        <f t="shared" si="3590"/>
        <v>0</v>
      </c>
      <c r="CL226" s="247">
        <f t="shared" si="3590"/>
        <v>0</v>
      </c>
      <c r="CM226" s="247">
        <f t="shared" si="3590"/>
        <v>0</v>
      </c>
      <c r="CN226" s="247">
        <f t="shared" si="3590"/>
        <v>0</v>
      </c>
      <c r="CO226" s="247">
        <f t="shared" si="3590"/>
        <v>0</v>
      </c>
      <c r="CP226" s="247">
        <f t="shared" si="3590"/>
        <v>0</v>
      </c>
      <c r="CQ226" s="247">
        <f t="shared" si="3590"/>
        <v>0</v>
      </c>
      <c r="CR226" s="247">
        <f t="shared" si="3590"/>
        <v>0</v>
      </c>
      <c r="CS226" s="247">
        <f t="shared" si="3590"/>
        <v>0</v>
      </c>
      <c r="CT226" s="247">
        <f t="shared" si="3590"/>
        <v>0</v>
      </c>
      <c r="CU226" s="247">
        <f t="shared" si="3590"/>
        <v>0</v>
      </c>
      <c r="CV226" s="247">
        <f t="shared" si="3590"/>
        <v>0</v>
      </c>
      <c r="CW226" s="247"/>
      <c r="CX226" s="247">
        <f>CX97-CX350</f>
        <v>0</v>
      </c>
      <c r="CY226" s="247">
        <f>CY97-CY350</f>
        <v>0</v>
      </c>
      <c r="CZ226" s="247">
        <f>CZ97-CZ350</f>
        <v>0</v>
      </c>
      <c r="DA226" s="247">
        <f>DA97-DA350</f>
        <v>0</v>
      </c>
      <c r="DB226" s="247">
        <f>DB97-DB350</f>
        <v>8.5265128291212022E-14</v>
      </c>
      <c r="DC226" s="247">
        <f>DC97-DC350</f>
        <v>0</v>
      </c>
      <c r="DD226" s="247"/>
      <c r="DE226" s="247">
        <f t="shared" ref="DE226:EG226" si="3591">DE97-DE350</f>
        <v>0</v>
      </c>
      <c r="DF226" s="247">
        <f t="shared" si="3591"/>
        <v>0</v>
      </c>
      <c r="DG226" s="247">
        <f t="shared" si="3591"/>
        <v>0</v>
      </c>
      <c r="DH226" s="247">
        <f t="shared" si="3591"/>
        <v>0</v>
      </c>
      <c r="DI226" s="247">
        <f t="shared" si="3591"/>
        <v>0</v>
      </c>
      <c r="DJ226" s="247">
        <f t="shared" si="3591"/>
        <v>0</v>
      </c>
      <c r="DK226" s="247">
        <f t="shared" si="3591"/>
        <v>0</v>
      </c>
      <c r="DL226" s="247">
        <f t="shared" si="3591"/>
        <v>0</v>
      </c>
      <c r="DM226" s="247">
        <f t="shared" si="3591"/>
        <v>0</v>
      </c>
      <c r="DN226" s="247">
        <f t="shared" si="3591"/>
        <v>0</v>
      </c>
      <c r="DO226" s="247">
        <f t="shared" si="3591"/>
        <v>0</v>
      </c>
      <c r="DP226" s="247">
        <f t="shared" si="3591"/>
        <v>0</v>
      </c>
      <c r="DQ226" s="247">
        <f t="shared" si="3591"/>
        <v>0</v>
      </c>
      <c r="DR226" s="247">
        <f t="shared" si="3591"/>
        <v>0</v>
      </c>
      <c r="DS226" s="247">
        <f t="shared" si="3591"/>
        <v>0</v>
      </c>
      <c r="DT226" s="247">
        <f t="shared" si="3591"/>
        <v>0</v>
      </c>
      <c r="DU226" s="247">
        <f t="shared" si="3591"/>
        <v>0</v>
      </c>
      <c r="DV226" s="247">
        <f t="shared" si="3591"/>
        <v>0</v>
      </c>
      <c r="DW226" s="247">
        <f t="shared" si="3591"/>
        <v>0</v>
      </c>
      <c r="DX226" s="247">
        <f t="shared" si="3591"/>
        <v>0</v>
      </c>
      <c r="DY226" s="247">
        <f t="shared" si="3591"/>
        <v>0</v>
      </c>
      <c r="DZ226" s="247">
        <f t="shared" si="3591"/>
        <v>0</v>
      </c>
      <c r="EA226" s="247">
        <f t="shared" si="3591"/>
        <v>0</v>
      </c>
      <c r="EB226" s="247">
        <f t="shared" si="3591"/>
        <v>0</v>
      </c>
      <c r="EC226" s="247">
        <f t="shared" si="3591"/>
        <v>0</v>
      </c>
      <c r="ED226" s="247">
        <f t="shared" si="3591"/>
        <v>0</v>
      </c>
      <c r="EE226" s="247">
        <f t="shared" si="3591"/>
        <v>0</v>
      </c>
      <c r="EF226" s="247">
        <f t="shared" si="3591"/>
        <v>0</v>
      </c>
      <c r="EG226" s="247">
        <f t="shared" si="3591"/>
        <v>0</v>
      </c>
    </row>
    <row r="227" spans="1:137" ht="11.25" customHeight="1">
      <c r="A227" s="157">
        <v>44958</v>
      </c>
      <c r="B227" s="247">
        <f>B98-B351</f>
        <v>0</v>
      </c>
      <c r="C227" s="247">
        <f>C98-C351</f>
        <v>0</v>
      </c>
      <c r="D227" s="247">
        <f>D98-D351</f>
        <v>0</v>
      </c>
      <c r="E227" s="247">
        <f>E98-E351</f>
        <v>0</v>
      </c>
      <c r="F227" s="247">
        <f>F98-F351</f>
        <v>0</v>
      </c>
      <c r="G227" s="247">
        <f>G98-G351</f>
        <v>0</v>
      </c>
      <c r="H227" s="247">
        <f>H98-H351</f>
        <v>0</v>
      </c>
      <c r="I227" s="247">
        <f t="shared" ref="I227:AB227" si="3592">I98-I351</f>
        <v>0</v>
      </c>
      <c r="J227" s="247">
        <f t="shared" si="3592"/>
        <v>0</v>
      </c>
      <c r="K227" s="247">
        <f t="shared" si="3592"/>
        <v>0</v>
      </c>
      <c r="L227" s="247">
        <f t="shared" si="3592"/>
        <v>0</v>
      </c>
      <c r="M227" s="247">
        <f t="shared" si="3592"/>
        <v>0</v>
      </c>
      <c r="N227" s="247">
        <f t="shared" si="3592"/>
        <v>0</v>
      </c>
      <c r="O227" s="247">
        <f t="shared" si="3592"/>
        <v>0</v>
      </c>
      <c r="P227" s="247">
        <f t="shared" si="3592"/>
        <v>1.8040000000000873</v>
      </c>
      <c r="Q227" s="247">
        <f t="shared" si="3592"/>
        <v>0</v>
      </c>
      <c r="R227" s="247">
        <f t="shared" si="3592"/>
        <v>1.8039999999999736</v>
      </c>
      <c r="S227" s="247">
        <f t="shared" si="3592"/>
        <v>0</v>
      </c>
      <c r="T227" s="247">
        <f t="shared" si="3592"/>
        <v>0.23000000000001819</v>
      </c>
      <c r="U227" s="247">
        <f t="shared" si="3592"/>
        <v>2.0340000000001055</v>
      </c>
      <c r="V227" s="247">
        <f t="shared" si="3592"/>
        <v>1.1244924856923522E-3</v>
      </c>
      <c r="W227" s="247">
        <f t="shared" si="3592"/>
        <v>0</v>
      </c>
      <c r="X227" s="247">
        <f t="shared" si="3592"/>
        <v>0</v>
      </c>
      <c r="Y227" s="247">
        <f t="shared" si="3592"/>
        <v>0</v>
      </c>
      <c r="Z227" s="247">
        <f t="shared" si="3592"/>
        <v>-14.078999999999951</v>
      </c>
      <c r="AA227" s="247">
        <f t="shared" si="3592"/>
        <v>-13.72400000000016</v>
      </c>
      <c r="AB227" s="247">
        <f t="shared" si="3592"/>
        <v>-4.1737863439965384E-5</v>
      </c>
      <c r="AC227" s="247">
        <f>AC98-AC351</f>
        <v>0</v>
      </c>
      <c r="AD227" s="247">
        <f>AD98-AD351</f>
        <v>-10.720000000000027</v>
      </c>
      <c r="AE227" s="247">
        <f>AE98-AE351</f>
        <v>-10.720000000000027</v>
      </c>
      <c r="AF227" s="247">
        <f>AF98-AF351</f>
        <v>0</v>
      </c>
      <c r="AG227" s="248"/>
      <c r="AH227" s="247"/>
      <c r="AI227" s="247">
        <f t="shared" ref="AI227:BN227" si="3593">AI98-AI351</f>
        <v>637.41300000000001</v>
      </c>
      <c r="AJ227" s="247">
        <f t="shared" si="3593"/>
        <v>21.2471</v>
      </c>
      <c r="AK227" s="247">
        <f t="shared" si="3593"/>
        <v>465.38</v>
      </c>
      <c r="AL227" s="247">
        <f t="shared" si="3593"/>
        <v>90.912000000000006</v>
      </c>
      <c r="AM227" s="247">
        <f t="shared" si="3593"/>
        <v>43.806448880082456</v>
      </c>
      <c r="AN227" s="247">
        <f t="shared" si="3593"/>
        <v>-0.67734656347835909</v>
      </c>
      <c r="AO227" s="247">
        <f t="shared" si="3593"/>
        <v>244.93299999999999</v>
      </c>
      <c r="AP227" s="247">
        <f t="shared" si="3593"/>
        <v>164.14785100403546</v>
      </c>
      <c r="AQ227" s="247">
        <f t="shared" si="3593"/>
        <v>11.527832033548108</v>
      </c>
      <c r="AR227" s="247">
        <f t="shared" si="3593"/>
        <v>-0.29364886100709597</v>
      </c>
      <c r="AS227" s="247">
        <f t="shared" si="3593"/>
        <v>55.334280913630565</v>
      </c>
      <c r="AT227" s="247">
        <f t="shared" si="3593"/>
        <v>1114.0940000000001</v>
      </c>
      <c r="AU227" s="247">
        <f t="shared" si="3593"/>
        <v>37.136466666666671</v>
      </c>
      <c r="AV227" s="247">
        <f t="shared" si="3593"/>
        <v>837.06100000000004</v>
      </c>
      <c r="AW227" s="247">
        <f t="shared" si="3593"/>
        <v>60.064</v>
      </c>
      <c r="AX227" s="247">
        <f t="shared" si="3593"/>
        <v>45.080271503122717</v>
      </c>
      <c r="AY227" s="247">
        <f t="shared" si="3593"/>
        <v>0.5964760595619012</v>
      </c>
      <c r="AZ227" s="247">
        <f t="shared" si="3593"/>
        <v>441.149</v>
      </c>
      <c r="BA227" s="247">
        <f t="shared" si="3593"/>
        <v>211.80600000000001</v>
      </c>
      <c r="BB227" s="247">
        <f t="shared" si="3593"/>
        <v>11.879132281477146</v>
      </c>
      <c r="BC227" s="247">
        <f t="shared" si="3593"/>
        <v>5.7651386921941494E-2</v>
      </c>
      <c r="BD227" s="247">
        <f t="shared" si="3593"/>
        <v>56.959403784599864</v>
      </c>
      <c r="BE227" s="247">
        <f t="shared" si="3593"/>
        <v>1214.2840000000001</v>
      </c>
      <c r="BF227" s="247">
        <f t="shared" si="3593"/>
        <v>40.476133333333337</v>
      </c>
      <c r="BG227" s="247">
        <f t="shared" si="3593"/>
        <v>903.18499999999995</v>
      </c>
      <c r="BH227" s="247">
        <f t="shared" si="3593"/>
        <v>134.62100000000001</v>
      </c>
      <c r="BI227" s="247">
        <f t="shared" si="3593"/>
        <v>44.628027710156758</v>
      </c>
      <c r="BJ227" s="247">
        <f t="shared" si="3593"/>
        <v>0.14423226659594235</v>
      </c>
      <c r="BK227" s="247">
        <f t="shared" si="3593"/>
        <v>470.79500000000002</v>
      </c>
      <c r="BL227" s="247">
        <f t="shared" si="3593"/>
        <v>234.70400000000001</v>
      </c>
      <c r="BM227" s="247">
        <f t="shared" si="3593"/>
        <v>11.631422303184427</v>
      </c>
      <c r="BN227" s="247">
        <f t="shared" si="3593"/>
        <v>-0.19005859137077685</v>
      </c>
      <c r="BO227" s="247">
        <f t="shared" ref="BO227:CV227" si="3594">BO98-BO351</f>
        <v>56.259450013341187</v>
      </c>
      <c r="BP227" s="247">
        <f t="shared" si="3594"/>
        <v>882.404</v>
      </c>
      <c r="BQ227" s="247">
        <f t="shared" si="3594"/>
        <v>29.413466666666668</v>
      </c>
      <c r="BR227" s="247">
        <f t="shared" si="3594"/>
        <v>653.35599999999999</v>
      </c>
      <c r="BS227" s="247">
        <f t="shared" si="3594"/>
        <v>57.222999999999999</v>
      </c>
      <c r="BT227" s="247">
        <f t="shared" si="3594"/>
        <v>44.425637236458584</v>
      </c>
      <c r="BU227" s="247">
        <f t="shared" si="3594"/>
        <v>-5.8158207102231074E-2</v>
      </c>
      <c r="BV227" s="247">
        <f t="shared" si="3594"/>
        <v>345.27199999999999</v>
      </c>
      <c r="BW227" s="247">
        <f t="shared" si="3594"/>
        <v>223.35599999999999</v>
      </c>
      <c r="BX227" s="247">
        <f t="shared" si="3594"/>
        <v>11.738568728156263</v>
      </c>
      <c r="BY227" s="247">
        <f t="shared" si="3594"/>
        <v>-8.2912166398941167E-2</v>
      </c>
      <c r="BZ227" s="247">
        <f t="shared" si="3594"/>
        <v>56.164205964614851</v>
      </c>
      <c r="CA227" s="247">
        <f t="shared" si="3594"/>
        <v>610.87400000000002</v>
      </c>
      <c r="CB227" s="247">
        <f t="shared" si="3594"/>
        <v>20.362466666666666</v>
      </c>
      <c r="CC227" s="247">
        <f t="shared" si="3594"/>
        <v>448.15600000000001</v>
      </c>
      <c r="CD227" s="247">
        <f t="shared" si="3594"/>
        <v>34.027000000000001</v>
      </c>
      <c r="CE227" s="247">
        <f t="shared" si="3594"/>
        <v>44.017849834826826</v>
      </c>
      <c r="CF227" s="247">
        <f t="shared" si="3594"/>
        <v>-0.46594560873398905</v>
      </c>
      <c r="CG227" s="247">
        <f t="shared" si="3594"/>
        <v>234.916</v>
      </c>
      <c r="CH227" s="247">
        <f t="shared" si="3594"/>
        <v>66.684148995964421</v>
      </c>
      <c r="CI227" s="247">
        <f t="shared" si="3594"/>
        <v>11.53671624590341</v>
      </c>
      <c r="CJ227" s="247">
        <f t="shared" si="3594"/>
        <v>-0.28476464865179452</v>
      </c>
      <c r="CK227" s="247">
        <f t="shared" si="3594"/>
        <v>55.55456608073024</v>
      </c>
      <c r="CL227" s="247">
        <f t="shared" si="3594"/>
        <v>847.92600000000004</v>
      </c>
      <c r="CM227" s="247">
        <f t="shared" si="3594"/>
        <v>28.264200000000002</v>
      </c>
      <c r="CN227" s="247">
        <f t="shared" si="3594"/>
        <v>627.45000000000005</v>
      </c>
      <c r="CO227" s="247">
        <f t="shared" si="3594"/>
        <v>53.494</v>
      </c>
      <c r="CP227" s="247">
        <f t="shared" si="3594"/>
        <v>44.398921604007896</v>
      </c>
      <c r="CQ227" s="247">
        <f t="shared" si="3594"/>
        <v>-8.4873839552919605E-2</v>
      </c>
      <c r="CR227" s="247">
        <f t="shared" si="3594"/>
        <v>354.15300000000002</v>
      </c>
      <c r="CS227" s="247">
        <f t="shared" si="3594"/>
        <v>103.501</v>
      </c>
      <c r="CT227" s="247">
        <f t="shared" si="3594"/>
        <v>12.530091069267836</v>
      </c>
      <c r="CU227" s="247">
        <f t="shared" si="3594"/>
        <v>0.7086101747126321</v>
      </c>
      <c r="CV227" s="247">
        <f t="shared" si="3594"/>
        <v>56.929012673275736</v>
      </c>
      <c r="CW227" s="247"/>
      <c r="CX227" s="247">
        <f>CX98-CX351</f>
        <v>0</v>
      </c>
      <c r="CY227" s="247">
        <f>CY98-CY351</f>
        <v>0</v>
      </c>
      <c r="CZ227" s="247">
        <f>CZ98-CZ351</f>
        <v>-5.6843418860808015E-14</v>
      </c>
      <c r="DA227" s="247">
        <f>DA98-DA351</f>
        <v>0</v>
      </c>
      <c r="DB227" s="247">
        <f>DB98-DB351</f>
        <v>0</v>
      </c>
      <c r="DC227" s="247">
        <f>DC98-DC351</f>
        <v>0</v>
      </c>
      <c r="DD227" s="247"/>
      <c r="DE227" s="247">
        <f t="shared" ref="DE227:EG227" si="3595">DE98-DE351</f>
        <v>6.3780000000000143</v>
      </c>
      <c r="DF227" s="247">
        <f t="shared" si="3595"/>
        <v>3.8670000000000044</v>
      </c>
      <c r="DG227" s="247">
        <f t="shared" si="3595"/>
        <v>8.3999999999999986</v>
      </c>
      <c r="DH227" s="247">
        <f t="shared" si="3595"/>
        <v>7.8303915047961414E-4</v>
      </c>
      <c r="DI227" s="247">
        <f t="shared" si="3595"/>
        <v>5.1419999999999959</v>
      </c>
      <c r="DJ227" s="247">
        <f t="shared" si="3595"/>
        <v>1.0514939504985277E-4</v>
      </c>
      <c r="DK227" s="247">
        <f t="shared" si="3595"/>
        <v>3.2800000000000011</v>
      </c>
      <c r="DL227" s="247">
        <f t="shared" si="3595"/>
        <v>3.117999999999995</v>
      </c>
      <c r="DM227" s="247">
        <f t="shared" si="3595"/>
        <v>4.0372406478716982E-4</v>
      </c>
      <c r="DN227" s="247">
        <f t="shared" si="3595"/>
        <v>-2.3649999999999807</v>
      </c>
      <c r="DO227" s="247">
        <f t="shared" si="3595"/>
        <v>0.89799999999999613</v>
      </c>
      <c r="DP227" s="247">
        <f t="shared" si="3595"/>
        <v>1.0240000000000009</v>
      </c>
      <c r="DQ227" s="247">
        <f t="shared" si="3595"/>
        <v>1.9220000000000255</v>
      </c>
      <c r="DR227" s="247">
        <f t="shared" si="3595"/>
        <v>8.881885455294114E-4</v>
      </c>
      <c r="DS227" s="247">
        <f t="shared" si="3595"/>
        <v>-1.6020415495914264E-2</v>
      </c>
      <c r="DT227" s="247">
        <f t="shared" si="3595"/>
        <v>127.03700000000001</v>
      </c>
      <c r="DU227" s="247">
        <f t="shared" si="3595"/>
        <v>52.32</v>
      </c>
      <c r="DV227" s="247">
        <f t="shared" si="3595"/>
        <v>23.207999999999998</v>
      </c>
      <c r="DW227" s="247">
        <f t="shared" si="3595"/>
        <v>0.41184851657391153</v>
      </c>
      <c r="DX227" s="247">
        <f t="shared" si="3595"/>
        <v>35.673999999999999</v>
      </c>
      <c r="DY227" s="247">
        <f t="shared" si="3595"/>
        <v>0.14040791265536812</v>
      </c>
      <c r="DZ227" s="247">
        <f t="shared" si="3595"/>
        <v>35.631</v>
      </c>
      <c r="EA227" s="247">
        <f t="shared" si="3595"/>
        <v>34.777999999999999</v>
      </c>
      <c r="EB227" s="247">
        <f t="shared" si="3595"/>
        <v>2.3939827678145509E-2</v>
      </c>
      <c r="EC227" s="247">
        <f t="shared" si="3595"/>
        <v>36.027000000000001</v>
      </c>
      <c r="ED227" s="247">
        <f t="shared" si="3595"/>
        <v>25</v>
      </c>
      <c r="EE227" s="247">
        <f t="shared" si="3595"/>
        <v>34.548999999999999</v>
      </c>
      <c r="EF227" s="247">
        <f t="shared" si="3595"/>
        <v>59.548999999999999</v>
      </c>
      <c r="EG227" s="247">
        <f t="shared" si="3595"/>
        <v>0.55225642922927964</v>
      </c>
    </row>
    <row r="228" spans="1:137" ht="11.25" customHeight="1">
      <c r="A228" s="157">
        <v>44986</v>
      </c>
      <c r="B228" s="247">
        <f>B99-B352</f>
        <v>0</v>
      </c>
      <c r="C228" s="247">
        <f>C99-C352</f>
        <v>0</v>
      </c>
      <c r="D228" s="247">
        <f>D99-D352</f>
        <v>0</v>
      </c>
      <c r="E228" s="247">
        <f>E99-E352</f>
        <v>0</v>
      </c>
      <c r="F228" s="247">
        <f>F99-F352</f>
        <v>0</v>
      </c>
      <c r="G228" s="247">
        <f>G99-G352</f>
        <v>0</v>
      </c>
      <c r="H228" s="247">
        <f>H99-H352</f>
        <v>0</v>
      </c>
      <c r="I228" s="247">
        <f t="shared" ref="I228:AB228" si="3596">I99-I352</f>
        <v>0</v>
      </c>
      <c r="J228" s="247">
        <f t="shared" si="3596"/>
        <v>0</v>
      </c>
      <c r="K228" s="247">
        <f t="shared" si="3596"/>
        <v>0</v>
      </c>
      <c r="L228" s="247">
        <f t="shared" si="3596"/>
        <v>0</v>
      </c>
      <c r="M228" s="247">
        <f t="shared" si="3596"/>
        <v>0</v>
      </c>
      <c r="N228" s="247">
        <f t="shared" si="3596"/>
        <v>0</v>
      </c>
      <c r="O228" s="247">
        <f t="shared" si="3596"/>
        <v>0</v>
      </c>
      <c r="P228" s="247">
        <f t="shared" si="3596"/>
        <v>0</v>
      </c>
      <c r="Q228" s="247">
        <f t="shared" si="3596"/>
        <v>0</v>
      </c>
      <c r="R228" s="247">
        <f t="shared" si="3596"/>
        <v>0</v>
      </c>
      <c r="S228" s="247">
        <f t="shared" si="3596"/>
        <v>0</v>
      </c>
      <c r="T228" s="247">
        <f t="shared" si="3596"/>
        <v>0</v>
      </c>
      <c r="U228" s="247">
        <f t="shared" si="3596"/>
        <v>0</v>
      </c>
      <c r="V228" s="247">
        <f t="shared" si="3596"/>
        <v>0</v>
      </c>
      <c r="W228" s="247">
        <f t="shared" si="3596"/>
        <v>0</v>
      </c>
      <c r="X228" s="247">
        <f t="shared" si="3596"/>
        <v>0</v>
      </c>
      <c r="Y228" s="247">
        <f t="shared" si="3596"/>
        <v>0</v>
      </c>
      <c r="Z228" s="247">
        <f t="shared" si="3596"/>
        <v>0</v>
      </c>
      <c r="AA228" s="247">
        <f t="shared" si="3596"/>
        <v>0</v>
      </c>
      <c r="AB228" s="247">
        <f t="shared" si="3596"/>
        <v>0</v>
      </c>
      <c r="AC228" s="247">
        <f>AC99-AC352</f>
        <v>0</v>
      </c>
      <c r="AD228" s="247">
        <f>AD99-AD352</f>
        <v>0</v>
      </c>
      <c r="AE228" s="247">
        <f>AE99-AE352</f>
        <v>0</v>
      </c>
      <c r="AF228" s="247">
        <f>AF99-AF352</f>
        <v>0</v>
      </c>
      <c r="AG228" s="248"/>
      <c r="AH228" s="247"/>
      <c r="AI228" s="247">
        <f t="shared" ref="AI228:BN228" si="3597">AI99-AI352</f>
        <v>0</v>
      </c>
      <c r="AJ228" s="247">
        <f t="shared" si="3597"/>
        <v>0</v>
      </c>
      <c r="AK228" s="247">
        <f t="shared" si="3597"/>
        <v>0</v>
      </c>
      <c r="AL228" s="247">
        <f t="shared" si="3597"/>
        <v>0</v>
      </c>
      <c r="AM228" s="247">
        <f t="shared" si="3597"/>
        <v>0</v>
      </c>
      <c r="AN228" s="247">
        <f t="shared" si="3597"/>
        <v>0</v>
      </c>
      <c r="AO228" s="247">
        <f t="shared" si="3597"/>
        <v>0</v>
      </c>
      <c r="AP228" s="247">
        <f t="shared" si="3597"/>
        <v>0</v>
      </c>
      <c r="AQ228" s="247">
        <f t="shared" si="3597"/>
        <v>0</v>
      </c>
      <c r="AR228" s="247">
        <f t="shared" si="3597"/>
        <v>0</v>
      </c>
      <c r="AS228" s="247">
        <f t="shared" si="3597"/>
        <v>0</v>
      </c>
      <c r="AT228" s="247">
        <f t="shared" si="3597"/>
        <v>0</v>
      </c>
      <c r="AU228" s="247">
        <f t="shared" si="3597"/>
        <v>0</v>
      </c>
      <c r="AV228" s="247">
        <f t="shared" si="3597"/>
        <v>0</v>
      </c>
      <c r="AW228" s="247">
        <f t="shared" si="3597"/>
        <v>0</v>
      </c>
      <c r="AX228" s="247">
        <f t="shared" si="3597"/>
        <v>0</v>
      </c>
      <c r="AY228" s="247">
        <f t="shared" si="3597"/>
        <v>0</v>
      </c>
      <c r="AZ228" s="247">
        <f t="shared" si="3597"/>
        <v>0</v>
      </c>
      <c r="BA228" s="247">
        <f t="shared" si="3597"/>
        <v>0</v>
      </c>
      <c r="BB228" s="247">
        <f t="shared" si="3597"/>
        <v>0</v>
      </c>
      <c r="BC228" s="247">
        <f t="shared" si="3597"/>
        <v>0</v>
      </c>
      <c r="BD228" s="247">
        <f t="shared" si="3597"/>
        <v>0</v>
      </c>
      <c r="BE228" s="247">
        <f t="shared" si="3597"/>
        <v>0</v>
      </c>
      <c r="BF228" s="247">
        <f t="shared" si="3597"/>
        <v>0</v>
      </c>
      <c r="BG228" s="247">
        <f t="shared" si="3597"/>
        <v>0</v>
      </c>
      <c r="BH228" s="247">
        <f t="shared" si="3597"/>
        <v>0</v>
      </c>
      <c r="BI228" s="247">
        <f t="shared" si="3597"/>
        <v>0</v>
      </c>
      <c r="BJ228" s="247">
        <f t="shared" si="3597"/>
        <v>0</v>
      </c>
      <c r="BK228" s="247">
        <f t="shared" si="3597"/>
        <v>0</v>
      </c>
      <c r="BL228" s="247">
        <f t="shared" si="3597"/>
        <v>0</v>
      </c>
      <c r="BM228" s="247">
        <f t="shared" si="3597"/>
        <v>0</v>
      </c>
      <c r="BN228" s="247">
        <f t="shared" si="3597"/>
        <v>0</v>
      </c>
      <c r="BO228" s="247">
        <f t="shared" ref="BO228:CV228" si="3598">BO99-BO352</f>
        <v>0</v>
      </c>
      <c r="BP228" s="247">
        <f t="shared" si="3598"/>
        <v>0</v>
      </c>
      <c r="BQ228" s="247">
        <f t="shared" si="3598"/>
        <v>0</v>
      </c>
      <c r="BR228" s="247">
        <f t="shared" si="3598"/>
        <v>0</v>
      </c>
      <c r="BS228" s="247">
        <f t="shared" si="3598"/>
        <v>0</v>
      </c>
      <c r="BT228" s="247">
        <f t="shared" si="3598"/>
        <v>0</v>
      </c>
      <c r="BU228" s="247">
        <f t="shared" si="3598"/>
        <v>0</v>
      </c>
      <c r="BV228" s="247">
        <f t="shared" si="3598"/>
        <v>0</v>
      </c>
      <c r="BW228" s="247">
        <f t="shared" si="3598"/>
        <v>0</v>
      </c>
      <c r="BX228" s="247">
        <f t="shared" si="3598"/>
        <v>0</v>
      </c>
      <c r="BY228" s="247">
        <f t="shared" si="3598"/>
        <v>0</v>
      </c>
      <c r="BZ228" s="247">
        <f t="shared" si="3598"/>
        <v>0</v>
      </c>
      <c r="CA228" s="247">
        <f t="shared" si="3598"/>
        <v>0</v>
      </c>
      <c r="CB228" s="247">
        <f t="shared" si="3598"/>
        <v>0</v>
      </c>
      <c r="CC228" s="247">
        <f t="shared" si="3598"/>
        <v>0</v>
      </c>
      <c r="CD228" s="247">
        <f t="shared" si="3598"/>
        <v>0</v>
      </c>
      <c r="CE228" s="247">
        <f t="shared" si="3598"/>
        <v>0</v>
      </c>
      <c r="CF228" s="247">
        <f t="shared" si="3598"/>
        <v>0</v>
      </c>
      <c r="CG228" s="247">
        <f t="shared" si="3598"/>
        <v>0</v>
      </c>
      <c r="CH228" s="247">
        <f t="shared" si="3598"/>
        <v>0</v>
      </c>
      <c r="CI228" s="247">
        <f t="shared" si="3598"/>
        <v>0</v>
      </c>
      <c r="CJ228" s="247">
        <f t="shared" si="3598"/>
        <v>0</v>
      </c>
      <c r="CK228" s="247">
        <f t="shared" si="3598"/>
        <v>0</v>
      </c>
      <c r="CL228" s="247">
        <f t="shared" si="3598"/>
        <v>0</v>
      </c>
      <c r="CM228" s="247">
        <f t="shared" si="3598"/>
        <v>0</v>
      </c>
      <c r="CN228" s="247">
        <f t="shared" si="3598"/>
        <v>0</v>
      </c>
      <c r="CO228" s="247">
        <f t="shared" si="3598"/>
        <v>0</v>
      </c>
      <c r="CP228" s="247">
        <f t="shared" si="3598"/>
        <v>0</v>
      </c>
      <c r="CQ228" s="247">
        <f t="shared" si="3598"/>
        <v>0</v>
      </c>
      <c r="CR228" s="247">
        <f t="shared" si="3598"/>
        <v>0</v>
      </c>
      <c r="CS228" s="247">
        <f t="shared" si="3598"/>
        <v>0</v>
      </c>
      <c r="CT228" s="247">
        <f t="shared" si="3598"/>
        <v>0</v>
      </c>
      <c r="CU228" s="247">
        <f t="shared" si="3598"/>
        <v>0</v>
      </c>
      <c r="CV228" s="247">
        <f t="shared" si="3598"/>
        <v>0</v>
      </c>
      <c r="CW228" s="247"/>
      <c r="CX228" s="247">
        <f>CX99-CX352</f>
        <v>0</v>
      </c>
      <c r="CY228" s="247">
        <f>CY99-CY352</f>
        <v>0</v>
      </c>
      <c r="CZ228" s="247">
        <f>CZ99-CZ352</f>
        <v>0</v>
      </c>
      <c r="DA228" s="247">
        <f>DA99-DA352</f>
        <v>0</v>
      </c>
      <c r="DB228" s="247">
        <f>DB99-DB352</f>
        <v>0</v>
      </c>
      <c r="DC228" s="247">
        <f>DC99-DC352</f>
        <v>0</v>
      </c>
      <c r="DD228" s="247"/>
      <c r="DE228" s="247">
        <f t="shared" ref="DE228:EG228" si="3599">DE99-DE352</f>
        <v>0</v>
      </c>
      <c r="DF228" s="247">
        <f t="shared" si="3599"/>
        <v>0</v>
      </c>
      <c r="DG228" s="247">
        <f t="shared" si="3599"/>
        <v>8.2000000000000028</v>
      </c>
      <c r="DH228" s="247">
        <f t="shared" si="3599"/>
        <v>0</v>
      </c>
      <c r="DI228" s="247">
        <f t="shared" si="3599"/>
        <v>0</v>
      </c>
      <c r="DJ228" s="247">
        <f t="shared" si="3599"/>
        <v>0</v>
      </c>
      <c r="DK228" s="247">
        <f t="shared" si="3599"/>
        <v>0</v>
      </c>
      <c r="DL228" s="247">
        <f t="shared" si="3599"/>
        <v>0</v>
      </c>
      <c r="DM228" s="247">
        <f t="shared" si="3599"/>
        <v>0</v>
      </c>
      <c r="DN228" s="247">
        <f t="shared" si="3599"/>
        <v>0</v>
      </c>
      <c r="DO228" s="247">
        <f t="shared" si="3599"/>
        <v>0</v>
      </c>
      <c r="DP228" s="247">
        <f t="shared" si="3599"/>
        <v>0</v>
      </c>
      <c r="DQ228" s="247">
        <f t="shared" si="3599"/>
        <v>0</v>
      </c>
      <c r="DR228" s="247">
        <f t="shared" si="3599"/>
        <v>0</v>
      </c>
      <c r="DS228" s="247">
        <f t="shared" si="3599"/>
        <v>0</v>
      </c>
      <c r="DT228" s="247">
        <f t="shared" si="3599"/>
        <v>0</v>
      </c>
      <c r="DU228" s="247">
        <f t="shared" si="3599"/>
        <v>0</v>
      </c>
      <c r="DV228" s="247">
        <f t="shared" si="3599"/>
        <v>0</v>
      </c>
      <c r="DW228" s="247">
        <f t="shared" si="3599"/>
        <v>0</v>
      </c>
      <c r="DX228" s="247">
        <f t="shared" si="3599"/>
        <v>0</v>
      </c>
      <c r="DY228" s="247">
        <f t="shared" si="3599"/>
        <v>0</v>
      </c>
      <c r="DZ228" s="247">
        <f t="shared" si="3599"/>
        <v>0</v>
      </c>
      <c r="EA228" s="247">
        <f t="shared" si="3599"/>
        <v>0</v>
      </c>
      <c r="EB228" s="247">
        <f t="shared" si="3599"/>
        <v>0</v>
      </c>
      <c r="EC228" s="247">
        <f t="shared" si="3599"/>
        <v>0</v>
      </c>
      <c r="ED228" s="247">
        <f t="shared" si="3599"/>
        <v>0</v>
      </c>
      <c r="EE228" s="247">
        <f t="shared" si="3599"/>
        <v>0</v>
      </c>
      <c r="EF228" s="247">
        <f t="shared" si="3599"/>
        <v>0</v>
      </c>
      <c r="EG228" s="247">
        <f t="shared" si="3599"/>
        <v>0</v>
      </c>
    </row>
    <row r="229" spans="1:137" ht="11.25" customHeight="1">
      <c r="A229" s="157">
        <v>45017</v>
      </c>
      <c r="B229" s="247">
        <f>B100-B353</f>
        <v>0</v>
      </c>
      <c r="C229" s="247">
        <f>C100-C353</f>
        <v>0</v>
      </c>
      <c r="D229" s="247">
        <f>D100-D353</f>
        <v>0</v>
      </c>
      <c r="E229" s="247">
        <f>E100-E353</f>
        <v>0</v>
      </c>
      <c r="F229" s="247">
        <f>F100-F353</f>
        <v>0</v>
      </c>
      <c r="G229" s="247">
        <f>G100-G353</f>
        <v>0</v>
      </c>
      <c r="H229" s="247">
        <f>H100-H353</f>
        <v>0</v>
      </c>
      <c r="I229" s="247">
        <f t="shared" ref="I229:AB229" si="3600">I100-I353</f>
        <v>0</v>
      </c>
      <c r="J229" s="247">
        <f t="shared" si="3600"/>
        <v>0</v>
      </c>
      <c r="K229" s="247">
        <f t="shared" si="3600"/>
        <v>0</v>
      </c>
      <c r="L229" s="247">
        <f t="shared" si="3600"/>
        <v>0</v>
      </c>
      <c r="M229" s="247">
        <f t="shared" si="3600"/>
        <v>0</v>
      </c>
      <c r="N229" s="247">
        <f t="shared" si="3600"/>
        <v>0</v>
      </c>
      <c r="O229" s="247">
        <f t="shared" si="3600"/>
        <v>0</v>
      </c>
      <c r="P229" s="247">
        <f t="shared" si="3600"/>
        <v>0</v>
      </c>
      <c r="Q229" s="247">
        <f t="shared" si="3600"/>
        <v>0</v>
      </c>
      <c r="R229" s="247">
        <f t="shared" si="3600"/>
        <v>0</v>
      </c>
      <c r="S229" s="247">
        <f t="shared" si="3600"/>
        <v>0</v>
      </c>
      <c r="T229" s="247">
        <f t="shared" si="3600"/>
        <v>0</v>
      </c>
      <c r="U229" s="247">
        <f t="shared" si="3600"/>
        <v>0</v>
      </c>
      <c r="V229" s="247">
        <f t="shared" si="3600"/>
        <v>0</v>
      </c>
      <c r="W229" s="247">
        <f t="shared" si="3600"/>
        <v>0</v>
      </c>
      <c r="X229" s="247">
        <f t="shared" si="3600"/>
        <v>0</v>
      </c>
      <c r="Y229" s="247">
        <f t="shared" si="3600"/>
        <v>0</v>
      </c>
      <c r="Z229" s="247">
        <f t="shared" si="3600"/>
        <v>0</v>
      </c>
      <c r="AA229" s="247">
        <f t="shared" si="3600"/>
        <v>0</v>
      </c>
      <c r="AB229" s="247">
        <f t="shared" si="3600"/>
        <v>0</v>
      </c>
      <c r="AC229" s="247">
        <f>AC100-AC353</f>
        <v>0</v>
      </c>
      <c r="AD229" s="247">
        <f>AD100-AD353</f>
        <v>0</v>
      </c>
      <c r="AE229" s="247">
        <f>AE100-AE353</f>
        <v>0</v>
      </c>
      <c r="AF229" s="247">
        <f>AF100-AF353</f>
        <v>0</v>
      </c>
      <c r="AG229" s="248"/>
      <c r="AH229" s="247"/>
      <c r="AI229" s="247">
        <f t="shared" ref="AI229:BN229" si="3601">AI100-AI353</f>
        <v>0</v>
      </c>
      <c r="AJ229" s="247">
        <f t="shared" si="3601"/>
        <v>0</v>
      </c>
      <c r="AK229" s="247">
        <f t="shared" si="3601"/>
        <v>0</v>
      </c>
      <c r="AL229" s="247">
        <f t="shared" si="3601"/>
        <v>0</v>
      </c>
      <c r="AM229" s="247">
        <f t="shared" si="3601"/>
        <v>0</v>
      </c>
      <c r="AN229" s="247">
        <f t="shared" si="3601"/>
        <v>0</v>
      </c>
      <c r="AO229" s="247">
        <f t="shared" si="3601"/>
        <v>0</v>
      </c>
      <c r="AP229" s="247">
        <f t="shared" si="3601"/>
        <v>0</v>
      </c>
      <c r="AQ229" s="247">
        <f t="shared" si="3601"/>
        <v>0</v>
      </c>
      <c r="AR229" s="247">
        <f t="shared" si="3601"/>
        <v>0</v>
      </c>
      <c r="AS229" s="247">
        <f t="shared" si="3601"/>
        <v>0</v>
      </c>
      <c r="AT229" s="247">
        <f t="shared" si="3601"/>
        <v>0</v>
      </c>
      <c r="AU229" s="247">
        <f t="shared" si="3601"/>
        <v>0</v>
      </c>
      <c r="AV229" s="247">
        <f t="shared" si="3601"/>
        <v>0</v>
      </c>
      <c r="AW229" s="247">
        <f t="shared" si="3601"/>
        <v>0</v>
      </c>
      <c r="AX229" s="247">
        <f t="shared" si="3601"/>
        <v>0</v>
      </c>
      <c r="AY229" s="247">
        <f t="shared" si="3601"/>
        <v>0</v>
      </c>
      <c r="AZ229" s="247">
        <f t="shared" si="3601"/>
        <v>0</v>
      </c>
      <c r="BA229" s="247">
        <f t="shared" si="3601"/>
        <v>0</v>
      </c>
      <c r="BB229" s="247">
        <f t="shared" si="3601"/>
        <v>0</v>
      </c>
      <c r="BC229" s="247">
        <f t="shared" si="3601"/>
        <v>0</v>
      </c>
      <c r="BD229" s="247">
        <f t="shared" si="3601"/>
        <v>0</v>
      </c>
      <c r="BE229" s="247">
        <f t="shared" si="3601"/>
        <v>0</v>
      </c>
      <c r="BF229" s="247">
        <f t="shared" si="3601"/>
        <v>0</v>
      </c>
      <c r="BG229" s="247">
        <f t="shared" si="3601"/>
        <v>0</v>
      </c>
      <c r="BH229" s="247">
        <f t="shared" si="3601"/>
        <v>0</v>
      </c>
      <c r="BI229" s="247">
        <f t="shared" si="3601"/>
        <v>0</v>
      </c>
      <c r="BJ229" s="247">
        <f t="shared" si="3601"/>
        <v>0</v>
      </c>
      <c r="BK229" s="247">
        <f t="shared" si="3601"/>
        <v>0</v>
      </c>
      <c r="BL229" s="247">
        <f t="shared" si="3601"/>
        <v>0</v>
      </c>
      <c r="BM229" s="247">
        <f t="shared" si="3601"/>
        <v>0</v>
      </c>
      <c r="BN229" s="247">
        <f t="shared" si="3601"/>
        <v>0</v>
      </c>
      <c r="BO229" s="247">
        <f t="shared" ref="BO229:CV229" si="3602">BO100-BO353</f>
        <v>0</v>
      </c>
      <c r="BP229" s="247">
        <f t="shared" si="3602"/>
        <v>0</v>
      </c>
      <c r="BQ229" s="247">
        <f t="shared" si="3602"/>
        <v>0</v>
      </c>
      <c r="BR229" s="247">
        <f t="shared" si="3602"/>
        <v>0</v>
      </c>
      <c r="BS229" s="247">
        <f t="shared" si="3602"/>
        <v>0</v>
      </c>
      <c r="BT229" s="247">
        <f t="shared" si="3602"/>
        <v>0</v>
      </c>
      <c r="BU229" s="247">
        <f t="shared" si="3602"/>
        <v>0</v>
      </c>
      <c r="BV229" s="247">
        <f t="shared" si="3602"/>
        <v>0</v>
      </c>
      <c r="BW229" s="247">
        <f t="shared" si="3602"/>
        <v>0</v>
      </c>
      <c r="BX229" s="247">
        <f t="shared" si="3602"/>
        <v>0</v>
      </c>
      <c r="BY229" s="247">
        <f t="shared" si="3602"/>
        <v>0</v>
      </c>
      <c r="BZ229" s="247">
        <f t="shared" si="3602"/>
        <v>0</v>
      </c>
      <c r="CA229" s="247">
        <f t="shared" si="3602"/>
        <v>0</v>
      </c>
      <c r="CB229" s="247">
        <f t="shared" si="3602"/>
        <v>0</v>
      </c>
      <c r="CC229" s="247">
        <f t="shared" si="3602"/>
        <v>0</v>
      </c>
      <c r="CD229" s="247">
        <f t="shared" si="3602"/>
        <v>0</v>
      </c>
      <c r="CE229" s="247">
        <f t="shared" si="3602"/>
        <v>0</v>
      </c>
      <c r="CF229" s="247">
        <f t="shared" si="3602"/>
        <v>0</v>
      </c>
      <c r="CG229" s="247">
        <f t="shared" si="3602"/>
        <v>0</v>
      </c>
      <c r="CH229" s="247">
        <f t="shared" si="3602"/>
        <v>0</v>
      </c>
      <c r="CI229" s="247">
        <f t="shared" si="3602"/>
        <v>0</v>
      </c>
      <c r="CJ229" s="247">
        <f t="shared" si="3602"/>
        <v>0</v>
      </c>
      <c r="CK229" s="247">
        <f t="shared" si="3602"/>
        <v>0</v>
      </c>
      <c r="CL229" s="247">
        <f t="shared" si="3602"/>
        <v>0</v>
      </c>
      <c r="CM229" s="247">
        <f t="shared" si="3602"/>
        <v>0</v>
      </c>
      <c r="CN229" s="247">
        <f t="shared" si="3602"/>
        <v>0</v>
      </c>
      <c r="CO229" s="247">
        <f t="shared" si="3602"/>
        <v>0</v>
      </c>
      <c r="CP229" s="247">
        <f t="shared" si="3602"/>
        <v>0</v>
      </c>
      <c r="CQ229" s="247">
        <f t="shared" si="3602"/>
        <v>0</v>
      </c>
      <c r="CR229" s="247">
        <f t="shared" si="3602"/>
        <v>0</v>
      </c>
      <c r="CS229" s="247">
        <f t="shared" si="3602"/>
        <v>0</v>
      </c>
      <c r="CT229" s="247">
        <f t="shared" si="3602"/>
        <v>0</v>
      </c>
      <c r="CU229" s="247">
        <f t="shared" si="3602"/>
        <v>0</v>
      </c>
      <c r="CV229" s="247">
        <f t="shared" si="3602"/>
        <v>0</v>
      </c>
      <c r="CW229" s="247"/>
      <c r="CX229" s="247">
        <f>CX100-CX353</f>
        <v>0</v>
      </c>
      <c r="CY229" s="247">
        <f>CY100-CY353</f>
        <v>0</v>
      </c>
      <c r="CZ229" s="247">
        <f>CZ100-CZ353</f>
        <v>0</v>
      </c>
      <c r="DA229" s="247">
        <f>DA100-DA353</f>
        <v>0</v>
      </c>
      <c r="DB229" s="247">
        <f>DB100-DB353</f>
        <v>0</v>
      </c>
      <c r="DC229" s="247">
        <f>DC100-DC353</f>
        <v>0</v>
      </c>
      <c r="DD229" s="247"/>
      <c r="DE229" s="247">
        <f t="shared" ref="DE229:EG229" si="3603">DE100-DE353</f>
        <v>0</v>
      </c>
      <c r="DF229" s="247">
        <f t="shared" si="3603"/>
        <v>0</v>
      </c>
      <c r="DG229" s="247">
        <f t="shared" si="3603"/>
        <v>8.6000000000000014</v>
      </c>
      <c r="DH229" s="247">
        <f t="shared" si="3603"/>
        <v>0</v>
      </c>
      <c r="DI229" s="247">
        <f t="shared" si="3603"/>
        <v>0</v>
      </c>
      <c r="DJ229" s="247">
        <f t="shared" si="3603"/>
        <v>0</v>
      </c>
      <c r="DK229" s="247">
        <f t="shared" si="3603"/>
        <v>0</v>
      </c>
      <c r="DL229" s="247">
        <f t="shared" si="3603"/>
        <v>0</v>
      </c>
      <c r="DM229" s="247">
        <f t="shared" si="3603"/>
        <v>0</v>
      </c>
      <c r="DN229" s="247">
        <f t="shared" si="3603"/>
        <v>0</v>
      </c>
      <c r="DO229" s="247">
        <f t="shared" si="3603"/>
        <v>0</v>
      </c>
      <c r="DP229" s="247">
        <f t="shared" si="3603"/>
        <v>0</v>
      </c>
      <c r="DQ229" s="247">
        <f t="shared" si="3603"/>
        <v>0</v>
      </c>
      <c r="DR229" s="247">
        <f t="shared" si="3603"/>
        <v>0</v>
      </c>
      <c r="DS229" s="247">
        <f t="shared" si="3603"/>
        <v>0</v>
      </c>
      <c r="DT229" s="247">
        <f t="shared" si="3603"/>
        <v>0</v>
      </c>
      <c r="DU229" s="247">
        <f t="shared" si="3603"/>
        <v>0</v>
      </c>
      <c r="DV229" s="247">
        <f t="shared" si="3603"/>
        <v>0</v>
      </c>
      <c r="DW229" s="247">
        <f t="shared" si="3603"/>
        <v>0</v>
      </c>
      <c r="DX229" s="247">
        <f t="shared" si="3603"/>
        <v>0</v>
      </c>
      <c r="DY229" s="247">
        <f t="shared" si="3603"/>
        <v>0</v>
      </c>
      <c r="DZ229" s="247">
        <f t="shared" si="3603"/>
        <v>0</v>
      </c>
      <c r="EA229" s="247">
        <f t="shared" si="3603"/>
        <v>0</v>
      </c>
      <c r="EB229" s="247">
        <f t="shared" si="3603"/>
        <v>0</v>
      </c>
      <c r="EC229" s="247">
        <f t="shared" si="3603"/>
        <v>0</v>
      </c>
      <c r="ED229" s="247">
        <f t="shared" si="3603"/>
        <v>0</v>
      </c>
      <c r="EE229" s="247">
        <f t="shared" si="3603"/>
        <v>0</v>
      </c>
      <c r="EF229" s="247">
        <f t="shared" si="3603"/>
        <v>0</v>
      </c>
      <c r="EG229" s="247">
        <f t="shared" si="3603"/>
        <v>0</v>
      </c>
    </row>
    <row r="230" spans="1:137" ht="11.25" customHeight="1">
      <c r="A230" s="157">
        <v>45047</v>
      </c>
      <c r="B230" s="247">
        <f>B101-B354</f>
        <v>0</v>
      </c>
      <c r="C230" s="247">
        <f>C101-C354</f>
        <v>0</v>
      </c>
      <c r="D230" s="247">
        <f>D101-D354</f>
        <v>0</v>
      </c>
      <c r="E230" s="247">
        <f>E101-E354</f>
        <v>0</v>
      </c>
      <c r="F230" s="247">
        <f>F101-F354</f>
        <v>0</v>
      </c>
      <c r="G230" s="247">
        <f>G101-G354</f>
        <v>0</v>
      </c>
      <c r="H230" s="247">
        <f>H101-H354</f>
        <v>0</v>
      </c>
      <c r="I230" s="247">
        <f t="shared" ref="I230:AB230" si="3604">I101-I354</f>
        <v>0</v>
      </c>
      <c r="J230" s="247">
        <f t="shared" si="3604"/>
        <v>0</v>
      </c>
      <c r="K230" s="247">
        <f t="shared" si="3604"/>
        <v>0</v>
      </c>
      <c r="L230" s="247">
        <f t="shared" si="3604"/>
        <v>0</v>
      </c>
      <c r="M230" s="247">
        <f t="shared" si="3604"/>
        <v>0</v>
      </c>
      <c r="N230" s="247">
        <f t="shared" si="3604"/>
        <v>0</v>
      </c>
      <c r="O230" s="247">
        <f t="shared" si="3604"/>
        <v>0</v>
      </c>
      <c r="P230" s="247">
        <f t="shared" si="3604"/>
        <v>0</v>
      </c>
      <c r="Q230" s="247">
        <f t="shared" si="3604"/>
        <v>0</v>
      </c>
      <c r="R230" s="247">
        <f t="shared" si="3604"/>
        <v>0</v>
      </c>
      <c r="S230" s="247">
        <f t="shared" si="3604"/>
        <v>0</v>
      </c>
      <c r="T230" s="247">
        <f t="shared" si="3604"/>
        <v>0</v>
      </c>
      <c r="U230" s="247">
        <f t="shared" si="3604"/>
        <v>0</v>
      </c>
      <c r="V230" s="247">
        <f t="shared" si="3604"/>
        <v>0</v>
      </c>
      <c r="W230" s="247">
        <f t="shared" si="3604"/>
        <v>0</v>
      </c>
      <c r="X230" s="247">
        <f t="shared" si="3604"/>
        <v>0</v>
      </c>
      <c r="Y230" s="247">
        <f t="shared" si="3604"/>
        <v>0</v>
      </c>
      <c r="Z230" s="247">
        <f t="shared" si="3604"/>
        <v>0</v>
      </c>
      <c r="AA230" s="247">
        <f t="shared" si="3604"/>
        <v>0</v>
      </c>
      <c r="AB230" s="247">
        <f t="shared" si="3604"/>
        <v>0</v>
      </c>
      <c r="AC230" s="247">
        <f>AC101-AC354</f>
        <v>0</v>
      </c>
      <c r="AD230" s="247">
        <f>AD101-AD354</f>
        <v>0</v>
      </c>
      <c r="AE230" s="247">
        <f>AE101-AE354</f>
        <v>0</v>
      </c>
      <c r="AF230" s="247">
        <f>AF101-AF354</f>
        <v>0</v>
      </c>
      <c r="AG230" s="248"/>
      <c r="AH230" s="247"/>
      <c r="AI230" s="247">
        <f t="shared" ref="AI230:BN230" si="3605">AI101-AI354</f>
        <v>0</v>
      </c>
      <c r="AJ230" s="247">
        <f t="shared" si="3605"/>
        <v>0</v>
      </c>
      <c r="AK230" s="247">
        <f t="shared" si="3605"/>
        <v>0</v>
      </c>
      <c r="AL230" s="247">
        <f t="shared" si="3605"/>
        <v>0</v>
      </c>
      <c r="AM230" s="247">
        <f t="shared" si="3605"/>
        <v>0</v>
      </c>
      <c r="AN230" s="247">
        <f t="shared" si="3605"/>
        <v>0</v>
      </c>
      <c r="AO230" s="247">
        <f t="shared" si="3605"/>
        <v>0</v>
      </c>
      <c r="AP230" s="247">
        <f t="shared" si="3605"/>
        <v>0</v>
      </c>
      <c r="AQ230" s="247">
        <f t="shared" si="3605"/>
        <v>0</v>
      </c>
      <c r="AR230" s="247">
        <f t="shared" si="3605"/>
        <v>0</v>
      </c>
      <c r="AS230" s="247">
        <f t="shared" si="3605"/>
        <v>0</v>
      </c>
      <c r="AT230" s="247">
        <f t="shared" si="3605"/>
        <v>0</v>
      </c>
      <c r="AU230" s="247">
        <f t="shared" si="3605"/>
        <v>0</v>
      </c>
      <c r="AV230" s="247">
        <f t="shared" si="3605"/>
        <v>0</v>
      </c>
      <c r="AW230" s="247">
        <f t="shared" si="3605"/>
        <v>0</v>
      </c>
      <c r="AX230" s="247">
        <f t="shared" si="3605"/>
        <v>0</v>
      </c>
      <c r="AY230" s="247">
        <f t="shared" si="3605"/>
        <v>0</v>
      </c>
      <c r="AZ230" s="247">
        <f t="shared" si="3605"/>
        <v>0</v>
      </c>
      <c r="BA230" s="247">
        <f t="shared" si="3605"/>
        <v>0</v>
      </c>
      <c r="BB230" s="247">
        <f t="shared" si="3605"/>
        <v>0</v>
      </c>
      <c r="BC230" s="247">
        <f t="shared" si="3605"/>
        <v>0</v>
      </c>
      <c r="BD230" s="247">
        <f t="shared" si="3605"/>
        <v>0</v>
      </c>
      <c r="BE230" s="247">
        <f t="shared" si="3605"/>
        <v>0</v>
      </c>
      <c r="BF230" s="247">
        <f t="shared" si="3605"/>
        <v>0</v>
      </c>
      <c r="BG230" s="247">
        <f t="shared" si="3605"/>
        <v>0</v>
      </c>
      <c r="BH230" s="247">
        <f t="shared" si="3605"/>
        <v>0</v>
      </c>
      <c r="BI230" s="247">
        <f t="shared" si="3605"/>
        <v>0</v>
      </c>
      <c r="BJ230" s="247">
        <f t="shared" si="3605"/>
        <v>0</v>
      </c>
      <c r="BK230" s="247">
        <f t="shared" si="3605"/>
        <v>0</v>
      </c>
      <c r="BL230" s="247">
        <f t="shared" si="3605"/>
        <v>0</v>
      </c>
      <c r="BM230" s="247">
        <f t="shared" si="3605"/>
        <v>0</v>
      </c>
      <c r="BN230" s="247">
        <f t="shared" si="3605"/>
        <v>0</v>
      </c>
      <c r="BO230" s="247">
        <f t="shared" ref="BO230:CV230" si="3606">BO101-BO354</f>
        <v>0</v>
      </c>
      <c r="BP230" s="247">
        <f t="shared" si="3606"/>
        <v>0</v>
      </c>
      <c r="BQ230" s="247">
        <f t="shared" si="3606"/>
        <v>0</v>
      </c>
      <c r="BR230" s="247">
        <f t="shared" si="3606"/>
        <v>0</v>
      </c>
      <c r="BS230" s="247">
        <f t="shared" si="3606"/>
        <v>0</v>
      </c>
      <c r="BT230" s="247">
        <f t="shared" si="3606"/>
        <v>0</v>
      </c>
      <c r="BU230" s="247">
        <f t="shared" si="3606"/>
        <v>0</v>
      </c>
      <c r="BV230" s="247">
        <f t="shared" si="3606"/>
        <v>0</v>
      </c>
      <c r="BW230" s="247">
        <f t="shared" si="3606"/>
        <v>0</v>
      </c>
      <c r="BX230" s="247">
        <f t="shared" si="3606"/>
        <v>0</v>
      </c>
      <c r="BY230" s="247">
        <f t="shared" si="3606"/>
        <v>0</v>
      </c>
      <c r="BZ230" s="247">
        <f t="shared" si="3606"/>
        <v>0</v>
      </c>
      <c r="CA230" s="247">
        <f t="shared" si="3606"/>
        <v>0</v>
      </c>
      <c r="CB230" s="247">
        <f t="shared" si="3606"/>
        <v>0</v>
      </c>
      <c r="CC230" s="247">
        <f t="shared" si="3606"/>
        <v>0</v>
      </c>
      <c r="CD230" s="247">
        <f t="shared" si="3606"/>
        <v>0</v>
      </c>
      <c r="CE230" s="247">
        <f t="shared" si="3606"/>
        <v>0</v>
      </c>
      <c r="CF230" s="247">
        <f t="shared" si="3606"/>
        <v>0</v>
      </c>
      <c r="CG230" s="247">
        <f t="shared" si="3606"/>
        <v>0</v>
      </c>
      <c r="CH230" s="247">
        <f t="shared" si="3606"/>
        <v>0</v>
      </c>
      <c r="CI230" s="247">
        <f t="shared" si="3606"/>
        <v>0</v>
      </c>
      <c r="CJ230" s="247">
        <f t="shared" si="3606"/>
        <v>0</v>
      </c>
      <c r="CK230" s="247">
        <f t="shared" si="3606"/>
        <v>0</v>
      </c>
      <c r="CL230" s="247">
        <f t="shared" si="3606"/>
        <v>0</v>
      </c>
      <c r="CM230" s="247">
        <f t="shared" si="3606"/>
        <v>0</v>
      </c>
      <c r="CN230" s="247">
        <f t="shared" si="3606"/>
        <v>0</v>
      </c>
      <c r="CO230" s="247">
        <f t="shared" si="3606"/>
        <v>0</v>
      </c>
      <c r="CP230" s="247">
        <f t="shared" si="3606"/>
        <v>0</v>
      </c>
      <c r="CQ230" s="247">
        <f t="shared" si="3606"/>
        <v>0</v>
      </c>
      <c r="CR230" s="247">
        <f t="shared" si="3606"/>
        <v>0</v>
      </c>
      <c r="CS230" s="247">
        <f t="shared" si="3606"/>
        <v>0</v>
      </c>
      <c r="CT230" s="247">
        <f t="shared" si="3606"/>
        <v>0</v>
      </c>
      <c r="CU230" s="247">
        <f t="shared" si="3606"/>
        <v>0</v>
      </c>
      <c r="CV230" s="247">
        <f t="shared" si="3606"/>
        <v>0</v>
      </c>
      <c r="CW230" s="247"/>
      <c r="CX230" s="247">
        <f>CX101-CX354</f>
        <v>0</v>
      </c>
      <c r="CY230" s="247">
        <f>CY101-CY354</f>
        <v>0</v>
      </c>
      <c r="CZ230" s="247">
        <f>CZ101-CZ354</f>
        <v>0</v>
      </c>
      <c r="DA230" s="247">
        <f>DA101-DA354</f>
        <v>0</v>
      </c>
      <c r="DB230" s="247">
        <f>DB101-DB354</f>
        <v>0</v>
      </c>
      <c r="DC230" s="247">
        <f>DC101-DC354</f>
        <v>0</v>
      </c>
      <c r="DD230" s="247"/>
      <c r="DE230" s="247">
        <f t="shared" ref="DE230:EG230" si="3607">DE101-DE354</f>
        <v>13.960000000000008</v>
      </c>
      <c r="DF230" s="247">
        <f t="shared" si="3607"/>
        <v>0</v>
      </c>
      <c r="DG230" s="247">
        <f t="shared" si="3607"/>
        <v>15.299999999999997</v>
      </c>
      <c r="DH230" s="247">
        <f t="shared" si="3607"/>
        <v>-6.0316156036430923E-2</v>
      </c>
      <c r="DI230" s="247">
        <f t="shared" si="3607"/>
        <v>0</v>
      </c>
      <c r="DJ230" s="247">
        <f t="shared" si="3607"/>
        <v>-4.4856024309776255E-2</v>
      </c>
      <c r="DK230" s="247">
        <f t="shared" si="3607"/>
        <v>0</v>
      </c>
      <c r="DL230" s="247">
        <f t="shared" si="3607"/>
        <v>0</v>
      </c>
      <c r="DM230" s="247">
        <f t="shared" si="3607"/>
        <v>0</v>
      </c>
      <c r="DN230" s="247">
        <f t="shared" si="3607"/>
        <v>0</v>
      </c>
      <c r="DO230" s="247">
        <f t="shared" si="3607"/>
        <v>0</v>
      </c>
      <c r="DP230" s="247">
        <f t="shared" si="3607"/>
        <v>0</v>
      </c>
      <c r="DQ230" s="247">
        <f t="shared" si="3607"/>
        <v>0</v>
      </c>
      <c r="DR230" s="247">
        <f t="shared" si="3607"/>
        <v>-0.10517218034620712</v>
      </c>
      <c r="DS230" s="247">
        <f t="shared" si="3607"/>
        <v>0</v>
      </c>
      <c r="DT230" s="247">
        <f t="shared" si="3607"/>
        <v>0</v>
      </c>
      <c r="DU230" s="247">
        <f t="shared" si="3607"/>
        <v>0</v>
      </c>
      <c r="DV230" s="247">
        <f t="shared" si="3607"/>
        <v>0</v>
      </c>
      <c r="DW230" s="247">
        <f t="shared" si="3607"/>
        <v>0</v>
      </c>
      <c r="DX230" s="247">
        <f t="shared" si="3607"/>
        <v>0</v>
      </c>
      <c r="DY230" s="247">
        <f t="shared" si="3607"/>
        <v>0</v>
      </c>
      <c r="DZ230" s="247">
        <f t="shared" si="3607"/>
        <v>0</v>
      </c>
      <c r="EA230" s="247">
        <f t="shared" si="3607"/>
        <v>0</v>
      </c>
      <c r="EB230" s="247">
        <f t="shared" si="3607"/>
        <v>0</v>
      </c>
      <c r="EC230" s="247">
        <f t="shared" si="3607"/>
        <v>0</v>
      </c>
      <c r="ED230" s="247">
        <f t="shared" si="3607"/>
        <v>0</v>
      </c>
      <c r="EE230" s="247">
        <f t="shared" si="3607"/>
        <v>0</v>
      </c>
      <c r="EF230" s="247">
        <f t="shared" si="3607"/>
        <v>0</v>
      </c>
      <c r="EG230" s="247">
        <f t="shared" si="3607"/>
        <v>0</v>
      </c>
    </row>
    <row r="231" spans="1:137" ht="11.25" customHeight="1">
      <c r="A231" s="157">
        <v>45078</v>
      </c>
      <c r="B231" s="247">
        <f>B102-B355</f>
        <v>0</v>
      </c>
      <c r="C231" s="247">
        <f>C102-C355</f>
        <v>0</v>
      </c>
      <c r="D231" s="247">
        <f>D102-D355</f>
        <v>0</v>
      </c>
      <c r="E231" s="247">
        <f>E102-E355</f>
        <v>0</v>
      </c>
      <c r="F231" s="247">
        <f>F102-F355</f>
        <v>0</v>
      </c>
      <c r="G231" s="247">
        <f>G102-G355</f>
        <v>0</v>
      </c>
      <c r="H231" s="247">
        <f>H102-H355</f>
        <v>0</v>
      </c>
      <c r="I231" s="247">
        <f t="shared" ref="I231:AB231" si="3608">I102-I355</f>
        <v>0</v>
      </c>
      <c r="J231" s="247">
        <f t="shared" si="3608"/>
        <v>0</v>
      </c>
      <c r="K231" s="247">
        <f t="shared" si="3608"/>
        <v>0</v>
      </c>
      <c r="L231" s="247">
        <f t="shared" si="3608"/>
        <v>0</v>
      </c>
      <c r="M231" s="247">
        <f t="shared" si="3608"/>
        <v>0</v>
      </c>
      <c r="N231" s="247">
        <f t="shared" si="3608"/>
        <v>0</v>
      </c>
      <c r="O231" s="247">
        <f t="shared" si="3608"/>
        <v>0</v>
      </c>
      <c r="P231" s="247">
        <f t="shared" si="3608"/>
        <v>0</v>
      </c>
      <c r="Q231" s="247">
        <f t="shared" si="3608"/>
        <v>0</v>
      </c>
      <c r="R231" s="247">
        <f t="shared" si="3608"/>
        <v>0</v>
      </c>
      <c r="S231" s="247">
        <f t="shared" si="3608"/>
        <v>0</v>
      </c>
      <c r="T231" s="247">
        <f t="shared" si="3608"/>
        <v>0</v>
      </c>
      <c r="U231" s="247">
        <f t="shared" si="3608"/>
        <v>0</v>
      </c>
      <c r="V231" s="247">
        <f t="shared" si="3608"/>
        <v>0</v>
      </c>
      <c r="W231" s="247">
        <f t="shared" si="3608"/>
        <v>0</v>
      </c>
      <c r="X231" s="247">
        <f t="shared" si="3608"/>
        <v>0</v>
      </c>
      <c r="Y231" s="247">
        <f t="shared" si="3608"/>
        <v>0</v>
      </c>
      <c r="Z231" s="247">
        <f t="shared" si="3608"/>
        <v>0</v>
      </c>
      <c r="AA231" s="247">
        <f t="shared" si="3608"/>
        <v>0</v>
      </c>
      <c r="AB231" s="247">
        <f t="shared" si="3608"/>
        <v>0</v>
      </c>
      <c r="AC231" s="247">
        <f>AC102-AC355</f>
        <v>0</v>
      </c>
      <c r="AD231" s="247">
        <f>AD102-AD355</f>
        <v>0</v>
      </c>
      <c r="AE231" s="247">
        <f>AE102-AE355</f>
        <v>0</v>
      </c>
      <c r="AF231" s="247">
        <f>AF102-AF355</f>
        <v>0</v>
      </c>
      <c r="AG231" s="248"/>
      <c r="AH231" s="247"/>
      <c r="AI231" s="247">
        <f t="shared" ref="AI231:BN231" si="3609">AI102-AI355</f>
        <v>0</v>
      </c>
      <c r="AJ231" s="247">
        <f t="shared" si="3609"/>
        <v>0</v>
      </c>
      <c r="AK231" s="247">
        <f t="shared" si="3609"/>
        <v>0</v>
      </c>
      <c r="AL231" s="247">
        <f t="shared" si="3609"/>
        <v>-14.989629828194737</v>
      </c>
      <c r="AM231" s="247">
        <f t="shared" si="3609"/>
        <v>0</v>
      </c>
      <c r="AN231" s="247">
        <f t="shared" si="3609"/>
        <v>0</v>
      </c>
      <c r="AO231" s="247">
        <f t="shared" si="3609"/>
        <v>0</v>
      </c>
      <c r="AP231" s="247">
        <f t="shared" si="3609"/>
        <v>0</v>
      </c>
      <c r="AQ231" s="247">
        <f t="shared" si="3609"/>
        <v>0</v>
      </c>
      <c r="AR231" s="247">
        <f t="shared" si="3609"/>
        <v>0</v>
      </c>
      <c r="AS231" s="247">
        <f t="shared" si="3609"/>
        <v>0</v>
      </c>
      <c r="AT231" s="247">
        <f t="shared" si="3609"/>
        <v>0</v>
      </c>
      <c r="AU231" s="247">
        <f t="shared" si="3609"/>
        <v>0</v>
      </c>
      <c r="AV231" s="247">
        <f t="shared" si="3609"/>
        <v>0</v>
      </c>
      <c r="AW231" s="247">
        <f t="shared" si="3609"/>
        <v>0</v>
      </c>
      <c r="AX231" s="247">
        <f t="shared" si="3609"/>
        <v>0</v>
      </c>
      <c r="AY231" s="247">
        <f t="shared" si="3609"/>
        <v>0</v>
      </c>
      <c r="AZ231" s="247">
        <f t="shared" si="3609"/>
        <v>0</v>
      </c>
      <c r="BA231" s="247">
        <f t="shared" si="3609"/>
        <v>0</v>
      </c>
      <c r="BB231" s="247">
        <f t="shared" si="3609"/>
        <v>0</v>
      </c>
      <c r="BC231" s="247">
        <f t="shared" si="3609"/>
        <v>0</v>
      </c>
      <c r="BD231" s="247">
        <f t="shared" si="3609"/>
        <v>0</v>
      </c>
      <c r="BE231" s="247">
        <f t="shared" si="3609"/>
        <v>0</v>
      </c>
      <c r="BF231" s="247">
        <f t="shared" si="3609"/>
        <v>0</v>
      </c>
      <c r="BG231" s="247">
        <f t="shared" si="3609"/>
        <v>0</v>
      </c>
      <c r="BH231" s="247">
        <f t="shared" si="3609"/>
        <v>0</v>
      </c>
      <c r="BI231" s="247">
        <f t="shared" si="3609"/>
        <v>0</v>
      </c>
      <c r="BJ231" s="247">
        <f t="shared" si="3609"/>
        <v>0</v>
      </c>
      <c r="BK231" s="247">
        <f t="shared" si="3609"/>
        <v>0</v>
      </c>
      <c r="BL231" s="247">
        <f t="shared" si="3609"/>
        <v>0</v>
      </c>
      <c r="BM231" s="247">
        <f t="shared" si="3609"/>
        <v>0</v>
      </c>
      <c r="BN231" s="247">
        <f t="shared" si="3609"/>
        <v>0</v>
      </c>
      <c r="BO231" s="247">
        <f t="shared" ref="BO231:CV231" si="3610">BO102-BO355</f>
        <v>0</v>
      </c>
      <c r="BP231" s="247">
        <f t="shared" si="3610"/>
        <v>0</v>
      </c>
      <c r="BQ231" s="247">
        <f t="shared" si="3610"/>
        <v>0</v>
      </c>
      <c r="BR231" s="247">
        <f t="shared" si="3610"/>
        <v>0</v>
      </c>
      <c r="BS231" s="247">
        <f t="shared" si="3610"/>
        <v>0</v>
      </c>
      <c r="BT231" s="247">
        <f t="shared" si="3610"/>
        <v>0</v>
      </c>
      <c r="BU231" s="247">
        <f t="shared" si="3610"/>
        <v>0</v>
      </c>
      <c r="BV231" s="247">
        <f t="shared" si="3610"/>
        <v>0</v>
      </c>
      <c r="BW231" s="247">
        <f t="shared" si="3610"/>
        <v>0</v>
      </c>
      <c r="BX231" s="247">
        <f t="shared" si="3610"/>
        <v>0</v>
      </c>
      <c r="BY231" s="247">
        <f t="shared" si="3610"/>
        <v>0</v>
      </c>
      <c r="BZ231" s="247">
        <f t="shared" si="3610"/>
        <v>0</v>
      </c>
      <c r="CA231" s="247">
        <f t="shared" si="3610"/>
        <v>0</v>
      </c>
      <c r="CB231" s="247">
        <f t="shared" si="3610"/>
        <v>0</v>
      </c>
      <c r="CC231" s="247">
        <f t="shared" si="3610"/>
        <v>0</v>
      </c>
      <c r="CD231" s="247">
        <f t="shared" si="3610"/>
        <v>14.989629828194733</v>
      </c>
      <c r="CE231" s="247">
        <f t="shared" si="3610"/>
        <v>0</v>
      </c>
      <c r="CF231" s="247">
        <f t="shared" si="3610"/>
        <v>0</v>
      </c>
      <c r="CG231" s="247">
        <f t="shared" si="3610"/>
        <v>0</v>
      </c>
      <c r="CH231" s="247">
        <f t="shared" si="3610"/>
        <v>0</v>
      </c>
      <c r="CI231" s="247">
        <f t="shared" si="3610"/>
        <v>0</v>
      </c>
      <c r="CJ231" s="247">
        <f t="shared" si="3610"/>
        <v>0</v>
      </c>
      <c r="CK231" s="247">
        <f t="shared" si="3610"/>
        <v>0</v>
      </c>
      <c r="CL231" s="247">
        <f t="shared" si="3610"/>
        <v>0</v>
      </c>
      <c r="CM231" s="247">
        <f t="shared" si="3610"/>
        <v>0</v>
      </c>
      <c r="CN231" s="247">
        <f t="shared" si="3610"/>
        <v>0</v>
      </c>
      <c r="CO231" s="247">
        <f t="shared" si="3610"/>
        <v>0</v>
      </c>
      <c r="CP231" s="247">
        <f t="shared" si="3610"/>
        <v>0</v>
      </c>
      <c r="CQ231" s="247">
        <f t="shared" si="3610"/>
        <v>0</v>
      </c>
      <c r="CR231" s="247">
        <f t="shared" si="3610"/>
        <v>0</v>
      </c>
      <c r="CS231" s="247">
        <f t="shared" si="3610"/>
        <v>0</v>
      </c>
      <c r="CT231" s="247">
        <f t="shared" si="3610"/>
        <v>0</v>
      </c>
      <c r="CU231" s="247">
        <f t="shared" si="3610"/>
        <v>0</v>
      </c>
      <c r="CV231" s="247">
        <f t="shared" si="3610"/>
        <v>0</v>
      </c>
      <c r="CW231" s="247"/>
      <c r="CX231" s="247">
        <f>CX102-CX355</f>
        <v>0</v>
      </c>
      <c r="CY231" s="247">
        <f>CY102-CY355</f>
        <v>0</v>
      </c>
      <c r="CZ231" s="247">
        <f>CZ102-CZ355</f>
        <v>0</v>
      </c>
      <c r="DA231" s="247">
        <f>DA102-DA355</f>
        <v>0</v>
      </c>
      <c r="DB231" s="247">
        <f>DB102-DB355</f>
        <v>0</v>
      </c>
      <c r="DC231" s="247">
        <f>DC102-DC355</f>
        <v>0</v>
      </c>
      <c r="DD231" s="247"/>
      <c r="DE231" s="247">
        <f t="shared" ref="DE231:EG231" si="3611">DE102-DE355</f>
        <v>0</v>
      </c>
      <c r="DF231" s="247">
        <f t="shared" si="3611"/>
        <v>0</v>
      </c>
      <c r="DG231" s="247">
        <f t="shared" si="3611"/>
        <v>14.299999999999997</v>
      </c>
      <c r="DH231" s="247">
        <f t="shared" si="3611"/>
        <v>0</v>
      </c>
      <c r="DI231" s="247">
        <f t="shared" si="3611"/>
        <v>0</v>
      </c>
      <c r="DJ231" s="247">
        <f t="shared" si="3611"/>
        <v>0</v>
      </c>
      <c r="DK231" s="247">
        <f t="shared" si="3611"/>
        <v>0</v>
      </c>
      <c r="DL231" s="247">
        <f t="shared" si="3611"/>
        <v>0</v>
      </c>
      <c r="DM231" s="247">
        <f t="shared" si="3611"/>
        <v>0</v>
      </c>
      <c r="DN231" s="247">
        <f t="shared" si="3611"/>
        <v>0</v>
      </c>
      <c r="DO231" s="247">
        <f t="shared" si="3611"/>
        <v>0</v>
      </c>
      <c r="DP231" s="247">
        <f t="shared" si="3611"/>
        <v>0</v>
      </c>
      <c r="DQ231" s="247">
        <f t="shared" si="3611"/>
        <v>0</v>
      </c>
      <c r="DR231" s="247">
        <f t="shared" si="3611"/>
        <v>0</v>
      </c>
      <c r="DS231" s="247">
        <f t="shared" si="3611"/>
        <v>0</v>
      </c>
      <c r="DT231" s="247">
        <f t="shared" si="3611"/>
        <v>0</v>
      </c>
      <c r="DU231" s="247">
        <f t="shared" si="3611"/>
        <v>0</v>
      </c>
      <c r="DV231" s="247">
        <f t="shared" si="3611"/>
        <v>0</v>
      </c>
      <c r="DW231" s="247">
        <f t="shared" si="3611"/>
        <v>0</v>
      </c>
      <c r="DX231" s="247">
        <f t="shared" si="3611"/>
        <v>0</v>
      </c>
      <c r="DY231" s="247">
        <f t="shared" si="3611"/>
        <v>0</v>
      </c>
      <c r="DZ231" s="247">
        <f t="shared" si="3611"/>
        <v>0</v>
      </c>
      <c r="EA231" s="247">
        <f t="shared" si="3611"/>
        <v>0</v>
      </c>
      <c r="EB231" s="247">
        <f t="shared" si="3611"/>
        <v>0</v>
      </c>
      <c r="EC231" s="247">
        <f t="shared" si="3611"/>
        <v>0</v>
      </c>
      <c r="ED231" s="247">
        <f t="shared" si="3611"/>
        <v>0</v>
      </c>
      <c r="EE231" s="247">
        <f t="shared" si="3611"/>
        <v>0</v>
      </c>
      <c r="EF231" s="247">
        <f t="shared" si="3611"/>
        <v>0</v>
      </c>
      <c r="EG231" s="247">
        <f t="shared" si="3611"/>
        <v>0</v>
      </c>
    </row>
    <row r="232" spans="1:137" ht="11.25" customHeight="1">
      <c r="A232" s="157">
        <v>45108</v>
      </c>
      <c r="B232" s="247">
        <f>B103-B356</f>
        <v>0.4180000000005748</v>
      </c>
      <c r="C232" s="247">
        <f>C103-C356</f>
        <v>1.3933333333369546E-2</v>
      </c>
      <c r="D232" s="247">
        <f>D103-D356</f>
        <v>1.3933333333369546E-2</v>
      </c>
      <c r="E232" s="247">
        <f>E103-E356</f>
        <v>8.0398685154747795E-5</v>
      </c>
      <c r="F232" s="247">
        <f>F103-F356</f>
        <v>5.2359999999998763</v>
      </c>
      <c r="G232" s="247">
        <f>G103-G356</f>
        <v>6.3850000000002183</v>
      </c>
      <c r="H232" s="247">
        <f>H103-H356</f>
        <v>-1.1490000000000009</v>
      </c>
      <c r="I232" s="247">
        <f t="shared" ref="I232:AB232" si="3612">I103-I356</f>
        <v>5.5670000000000073</v>
      </c>
      <c r="J232" s="247">
        <f t="shared" si="3612"/>
        <v>5.3325196804571817E-2</v>
      </c>
      <c r="K232" s="247">
        <f t="shared" si="3612"/>
        <v>3.1058512192451815E-2</v>
      </c>
      <c r="L232" s="247">
        <f t="shared" si="3612"/>
        <v>3.1058512192451815E-2</v>
      </c>
      <c r="M232" s="247">
        <f t="shared" si="3612"/>
        <v>-2.0369999999999777</v>
      </c>
      <c r="N232" s="247">
        <f t="shared" si="3612"/>
        <v>4.4000000000004036E-2</v>
      </c>
      <c r="O232" s="247">
        <f t="shared" si="3612"/>
        <v>0.66800000000012005</v>
      </c>
      <c r="P232" s="247">
        <f t="shared" si="3612"/>
        <v>-3</v>
      </c>
      <c r="Q232" s="247">
        <f t="shared" si="3612"/>
        <v>-0.48599999999999</v>
      </c>
      <c r="R232" s="247">
        <f t="shared" si="3612"/>
        <v>-2.51400000000001</v>
      </c>
      <c r="S232" s="247">
        <f t="shared" si="3612"/>
        <v>0</v>
      </c>
      <c r="T232" s="247">
        <f t="shared" si="3612"/>
        <v>-9.3710000000000377</v>
      </c>
      <c r="U232" s="247">
        <f t="shared" si="3612"/>
        <v>-12.371000000000095</v>
      </c>
      <c r="V232" s="247">
        <f t="shared" si="3612"/>
        <v>-8.1015486656117464E-3</v>
      </c>
      <c r="W232" s="247">
        <f t="shared" si="3612"/>
        <v>2.7251564915342641E-3</v>
      </c>
      <c r="X232" s="247">
        <f t="shared" si="3612"/>
        <v>2.7251564915342641E-3</v>
      </c>
      <c r="Y232" s="247">
        <f t="shared" si="3612"/>
        <v>3.378366868398075E-2</v>
      </c>
      <c r="Z232" s="247">
        <f t="shared" si="3612"/>
        <v>-11.477999999999838</v>
      </c>
      <c r="AA232" s="247">
        <f t="shared" si="3612"/>
        <v>-11.113000000000056</v>
      </c>
      <c r="AB232" s="247">
        <f t="shared" si="3612"/>
        <v>-6.7061594052147955E-5</v>
      </c>
      <c r="AC232" s="247">
        <f>AC103-AC356</f>
        <v>0</v>
      </c>
      <c r="AD232" s="247">
        <f>AD103-AD356</f>
        <v>-8.4800000000000182</v>
      </c>
      <c r="AE232" s="247">
        <f>AE103-AE356</f>
        <v>-8.4800000000000182</v>
      </c>
      <c r="AF232" s="247">
        <f>AF103-AF356</f>
        <v>0</v>
      </c>
      <c r="AG232" s="248"/>
      <c r="AH232" s="247"/>
      <c r="AI232" s="247">
        <f t="shared" ref="AI232:BN232" si="3613">AI103-AI356</f>
        <v>0</v>
      </c>
      <c r="AJ232" s="247">
        <f t="shared" si="3613"/>
        <v>0</v>
      </c>
      <c r="AK232" s="247">
        <f t="shared" si="3613"/>
        <v>0</v>
      </c>
      <c r="AL232" s="247">
        <f t="shared" si="3613"/>
        <v>0</v>
      </c>
      <c r="AM232" s="247">
        <f t="shared" si="3613"/>
        <v>0</v>
      </c>
      <c r="AN232" s="247">
        <f t="shared" si="3613"/>
        <v>-5.3325196804571817E-2</v>
      </c>
      <c r="AO232" s="247">
        <f t="shared" si="3613"/>
        <v>0</v>
      </c>
      <c r="AP232" s="247">
        <f t="shared" si="3613"/>
        <v>0</v>
      </c>
      <c r="AQ232" s="247">
        <f t="shared" si="3613"/>
        <v>0</v>
      </c>
      <c r="AR232" s="247">
        <f t="shared" si="3613"/>
        <v>-2.7251564915342641E-3</v>
      </c>
      <c r="AS232" s="247">
        <f t="shared" si="3613"/>
        <v>0</v>
      </c>
      <c r="AT232" s="247">
        <f t="shared" si="3613"/>
        <v>0</v>
      </c>
      <c r="AU232" s="247">
        <f t="shared" si="3613"/>
        <v>0</v>
      </c>
      <c r="AV232" s="247">
        <f t="shared" si="3613"/>
        <v>0</v>
      </c>
      <c r="AW232" s="247">
        <f t="shared" si="3613"/>
        <v>0</v>
      </c>
      <c r="AX232" s="247">
        <f t="shared" si="3613"/>
        <v>0</v>
      </c>
      <c r="AY232" s="247">
        <f t="shared" si="3613"/>
        <v>-5.3325196804571817E-2</v>
      </c>
      <c r="AZ232" s="247">
        <f t="shared" si="3613"/>
        <v>0</v>
      </c>
      <c r="BA232" s="247">
        <f t="shared" si="3613"/>
        <v>0</v>
      </c>
      <c r="BB232" s="247">
        <f t="shared" si="3613"/>
        <v>0</v>
      </c>
      <c r="BC232" s="247">
        <f t="shared" si="3613"/>
        <v>-2.7251564915342641E-3</v>
      </c>
      <c r="BD232" s="247">
        <f t="shared" si="3613"/>
        <v>0</v>
      </c>
      <c r="BE232" s="247">
        <f t="shared" si="3613"/>
        <v>0</v>
      </c>
      <c r="BF232" s="247">
        <f t="shared" si="3613"/>
        <v>0</v>
      </c>
      <c r="BG232" s="247">
        <f t="shared" si="3613"/>
        <v>0</v>
      </c>
      <c r="BH232" s="247">
        <f t="shared" si="3613"/>
        <v>0</v>
      </c>
      <c r="BI232" s="247">
        <f t="shared" si="3613"/>
        <v>0</v>
      </c>
      <c r="BJ232" s="247">
        <f t="shared" si="3613"/>
        <v>-5.3325196804571817E-2</v>
      </c>
      <c r="BK232" s="247">
        <f t="shared" si="3613"/>
        <v>0</v>
      </c>
      <c r="BL232" s="247">
        <f t="shared" si="3613"/>
        <v>0</v>
      </c>
      <c r="BM232" s="247">
        <f t="shared" si="3613"/>
        <v>0</v>
      </c>
      <c r="BN232" s="247">
        <f t="shared" si="3613"/>
        <v>-2.7251564915342641E-3</v>
      </c>
      <c r="BO232" s="247">
        <f t="shared" ref="BO232:CV232" si="3614">BO103-BO356</f>
        <v>0</v>
      </c>
      <c r="BP232" s="247">
        <f t="shared" si="3614"/>
        <v>0.41800000000000637</v>
      </c>
      <c r="BQ232" s="247">
        <f t="shared" si="3614"/>
        <v>1.3933333333334019E-2</v>
      </c>
      <c r="BR232" s="247">
        <f t="shared" si="3614"/>
        <v>5.23599999999999</v>
      </c>
      <c r="BS232" s="247">
        <f t="shared" si="3614"/>
        <v>5.5670000000000002</v>
      </c>
      <c r="BT232" s="247">
        <f t="shared" si="3614"/>
        <v>0.33189551652083793</v>
      </c>
      <c r="BU232" s="247">
        <f t="shared" si="3614"/>
        <v>0.27857031971626611</v>
      </c>
      <c r="BV232" s="247">
        <f t="shared" si="3614"/>
        <v>0.66800000000000637</v>
      </c>
      <c r="BW232" s="247">
        <f t="shared" si="3614"/>
        <v>-0.48600000000001842</v>
      </c>
      <c r="BX232" s="247">
        <f t="shared" si="3614"/>
        <v>1.6979694875603357E-2</v>
      </c>
      <c r="BY232" s="247">
        <f t="shared" si="3614"/>
        <v>1.4254538384069093E-2</v>
      </c>
      <c r="BZ232" s="247">
        <f t="shared" si="3614"/>
        <v>0.34887521139643951</v>
      </c>
      <c r="CA232" s="247">
        <f t="shared" si="3614"/>
        <v>0</v>
      </c>
      <c r="CB232" s="247">
        <f t="shared" si="3614"/>
        <v>0</v>
      </c>
      <c r="CC232" s="247">
        <f t="shared" si="3614"/>
        <v>0</v>
      </c>
      <c r="CD232" s="247">
        <f t="shared" si="3614"/>
        <v>0</v>
      </c>
      <c r="CE232" s="247">
        <f t="shared" si="3614"/>
        <v>0</v>
      </c>
      <c r="CF232" s="247">
        <f t="shared" si="3614"/>
        <v>-5.3325196804571817E-2</v>
      </c>
      <c r="CG232" s="247">
        <f t="shared" si="3614"/>
        <v>0</v>
      </c>
      <c r="CH232" s="247">
        <f t="shared" si="3614"/>
        <v>0</v>
      </c>
      <c r="CI232" s="247">
        <f t="shared" si="3614"/>
        <v>0</v>
      </c>
      <c r="CJ232" s="247">
        <f t="shared" si="3614"/>
        <v>-2.7251564915342641E-3</v>
      </c>
      <c r="CK232" s="247">
        <f t="shared" si="3614"/>
        <v>0</v>
      </c>
      <c r="CL232" s="247">
        <f t="shared" si="3614"/>
        <v>0</v>
      </c>
      <c r="CM232" s="247">
        <f t="shared" si="3614"/>
        <v>0</v>
      </c>
      <c r="CN232" s="247">
        <f t="shared" si="3614"/>
        <v>0</v>
      </c>
      <c r="CO232" s="247">
        <f t="shared" si="3614"/>
        <v>0</v>
      </c>
      <c r="CP232" s="247">
        <f t="shared" si="3614"/>
        <v>0</v>
      </c>
      <c r="CQ232" s="247">
        <f t="shared" si="3614"/>
        <v>-5.3325196804571817E-2</v>
      </c>
      <c r="CR232" s="247">
        <f t="shared" si="3614"/>
        <v>0</v>
      </c>
      <c r="CS232" s="247">
        <f t="shared" si="3614"/>
        <v>0</v>
      </c>
      <c r="CT232" s="247">
        <f t="shared" si="3614"/>
        <v>0</v>
      </c>
      <c r="CU232" s="247">
        <f t="shared" si="3614"/>
        <v>-2.7251564915342641E-3</v>
      </c>
      <c r="CV232" s="247">
        <f t="shared" si="3614"/>
        <v>0</v>
      </c>
      <c r="CW232" s="247"/>
      <c r="CX232" s="247">
        <f>CX103-CX356</f>
        <v>0</v>
      </c>
      <c r="CY232" s="247">
        <f>CY103-CY356</f>
        <v>0</v>
      </c>
      <c r="CZ232" s="247">
        <f>CZ103-CZ356</f>
        <v>0</v>
      </c>
      <c r="DA232" s="247">
        <f>DA103-DA356</f>
        <v>0</v>
      </c>
      <c r="DB232" s="247">
        <f>DB103-DB356</f>
        <v>0</v>
      </c>
      <c r="DC232" s="247">
        <f>DC103-DC356</f>
        <v>0</v>
      </c>
      <c r="DD232" s="247"/>
      <c r="DE232" s="247">
        <f t="shared" ref="DE232:EG232" si="3615">DE103-DE356</f>
        <v>17.173000000000002</v>
      </c>
      <c r="DF232" s="247">
        <f t="shared" si="3615"/>
        <v>9.7659999999999911</v>
      </c>
      <c r="DG232" s="247">
        <f t="shared" si="3615"/>
        <v>1.9239999999999995</v>
      </c>
      <c r="DH232" s="247">
        <f t="shared" si="3615"/>
        <v>-6.4892089075474502E-4</v>
      </c>
      <c r="DI232" s="247">
        <f t="shared" si="3615"/>
        <v>12.97999999999999</v>
      </c>
      <c r="DJ232" s="247">
        <f t="shared" si="3615"/>
        <v>-1.1233850996275052E-3</v>
      </c>
      <c r="DK232" s="247">
        <f t="shared" si="3615"/>
        <v>6.9339999999999975</v>
      </c>
      <c r="DL232" s="247">
        <f t="shared" si="3615"/>
        <v>7.085000000000008</v>
      </c>
      <c r="DM232" s="247">
        <f t="shared" si="3615"/>
        <v>-2.1935529377293816E-3</v>
      </c>
      <c r="DN232" s="247">
        <f t="shared" si="3615"/>
        <v>7.6129999999999995</v>
      </c>
      <c r="DO232" s="247">
        <f t="shared" si="3615"/>
        <v>-0.91699999999999449</v>
      </c>
      <c r="DP232" s="247">
        <f t="shared" si="3615"/>
        <v>1.3340000000000032</v>
      </c>
      <c r="DQ232" s="247">
        <f t="shared" si="3615"/>
        <v>0.41700000000003001</v>
      </c>
      <c r="DR232" s="247">
        <f t="shared" si="3615"/>
        <v>-1.7723059903822502E-3</v>
      </c>
      <c r="DS232" s="247">
        <f t="shared" si="3615"/>
        <v>-4.4530274945266957E-2</v>
      </c>
      <c r="DT232" s="247">
        <f t="shared" si="3615"/>
        <v>0</v>
      </c>
      <c r="DU232" s="247">
        <f t="shared" si="3615"/>
        <v>0</v>
      </c>
      <c r="DV232" s="247">
        <f t="shared" si="3615"/>
        <v>0</v>
      </c>
      <c r="DW232" s="247">
        <f t="shared" si="3615"/>
        <v>0</v>
      </c>
      <c r="DX232" s="247">
        <f t="shared" si="3615"/>
        <v>0</v>
      </c>
      <c r="DY232" s="247">
        <f t="shared" si="3615"/>
        <v>0</v>
      </c>
      <c r="DZ232" s="247">
        <f t="shared" si="3615"/>
        <v>0</v>
      </c>
      <c r="EA232" s="247">
        <f t="shared" si="3615"/>
        <v>0</v>
      </c>
      <c r="EB232" s="247">
        <f t="shared" si="3615"/>
        <v>0</v>
      </c>
      <c r="EC232" s="247">
        <f t="shared" si="3615"/>
        <v>0</v>
      </c>
      <c r="ED232" s="247">
        <f t="shared" si="3615"/>
        <v>0</v>
      </c>
      <c r="EE232" s="247">
        <f t="shared" si="3615"/>
        <v>0</v>
      </c>
      <c r="EF232" s="247">
        <f t="shared" si="3615"/>
        <v>0</v>
      </c>
      <c r="EG232" s="247">
        <f t="shared" si="3615"/>
        <v>0</v>
      </c>
    </row>
    <row r="233" spans="1:137" ht="11.25" customHeight="1">
      <c r="A233" s="157">
        <v>45139</v>
      </c>
      <c r="B233" s="247">
        <f>B104-B357</f>
        <v>0</v>
      </c>
      <c r="C233" s="247">
        <f>C104-C357</f>
        <v>0</v>
      </c>
      <c r="D233" s="247">
        <f>D104-D357</f>
        <v>0</v>
      </c>
      <c r="E233" s="247">
        <f>E104-E357</f>
        <v>0</v>
      </c>
      <c r="F233" s="247">
        <f>F104-F357</f>
        <v>0</v>
      </c>
      <c r="G233" s="247">
        <f>G104-G357</f>
        <v>0</v>
      </c>
      <c r="H233" s="247">
        <f>H104-H357</f>
        <v>0</v>
      </c>
      <c r="I233" s="247">
        <f t="shared" ref="I233:AB233" si="3616">I104-I357</f>
        <v>0</v>
      </c>
      <c r="J233" s="247">
        <f t="shared" si="3616"/>
        <v>0</v>
      </c>
      <c r="K233" s="247">
        <f t="shared" si="3616"/>
        <v>0</v>
      </c>
      <c r="L233" s="247">
        <f t="shared" si="3616"/>
        <v>0</v>
      </c>
      <c r="M233" s="247">
        <f t="shared" si="3616"/>
        <v>0</v>
      </c>
      <c r="N233" s="247">
        <f t="shared" si="3616"/>
        <v>0</v>
      </c>
      <c r="O233" s="247">
        <f t="shared" si="3616"/>
        <v>0</v>
      </c>
      <c r="P233" s="247">
        <f t="shared" si="3616"/>
        <v>0</v>
      </c>
      <c r="Q233" s="247">
        <f t="shared" si="3616"/>
        <v>0</v>
      </c>
      <c r="R233" s="247">
        <f t="shared" si="3616"/>
        <v>0</v>
      </c>
      <c r="S233" s="247">
        <f t="shared" si="3616"/>
        <v>0</v>
      </c>
      <c r="T233" s="247">
        <f t="shared" si="3616"/>
        <v>0</v>
      </c>
      <c r="U233" s="247">
        <f t="shared" si="3616"/>
        <v>0</v>
      </c>
      <c r="V233" s="247">
        <f t="shared" si="3616"/>
        <v>0</v>
      </c>
      <c r="W233" s="247">
        <f t="shared" si="3616"/>
        <v>0</v>
      </c>
      <c r="X233" s="247">
        <f t="shared" si="3616"/>
        <v>0</v>
      </c>
      <c r="Y233" s="247">
        <f t="shared" si="3616"/>
        <v>0</v>
      </c>
      <c r="Z233" s="247">
        <f t="shared" si="3616"/>
        <v>0</v>
      </c>
      <c r="AA233" s="247">
        <f t="shared" si="3616"/>
        <v>0</v>
      </c>
      <c r="AB233" s="247">
        <f t="shared" si="3616"/>
        <v>0</v>
      </c>
      <c r="AC233" s="247">
        <f>AC104-AC357</f>
        <v>0</v>
      </c>
      <c r="AD233" s="247">
        <f>AD104-AD357</f>
        <v>0</v>
      </c>
      <c r="AE233" s="247">
        <f>AE104-AE357</f>
        <v>0</v>
      </c>
      <c r="AF233" s="247">
        <f>AF104-AF357</f>
        <v>0</v>
      </c>
      <c r="AG233" s="248"/>
      <c r="AH233" s="247"/>
      <c r="AI233" s="247">
        <f t="shared" ref="AI233:BN233" si="3617">AI104-AI357</f>
        <v>580.85599999999999</v>
      </c>
      <c r="AJ233" s="247">
        <f t="shared" si="3617"/>
        <v>19.361866666666668</v>
      </c>
      <c r="AK233" s="247">
        <f t="shared" si="3617"/>
        <v>426.17200000000003</v>
      </c>
      <c r="AL233" s="247">
        <f t="shared" si="3617"/>
        <v>41.201999999999998</v>
      </c>
      <c r="AM233" s="247">
        <f t="shared" si="3617"/>
        <v>44.021788532786097</v>
      </c>
      <c r="AN233" s="247">
        <f t="shared" si="3617"/>
        <v>-0.55999364308823374</v>
      </c>
      <c r="AO233" s="247">
        <f t="shared" si="3617"/>
        <v>240.62799999999999</v>
      </c>
      <c r="AP233" s="247">
        <f t="shared" si="3617"/>
        <v>109.477</v>
      </c>
      <c r="AQ233" s="247">
        <f t="shared" si="3617"/>
        <v>12.427933945762804</v>
      </c>
      <c r="AR233" s="247">
        <f t="shared" si="3617"/>
        <v>0.50956325775699796</v>
      </c>
      <c r="AS233" s="247">
        <f t="shared" si="3617"/>
        <v>56.4497224785489</v>
      </c>
      <c r="AT233" s="247">
        <f t="shared" si="3617"/>
        <v>1042.1120000000001</v>
      </c>
      <c r="AU233" s="247">
        <f t="shared" si="3617"/>
        <v>34.737066666666671</v>
      </c>
      <c r="AV233" s="247">
        <f t="shared" si="3617"/>
        <v>776.90200000000004</v>
      </c>
      <c r="AW233" s="247">
        <f t="shared" si="3617"/>
        <v>42.62</v>
      </c>
      <c r="AX233" s="247">
        <f t="shared" si="3617"/>
        <v>44.730432045691821</v>
      </c>
      <c r="AY233" s="247">
        <f t="shared" si="3617"/>
        <v>0.14864986981748984</v>
      </c>
      <c r="AZ233" s="247">
        <f t="shared" si="3617"/>
        <v>412.262</v>
      </c>
      <c r="BA233" s="247">
        <f t="shared" si="3617"/>
        <v>87.978999999999999</v>
      </c>
      <c r="BB233" s="247">
        <f t="shared" si="3617"/>
        <v>11.868071761960325</v>
      </c>
      <c r="BC233" s="247">
        <f t="shared" si="3617"/>
        <v>-5.0298926045481807E-2</v>
      </c>
      <c r="BD233" s="247">
        <f t="shared" si="3617"/>
        <v>56.598503807652143</v>
      </c>
      <c r="BE233" s="247">
        <f t="shared" si="3617"/>
        <v>1087.1959999999999</v>
      </c>
      <c r="BF233" s="247">
        <f t="shared" si="3617"/>
        <v>36.239866666666664</v>
      </c>
      <c r="BG233" s="247">
        <f t="shared" si="3617"/>
        <v>803.24400000000003</v>
      </c>
      <c r="BH233" s="247">
        <f t="shared" si="3617"/>
        <v>86.194999999999993</v>
      </c>
      <c r="BI233" s="247">
        <f t="shared" si="3617"/>
        <v>44.32930216814632</v>
      </c>
      <c r="BJ233" s="247">
        <f t="shared" si="3617"/>
        <v>-0.25248000772801049</v>
      </c>
      <c r="BK233" s="247">
        <f t="shared" si="3617"/>
        <v>427.89400000000001</v>
      </c>
      <c r="BL233" s="247">
        <f t="shared" si="3617"/>
        <v>202.148</v>
      </c>
      <c r="BM233" s="247">
        <f t="shared" si="3617"/>
        <v>11.80727302160788</v>
      </c>
      <c r="BN233" s="247">
        <f t="shared" si="3617"/>
        <v>-0.11109766639792618</v>
      </c>
      <c r="BO233" s="247">
        <f t="shared" ref="BO233:CV233" si="3618">BO104-BO357</f>
        <v>56.136575189754197</v>
      </c>
      <c r="BP233" s="247">
        <f t="shared" si="3618"/>
        <v>867.41899999999998</v>
      </c>
      <c r="BQ233" s="247">
        <f t="shared" si="3618"/>
        <v>28.913966666666667</v>
      </c>
      <c r="BR233" s="247">
        <f t="shared" si="3618"/>
        <v>651.30499999999995</v>
      </c>
      <c r="BS233" s="247">
        <f t="shared" si="3618"/>
        <v>31.835999999999999</v>
      </c>
      <c r="BT233" s="247">
        <f t="shared" si="3618"/>
        <v>45.051238213596882</v>
      </c>
      <c r="BU233" s="247">
        <f t="shared" si="3618"/>
        <v>0.4694560377225514</v>
      </c>
      <c r="BV233" s="247">
        <f t="shared" si="3618"/>
        <v>342.05599999999998</v>
      </c>
      <c r="BW233" s="247">
        <f t="shared" si="3618"/>
        <v>161.84200000000001</v>
      </c>
      <c r="BX233" s="247">
        <f t="shared" si="3618"/>
        <v>11.830130536684116</v>
      </c>
      <c r="BY233" s="247">
        <f t="shared" si="3618"/>
        <v>-8.8240151321690163E-2</v>
      </c>
      <c r="BZ233" s="247">
        <f t="shared" si="3618"/>
        <v>56.881368750280998</v>
      </c>
      <c r="CA233" s="247">
        <f t="shared" si="3618"/>
        <v>643.98</v>
      </c>
      <c r="CB233" s="247">
        <f t="shared" si="3618"/>
        <v>21.466000000000001</v>
      </c>
      <c r="CC233" s="247">
        <f t="shared" si="3618"/>
        <v>474.34500000000003</v>
      </c>
      <c r="CD233" s="247">
        <f t="shared" si="3618"/>
        <v>35.776000000000003</v>
      </c>
      <c r="CE233" s="247">
        <f t="shared" si="3618"/>
        <v>44.195006056088701</v>
      </c>
      <c r="CF233" s="247">
        <f t="shared" si="3618"/>
        <v>-0.38677611978562965</v>
      </c>
      <c r="CG233" s="247">
        <f t="shared" si="3618"/>
        <v>245.346</v>
      </c>
      <c r="CH233" s="247">
        <f t="shared" si="3618"/>
        <v>56.195999999999998</v>
      </c>
      <c r="CI233" s="247">
        <f t="shared" si="3618"/>
        <v>11.42951644461008</v>
      </c>
      <c r="CJ233" s="247">
        <f t="shared" si="3618"/>
        <v>-0.48885424339572658</v>
      </c>
      <c r="CK233" s="247">
        <f t="shared" si="3618"/>
        <v>55.624522500698781</v>
      </c>
      <c r="CL233" s="247">
        <f t="shared" si="3618"/>
        <v>848.30700000000002</v>
      </c>
      <c r="CM233" s="247">
        <f t="shared" si="3618"/>
        <v>28.276900000000001</v>
      </c>
      <c r="CN233" s="247">
        <f t="shared" si="3618"/>
        <v>635.096</v>
      </c>
      <c r="CO233" s="247">
        <f t="shared" si="3618"/>
        <v>42.706000000000003</v>
      </c>
      <c r="CP233" s="247">
        <f t="shared" si="3618"/>
        <v>44.919775505801553</v>
      </c>
      <c r="CQ233" s="247">
        <f t="shared" si="3618"/>
        <v>0.33799332992722242</v>
      </c>
      <c r="CR233" s="247">
        <f t="shared" si="3618"/>
        <v>345.96699999999998</v>
      </c>
      <c r="CS233" s="247">
        <f t="shared" si="3618"/>
        <v>142.285</v>
      </c>
      <c r="CT233" s="247">
        <f t="shared" si="3618"/>
        <v>12.234969179789863</v>
      </c>
      <c r="CU233" s="247">
        <f t="shared" si="3618"/>
        <v>0.31659849178405608</v>
      </c>
      <c r="CV233" s="247">
        <f t="shared" si="3618"/>
        <v>57.154744685591417</v>
      </c>
      <c r="CW233" s="247"/>
      <c r="CX233" s="247">
        <f>CX104-CX357</f>
        <v>0</v>
      </c>
      <c r="CY233" s="247">
        <f>CY104-CY357</f>
        <v>0</v>
      </c>
      <c r="CZ233" s="247">
        <f>CZ104-CZ357</f>
        <v>0</v>
      </c>
      <c r="DA233" s="247">
        <f>DA104-DA357</f>
        <v>0</v>
      </c>
      <c r="DB233" s="247">
        <f>DB104-DB357</f>
        <v>0</v>
      </c>
      <c r="DC233" s="247">
        <f>DC104-DC357</f>
        <v>0</v>
      </c>
      <c r="DD233" s="247"/>
      <c r="DE233" s="247">
        <f t="shared" ref="DE233:EG233" si="3619">DE104-DE357</f>
        <v>190.42</v>
      </c>
      <c r="DF233" s="247">
        <f t="shared" si="3619"/>
        <v>111.691</v>
      </c>
      <c r="DG233" s="247">
        <f t="shared" si="3619"/>
        <v>57.862000000000002</v>
      </c>
      <c r="DH233" s="247">
        <f t="shared" si="3619"/>
        <v>0.58655078248083192</v>
      </c>
      <c r="DI233" s="247">
        <f t="shared" si="3619"/>
        <v>154.31800000000001</v>
      </c>
      <c r="DJ233" s="247">
        <f t="shared" si="3619"/>
        <v>0.40520428526415297</v>
      </c>
      <c r="DK233" s="247">
        <f t="shared" si="3619"/>
        <v>160.571</v>
      </c>
      <c r="DL233" s="247">
        <f t="shared" si="3619"/>
        <v>155.251</v>
      </c>
      <c r="DM233" s="247">
        <f t="shared" si="3619"/>
        <v>3.3131761027831885E-2</v>
      </c>
      <c r="DN233" s="247">
        <f t="shared" si="3619"/>
        <v>169.92599999999999</v>
      </c>
      <c r="DO233" s="247">
        <f t="shared" si="3619"/>
        <v>44.484000000000002</v>
      </c>
      <c r="DP233" s="247">
        <f t="shared" si="3619"/>
        <v>91.947000000000003</v>
      </c>
      <c r="DQ233" s="247">
        <f t="shared" si="3619"/>
        <v>136.43100000000001</v>
      </c>
      <c r="DR233" s="247">
        <f t="shared" si="3619"/>
        <v>0.9917550677449849</v>
      </c>
      <c r="DS233" s="247">
        <f t="shared" si="3619"/>
        <v>1.0405202244715457</v>
      </c>
      <c r="DT233" s="247">
        <f t="shared" si="3619"/>
        <v>114.845</v>
      </c>
      <c r="DU233" s="247">
        <f t="shared" si="3619"/>
        <v>52.982999999999997</v>
      </c>
      <c r="DV233" s="247">
        <f t="shared" si="3619"/>
        <v>35.774999999999999</v>
      </c>
      <c r="DW233" s="247">
        <f t="shared" si="3619"/>
        <v>0.46134355000217681</v>
      </c>
      <c r="DX233" s="247">
        <f t="shared" si="3619"/>
        <v>26.651</v>
      </c>
      <c r="DY233" s="247">
        <f t="shared" si="3619"/>
        <v>0.11603030171100179</v>
      </c>
      <c r="DZ233" s="247">
        <f t="shared" si="3619"/>
        <v>30.096</v>
      </c>
      <c r="EA233" s="247">
        <f t="shared" si="3619"/>
        <v>29.401</v>
      </c>
      <c r="EB233" s="247">
        <f t="shared" si="3619"/>
        <v>2.3092769803296109E-2</v>
      </c>
      <c r="EC233" s="247">
        <f t="shared" si="3619"/>
        <v>29.774000000000001</v>
      </c>
      <c r="ED233" s="247">
        <f t="shared" si="3619"/>
        <v>27.5</v>
      </c>
      <c r="EE233" s="247">
        <f t="shared" si="3619"/>
        <v>25.25</v>
      </c>
      <c r="EF233" s="247">
        <f t="shared" si="3619"/>
        <v>52.75</v>
      </c>
      <c r="EG233" s="247">
        <f t="shared" si="3619"/>
        <v>0.57737385171317857</v>
      </c>
    </row>
    <row r="234" spans="1:137" ht="11.25" customHeight="1">
      <c r="A234" s="157">
        <v>45170</v>
      </c>
      <c r="B234" s="247">
        <f>B105-B358</f>
        <v>0</v>
      </c>
      <c r="C234" s="247">
        <f>C105-C358</f>
        <v>0</v>
      </c>
      <c r="D234" s="247">
        <f>D105-D358</f>
        <v>0</v>
      </c>
      <c r="E234" s="247">
        <f>E105-E358</f>
        <v>0</v>
      </c>
      <c r="F234" s="247">
        <f>F105-F358</f>
        <v>0</v>
      </c>
      <c r="G234" s="247">
        <f>G105-G358</f>
        <v>0</v>
      </c>
      <c r="H234" s="247">
        <f>H105-H358</f>
        <v>0</v>
      </c>
      <c r="I234" s="247">
        <f t="shared" ref="I234:AB234" si="3620">I105-I358</f>
        <v>0</v>
      </c>
      <c r="J234" s="247">
        <f t="shared" si="3620"/>
        <v>0</v>
      </c>
      <c r="K234" s="247">
        <f t="shared" si="3620"/>
        <v>0</v>
      </c>
      <c r="L234" s="247">
        <f t="shared" si="3620"/>
        <v>0</v>
      </c>
      <c r="M234" s="247">
        <f t="shared" si="3620"/>
        <v>0</v>
      </c>
      <c r="N234" s="247">
        <f t="shared" si="3620"/>
        <v>0</v>
      </c>
      <c r="O234" s="247">
        <f t="shared" si="3620"/>
        <v>0</v>
      </c>
      <c r="P234" s="247">
        <f t="shared" si="3620"/>
        <v>12.158999999999878</v>
      </c>
      <c r="Q234" s="247">
        <f t="shared" si="3620"/>
        <v>0</v>
      </c>
      <c r="R234" s="247">
        <f t="shared" si="3620"/>
        <v>12.158999999999992</v>
      </c>
      <c r="S234" s="247">
        <f t="shared" si="3620"/>
        <v>0</v>
      </c>
      <c r="T234" s="247">
        <f t="shared" si="3620"/>
        <v>-7.3229999999999791</v>
      </c>
      <c r="U234" s="247">
        <f t="shared" si="3620"/>
        <v>4.8360000000000127</v>
      </c>
      <c r="V234" s="247">
        <f t="shared" si="3620"/>
        <v>4.366051332701959E-3</v>
      </c>
      <c r="W234" s="247">
        <f t="shared" si="3620"/>
        <v>0</v>
      </c>
      <c r="X234" s="247">
        <f t="shared" si="3620"/>
        <v>0</v>
      </c>
      <c r="Y234" s="247">
        <f t="shared" si="3620"/>
        <v>0</v>
      </c>
      <c r="Z234" s="247">
        <f t="shared" si="3620"/>
        <v>-41.125999999999976</v>
      </c>
      <c r="AA234" s="247">
        <f t="shared" si="3620"/>
        <v>-39.949000000000069</v>
      </c>
      <c r="AB234" s="247">
        <f t="shared" si="3620"/>
        <v>-1.9100290210232254E-4</v>
      </c>
      <c r="AC234" s="247">
        <f>AC105-AC358</f>
        <v>0</v>
      </c>
      <c r="AD234" s="247">
        <f>AD105-AD358</f>
        <v>-14.536000000000058</v>
      </c>
      <c r="AE234" s="247">
        <f>AE105-AE358</f>
        <v>-14.536000000000058</v>
      </c>
      <c r="AF234" s="247">
        <f>AF105-AF358</f>
        <v>0</v>
      </c>
      <c r="AG234" s="248"/>
      <c r="AH234" s="247"/>
      <c r="AI234" s="247">
        <f t="shared" ref="AI234:BN234" si="3621">AI105-AI358</f>
        <v>500.03800000000001</v>
      </c>
      <c r="AJ234" s="247">
        <f t="shared" si="3621"/>
        <v>16.667933333333334</v>
      </c>
      <c r="AK234" s="247">
        <f t="shared" si="3621"/>
        <v>365.86500000000001</v>
      </c>
      <c r="AL234" s="247">
        <f t="shared" si="3621"/>
        <v>66.427999999999997</v>
      </c>
      <c r="AM234" s="247">
        <f t="shared" si="3621"/>
        <v>43.900463564769076</v>
      </c>
      <c r="AN234" s="247">
        <f t="shared" si="3621"/>
        <v>-8.6546754458851183E-2</v>
      </c>
      <c r="AO234" s="247">
        <f t="shared" si="3621"/>
        <v>203.79300000000001</v>
      </c>
      <c r="AP234" s="247">
        <f t="shared" si="3621"/>
        <v>89.17</v>
      </c>
      <c r="AQ234" s="247">
        <f t="shared" si="3621"/>
        <v>12.226650774541135</v>
      </c>
      <c r="AR234" s="247">
        <f t="shared" si="3621"/>
        <v>0.34165362313860648</v>
      </c>
      <c r="AS234" s="247">
        <f t="shared" si="3621"/>
        <v>56.127114339310211</v>
      </c>
      <c r="AT234" s="247">
        <f t="shared" si="3621"/>
        <v>1150.596</v>
      </c>
      <c r="AU234" s="247">
        <f t="shared" si="3621"/>
        <v>38.353200000000001</v>
      </c>
      <c r="AV234" s="247">
        <f t="shared" si="3621"/>
        <v>844.96299999999997</v>
      </c>
      <c r="AW234" s="247">
        <f t="shared" si="3621"/>
        <v>64.796000000000006</v>
      </c>
      <c r="AX234" s="247">
        <f t="shared" si="3621"/>
        <v>44.062190377856339</v>
      </c>
      <c r="AY234" s="247">
        <f t="shared" si="3621"/>
        <v>7.5180058628411928E-2</v>
      </c>
      <c r="AZ234" s="247">
        <f t="shared" si="3621"/>
        <v>458.28199999999998</v>
      </c>
      <c r="BA234" s="247">
        <f t="shared" si="3621"/>
        <v>78.733999999999995</v>
      </c>
      <c r="BB234" s="247">
        <f t="shared" si="3621"/>
        <v>11.948989914791985</v>
      </c>
      <c r="BC234" s="247">
        <f t="shared" si="3621"/>
        <v>6.3992763389457252E-2</v>
      </c>
      <c r="BD234" s="247">
        <f t="shared" si="3621"/>
        <v>56.011180292648326</v>
      </c>
      <c r="BE234" s="247">
        <f t="shared" si="3621"/>
        <v>1170.105</v>
      </c>
      <c r="BF234" s="247">
        <f t="shared" si="3621"/>
        <v>39.003500000000003</v>
      </c>
      <c r="BG234" s="247">
        <f t="shared" si="3621"/>
        <v>847.23599999999999</v>
      </c>
      <c r="BH234" s="247">
        <f t="shared" si="3621"/>
        <v>62.503999999999998</v>
      </c>
      <c r="BI234" s="247">
        <f t="shared" si="3621"/>
        <v>43.444101170407784</v>
      </c>
      <c r="BJ234" s="247">
        <f t="shared" si="3621"/>
        <v>-0.54290914882014363</v>
      </c>
      <c r="BK234" s="247">
        <f t="shared" si="3621"/>
        <v>462.44499999999999</v>
      </c>
      <c r="BL234" s="247">
        <f t="shared" si="3621"/>
        <v>194.304</v>
      </c>
      <c r="BM234" s="247">
        <f t="shared" si="3621"/>
        <v>11.85650005768713</v>
      </c>
      <c r="BN234" s="247">
        <f t="shared" si="3621"/>
        <v>-2.8497093715397881E-2</v>
      </c>
      <c r="BO234" s="247">
        <f t="shared" ref="BO234:CV234" si="3622">BO105-BO358</f>
        <v>55.300601228094912</v>
      </c>
      <c r="BP234" s="247">
        <f t="shared" si="3622"/>
        <v>935.68299999999999</v>
      </c>
      <c r="BQ234" s="247">
        <f t="shared" si="3622"/>
        <v>31.189433333333334</v>
      </c>
      <c r="BR234" s="247">
        <f t="shared" si="3622"/>
        <v>694.39499999999998</v>
      </c>
      <c r="BS234" s="247">
        <f t="shared" si="3622"/>
        <v>40.262999999999998</v>
      </c>
      <c r="BT234" s="247">
        <f t="shared" si="3622"/>
        <v>44.527580387802274</v>
      </c>
      <c r="BU234" s="247">
        <f t="shared" si="3622"/>
        <v>0.54057006857434686</v>
      </c>
      <c r="BV234" s="247">
        <f t="shared" si="3622"/>
        <v>360.54700000000003</v>
      </c>
      <c r="BW234" s="247">
        <f t="shared" si="3622"/>
        <v>153.435</v>
      </c>
      <c r="BX234" s="247">
        <f t="shared" si="3622"/>
        <v>11.559908644273756</v>
      </c>
      <c r="BY234" s="247">
        <f t="shared" si="3622"/>
        <v>-0.32508850712877191</v>
      </c>
      <c r="BZ234" s="247">
        <f t="shared" si="3622"/>
        <v>56.087489032076029</v>
      </c>
      <c r="CA234" s="247">
        <f t="shared" si="3622"/>
        <v>618.49099999999999</v>
      </c>
      <c r="CB234" s="247">
        <f t="shared" si="3622"/>
        <v>20.616366666666668</v>
      </c>
      <c r="CC234" s="247">
        <f t="shared" si="3622"/>
        <v>451.73</v>
      </c>
      <c r="CD234" s="247">
        <f t="shared" si="3622"/>
        <v>56.154000000000003</v>
      </c>
      <c r="CE234" s="247">
        <f t="shared" si="3622"/>
        <v>43.822464676123012</v>
      </c>
      <c r="CF234" s="247">
        <f t="shared" si="3622"/>
        <v>-0.16454564310491548</v>
      </c>
      <c r="CG234" s="247">
        <f t="shared" si="3622"/>
        <v>241.62700000000001</v>
      </c>
      <c r="CH234" s="247">
        <f t="shared" si="3622"/>
        <v>69.668999999999997</v>
      </c>
      <c r="CI234" s="247">
        <f t="shared" si="3622"/>
        <v>11.720154375730608</v>
      </c>
      <c r="CJ234" s="247">
        <f t="shared" si="3622"/>
        <v>-0.16484277567191974</v>
      </c>
      <c r="CK234" s="247">
        <f t="shared" si="3622"/>
        <v>55.54261905185362</v>
      </c>
      <c r="CL234" s="247">
        <f t="shared" si="3622"/>
        <v>868.01800000000003</v>
      </c>
      <c r="CM234" s="247">
        <f t="shared" si="3622"/>
        <v>28.933933333333336</v>
      </c>
      <c r="CN234" s="247">
        <f t="shared" si="3622"/>
        <v>639.49199999999996</v>
      </c>
      <c r="CO234" s="247">
        <f t="shared" si="3622"/>
        <v>37.429000000000002</v>
      </c>
      <c r="CP234" s="247">
        <f t="shared" si="3622"/>
        <v>44.20359946452723</v>
      </c>
      <c r="CQ234" s="247">
        <f t="shared" si="3622"/>
        <v>0.21658914529930229</v>
      </c>
      <c r="CR234" s="247">
        <f t="shared" si="3622"/>
        <v>350.38</v>
      </c>
      <c r="CS234" s="247">
        <f t="shared" si="3622"/>
        <v>131.035</v>
      </c>
      <c r="CT234" s="247">
        <f t="shared" si="3622"/>
        <v>12.109656712187995</v>
      </c>
      <c r="CU234" s="247">
        <f t="shared" si="3622"/>
        <v>0.22465956078546689</v>
      </c>
      <c r="CV234" s="247">
        <f t="shared" si="3622"/>
        <v>56.313256176715228</v>
      </c>
      <c r="CW234" s="247"/>
      <c r="CX234" s="247">
        <f>CX105-CX358</f>
        <v>0</v>
      </c>
      <c r="CY234" s="247">
        <f>CY105-CY358</f>
        <v>0</v>
      </c>
      <c r="CZ234" s="247">
        <f>CZ105-CZ358</f>
        <v>0</v>
      </c>
      <c r="DA234" s="247">
        <f>DA105-DA358</f>
        <v>0</v>
      </c>
      <c r="DB234" s="247">
        <f>DB105-DB358</f>
        <v>0</v>
      </c>
      <c r="DC234" s="247">
        <f>DC105-DC358</f>
        <v>0</v>
      </c>
      <c r="DD234" s="247"/>
      <c r="DE234" s="247">
        <f t="shared" ref="DE234:EG234" si="3623">DE105-DE358</f>
        <v>209.43</v>
      </c>
      <c r="DF234" s="247">
        <f t="shared" si="3623"/>
        <v>120.41200000000001</v>
      </c>
      <c r="DG234" s="247">
        <f t="shared" si="3623"/>
        <v>59.127000000000002</v>
      </c>
      <c r="DH234" s="247">
        <f t="shared" si="3623"/>
        <v>0.57495105763262189</v>
      </c>
      <c r="DI234" s="247">
        <f t="shared" si="3623"/>
        <v>166.32499999999999</v>
      </c>
      <c r="DJ234" s="247">
        <f t="shared" si="3623"/>
        <v>0.39708971971541801</v>
      </c>
      <c r="DK234" s="247">
        <f t="shared" si="3623"/>
        <v>152.81800000000001</v>
      </c>
      <c r="DL234" s="247">
        <f t="shared" si="3623"/>
        <v>148.095</v>
      </c>
      <c r="DM234" s="247">
        <f t="shared" si="3623"/>
        <v>3.0906045099399315E-2</v>
      </c>
      <c r="DN234" s="247">
        <f t="shared" si="3623"/>
        <v>143.83699999999999</v>
      </c>
      <c r="DO234" s="247">
        <f t="shared" si="3623"/>
        <v>59.189</v>
      </c>
      <c r="DP234" s="247">
        <f t="shared" si="3623"/>
        <v>99.884</v>
      </c>
      <c r="DQ234" s="247">
        <f t="shared" si="3623"/>
        <v>159.07300000000001</v>
      </c>
      <c r="DR234" s="247">
        <f t="shared" si="3623"/>
        <v>0.97204077734803995</v>
      </c>
      <c r="DS234" s="247">
        <f t="shared" si="3623"/>
        <v>0.91879152262137398</v>
      </c>
      <c r="DT234" s="247">
        <f t="shared" si="3623"/>
        <v>116.03</v>
      </c>
      <c r="DU234" s="247">
        <f t="shared" si="3623"/>
        <v>52.968000000000004</v>
      </c>
      <c r="DV234" s="247">
        <f t="shared" si="3623"/>
        <v>32.561</v>
      </c>
      <c r="DW234" s="247">
        <f t="shared" si="3623"/>
        <v>0.4565026286305266</v>
      </c>
      <c r="DX234" s="247">
        <f t="shared" si="3623"/>
        <v>28.396999999999998</v>
      </c>
      <c r="DY234" s="247">
        <f t="shared" si="3623"/>
        <v>0.12236921485822631</v>
      </c>
      <c r="DZ234" s="247">
        <f t="shared" si="3623"/>
        <v>37.555999999999997</v>
      </c>
      <c r="EA234" s="247">
        <f t="shared" si="3623"/>
        <v>36.499000000000002</v>
      </c>
      <c r="EB234" s="247">
        <f t="shared" si="3623"/>
        <v>2.81446373415698E-2</v>
      </c>
      <c r="EC234" s="247">
        <f t="shared" si="3623"/>
        <v>39.878999999999998</v>
      </c>
      <c r="ED234" s="247">
        <f t="shared" si="3623"/>
        <v>25</v>
      </c>
      <c r="EE234" s="247">
        <f t="shared" si="3623"/>
        <v>22.137</v>
      </c>
      <c r="EF234" s="247">
        <f t="shared" si="3623"/>
        <v>47.137</v>
      </c>
      <c r="EG234" s="247">
        <f t="shared" si="3623"/>
        <v>0.57887184348875287</v>
      </c>
    </row>
    <row r="235" spans="1:137" ht="11.25" customHeight="1">
      <c r="A235" s="157">
        <v>45200</v>
      </c>
      <c r="B235" s="247">
        <f>B106-B359</f>
        <v>0</v>
      </c>
      <c r="C235" s="247">
        <f>C106-C359</f>
        <v>0</v>
      </c>
      <c r="D235" s="247">
        <f>D106-D359</f>
        <v>0</v>
      </c>
      <c r="E235" s="247">
        <f>E106-E359</f>
        <v>0</v>
      </c>
      <c r="F235" s="247">
        <f>F106-F359</f>
        <v>0</v>
      </c>
      <c r="G235" s="247">
        <f>G106-G359</f>
        <v>0</v>
      </c>
      <c r="H235" s="247">
        <f>H106-H359</f>
        <v>0</v>
      </c>
      <c r="I235" s="247">
        <f t="shared" ref="I235:AB235" si="3624">I106-I359</f>
        <v>0</v>
      </c>
      <c r="J235" s="247">
        <f t="shared" si="3624"/>
        <v>0</v>
      </c>
      <c r="K235" s="247">
        <f t="shared" si="3624"/>
        <v>0</v>
      </c>
      <c r="L235" s="247">
        <f t="shared" si="3624"/>
        <v>0</v>
      </c>
      <c r="M235" s="247">
        <f t="shared" si="3624"/>
        <v>0</v>
      </c>
      <c r="N235" s="247">
        <f t="shared" si="3624"/>
        <v>0</v>
      </c>
      <c r="O235" s="247">
        <f t="shared" si="3624"/>
        <v>0</v>
      </c>
      <c r="P235" s="247">
        <f t="shared" si="3624"/>
        <v>6.8980000000001382</v>
      </c>
      <c r="Q235" s="247">
        <f t="shared" si="3624"/>
        <v>0</v>
      </c>
      <c r="R235" s="247">
        <f t="shared" si="3624"/>
        <v>6.8979999999999961</v>
      </c>
      <c r="S235" s="247">
        <f t="shared" si="3624"/>
        <v>0</v>
      </c>
      <c r="T235" s="247">
        <f t="shared" si="3624"/>
        <v>-11.906999999999982</v>
      </c>
      <c r="U235" s="247">
        <f t="shared" si="3624"/>
        <v>-5.0089999999997872</v>
      </c>
      <c r="V235" s="247">
        <f t="shared" si="3624"/>
        <v>-4.5574231679774702E-3</v>
      </c>
      <c r="W235" s="247">
        <f t="shared" si="3624"/>
        <v>0</v>
      </c>
      <c r="X235" s="247">
        <f t="shared" si="3624"/>
        <v>0</v>
      </c>
      <c r="Y235" s="247">
        <f t="shared" si="3624"/>
        <v>0</v>
      </c>
      <c r="Z235" s="247">
        <f t="shared" si="3624"/>
        <v>-52.829999999999927</v>
      </c>
      <c r="AA235" s="247">
        <f t="shared" si="3624"/>
        <v>-51.574000000000069</v>
      </c>
      <c r="AB235" s="247">
        <f t="shared" si="3624"/>
        <v>-1.2619621725741201E-4</v>
      </c>
      <c r="AC235" s="247">
        <f>AC106-AC359</f>
        <v>0</v>
      </c>
      <c r="AD235" s="247">
        <f>AD106-AD359</f>
        <v>-26.195999999999913</v>
      </c>
      <c r="AE235" s="247">
        <f>AE106-AE359</f>
        <v>-26.195999999999913</v>
      </c>
      <c r="AF235" s="247">
        <f>AF106-AF359</f>
        <v>0</v>
      </c>
      <c r="AG235" s="248"/>
      <c r="AH235" s="247"/>
      <c r="AI235" s="247">
        <f t="shared" ref="AI235:BN235" si="3625">AI106-AI359</f>
        <v>652.81600000000003</v>
      </c>
      <c r="AJ235" s="247">
        <f t="shared" si="3625"/>
        <v>21.760533333333335</v>
      </c>
      <c r="AK235" s="247">
        <f t="shared" si="3625"/>
        <v>474.31299999999999</v>
      </c>
      <c r="AL235" s="247">
        <f t="shared" si="3625"/>
        <v>32.292000000000002</v>
      </c>
      <c r="AM235" s="247">
        <f t="shared" si="3625"/>
        <v>43.593876375579029</v>
      </c>
      <c r="AN235" s="247">
        <f t="shared" si="3625"/>
        <v>-0.52427278314076631</v>
      </c>
      <c r="AO235" s="247">
        <f t="shared" si="3625"/>
        <v>262.86500000000001</v>
      </c>
      <c r="AP235" s="247">
        <f t="shared" si="3625"/>
        <v>76.207999999999998</v>
      </c>
      <c r="AQ235" s="247">
        <f t="shared" si="3625"/>
        <v>12.07989693880052</v>
      </c>
      <c r="AR235" s="247">
        <f t="shared" si="3625"/>
        <v>0.28358183796358638</v>
      </c>
      <c r="AS235" s="247">
        <f t="shared" si="3625"/>
        <v>55.673773314379545</v>
      </c>
      <c r="AT235" s="247">
        <f t="shared" si="3625"/>
        <v>1319.3030000000001</v>
      </c>
      <c r="AU235" s="247">
        <f t="shared" si="3625"/>
        <v>43.97676666666667</v>
      </c>
      <c r="AV235" s="247">
        <f t="shared" si="3625"/>
        <v>977.399</v>
      </c>
      <c r="AW235" s="247">
        <f t="shared" si="3625"/>
        <v>61.372</v>
      </c>
      <c r="AX235" s="247">
        <f t="shared" si="3625"/>
        <v>44.450698588572905</v>
      </c>
      <c r="AY235" s="247">
        <f t="shared" si="3625"/>
        <v>0.33254942985310976</v>
      </c>
      <c r="AZ235" s="247">
        <f t="shared" si="3625"/>
        <v>525.971</v>
      </c>
      <c r="BA235" s="247">
        <f t="shared" si="3625"/>
        <v>70.759</v>
      </c>
      <c r="BB235" s="247">
        <f t="shared" si="3625"/>
        <v>11.960201712570955</v>
      </c>
      <c r="BC235" s="247">
        <f t="shared" si="3625"/>
        <v>0.16388661173402141</v>
      </c>
      <c r="BD235" s="247">
        <f t="shared" si="3625"/>
        <v>56.410900301143862</v>
      </c>
      <c r="BE235" s="247">
        <f t="shared" si="3625"/>
        <v>1378.347</v>
      </c>
      <c r="BF235" s="247">
        <f t="shared" si="3625"/>
        <v>45.944899999999997</v>
      </c>
      <c r="BG235" s="247">
        <f t="shared" si="3625"/>
        <v>1007.371</v>
      </c>
      <c r="BH235" s="247">
        <f t="shared" si="3625"/>
        <v>69.447999999999993</v>
      </c>
      <c r="BI235" s="247">
        <f t="shared" si="3625"/>
        <v>43.85126531998111</v>
      </c>
      <c r="BJ235" s="247">
        <f t="shared" si="3625"/>
        <v>-0.2668838387386856</v>
      </c>
      <c r="BK235" s="247">
        <f t="shared" si="3625"/>
        <v>536.92600000000004</v>
      </c>
      <c r="BL235" s="247">
        <f t="shared" si="3625"/>
        <v>188.327</v>
      </c>
      <c r="BM235" s="247">
        <f t="shared" si="3625"/>
        <v>11.686302505827634</v>
      </c>
      <c r="BN235" s="247">
        <f t="shared" si="3625"/>
        <v>-0.11001259500929983</v>
      </c>
      <c r="BO235" s="247">
        <f t="shared" ref="BO235:CV235" si="3626">BO106-BO359</f>
        <v>55.537567825808743</v>
      </c>
      <c r="BP235" s="247">
        <f t="shared" si="3626"/>
        <v>1001.749</v>
      </c>
      <c r="BQ235" s="247">
        <f t="shared" si="3626"/>
        <v>33.391633333333331</v>
      </c>
      <c r="BR235" s="247">
        <f t="shared" si="3626"/>
        <v>741.30899999999997</v>
      </c>
      <c r="BS235" s="247">
        <f t="shared" si="3626"/>
        <v>60.418999999999997</v>
      </c>
      <c r="BT235" s="247">
        <f t="shared" si="3626"/>
        <v>44.400882855885058</v>
      </c>
      <c r="BU235" s="247">
        <f t="shared" si="3626"/>
        <v>0.28273369716526275</v>
      </c>
      <c r="BV235" s="247">
        <f t="shared" si="3626"/>
        <v>386.16300000000001</v>
      </c>
      <c r="BW235" s="247">
        <f t="shared" si="3626"/>
        <v>142.51300000000001</v>
      </c>
      <c r="BX235" s="247">
        <f t="shared" si="3626"/>
        <v>11.564663403706918</v>
      </c>
      <c r="BY235" s="247">
        <f t="shared" si="3626"/>
        <v>-0.23165169713001532</v>
      </c>
      <c r="BZ235" s="247">
        <f t="shared" si="3626"/>
        <v>55.965546259591974</v>
      </c>
      <c r="CA235" s="247">
        <f t="shared" si="3626"/>
        <v>710.94799999999998</v>
      </c>
      <c r="CB235" s="247">
        <f t="shared" si="3626"/>
        <v>23.698266666666665</v>
      </c>
      <c r="CC235" s="247">
        <f t="shared" si="3626"/>
        <v>517.1</v>
      </c>
      <c r="CD235" s="247">
        <f t="shared" si="3626"/>
        <v>27.207000000000001</v>
      </c>
      <c r="CE235" s="247">
        <f t="shared" si="3626"/>
        <v>43.640322498973205</v>
      </c>
      <c r="CF235" s="247">
        <f t="shared" si="3626"/>
        <v>-0.47782665974659011</v>
      </c>
      <c r="CG235" s="247">
        <f t="shared" si="3626"/>
        <v>277.77600000000001</v>
      </c>
      <c r="CH235" s="247">
        <f t="shared" si="3626"/>
        <v>48.731000000000002</v>
      </c>
      <c r="CI235" s="247">
        <f t="shared" si="3626"/>
        <v>11.721363587772947</v>
      </c>
      <c r="CJ235" s="247">
        <f t="shared" si="3626"/>
        <v>-7.4951513063986397E-2</v>
      </c>
      <c r="CK235" s="247">
        <f t="shared" si="3626"/>
        <v>55.361686086746154</v>
      </c>
      <c r="CL235" s="247">
        <f t="shared" si="3626"/>
        <v>978.52200000000005</v>
      </c>
      <c r="CM235" s="247">
        <f t="shared" si="3626"/>
        <v>32.617400000000004</v>
      </c>
      <c r="CN235" s="247">
        <f t="shared" si="3626"/>
        <v>724.67399999999998</v>
      </c>
      <c r="CO235" s="247">
        <f t="shared" si="3626"/>
        <v>40.332999999999998</v>
      </c>
      <c r="CP235" s="247">
        <f t="shared" si="3626"/>
        <v>44.43481086781901</v>
      </c>
      <c r="CQ235" s="247">
        <f t="shared" si="3626"/>
        <v>0.31666170909921476</v>
      </c>
      <c r="CR235" s="247">
        <f t="shared" si="3626"/>
        <v>385.95299999999997</v>
      </c>
      <c r="CS235" s="247">
        <f t="shared" si="3626"/>
        <v>133.995</v>
      </c>
      <c r="CT235" s="247">
        <f t="shared" si="3626"/>
        <v>11.832733449018006</v>
      </c>
      <c r="CU235" s="247">
        <f t="shared" si="3626"/>
        <v>3.6418348181072702E-2</v>
      </c>
      <c r="CV235" s="247">
        <f t="shared" si="3626"/>
        <v>56.267544316837018</v>
      </c>
      <c r="CW235" s="247"/>
      <c r="CX235" s="247">
        <f>CX106-CX359</f>
        <v>0</v>
      </c>
      <c r="CY235" s="247">
        <f>CY106-CY359</f>
        <v>0.30000000000029559</v>
      </c>
      <c r="CZ235" s="247">
        <f>CZ106-CZ359</f>
        <v>0</v>
      </c>
      <c r="DA235" s="247">
        <f>DA106-DA359</f>
        <v>0</v>
      </c>
      <c r="DB235" s="247">
        <f>DB106-DB359</f>
        <v>0</v>
      </c>
      <c r="DC235" s="247">
        <f>DC106-DC359</f>
        <v>0</v>
      </c>
      <c r="DD235" s="247"/>
      <c r="DE235" s="247">
        <f t="shared" ref="DE235:EG235" si="3627">DE106-DE359</f>
        <v>202.333</v>
      </c>
      <c r="DF235" s="247">
        <f t="shared" si="3627"/>
        <v>117.99</v>
      </c>
      <c r="DG235" s="247">
        <f t="shared" si="3627"/>
        <v>47.6</v>
      </c>
      <c r="DH235" s="247">
        <f t="shared" si="3627"/>
        <v>0.58314758343918194</v>
      </c>
      <c r="DI235" s="247">
        <f t="shared" si="3627"/>
        <v>162.18600000000001</v>
      </c>
      <c r="DJ235" s="247">
        <f t="shared" si="3627"/>
        <v>0.40078978713309249</v>
      </c>
      <c r="DK235" s="247">
        <f t="shared" si="3627"/>
        <v>173.49</v>
      </c>
      <c r="DL235" s="247">
        <f t="shared" si="3627"/>
        <v>167.83600000000001</v>
      </c>
      <c r="DM235" s="247">
        <f t="shared" si="3627"/>
        <v>3.2589774626779588E-2</v>
      </c>
      <c r="DN235" s="247">
        <f t="shared" si="3627"/>
        <v>177.20699999999999</v>
      </c>
      <c r="DO235" s="247">
        <f t="shared" si="3627"/>
        <v>57.856000000000002</v>
      </c>
      <c r="DP235" s="247">
        <f t="shared" si="3627"/>
        <v>96.388000000000005</v>
      </c>
      <c r="DQ235" s="247">
        <f t="shared" si="3627"/>
        <v>154.244</v>
      </c>
      <c r="DR235" s="247">
        <f t="shared" si="3627"/>
        <v>0.98393737057227448</v>
      </c>
      <c r="DS235" s="247">
        <f t="shared" si="3627"/>
        <v>1.0696977544300987</v>
      </c>
      <c r="DT235" s="247">
        <f t="shared" si="3627"/>
        <v>140.441</v>
      </c>
      <c r="DU235" s="247">
        <f t="shared" si="3627"/>
        <v>58.103000000000002</v>
      </c>
      <c r="DV235" s="247">
        <f t="shared" si="3627"/>
        <v>31.780999999999999</v>
      </c>
      <c r="DW235" s="247">
        <f t="shared" si="3627"/>
        <v>0.4137182161904287</v>
      </c>
      <c r="DX235" s="247">
        <f t="shared" si="3627"/>
        <v>38.286000000000001</v>
      </c>
      <c r="DY235" s="247">
        <f t="shared" si="3627"/>
        <v>0.13630634928546506</v>
      </c>
      <c r="DZ235" s="247">
        <f t="shared" si="3627"/>
        <v>35.924999999999997</v>
      </c>
      <c r="EA235" s="247">
        <f t="shared" si="3627"/>
        <v>34.957999999999998</v>
      </c>
      <c r="EB235" s="247">
        <f t="shared" si="3627"/>
        <v>2.6917188587334717E-2</v>
      </c>
      <c r="EC235" s="247">
        <f t="shared" si="3627"/>
        <v>28.795000000000002</v>
      </c>
      <c r="ED235" s="247">
        <f t="shared" si="3627"/>
        <v>25</v>
      </c>
      <c r="EE235" s="247">
        <f t="shared" si="3627"/>
        <v>29.184000000000001</v>
      </c>
      <c r="EF235" s="247">
        <f t="shared" si="3627"/>
        <v>54.183999999999997</v>
      </c>
      <c r="EG235" s="247">
        <f t="shared" si="3627"/>
        <v>0.55002456547589373</v>
      </c>
    </row>
    <row r="236" spans="1:137" ht="11.25" customHeight="1">
      <c r="A236" s="157">
        <v>45231</v>
      </c>
      <c r="B236" s="247">
        <f>B107-B360</f>
        <v>0</v>
      </c>
      <c r="C236" s="247">
        <f>C107-C360</f>
        <v>0</v>
      </c>
      <c r="D236" s="247">
        <f>D107-D360</f>
        <v>0</v>
      </c>
      <c r="E236" s="247">
        <f>E107-E360</f>
        <v>0</v>
      </c>
      <c r="F236" s="247">
        <f>F107-F360</f>
        <v>0</v>
      </c>
      <c r="G236" s="247">
        <f>G107-G360</f>
        <v>0</v>
      </c>
      <c r="H236" s="247">
        <f>H107-H360</f>
        <v>1.0000000000047748E-3</v>
      </c>
      <c r="I236" s="247">
        <f t="shared" ref="I236:AB236" si="3628">I107-I360</f>
        <v>0</v>
      </c>
      <c r="J236" s="247">
        <f t="shared" si="3628"/>
        <v>0</v>
      </c>
      <c r="K236" s="247">
        <f t="shared" si="3628"/>
        <v>0</v>
      </c>
      <c r="L236" s="247">
        <f t="shared" si="3628"/>
        <v>0</v>
      </c>
      <c r="M236" s="247">
        <f t="shared" si="3628"/>
        <v>0</v>
      </c>
      <c r="N236" s="247">
        <f t="shared" si="3628"/>
        <v>0</v>
      </c>
      <c r="O236" s="247">
        <f t="shared" si="3628"/>
        <v>0</v>
      </c>
      <c r="P236" s="247">
        <f t="shared" si="3628"/>
        <v>13.55600000000004</v>
      </c>
      <c r="Q236" s="247">
        <f t="shared" si="3628"/>
        <v>0</v>
      </c>
      <c r="R236" s="247">
        <f t="shared" si="3628"/>
        <v>13.555999999999983</v>
      </c>
      <c r="S236" s="247">
        <f t="shared" si="3628"/>
        <v>0</v>
      </c>
      <c r="T236" s="247">
        <f t="shared" si="3628"/>
        <v>236.54399999999998</v>
      </c>
      <c r="U236" s="247">
        <f t="shared" si="3628"/>
        <v>250.09999999999991</v>
      </c>
      <c r="V236" s="247">
        <f t="shared" si="3628"/>
        <v>0.20609636508969853</v>
      </c>
      <c r="W236" s="247">
        <f t="shared" si="3628"/>
        <v>0</v>
      </c>
      <c r="X236" s="247">
        <f t="shared" si="3628"/>
        <v>0</v>
      </c>
      <c r="Y236" s="247">
        <f t="shared" si="3628"/>
        <v>0</v>
      </c>
      <c r="Z236" s="247">
        <f t="shared" si="3628"/>
        <v>-15.59900000000016</v>
      </c>
      <c r="AA236" s="247">
        <f t="shared" si="3628"/>
        <v>-14.23700000000008</v>
      </c>
      <c r="AB236" s="247">
        <f t="shared" si="3628"/>
        <v>-5.5107807298112113E-4</v>
      </c>
      <c r="AC236" s="247">
        <f>AC107-AC360</f>
        <v>0</v>
      </c>
      <c r="AD236" s="247">
        <f>AD107-AD360</f>
        <v>-0.94200000000000728</v>
      </c>
      <c r="AE236" s="247">
        <f>AE107-AE360</f>
        <v>-0.94200000000000728</v>
      </c>
      <c r="AF236" s="247">
        <f>AF107-AF360</f>
        <v>0</v>
      </c>
      <c r="AG236" s="248"/>
      <c r="AH236" s="247"/>
      <c r="AI236" s="247">
        <f t="shared" ref="AI236:BN236" si="3629">AI107-AI360</f>
        <v>661.26800000000003</v>
      </c>
      <c r="AJ236" s="247">
        <f t="shared" si="3629"/>
        <v>22.042266666666666</v>
      </c>
      <c r="AK236" s="247">
        <f t="shared" si="3629"/>
        <v>473.96800000000002</v>
      </c>
      <c r="AL236" s="247">
        <f t="shared" si="3629"/>
        <v>18.326000000000001</v>
      </c>
      <c r="AM236" s="247">
        <f t="shared" si="3629"/>
        <v>43.005377547378671</v>
      </c>
      <c r="AN236" s="247">
        <f t="shared" si="3629"/>
        <v>-0.97355329516772571</v>
      </c>
      <c r="AO236" s="247">
        <f t="shared" si="3629"/>
        <v>256.7</v>
      </c>
      <c r="AP236" s="247">
        <f t="shared" si="3629"/>
        <v>95.608000000000004</v>
      </c>
      <c r="AQ236" s="247">
        <f t="shared" si="3629"/>
        <v>11.645807751168967</v>
      </c>
      <c r="AR236" s="247">
        <f t="shared" si="3629"/>
        <v>2.7711385328746729E-2</v>
      </c>
      <c r="AS236" s="247">
        <f t="shared" si="3629"/>
        <v>54.651185298547638</v>
      </c>
      <c r="AT236" s="247">
        <f t="shared" si="3629"/>
        <v>1285.317</v>
      </c>
      <c r="AU236" s="247">
        <f t="shared" si="3629"/>
        <v>42.843899999999998</v>
      </c>
      <c r="AV236" s="247">
        <f t="shared" si="3629"/>
        <v>943.55399999999997</v>
      </c>
      <c r="AW236" s="247">
        <f t="shared" si="3629"/>
        <v>47.6</v>
      </c>
      <c r="AX236" s="247">
        <f t="shared" si="3629"/>
        <v>44.046130254248567</v>
      </c>
      <c r="AY236" s="247">
        <f t="shared" si="3629"/>
        <v>6.7199411702169698E-2</v>
      </c>
      <c r="AZ236" s="247">
        <f t="shared" si="3629"/>
        <v>506.19200000000001</v>
      </c>
      <c r="BA236" s="247">
        <f t="shared" si="3629"/>
        <v>76.353999999999999</v>
      </c>
      <c r="BB236" s="247">
        <f t="shared" si="3629"/>
        <v>11.814797439075342</v>
      </c>
      <c r="BC236" s="247">
        <f t="shared" si="3629"/>
        <v>0.19670107323512198</v>
      </c>
      <c r="BD236" s="247">
        <f t="shared" si="3629"/>
        <v>55.860927693323909</v>
      </c>
      <c r="BE236" s="247">
        <f t="shared" si="3629"/>
        <v>1367.655</v>
      </c>
      <c r="BF236" s="247">
        <f t="shared" si="3629"/>
        <v>45.588499999999996</v>
      </c>
      <c r="BG236" s="247">
        <f t="shared" si="3629"/>
        <v>1005.715</v>
      </c>
      <c r="BH236" s="247">
        <f t="shared" si="3629"/>
        <v>90.741</v>
      </c>
      <c r="BI236" s="247">
        <f t="shared" si="3629"/>
        <v>44.121434133608261</v>
      </c>
      <c r="BJ236" s="247">
        <f t="shared" si="3629"/>
        <v>0.14250329106186399</v>
      </c>
      <c r="BK236" s="247">
        <f t="shared" si="3629"/>
        <v>522.83199999999999</v>
      </c>
      <c r="BL236" s="247">
        <f t="shared" si="3629"/>
        <v>224.524</v>
      </c>
      <c r="BM236" s="247">
        <f t="shared" si="3629"/>
        <v>11.468506311898835</v>
      </c>
      <c r="BN236" s="247">
        <f t="shared" si="3629"/>
        <v>-0.14959005394138458</v>
      </c>
      <c r="BO236" s="247">
        <f t="shared" ref="BO236:CV236" si="3630">BO107-BO360</f>
        <v>55.589940445507096</v>
      </c>
      <c r="BP236" s="247">
        <f t="shared" si="3630"/>
        <v>1048.1020000000001</v>
      </c>
      <c r="BQ236" s="247">
        <f t="shared" si="3630"/>
        <v>34.936733333333336</v>
      </c>
      <c r="BR236" s="247">
        <f t="shared" si="3630"/>
        <v>769.88300000000004</v>
      </c>
      <c r="BS236" s="247">
        <f t="shared" si="3630"/>
        <v>41.034999999999997</v>
      </c>
      <c r="BT236" s="247">
        <f t="shared" si="3630"/>
        <v>44.072981446462272</v>
      </c>
      <c r="BU236" s="247">
        <f t="shared" si="3630"/>
        <v>9.4050603915874831E-2</v>
      </c>
      <c r="BV236" s="247">
        <f t="shared" si="3630"/>
        <v>404.07900000000001</v>
      </c>
      <c r="BW236" s="247">
        <f t="shared" si="3630"/>
        <v>140.38300000000001</v>
      </c>
      <c r="BX236" s="247">
        <f t="shared" si="3630"/>
        <v>11.566021246023764</v>
      </c>
      <c r="BY236" s="247">
        <f t="shared" si="3630"/>
        <v>-5.2075119816455739E-2</v>
      </c>
      <c r="BZ236" s="247">
        <f t="shared" si="3630"/>
        <v>55.639002692486038</v>
      </c>
      <c r="CA236" s="247">
        <f t="shared" si="3630"/>
        <v>705.2</v>
      </c>
      <c r="CB236" s="247">
        <f t="shared" si="3630"/>
        <v>23.506666666666668</v>
      </c>
      <c r="CC236" s="247">
        <f t="shared" si="3630"/>
        <v>515.702</v>
      </c>
      <c r="CD236" s="247">
        <f t="shared" si="3630"/>
        <v>22.222999999999999</v>
      </c>
      <c r="CE236" s="247">
        <f t="shared" si="3630"/>
        <v>43.877084515031193</v>
      </c>
      <c r="CF236" s="247">
        <f t="shared" si="3630"/>
        <v>-0.10184632751520439</v>
      </c>
      <c r="CG236" s="247">
        <f t="shared" si="3630"/>
        <v>266.43299999999999</v>
      </c>
      <c r="CH236" s="247">
        <f t="shared" si="3630"/>
        <v>47.90126757585432</v>
      </c>
      <c r="CI236" s="247">
        <f t="shared" si="3630"/>
        <v>11.334359047078841</v>
      </c>
      <c r="CJ236" s="247">
        <f t="shared" si="3630"/>
        <v>-0.28373731876137853</v>
      </c>
      <c r="CK236" s="247">
        <f t="shared" si="3630"/>
        <v>55.211443562110034</v>
      </c>
      <c r="CL236" s="247">
        <f t="shared" si="3630"/>
        <v>935.16600000000005</v>
      </c>
      <c r="CM236" s="247">
        <f t="shared" si="3630"/>
        <v>31.1722</v>
      </c>
      <c r="CN236" s="247">
        <f t="shared" si="3630"/>
        <v>691.05600000000004</v>
      </c>
      <c r="CO236" s="247">
        <f t="shared" si="3630"/>
        <v>40.127000000000002</v>
      </c>
      <c r="CP236" s="247">
        <f t="shared" si="3630"/>
        <v>44.337967804646453</v>
      </c>
      <c r="CQ236" s="247">
        <f t="shared" si="3630"/>
        <v>0.3590369621000562</v>
      </c>
      <c r="CR236" s="247">
        <f t="shared" si="3630"/>
        <v>368.43200000000002</v>
      </c>
      <c r="CS236" s="247">
        <f t="shared" si="3630"/>
        <v>143.94673242414555</v>
      </c>
      <c r="CT236" s="247">
        <f t="shared" si="3630"/>
        <v>11.81924920281533</v>
      </c>
      <c r="CU236" s="247">
        <f t="shared" si="3630"/>
        <v>0.20115283697511011</v>
      </c>
      <c r="CV236" s="247">
        <f t="shared" si="3630"/>
        <v>56.157217007461782</v>
      </c>
      <c r="CW236" s="247"/>
      <c r="CX236" s="247">
        <f>CX107-CX360</f>
        <v>0</v>
      </c>
      <c r="CY236" s="247">
        <f>CY107-CY360</f>
        <v>0</v>
      </c>
      <c r="CZ236" s="247">
        <f>CZ107-CZ360</f>
        <v>0</v>
      </c>
      <c r="DA236" s="247">
        <f>DA107-DA360</f>
        <v>4.5474735088646412E-13</v>
      </c>
      <c r="DB236" s="247">
        <f>DB107-DB360</f>
        <v>0</v>
      </c>
      <c r="DC236" s="247">
        <f>DC107-DC360</f>
        <v>0</v>
      </c>
      <c r="DD236" s="247"/>
      <c r="DE236" s="247">
        <f t="shared" ref="DE236:EG236" si="3631">DE107-DE360</f>
        <v>219.84299999999999</v>
      </c>
      <c r="DF236" s="247">
        <f t="shared" si="3631"/>
        <v>125.765</v>
      </c>
      <c r="DG236" s="247">
        <f t="shared" si="3631"/>
        <v>45.300000000000004</v>
      </c>
      <c r="DH236" s="247">
        <f t="shared" si="3631"/>
        <v>0.57206733896462481</v>
      </c>
      <c r="DI236" s="247">
        <f t="shared" si="3631"/>
        <v>176.09100000000001</v>
      </c>
      <c r="DJ236" s="247">
        <f t="shared" si="3631"/>
        <v>0.40049262428187393</v>
      </c>
      <c r="DK236" s="247">
        <f t="shared" si="3631"/>
        <v>162.68700000000001</v>
      </c>
      <c r="DL236" s="247">
        <f t="shared" si="3631"/>
        <v>157.76900000000001</v>
      </c>
      <c r="DM236" s="247">
        <f t="shared" si="3631"/>
        <v>3.0229827828898492E-2</v>
      </c>
      <c r="DN236" s="247">
        <f t="shared" si="3631"/>
        <v>164.18100000000001</v>
      </c>
      <c r="DO236" s="247">
        <f t="shared" si="3631"/>
        <v>74.387</v>
      </c>
      <c r="DP236" s="247">
        <f t="shared" si="3631"/>
        <v>92.317999999999998</v>
      </c>
      <c r="DQ236" s="247">
        <f t="shared" si="3631"/>
        <v>166.70499999999998</v>
      </c>
      <c r="DR236" s="247">
        <f t="shared" si="3631"/>
        <v>0.97255996324649874</v>
      </c>
      <c r="DS236" s="247">
        <f t="shared" si="3631"/>
        <v>0.9238802664531407</v>
      </c>
      <c r="DT236" s="247">
        <f t="shared" si="3631"/>
        <v>116.56</v>
      </c>
      <c r="DU236" s="247">
        <f t="shared" si="3631"/>
        <v>50.801000000000002</v>
      </c>
      <c r="DV236" s="247">
        <f t="shared" si="3631"/>
        <v>29.93</v>
      </c>
      <c r="DW236" s="247">
        <f t="shared" si="3631"/>
        <v>0.43583562113932739</v>
      </c>
      <c r="DX236" s="247">
        <f t="shared" si="3631"/>
        <v>31.122</v>
      </c>
      <c r="DY236" s="247">
        <f t="shared" si="3631"/>
        <v>0.13350205902539464</v>
      </c>
      <c r="DZ236" s="247">
        <f t="shared" si="3631"/>
        <v>27.198</v>
      </c>
      <c r="EA236" s="247">
        <f t="shared" si="3631"/>
        <v>26.63</v>
      </c>
      <c r="EB236" s="247">
        <f t="shared" si="3631"/>
        <v>2.0883888521214811E-2</v>
      </c>
      <c r="EC236" s="247">
        <f t="shared" si="3631"/>
        <v>27.222999999999999</v>
      </c>
      <c r="ED236" s="247">
        <f t="shared" si="3631"/>
        <v>30</v>
      </c>
      <c r="EE236" s="247">
        <f t="shared" si="3631"/>
        <v>27.843</v>
      </c>
      <c r="EF236" s="247">
        <f t="shared" si="3631"/>
        <v>57.843000000000004</v>
      </c>
      <c r="EG236" s="247">
        <f t="shared" si="3631"/>
        <v>0.56933768016472208</v>
      </c>
    </row>
    <row r="237" spans="1:137" ht="11.25" customHeight="1">
      <c r="A237" s="157">
        <v>45261</v>
      </c>
      <c r="B237" s="247">
        <f>B108-B361</f>
        <v>0</v>
      </c>
      <c r="C237" s="247">
        <f>C108-C361</f>
        <v>0</v>
      </c>
      <c r="D237" s="247">
        <f>D108-D361</f>
        <v>0</v>
      </c>
      <c r="E237" s="247">
        <f>E108-E361</f>
        <v>0</v>
      </c>
      <c r="F237" s="247">
        <f>F108-F361</f>
        <v>0</v>
      </c>
      <c r="G237" s="247">
        <f>G108-G361</f>
        <v>0</v>
      </c>
      <c r="H237" s="247">
        <f>H108-H361</f>
        <v>0</v>
      </c>
      <c r="I237" s="247">
        <f t="shared" ref="I237:AB237" si="3632">I108-I361</f>
        <v>0</v>
      </c>
      <c r="J237" s="247">
        <f t="shared" si="3632"/>
        <v>0</v>
      </c>
      <c r="K237" s="247">
        <f t="shared" si="3632"/>
        <v>0</v>
      </c>
      <c r="L237" s="247">
        <f t="shared" si="3632"/>
        <v>0</v>
      </c>
      <c r="M237" s="247">
        <f t="shared" si="3632"/>
        <v>0</v>
      </c>
      <c r="N237" s="247">
        <f t="shared" si="3632"/>
        <v>0</v>
      </c>
      <c r="O237" s="247">
        <f t="shared" si="3632"/>
        <v>0</v>
      </c>
      <c r="P237" s="247">
        <f t="shared" si="3632"/>
        <v>0</v>
      </c>
      <c r="Q237" s="247">
        <f t="shared" si="3632"/>
        <v>0</v>
      </c>
      <c r="R237" s="247">
        <f t="shared" si="3632"/>
        <v>0</v>
      </c>
      <c r="S237" s="247">
        <f t="shared" si="3632"/>
        <v>0</v>
      </c>
      <c r="T237" s="247">
        <f t="shared" si="3632"/>
        <v>0</v>
      </c>
      <c r="U237" s="247">
        <f t="shared" si="3632"/>
        <v>0</v>
      </c>
      <c r="V237" s="247">
        <f t="shared" si="3632"/>
        <v>0</v>
      </c>
      <c r="W237" s="247">
        <f t="shared" si="3632"/>
        <v>0</v>
      </c>
      <c r="X237" s="247">
        <f t="shared" si="3632"/>
        <v>0</v>
      </c>
      <c r="Y237" s="247">
        <f t="shared" si="3632"/>
        <v>0</v>
      </c>
      <c r="Z237" s="247">
        <f t="shared" si="3632"/>
        <v>0</v>
      </c>
      <c r="AA237" s="247">
        <f t="shared" si="3632"/>
        <v>0</v>
      </c>
      <c r="AB237" s="247">
        <f t="shared" si="3632"/>
        <v>0</v>
      </c>
      <c r="AC237" s="247">
        <f>AC108-AC361</f>
        <v>0</v>
      </c>
      <c r="AD237" s="247">
        <f>AD108-AD361</f>
        <v>0</v>
      </c>
      <c r="AE237" s="247">
        <f>AE108-AE361</f>
        <v>0</v>
      </c>
      <c r="AF237" s="247">
        <f>AF108-AF361</f>
        <v>0</v>
      </c>
      <c r="AG237" s="248"/>
      <c r="AH237" s="247"/>
      <c r="AI237" s="247">
        <f t="shared" ref="AI237:BN237" si="3633">AI108-AI361</f>
        <v>0</v>
      </c>
      <c r="AJ237" s="247">
        <f t="shared" si="3633"/>
        <v>0</v>
      </c>
      <c r="AK237" s="247">
        <f t="shared" si="3633"/>
        <v>0</v>
      </c>
      <c r="AL237" s="247">
        <f t="shared" si="3633"/>
        <v>0</v>
      </c>
      <c r="AM237" s="247">
        <f t="shared" si="3633"/>
        <v>0</v>
      </c>
      <c r="AN237" s="247">
        <f t="shared" si="3633"/>
        <v>0</v>
      </c>
      <c r="AO237" s="247">
        <f t="shared" si="3633"/>
        <v>0</v>
      </c>
      <c r="AP237" s="247">
        <f t="shared" si="3633"/>
        <v>0</v>
      </c>
      <c r="AQ237" s="247">
        <f t="shared" si="3633"/>
        <v>0</v>
      </c>
      <c r="AR237" s="247">
        <f t="shared" si="3633"/>
        <v>0</v>
      </c>
      <c r="AS237" s="247">
        <f t="shared" si="3633"/>
        <v>0</v>
      </c>
      <c r="AT237" s="247">
        <f t="shared" si="3633"/>
        <v>0</v>
      </c>
      <c r="AU237" s="247">
        <f t="shared" si="3633"/>
        <v>0</v>
      </c>
      <c r="AV237" s="247">
        <f t="shared" si="3633"/>
        <v>0</v>
      </c>
      <c r="AW237" s="247">
        <f t="shared" si="3633"/>
        <v>0</v>
      </c>
      <c r="AX237" s="247">
        <f t="shared" si="3633"/>
        <v>0</v>
      </c>
      <c r="AY237" s="247">
        <f t="shared" si="3633"/>
        <v>0</v>
      </c>
      <c r="AZ237" s="247">
        <f t="shared" si="3633"/>
        <v>0</v>
      </c>
      <c r="BA237" s="247">
        <f t="shared" si="3633"/>
        <v>0</v>
      </c>
      <c r="BB237" s="247">
        <f t="shared" si="3633"/>
        <v>0</v>
      </c>
      <c r="BC237" s="247">
        <f t="shared" si="3633"/>
        <v>0</v>
      </c>
      <c r="BD237" s="247">
        <f t="shared" si="3633"/>
        <v>0</v>
      </c>
      <c r="BE237" s="247">
        <f t="shared" si="3633"/>
        <v>0</v>
      </c>
      <c r="BF237" s="247">
        <f t="shared" si="3633"/>
        <v>0</v>
      </c>
      <c r="BG237" s="247">
        <f t="shared" si="3633"/>
        <v>1.799999999980173E-2</v>
      </c>
      <c r="BH237" s="247">
        <f t="shared" si="3633"/>
        <v>9.9999999999994316E-2</v>
      </c>
      <c r="BI237" s="247">
        <f t="shared" si="3633"/>
        <v>7.7147265557186984E-4</v>
      </c>
      <c r="BJ237" s="247">
        <f t="shared" si="3633"/>
        <v>7.7147265557186984E-4</v>
      </c>
      <c r="BK237" s="247">
        <f t="shared" si="3633"/>
        <v>0</v>
      </c>
      <c r="BL237" s="247">
        <f t="shared" si="3633"/>
        <v>0</v>
      </c>
      <c r="BM237" s="247">
        <f t="shared" si="3633"/>
        <v>3.112763586490658</v>
      </c>
      <c r="BN237" s="247">
        <f t="shared" si="3633"/>
        <v>3.112763586490658</v>
      </c>
      <c r="BO237" s="247">
        <f t="shared" ref="BO237:CV237" si="3634">BO108-BO361</f>
        <v>3.1135350591462299</v>
      </c>
      <c r="BP237" s="247">
        <f t="shared" si="3634"/>
        <v>0</v>
      </c>
      <c r="BQ237" s="247">
        <f t="shared" si="3634"/>
        <v>0</v>
      </c>
      <c r="BR237" s="247">
        <f t="shared" si="3634"/>
        <v>0</v>
      </c>
      <c r="BS237" s="247">
        <f t="shared" si="3634"/>
        <v>0</v>
      </c>
      <c r="BT237" s="247">
        <f t="shared" si="3634"/>
        <v>0</v>
      </c>
      <c r="BU237" s="247">
        <f t="shared" si="3634"/>
        <v>0</v>
      </c>
      <c r="BV237" s="247">
        <f t="shared" si="3634"/>
        <v>0</v>
      </c>
      <c r="BW237" s="247">
        <f t="shared" si="3634"/>
        <v>0</v>
      </c>
      <c r="BX237" s="247">
        <f t="shared" si="3634"/>
        <v>0</v>
      </c>
      <c r="BY237" s="247">
        <f t="shared" si="3634"/>
        <v>0</v>
      </c>
      <c r="BZ237" s="247">
        <f t="shared" si="3634"/>
        <v>0</v>
      </c>
      <c r="CA237" s="247">
        <f t="shared" si="3634"/>
        <v>0</v>
      </c>
      <c r="CB237" s="247">
        <f t="shared" si="3634"/>
        <v>0</v>
      </c>
      <c r="CC237" s="247">
        <f t="shared" si="3634"/>
        <v>0</v>
      </c>
      <c r="CD237" s="247">
        <f t="shared" si="3634"/>
        <v>0</v>
      </c>
      <c r="CE237" s="247">
        <f t="shared" si="3634"/>
        <v>0</v>
      </c>
      <c r="CF237" s="247">
        <f t="shared" si="3634"/>
        <v>0</v>
      </c>
      <c r="CG237" s="247">
        <f t="shared" si="3634"/>
        <v>0</v>
      </c>
      <c r="CH237" s="247">
        <f t="shared" si="3634"/>
        <v>0</v>
      </c>
      <c r="CI237" s="247">
        <f t="shared" si="3634"/>
        <v>0</v>
      </c>
      <c r="CJ237" s="247">
        <f t="shared" si="3634"/>
        <v>0</v>
      </c>
      <c r="CK237" s="247">
        <f t="shared" si="3634"/>
        <v>0</v>
      </c>
      <c r="CL237" s="247">
        <f t="shared" si="3634"/>
        <v>0</v>
      </c>
      <c r="CM237" s="247">
        <f t="shared" si="3634"/>
        <v>0</v>
      </c>
      <c r="CN237" s="247">
        <f t="shared" si="3634"/>
        <v>0</v>
      </c>
      <c r="CO237" s="247">
        <f t="shared" si="3634"/>
        <v>-9.1000000000008185E-2</v>
      </c>
      <c r="CP237" s="247">
        <f t="shared" si="3634"/>
        <v>0</v>
      </c>
      <c r="CQ237" s="247">
        <f t="shared" si="3634"/>
        <v>0</v>
      </c>
      <c r="CR237" s="247">
        <f t="shared" si="3634"/>
        <v>0</v>
      </c>
      <c r="CS237" s="247">
        <f t="shared" si="3634"/>
        <v>0</v>
      </c>
      <c r="CT237" s="247">
        <f t="shared" si="3634"/>
        <v>0</v>
      </c>
      <c r="CU237" s="247">
        <f t="shared" si="3634"/>
        <v>0</v>
      </c>
      <c r="CV237" s="247">
        <f t="shared" si="3634"/>
        <v>0</v>
      </c>
      <c r="CW237" s="247"/>
      <c r="CX237" s="247">
        <f>CX108-CX361</f>
        <v>0</v>
      </c>
      <c r="CY237" s="247">
        <f>CY108-CY361</f>
        <v>-1.7999999999574356E-2</v>
      </c>
      <c r="CZ237" s="247">
        <f>CZ108-CZ361</f>
        <v>-8.9999999999861302E-3</v>
      </c>
      <c r="DA237" s="247">
        <f>DA108-DA361</f>
        <v>0</v>
      </c>
      <c r="DB237" s="247">
        <f>DB108-DB361</f>
        <v>0</v>
      </c>
      <c r="DC237" s="247">
        <f>DC108-DC361</f>
        <v>0</v>
      </c>
      <c r="DD237" s="247"/>
      <c r="DE237" s="247">
        <f t="shared" ref="DE237:EG237" si="3635">DE108-DE361</f>
        <v>0</v>
      </c>
      <c r="DF237" s="247">
        <f t="shared" si="3635"/>
        <v>0</v>
      </c>
      <c r="DG237" s="247">
        <f t="shared" si="3635"/>
        <v>-25.299999999999997</v>
      </c>
      <c r="DH237" s="247">
        <f t="shared" si="3635"/>
        <v>0</v>
      </c>
      <c r="DI237" s="247">
        <f t="shared" si="3635"/>
        <v>0</v>
      </c>
      <c r="DJ237" s="247">
        <f t="shared" si="3635"/>
        <v>0</v>
      </c>
      <c r="DK237" s="247">
        <f t="shared" si="3635"/>
        <v>0</v>
      </c>
      <c r="DL237" s="247">
        <f t="shared" si="3635"/>
        <v>0</v>
      </c>
      <c r="DM237" s="247">
        <f t="shared" si="3635"/>
        <v>0</v>
      </c>
      <c r="DN237" s="247">
        <f t="shared" si="3635"/>
        <v>0</v>
      </c>
      <c r="DO237" s="247">
        <f t="shared" si="3635"/>
        <v>0</v>
      </c>
      <c r="DP237" s="247">
        <f t="shared" si="3635"/>
        <v>0</v>
      </c>
      <c r="DQ237" s="247">
        <f t="shared" si="3635"/>
        <v>0</v>
      </c>
      <c r="DR237" s="247">
        <f t="shared" si="3635"/>
        <v>0</v>
      </c>
      <c r="DS237" s="247">
        <f t="shared" si="3635"/>
        <v>0</v>
      </c>
      <c r="DT237" s="247">
        <f t="shared" si="3635"/>
        <v>-4.460000000000008</v>
      </c>
      <c r="DU237" s="247">
        <f t="shared" si="3635"/>
        <v>-2.4639999999999986</v>
      </c>
      <c r="DV237" s="247">
        <f t="shared" si="3635"/>
        <v>0</v>
      </c>
      <c r="DW237" s="247">
        <f t="shared" si="3635"/>
        <v>0.15894750826272075</v>
      </c>
      <c r="DX237" s="247">
        <f t="shared" si="3635"/>
        <v>-1.6260000000000048</v>
      </c>
      <c r="DY237" s="247">
        <f t="shared" si="3635"/>
        <v>-1.600345731625652E-3</v>
      </c>
      <c r="DZ237" s="247">
        <f t="shared" si="3635"/>
        <v>0</v>
      </c>
      <c r="EA237" s="247">
        <f t="shared" si="3635"/>
        <v>0</v>
      </c>
      <c r="EB237" s="247">
        <f t="shared" si="3635"/>
        <v>0</v>
      </c>
      <c r="EC237" s="247">
        <f t="shared" si="3635"/>
        <v>0</v>
      </c>
      <c r="ED237" s="247">
        <f t="shared" si="3635"/>
        <v>0</v>
      </c>
      <c r="EE237" s="247">
        <f t="shared" si="3635"/>
        <v>0</v>
      </c>
      <c r="EF237" s="247">
        <f t="shared" si="3635"/>
        <v>0</v>
      </c>
      <c r="EG237" s="247">
        <f t="shared" si="3635"/>
        <v>0.1573471625310951</v>
      </c>
    </row>
    <row r="238" spans="1:137" ht="11.25" customHeight="1">
      <c r="A238" s="157">
        <v>45292</v>
      </c>
      <c r="B238" s="247">
        <f>B109-B362</f>
        <v>-16.556999999999789</v>
      </c>
      <c r="C238" s="247">
        <f>C109-C362</f>
        <v>-0.55189999999998918</v>
      </c>
      <c r="D238" s="247">
        <f>D109-D362</f>
        <v>-0.55189999999998918</v>
      </c>
      <c r="E238" s="247">
        <f>E109-E362</f>
        <v>-2.9707180536118205E-3</v>
      </c>
      <c r="F238" s="247">
        <f>F109-F362</f>
        <v>-11.779000000000451</v>
      </c>
      <c r="G238" s="247">
        <f>G109-G362</f>
        <v>-10.130000000000109</v>
      </c>
      <c r="H238" s="247">
        <f>H109-H362</f>
        <v>-1.6490000000000009</v>
      </c>
      <c r="I238" s="247">
        <f t="shared" ref="I238:AB238" si="3636">I109-I362</f>
        <v>-14.438999999999965</v>
      </c>
      <c r="J238" s="247">
        <f t="shared" si="3636"/>
        <v>4.1983240165066604E-3</v>
      </c>
      <c r="K238" s="247">
        <f t="shared" si="3636"/>
        <v>9.8212345753552199E-3</v>
      </c>
      <c r="L238" s="247">
        <f t="shared" si="3636"/>
        <v>9.8212345753552199E-3</v>
      </c>
      <c r="M238" s="247">
        <f t="shared" si="3636"/>
        <v>-0.28499999999996817</v>
      </c>
      <c r="N238" s="247">
        <f t="shared" si="3636"/>
        <v>4.4000000000004036E-2</v>
      </c>
      <c r="O238" s="247">
        <f t="shared" si="3636"/>
        <v>-6.2480000000000473</v>
      </c>
      <c r="P238" s="247">
        <f t="shared" si="3636"/>
        <v>-0.49500000000011823</v>
      </c>
      <c r="Q238" s="247">
        <f t="shared" si="3636"/>
        <v>-0.36800000000005184</v>
      </c>
      <c r="R238" s="247">
        <f t="shared" si="3636"/>
        <v>-0.12700000000000955</v>
      </c>
      <c r="S238" s="247">
        <f t="shared" si="3636"/>
        <v>0</v>
      </c>
      <c r="T238" s="247">
        <f t="shared" si="3636"/>
        <v>-0.22100000000000364</v>
      </c>
      <c r="U238" s="247">
        <f t="shared" si="3636"/>
        <v>-0.71600000000012187</v>
      </c>
      <c r="V238" s="247">
        <f t="shared" si="3636"/>
        <v>-4.7525961720351617E-4</v>
      </c>
      <c r="W238" s="247">
        <f t="shared" si="3636"/>
        <v>1.2087996863758832E-3</v>
      </c>
      <c r="X238" s="247">
        <f t="shared" si="3636"/>
        <v>1.2087996863758832E-3</v>
      </c>
      <c r="Y238" s="247">
        <f t="shared" si="3636"/>
        <v>1.1030034261729327E-2</v>
      </c>
      <c r="Z238" s="247">
        <f t="shared" si="3636"/>
        <v>-1.3110000000001492</v>
      </c>
      <c r="AA238" s="247">
        <f t="shared" si="3636"/>
        <v>-1.2739999999998872</v>
      </c>
      <c r="AB238" s="247">
        <f t="shared" si="3636"/>
        <v>-7.6338831309745447E-6</v>
      </c>
      <c r="AC238" s="247">
        <f>AC109-AC362</f>
        <v>0</v>
      </c>
      <c r="AD238" s="247">
        <f>AD109-AD362</f>
        <v>-0.91900000000009641</v>
      </c>
      <c r="AE238" s="247">
        <f>AE109-AE362</f>
        <v>-0.91900000000009641</v>
      </c>
      <c r="AF238" s="247">
        <f>AF109-AF362</f>
        <v>0</v>
      </c>
      <c r="AG238" s="248"/>
      <c r="AH238" s="247"/>
      <c r="AI238" s="247">
        <f t="shared" ref="AI238:BN238" si="3637">AI109-AI362</f>
        <v>0</v>
      </c>
      <c r="AJ238" s="247">
        <f t="shared" si="3637"/>
        <v>0</v>
      </c>
      <c r="AK238" s="247">
        <f t="shared" si="3637"/>
        <v>0</v>
      </c>
      <c r="AL238" s="247">
        <f t="shared" si="3637"/>
        <v>0</v>
      </c>
      <c r="AM238" s="247">
        <f t="shared" si="3637"/>
        <v>0</v>
      </c>
      <c r="AN238" s="247">
        <f t="shared" si="3637"/>
        <v>-4.1983240165066604E-3</v>
      </c>
      <c r="AO238" s="247">
        <f t="shared" si="3637"/>
        <v>0</v>
      </c>
      <c r="AP238" s="247">
        <f t="shared" si="3637"/>
        <v>0</v>
      </c>
      <c r="AQ238" s="247">
        <f t="shared" si="3637"/>
        <v>0</v>
      </c>
      <c r="AR238" s="247">
        <f t="shared" si="3637"/>
        <v>-1.2087996863758832E-3</v>
      </c>
      <c r="AS238" s="247">
        <f t="shared" si="3637"/>
        <v>0</v>
      </c>
      <c r="AT238" s="247">
        <f t="shared" si="3637"/>
        <v>-5.4529999999999745</v>
      </c>
      <c r="AU238" s="247">
        <f t="shared" si="3637"/>
        <v>-0.18176666666666819</v>
      </c>
      <c r="AV238" s="247">
        <f t="shared" si="3637"/>
        <v>0</v>
      </c>
      <c r="AW238" s="247">
        <f t="shared" si="3637"/>
        <v>0</v>
      </c>
      <c r="AX238" s="247">
        <f t="shared" si="3637"/>
        <v>0.19733540533289329</v>
      </c>
      <c r="AY238" s="247">
        <f t="shared" si="3637"/>
        <v>0.19313708131638663</v>
      </c>
      <c r="AZ238" s="247">
        <f t="shared" si="3637"/>
        <v>0</v>
      </c>
      <c r="BA238" s="247">
        <f t="shared" si="3637"/>
        <v>0</v>
      </c>
      <c r="BB238" s="247">
        <f t="shared" si="3637"/>
        <v>5.2621653521269351E-2</v>
      </c>
      <c r="BC238" s="247">
        <f t="shared" si="3637"/>
        <v>5.1412853834893468E-2</v>
      </c>
      <c r="BD238" s="247">
        <f t="shared" si="3637"/>
        <v>0.24995705885415731</v>
      </c>
      <c r="BE238" s="247">
        <f t="shared" si="3637"/>
        <v>-11.104000000000042</v>
      </c>
      <c r="BF238" s="247">
        <f t="shared" si="3637"/>
        <v>-0.3701333333333352</v>
      </c>
      <c r="BG238" s="247">
        <f t="shared" si="3637"/>
        <v>0</v>
      </c>
      <c r="BH238" s="247">
        <f t="shared" si="3637"/>
        <v>0</v>
      </c>
      <c r="BI238" s="247">
        <f t="shared" si="3637"/>
        <v>0.36178734611123531</v>
      </c>
      <c r="BJ238" s="247">
        <f t="shared" si="3637"/>
        <v>0.35758902209472865</v>
      </c>
      <c r="BK238" s="247">
        <f t="shared" si="3637"/>
        <v>0</v>
      </c>
      <c r="BL238" s="247">
        <f t="shared" si="3637"/>
        <v>0</v>
      </c>
      <c r="BM238" s="247">
        <f t="shared" si="3637"/>
        <v>3.1192485207370986</v>
      </c>
      <c r="BN238" s="247">
        <f t="shared" si="3637"/>
        <v>3.1180397210507227</v>
      </c>
      <c r="BO238" s="247">
        <f t="shared" ref="BO238:CV238" si="3638">BO109-BO362</f>
        <v>3.4810358668483303</v>
      </c>
      <c r="BP238" s="247">
        <f t="shared" si="3638"/>
        <v>0</v>
      </c>
      <c r="BQ238" s="247">
        <f t="shared" si="3638"/>
        <v>0</v>
      </c>
      <c r="BR238" s="247">
        <f t="shared" si="3638"/>
        <v>0</v>
      </c>
      <c r="BS238" s="247">
        <f t="shared" si="3638"/>
        <v>0</v>
      </c>
      <c r="BT238" s="247">
        <f t="shared" si="3638"/>
        <v>0</v>
      </c>
      <c r="BU238" s="247">
        <f t="shared" si="3638"/>
        <v>-4.1983240165066604E-3</v>
      </c>
      <c r="BV238" s="247">
        <f t="shared" si="3638"/>
        <v>0</v>
      </c>
      <c r="BW238" s="247">
        <f t="shared" si="3638"/>
        <v>0</v>
      </c>
      <c r="BX238" s="247">
        <f t="shared" si="3638"/>
        <v>0</v>
      </c>
      <c r="BY238" s="247">
        <f t="shared" si="3638"/>
        <v>-1.2087996863758832E-3</v>
      </c>
      <c r="BZ238" s="247">
        <f t="shared" si="3638"/>
        <v>0</v>
      </c>
      <c r="CA238" s="247">
        <f t="shared" si="3638"/>
        <v>0</v>
      </c>
      <c r="CB238" s="247">
        <f t="shared" si="3638"/>
        <v>0</v>
      </c>
      <c r="CC238" s="247">
        <f t="shared" si="3638"/>
        <v>0</v>
      </c>
      <c r="CD238" s="247">
        <f t="shared" si="3638"/>
        <v>0</v>
      </c>
      <c r="CE238" s="247">
        <f t="shared" si="3638"/>
        <v>0</v>
      </c>
      <c r="CF238" s="247">
        <f t="shared" si="3638"/>
        <v>-4.1983240165066604E-3</v>
      </c>
      <c r="CG238" s="247">
        <f t="shared" si="3638"/>
        <v>0</v>
      </c>
      <c r="CH238" s="247">
        <f t="shared" si="3638"/>
        <v>0</v>
      </c>
      <c r="CI238" s="247">
        <f t="shared" si="3638"/>
        <v>0</v>
      </c>
      <c r="CJ238" s="247">
        <f t="shared" si="3638"/>
        <v>-1.2087996863758832E-3</v>
      </c>
      <c r="CK238" s="247">
        <f t="shared" si="3638"/>
        <v>0</v>
      </c>
      <c r="CL238" s="247">
        <f t="shared" si="3638"/>
        <v>0</v>
      </c>
      <c r="CM238" s="247">
        <f t="shared" si="3638"/>
        <v>0</v>
      </c>
      <c r="CN238" s="247">
        <f t="shared" si="3638"/>
        <v>0</v>
      </c>
      <c r="CO238" s="247">
        <f t="shared" si="3638"/>
        <v>0</v>
      </c>
      <c r="CP238" s="247">
        <f t="shared" si="3638"/>
        <v>0</v>
      </c>
      <c r="CQ238" s="247">
        <f t="shared" si="3638"/>
        <v>-4.1983240165066604E-3</v>
      </c>
      <c r="CR238" s="247">
        <f t="shared" si="3638"/>
        <v>0</v>
      </c>
      <c r="CS238" s="247">
        <f t="shared" si="3638"/>
        <v>0</v>
      </c>
      <c r="CT238" s="247">
        <f t="shared" si="3638"/>
        <v>0</v>
      </c>
      <c r="CU238" s="247">
        <f t="shared" si="3638"/>
        <v>-1.2087996863758832E-3</v>
      </c>
      <c r="CV238" s="247">
        <f t="shared" si="3638"/>
        <v>0</v>
      </c>
      <c r="CW238" s="247"/>
      <c r="CX238" s="247">
        <f>CX109-CX362</f>
        <v>0</v>
      </c>
      <c r="CY238" s="247">
        <f>CY109-CY362</f>
        <v>-11.779000000000792</v>
      </c>
      <c r="CZ238" s="247">
        <f>CZ109-CZ362</f>
        <v>-14.438999999999993</v>
      </c>
      <c r="DA238" s="247">
        <f>DA109-DA362</f>
        <v>-6.2479999999999336</v>
      </c>
      <c r="DB238" s="247">
        <f>DB109-DB362</f>
        <v>-0.36800000000005184</v>
      </c>
      <c r="DC238" s="247">
        <f>DC109-DC362</f>
        <v>0</v>
      </c>
      <c r="DD238" s="247"/>
      <c r="DE238" s="247">
        <f t="shared" ref="DE238:EG238" si="3639">DE109-DE362</f>
        <v>0</v>
      </c>
      <c r="DF238" s="247">
        <f t="shared" si="3639"/>
        <v>0</v>
      </c>
      <c r="DG238" s="247">
        <f t="shared" si="3639"/>
        <v>-32.299999999999997</v>
      </c>
      <c r="DH238" s="247">
        <f t="shared" si="3639"/>
        <v>0</v>
      </c>
      <c r="DI238" s="247">
        <f t="shared" si="3639"/>
        <v>0</v>
      </c>
      <c r="DJ238" s="247">
        <f t="shared" si="3639"/>
        <v>0</v>
      </c>
      <c r="DK238" s="247">
        <f t="shared" si="3639"/>
        <v>0</v>
      </c>
      <c r="DL238" s="247">
        <f t="shared" si="3639"/>
        <v>0</v>
      </c>
      <c r="DM238" s="247">
        <f t="shared" si="3639"/>
        <v>0</v>
      </c>
      <c r="DN238" s="247">
        <f t="shared" si="3639"/>
        <v>0</v>
      </c>
      <c r="DO238" s="247">
        <f t="shared" si="3639"/>
        <v>0</v>
      </c>
      <c r="DP238" s="247">
        <f t="shared" si="3639"/>
        <v>0</v>
      </c>
      <c r="DQ238" s="247">
        <f t="shared" si="3639"/>
        <v>0</v>
      </c>
      <c r="DR238" s="247">
        <f t="shared" si="3639"/>
        <v>0</v>
      </c>
      <c r="DS238" s="247">
        <f t="shared" si="3639"/>
        <v>0</v>
      </c>
      <c r="DT238" s="247">
        <f t="shared" si="3639"/>
        <v>0</v>
      </c>
      <c r="DU238" s="247">
        <f t="shared" si="3639"/>
        <v>0</v>
      </c>
      <c r="DV238" s="247">
        <f t="shared" si="3639"/>
        <v>0</v>
      </c>
      <c r="DW238" s="247">
        <f t="shared" si="3639"/>
        <v>0.1819878084455373</v>
      </c>
      <c r="DX238" s="247">
        <f t="shared" si="3639"/>
        <v>0</v>
      </c>
      <c r="DY238" s="247">
        <f t="shared" si="3639"/>
        <v>0</v>
      </c>
      <c r="DZ238" s="247">
        <f t="shared" si="3639"/>
        <v>0</v>
      </c>
      <c r="EA238" s="247">
        <f t="shared" si="3639"/>
        <v>0</v>
      </c>
      <c r="EB238" s="247">
        <f t="shared" si="3639"/>
        <v>0</v>
      </c>
      <c r="EC238" s="247">
        <f t="shared" si="3639"/>
        <v>0</v>
      </c>
      <c r="ED238" s="247">
        <f t="shared" si="3639"/>
        <v>0</v>
      </c>
      <c r="EE238" s="247">
        <f t="shared" si="3639"/>
        <v>0</v>
      </c>
      <c r="EF238" s="247">
        <f t="shared" si="3639"/>
        <v>0</v>
      </c>
      <c r="EG238" s="247">
        <f t="shared" si="3639"/>
        <v>0.1819878084455373</v>
      </c>
    </row>
    <row r="239" spans="1:137" ht="11.25" customHeight="1">
      <c r="A239" s="157">
        <v>45323</v>
      </c>
      <c r="B239" s="247">
        <f>B110-B363</f>
        <v>-14.721000000000458</v>
      </c>
      <c r="C239" s="247">
        <f>C110-C363</f>
        <v>-0.49070000000000391</v>
      </c>
      <c r="D239" s="247">
        <f>D110-D363</f>
        <v>-0.49070000000000391</v>
      </c>
      <c r="E239" s="247">
        <f>E110-E363</f>
        <v>-2.6354232682039846E-3</v>
      </c>
      <c r="F239" s="247">
        <f>F110-F363</f>
        <v>-10.078000000000429</v>
      </c>
      <c r="G239" s="247">
        <f>G110-G363</f>
        <v>-8.6019999999998618</v>
      </c>
      <c r="H239" s="247">
        <f>H110-H363</f>
        <v>-1.4759999999999991</v>
      </c>
      <c r="I239" s="247">
        <f t="shared" ref="I239:AB239" si="3640">I110-I363</f>
        <v>10.662000000000035</v>
      </c>
      <c r="J239" s="247">
        <f t="shared" si="3640"/>
        <v>7.4502791115662603E-3</v>
      </c>
      <c r="K239" s="247">
        <f t="shared" si="3640"/>
        <v>1.029392863097911E-2</v>
      </c>
      <c r="L239" s="247">
        <f t="shared" si="3640"/>
        <v>-47.069706071369019</v>
      </c>
      <c r="M239" s="247">
        <f t="shared" si="3640"/>
        <v>-0.45699999999999363</v>
      </c>
      <c r="N239" s="247">
        <f t="shared" si="3640"/>
        <v>-1.1000000000002785E-2</v>
      </c>
      <c r="O239" s="247">
        <f t="shared" si="3640"/>
        <v>-4.1420000000002801</v>
      </c>
      <c r="P239" s="247">
        <f t="shared" si="3640"/>
        <v>-3.9999999999054126E-3</v>
      </c>
      <c r="Q239" s="247">
        <f t="shared" si="3640"/>
        <v>-1.1529999999999063</v>
      </c>
      <c r="R239" s="247">
        <f t="shared" si="3640"/>
        <v>1.1550000000000296</v>
      </c>
      <c r="S239" s="247">
        <f t="shared" si="3640"/>
        <v>0</v>
      </c>
      <c r="T239" s="247">
        <f t="shared" si="3640"/>
        <v>1.0099999999999909</v>
      </c>
      <c r="U239" s="247">
        <f t="shared" si="3640"/>
        <v>1.0060000000003129</v>
      </c>
      <c r="V239" s="247">
        <f t="shared" si="3640"/>
        <v>5.9532228180070312E-4</v>
      </c>
      <c r="W239" s="247">
        <f t="shared" si="3640"/>
        <v>8.5724608827479898E-3</v>
      </c>
      <c r="X239" s="247">
        <f t="shared" si="3640"/>
        <v>8.5724608827479898E-3</v>
      </c>
      <c r="Y239" s="247">
        <f t="shared" si="3640"/>
        <v>1.8866389513725323E-2</v>
      </c>
      <c r="Z239" s="247">
        <f t="shared" si="3640"/>
        <v>-0.6430000000000291</v>
      </c>
      <c r="AA239" s="247">
        <f t="shared" si="3640"/>
        <v>-0.5669999999997799</v>
      </c>
      <c r="AB239" s="247">
        <f t="shared" si="3640"/>
        <v>-4.0115885328245032E-5</v>
      </c>
      <c r="AC239" s="247">
        <f>AC110-AC363</f>
        <v>-0.18131589200811504</v>
      </c>
      <c r="AD239" s="247">
        <f>AD110-AD363</f>
        <v>-2.3129999999998745</v>
      </c>
      <c r="AE239" s="247">
        <f>AE110-AE363</f>
        <v>-3.3529999999998381</v>
      </c>
      <c r="AF239" s="247">
        <f>AF110-AF363</f>
        <v>-0.95999999999997954</v>
      </c>
      <c r="AG239" s="248"/>
      <c r="AH239" s="247"/>
      <c r="AI239" s="247">
        <f t="shared" ref="AI239:BN239" si="3641">AI110-AI363</f>
        <v>1.999999999998181E-2</v>
      </c>
      <c r="AJ239" s="247">
        <f t="shared" si="3641"/>
        <v>6.6666666666748142E-4</v>
      </c>
      <c r="AK239" s="247">
        <f t="shared" si="3641"/>
        <v>0</v>
      </c>
      <c r="AL239" s="247">
        <f t="shared" si="3641"/>
        <v>0</v>
      </c>
      <c r="AM239" s="247">
        <f t="shared" si="3641"/>
        <v>-1.3511616360304401E-3</v>
      </c>
      <c r="AN239" s="247">
        <f t="shared" si="3641"/>
        <v>-8.8014407475967005E-3</v>
      </c>
      <c r="AO239" s="247">
        <f t="shared" si="3641"/>
        <v>0</v>
      </c>
      <c r="AP239" s="247">
        <f t="shared" si="3641"/>
        <v>0</v>
      </c>
      <c r="AQ239" s="247">
        <f t="shared" si="3641"/>
        <v>-3.9750071255895136E-4</v>
      </c>
      <c r="AR239" s="247">
        <f t="shared" si="3641"/>
        <v>-8.9699615953069411E-3</v>
      </c>
      <c r="AS239" s="247">
        <f t="shared" si="3641"/>
        <v>-1.7486623485893915E-3</v>
      </c>
      <c r="AT239" s="247">
        <f t="shared" si="3641"/>
        <v>-5.4289999999998599</v>
      </c>
      <c r="AU239" s="247">
        <f t="shared" si="3641"/>
        <v>-0.18096666666666295</v>
      </c>
      <c r="AV239" s="247">
        <f t="shared" si="3641"/>
        <v>-4.1599999999999682</v>
      </c>
      <c r="AW239" s="247">
        <f t="shared" si="3641"/>
        <v>-7.6000000000000512E-2</v>
      </c>
      <c r="AX239" s="247">
        <f t="shared" si="3641"/>
        <v>-8.0598016746833423E-3</v>
      </c>
      <c r="AY239" s="247">
        <f t="shared" si="3641"/>
        <v>-1.5510080786249603E-2</v>
      </c>
      <c r="AZ239" s="247">
        <f t="shared" si="3641"/>
        <v>-1.6909999999999741</v>
      </c>
      <c r="BA239" s="247">
        <f t="shared" si="3641"/>
        <v>-0.18600000000000705</v>
      </c>
      <c r="BB239" s="247">
        <f t="shared" si="3641"/>
        <v>1.0249068650017179E-2</v>
      </c>
      <c r="BC239" s="247">
        <f t="shared" si="3641"/>
        <v>1.6766077672691893E-3</v>
      </c>
      <c r="BD239" s="247">
        <f t="shared" si="3641"/>
        <v>2.1892669753285077E-3</v>
      </c>
      <c r="BE239" s="247">
        <f t="shared" si="3641"/>
        <v>-9.2919999999999163</v>
      </c>
      <c r="BF239" s="247">
        <f t="shared" si="3641"/>
        <v>-0.30973333333333386</v>
      </c>
      <c r="BG239" s="247">
        <f t="shared" si="3641"/>
        <v>-5.9180000000000064</v>
      </c>
      <c r="BH239" s="247">
        <f t="shared" si="3641"/>
        <v>-0.80400000000000205</v>
      </c>
      <c r="BI239" s="247">
        <f t="shared" si="3641"/>
        <v>4.2221940873368169E-2</v>
      </c>
      <c r="BJ239" s="247">
        <f t="shared" si="3641"/>
        <v>3.4771661761801909E-2</v>
      </c>
      <c r="BK239" s="247">
        <f t="shared" si="3641"/>
        <v>-2.450999999999965</v>
      </c>
      <c r="BL239" s="247">
        <f t="shared" si="3641"/>
        <v>-0.96699999999998454</v>
      </c>
      <c r="BM239" s="247" t="e">
        <f t="shared" si="3641"/>
        <v>#REF!</v>
      </c>
      <c r="BN239" s="247" t="e">
        <f t="shared" si="3641"/>
        <v>#REF!</v>
      </c>
      <c r="BO239" s="247" t="e">
        <f t="shared" ref="BO239:CV239" si="3642">BO110-BO363</f>
        <v>#REF!</v>
      </c>
      <c r="BP239" s="247">
        <f t="shared" si="3642"/>
        <v>0</v>
      </c>
      <c r="BQ239" s="247">
        <f t="shared" si="3642"/>
        <v>0</v>
      </c>
      <c r="BR239" s="247">
        <f t="shared" si="3642"/>
        <v>0</v>
      </c>
      <c r="BS239" s="247">
        <f t="shared" si="3642"/>
        <v>0</v>
      </c>
      <c r="BT239" s="247">
        <f t="shared" si="3642"/>
        <v>20.876741863938012</v>
      </c>
      <c r="BU239" s="247">
        <f t="shared" si="3642"/>
        <v>20.869291584826446</v>
      </c>
      <c r="BV239" s="247">
        <f t="shared" si="3642"/>
        <v>0</v>
      </c>
      <c r="BW239" s="247">
        <f t="shared" si="3642"/>
        <v>0</v>
      </c>
      <c r="BX239" s="247">
        <f t="shared" si="3642"/>
        <v>0</v>
      </c>
      <c r="BY239" s="247">
        <f t="shared" si="3642"/>
        <v>-8.5724608827479898E-3</v>
      </c>
      <c r="BZ239" s="247">
        <f t="shared" si="3642"/>
        <v>20.876741863938015</v>
      </c>
      <c r="CA239" s="247">
        <f t="shared" si="3642"/>
        <v>0</v>
      </c>
      <c r="CB239" s="247">
        <f t="shared" si="3642"/>
        <v>0</v>
      </c>
      <c r="CC239" s="247">
        <f t="shared" si="3642"/>
        <v>0</v>
      </c>
      <c r="CD239" s="247">
        <f t="shared" si="3642"/>
        <v>0</v>
      </c>
      <c r="CE239" s="247">
        <f t="shared" si="3642"/>
        <v>0</v>
      </c>
      <c r="CF239" s="247">
        <f t="shared" si="3642"/>
        <v>-7.4502791115662603E-3</v>
      </c>
      <c r="CG239" s="247">
        <f t="shared" si="3642"/>
        <v>0</v>
      </c>
      <c r="CH239" s="247">
        <f t="shared" si="3642"/>
        <v>0</v>
      </c>
      <c r="CI239" s="247">
        <f t="shared" si="3642"/>
        <v>0</v>
      </c>
      <c r="CJ239" s="247">
        <f t="shared" si="3642"/>
        <v>-8.5724608827479898E-3</v>
      </c>
      <c r="CK239" s="247">
        <f t="shared" si="3642"/>
        <v>0</v>
      </c>
      <c r="CL239" s="247">
        <f t="shared" si="3642"/>
        <v>0</v>
      </c>
      <c r="CM239" s="247">
        <f t="shared" si="3642"/>
        <v>0</v>
      </c>
      <c r="CN239" s="247">
        <f t="shared" si="3642"/>
        <v>0</v>
      </c>
      <c r="CO239" s="247">
        <f t="shared" si="3642"/>
        <v>0</v>
      </c>
      <c r="CP239" s="247">
        <f t="shared" si="3642"/>
        <v>0</v>
      </c>
      <c r="CQ239" s="247">
        <f t="shared" si="3642"/>
        <v>-7.4502791115662603E-3</v>
      </c>
      <c r="CR239" s="247">
        <f t="shared" si="3642"/>
        <v>0</v>
      </c>
      <c r="CS239" s="247">
        <f t="shared" si="3642"/>
        <v>0</v>
      </c>
      <c r="CT239" s="247">
        <f t="shared" si="3642"/>
        <v>0</v>
      </c>
      <c r="CU239" s="247">
        <f t="shared" si="3642"/>
        <v>-8.5724608827479898E-3</v>
      </c>
      <c r="CV239" s="247">
        <f t="shared" si="3642"/>
        <v>0</v>
      </c>
      <c r="CW239" s="247"/>
      <c r="CX239" s="247">
        <f>CX110-CX363</f>
        <v>-6.6666666668169228E-4</v>
      </c>
      <c r="CY239" s="247">
        <f>CY110-CY363</f>
        <v>0</v>
      </c>
      <c r="CZ239" s="247">
        <f>CZ110-CZ363</f>
        <v>11.542000000000055</v>
      </c>
      <c r="DA239" s="247">
        <f>DA110-DA363</f>
        <v>0</v>
      </c>
      <c r="DB239" s="247">
        <f>DB110-DB363</f>
        <v>1.1368683772161603E-13</v>
      </c>
      <c r="DC239" s="247">
        <f>DC110-DC363</f>
        <v>-6.0000000000286491E-3</v>
      </c>
      <c r="DD239" s="247"/>
      <c r="DE239" s="247">
        <f t="shared" ref="DE239:EG239" si="3643">DE110-DE363</f>
        <v>0</v>
      </c>
      <c r="DF239" s="247">
        <f t="shared" si="3643"/>
        <v>0</v>
      </c>
      <c r="DG239" s="247">
        <f t="shared" si="3643"/>
        <v>-49.1</v>
      </c>
      <c r="DH239" s="247">
        <f t="shared" si="3643"/>
        <v>-0.23454521590759947</v>
      </c>
      <c r="DI239" s="247">
        <f t="shared" si="3643"/>
        <v>0</v>
      </c>
      <c r="DJ239" s="247">
        <f t="shared" si="3643"/>
        <v>0</v>
      </c>
      <c r="DK239" s="247">
        <f t="shared" si="3643"/>
        <v>0</v>
      </c>
      <c r="DL239" s="247">
        <f t="shared" si="3643"/>
        <v>0</v>
      </c>
      <c r="DM239" s="247">
        <f t="shared" si="3643"/>
        <v>0</v>
      </c>
      <c r="DN239" s="247">
        <f t="shared" si="3643"/>
        <v>0</v>
      </c>
      <c r="DO239" s="247">
        <f t="shared" si="3643"/>
        <v>-0.30000000000000426</v>
      </c>
      <c r="DP239" s="247">
        <f t="shared" si="3643"/>
        <v>-1.3300000000000125</v>
      </c>
      <c r="DQ239" s="247">
        <f t="shared" si="3643"/>
        <v>-1.6300000000000239</v>
      </c>
      <c r="DR239" s="247">
        <f t="shared" si="3643"/>
        <v>-0.23454521590759958</v>
      </c>
      <c r="DS239" s="247">
        <f t="shared" si="3643"/>
        <v>0</v>
      </c>
      <c r="DT239" s="247">
        <f t="shared" si="3643"/>
        <v>0</v>
      </c>
      <c r="DU239" s="247">
        <f t="shared" si="3643"/>
        <v>0</v>
      </c>
      <c r="DV239" s="247">
        <f t="shared" si="3643"/>
        <v>0</v>
      </c>
      <c r="DW239" s="247">
        <f t="shared" si="3643"/>
        <v>0.13918620603207543</v>
      </c>
      <c r="DX239" s="247">
        <f t="shared" si="3643"/>
        <v>0</v>
      </c>
      <c r="DY239" s="247">
        <f t="shared" si="3643"/>
        <v>0</v>
      </c>
      <c r="DZ239" s="247">
        <f t="shared" si="3643"/>
        <v>0</v>
      </c>
      <c r="EA239" s="247">
        <f t="shared" si="3643"/>
        <v>0</v>
      </c>
      <c r="EB239" s="247">
        <f t="shared" si="3643"/>
        <v>0</v>
      </c>
      <c r="EC239" s="247">
        <f t="shared" si="3643"/>
        <v>0</v>
      </c>
      <c r="ED239" s="247">
        <f t="shared" si="3643"/>
        <v>0</v>
      </c>
      <c r="EE239" s="247">
        <f t="shared" si="3643"/>
        <v>0</v>
      </c>
      <c r="EF239" s="247">
        <f t="shared" si="3643"/>
        <v>0</v>
      </c>
      <c r="EG239" s="247">
        <f t="shared" si="3643"/>
        <v>0.13918620603207543</v>
      </c>
    </row>
    <row r="240" spans="1:137" ht="11.25" customHeight="1">
      <c r="A240" s="157">
        <v>45352</v>
      </c>
      <c r="B240" s="247">
        <f>B111-B364</f>
        <v>-5.7030000000004293</v>
      </c>
      <c r="C240" s="247">
        <f>C111-C364</f>
        <v>-0.19010000000002947</v>
      </c>
      <c r="D240" s="247">
        <f>D111-D364</f>
        <v>-0.19010000000002947</v>
      </c>
      <c r="E240" s="247">
        <f>E111-E364</f>
        <v>-9.6789303789091008E-4</v>
      </c>
      <c r="F240" s="247">
        <f>F111-F364</f>
        <v>-4.3700000000008004</v>
      </c>
      <c r="G240" s="247">
        <f>G111-G364</f>
        <v>-4.3699999999998909</v>
      </c>
      <c r="H240" s="247">
        <f>H111-H364</f>
        <v>0</v>
      </c>
      <c r="I240" s="247">
        <f t="shared" ref="I240:AB240" si="3644">I111-I364</f>
        <v>-187.77299999999997</v>
      </c>
      <c r="J240" s="247">
        <f t="shared" si="3644"/>
        <v>-1.7730880413040495E-3</v>
      </c>
      <c r="K240" s="247">
        <f t="shared" si="3644"/>
        <v>-1.842347018329292</v>
      </c>
      <c r="L240" s="247">
        <f t="shared" si="3644"/>
        <v>-1.842347018329292</v>
      </c>
      <c r="M240" s="247">
        <f t="shared" si="3644"/>
        <v>-187.77299999999997</v>
      </c>
      <c r="N240" s="247">
        <f t="shared" si="3644"/>
        <v>0</v>
      </c>
      <c r="O240" s="247">
        <f t="shared" si="3644"/>
        <v>-1.7750000000000909</v>
      </c>
      <c r="P240" s="247">
        <f t="shared" si="3644"/>
        <v>-0.32600000000002183</v>
      </c>
      <c r="Q240" s="247">
        <f t="shared" si="3644"/>
        <v>-0.1999999999998181</v>
      </c>
      <c r="R240" s="247">
        <f t="shared" si="3644"/>
        <v>-0.12599999999997635</v>
      </c>
      <c r="S240" s="247">
        <f t="shared" si="3644"/>
        <v>0</v>
      </c>
      <c r="T240" s="247">
        <f t="shared" si="3644"/>
        <v>-0.22700000000003229</v>
      </c>
      <c r="U240" s="247">
        <f t="shared" si="3644"/>
        <v>-0.55299999999988358</v>
      </c>
      <c r="V240" s="247">
        <f t="shared" si="3644"/>
        <v>-2.9877776661191291E-4</v>
      </c>
      <c r="W240" s="247">
        <f t="shared" si="3644"/>
        <v>2.3076333600915433E-3</v>
      </c>
      <c r="X240" s="247">
        <f t="shared" si="3644"/>
        <v>2.3076333600915433E-3</v>
      </c>
      <c r="Y240" s="247">
        <f t="shared" si="3644"/>
        <v>-1.8400393849692023</v>
      </c>
      <c r="Z240" s="247">
        <f t="shared" si="3644"/>
        <v>-1.4829999999999472</v>
      </c>
      <c r="AA240" s="247">
        <f t="shared" si="3644"/>
        <v>-1.4399999999998272</v>
      </c>
      <c r="AB240" s="247">
        <f t="shared" si="3644"/>
        <v>-7.9434803688001321E-6</v>
      </c>
      <c r="AC240" s="247">
        <f>AC111-AC364</f>
        <v>-0.1869999999999834</v>
      </c>
      <c r="AD240" s="247">
        <f>AD111-AD364</f>
        <v>-1.0080000000000382</v>
      </c>
      <c r="AE240" s="247">
        <f>AE111-AE364</f>
        <v>-1.0080000000000382</v>
      </c>
      <c r="AF240" s="247">
        <f>AF111-AF364</f>
        <v>0</v>
      </c>
      <c r="AG240" s="248"/>
      <c r="AH240" s="247"/>
      <c r="AI240" s="247">
        <f t="shared" ref="AI240:BN240" si="3645">AI111-AI364</f>
        <v>0</v>
      </c>
      <c r="AJ240" s="247">
        <f t="shared" si="3645"/>
        <v>0</v>
      </c>
      <c r="AK240" s="247">
        <f t="shared" si="3645"/>
        <v>0</v>
      </c>
      <c r="AL240" s="247">
        <f t="shared" si="3645"/>
        <v>0</v>
      </c>
      <c r="AM240" s="247">
        <f t="shared" si="3645"/>
        <v>0</v>
      </c>
      <c r="AN240" s="247">
        <f t="shared" si="3645"/>
        <v>1.7730880413040495E-3</v>
      </c>
      <c r="AO240" s="247">
        <f t="shared" si="3645"/>
        <v>0</v>
      </c>
      <c r="AP240" s="247">
        <f t="shared" si="3645"/>
        <v>0</v>
      </c>
      <c r="AQ240" s="247">
        <f t="shared" si="3645"/>
        <v>0</v>
      </c>
      <c r="AR240" s="247">
        <f t="shared" si="3645"/>
        <v>-2.3076333600915433E-3</v>
      </c>
      <c r="AS240" s="247">
        <f t="shared" si="3645"/>
        <v>0</v>
      </c>
      <c r="AT240" s="247">
        <f t="shared" si="3645"/>
        <v>-5.7030000000002019</v>
      </c>
      <c r="AU240" s="247">
        <f t="shared" si="3645"/>
        <v>-0.19010000000000815</v>
      </c>
      <c r="AV240" s="247">
        <f t="shared" si="3645"/>
        <v>-4.3700000000000045</v>
      </c>
      <c r="AW240" s="247">
        <f t="shared" si="3645"/>
        <v>-0.13499999999999091</v>
      </c>
      <c r="AX240" s="247">
        <f t="shared" si="3645"/>
        <v>-6.6718564842602746E-3</v>
      </c>
      <c r="AY240" s="247">
        <f t="shared" si="3645"/>
        <v>-4.898768442956225E-3</v>
      </c>
      <c r="AZ240" s="247">
        <f t="shared" si="3645"/>
        <v>-1.7749999999999773</v>
      </c>
      <c r="BA240" s="247">
        <f t="shared" si="3645"/>
        <v>-0.19999999999998863</v>
      </c>
      <c r="BB240" s="247">
        <f t="shared" si="3645"/>
        <v>1.118731900735348E-2</v>
      </c>
      <c r="BC240" s="247">
        <f t="shared" si="3645"/>
        <v>8.8796856472619368E-3</v>
      </c>
      <c r="BD240" s="247">
        <f t="shared" si="3645"/>
        <v>4.5154625230949819E-3</v>
      </c>
      <c r="BE240" s="247">
        <f t="shared" si="3645"/>
        <v>0</v>
      </c>
      <c r="BF240" s="247">
        <f t="shared" si="3645"/>
        <v>0</v>
      </c>
      <c r="BG240" s="247">
        <f t="shared" si="3645"/>
        <v>0</v>
      </c>
      <c r="BH240" s="247">
        <f t="shared" si="3645"/>
        <v>0</v>
      </c>
      <c r="BI240" s="247">
        <f t="shared" si="3645"/>
        <v>0</v>
      </c>
      <c r="BJ240" s="247">
        <f t="shared" si="3645"/>
        <v>1.7730880413040495E-3</v>
      </c>
      <c r="BK240" s="247">
        <f t="shared" si="3645"/>
        <v>0</v>
      </c>
      <c r="BL240" s="247">
        <f t="shared" si="3645"/>
        <v>0</v>
      </c>
      <c r="BM240" s="247">
        <f t="shared" si="3645"/>
        <v>0</v>
      </c>
      <c r="BN240" s="247">
        <f t="shared" si="3645"/>
        <v>-2.3076333600915433E-3</v>
      </c>
      <c r="BO240" s="247">
        <f t="shared" ref="BO240:CV240" si="3646">BO111-BO364</f>
        <v>0</v>
      </c>
      <c r="BP240" s="247">
        <f t="shared" si="3646"/>
        <v>0</v>
      </c>
      <c r="BQ240" s="247">
        <f t="shared" si="3646"/>
        <v>0</v>
      </c>
      <c r="BR240" s="247">
        <f t="shared" si="3646"/>
        <v>0</v>
      </c>
      <c r="BS240" s="247">
        <f t="shared" si="3646"/>
        <v>0</v>
      </c>
      <c r="BT240" s="247">
        <f t="shared" si="3646"/>
        <v>0</v>
      </c>
      <c r="BU240" s="247">
        <f t="shared" si="3646"/>
        <v>1.7730880413040495E-3</v>
      </c>
      <c r="BV240" s="247">
        <f t="shared" si="3646"/>
        <v>0</v>
      </c>
      <c r="BW240" s="247">
        <f t="shared" si="3646"/>
        <v>0</v>
      </c>
      <c r="BX240" s="247">
        <f t="shared" si="3646"/>
        <v>0</v>
      </c>
      <c r="BY240" s="247">
        <f t="shared" si="3646"/>
        <v>-2.3076333600915433E-3</v>
      </c>
      <c r="BZ240" s="247">
        <f t="shared" si="3646"/>
        <v>0</v>
      </c>
      <c r="CA240" s="247">
        <f t="shared" si="3646"/>
        <v>0</v>
      </c>
      <c r="CB240" s="247">
        <f t="shared" si="3646"/>
        <v>0</v>
      </c>
      <c r="CC240" s="247">
        <f t="shared" si="3646"/>
        <v>0</v>
      </c>
      <c r="CD240" s="247">
        <f t="shared" si="3646"/>
        <v>0</v>
      </c>
      <c r="CE240" s="247">
        <f t="shared" si="3646"/>
        <v>0</v>
      </c>
      <c r="CF240" s="247">
        <f t="shared" si="3646"/>
        <v>1.7730880413040495E-3</v>
      </c>
      <c r="CG240" s="247">
        <f t="shared" si="3646"/>
        <v>0</v>
      </c>
      <c r="CH240" s="247">
        <f t="shared" si="3646"/>
        <v>0</v>
      </c>
      <c r="CI240" s="247">
        <f t="shared" si="3646"/>
        <v>0</v>
      </c>
      <c r="CJ240" s="247">
        <f t="shared" si="3646"/>
        <v>-2.3076333600915433E-3</v>
      </c>
      <c r="CK240" s="247">
        <f t="shared" si="3646"/>
        <v>0</v>
      </c>
      <c r="CL240" s="247">
        <f t="shared" si="3646"/>
        <v>0</v>
      </c>
      <c r="CM240" s="247">
        <f t="shared" si="3646"/>
        <v>0</v>
      </c>
      <c r="CN240" s="247">
        <f t="shared" si="3646"/>
        <v>0</v>
      </c>
      <c r="CO240" s="247">
        <f t="shared" si="3646"/>
        <v>0</v>
      </c>
      <c r="CP240" s="247">
        <f t="shared" si="3646"/>
        <v>0</v>
      </c>
      <c r="CQ240" s="247">
        <f t="shared" si="3646"/>
        <v>1.7730880413040495E-3</v>
      </c>
      <c r="CR240" s="247">
        <f t="shared" si="3646"/>
        <v>0</v>
      </c>
      <c r="CS240" s="247">
        <f t="shared" si="3646"/>
        <v>0</v>
      </c>
      <c r="CT240" s="247">
        <f t="shared" si="3646"/>
        <v>0</v>
      </c>
      <c r="CU240" s="247">
        <f t="shared" si="3646"/>
        <v>-2.3076333600915433E-3</v>
      </c>
      <c r="CV240" s="247">
        <f t="shared" si="3646"/>
        <v>0</v>
      </c>
      <c r="CW240" s="247"/>
      <c r="CX240" s="247">
        <f>CX111-CX364</f>
        <v>-3.5527136788005009E-14</v>
      </c>
      <c r="CY240" s="247">
        <f>CY111-CY364</f>
        <v>0</v>
      </c>
      <c r="CZ240" s="247">
        <f>CZ111-CZ364</f>
        <v>-187.63799999999998</v>
      </c>
      <c r="DA240" s="247">
        <f>DA111-DA364</f>
        <v>0</v>
      </c>
      <c r="DB240" s="247">
        <f>DB111-DB364</f>
        <v>0</v>
      </c>
      <c r="DC240" s="247">
        <f>DC111-DC364</f>
        <v>0</v>
      </c>
      <c r="DD240" s="247"/>
      <c r="DE240" s="247">
        <f t="shared" ref="DE240:EG240" si="3647">DE111-DE364</f>
        <v>0</v>
      </c>
      <c r="DF240" s="247">
        <f t="shared" si="3647"/>
        <v>0</v>
      </c>
      <c r="DG240" s="247">
        <f t="shared" si="3647"/>
        <v>0</v>
      </c>
      <c r="DH240" s="247">
        <f t="shared" si="3647"/>
        <v>0</v>
      </c>
      <c r="DI240" s="247">
        <f t="shared" si="3647"/>
        <v>0</v>
      </c>
      <c r="DJ240" s="247">
        <f t="shared" si="3647"/>
        <v>0</v>
      </c>
      <c r="DK240" s="247">
        <f t="shared" si="3647"/>
        <v>0</v>
      </c>
      <c r="DL240" s="247">
        <f t="shared" si="3647"/>
        <v>0</v>
      </c>
      <c r="DM240" s="247">
        <f t="shared" si="3647"/>
        <v>0</v>
      </c>
      <c r="DN240" s="247">
        <f t="shared" si="3647"/>
        <v>-3.3300000000000125</v>
      </c>
      <c r="DO240" s="247">
        <f t="shared" si="3647"/>
        <v>0</v>
      </c>
      <c r="DP240" s="247">
        <f t="shared" si="3647"/>
        <v>0</v>
      </c>
      <c r="DQ240" s="247">
        <f t="shared" si="3647"/>
        <v>0</v>
      </c>
      <c r="DR240" s="247">
        <f t="shared" si="3647"/>
        <v>0</v>
      </c>
      <c r="DS240" s="247">
        <f t="shared" si="3647"/>
        <v>0</v>
      </c>
      <c r="DT240" s="247">
        <f t="shared" si="3647"/>
        <v>0</v>
      </c>
      <c r="DU240" s="247">
        <f t="shared" si="3647"/>
        <v>0</v>
      </c>
      <c r="DV240" s="247">
        <f t="shared" si="3647"/>
        <v>0</v>
      </c>
      <c r="DW240" s="247">
        <f t="shared" si="3647"/>
        <v>0</v>
      </c>
      <c r="DX240" s="247">
        <f t="shared" si="3647"/>
        <v>0</v>
      </c>
      <c r="DY240" s="247">
        <f t="shared" si="3647"/>
        <v>0</v>
      </c>
      <c r="DZ240" s="247">
        <f t="shared" si="3647"/>
        <v>0</v>
      </c>
      <c r="EA240" s="247">
        <f t="shared" si="3647"/>
        <v>0</v>
      </c>
      <c r="EB240" s="247">
        <f t="shared" si="3647"/>
        <v>0</v>
      </c>
      <c r="EC240" s="247">
        <f t="shared" si="3647"/>
        <v>0</v>
      </c>
      <c r="ED240" s="247">
        <f t="shared" si="3647"/>
        <v>0</v>
      </c>
      <c r="EE240" s="247">
        <f t="shared" si="3647"/>
        <v>0</v>
      </c>
      <c r="EF240" s="247">
        <f t="shared" si="3647"/>
        <v>0</v>
      </c>
      <c r="EG240" s="247">
        <f t="shared" si="3647"/>
        <v>0</v>
      </c>
    </row>
    <row r="241" spans="1:137" ht="11.25" customHeight="1">
      <c r="A241" s="157">
        <v>45383</v>
      </c>
      <c r="B241" s="247">
        <f>B112-B365</f>
        <v>-4.9750000000003638</v>
      </c>
      <c r="C241" s="247">
        <f>C112-C365</f>
        <v>-0.16583333333335304</v>
      </c>
      <c r="D241" s="247">
        <f>D112-D365</f>
        <v>-0.16583333333335304</v>
      </c>
      <c r="E241" s="247">
        <f>E112-E365</f>
        <v>-9.9879141220071688E-4</v>
      </c>
      <c r="F241" s="247">
        <f>F112-F365</f>
        <v>-11.33600000000024</v>
      </c>
      <c r="G241" s="247">
        <f>G112-G365</f>
        <v>-3.8360000000002401</v>
      </c>
      <c r="H241" s="247">
        <f>H112-H365</f>
        <v>-7.5</v>
      </c>
      <c r="I241" s="247">
        <f t="shared" ref="I241:AB241" si="3648">I112-I365</f>
        <v>-17.238999999999976</v>
      </c>
      <c r="J241" s="247">
        <f t="shared" si="3648"/>
        <v>-8.6239831040494153E-2</v>
      </c>
      <c r="K241" s="247">
        <f t="shared" si="3648"/>
        <v>9.9107110190033154E-4</v>
      </c>
      <c r="L241" s="247">
        <f t="shared" si="3648"/>
        <v>9.9107110190033154E-4</v>
      </c>
      <c r="M241" s="247">
        <f t="shared" si="3648"/>
        <v>7.5</v>
      </c>
      <c r="N241" s="247">
        <f t="shared" si="3648"/>
        <v>0</v>
      </c>
      <c r="O241" s="247">
        <f t="shared" si="3648"/>
        <v>-1.5479999999997744</v>
      </c>
      <c r="P241" s="247">
        <f t="shared" si="3648"/>
        <v>-0.31500000000005457</v>
      </c>
      <c r="Q241" s="247">
        <f t="shared" si="3648"/>
        <v>-0.19100000000003092</v>
      </c>
      <c r="R241" s="247">
        <f t="shared" si="3648"/>
        <v>-0.12400000000002365</v>
      </c>
      <c r="S241" s="247">
        <f t="shared" si="3648"/>
        <v>0</v>
      </c>
      <c r="T241" s="247">
        <f t="shared" si="3648"/>
        <v>-0.20600000000001728</v>
      </c>
      <c r="U241" s="247">
        <f t="shared" si="3648"/>
        <v>-0.52100000000018554</v>
      </c>
      <c r="V241" s="247">
        <f t="shared" si="3648"/>
        <v>-2.9691617503591061E-4</v>
      </c>
      <c r="W241" s="247">
        <f t="shared" si="3648"/>
        <v>2.3049246329396311E-3</v>
      </c>
      <c r="X241" s="247">
        <f t="shared" si="3648"/>
        <v>2.3049246329396311E-3</v>
      </c>
      <c r="Y241" s="247">
        <f t="shared" si="3648"/>
        <v>3.2959957348452917E-3</v>
      </c>
      <c r="Z241" s="247">
        <f t="shared" si="3648"/>
        <v>-1.4299999999998363</v>
      </c>
      <c r="AA241" s="247">
        <f t="shared" si="3648"/>
        <v>-1.3800000000001091</v>
      </c>
      <c r="AB241" s="247">
        <f t="shared" si="3648"/>
        <v>-7.8667501313689492E-6</v>
      </c>
      <c r="AC241" s="247">
        <f>AC112-AC365</f>
        <v>-7.6888799949585973E-3</v>
      </c>
      <c r="AD241" s="247">
        <f>AD112-AD365</f>
        <v>-1.0240000000001146</v>
      </c>
      <c r="AE241" s="247">
        <f>AE112-AE365</f>
        <v>-1.0240000000001146</v>
      </c>
      <c r="AF241" s="247">
        <f>AF112-AF365</f>
        <v>0</v>
      </c>
      <c r="AG241" s="248"/>
      <c r="AH241" s="247"/>
      <c r="AI241" s="247">
        <f t="shared" ref="AI241:BN241" si="3649">AI112-AI365</f>
        <v>0</v>
      </c>
      <c r="AJ241" s="247">
        <f t="shared" si="3649"/>
        <v>0</v>
      </c>
      <c r="AK241" s="247">
        <f t="shared" si="3649"/>
        <v>0</v>
      </c>
      <c r="AL241" s="247">
        <f t="shared" si="3649"/>
        <v>0</v>
      </c>
      <c r="AM241" s="247">
        <f t="shared" si="3649"/>
        <v>0</v>
      </c>
      <c r="AN241" s="247">
        <f t="shared" si="3649"/>
        <v>8.6239831040494153E-2</v>
      </c>
      <c r="AO241" s="247">
        <f t="shared" si="3649"/>
        <v>0</v>
      </c>
      <c r="AP241" s="247">
        <f t="shared" si="3649"/>
        <v>0</v>
      </c>
      <c r="AQ241" s="247">
        <f t="shared" si="3649"/>
        <v>0</v>
      </c>
      <c r="AR241" s="247">
        <f t="shared" si="3649"/>
        <v>-2.3049246329396311E-3</v>
      </c>
      <c r="AS241" s="247">
        <f t="shared" si="3649"/>
        <v>0</v>
      </c>
      <c r="AT241" s="247">
        <f t="shared" si="3649"/>
        <v>-4.9749999999999091</v>
      </c>
      <c r="AU241" s="247">
        <f t="shared" si="3649"/>
        <v>-0.16583333333333172</v>
      </c>
      <c r="AV241" s="247">
        <f t="shared" si="3649"/>
        <v>-3.8360000000000127</v>
      </c>
      <c r="AW241" s="247">
        <f t="shared" si="3649"/>
        <v>-7.799999999999585E-2</v>
      </c>
      <c r="AX241" s="247">
        <f t="shared" si="3649"/>
        <v>-8.1729952592937138E-3</v>
      </c>
      <c r="AY241" s="247">
        <f t="shared" si="3649"/>
        <v>7.8066835781200439E-2</v>
      </c>
      <c r="AZ241" s="247">
        <f t="shared" si="3649"/>
        <v>-1.5480000000000018</v>
      </c>
      <c r="BA241" s="247">
        <f t="shared" si="3649"/>
        <v>-0.1910000000000025</v>
      </c>
      <c r="BB241" s="247">
        <f t="shared" si="3649"/>
        <v>1.0066902841778358E-2</v>
      </c>
      <c r="BC241" s="247">
        <f t="shared" si="3649"/>
        <v>7.7619782088387268E-3</v>
      </c>
      <c r="BD241" s="247">
        <f t="shared" si="3649"/>
        <v>1.8939075824846441E-3</v>
      </c>
      <c r="BE241" s="247">
        <f t="shared" si="3649"/>
        <v>0</v>
      </c>
      <c r="BF241" s="247">
        <f t="shared" si="3649"/>
        <v>0</v>
      </c>
      <c r="BG241" s="247">
        <f t="shared" si="3649"/>
        <v>-7.5</v>
      </c>
      <c r="BH241" s="247">
        <f t="shared" si="3649"/>
        <v>0</v>
      </c>
      <c r="BI241" s="247">
        <f t="shared" si="3649"/>
        <v>-0.35671932372358128</v>
      </c>
      <c r="BJ241" s="247">
        <f t="shared" si="3649"/>
        <v>-0.27047949268308713</v>
      </c>
      <c r="BK241" s="247">
        <f t="shared" si="3649"/>
        <v>0</v>
      </c>
      <c r="BL241" s="247">
        <f t="shared" si="3649"/>
        <v>0</v>
      </c>
      <c r="BM241" s="247">
        <f t="shared" si="3649"/>
        <v>0</v>
      </c>
      <c r="BN241" s="247">
        <f t="shared" si="3649"/>
        <v>-2.3049246329396311E-3</v>
      </c>
      <c r="BO241" s="247">
        <f t="shared" ref="BO241:CV241" si="3650">BO112-BO365</f>
        <v>-0.35671932372358128</v>
      </c>
      <c r="BP241" s="247">
        <f t="shared" si="3650"/>
        <v>0</v>
      </c>
      <c r="BQ241" s="247">
        <f t="shared" si="3650"/>
        <v>0</v>
      </c>
      <c r="BR241" s="247">
        <f t="shared" si="3650"/>
        <v>0</v>
      </c>
      <c r="BS241" s="247">
        <f t="shared" si="3650"/>
        <v>0</v>
      </c>
      <c r="BT241" s="247">
        <f t="shared" si="3650"/>
        <v>0</v>
      </c>
      <c r="BU241" s="247">
        <f t="shared" si="3650"/>
        <v>8.6239831040494153E-2</v>
      </c>
      <c r="BV241" s="247">
        <f t="shared" si="3650"/>
        <v>0</v>
      </c>
      <c r="BW241" s="247">
        <f t="shared" si="3650"/>
        <v>0</v>
      </c>
      <c r="BX241" s="247">
        <f t="shared" si="3650"/>
        <v>0</v>
      </c>
      <c r="BY241" s="247">
        <f t="shared" si="3650"/>
        <v>-2.3049246329396311E-3</v>
      </c>
      <c r="BZ241" s="247">
        <f t="shared" si="3650"/>
        <v>0</v>
      </c>
      <c r="CA241" s="247">
        <f t="shared" si="3650"/>
        <v>0</v>
      </c>
      <c r="CB241" s="247">
        <f t="shared" si="3650"/>
        <v>0</v>
      </c>
      <c r="CC241" s="247">
        <f t="shared" si="3650"/>
        <v>0</v>
      </c>
      <c r="CD241" s="247">
        <f t="shared" si="3650"/>
        <v>0</v>
      </c>
      <c r="CE241" s="247">
        <f t="shared" si="3650"/>
        <v>0</v>
      </c>
      <c r="CF241" s="247">
        <f t="shared" si="3650"/>
        <v>8.6239831040494153E-2</v>
      </c>
      <c r="CG241" s="247">
        <f t="shared" si="3650"/>
        <v>0</v>
      </c>
      <c r="CH241" s="247">
        <f t="shared" si="3650"/>
        <v>0</v>
      </c>
      <c r="CI241" s="247">
        <f t="shared" si="3650"/>
        <v>0</v>
      </c>
      <c r="CJ241" s="247">
        <f t="shared" si="3650"/>
        <v>-2.3049246329396311E-3</v>
      </c>
      <c r="CK241" s="247">
        <f t="shared" si="3650"/>
        <v>0</v>
      </c>
      <c r="CL241" s="247">
        <f t="shared" si="3650"/>
        <v>0</v>
      </c>
      <c r="CM241" s="247">
        <f t="shared" si="3650"/>
        <v>0</v>
      </c>
      <c r="CN241" s="247">
        <f t="shared" si="3650"/>
        <v>0</v>
      </c>
      <c r="CO241" s="247">
        <f t="shared" si="3650"/>
        <v>0</v>
      </c>
      <c r="CP241" s="247">
        <f t="shared" si="3650"/>
        <v>0</v>
      </c>
      <c r="CQ241" s="247">
        <f t="shared" si="3650"/>
        <v>8.6239831040494153E-2</v>
      </c>
      <c r="CR241" s="247">
        <f t="shared" si="3650"/>
        <v>0</v>
      </c>
      <c r="CS241" s="247">
        <f t="shared" si="3650"/>
        <v>0</v>
      </c>
      <c r="CT241" s="247">
        <f t="shared" si="3650"/>
        <v>0</v>
      </c>
      <c r="CU241" s="247">
        <f t="shared" si="3650"/>
        <v>-2.3049246329396311E-3</v>
      </c>
      <c r="CV241" s="247">
        <f t="shared" si="3650"/>
        <v>0</v>
      </c>
      <c r="CW241" s="247"/>
      <c r="CX241" s="247">
        <f>CX112-CX365</f>
        <v>0</v>
      </c>
      <c r="CY241" s="247">
        <f>CY112-CY365</f>
        <v>0</v>
      </c>
      <c r="CZ241" s="247">
        <f>CZ112-CZ365</f>
        <v>-17.161000000000019</v>
      </c>
      <c r="DA241" s="247">
        <f>DA112-DA365</f>
        <v>0</v>
      </c>
      <c r="DB241" s="247">
        <f>DB112-DB365</f>
        <v>-1.1368683772161603E-13</v>
      </c>
      <c r="DC241" s="247">
        <f>DC112-DC365</f>
        <v>0</v>
      </c>
      <c r="DD241" s="247"/>
      <c r="DE241" s="247">
        <f t="shared" ref="DE241:EG241" si="3651">DE112-DE365</f>
        <v>0</v>
      </c>
      <c r="DF241" s="247">
        <f t="shared" si="3651"/>
        <v>0</v>
      </c>
      <c r="DG241" s="247">
        <f t="shared" si="3651"/>
        <v>0</v>
      </c>
      <c r="DH241" s="247">
        <f t="shared" si="3651"/>
        <v>0</v>
      </c>
      <c r="DI241" s="247">
        <f t="shared" si="3651"/>
        <v>0</v>
      </c>
      <c r="DJ241" s="247">
        <f t="shared" si="3651"/>
        <v>0</v>
      </c>
      <c r="DK241" s="247">
        <f t="shared" si="3651"/>
        <v>0</v>
      </c>
      <c r="DL241" s="247">
        <f t="shared" si="3651"/>
        <v>0</v>
      </c>
      <c r="DM241" s="247">
        <f t="shared" si="3651"/>
        <v>0</v>
      </c>
      <c r="DN241" s="247">
        <f t="shared" si="3651"/>
        <v>0</v>
      </c>
      <c r="DO241" s="247">
        <f t="shared" si="3651"/>
        <v>0</v>
      </c>
      <c r="DP241" s="247">
        <f t="shared" si="3651"/>
        <v>0</v>
      </c>
      <c r="DQ241" s="247">
        <f t="shared" si="3651"/>
        <v>0</v>
      </c>
      <c r="DR241" s="247">
        <f t="shared" si="3651"/>
        <v>0</v>
      </c>
      <c r="DS241" s="247">
        <f t="shared" si="3651"/>
        <v>0</v>
      </c>
      <c r="DT241" s="247">
        <f t="shared" si="3651"/>
        <v>0</v>
      </c>
      <c r="DU241" s="247">
        <f t="shared" si="3651"/>
        <v>0</v>
      </c>
      <c r="DV241" s="247">
        <f t="shared" si="3651"/>
        <v>0</v>
      </c>
      <c r="DW241" s="247">
        <f t="shared" si="3651"/>
        <v>0</v>
      </c>
      <c r="DX241" s="247">
        <f t="shared" si="3651"/>
        <v>0</v>
      </c>
      <c r="DY241" s="247">
        <f t="shared" si="3651"/>
        <v>0</v>
      </c>
      <c r="DZ241" s="247">
        <f t="shared" si="3651"/>
        <v>0</v>
      </c>
      <c r="EA241" s="247">
        <f t="shared" si="3651"/>
        <v>0</v>
      </c>
      <c r="EB241" s="247">
        <f t="shared" si="3651"/>
        <v>0</v>
      </c>
      <c r="EC241" s="247">
        <f t="shared" si="3651"/>
        <v>0</v>
      </c>
      <c r="ED241" s="247">
        <f t="shared" si="3651"/>
        <v>0</v>
      </c>
      <c r="EE241" s="247">
        <f t="shared" si="3651"/>
        <v>0</v>
      </c>
      <c r="EF241" s="247">
        <f t="shared" si="3651"/>
        <v>0</v>
      </c>
      <c r="EG241" s="247">
        <f t="shared" si="3651"/>
        <v>0</v>
      </c>
    </row>
    <row r="242" spans="1:137" ht="11.25" customHeight="1">
      <c r="A242" s="157">
        <v>45413</v>
      </c>
      <c r="B242" s="247">
        <f>B113-B366</f>
        <v>-10.837999999999738</v>
      </c>
      <c r="C242" s="247">
        <f>C113-C366</f>
        <v>-0.36126666666666551</v>
      </c>
      <c r="D242" s="247">
        <f>D113-D366</f>
        <v>-183.98626666666667</v>
      </c>
      <c r="E242" s="247">
        <f>E113-E366</f>
        <v>-2.6901401465641017E-2</v>
      </c>
      <c r="F242" s="247">
        <f>F113-F366</f>
        <v>-9.5880000000006476</v>
      </c>
      <c r="G242" s="247">
        <f>G113-G366</f>
        <v>-11.337000000000444</v>
      </c>
      <c r="H242" s="247">
        <f>H113-H366</f>
        <v>1.7489999999999952</v>
      </c>
      <c r="I242" s="247">
        <f t="shared" ref="I242:AB242" si="3652">I113-I366</f>
        <v>-11.06800000000004</v>
      </c>
      <c r="J242" s="247">
        <f t="shared" si="3652"/>
        <v>-1.6955928393429076E-2</v>
      </c>
      <c r="K242" s="247">
        <f t="shared" si="3652"/>
        <v>-1.5670732544613486E-2</v>
      </c>
      <c r="L242" s="247">
        <f t="shared" si="3652"/>
        <v>-47.105670732544617</v>
      </c>
      <c r="M242" s="247">
        <f t="shared" si="3652"/>
        <v>-0.41300000000001091</v>
      </c>
      <c r="N242" s="247">
        <f t="shared" si="3652"/>
        <v>-4.3790000000000049</v>
      </c>
      <c r="O242" s="247">
        <f t="shared" si="3652"/>
        <v>-3.8519999999998618</v>
      </c>
      <c r="P242" s="247">
        <f t="shared" si="3652"/>
        <v>1.2490000000000236</v>
      </c>
      <c r="Q242" s="247">
        <f t="shared" si="3652"/>
        <v>1.3619999999999663</v>
      </c>
      <c r="R242" s="247">
        <f t="shared" si="3652"/>
        <v>-0.11299999999999955</v>
      </c>
      <c r="S242" s="247">
        <f t="shared" si="3652"/>
        <v>0</v>
      </c>
      <c r="T242" s="247">
        <f t="shared" si="3652"/>
        <v>-0.20599999999996044</v>
      </c>
      <c r="U242" s="247">
        <f t="shared" si="3652"/>
        <v>-1722.5129999999999</v>
      </c>
      <c r="V242" s="247">
        <f t="shared" si="3652"/>
        <v>6.0514424828683744E-4</v>
      </c>
      <c r="W242" s="247">
        <f t="shared" si="3652"/>
        <v>2.1992077631978191E-3</v>
      </c>
      <c r="X242" s="247">
        <f t="shared" si="3652"/>
        <v>-11.907800792236802</v>
      </c>
      <c r="Y242" s="247">
        <f t="shared" si="3652"/>
        <v>-1.3471524781415667E-2</v>
      </c>
      <c r="Z242" s="247">
        <f t="shared" si="3652"/>
        <v>8.5820000000001073</v>
      </c>
      <c r="AA242" s="247">
        <f t="shared" si="3652"/>
        <v>8.6269999999999527</v>
      </c>
      <c r="AB242" s="247">
        <f t="shared" si="3652"/>
        <v>-1.1975152425568528E-4</v>
      </c>
      <c r="AC242" s="247">
        <f>AC113-AC366</f>
        <v>1.3403825417675819</v>
      </c>
      <c r="AD242" s="247">
        <f>AD113-AD366</f>
        <v>9.0360000000000582</v>
      </c>
      <c r="AE242" s="247">
        <f>AE113-AE366</f>
        <v>-1.0199999999999818</v>
      </c>
      <c r="AF242" s="247">
        <f>AF113-AF366</f>
        <v>10.05600000000004</v>
      </c>
      <c r="AG242" s="248"/>
      <c r="AH242" s="247"/>
      <c r="AI242" s="247">
        <f t="shared" ref="AI242:BN242" si="3653">AI113-AI366</f>
        <v>0</v>
      </c>
      <c r="AJ242" s="247">
        <f t="shared" si="3653"/>
        <v>0</v>
      </c>
      <c r="AK242" s="247">
        <f t="shared" si="3653"/>
        <v>0</v>
      </c>
      <c r="AL242" s="247">
        <f t="shared" si="3653"/>
        <v>0</v>
      </c>
      <c r="AM242" s="247">
        <f t="shared" si="3653"/>
        <v>0</v>
      </c>
      <c r="AN242" s="247">
        <f t="shared" si="3653"/>
        <v>1.6955928393429076E-2</v>
      </c>
      <c r="AO242" s="247">
        <f t="shared" si="3653"/>
        <v>0</v>
      </c>
      <c r="AP242" s="247">
        <f t="shared" si="3653"/>
        <v>0</v>
      </c>
      <c r="AQ242" s="247">
        <f t="shared" si="3653"/>
        <v>0</v>
      </c>
      <c r="AR242" s="247">
        <f t="shared" si="3653"/>
        <v>-2.1992077631978191E-3</v>
      </c>
      <c r="AS242" s="247">
        <f t="shared" si="3653"/>
        <v>0</v>
      </c>
      <c r="AT242" s="247">
        <f t="shared" si="3653"/>
        <v>-5.4359999999999218</v>
      </c>
      <c r="AU242" s="247">
        <f t="shared" si="3653"/>
        <v>-0.18119999999999692</v>
      </c>
      <c r="AV242" s="247">
        <f t="shared" si="3653"/>
        <v>-4.9320000000000164</v>
      </c>
      <c r="AW242" s="247">
        <f t="shared" si="3653"/>
        <v>-9.1259999999999906</v>
      </c>
      <c r="AX242" s="247">
        <f t="shared" si="3653"/>
        <v>-4.2778028658425171E-2</v>
      </c>
      <c r="AY242" s="247">
        <f t="shared" si="3653"/>
        <v>-2.5822100264996095E-2</v>
      </c>
      <c r="AZ242" s="247">
        <f t="shared" si="3653"/>
        <v>-1.48700000000008</v>
      </c>
      <c r="BA242" s="247">
        <f t="shared" si="3653"/>
        <v>2.2230000000000132</v>
      </c>
      <c r="BB242" s="247">
        <f t="shared" si="3653"/>
        <v>1.5201659442878324E-2</v>
      </c>
      <c r="BC242" s="247">
        <f t="shared" si="3653"/>
        <v>1.3002451679680505E-2</v>
      </c>
      <c r="BD242" s="247">
        <f t="shared" si="3653"/>
        <v>-2.7576369215545071E-2</v>
      </c>
      <c r="BE242" s="247">
        <f t="shared" si="3653"/>
        <v>-5.4020000000000437</v>
      </c>
      <c r="BF242" s="247">
        <f t="shared" si="3653"/>
        <v>-0.1800666666666686</v>
      </c>
      <c r="BG242" s="247">
        <f t="shared" si="3653"/>
        <v>-4.6559999999999491</v>
      </c>
      <c r="BH242" s="247">
        <f t="shared" si="3653"/>
        <v>-1.9420000000000073</v>
      </c>
      <c r="BI242" s="247">
        <f t="shared" si="3653"/>
        <v>-3.1959026984679895E-2</v>
      </c>
      <c r="BJ242" s="247">
        <f t="shared" si="3653"/>
        <v>-1.5003098591250819E-2</v>
      </c>
      <c r="BK242" s="247">
        <f t="shared" si="3653"/>
        <v>-2.3650000000000091</v>
      </c>
      <c r="BL242" s="247">
        <f t="shared" si="3653"/>
        <v>-0.86099999999999</v>
      </c>
      <c r="BM242" s="247">
        <f t="shared" si="3653"/>
        <v>-5.4662473658684263E-3</v>
      </c>
      <c r="BN242" s="247">
        <f t="shared" si="3653"/>
        <v>-7.6654551290662454E-3</v>
      </c>
      <c r="BO242" s="247">
        <f t="shared" ref="BO242:CV242" si="3654">BO113-BO366</f>
        <v>-3.7425274350546545E-2</v>
      </c>
      <c r="BP242" s="247">
        <f t="shared" si="3654"/>
        <v>0</v>
      </c>
      <c r="BQ242" s="247">
        <f t="shared" si="3654"/>
        <v>0</v>
      </c>
      <c r="BR242" s="247">
        <f t="shared" si="3654"/>
        <v>0</v>
      </c>
      <c r="BS242" s="247">
        <f t="shared" si="3654"/>
        <v>0</v>
      </c>
      <c r="BT242" s="247">
        <f t="shared" si="3654"/>
        <v>0</v>
      </c>
      <c r="BU242" s="247">
        <f t="shared" si="3654"/>
        <v>1.6955928393429076E-2</v>
      </c>
      <c r="BV242" s="247">
        <f t="shared" si="3654"/>
        <v>0</v>
      </c>
      <c r="BW242" s="247">
        <f t="shared" si="3654"/>
        <v>0</v>
      </c>
      <c r="BX242" s="247">
        <f t="shared" si="3654"/>
        <v>0</v>
      </c>
      <c r="BY242" s="247">
        <f t="shared" si="3654"/>
        <v>-2.1992077631978191E-3</v>
      </c>
      <c r="BZ242" s="247">
        <f t="shared" si="3654"/>
        <v>0</v>
      </c>
      <c r="CA242" s="247">
        <f t="shared" si="3654"/>
        <v>0</v>
      </c>
      <c r="CB242" s="247">
        <f t="shared" si="3654"/>
        <v>0</v>
      </c>
      <c r="CC242" s="247">
        <f t="shared" si="3654"/>
        <v>0</v>
      </c>
      <c r="CD242" s="247">
        <f t="shared" si="3654"/>
        <v>0</v>
      </c>
      <c r="CE242" s="247">
        <f t="shared" si="3654"/>
        <v>0</v>
      </c>
      <c r="CF242" s="247">
        <f t="shared" si="3654"/>
        <v>1.6955928393429076E-2</v>
      </c>
      <c r="CG242" s="247">
        <f t="shared" si="3654"/>
        <v>0</v>
      </c>
      <c r="CH242" s="247">
        <f t="shared" si="3654"/>
        <v>0</v>
      </c>
      <c r="CI242" s="247">
        <f t="shared" si="3654"/>
        <v>0</v>
      </c>
      <c r="CJ242" s="247">
        <f t="shared" si="3654"/>
        <v>-2.1992077631978191E-3</v>
      </c>
      <c r="CK242" s="247">
        <f t="shared" si="3654"/>
        <v>0</v>
      </c>
      <c r="CL242" s="247">
        <f t="shared" si="3654"/>
        <v>0</v>
      </c>
      <c r="CM242" s="247">
        <f t="shared" si="3654"/>
        <v>0</v>
      </c>
      <c r="CN242" s="247">
        <f t="shared" si="3654"/>
        <v>0</v>
      </c>
      <c r="CO242" s="247">
        <f t="shared" si="3654"/>
        <v>0</v>
      </c>
      <c r="CP242" s="247">
        <f t="shared" si="3654"/>
        <v>0</v>
      </c>
      <c r="CQ242" s="247">
        <f t="shared" si="3654"/>
        <v>1.6955928393429076E-2</v>
      </c>
      <c r="CR242" s="247">
        <f t="shared" si="3654"/>
        <v>0</v>
      </c>
      <c r="CS242" s="247">
        <f t="shared" si="3654"/>
        <v>0</v>
      </c>
      <c r="CT242" s="247">
        <f t="shared" si="3654"/>
        <v>0</v>
      </c>
      <c r="CU242" s="247">
        <f t="shared" si="3654"/>
        <v>-2.1992077631978191E-3</v>
      </c>
      <c r="CV242" s="247">
        <f t="shared" si="3654"/>
        <v>0</v>
      </c>
      <c r="CW242" s="247"/>
      <c r="CX242" s="247">
        <f>CX113-CX366</f>
        <v>0</v>
      </c>
      <c r="CY242" s="247">
        <f>CY113-CY366</f>
        <v>0</v>
      </c>
      <c r="CZ242" s="247">
        <f>CZ113-CZ366</f>
        <v>0</v>
      </c>
      <c r="DA242" s="247">
        <f>DA113-DA366</f>
        <v>0</v>
      </c>
      <c r="DB242" s="247">
        <f>DB113-DB366</f>
        <v>0</v>
      </c>
      <c r="DC242" s="247">
        <f>DC113-DC366</f>
        <v>0</v>
      </c>
      <c r="DD242" s="247"/>
      <c r="DE242" s="247">
        <f t="shared" ref="DE242:EG242" si="3655">DE113-DE366</f>
        <v>0</v>
      </c>
      <c r="DF242" s="247">
        <f t="shared" si="3655"/>
        <v>0</v>
      </c>
      <c r="DG242" s="247">
        <f t="shared" si="3655"/>
        <v>0</v>
      </c>
      <c r="DH242" s="247">
        <f t="shared" si="3655"/>
        <v>0</v>
      </c>
      <c r="DI242" s="247">
        <f t="shared" si="3655"/>
        <v>0</v>
      </c>
      <c r="DJ242" s="247">
        <f t="shared" si="3655"/>
        <v>0</v>
      </c>
      <c r="DK242" s="247">
        <f t="shared" si="3655"/>
        <v>0</v>
      </c>
      <c r="DL242" s="247">
        <f t="shared" si="3655"/>
        <v>0</v>
      </c>
      <c r="DM242" s="247">
        <f t="shared" si="3655"/>
        <v>0</v>
      </c>
      <c r="DN242" s="247">
        <f t="shared" si="3655"/>
        <v>0</v>
      </c>
      <c r="DO242" s="247">
        <f t="shared" si="3655"/>
        <v>0</v>
      </c>
      <c r="DP242" s="247">
        <f t="shared" si="3655"/>
        <v>0</v>
      </c>
      <c r="DQ242" s="247">
        <f t="shared" si="3655"/>
        <v>0</v>
      </c>
      <c r="DR242" s="247">
        <f t="shared" si="3655"/>
        <v>0</v>
      </c>
      <c r="DS242" s="247">
        <f t="shared" si="3655"/>
        <v>0</v>
      </c>
      <c r="DT242" s="247">
        <f t="shared" si="3655"/>
        <v>0</v>
      </c>
      <c r="DU242" s="247">
        <f t="shared" si="3655"/>
        <v>0</v>
      </c>
      <c r="DV242" s="247">
        <f t="shared" si="3655"/>
        <v>0</v>
      </c>
      <c r="DW242" s="247">
        <f t="shared" si="3655"/>
        <v>0</v>
      </c>
      <c r="DX242" s="247">
        <f t="shared" si="3655"/>
        <v>0</v>
      </c>
      <c r="DY242" s="247">
        <f t="shared" si="3655"/>
        <v>0</v>
      </c>
      <c r="DZ242" s="247">
        <f t="shared" si="3655"/>
        <v>0</v>
      </c>
      <c r="EA242" s="247">
        <f t="shared" si="3655"/>
        <v>0</v>
      </c>
      <c r="EB242" s="247">
        <f t="shared" si="3655"/>
        <v>0</v>
      </c>
      <c r="EC242" s="247">
        <f t="shared" si="3655"/>
        <v>0</v>
      </c>
      <c r="ED242" s="247">
        <f t="shared" si="3655"/>
        <v>0</v>
      </c>
      <c r="EE242" s="247">
        <f t="shared" si="3655"/>
        <v>0</v>
      </c>
      <c r="EF242" s="247">
        <f t="shared" si="3655"/>
        <v>0</v>
      </c>
      <c r="EG242" s="247">
        <f t="shared" si="3655"/>
        <v>0</v>
      </c>
    </row>
    <row r="243" spans="1:137" ht="11.25" customHeight="1">
      <c r="A243" s="157">
        <v>45444</v>
      </c>
      <c r="B243" s="247">
        <f>B114-B367</f>
        <v>-5.6840000000001965</v>
      </c>
      <c r="C243" s="247">
        <f>C114-C367</f>
        <v>-0.18946666666667511</v>
      </c>
      <c r="D243" s="247">
        <f>D114-D367</f>
        <v>-0.18946666666667511</v>
      </c>
      <c r="E243" s="247">
        <f>E114-E367</f>
        <v>-1.0789734945340079E-3</v>
      </c>
      <c r="F243" s="247">
        <f>F114-F367</f>
        <v>-4.3260000000000218</v>
      </c>
      <c r="G243" s="247">
        <f>G114-G367</f>
        <v>-4.3260000000000218</v>
      </c>
      <c r="H243" s="247">
        <f>H114-H367</f>
        <v>0</v>
      </c>
      <c r="I243" s="247">
        <f t="shared" ref="I243:AB243" si="3656">I114-I367</f>
        <v>-0.11400000000003274</v>
      </c>
      <c r="J243" s="247">
        <f t="shared" si="3656"/>
        <v>-1.5592223436939889E-3</v>
      </c>
      <c r="K243" s="247">
        <f t="shared" si="3656"/>
        <v>1.5861875379670209E-3</v>
      </c>
      <c r="L243" s="247">
        <f t="shared" si="3656"/>
        <v>1.5861875379670209E-3</v>
      </c>
      <c r="M243" s="247">
        <f t="shared" si="3656"/>
        <v>0</v>
      </c>
      <c r="N243" s="247">
        <f t="shared" si="3656"/>
        <v>0</v>
      </c>
      <c r="O243" s="247">
        <f t="shared" si="3656"/>
        <v>-1.3649999999997817</v>
      </c>
      <c r="P243" s="247">
        <f t="shared" si="3656"/>
        <v>1.4000000000123691E-2</v>
      </c>
      <c r="Q243" s="247">
        <f t="shared" si="3656"/>
        <v>-1.0000000000104592E-2</v>
      </c>
      <c r="R243" s="247">
        <f t="shared" si="3656"/>
        <v>2.4000000000000909E-2</v>
      </c>
      <c r="S243" s="247">
        <f t="shared" si="3656"/>
        <v>0</v>
      </c>
      <c r="T243" s="247">
        <f t="shared" si="3656"/>
        <v>-1.2000000000000455E-2</v>
      </c>
      <c r="U243" s="247">
        <f t="shared" si="3656"/>
        <v>1.9999999999527063E-3</v>
      </c>
      <c r="V243" s="247">
        <f t="shared" si="3656"/>
        <v>1.2328411627127167E-6</v>
      </c>
      <c r="W243" s="247">
        <f t="shared" si="3656"/>
        <v>4.836069554635003E-3</v>
      </c>
      <c r="X243" s="247">
        <f t="shared" si="3656"/>
        <v>4.836069554635003E-3</v>
      </c>
      <c r="Y243" s="247">
        <f t="shared" si="3656"/>
        <v>6.4222570926020239E-3</v>
      </c>
      <c r="Z243" s="247">
        <f t="shared" si="3656"/>
        <v>16.350999999999885</v>
      </c>
      <c r="AA243" s="247">
        <f t="shared" si="3656"/>
        <v>16.372000000000071</v>
      </c>
      <c r="AB243" s="247">
        <f t="shared" si="3656"/>
        <v>-2.3298275290365225E-4</v>
      </c>
      <c r="AC243" s="247">
        <f>AC114-AC367</f>
        <v>2.3993595016178517</v>
      </c>
      <c r="AD243" s="247">
        <f>AD114-AD367</f>
        <v>16.583000000000084</v>
      </c>
      <c r="AE243" s="247">
        <f>AE114-AE367</f>
        <v>-1.0699999999999363</v>
      </c>
      <c r="AF243" s="247">
        <f>AF114-AF367</f>
        <v>17.65300000000002</v>
      </c>
      <c r="AG243" s="248"/>
      <c r="AH243" s="247"/>
      <c r="AI243" s="247">
        <f t="shared" ref="AI243:BN243" si="3657">AI114-AI367</f>
        <v>0</v>
      </c>
      <c r="AJ243" s="247">
        <f t="shared" si="3657"/>
        <v>0</v>
      </c>
      <c r="AK243" s="247">
        <f t="shared" si="3657"/>
        <v>0</v>
      </c>
      <c r="AL243" s="247">
        <f t="shared" si="3657"/>
        <v>-6.7000000000000171E-2</v>
      </c>
      <c r="AM243" s="247">
        <f t="shared" si="3657"/>
        <v>0</v>
      </c>
      <c r="AN243" s="247">
        <f t="shared" si="3657"/>
        <v>1.5592223436939889E-3</v>
      </c>
      <c r="AO243" s="247">
        <f t="shared" si="3657"/>
        <v>0</v>
      </c>
      <c r="AP243" s="247">
        <f t="shared" si="3657"/>
        <v>0</v>
      </c>
      <c r="AQ243" s="247">
        <f t="shared" si="3657"/>
        <v>0</v>
      </c>
      <c r="AR243" s="247">
        <f t="shared" si="3657"/>
        <v>-4.836069554635003E-3</v>
      </c>
      <c r="AS243" s="247">
        <f t="shared" si="3657"/>
        <v>0</v>
      </c>
      <c r="AT243" s="247">
        <f t="shared" si="3657"/>
        <v>-5.1459999999999582</v>
      </c>
      <c r="AU243" s="247">
        <f t="shared" si="3657"/>
        <v>-0.1715333333333291</v>
      </c>
      <c r="AV243" s="247">
        <f t="shared" si="3657"/>
        <v>0</v>
      </c>
      <c r="AW243" s="247">
        <f t="shared" si="3657"/>
        <v>0</v>
      </c>
      <c r="AX243" s="247">
        <f t="shared" si="3657"/>
        <v>0.2194900398420927</v>
      </c>
      <c r="AY243" s="247">
        <f t="shared" si="3657"/>
        <v>0.22104926218578669</v>
      </c>
      <c r="AZ243" s="247">
        <f t="shared" si="3657"/>
        <v>0</v>
      </c>
      <c r="BA243" s="247">
        <f t="shared" si="3657"/>
        <v>0</v>
      </c>
      <c r="BB243" s="247">
        <f t="shared" si="3657"/>
        <v>5.9248074200359824E-2</v>
      </c>
      <c r="BC243" s="247">
        <f t="shared" si="3657"/>
        <v>5.4412004645724821E-2</v>
      </c>
      <c r="BD243" s="247">
        <f t="shared" si="3657"/>
        <v>0.2787381140424543</v>
      </c>
      <c r="BE243" s="247">
        <f t="shared" si="3657"/>
        <v>-0.53800000000001091</v>
      </c>
      <c r="BF243" s="247">
        <f t="shared" si="3657"/>
        <v>-1.7933333333331802E-2</v>
      </c>
      <c r="BG243" s="247">
        <f t="shared" si="3657"/>
        <v>0</v>
      </c>
      <c r="BH243" s="247">
        <f t="shared" si="3657"/>
        <v>0</v>
      </c>
      <c r="BI243" s="247">
        <f t="shared" si="3657"/>
        <v>1.8787580874260357E-2</v>
      </c>
      <c r="BJ243" s="247">
        <f t="shared" si="3657"/>
        <v>2.0346803217954346E-2</v>
      </c>
      <c r="BK243" s="247">
        <f t="shared" si="3657"/>
        <v>0</v>
      </c>
      <c r="BL243" s="247">
        <f t="shared" si="3657"/>
        <v>0</v>
      </c>
      <c r="BM243" s="247">
        <f t="shared" si="3657"/>
        <v>5.0335285574512056E-3</v>
      </c>
      <c r="BN243" s="247">
        <f t="shared" si="3657"/>
        <v>1.9745900281620266E-4</v>
      </c>
      <c r="BO243" s="247">
        <f t="shared" ref="BO243:CV243" si="3658">BO114-BO367</f>
        <v>2.382110943170801E-2</v>
      </c>
      <c r="BP243" s="247">
        <f t="shared" si="3658"/>
        <v>0</v>
      </c>
      <c r="BQ243" s="247">
        <f t="shared" si="3658"/>
        <v>0</v>
      </c>
      <c r="BR243" s="247">
        <f t="shared" si="3658"/>
        <v>0</v>
      </c>
      <c r="BS243" s="247">
        <f t="shared" si="3658"/>
        <v>0</v>
      </c>
      <c r="BT243" s="247">
        <f t="shared" si="3658"/>
        <v>0</v>
      </c>
      <c r="BU243" s="247">
        <f t="shared" si="3658"/>
        <v>1.5592223436939889E-3</v>
      </c>
      <c r="BV243" s="247">
        <f t="shared" si="3658"/>
        <v>0</v>
      </c>
      <c r="BW243" s="247">
        <f t="shared" si="3658"/>
        <v>0</v>
      </c>
      <c r="BX243" s="247">
        <f t="shared" si="3658"/>
        <v>0</v>
      </c>
      <c r="BY243" s="247">
        <f t="shared" si="3658"/>
        <v>-4.836069554635003E-3</v>
      </c>
      <c r="BZ243" s="247">
        <f t="shared" si="3658"/>
        <v>0</v>
      </c>
      <c r="CA243" s="247">
        <f t="shared" si="3658"/>
        <v>0</v>
      </c>
      <c r="CB243" s="247">
        <f t="shared" si="3658"/>
        <v>0</v>
      </c>
      <c r="CC243" s="247">
        <f t="shared" si="3658"/>
        <v>0</v>
      </c>
      <c r="CD243" s="247">
        <f t="shared" si="3658"/>
        <v>0</v>
      </c>
      <c r="CE243" s="247">
        <f t="shared" si="3658"/>
        <v>0</v>
      </c>
      <c r="CF243" s="247">
        <f t="shared" si="3658"/>
        <v>1.5592223436939889E-3</v>
      </c>
      <c r="CG243" s="247">
        <f t="shared" si="3658"/>
        <v>0</v>
      </c>
      <c r="CH243" s="247">
        <f t="shared" si="3658"/>
        <v>0</v>
      </c>
      <c r="CI243" s="247">
        <f t="shared" si="3658"/>
        <v>0</v>
      </c>
      <c r="CJ243" s="247">
        <f t="shared" si="3658"/>
        <v>-4.836069554635003E-3</v>
      </c>
      <c r="CK243" s="247">
        <f t="shared" si="3658"/>
        <v>0</v>
      </c>
      <c r="CL243" s="247">
        <f t="shared" si="3658"/>
        <v>0</v>
      </c>
      <c r="CM243" s="247">
        <f t="shared" si="3658"/>
        <v>0</v>
      </c>
      <c r="CN243" s="247">
        <f t="shared" si="3658"/>
        <v>0</v>
      </c>
      <c r="CO243" s="247">
        <f t="shared" si="3658"/>
        <v>0</v>
      </c>
      <c r="CP243" s="247">
        <f t="shared" si="3658"/>
        <v>0</v>
      </c>
      <c r="CQ243" s="247">
        <f t="shared" si="3658"/>
        <v>1.5592223436939889E-3</v>
      </c>
      <c r="CR243" s="247">
        <f t="shared" si="3658"/>
        <v>0</v>
      </c>
      <c r="CS243" s="247">
        <f t="shared" si="3658"/>
        <v>0</v>
      </c>
      <c r="CT243" s="247">
        <f t="shared" si="3658"/>
        <v>0</v>
      </c>
      <c r="CU243" s="247">
        <f t="shared" si="3658"/>
        <v>-4.836069554635003E-3</v>
      </c>
      <c r="CV243" s="247">
        <f t="shared" si="3658"/>
        <v>0</v>
      </c>
      <c r="CW243" s="247"/>
      <c r="CX243" s="247">
        <f>CX114-CX367</f>
        <v>0</v>
      </c>
      <c r="CY243" s="247">
        <f>CY114-CY367</f>
        <v>-4.3260000000001355</v>
      </c>
      <c r="CZ243" s="247">
        <f>CZ114-CZ367</f>
        <v>-4.7000000000011255E-2</v>
      </c>
      <c r="DA243" s="247">
        <f>DA114-DA367</f>
        <v>-1.3650000000000091</v>
      </c>
      <c r="DB243" s="247">
        <f>DB114-DB367</f>
        <v>-1.0000000000047748E-2</v>
      </c>
      <c r="DC243" s="247">
        <f>DC114-DC367</f>
        <v>0</v>
      </c>
      <c r="DD243" s="247"/>
      <c r="DE243" s="247">
        <f t="shared" ref="DE243:EG243" si="3659">DE114-DE367</f>
        <v>-1.1409999999999911</v>
      </c>
      <c r="DF243" s="247">
        <f t="shared" si="3659"/>
        <v>-5.5000000000006821E-2</v>
      </c>
      <c r="DG243" s="247">
        <f t="shared" si="3659"/>
        <v>-0.37199999999999989</v>
      </c>
      <c r="DH243" s="247">
        <f t="shared" si="3659"/>
        <v>3.1304129731949404E-3</v>
      </c>
      <c r="DI243" s="247">
        <f t="shared" si="3659"/>
        <v>-1.106000000000023</v>
      </c>
      <c r="DJ243" s="247">
        <f t="shared" si="3659"/>
        <v>-4.6338388666550268E-4</v>
      </c>
      <c r="DK243" s="247">
        <f t="shared" si="3659"/>
        <v>-0.56499999999999773</v>
      </c>
      <c r="DL243" s="247">
        <f t="shared" si="3659"/>
        <v>-0.53199999999998226</v>
      </c>
      <c r="DM243" s="247">
        <f t="shared" si="3659"/>
        <v>-1.1837801011538307E-4</v>
      </c>
      <c r="DN243" s="247">
        <f t="shared" si="3659"/>
        <v>-0.21500000000000341</v>
      </c>
      <c r="DO243" s="247">
        <f t="shared" si="3659"/>
        <v>-1.367999999999995</v>
      </c>
      <c r="DP243" s="247">
        <f t="shared" si="3659"/>
        <v>4.2000000000001592E-2</v>
      </c>
      <c r="DQ243" s="247">
        <f t="shared" si="3659"/>
        <v>-1.3259999999999934</v>
      </c>
      <c r="DR243" s="247">
        <f t="shared" si="3659"/>
        <v>2.6670290865293822E-3</v>
      </c>
      <c r="DS243" s="247">
        <f t="shared" si="3659"/>
        <v>3.0159951284867148E-3</v>
      </c>
      <c r="DT243" s="247">
        <f t="shared" si="3659"/>
        <v>0</v>
      </c>
      <c r="DU243" s="247">
        <f t="shared" si="3659"/>
        <v>0</v>
      </c>
      <c r="DV243" s="247">
        <f t="shared" si="3659"/>
        <v>0</v>
      </c>
      <c r="DW243" s="247">
        <f t="shared" si="3659"/>
        <v>0</v>
      </c>
      <c r="DX243" s="247">
        <f t="shared" si="3659"/>
        <v>0</v>
      </c>
      <c r="DY243" s="247">
        <f t="shared" si="3659"/>
        <v>0</v>
      </c>
      <c r="DZ243" s="247">
        <f t="shared" si="3659"/>
        <v>0</v>
      </c>
      <c r="EA243" s="247">
        <f t="shared" si="3659"/>
        <v>0</v>
      </c>
      <c r="EB243" s="247">
        <f t="shared" si="3659"/>
        <v>0</v>
      </c>
      <c r="EC243" s="247">
        <f t="shared" si="3659"/>
        <v>0</v>
      </c>
      <c r="ED243" s="247">
        <f t="shared" si="3659"/>
        <v>0</v>
      </c>
      <c r="EE243" s="247">
        <f t="shared" si="3659"/>
        <v>0</v>
      </c>
      <c r="EF243" s="247">
        <f t="shared" si="3659"/>
        <v>0</v>
      </c>
      <c r="EG243" s="247">
        <f t="shared" si="3659"/>
        <v>0</v>
      </c>
    </row>
    <row r="244" spans="1:137" ht="11.25" customHeight="1">
      <c r="A244" s="157">
        <v>45474</v>
      </c>
      <c r="B244" s="247">
        <f>B115-B368</f>
        <v>-5.4200000000000728</v>
      </c>
      <c r="C244" s="247">
        <f>C115-C368</f>
        <v>-0.1806666666666672</v>
      </c>
      <c r="D244" s="247">
        <f>D115-D368</f>
        <v>-0.1806666666666672</v>
      </c>
      <c r="E244" s="247">
        <f>E115-E368</f>
        <v>-9.8789194430626281E-4</v>
      </c>
      <c r="F244" s="247">
        <f>F115-F368</f>
        <v>-4.1680000000005748</v>
      </c>
      <c r="G244" s="247">
        <f>G115-G368</f>
        <v>-4.1680000000005748</v>
      </c>
      <c r="H244" s="247">
        <f>H115-H368</f>
        <v>0</v>
      </c>
      <c r="I244" s="247">
        <f t="shared" ref="I244:AB244" si="3660">I115-I368</f>
        <v>111.81700000000001</v>
      </c>
      <c r="J244" s="247">
        <f t="shared" si="3660"/>
        <v>-1.8585199041822875E-3</v>
      </c>
      <c r="K244" s="247">
        <f t="shared" si="3660"/>
        <v>8.6773932184058822E-4</v>
      </c>
      <c r="L244" s="247">
        <f t="shared" si="3660"/>
        <v>8.6773932184058822E-4</v>
      </c>
      <c r="M244" s="247">
        <f t="shared" si="3660"/>
        <v>0</v>
      </c>
      <c r="N244" s="247">
        <f t="shared" si="3660"/>
        <v>0</v>
      </c>
      <c r="O244" s="247">
        <f t="shared" si="3660"/>
        <v>-1.7029999999999745</v>
      </c>
      <c r="P244" s="247">
        <f t="shared" si="3660"/>
        <v>-0.26999999999998181</v>
      </c>
      <c r="Q244" s="247">
        <f t="shared" si="3660"/>
        <v>-0.14699999999993452</v>
      </c>
      <c r="R244" s="247">
        <f t="shared" si="3660"/>
        <v>-0.12299999999999045</v>
      </c>
      <c r="S244" s="247">
        <f t="shared" si="3660"/>
        <v>0</v>
      </c>
      <c r="T244" s="247">
        <f t="shared" si="3660"/>
        <v>-0.23000000000001819</v>
      </c>
      <c r="U244" s="247">
        <f t="shared" si="3660"/>
        <v>-0.5</v>
      </c>
      <c r="V244" s="247">
        <f t="shared" si="3660"/>
        <v>-3.335214394251107E-4</v>
      </c>
      <c r="W244" s="247">
        <f t="shared" si="3660"/>
        <v>2.325324313730448E-3</v>
      </c>
      <c r="X244" s="247">
        <f t="shared" si="3660"/>
        <v>2.325324313730448E-3</v>
      </c>
      <c r="Y244" s="247">
        <f t="shared" si="3660"/>
        <v>3.1930636355639308E-3</v>
      </c>
      <c r="Z244" s="247">
        <f t="shared" si="3660"/>
        <v>27.730999999999995</v>
      </c>
      <c r="AA244" s="247">
        <f t="shared" si="3660"/>
        <v>27.774999999999864</v>
      </c>
      <c r="AB244" s="247">
        <f t="shared" si="3660"/>
        <v>-2.8161068961338534E-4</v>
      </c>
      <c r="AC244" s="247">
        <f>AC115-AC368</f>
        <v>3.8643976024483209</v>
      </c>
      <c r="AD244" s="247">
        <f>AD115-AD368</f>
        <v>28.233999999999924</v>
      </c>
      <c r="AE244" s="247">
        <f>AE115-AE368</f>
        <v>-1.0299999999999727</v>
      </c>
      <c r="AF244" s="247">
        <f>AF115-AF368</f>
        <v>29.26400000000001</v>
      </c>
      <c r="AG244" s="248"/>
      <c r="AH244" s="247"/>
      <c r="AI244" s="247">
        <f t="shared" ref="AI244:BN244" si="3661">AI115-AI368</f>
        <v>588.14099999999996</v>
      </c>
      <c r="AJ244" s="247">
        <f t="shared" si="3661"/>
        <v>19.604699999999998</v>
      </c>
      <c r="AK244" s="247">
        <f t="shared" si="3661"/>
        <v>431.26100000000002</v>
      </c>
      <c r="AL244" s="247">
        <f t="shared" si="3661"/>
        <v>177.30887166665156</v>
      </c>
      <c r="AM244" s="247">
        <f t="shared" si="3661"/>
        <v>43.995674506623416</v>
      </c>
      <c r="AN244" s="247">
        <f t="shared" si="3661"/>
        <v>-0.15447190002384303</v>
      </c>
      <c r="AO244" s="247">
        <f t="shared" si="3661"/>
        <v>239.78299999999999</v>
      </c>
      <c r="AP244" s="247">
        <f t="shared" si="3661"/>
        <v>127.739</v>
      </c>
      <c r="AQ244" s="247">
        <f t="shared" si="3661"/>
        <v>12.230893612246044</v>
      </c>
      <c r="AR244" s="247">
        <f t="shared" si="3661"/>
        <v>0.31477225529494568</v>
      </c>
      <c r="AS244" s="247">
        <f t="shared" si="3661"/>
        <v>56.226568118869459</v>
      </c>
      <c r="AT244" s="247">
        <f t="shared" si="3661"/>
        <v>1262.1869999999999</v>
      </c>
      <c r="AU244" s="247">
        <f t="shared" si="3661"/>
        <v>42.072899999999997</v>
      </c>
      <c r="AV244" s="247">
        <f t="shared" si="3661"/>
        <v>934.34</v>
      </c>
      <c r="AW244" s="247">
        <f t="shared" si="3661"/>
        <v>70.117999999999995</v>
      </c>
      <c r="AX244" s="247">
        <f t="shared" si="3661"/>
        <v>44.415288701278023</v>
      </c>
      <c r="AY244" s="247">
        <f t="shared" si="3661"/>
        <v>0.26514229463076333</v>
      </c>
      <c r="AZ244" s="247">
        <f t="shared" si="3661"/>
        <v>504.63499999999999</v>
      </c>
      <c r="BA244" s="247">
        <f t="shared" si="3661"/>
        <v>100.76900000000001</v>
      </c>
      <c r="BB244" s="247">
        <f t="shared" si="3661"/>
        <v>11.994300369121216</v>
      </c>
      <c r="BC244" s="247">
        <f t="shared" si="3661"/>
        <v>7.8179012170117801E-2</v>
      </c>
      <c r="BD244" s="247">
        <f t="shared" si="3661"/>
        <v>56.409589070399235</v>
      </c>
      <c r="BE244" s="247">
        <f t="shared" si="3661"/>
        <v>1313.0129999999999</v>
      </c>
      <c r="BF244" s="247">
        <f t="shared" si="3661"/>
        <v>43.767099999999999</v>
      </c>
      <c r="BG244" s="247">
        <f t="shared" si="3661"/>
        <v>962.38</v>
      </c>
      <c r="BH244" s="247">
        <f t="shared" si="3661"/>
        <v>104.92100000000001</v>
      </c>
      <c r="BI244" s="247">
        <f t="shared" si="3661"/>
        <v>43.977325433944678</v>
      </c>
      <c r="BJ244" s="247">
        <f t="shared" si="3661"/>
        <v>-0.17282097270258134</v>
      </c>
      <c r="BK244" s="247">
        <f t="shared" si="3661"/>
        <v>512.97699999999998</v>
      </c>
      <c r="BL244" s="247">
        <f t="shared" si="3661"/>
        <v>220.815</v>
      </c>
      <c r="BM244" s="247">
        <f t="shared" si="3661"/>
        <v>11.720607488273155</v>
      </c>
      <c r="BN244" s="247">
        <f t="shared" si="3661"/>
        <v>-0.19551386867794385</v>
      </c>
      <c r="BO244" s="247">
        <f t="shared" ref="BO244:CV244" si="3662">BO115-BO368</f>
        <v>55.697932922217831</v>
      </c>
      <c r="BP244" s="247">
        <f t="shared" si="3662"/>
        <v>1065.7190000000001</v>
      </c>
      <c r="BQ244" s="247">
        <f t="shared" si="3662"/>
        <v>35.523966666666666</v>
      </c>
      <c r="BR244" s="247">
        <f t="shared" si="3662"/>
        <v>782.01</v>
      </c>
      <c r="BS244" s="247">
        <f t="shared" si="3662"/>
        <v>61.561</v>
      </c>
      <c r="BT244" s="247">
        <f t="shared" si="3662"/>
        <v>44.027177895861854</v>
      </c>
      <c r="BU244" s="247">
        <f t="shared" si="3662"/>
        <v>-0.12296851078540527</v>
      </c>
      <c r="BV244" s="247">
        <f t="shared" si="3662"/>
        <v>423.053</v>
      </c>
      <c r="BW244" s="247">
        <f t="shared" si="3662"/>
        <v>185.21</v>
      </c>
      <c r="BX244" s="247">
        <f t="shared" si="3662"/>
        <v>11.90894597919339</v>
      </c>
      <c r="BY244" s="247">
        <f t="shared" si="3662"/>
        <v>-7.1753777577079347E-3</v>
      </c>
      <c r="BZ244" s="247">
        <f t="shared" si="3662"/>
        <v>55.936123875055245</v>
      </c>
      <c r="CA244" s="247">
        <f t="shared" si="3662"/>
        <v>649.65300000000002</v>
      </c>
      <c r="CB244" s="247">
        <f t="shared" si="3662"/>
        <v>21.655100000000001</v>
      </c>
      <c r="CC244" s="247">
        <f t="shared" si="3662"/>
        <v>474.613</v>
      </c>
      <c r="CD244" s="247">
        <f t="shared" si="3662"/>
        <v>45.343000000000004</v>
      </c>
      <c r="CE244" s="247">
        <f t="shared" si="3662"/>
        <v>43.833831291474063</v>
      </c>
      <c r="CF244" s="247">
        <f t="shared" si="3662"/>
        <v>-0.31631511517319666</v>
      </c>
      <c r="CG244" s="247">
        <f t="shared" si="3662"/>
        <v>254.976</v>
      </c>
      <c r="CH244" s="247">
        <f t="shared" si="3662"/>
        <v>52.826999999999998</v>
      </c>
      <c r="CI244" s="247">
        <f t="shared" si="3662"/>
        <v>11.774408799774648</v>
      </c>
      <c r="CJ244" s="247">
        <f t="shared" si="3662"/>
        <v>-0.14171255717645082</v>
      </c>
      <c r="CK244" s="247">
        <f t="shared" si="3662"/>
        <v>55.60824009124871</v>
      </c>
      <c r="CL244" s="247">
        <f t="shared" si="3662"/>
        <v>919.52099999999996</v>
      </c>
      <c r="CM244" s="247">
        <f t="shared" si="3662"/>
        <v>30.650699999999997</v>
      </c>
      <c r="CN244" s="247">
        <f t="shared" si="3662"/>
        <v>681.94399999999996</v>
      </c>
      <c r="CO244" s="247">
        <f t="shared" si="3662"/>
        <v>49.494128333348456</v>
      </c>
      <c r="CP244" s="247">
        <f t="shared" si="3662"/>
        <v>44.49777655975231</v>
      </c>
      <c r="CQ244" s="247">
        <f t="shared" si="3662"/>
        <v>0.34763015310505097</v>
      </c>
      <c r="CR244" s="247">
        <f t="shared" si="3662"/>
        <v>367.65800000000002</v>
      </c>
      <c r="CS244" s="247">
        <f t="shared" si="3662"/>
        <v>119.691</v>
      </c>
      <c r="CT244" s="247">
        <f t="shared" si="3662"/>
        <v>11.9950930973844</v>
      </c>
      <c r="CU244" s="247">
        <f t="shared" si="3662"/>
        <v>7.8971740433301463E-2</v>
      </c>
      <c r="CV244" s="247">
        <f t="shared" si="3662"/>
        <v>53.4700930973844</v>
      </c>
      <c r="CW244" s="247"/>
      <c r="CX244" s="247">
        <f>CX115-CX368</f>
        <v>0</v>
      </c>
      <c r="CY244" s="247">
        <f>CY115-CY368</f>
        <v>0</v>
      </c>
      <c r="CZ244" s="247">
        <f>CZ115-CZ368</f>
        <v>0</v>
      </c>
      <c r="DA244" s="247">
        <f>DA115-DA368</f>
        <v>0</v>
      </c>
      <c r="DB244" s="247">
        <f>DB115-DB368</f>
        <v>0</v>
      </c>
      <c r="DC244" s="247">
        <f>DC115-DC368</f>
        <v>0</v>
      </c>
      <c r="DD244" s="247"/>
      <c r="DE244" s="247">
        <f t="shared" ref="DE244:EG244" si="3663">DE115-DE368</f>
        <v>0</v>
      </c>
      <c r="DF244" s="247">
        <f t="shared" si="3663"/>
        <v>0</v>
      </c>
      <c r="DG244" s="247">
        <f t="shared" si="3663"/>
        <v>0</v>
      </c>
      <c r="DH244" s="247">
        <f t="shared" si="3663"/>
        <v>0</v>
      </c>
      <c r="DI244" s="247">
        <f t="shared" si="3663"/>
        <v>0</v>
      </c>
      <c r="DJ244" s="247">
        <f t="shared" si="3663"/>
        <v>0</v>
      </c>
      <c r="DK244" s="247">
        <f t="shared" si="3663"/>
        <v>0</v>
      </c>
      <c r="DL244" s="247">
        <f t="shared" si="3663"/>
        <v>0</v>
      </c>
      <c r="DM244" s="247">
        <f t="shared" si="3663"/>
        <v>0</v>
      </c>
      <c r="DN244" s="247">
        <f t="shared" si="3663"/>
        <v>0</v>
      </c>
      <c r="DO244" s="247">
        <f t="shared" si="3663"/>
        <v>0</v>
      </c>
      <c r="DP244" s="247">
        <f t="shared" si="3663"/>
        <v>0</v>
      </c>
      <c r="DQ244" s="247">
        <f t="shared" si="3663"/>
        <v>0</v>
      </c>
      <c r="DR244" s="247">
        <f t="shared" si="3663"/>
        <v>0</v>
      </c>
      <c r="DS244" s="247">
        <f t="shared" si="3663"/>
        <v>0</v>
      </c>
      <c r="DT244" s="247">
        <f t="shared" si="3663"/>
        <v>0</v>
      </c>
      <c r="DU244" s="247">
        <f t="shared" si="3663"/>
        <v>0</v>
      </c>
      <c r="DV244" s="247">
        <f t="shared" si="3663"/>
        <v>0</v>
      </c>
      <c r="DW244" s="247">
        <f t="shared" si="3663"/>
        <v>0</v>
      </c>
      <c r="DX244" s="247">
        <f t="shared" si="3663"/>
        <v>0</v>
      </c>
      <c r="DY244" s="247">
        <f t="shared" si="3663"/>
        <v>0</v>
      </c>
      <c r="DZ244" s="247">
        <f t="shared" si="3663"/>
        <v>0</v>
      </c>
      <c r="EA244" s="247">
        <f t="shared" si="3663"/>
        <v>0</v>
      </c>
      <c r="EB244" s="247">
        <f t="shared" si="3663"/>
        <v>0</v>
      </c>
      <c r="EC244" s="247">
        <f t="shared" si="3663"/>
        <v>0</v>
      </c>
      <c r="ED244" s="247">
        <f t="shared" si="3663"/>
        <v>0</v>
      </c>
      <c r="EE244" s="247">
        <f t="shared" si="3663"/>
        <v>0</v>
      </c>
      <c r="EF244" s="247">
        <f t="shared" si="3663"/>
        <v>0</v>
      </c>
      <c r="EG244" s="247">
        <f t="shared" si="3663"/>
        <v>0</v>
      </c>
    </row>
    <row r="245" spans="1:137" ht="11.25" customHeight="1">
      <c r="A245" s="157">
        <v>45505</v>
      </c>
      <c r="B245" s="247">
        <f>B116-B369</f>
        <v>0</v>
      </c>
      <c r="C245" s="247">
        <f>C116-C369</f>
        <v>0</v>
      </c>
      <c r="D245" s="247">
        <f>D116-D369</f>
        <v>0</v>
      </c>
      <c r="E245" s="247">
        <f>E116-E369</f>
        <v>0</v>
      </c>
      <c r="F245" s="247">
        <f>F116-F369</f>
        <v>0</v>
      </c>
      <c r="G245" s="247">
        <f>G116-G369</f>
        <v>0</v>
      </c>
      <c r="H245" s="247">
        <f>H116-H369</f>
        <v>0</v>
      </c>
      <c r="I245" s="247">
        <f t="shared" ref="I245:AB245" si="3664">I116-I369</f>
        <v>0</v>
      </c>
      <c r="J245" s="247">
        <f t="shared" si="3664"/>
        <v>0</v>
      </c>
      <c r="K245" s="247">
        <f t="shared" si="3664"/>
        <v>0</v>
      </c>
      <c r="L245" s="247">
        <f t="shared" si="3664"/>
        <v>0</v>
      </c>
      <c r="M245" s="247">
        <f t="shared" si="3664"/>
        <v>0</v>
      </c>
      <c r="N245" s="247">
        <f t="shared" si="3664"/>
        <v>0</v>
      </c>
      <c r="O245" s="247">
        <f t="shared" si="3664"/>
        <v>0</v>
      </c>
      <c r="P245" s="247">
        <f t="shared" si="3664"/>
        <v>0</v>
      </c>
      <c r="Q245" s="247">
        <f t="shared" si="3664"/>
        <v>0</v>
      </c>
      <c r="R245" s="247">
        <f t="shared" si="3664"/>
        <v>0</v>
      </c>
      <c r="S245" s="247">
        <f t="shared" si="3664"/>
        <v>0</v>
      </c>
      <c r="T245" s="247">
        <f t="shared" si="3664"/>
        <v>0</v>
      </c>
      <c r="U245" s="247">
        <f t="shared" si="3664"/>
        <v>0</v>
      </c>
      <c r="V245" s="247">
        <f t="shared" si="3664"/>
        <v>0</v>
      </c>
      <c r="W245" s="247">
        <f t="shared" si="3664"/>
        <v>0</v>
      </c>
      <c r="X245" s="247">
        <f t="shared" si="3664"/>
        <v>0</v>
      </c>
      <c r="Y245" s="247">
        <f t="shared" si="3664"/>
        <v>0</v>
      </c>
      <c r="Z245" s="247">
        <f t="shared" si="3664"/>
        <v>37.270999999999958</v>
      </c>
      <c r="AA245" s="247">
        <f t="shared" si="3664"/>
        <v>37.270999999999958</v>
      </c>
      <c r="AB245" s="247">
        <f t="shared" si="3664"/>
        <v>-4.5511061667564273E-4</v>
      </c>
      <c r="AC245" s="247">
        <f>AC116-AC369</f>
        <v>3.3108501274198261</v>
      </c>
      <c r="AD245" s="247">
        <f>AD116-AD369</f>
        <v>4.7309999999999945</v>
      </c>
      <c r="AE245" s="247">
        <f>AE116-AE369</f>
        <v>-22.540000000000191</v>
      </c>
      <c r="AF245" s="247">
        <f>AF116-AF369</f>
        <v>27.271000000000072</v>
      </c>
      <c r="AG245" s="248"/>
      <c r="AH245" s="247"/>
      <c r="AI245" s="247">
        <f t="shared" ref="AI245:BN245" si="3665">AI116-AI369</f>
        <v>0</v>
      </c>
      <c r="AJ245" s="247">
        <f t="shared" si="3665"/>
        <v>0</v>
      </c>
      <c r="AK245" s="247">
        <f t="shared" si="3665"/>
        <v>0</v>
      </c>
      <c r="AL245" s="247">
        <f t="shared" si="3665"/>
        <v>0</v>
      </c>
      <c r="AM245" s="247">
        <f t="shared" si="3665"/>
        <v>0</v>
      </c>
      <c r="AN245" s="247">
        <f t="shared" si="3665"/>
        <v>0</v>
      </c>
      <c r="AO245" s="247">
        <f t="shared" si="3665"/>
        <v>0</v>
      </c>
      <c r="AP245" s="247">
        <f t="shared" si="3665"/>
        <v>0</v>
      </c>
      <c r="AQ245" s="247">
        <f t="shared" si="3665"/>
        <v>0</v>
      </c>
      <c r="AR245" s="247">
        <f t="shared" si="3665"/>
        <v>0</v>
      </c>
      <c r="AS245" s="247">
        <f t="shared" si="3665"/>
        <v>0</v>
      </c>
      <c r="AT245" s="247">
        <f t="shared" si="3665"/>
        <v>0</v>
      </c>
      <c r="AU245" s="247">
        <f t="shared" si="3665"/>
        <v>0</v>
      </c>
      <c r="AV245" s="247">
        <f t="shared" si="3665"/>
        <v>0</v>
      </c>
      <c r="AW245" s="247">
        <f t="shared" si="3665"/>
        <v>0</v>
      </c>
      <c r="AX245" s="247">
        <f t="shared" si="3665"/>
        <v>0</v>
      </c>
      <c r="AY245" s="247">
        <f t="shared" si="3665"/>
        <v>0</v>
      </c>
      <c r="AZ245" s="247">
        <f t="shared" si="3665"/>
        <v>0</v>
      </c>
      <c r="BA245" s="247">
        <f t="shared" si="3665"/>
        <v>0</v>
      </c>
      <c r="BB245" s="247">
        <f t="shared" si="3665"/>
        <v>0</v>
      </c>
      <c r="BC245" s="247">
        <f t="shared" si="3665"/>
        <v>0</v>
      </c>
      <c r="BD245" s="247">
        <f t="shared" si="3665"/>
        <v>0</v>
      </c>
      <c r="BE245" s="247">
        <f t="shared" si="3665"/>
        <v>0</v>
      </c>
      <c r="BF245" s="247">
        <f t="shared" si="3665"/>
        <v>0</v>
      </c>
      <c r="BG245" s="247">
        <f t="shared" si="3665"/>
        <v>0</v>
      </c>
      <c r="BH245" s="247">
        <f t="shared" si="3665"/>
        <v>0</v>
      </c>
      <c r="BI245" s="247">
        <f t="shared" si="3665"/>
        <v>0</v>
      </c>
      <c r="BJ245" s="247">
        <f t="shared" si="3665"/>
        <v>0</v>
      </c>
      <c r="BK245" s="247">
        <f t="shared" si="3665"/>
        <v>0</v>
      </c>
      <c r="BL245" s="247">
        <f t="shared" si="3665"/>
        <v>0</v>
      </c>
      <c r="BM245" s="247">
        <f t="shared" si="3665"/>
        <v>0</v>
      </c>
      <c r="BN245" s="247">
        <f t="shared" si="3665"/>
        <v>0</v>
      </c>
      <c r="BO245" s="247">
        <f t="shared" ref="BO245:CV245" si="3666">BO116-BO369</f>
        <v>0</v>
      </c>
      <c r="BP245" s="247">
        <f t="shared" si="3666"/>
        <v>0</v>
      </c>
      <c r="BQ245" s="247">
        <f t="shared" si="3666"/>
        <v>0</v>
      </c>
      <c r="BR245" s="247">
        <f t="shared" si="3666"/>
        <v>0</v>
      </c>
      <c r="BS245" s="247">
        <f t="shared" si="3666"/>
        <v>0</v>
      </c>
      <c r="BT245" s="247">
        <f t="shared" si="3666"/>
        <v>0</v>
      </c>
      <c r="BU245" s="247">
        <f t="shared" si="3666"/>
        <v>0</v>
      </c>
      <c r="BV245" s="247">
        <f t="shared" si="3666"/>
        <v>0</v>
      </c>
      <c r="BW245" s="247">
        <f t="shared" si="3666"/>
        <v>0</v>
      </c>
      <c r="BX245" s="247">
        <f t="shared" si="3666"/>
        <v>0</v>
      </c>
      <c r="BY245" s="247">
        <f t="shared" si="3666"/>
        <v>0</v>
      </c>
      <c r="BZ245" s="247">
        <f t="shared" si="3666"/>
        <v>0</v>
      </c>
      <c r="CA245" s="247">
        <f t="shared" si="3666"/>
        <v>0</v>
      </c>
      <c r="CB245" s="247">
        <f t="shared" si="3666"/>
        <v>0</v>
      </c>
      <c r="CC245" s="247">
        <f t="shared" si="3666"/>
        <v>0</v>
      </c>
      <c r="CD245" s="247">
        <f t="shared" si="3666"/>
        <v>0</v>
      </c>
      <c r="CE245" s="247">
        <f t="shared" si="3666"/>
        <v>0</v>
      </c>
      <c r="CF245" s="247">
        <f t="shared" si="3666"/>
        <v>0</v>
      </c>
      <c r="CG245" s="247">
        <f t="shared" si="3666"/>
        <v>0</v>
      </c>
      <c r="CH245" s="247">
        <f t="shared" si="3666"/>
        <v>0</v>
      </c>
      <c r="CI245" s="247">
        <f t="shared" si="3666"/>
        <v>0</v>
      </c>
      <c r="CJ245" s="247">
        <f t="shared" si="3666"/>
        <v>0</v>
      </c>
      <c r="CK245" s="247">
        <f t="shared" si="3666"/>
        <v>0</v>
      </c>
      <c r="CL245" s="247">
        <f t="shared" si="3666"/>
        <v>0</v>
      </c>
      <c r="CM245" s="247">
        <f t="shared" si="3666"/>
        <v>0</v>
      </c>
      <c r="CN245" s="247">
        <f t="shared" si="3666"/>
        <v>0</v>
      </c>
      <c r="CO245" s="247">
        <f t="shared" si="3666"/>
        <v>0</v>
      </c>
      <c r="CP245" s="247">
        <f t="shared" si="3666"/>
        <v>0</v>
      </c>
      <c r="CQ245" s="247">
        <f t="shared" si="3666"/>
        <v>0</v>
      </c>
      <c r="CR245" s="247">
        <f t="shared" si="3666"/>
        <v>0</v>
      </c>
      <c r="CS245" s="247">
        <f t="shared" si="3666"/>
        <v>0</v>
      </c>
      <c r="CT245" s="247">
        <f t="shared" si="3666"/>
        <v>0</v>
      </c>
      <c r="CU245" s="247">
        <f t="shared" si="3666"/>
        <v>0</v>
      </c>
      <c r="CV245" s="247">
        <f t="shared" si="3666"/>
        <v>0</v>
      </c>
      <c r="CW245" s="248"/>
      <c r="CX245" s="247">
        <f>CX116-CX369</f>
        <v>0</v>
      </c>
      <c r="CY245" s="247">
        <f>CY116-CY369</f>
        <v>0</v>
      </c>
      <c r="CZ245" s="247">
        <f>CZ116-CZ369</f>
        <v>0</v>
      </c>
      <c r="DA245" s="247">
        <f>DA116-DA369</f>
        <v>0</v>
      </c>
      <c r="DB245" s="247">
        <f>DB116-DB369</f>
        <v>0</v>
      </c>
      <c r="DC245" s="247">
        <f>DC116-DC369</f>
        <v>0</v>
      </c>
      <c r="DD245" s="247"/>
      <c r="DE245" s="247">
        <f t="shared" ref="DE245:EG245" si="3667">DE116-DE369</f>
        <v>0</v>
      </c>
      <c r="DF245" s="247">
        <f t="shared" si="3667"/>
        <v>0</v>
      </c>
      <c r="DG245" s="247">
        <f t="shared" si="3667"/>
        <v>0</v>
      </c>
      <c r="DH245" s="247">
        <f t="shared" si="3667"/>
        <v>0</v>
      </c>
      <c r="DI245" s="247">
        <f t="shared" si="3667"/>
        <v>0</v>
      </c>
      <c r="DJ245" s="247">
        <f t="shared" si="3667"/>
        <v>0</v>
      </c>
      <c r="DK245" s="247">
        <f t="shared" si="3667"/>
        <v>0</v>
      </c>
      <c r="DL245" s="247">
        <f t="shared" si="3667"/>
        <v>0</v>
      </c>
      <c r="DM245" s="247">
        <f t="shared" si="3667"/>
        <v>0</v>
      </c>
      <c r="DN245" s="247">
        <f t="shared" si="3667"/>
        <v>0</v>
      </c>
      <c r="DO245" s="247">
        <f t="shared" si="3667"/>
        <v>0</v>
      </c>
      <c r="DP245" s="247">
        <f t="shared" si="3667"/>
        <v>0</v>
      </c>
      <c r="DQ245" s="247">
        <f t="shared" si="3667"/>
        <v>0</v>
      </c>
      <c r="DR245" s="247">
        <f t="shared" si="3667"/>
        <v>0</v>
      </c>
      <c r="DS245" s="247">
        <f t="shared" si="3667"/>
        <v>0</v>
      </c>
      <c r="DT245" s="247">
        <f t="shared" si="3667"/>
        <v>4.0000000000006253E-2</v>
      </c>
      <c r="DU245" s="247">
        <f t="shared" si="3667"/>
        <v>0</v>
      </c>
      <c r="DV245" s="247">
        <f t="shared" si="3667"/>
        <v>0</v>
      </c>
      <c r="DW245" s="247">
        <f t="shared" si="3667"/>
        <v>-1.7131811647902451E-4</v>
      </c>
      <c r="DX245" s="247">
        <f t="shared" si="3667"/>
        <v>0</v>
      </c>
      <c r="DY245" s="247">
        <f t="shared" si="3667"/>
        <v>-4.9732182135664438E-5</v>
      </c>
      <c r="DZ245" s="247">
        <f t="shared" si="3667"/>
        <v>0</v>
      </c>
      <c r="EA245" s="247">
        <f t="shared" si="3667"/>
        <v>-4.0999999999996817E-2</v>
      </c>
      <c r="EB245" s="247">
        <f t="shared" si="3667"/>
        <v>1.1965911744103996E-3</v>
      </c>
      <c r="EC245" s="247">
        <f t="shared" si="3667"/>
        <v>0</v>
      </c>
      <c r="ED245" s="247">
        <f t="shared" si="3667"/>
        <v>0</v>
      </c>
      <c r="EE245" s="247">
        <f t="shared" si="3667"/>
        <v>0</v>
      </c>
      <c r="EF245" s="247">
        <f t="shared" si="3667"/>
        <v>0</v>
      </c>
      <c r="EG245" s="247">
        <f t="shared" si="3667"/>
        <v>-2.2105029861474446E-4</v>
      </c>
    </row>
    <row r="246" spans="1:137" ht="11.25" customHeight="1">
      <c r="A246" s="157">
        <v>45536</v>
      </c>
      <c r="B246" s="247">
        <f>B117-B370</f>
        <v>0</v>
      </c>
      <c r="C246" s="247">
        <f>C117-C370</f>
        <v>0</v>
      </c>
      <c r="D246" s="247">
        <f>D117-D370</f>
        <v>0.31127276334558474</v>
      </c>
      <c r="E246" s="247">
        <f>E117-E370</f>
        <v>1.843105440560544E-3</v>
      </c>
      <c r="F246" s="247">
        <f>F117-F370</f>
        <v>0</v>
      </c>
      <c r="G246" s="247">
        <f>G117-G370</f>
        <v>0</v>
      </c>
      <c r="H246" s="247">
        <f>H117-H370</f>
        <v>0</v>
      </c>
      <c r="I246" s="247">
        <f t="shared" ref="I246:AB246" si="3668">I117-I370</f>
        <v>-136.988</v>
      </c>
      <c r="J246" s="247">
        <f t="shared" si="3668"/>
        <v>0</v>
      </c>
      <c r="K246" s="247">
        <f t="shared" si="3668"/>
        <v>0</v>
      </c>
      <c r="L246" s="247">
        <f t="shared" si="3668"/>
        <v>-46.98</v>
      </c>
      <c r="M246" s="247">
        <f t="shared" si="3668"/>
        <v>0</v>
      </c>
      <c r="N246" s="247">
        <f t="shared" si="3668"/>
        <v>0</v>
      </c>
      <c r="O246" s="247">
        <f t="shared" si="3668"/>
        <v>-20</v>
      </c>
      <c r="P246" s="247">
        <f t="shared" si="3668"/>
        <v>50</v>
      </c>
      <c r="Q246" s="247">
        <f t="shared" si="3668"/>
        <v>0</v>
      </c>
      <c r="R246" s="247">
        <f t="shared" si="3668"/>
        <v>50</v>
      </c>
      <c r="S246" s="247">
        <f t="shared" si="3668"/>
        <v>0</v>
      </c>
      <c r="T246" s="247">
        <f t="shared" si="3668"/>
        <v>0</v>
      </c>
      <c r="U246" s="247">
        <f t="shared" si="3668"/>
        <v>57.966904090150365</v>
      </c>
      <c r="V246" s="247">
        <f t="shared" si="3668"/>
        <v>5.7331320681548892E-2</v>
      </c>
      <c r="W246" s="247">
        <f t="shared" si="3668"/>
        <v>-0.10723678507692824</v>
      </c>
      <c r="X246" s="247">
        <f t="shared" si="3668"/>
        <v>-12.037236785076928</v>
      </c>
      <c r="Y246" s="247">
        <f t="shared" si="3668"/>
        <v>-0.10723678507692824</v>
      </c>
      <c r="Z246" s="247">
        <f t="shared" si="3668"/>
        <v>46.374000000000024</v>
      </c>
      <c r="AA246" s="247">
        <f t="shared" si="3668"/>
        <v>46.374000000000024</v>
      </c>
      <c r="AB246" s="247">
        <f t="shared" si="3668"/>
        <v>-6.2117332238914233E-4</v>
      </c>
      <c r="AC246" s="247">
        <f>AC117-AC370</f>
        <v>0</v>
      </c>
      <c r="AD246" s="247">
        <f>AD117-AD370</f>
        <v>46.374000000000024</v>
      </c>
      <c r="AE246" s="247">
        <f>AE117-AE370</f>
        <v>0</v>
      </c>
      <c r="AF246" s="247">
        <f>AF117-AF370</f>
        <v>46.374000000000024</v>
      </c>
      <c r="AG246" s="248"/>
      <c r="AH246" s="247"/>
      <c r="AI246" s="247">
        <f t="shared" ref="AI246:BN246" si="3669">AI117-AI370</f>
        <v>0</v>
      </c>
      <c r="AJ246" s="247">
        <f t="shared" si="3669"/>
        <v>0</v>
      </c>
      <c r="AK246" s="247">
        <f t="shared" si="3669"/>
        <v>0</v>
      </c>
      <c r="AL246" s="247">
        <f t="shared" si="3669"/>
        <v>0</v>
      </c>
      <c r="AM246" s="247">
        <f t="shared" si="3669"/>
        <v>0</v>
      </c>
      <c r="AN246" s="247">
        <f t="shared" si="3669"/>
        <v>0</v>
      </c>
      <c r="AO246" s="247">
        <f t="shared" si="3669"/>
        <v>0</v>
      </c>
      <c r="AP246" s="247">
        <f t="shared" si="3669"/>
        <v>0</v>
      </c>
      <c r="AQ246" s="247">
        <f t="shared" si="3669"/>
        <v>0</v>
      </c>
      <c r="AR246" s="247">
        <f t="shared" si="3669"/>
        <v>0.10723678507692824</v>
      </c>
      <c r="AS246" s="247">
        <f t="shared" si="3669"/>
        <v>0</v>
      </c>
      <c r="AT246" s="247">
        <f t="shared" si="3669"/>
        <v>0</v>
      </c>
      <c r="AU246" s="247">
        <f t="shared" si="3669"/>
        <v>0</v>
      </c>
      <c r="AV246" s="247">
        <f t="shared" si="3669"/>
        <v>0</v>
      </c>
      <c r="AW246" s="247">
        <f t="shared" si="3669"/>
        <v>0</v>
      </c>
      <c r="AX246" s="247">
        <f t="shared" si="3669"/>
        <v>0</v>
      </c>
      <c r="AY246" s="247">
        <f t="shared" si="3669"/>
        <v>0</v>
      </c>
      <c r="AZ246" s="247">
        <f t="shared" si="3669"/>
        <v>0</v>
      </c>
      <c r="BA246" s="247">
        <f t="shared" si="3669"/>
        <v>0</v>
      </c>
      <c r="BB246" s="247">
        <f t="shared" si="3669"/>
        <v>0</v>
      </c>
      <c r="BC246" s="247">
        <f t="shared" si="3669"/>
        <v>0.10723678507692824</v>
      </c>
      <c r="BD246" s="247">
        <f t="shared" si="3669"/>
        <v>0</v>
      </c>
      <c r="BE246" s="247">
        <f t="shared" si="3669"/>
        <v>0</v>
      </c>
      <c r="BF246" s="247">
        <f t="shared" si="3669"/>
        <v>0</v>
      </c>
      <c r="BG246" s="247">
        <f t="shared" si="3669"/>
        <v>0</v>
      </c>
      <c r="BH246" s="247">
        <f t="shared" si="3669"/>
        <v>0</v>
      </c>
      <c r="BI246" s="247">
        <f t="shared" si="3669"/>
        <v>0</v>
      </c>
      <c r="BJ246" s="247">
        <f t="shared" si="3669"/>
        <v>0</v>
      </c>
      <c r="BK246" s="247">
        <f t="shared" si="3669"/>
        <v>0</v>
      </c>
      <c r="BL246" s="247">
        <f t="shared" si="3669"/>
        <v>0</v>
      </c>
      <c r="BM246" s="247">
        <f t="shared" si="3669"/>
        <v>0</v>
      </c>
      <c r="BN246" s="247">
        <f t="shared" si="3669"/>
        <v>0.10723678507692824</v>
      </c>
      <c r="BO246" s="247">
        <f t="shared" ref="BO246:CV246" si="3670">BO117-BO370</f>
        <v>0</v>
      </c>
      <c r="BP246" s="247">
        <f t="shared" si="3670"/>
        <v>0</v>
      </c>
      <c r="BQ246" s="247">
        <f t="shared" si="3670"/>
        <v>0</v>
      </c>
      <c r="BR246" s="247">
        <f t="shared" si="3670"/>
        <v>0</v>
      </c>
      <c r="BS246" s="247">
        <f t="shared" si="3670"/>
        <v>0</v>
      </c>
      <c r="BT246" s="247">
        <f t="shared" si="3670"/>
        <v>0</v>
      </c>
      <c r="BU246" s="247">
        <f t="shared" si="3670"/>
        <v>0</v>
      </c>
      <c r="BV246" s="247">
        <f t="shared" si="3670"/>
        <v>0</v>
      </c>
      <c r="BW246" s="247">
        <f t="shared" si="3670"/>
        <v>0</v>
      </c>
      <c r="BX246" s="247">
        <f t="shared" si="3670"/>
        <v>0</v>
      </c>
      <c r="BY246" s="247">
        <f t="shared" si="3670"/>
        <v>0.10723678507692824</v>
      </c>
      <c r="BZ246" s="247">
        <f t="shared" si="3670"/>
        <v>0</v>
      </c>
      <c r="CA246" s="247">
        <f t="shared" si="3670"/>
        <v>0</v>
      </c>
      <c r="CB246" s="247">
        <f t="shared" si="3670"/>
        <v>0</v>
      </c>
      <c r="CC246" s="247">
        <f t="shared" si="3670"/>
        <v>0</v>
      </c>
      <c r="CD246" s="247">
        <f t="shared" si="3670"/>
        <v>0</v>
      </c>
      <c r="CE246" s="247">
        <f t="shared" si="3670"/>
        <v>0</v>
      </c>
      <c r="CF246" s="247">
        <f t="shared" si="3670"/>
        <v>0</v>
      </c>
      <c r="CG246" s="247">
        <f t="shared" si="3670"/>
        <v>0</v>
      </c>
      <c r="CH246" s="247">
        <f t="shared" si="3670"/>
        <v>0</v>
      </c>
      <c r="CI246" s="247">
        <f t="shared" si="3670"/>
        <v>0</v>
      </c>
      <c r="CJ246" s="247">
        <f t="shared" si="3670"/>
        <v>0.10723678507692824</v>
      </c>
      <c r="CK246" s="247">
        <f t="shared" si="3670"/>
        <v>0</v>
      </c>
      <c r="CL246" s="247">
        <f t="shared" si="3670"/>
        <v>0</v>
      </c>
      <c r="CM246" s="247">
        <f t="shared" si="3670"/>
        <v>0</v>
      </c>
      <c r="CN246" s="247">
        <f t="shared" si="3670"/>
        <v>0</v>
      </c>
      <c r="CO246" s="247">
        <f t="shared" si="3670"/>
        <v>0</v>
      </c>
      <c r="CP246" s="247">
        <f t="shared" si="3670"/>
        <v>0</v>
      </c>
      <c r="CQ246" s="247">
        <f t="shared" si="3670"/>
        <v>0</v>
      </c>
      <c r="CR246" s="247">
        <f t="shared" si="3670"/>
        <v>0</v>
      </c>
      <c r="CS246" s="247">
        <f t="shared" si="3670"/>
        <v>0</v>
      </c>
      <c r="CT246" s="247">
        <f t="shared" si="3670"/>
        <v>0</v>
      </c>
      <c r="CU246" s="247">
        <f t="shared" si="3670"/>
        <v>0.10723678507692824</v>
      </c>
      <c r="CV246" s="247">
        <f t="shared" si="3670"/>
        <v>0</v>
      </c>
      <c r="CW246" s="248"/>
      <c r="CX246" s="247">
        <f>CX117-CX370</f>
        <v>0</v>
      </c>
      <c r="CY246" s="247">
        <f>CY117-CY370</f>
        <v>0</v>
      </c>
      <c r="CZ246" s="247">
        <f>CZ117-CZ370</f>
        <v>-136.988</v>
      </c>
      <c r="DA246" s="247">
        <f>DA117-DA370</f>
        <v>-19.999999999999829</v>
      </c>
      <c r="DB246" s="247">
        <f>DB117-DB370</f>
        <v>0</v>
      </c>
      <c r="DC246" s="247">
        <f>DC117-DC370</f>
        <v>0</v>
      </c>
      <c r="DD246" s="247"/>
      <c r="DE246" s="247">
        <f t="shared" ref="DE246:EG246" si="3671">DE117-DE370</f>
        <v>0</v>
      </c>
      <c r="DF246" s="247">
        <f t="shared" si="3671"/>
        <v>0</v>
      </c>
      <c r="DG246" s="247">
        <f t="shared" si="3671"/>
        <v>0</v>
      </c>
      <c r="DH246" s="247">
        <f t="shared" si="3671"/>
        <v>0</v>
      </c>
      <c r="DI246" s="247">
        <f t="shared" si="3671"/>
        <v>0</v>
      </c>
      <c r="DJ246" s="247">
        <f t="shared" si="3671"/>
        <v>0</v>
      </c>
      <c r="DK246" s="247">
        <f t="shared" si="3671"/>
        <v>0</v>
      </c>
      <c r="DL246" s="247">
        <f t="shared" si="3671"/>
        <v>1</v>
      </c>
      <c r="DM246" s="247">
        <f t="shared" si="3671"/>
        <v>-5.7085771371485627E-3</v>
      </c>
      <c r="DN246" s="247">
        <f t="shared" si="3671"/>
        <v>0</v>
      </c>
      <c r="DO246" s="247">
        <f t="shared" si="3671"/>
        <v>0</v>
      </c>
      <c r="DP246" s="247">
        <f t="shared" si="3671"/>
        <v>0</v>
      </c>
      <c r="DQ246" s="247">
        <f t="shared" si="3671"/>
        <v>0</v>
      </c>
      <c r="DR246" s="247">
        <f t="shared" si="3671"/>
        <v>0</v>
      </c>
      <c r="DS246" s="247">
        <f t="shared" si="3671"/>
        <v>0</v>
      </c>
      <c r="DT246" s="247">
        <f t="shared" si="3671"/>
        <v>0</v>
      </c>
      <c r="DU246" s="247">
        <f t="shared" si="3671"/>
        <v>0</v>
      </c>
      <c r="DV246" s="247">
        <f t="shared" si="3671"/>
        <v>-7.0160000000000018</v>
      </c>
      <c r="DW246" s="247">
        <f t="shared" si="3671"/>
        <v>0</v>
      </c>
      <c r="DX246" s="247">
        <f t="shared" si="3671"/>
        <v>0</v>
      </c>
      <c r="DY246" s="247">
        <f t="shared" si="3671"/>
        <v>0</v>
      </c>
      <c r="DZ246" s="247">
        <f t="shared" si="3671"/>
        <v>0</v>
      </c>
      <c r="EA246" s="247">
        <f t="shared" si="3671"/>
        <v>0</v>
      </c>
      <c r="EB246" s="247">
        <f t="shared" si="3671"/>
        <v>0</v>
      </c>
      <c r="EC246" s="247">
        <f t="shared" si="3671"/>
        <v>0</v>
      </c>
      <c r="ED246" s="247">
        <f t="shared" si="3671"/>
        <v>0</v>
      </c>
      <c r="EE246" s="247">
        <f t="shared" si="3671"/>
        <v>0</v>
      </c>
      <c r="EF246" s="247">
        <f t="shared" si="3671"/>
        <v>0</v>
      </c>
      <c r="EG246" s="247">
        <f t="shared" si="3671"/>
        <v>0</v>
      </c>
    </row>
    <row r="247" spans="1:137" ht="11.25" customHeight="1">
      <c r="A247" s="157">
        <v>45566</v>
      </c>
      <c r="B247" s="247">
        <f>B118-B371</f>
        <v>0</v>
      </c>
      <c r="C247" s="247">
        <f>C118-C371</f>
        <v>0</v>
      </c>
      <c r="D247" s="247">
        <f>D118-D371</f>
        <v>0</v>
      </c>
      <c r="E247" s="247">
        <f>E118-E371</f>
        <v>0</v>
      </c>
      <c r="F247" s="247">
        <f>F118-F371</f>
        <v>0</v>
      </c>
      <c r="G247" s="247">
        <f>G118-G371</f>
        <v>0</v>
      </c>
      <c r="H247" s="247">
        <f>H118-H371</f>
        <v>0</v>
      </c>
      <c r="I247" s="247">
        <f t="shared" ref="I247:AB247" si="3672">I118-I371</f>
        <v>13.805000000000007</v>
      </c>
      <c r="J247" s="247">
        <f t="shared" si="3672"/>
        <v>0</v>
      </c>
      <c r="K247" s="247">
        <f t="shared" si="3672"/>
        <v>0</v>
      </c>
      <c r="L247" s="247">
        <f t="shared" si="3672"/>
        <v>-36.494000000000007</v>
      </c>
      <c r="M247" s="247">
        <f t="shared" si="3672"/>
        <v>0</v>
      </c>
      <c r="N247" s="247">
        <f t="shared" si="3672"/>
        <v>0</v>
      </c>
      <c r="O247" s="247">
        <f t="shared" si="3672"/>
        <v>-26</v>
      </c>
      <c r="P247" s="247">
        <f t="shared" si="3672"/>
        <v>82.182000000000016</v>
      </c>
      <c r="Q247" s="247">
        <f t="shared" si="3672"/>
        <v>0</v>
      </c>
      <c r="R247" s="247">
        <f t="shared" si="3672"/>
        <v>10.998017099581915</v>
      </c>
      <c r="S247" s="247">
        <f t="shared" si="3672"/>
        <v>1.7845138100745999</v>
      </c>
      <c r="T247" s="247">
        <f t="shared" si="3672"/>
        <v>24.370000000000005</v>
      </c>
      <c r="U247" s="247">
        <f t="shared" si="3672"/>
        <v>106.55200000000013</v>
      </c>
      <c r="V247" s="247">
        <f t="shared" si="3672"/>
        <v>9.9902396581161401E-2</v>
      </c>
      <c r="W247" s="247">
        <f t="shared" si="3672"/>
        <v>-0.1204911590384441</v>
      </c>
      <c r="X247" s="247">
        <f t="shared" si="3672"/>
        <v>-11.970491159038444</v>
      </c>
      <c r="Y247" s="247">
        <f t="shared" si="3672"/>
        <v>-0.12049115903843699</v>
      </c>
      <c r="Z247" s="247">
        <f t="shared" si="3672"/>
        <v>94.137000000000171</v>
      </c>
      <c r="AA247" s="247">
        <f t="shared" si="3672"/>
        <v>94.136999999999944</v>
      </c>
      <c r="AB247" s="247">
        <f t="shared" si="3672"/>
        <v>-1.0238574266204468E-3</v>
      </c>
      <c r="AC247" s="247">
        <f>AC118-AC371</f>
        <v>0</v>
      </c>
      <c r="AD247" s="247">
        <f>AD118-AD371</f>
        <v>69.923000000000002</v>
      </c>
      <c r="AE247" s="247">
        <f>AE118-AE371</f>
        <v>0.13799999999991996</v>
      </c>
      <c r="AF247" s="247">
        <f>AF118-AF371</f>
        <v>69.785000000000082</v>
      </c>
      <c r="AG247" s="248"/>
      <c r="AH247" s="247"/>
      <c r="AI247" s="247">
        <f t="shared" ref="AI247:BN247" si="3673">AI118-AI371</f>
        <v>0</v>
      </c>
      <c r="AJ247" s="247">
        <f t="shared" si="3673"/>
        <v>0</v>
      </c>
      <c r="AK247" s="247">
        <f t="shared" si="3673"/>
        <v>0</v>
      </c>
      <c r="AL247" s="247">
        <f t="shared" si="3673"/>
        <v>0</v>
      </c>
      <c r="AM247" s="247">
        <f t="shared" si="3673"/>
        <v>0</v>
      </c>
      <c r="AN247" s="247">
        <f t="shared" si="3673"/>
        <v>0</v>
      </c>
      <c r="AO247" s="247">
        <f t="shared" si="3673"/>
        <v>0</v>
      </c>
      <c r="AP247" s="247">
        <f t="shared" si="3673"/>
        <v>0</v>
      </c>
      <c r="AQ247" s="247">
        <f t="shared" si="3673"/>
        <v>0</v>
      </c>
      <c r="AR247" s="247">
        <f t="shared" si="3673"/>
        <v>0.1204911590384441</v>
      </c>
      <c r="AS247" s="247">
        <f t="shared" si="3673"/>
        <v>0</v>
      </c>
      <c r="AT247" s="247">
        <f t="shared" si="3673"/>
        <v>1.9999999999527063E-3</v>
      </c>
      <c r="AU247" s="247">
        <f t="shared" si="3673"/>
        <v>6.6666666661774343E-5</v>
      </c>
      <c r="AV247" s="247">
        <f t="shared" si="3673"/>
        <v>0</v>
      </c>
      <c r="AW247" s="247">
        <f t="shared" si="3673"/>
        <v>0</v>
      </c>
      <c r="AX247" s="247">
        <f t="shared" si="3673"/>
        <v>-6.5013508347533389E-5</v>
      </c>
      <c r="AY247" s="247">
        <f t="shared" si="3673"/>
        <v>-6.5013508347533389E-5</v>
      </c>
      <c r="AZ247" s="247">
        <f t="shared" si="3673"/>
        <v>0</v>
      </c>
      <c r="BA247" s="247">
        <f t="shared" si="3673"/>
        <v>0</v>
      </c>
      <c r="BB247" s="247">
        <f t="shared" si="3673"/>
        <v>-1.7194407410769941E-5</v>
      </c>
      <c r="BC247" s="247">
        <f t="shared" si="3673"/>
        <v>0.12047396463103333</v>
      </c>
      <c r="BD247" s="247">
        <f t="shared" si="3673"/>
        <v>-8.2207915760079686E-5</v>
      </c>
      <c r="BE247" s="247">
        <f t="shared" si="3673"/>
        <v>0</v>
      </c>
      <c r="BF247" s="247">
        <f t="shared" si="3673"/>
        <v>0</v>
      </c>
      <c r="BG247" s="247">
        <f t="shared" si="3673"/>
        <v>0</v>
      </c>
      <c r="BH247" s="247">
        <f t="shared" si="3673"/>
        <v>0</v>
      </c>
      <c r="BI247" s="247">
        <f t="shared" si="3673"/>
        <v>0</v>
      </c>
      <c r="BJ247" s="247">
        <f t="shared" si="3673"/>
        <v>0</v>
      </c>
      <c r="BK247" s="247">
        <f t="shared" si="3673"/>
        <v>0</v>
      </c>
      <c r="BL247" s="247">
        <f t="shared" si="3673"/>
        <v>0</v>
      </c>
      <c r="BM247" s="247">
        <f t="shared" si="3673"/>
        <v>0</v>
      </c>
      <c r="BN247" s="247">
        <f t="shared" si="3673"/>
        <v>0.1204911590384441</v>
      </c>
      <c r="BO247" s="247">
        <f t="shared" ref="BO247:CV247" si="3674">BO118-BO371</f>
        <v>0</v>
      </c>
      <c r="BP247" s="247">
        <f t="shared" si="3674"/>
        <v>0</v>
      </c>
      <c r="BQ247" s="247">
        <f t="shared" si="3674"/>
        <v>0</v>
      </c>
      <c r="BR247" s="247">
        <f t="shared" si="3674"/>
        <v>0</v>
      </c>
      <c r="BS247" s="247">
        <f t="shared" si="3674"/>
        <v>0</v>
      </c>
      <c r="BT247" s="247">
        <f t="shared" si="3674"/>
        <v>0</v>
      </c>
      <c r="BU247" s="247">
        <f t="shared" si="3674"/>
        <v>0</v>
      </c>
      <c r="BV247" s="247">
        <f t="shared" si="3674"/>
        <v>0</v>
      </c>
      <c r="BW247" s="247">
        <f t="shared" si="3674"/>
        <v>0</v>
      </c>
      <c r="BX247" s="247">
        <f t="shared" si="3674"/>
        <v>0</v>
      </c>
      <c r="BY247" s="247">
        <f t="shared" si="3674"/>
        <v>0.1204911590384441</v>
      </c>
      <c r="BZ247" s="247">
        <f t="shared" si="3674"/>
        <v>0</v>
      </c>
      <c r="CA247" s="247">
        <f t="shared" si="3674"/>
        <v>0</v>
      </c>
      <c r="CB247" s="247">
        <f t="shared" si="3674"/>
        <v>0</v>
      </c>
      <c r="CC247" s="247">
        <f t="shared" si="3674"/>
        <v>0</v>
      </c>
      <c r="CD247" s="247">
        <f t="shared" si="3674"/>
        <v>0</v>
      </c>
      <c r="CE247" s="247">
        <f t="shared" si="3674"/>
        <v>0</v>
      </c>
      <c r="CF247" s="247">
        <f t="shared" si="3674"/>
        <v>0</v>
      </c>
      <c r="CG247" s="247">
        <f t="shared" si="3674"/>
        <v>0</v>
      </c>
      <c r="CH247" s="247">
        <f t="shared" si="3674"/>
        <v>0</v>
      </c>
      <c r="CI247" s="247">
        <f t="shared" si="3674"/>
        <v>0</v>
      </c>
      <c r="CJ247" s="247">
        <f t="shared" si="3674"/>
        <v>0.1204911590384441</v>
      </c>
      <c r="CK247" s="247">
        <f t="shared" si="3674"/>
        <v>0</v>
      </c>
      <c r="CL247" s="247">
        <f t="shared" si="3674"/>
        <v>0</v>
      </c>
      <c r="CM247" s="247">
        <f t="shared" si="3674"/>
        <v>0</v>
      </c>
      <c r="CN247" s="247">
        <f t="shared" si="3674"/>
        <v>0</v>
      </c>
      <c r="CO247" s="247">
        <f t="shared" si="3674"/>
        <v>0</v>
      </c>
      <c r="CP247" s="247">
        <f t="shared" si="3674"/>
        <v>0</v>
      </c>
      <c r="CQ247" s="247">
        <f t="shared" si="3674"/>
        <v>0</v>
      </c>
      <c r="CR247" s="247">
        <f t="shared" si="3674"/>
        <v>0</v>
      </c>
      <c r="CS247" s="247">
        <f t="shared" si="3674"/>
        <v>0</v>
      </c>
      <c r="CT247" s="247">
        <f t="shared" si="3674"/>
        <v>0</v>
      </c>
      <c r="CU247" s="247">
        <f t="shared" si="3674"/>
        <v>0.1204911590384441</v>
      </c>
      <c r="CV247" s="247">
        <f t="shared" si="3674"/>
        <v>0</v>
      </c>
      <c r="CW247" s="248"/>
      <c r="CX247" s="247">
        <f>CX118-CX371</f>
        <v>-6.666666666887977E-5</v>
      </c>
      <c r="CY247" s="247">
        <f>CY118-CY371</f>
        <v>0</v>
      </c>
      <c r="CZ247" s="247">
        <f>CZ118-CZ371</f>
        <v>13.805000000000021</v>
      </c>
      <c r="DA247" s="247">
        <f>DA118-DA371</f>
        <v>-26.000000000000114</v>
      </c>
      <c r="DB247" s="247">
        <f>DB118-DB371</f>
        <v>0</v>
      </c>
      <c r="DC247" s="247">
        <f>DC118-DC371</f>
        <v>69.399469090343501</v>
      </c>
      <c r="DD247" s="247"/>
      <c r="DE247" s="247">
        <f t="shared" ref="DE247:EG247" si="3675">DE118-DE371</f>
        <v>0</v>
      </c>
      <c r="DF247" s="247">
        <f t="shared" si="3675"/>
        <v>0</v>
      </c>
      <c r="DG247" s="247">
        <f t="shared" si="3675"/>
        <v>0</v>
      </c>
      <c r="DH247" s="247">
        <f t="shared" si="3675"/>
        <v>0</v>
      </c>
      <c r="DI247" s="247">
        <f t="shared" si="3675"/>
        <v>0</v>
      </c>
      <c r="DJ247" s="247">
        <f t="shared" si="3675"/>
        <v>0</v>
      </c>
      <c r="DK247" s="247">
        <f t="shared" si="3675"/>
        <v>0</v>
      </c>
      <c r="DL247" s="247">
        <f t="shared" si="3675"/>
        <v>0</v>
      </c>
      <c r="DM247" s="247">
        <f t="shared" si="3675"/>
        <v>0</v>
      </c>
      <c r="DN247" s="247">
        <f t="shared" si="3675"/>
        <v>0.30700000000001637</v>
      </c>
      <c r="DO247" s="247">
        <f t="shared" si="3675"/>
        <v>0</v>
      </c>
      <c r="DP247" s="247">
        <f t="shared" si="3675"/>
        <v>-0.85999999999999943</v>
      </c>
      <c r="DQ247" s="247">
        <f t="shared" si="3675"/>
        <v>-0.85999999999999943</v>
      </c>
      <c r="DR247" s="247">
        <f t="shared" si="3675"/>
        <v>0</v>
      </c>
      <c r="DS247" s="247">
        <f t="shared" si="3675"/>
        <v>0</v>
      </c>
      <c r="DT247" s="247">
        <f t="shared" si="3675"/>
        <v>0</v>
      </c>
      <c r="DU247" s="247">
        <f t="shared" si="3675"/>
        <v>0</v>
      </c>
      <c r="DV247" s="247">
        <f t="shared" si="3675"/>
        <v>-0.17099999999999937</v>
      </c>
      <c r="DW247" s="247">
        <f t="shared" si="3675"/>
        <v>0</v>
      </c>
      <c r="DX247" s="247">
        <f t="shared" si="3675"/>
        <v>0</v>
      </c>
      <c r="DY247" s="247">
        <f t="shared" si="3675"/>
        <v>0</v>
      </c>
      <c r="DZ247" s="247">
        <f t="shared" si="3675"/>
        <v>0</v>
      </c>
      <c r="EA247" s="247">
        <f t="shared" si="3675"/>
        <v>0</v>
      </c>
      <c r="EB247" s="247">
        <f t="shared" si="3675"/>
        <v>0</v>
      </c>
      <c r="EC247" s="247">
        <f t="shared" si="3675"/>
        <v>2.4999999999998579E-2</v>
      </c>
      <c r="ED247" s="247">
        <f t="shared" si="3675"/>
        <v>0</v>
      </c>
      <c r="EE247" s="247">
        <f t="shared" si="3675"/>
        <v>-0.16600000000000037</v>
      </c>
      <c r="EF247" s="247">
        <f t="shared" si="3675"/>
        <v>-0.16599999999999682</v>
      </c>
      <c r="EG247" s="247">
        <f t="shared" si="3675"/>
        <v>0</v>
      </c>
    </row>
    <row r="248" spans="1:137" ht="11.25" customHeight="1">
      <c r="A248" s="157">
        <v>45597</v>
      </c>
      <c r="B248" s="247">
        <f>B119-B372</f>
        <v>0</v>
      </c>
      <c r="C248" s="247">
        <f>C119-C372</f>
        <v>0</v>
      </c>
      <c r="D248" s="247">
        <f>D119-D372</f>
        <v>0</v>
      </c>
      <c r="E248" s="247">
        <f>E119-E372</f>
        <v>0</v>
      </c>
      <c r="F248" s="247">
        <f>F119-F372</f>
        <v>0</v>
      </c>
      <c r="G248" s="247">
        <f>G119-G372</f>
        <v>0</v>
      </c>
      <c r="H248" s="247">
        <f>H119-H372</f>
        <v>3.0000000000001137E-3</v>
      </c>
      <c r="I248" s="247">
        <f t="shared" ref="I248:AB248" si="3676">I119-I372</f>
        <v>-150.834</v>
      </c>
      <c r="J248" s="247">
        <f t="shared" si="3676"/>
        <v>0</v>
      </c>
      <c r="K248" s="247">
        <f t="shared" si="3676"/>
        <v>0</v>
      </c>
      <c r="L248" s="247">
        <f t="shared" si="3676"/>
        <v>-55.466000000000008</v>
      </c>
      <c r="M248" s="247">
        <f t="shared" si="3676"/>
        <v>0</v>
      </c>
      <c r="N248" s="247">
        <f t="shared" si="3676"/>
        <v>0</v>
      </c>
      <c r="O248" s="247">
        <f t="shared" si="3676"/>
        <v>0</v>
      </c>
      <c r="P248" s="247">
        <f t="shared" si="3676"/>
        <v>-9.6949999999999363</v>
      </c>
      <c r="Q248" s="247">
        <f t="shared" si="3676"/>
        <v>-9.69500000000005</v>
      </c>
      <c r="R248" s="247">
        <f t="shared" si="3676"/>
        <v>0</v>
      </c>
      <c r="S248" s="247">
        <f t="shared" si="3676"/>
        <v>0</v>
      </c>
      <c r="T248" s="247">
        <f t="shared" si="3676"/>
        <v>15.077999999999975</v>
      </c>
      <c r="U248" s="247">
        <f t="shared" si="3676"/>
        <v>5.3829999999998108</v>
      </c>
      <c r="V248" s="247">
        <f t="shared" si="3676"/>
        <v>4.964470328920223E-3</v>
      </c>
      <c r="W248" s="247">
        <f t="shared" si="3676"/>
        <v>0</v>
      </c>
      <c r="X248" s="247">
        <f t="shared" si="3676"/>
        <v>107.47100000000009</v>
      </c>
      <c r="Y248" s="247">
        <f t="shared" si="3676"/>
        <v>0</v>
      </c>
      <c r="Z248" s="247">
        <f t="shared" si="3676"/>
        <v>38.09699999999998</v>
      </c>
      <c r="AA248" s="247">
        <f t="shared" si="3676"/>
        <v>38.09699999999998</v>
      </c>
      <c r="AB248" s="247">
        <f t="shared" si="3676"/>
        <v>-4.512818156794593E-4</v>
      </c>
      <c r="AC248" s="247">
        <f>AC119-AC372</f>
        <v>6.1699933174699311</v>
      </c>
      <c r="AD248" s="247">
        <f>AD119-AD372</f>
        <v>41.307000000000016</v>
      </c>
      <c r="AE248" s="247">
        <f>AE119-AE372</f>
        <v>0</v>
      </c>
      <c r="AF248" s="247">
        <f>AF119-AF372</f>
        <v>41.307000000000016</v>
      </c>
      <c r="AG248" s="248"/>
      <c r="AH248" s="247"/>
      <c r="AI248" s="247">
        <f t="shared" ref="AI248:BN248" si="3677">AI119-AI372</f>
        <v>0</v>
      </c>
      <c r="AJ248" s="247">
        <f t="shared" si="3677"/>
        <v>0</v>
      </c>
      <c r="AK248" s="247">
        <f t="shared" si="3677"/>
        <v>0</v>
      </c>
      <c r="AL248" s="247">
        <f t="shared" si="3677"/>
        <v>0</v>
      </c>
      <c r="AM248" s="247">
        <f t="shared" si="3677"/>
        <v>0</v>
      </c>
      <c r="AN248" s="247">
        <f t="shared" si="3677"/>
        <v>0</v>
      </c>
      <c r="AO248" s="247">
        <f t="shared" si="3677"/>
        <v>0</v>
      </c>
      <c r="AP248" s="247">
        <f t="shared" si="3677"/>
        <v>0</v>
      </c>
      <c r="AQ248" s="247">
        <f t="shared" si="3677"/>
        <v>0</v>
      </c>
      <c r="AR248" s="247">
        <f t="shared" si="3677"/>
        <v>0</v>
      </c>
      <c r="AS248" s="247">
        <f t="shared" si="3677"/>
        <v>0</v>
      </c>
      <c r="AT248" s="247">
        <f t="shared" si="3677"/>
        <v>0</v>
      </c>
      <c r="AU248" s="247">
        <f t="shared" si="3677"/>
        <v>0</v>
      </c>
      <c r="AV248" s="247">
        <f t="shared" si="3677"/>
        <v>0</v>
      </c>
      <c r="AW248" s="247">
        <f t="shared" si="3677"/>
        <v>0</v>
      </c>
      <c r="AX248" s="247">
        <f t="shared" si="3677"/>
        <v>0</v>
      </c>
      <c r="AY248" s="247">
        <f t="shared" si="3677"/>
        <v>0</v>
      </c>
      <c r="AZ248" s="247">
        <f t="shared" si="3677"/>
        <v>0</v>
      </c>
      <c r="BA248" s="247">
        <f t="shared" si="3677"/>
        <v>0</v>
      </c>
      <c r="BB248" s="247">
        <f t="shared" si="3677"/>
        <v>0</v>
      </c>
      <c r="BC248" s="247">
        <f t="shared" si="3677"/>
        <v>0</v>
      </c>
      <c r="BD248" s="247">
        <f t="shared" si="3677"/>
        <v>0</v>
      </c>
      <c r="BE248" s="247">
        <f t="shared" si="3677"/>
        <v>0</v>
      </c>
      <c r="BF248" s="247">
        <f t="shared" si="3677"/>
        <v>0</v>
      </c>
      <c r="BG248" s="247">
        <f t="shared" si="3677"/>
        <v>0</v>
      </c>
      <c r="BH248" s="247">
        <f t="shared" si="3677"/>
        <v>0</v>
      </c>
      <c r="BI248" s="247">
        <f t="shared" si="3677"/>
        <v>0</v>
      </c>
      <c r="BJ248" s="247">
        <f t="shared" si="3677"/>
        <v>0</v>
      </c>
      <c r="BK248" s="247">
        <f t="shared" si="3677"/>
        <v>0</v>
      </c>
      <c r="BL248" s="247">
        <f t="shared" si="3677"/>
        <v>0</v>
      </c>
      <c r="BM248" s="247">
        <f t="shared" si="3677"/>
        <v>0</v>
      </c>
      <c r="BN248" s="247">
        <f t="shared" si="3677"/>
        <v>0</v>
      </c>
      <c r="BO248" s="247">
        <f t="shared" ref="BO248:CV248" si="3678">BO119-BO372</f>
        <v>0</v>
      </c>
      <c r="BP248" s="247">
        <f t="shared" si="3678"/>
        <v>0</v>
      </c>
      <c r="BQ248" s="247">
        <f t="shared" si="3678"/>
        <v>0</v>
      </c>
      <c r="BR248" s="247">
        <f t="shared" si="3678"/>
        <v>0</v>
      </c>
      <c r="BS248" s="247">
        <f t="shared" si="3678"/>
        <v>0</v>
      </c>
      <c r="BT248" s="247">
        <f t="shared" si="3678"/>
        <v>0</v>
      </c>
      <c r="BU248" s="247">
        <f t="shared" si="3678"/>
        <v>0</v>
      </c>
      <c r="BV248" s="247">
        <f t="shared" si="3678"/>
        <v>0</v>
      </c>
      <c r="BW248" s="247">
        <f t="shared" si="3678"/>
        <v>0</v>
      </c>
      <c r="BX248" s="247">
        <f t="shared" si="3678"/>
        <v>0</v>
      </c>
      <c r="BY248" s="247">
        <f t="shared" si="3678"/>
        <v>0</v>
      </c>
      <c r="BZ248" s="247">
        <f t="shared" si="3678"/>
        <v>0</v>
      </c>
      <c r="CA248" s="247">
        <f t="shared" si="3678"/>
        <v>0</v>
      </c>
      <c r="CB248" s="247">
        <f t="shared" si="3678"/>
        <v>0</v>
      </c>
      <c r="CC248" s="247">
        <f t="shared" si="3678"/>
        <v>0</v>
      </c>
      <c r="CD248" s="247">
        <f t="shared" si="3678"/>
        <v>0</v>
      </c>
      <c r="CE248" s="247">
        <f t="shared" si="3678"/>
        <v>0</v>
      </c>
      <c r="CF248" s="247">
        <f t="shared" si="3678"/>
        <v>0</v>
      </c>
      <c r="CG248" s="247">
        <f t="shared" si="3678"/>
        <v>0</v>
      </c>
      <c r="CH248" s="247">
        <f t="shared" si="3678"/>
        <v>0</v>
      </c>
      <c r="CI248" s="247">
        <f t="shared" si="3678"/>
        <v>0</v>
      </c>
      <c r="CJ248" s="247">
        <f t="shared" si="3678"/>
        <v>0</v>
      </c>
      <c r="CK248" s="247">
        <f t="shared" si="3678"/>
        <v>0</v>
      </c>
      <c r="CL248" s="247">
        <f t="shared" si="3678"/>
        <v>0</v>
      </c>
      <c r="CM248" s="247">
        <f t="shared" si="3678"/>
        <v>0</v>
      </c>
      <c r="CN248" s="247">
        <f t="shared" si="3678"/>
        <v>0</v>
      </c>
      <c r="CO248" s="247">
        <f t="shared" si="3678"/>
        <v>0</v>
      </c>
      <c r="CP248" s="247">
        <f t="shared" si="3678"/>
        <v>0</v>
      </c>
      <c r="CQ248" s="247">
        <f t="shared" si="3678"/>
        <v>0</v>
      </c>
      <c r="CR248" s="247">
        <f t="shared" si="3678"/>
        <v>0</v>
      </c>
      <c r="CS248" s="247">
        <f t="shared" si="3678"/>
        <v>0</v>
      </c>
      <c r="CT248" s="247">
        <f t="shared" si="3678"/>
        <v>0</v>
      </c>
      <c r="CU248" s="247">
        <f t="shared" si="3678"/>
        <v>0</v>
      </c>
      <c r="CV248" s="247">
        <f t="shared" si="3678"/>
        <v>0</v>
      </c>
      <c r="CW248" s="248"/>
      <c r="CX248" s="247">
        <f>CX119-CX372</f>
        <v>0</v>
      </c>
      <c r="CY248" s="247">
        <f>CY119-CY372</f>
        <v>0</v>
      </c>
      <c r="CZ248" s="247">
        <f>CZ119-CZ372</f>
        <v>-150.834</v>
      </c>
      <c r="DA248" s="247">
        <f>DA119-DA372</f>
        <v>0</v>
      </c>
      <c r="DB248" s="247">
        <f>DB119-DB372</f>
        <v>-9.6950000000000074</v>
      </c>
      <c r="DC248" s="247">
        <f>DC119-DC372</f>
        <v>0</v>
      </c>
      <c r="DD248" s="247"/>
      <c r="DE248" s="247">
        <f t="shared" ref="DE248:EG248" si="3679">DE119-DE372</f>
        <v>0</v>
      </c>
      <c r="DF248" s="247">
        <f t="shared" si="3679"/>
        <v>0</v>
      </c>
      <c r="DG248" s="247">
        <f t="shared" si="3679"/>
        <v>0</v>
      </c>
      <c r="DH248" s="247">
        <f t="shared" si="3679"/>
        <v>0</v>
      </c>
      <c r="DI248" s="247">
        <f t="shared" si="3679"/>
        <v>0</v>
      </c>
      <c r="DJ248" s="247">
        <f t="shared" si="3679"/>
        <v>0</v>
      </c>
      <c r="DK248" s="247">
        <f t="shared" si="3679"/>
        <v>0</v>
      </c>
      <c r="DL248" s="247">
        <f t="shared" si="3679"/>
        <v>0</v>
      </c>
      <c r="DM248" s="247">
        <f t="shared" si="3679"/>
        <v>0</v>
      </c>
      <c r="DN248" s="247">
        <f t="shared" si="3679"/>
        <v>-8.3019999999999925</v>
      </c>
      <c r="DO248" s="247">
        <f t="shared" si="3679"/>
        <v>0</v>
      </c>
      <c r="DP248" s="247">
        <f t="shared" si="3679"/>
        <v>0</v>
      </c>
      <c r="DQ248" s="247">
        <f t="shared" si="3679"/>
        <v>0</v>
      </c>
      <c r="DR248" s="247">
        <f t="shared" si="3679"/>
        <v>0</v>
      </c>
      <c r="DS248" s="247">
        <f t="shared" si="3679"/>
        <v>0</v>
      </c>
      <c r="DT248" s="247">
        <f t="shared" si="3679"/>
        <v>0</v>
      </c>
      <c r="DU248" s="247">
        <f t="shared" si="3679"/>
        <v>-0.9269999999999996</v>
      </c>
      <c r="DV248" s="247">
        <f t="shared" si="3679"/>
        <v>-7.9930000000000021</v>
      </c>
      <c r="DW248" s="247">
        <f t="shared" si="3679"/>
        <v>-7.3527662105889458E-3</v>
      </c>
      <c r="DX248" s="247">
        <f t="shared" si="3679"/>
        <v>0.48799999999999955</v>
      </c>
      <c r="DY248" s="247">
        <f t="shared" si="3679"/>
        <v>1.9353559389252428E-3</v>
      </c>
      <c r="DZ248" s="247">
        <f t="shared" si="3679"/>
        <v>-0.17399999999999949</v>
      </c>
      <c r="EA248" s="247">
        <f t="shared" si="3679"/>
        <v>-0.1699999999999946</v>
      </c>
      <c r="EB248" s="247">
        <f t="shared" si="3679"/>
        <v>2.4613435901432723E-5</v>
      </c>
      <c r="EC248" s="247">
        <f t="shared" si="3679"/>
        <v>-9.100000000000108E-2</v>
      </c>
      <c r="ED248" s="247">
        <f t="shared" si="3679"/>
        <v>0</v>
      </c>
      <c r="EE248" s="247">
        <f t="shared" si="3679"/>
        <v>0</v>
      </c>
      <c r="EF248" s="247">
        <f t="shared" si="3679"/>
        <v>0</v>
      </c>
      <c r="EG248" s="247">
        <f t="shared" si="3679"/>
        <v>-5.4174102716637584E-3</v>
      </c>
    </row>
    <row r="249" spans="1:137" ht="11.25" customHeight="1">
      <c r="A249" s="157">
        <v>45627</v>
      </c>
      <c r="B249" s="247">
        <f>B120-B373</f>
        <v>0</v>
      </c>
      <c r="C249" s="247">
        <f>C120-C373</f>
        <v>0</v>
      </c>
      <c r="D249" s="247">
        <f>D120-D373</f>
        <v>0</v>
      </c>
      <c r="E249" s="247">
        <f>E120-E373</f>
        <v>0</v>
      </c>
      <c r="F249" s="247">
        <f>F120-F373</f>
        <v>0</v>
      </c>
      <c r="G249" s="247">
        <f>G120-G373</f>
        <v>0</v>
      </c>
      <c r="H249" s="247">
        <f>H120-H373</f>
        <v>0</v>
      </c>
      <c r="I249" s="247">
        <f t="shared" ref="I249:AB249" si="3680">I120-I373</f>
        <v>-78.309000000000026</v>
      </c>
      <c r="J249" s="247">
        <f t="shared" si="3680"/>
        <v>0</v>
      </c>
      <c r="K249" s="247">
        <f t="shared" si="3680"/>
        <v>0</v>
      </c>
      <c r="L249" s="247">
        <f t="shared" si="3680"/>
        <v>-41.576700000000002</v>
      </c>
      <c r="M249" s="247">
        <f t="shared" si="3680"/>
        <v>0</v>
      </c>
      <c r="N249" s="247">
        <f t="shared" si="3680"/>
        <v>0</v>
      </c>
      <c r="O249" s="247">
        <f t="shared" si="3680"/>
        <v>0</v>
      </c>
      <c r="P249" s="247">
        <f t="shared" si="3680"/>
        <v>-3.3740000000000236</v>
      </c>
      <c r="Q249" s="247">
        <f t="shared" si="3680"/>
        <v>0</v>
      </c>
      <c r="R249" s="247">
        <f t="shared" si="3680"/>
        <v>-3.3739999999999952</v>
      </c>
      <c r="S249" s="247">
        <f t="shared" si="3680"/>
        <v>0</v>
      </c>
      <c r="T249" s="247">
        <f t="shared" si="3680"/>
        <v>-5.7490000000000236</v>
      </c>
      <c r="U249" s="247">
        <f t="shared" si="3680"/>
        <v>-9.1230000000000473</v>
      </c>
      <c r="V249" s="247">
        <f t="shared" si="3680"/>
        <v>-7.3802200718042776E-3</v>
      </c>
      <c r="W249" s="247">
        <f t="shared" si="3680"/>
        <v>0</v>
      </c>
      <c r="X249" s="247">
        <f t="shared" si="3680"/>
        <v>93.392999999999958</v>
      </c>
      <c r="Y249" s="247">
        <f t="shared" si="3680"/>
        <v>0</v>
      </c>
      <c r="Z249" s="247">
        <f t="shared" si="3680"/>
        <v>0.42899999999985994</v>
      </c>
      <c r="AA249" s="247">
        <f t="shared" si="3680"/>
        <v>0.40399999999999636</v>
      </c>
      <c r="AB249" s="247">
        <f t="shared" si="3680"/>
        <v>6.9545263096243426E-6</v>
      </c>
      <c r="AC249" s="247">
        <f>AC120-AC373</f>
        <v>0.6267056815640899</v>
      </c>
      <c r="AD249" s="247">
        <f>AD120-AD373</f>
        <v>0.75400000000013279</v>
      </c>
      <c r="AE249" s="247">
        <f>AE120-AE373</f>
        <v>0.77199999999993452</v>
      </c>
      <c r="AF249" s="247">
        <f>AF120-AF373</f>
        <v>0</v>
      </c>
      <c r="AG249" s="248"/>
      <c r="AH249" s="247"/>
      <c r="AI249" s="247">
        <f t="shared" ref="AI249:BN249" si="3681">AI120-AI373</f>
        <v>6</v>
      </c>
      <c r="AJ249" s="247">
        <f t="shared" si="3681"/>
        <v>0.19999999999999929</v>
      </c>
      <c r="AK249" s="247">
        <f t="shared" si="3681"/>
        <v>0</v>
      </c>
      <c r="AL249" s="247">
        <f t="shared" si="3681"/>
        <v>0</v>
      </c>
      <c r="AM249" s="247">
        <f t="shared" si="3681"/>
        <v>-0.39433459618907563</v>
      </c>
      <c r="AN249" s="247">
        <f t="shared" si="3681"/>
        <v>-0.39433459618907563</v>
      </c>
      <c r="AO249" s="247">
        <f t="shared" si="3681"/>
        <v>0</v>
      </c>
      <c r="AP249" s="247">
        <f t="shared" si="3681"/>
        <v>0</v>
      </c>
      <c r="AQ249" s="247">
        <f t="shared" si="3681"/>
        <v>-0.10765515861113784</v>
      </c>
      <c r="AR249" s="247">
        <f t="shared" si="3681"/>
        <v>-0.10765515861113784</v>
      </c>
      <c r="AS249" s="247">
        <f t="shared" si="3681"/>
        <v>-0.50198975480021346</v>
      </c>
      <c r="AT249" s="247">
        <f t="shared" si="3681"/>
        <v>856.63799999999992</v>
      </c>
      <c r="AU249" s="247">
        <f t="shared" si="3681"/>
        <v>28.554599999999994</v>
      </c>
      <c r="AV249" s="247">
        <f t="shared" si="3681"/>
        <v>0</v>
      </c>
      <c r="AW249" s="247">
        <f t="shared" si="3681"/>
        <v>0</v>
      </c>
      <c r="AX249" s="247">
        <f t="shared" si="3681"/>
        <v>-68.962784122418753</v>
      </c>
      <c r="AY249" s="247">
        <f t="shared" si="3681"/>
        <v>-68.962784122418753</v>
      </c>
      <c r="AZ249" s="247">
        <f t="shared" si="3681"/>
        <v>0</v>
      </c>
      <c r="BA249" s="247">
        <f t="shared" si="3681"/>
        <v>0</v>
      </c>
      <c r="BB249" s="247">
        <f t="shared" si="3681"/>
        <v>-18.24174888150203</v>
      </c>
      <c r="BC249" s="247">
        <f t="shared" si="3681"/>
        <v>-18.241748881502033</v>
      </c>
      <c r="BD249" s="247">
        <f t="shared" si="3681"/>
        <v>-87.204533003920801</v>
      </c>
      <c r="BE249" s="247">
        <f t="shared" si="3681"/>
        <v>8.9999999999918145E-2</v>
      </c>
      <c r="BF249" s="247">
        <f t="shared" si="3681"/>
        <v>3.0000000000001137E-3</v>
      </c>
      <c r="BG249" s="247">
        <f t="shared" si="3681"/>
        <v>0</v>
      </c>
      <c r="BH249" s="247">
        <f t="shared" si="3681"/>
        <v>0</v>
      </c>
      <c r="BI249" s="247">
        <f t="shared" si="3681"/>
        <v>-2.8552715731962053E-3</v>
      </c>
      <c r="BJ249" s="247">
        <f t="shared" si="3681"/>
        <v>-2.8552715731962053E-3</v>
      </c>
      <c r="BK249" s="247">
        <f t="shared" si="3681"/>
        <v>0</v>
      </c>
      <c r="BL249" s="247">
        <f t="shared" si="3681"/>
        <v>0</v>
      </c>
      <c r="BM249" s="247">
        <f t="shared" si="3681"/>
        <v>-7.5964681463425165E-4</v>
      </c>
      <c r="BN249" s="247">
        <f t="shared" si="3681"/>
        <v>-7.5964681463425165E-4</v>
      </c>
      <c r="BO249" s="247">
        <f t="shared" ref="BO249:CV249" si="3682">BO120-BO373</f>
        <v>-3.6149183878322333E-3</v>
      </c>
      <c r="BP249" s="247">
        <f t="shared" si="3682"/>
        <v>0</v>
      </c>
      <c r="BQ249" s="247">
        <f t="shared" si="3682"/>
        <v>0</v>
      </c>
      <c r="BR249" s="247">
        <f t="shared" si="3682"/>
        <v>0</v>
      </c>
      <c r="BS249" s="247">
        <f t="shared" si="3682"/>
        <v>0</v>
      </c>
      <c r="BT249" s="247">
        <f t="shared" si="3682"/>
        <v>0</v>
      </c>
      <c r="BU249" s="247">
        <f t="shared" si="3682"/>
        <v>0</v>
      </c>
      <c r="BV249" s="247">
        <f t="shared" si="3682"/>
        <v>0</v>
      </c>
      <c r="BW249" s="247">
        <f t="shared" si="3682"/>
        <v>0</v>
      </c>
      <c r="BX249" s="247">
        <f t="shared" si="3682"/>
        <v>0</v>
      </c>
      <c r="BY249" s="247">
        <f t="shared" si="3682"/>
        <v>0</v>
      </c>
      <c r="BZ249" s="247">
        <f t="shared" si="3682"/>
        <v>0</v>
      </c>
      <c r="CA249" s="247">
        <f t="shared" si="3682"/>
        <v>0</v>
      </c>
      <c r="CB249" s="247">
        <f t="shared" si="3682"/>
        <v>0</v>
      </c>
      <c r="CC249" s="247">
        <f t="shared" si="3682"/>
        <v>0</v>
      </c>
      <c r="CD249" s="247">
        <f t="shared" si="3682"/>
        <v>0</v>
      </c>
      <c r="CE249" s="247">
        <f t="shared" si="3682"/>
        <v>0</v>
      </c>
      <c r="CF249" s="247">
        <f t="shared" si="3682"/>
        <v>0</v>
      </c>
      <c r="CG249" s="247">
        <f t="shared" si="3682"/>
        <v>0</v>
      </c>
      <c r="CH249" s="247">
        <f t="shared" si="3682"/>
        <v>0</v>
      </c>
      <c r="CI249" s="247">
        <f t="shared" si="3682"/>
        <v>0</v>
      </c>
      <c r="CJ249" s="247">
        <f t="shared" si="3682"/>
        <v>0</v>
      </c>
      <c r="CK249" s="247">
        <f t="shared" si="3682"/>
        <v>0</v>
      </c>
      <c r="CL249" s="247">
        <f t="shared" si="3682"/>
        <v>0</v>
      </c>
      <c r="CM249" s="247">
        <f t="shared" si="3682"/>
        <v>0</v>
      </c>
      <c r="CN249" s="247">
        <f t="shared" si="3682"/>
        <v>0</v>
      </c>
      <c r="CO249" s="247">
        <f t="shared" si="3682"/>
        <v>0</v>
      </c>
      <c r="CP249" s="247">
        <f t="shared" si="3682"/>
        <v>0</v>
      </c>
      <c r="CQ249" s="247">
        <f t="shared" si="3682"/>
        <v>0</v>
      </c>
      <c r="CR249" s="247">
        <f t="shared" si="3682"/>
        <v>0</v>
      </c>
      <c r="CS249" s="247">
        <f t="shared" si="3682"/>
        <v>0</v>
      </c>
      <c r="CT249" s="247">
        <f t="shared" si="3682"/>
        <v>0</v>
      </c>
      <c r="CU249" s="247">
        <f t="shared" si="3682"/>
        <v>0</v>
      </c>
      <c r="CV249" s="247">
        <f t="shared" si="3682"/>
        <v>0</v>
      </c>
      <c r="CW249" s="248"/>
      <c r="CX249" s="247">
        <f>CX120-CX373</f>
        <v>-28.757600000000004</v>
      </c>
      <c r="CY249" s="247">
        <f>CY120-CY373</f>
        <v>0</v>
      </c>
      <c r="CZ249" s="247">
        <f>CZ120-CZ373</f>
        <v>-78.308999999999969</v>
      </c>
      <c r="DA249" s="247">
        <f>DA120-DA373</f>
        <v>0</v>
      </c>
      <c r="DB249" s="247">
        <f>DB120-DB373</f>
        <v>0</v>
      </c>
      <c r="DC249" s="247">
        <f>DC120-DC373</f>
        <v>0</v>
      </c>
      <c r="DD249" s="247"/>
      <c r="DE249" s="247">
        <f t="shared" ref="DE249:EG249" si="3683">DE120-DE373</f>
        <v>-1.8849999999999909</v>
      </c>
      <c r="DF249" s="247">
        <f t="shared" si="3683"/>
        <v>-7.9000000000007731E-2</v>
      </c>
      <c r="DG249" s="247">
        <f t="shared" si="3683"/>
        <v>9.8999999999996646E-2</v>
      </c>
      <c r="DH249" s="247">
        <f t="shared" si="3683"/>
        <v>4.640760101633612E-3</v>
      </c>
      <c r="DI249" s="247">
        <f t="shared" si="3683"/>
        <v>-1.695999999999998</v>
      </c>
      <c r="DJ249" s="247">
        <f t="shared" si="3683"/>
        <v>-5.0668840128947901E-4</v>
      </c>
      <c r="DK249" s="247">
        <f t="shared" si="3683"/>
        <v>-0.25699999999997658</v>
      </c>
      <c r="DL249" s="247">
        <f t="shared" si="3683"/>
        <v>-0.25</v>
      </c>
      <c r="DM249" s="247">
        <f t="shared" si="3683"/>
        <v>3.6086381930422462E-6</v>
      </c>
      <c r="DN249" s="247">
        <f t="shared" si="3683"/>
        <v>-3.9240000000000066</v>
      </c>
      <c r="DO249" s="247">
        <f t="shared" si="3683"/>
        <v>0.36700000000000088</v>
      </c>
      <c r="DP249" s="247">
        <f t="shared" si="3683"/>
        <v>0.12800000000000011</v>
      </c>
      <c r="DQ249" s="247">
        <f t="shared" si="3683"/>
        <v>0.49499999999999034</v>
      </c>
      <c r="DR249" s="247">
        <f t="shared" si="3683"/>
        <v>4.1340717003440774E-3</v>
      </c>
      <c r="DS249" s="247">
        <f t="shared" si="3683"/>
        <v>8.4544000323167889E-3</v>
      </c>
      <c r="DT249" s="247">
        <f t="shared" si="3683"/>
        <v>0</v>
      </c>
      <c r="DU249" s="247">
        <f t="shared" si="3683"/>
        <v>0</v>
      </c>
      <c r="DV249" s="247">
        <f t="shared" si="3683"/>
        <v>-6.5349999999999966</v>
      </c>
      <c r="DW249" s="247">
        <f t="shared" si="3683"/>
        <v>0</v>
      </c>
      <c r="DX249" s="247">
        <f t="shared" si="3683"/>
        <v>0</v>
      </c>
      <c r="DY249" s="247">
        <f t="shared" si="3683"/>
        <v>0</v>
      </c>
      <c r="DZ249" s="247">
        <f t="shared" si="3683"/>
        <v>0</v>
      </c>
      <c r="EA249" s="247">
        <f t="shared" si="3683"/>
        <v>0</v>
      </c>
      <c r="EB249" s="247">
        <f t="shared" si="3683"/>
        <v>0</v>
      </c>
      <c r="EC249" s="247">
        <f t="shared" si="3683"/>
        <v>0</v>
      </c>
      <c r="ED249" s="247">
        <f t="shared" si="3683"/>
        <v>0</v>
      </c>
      <c r="EE249" s="247">
        <f t="shared" si="3683"/>
        <v>0</v>
      </c>
      <c r="EF249" s="247">
        <f t="shared" si="3683"/>
        <v>0</v>
      </c>
      <c r="EG249" s="247">
        <f t="shared" si="3683"/>
        <v>0</v>
      </c>
    </row>
    <row r="250" spans="1:137" ht="11.25" customHeight="1">
      <c r="A250" s="157">
        <v>45658</v>
      </c>
      <c r="B250" s="247">
        <f>B121-B374</f>
        <v>0</v>
      </c>
      <c r="C250" s="247">
        <f>C121-C374</f>
        <v>0</v>
      </c>
      <c r="D250" s="247">
        <f>D121-D374</f>
        <v>0</v>
      </c>
      <c r="E250" s="247">
        <f>E121-E374</f>
        <v>0</v>
      </c>
      <c r="F250" s="247">
        <f>F121-F374</f>
        <v>0</v>
      </c>
      <c r="G250" s="247">
        <f>G121-G374</f>
        <v>0</v>
      </c>
      <c r="H250" s="247">
        <f>H121-H374</f>
        <v>0</v>
      </c>
      <c r="I250" s="247">
        <f t="shared" ref="I250:AB250" si="3684">I121-I374</f>
        <v>0</v>
      </c>
      <c r="J250" s="247">
        <f t="shared" si="3684"/>
        <v>0</v>
      </c>
      <c r="K250" s="247">
        <f t="shared" si="3684"/>
        <v>0</v>
      </c>
      <c r="L250" s="247">
        <f t="shared" si="3684"/>
        <v>-41.506612903225808</v>
      </c>
      <c r="M250" s="247">
        <f t="shared" si="3684"/>
        <v>0</v>
      </c>
      <c r="N250" s="247">
        <f t="shared" si="3684"/>
        <v>0</v>
      </c>
      <c r="O250" s="247">
        <f t="shared" si="3684"/>
        <v>0</v>
      </c>
      <c r="P250" s="247">
        <f t="shared" si="3684"/>
        <v>0</v>
      </c>
      <c r="Q250" s="247">
        <f t="shared" si="3684"/>
        <v>0</v>
      </c>
      <c r="R250" s="247">
        <f t="shared" si="3684"/>
        <v>0</v>
      </c>
      <c r="S250" s="247">
        <f t="shared" si="3684"/>
        <v>0</v>
      </c>
      <c r="T250" s="247">
        <f t="shared" si="3684"/>
        <v>0</v>
      </c>
      <c r="U250" s="247">
        <f t="shared" si="3684"/>
        <v>-228.79099999999994</v>
      </c>
      <c r="V250" s="247">
        <f t="shared" si="3684"/>
        <v>-0.2496724380570885</v>
      </c>
      <c r="W250" s="247">
        <f t="shared" si="3684"/>
        <v>0</v>
      </c>
      <c r="X250" s="247">
        <f t="shared" si="3684"/>
        <v>-11.83</v>
      </c>
      <c r="Y250" s="247">
        <f t="shared" si="3684"/>
        <v>0</v>
      </c>
      <c r="Z250" s="247">
        <f t="shared" si="3684"/>
        <v>0</v>
      </c>
      <c r="AA250" s="247">
        <f t="shared" si="3684"/>
        <v>0</v>
      </c>
      <c r="AB250" s="247">
        <f t="shared" si="3684"/>
        <v>0</v>
      </c>
      <c r="AC250" s="247">
        <f>AC121-AC374</f>
        <v>0</v>
      </c>
      <c r="AD250" s="247">
        <f>AD121-AD374</f>
        <v>0</v>
      </c>
      <c r="AE250" s="247">
        <f>AE121-AE374</f>
        <v>0</v>
      </c>
      <c r="AF250" s="247">
        <f>AF121-AF374</f>
        <v>0</v>
      </c>
      <c r="AG250" s="248"/>
      <c r="AH250" s="247"/>
      <c r="AI250" s="247">
        <f t="shared" ref="AI250:BN250" si="3685">AI121-AI374</f>
        <v>0</v>
      </c>
      <c r="AJ250" s="247">
        <f t="shared" si="3685"/>
        <v>0</v>
      </c>
      <c r="AK250" s="247">
        <f t="shared" si="3685"/>
        <v>0</v>
      </c>
      <c r="AL250" s="247">
        <f t="shared" si="3685"/>
        <v>0</v>
      </c>
      <c r="AM250" s="247">
        <f t="shared" si="3685"/>
        <v>0</v>
      </c>
      <c r="AN250" s="247">
        <f t="shared" si="3685"/>
        <v>0</v>
      </c>
      <c r="AO250" s="247">
        <f t="shared" si="3685"/>
        <v>0</v>
      </c>
      <c r="AP250" s="247">
        <f t="shared" si="3685"/>
        <v>0</v>
      </c>
      <c r="AQ250" s="247">
        <f t="shared" si="3685"/>
        <v>0</v>
      </c>
      <c r="AR250" s="247">
        <f t="shared" si="3685"/>
        <v>0</v>
      </c>
      <c r="AS250" s="247">
        <f t="shared" si="3685"/>
        <v>0</v>
      </c>
      <c r="AT250" s="247">
        <f t="shared" si="3685"/>
        <v>0</v>
      </c>
      <c r="AU250" s="247">
        <f t="shared" si="3685"/>
        <v>0</v>
      </c>
      <c r="AV250" s="247">
        <f t="shared" si="3685"/>
        <v>0</v>
      </c>
      <c r="AW250" s="247">
        <f t="shared" si="3685"/>
        <v>0</v>
      </c>
      <c r="AX250" s="247">
        <f t="shared" si="3685"/>
        <v>0</v>
      </c>
      <c r="AY250" s="247">
        <f t="shared" si="3685"/>
        <v>0</v>
      </c>
      <c r="AZ250" s="247">
        <f t="shared" si="3685"/>
        <v>0</v>
      </c>
      <c r="BA250" s="247">
        <f t="shared" si="3685"/>
        <v>-82.004999999999995</v>
      </c>
      <c r="BB250" s="247">
        <f t="shared" si="3685"/>
        <v>0</v>
      </c>
      <c r="BC250" s="247">
        <f t="shared" si="3685"/>
        <v>0</v>
      </c>
      <c r="BD250" s="247">
        <f t="shared" si="3685"/>
        <v>0</v>
      </c>
      <c r="BE250" s="247">
        <f t="shared" si="3685"/>
        <v>0</v>
      </c>
      <c r="BF250" s="247">
        <f t="shared" si="3685"/>
        <v>0</v>
      </c>
      <c r="BG250" s="247">
        <f t="shared" si="3685"/>
        <v>0</v>
      </c>
      <c r="BH250" s="247">
        <f t="shared" si="3685"/>
        <v>0</v>
      </c>
      <c r="BI250" s="247">
        <f t="shared" si="3685"/>
        <v>0</v>
      </c>
      <c r="BJ250" s="247">
        <f t="shared" si="3685"/>
        <v>0</v>
      </c>
      <c r="BK250" s="247">
        <f t="shared" si="3685"/>
        <v>0</v>
      </c>
      <c r="BL250" s="247">
        <f t="shared" si="3685"/>
        <v>-134.58000000000001</v>
      </c>
      <c r="BM250" s="247">
        <f t="shared" si="3685"/>
        <v>0</v>
      </c>
      <c r="BN250" s="247">
        <f t="shared" si="3685"/>
        <v>0</v>
      </c>
      <c r="BO250" s="247">
        <f t="shared" ref="BO250:CV250" si="3686">BO121-BO374</f>
        <v>0</v>
      </c>
      <c r="BP250" s="247">
        <f t="shared" si="3686"/>
        <v>0</v>
      </c>
      <c r="BQ250" s="247">
        <f t="shared" si="3686"/>
        <v>0</v>
      </c>
      <c r="BR250" s="247">
        <f t="shared" si="3686"/>
        <v>0</v>
      </c>
      <c r="BS250" s="247">
        <f t="shared" si="3686"/>
        <v>0</v>
      </c>
      <c r="BT250" s="247">
        <f t="shared" si="3686"/>
        <v>0</v>
      </c>
      <c r="BU250" s="247">
        <f t="shared" si="3686"/>
        <v>0</v>
      </c>
      <c r="BV250" s="247">
        <f t="shared" si="3686"/>
        <v>0</v>
      </c>
      <c r="BW250" s="247">
        <f t="shared" si="3686"/>
        <v>0</v>
      </c>
      <c r="BX250" s="247">
        <f t="shared" si="3686"/>
        <v>0</v>
      </c>
      <c r="BY250" s="247">
        <f t="shared" si="3686"/>
        <v>0</v>
      </c>
      <c r="BZ250" s="247">
        <f t="shared" si="3686"/>
        <v>0</v>
      </c>
      <c r="CA250" s="247">
        <f t="shared" si="3686"/>
        <v>0</v>
      </c>
      <c r="CB250" s="247">
        <f t="shared" si="3686"/>
        <v>0</v>
      </c>
      <c r="CC250" s="247">
        <f t="shared" si="3686"/>
        <v>0</v>
      </c>
      <c r="CD250" s="247">
        <f t="shared" si="3686"/>
        <v>0</v>
      </c>
      <c r="CE250" s="247">
        <f t="shared" si="3686"/>
        <v>0</v>
      </c>
      <c r="CF250" s="247">
        <f t="shared" si="3686"/>
        <v>0</v>
      </c>
      <c r="CG250" s="247">
        <f t="shared" si="3686"/>
        <v>0</v>
      </c>
      <c r="CH250" s="247">
        <f t="shared" si="3686"/>
        <v>-57.085999999999991</v>
      </c>
      <c r="CI250" s="247">
        <f t="shared" si="3686"/>
        <v>0</v>
      </c>
      <c r="CJ250" s="247">
        <f t="shared" si="3686"/>
        <v>0</v>
      </c>
      <c r="CK250" s="247">
        <f t="shared" si="3686"/>
        <v>0</v>
      </c>
      <c r="CL250" s="247">
        <f t="shared" si="3686"/>
        <v>0</v>
      </c>
      <c r="CM250" s="247">
        <f t="shared" si="3686"/>
        <v>0</v>
      </c>
      <c r="CN250" s="247">
        <f t="shared" si="3686"/>
        <v>0</v>
      </c>
      <c r="CO250" s="247">
        <f t="shared" si="3686"/>
        <v>0</v>
      </c>
      <c r="CP250" s="247">
        <f t="shared" si="3686"/>
        <v>0</v>
      </c>
      <c r="CQ250" s="247">
        <f t="shared" si="3686"/>
        <v>0</v>
      </c>
      <c r="CR250" s="247">
        <f t="shared" si="3686"/>
        <v>0</v>
      </c>
      <c r="CS250" s="247">
        <f t="shared" si="3686"/>
        <v>0</v>
      </c>
      <c r="CT250" s="247">
        <f t="shared" si="3686"/>
        <v>0</v>
      </c>
      <c r="CU250" s="247">
        <f t="shared" si="3686"/>
        <v>0</v>
      </c>
      <c r="CV250" s="247">
        <f t="shared" si="3686"/>
        <v>0</v>
      </c>
      <c r="CW250" s="248"/>
      <c r="CX250" s="247">
        <f>CX121-CX374</f>
        <v>0</v>
      </c>
      <c r="CY250" s="247">
        <f>CY121-CY374</f>
        <v>0</v>
      </c>
      <c r="CZ250" s="247">
        <f>CZ121-CZ374</f>
        <v>0</v>
      </c>
      <c r="DA250" s="247">
        <f>DA121-DA374</f>
        <v>0</v>
      </c>
      <c r="DB250" s="247">
        <f>DB121-DB374</f>
        <v>273.67099999999999</v>
      </c>
      <c r="DC250" s="247">
        <f>DC121-DC374</f>
        <v>0</v>
      </c>
      <c r="DD250" s="247"/>
      <c r="DE250" s="247">
        <f t="shared" ref="DE250:EG250" si="3687">DE121-DE374</f>
        <v>0</v>
      </c>
      <c r="DF250" s="247">
        <f t="shared" si="3687"/>
        <v>0</v>
      </c>
      <c r="DG250" s="247">
        <f t="shared" si="3687"/>
        <v>0</v>
      </c>
      <c r="DH250" s="247">
        <f t="shared" si="3687"/>
        <v>0</v>
      </c>
      <c r="DI250" s="247">
        <f t="shared" si="3687"/>
        <v>-1.8840000000000146</v>
      </c>
      <c r="DJ250" s="247">
        <f t="shared" si="3687"/>
        <v>-4.5745254294081161E-3</v>
      </c>
      <c r="DK250" s="247">
        <f t="shared" si="3687"/>
        <v>0</v>
      </c>
      <c r="DL250" s="247">
        <f t="shared" si="3687"/>
        <v>0</v>
      </c>
      <c r="DM250" s="247">
        <f t="shared" si="3687"/>
        <v>-1.1102230246251565E-16</v>
      </c>
      <c r="DN250" s="247">
        <f t="shared" si="3687"/>
        <v>0</v>
      </c>
      <c r="DO250" s="247">
        <f t="shared" si="3687"/>
        <v>0</v>
      </c>
      <c r="DP250" s="247">
        <f t="shared" si="3687"/>
        <v>0</v>
      </c>
      <c r="DQ250" s="247">
        <f t="shared" si="3687"/>
        <v>0</v>
      </c>
      <c r="DR250" s="247">
        <f t="shared" si="3687"/>
        <v>-4.5745254294081716E-3</v>
      </c>
      <c r="DS250" s="247">
        <f t="shared" si="3687"/>
        <v>1.1763163316912184E-2</v>
      </c>
      <c r="DT250" s="247">
        <f t="shared" si="3687"/>
        <v>0</v>
      </c>
      <c r="DU250" s="247">
        <f t="shared" si="3687"/>
        <v>0</v>
      </c>
      <c r="DV250" s="247">
        <f t="shared" si="3687"/>
        <v>0</v>
      </c>
      <c r="DW250" s="247">
        <f t="shared" si="3687"/>
        <v>0</v>
      </c>
      <c r="DX250" s="247">
        <f t="shared" si="3687"/>
        <v>0</v>
      </c>
      <c r="DY250" s="247">
        <f t="shared" si="3687"/>
        <v>0</v>
      </c>
      <c r="DZ250" s="247">
        <f t="shared" si="3687"/>
        <v>0</v>
      </c>
      <c r="EA250" s="247">
        <f t="shared" si="3687"/>
        <v>0</v>
      </c>
      <c r="EB250" s="247">
        <f t="shared" si="3687"/>
        <v>0</v>
      </c>
      <c r="EC250" s="247">
        <f t="shared" si="3687"/>
        <v>0</v>
      </c>
      <c r="ED250" s="247">
        <f t="shared" si="3687"/>
        <v>0</v>
      </c>
      <c r="EE250" s="247">
        <f t="shared" si="3687"/>
        <v>0</v>
      </c>
      <c r="EF250" s="247">
        <f t="shared" si="3687"/>
        <v>0</v>
      </c>
      <c r="EG250" s="247">
        <f t="shared" si="3687"/>
        <v>0</v>
      </c>
    </row>
    <row r="251" spans="1:137" ht="11.25" customHeight="1">
      <c r="A251" s="157">
        <v>45689</v>
      </c>
      <c r="B251" s="247">
        <f>B122-B375</f>
        <v>0</v>
      </c>
      <c r="C251" s="247">
        <f>C122-C375</f>
        <v>0</v>
      </c>
      <c r="D251" s="247">
        <f>D122-D375</f>
        <v>0</v>
      </c>
      <c r="E251" s="247">
        <f>E122-E375</f>
        <v>0</v>
      </c>
      <c r="F251" s="247">
        <f>F122-F375</f>
        <v>0</v>
      </c>
      <c r="G251" s="247">
        <f>G122-G375</f>
        <v>0</v>
      </c>
      <c r="H251" s="247">
        <f>H122-H375</f>
        <v>0</v>
      </c>
      <c r="I251" s="247">
        <f t="shared" ref="I251:AB251" si="3688">I122-I375</f>
        <v>0</v>
      </c>
      <c r="J251" s="247">
        <f t="shared" si="3688"/>
        <v>0</v>
      </c>
      <c r="K251" s="247">
        <f t="shared" si="3688"/>
        <v>0</v>
      </c>
      <c r="L251" s="247">
        <f t="shared" si="3688"/>
        <v>0</v>
      </c>
      <c r="M251" s="247">
        <f t="shared" si="3688"/>
        <v>0</v>
      </c>
      <c r="N251" s="247">
        <f t="shared" si="3688"/>
        <v>0</v>
      </c>
      <c r="O251" s="247">
        <f t="shared" si="3688"/>
        <v>0</v>
      </c>
      <c r="P251" s="247">
        <f t="shared" si="3688"/>
        <v>0</v>
      </c>
      <c r="Q251" s="247">
        <f t="shared" si="3688"/>
        <v>0</v>
      </c>
      <c r="R251" s="247">
        <f t="shared" si="3688"/>
        <v>0</v>
      </c>
      <c r="S251" s="247">
        <f t="shared" si="3688"/>
        <v>0</v>
      </c>
      <c r="T251" s="247">
        <f t="shared" si="3688"/>
        <v>0</v>
      </c>
      <c r="U251" s="247">
        <f t="shared" si="3688"/>
        <v>0</v>
      </c>
      <c r="V251" s="247">
        <f t="shared" si="3688"/>
        <v>0</v>
      </c>
      <c r="W251" s="247">
        <f t="shared" si="3688"/>
        <v>0</v>
      </c>
      <c r="X251" s="247">
        <f t="shared" si="3688"/>
        <v>0</v>
      </c>
      <c r="Y251" s="247">
        <f t="shared" si="3688"/>
        <v>0</v>
      </c>
      <c r="Z251" s="247">
        <f t="shared" si="3688"/>
        <v>0</v>
      </c>
      <c r="AA251" s="247">
        <f t="shared" si="3688"/>
        <v>0</v>
      </c>
      <c r="AB251" s="247">
        <f t="shared" si="3688"/>
        <v>0</v>
      </c>
      <c r="AC251" s="247">
        <f>AC122-AC375</f>
        <v>0</v>
      </c>
      <c r="AD251" s="247">
        <f>AD122-AD375</f>
        <v>0</v>
      </c>
      <c r="AE251" s="247">
        <f>AE122-AE375</f>
        <v>0</v>
      </c>
      <c r="AF251" s="247">
        <f>AF122-AF375</f>
        <v>0</v>
      </c>
      <c r="AG251" s="248"/>
      <c r="AH251" s="247"/>
      <c r="AI251" s="247">
        <f t="shared" ref="AI251:BN251" si="3689">AI122-AI375</f>
        <v>0</v>
      </c>
      <c r="AJ251" s="247">
        <f t="shared" si="3689"/>
        <v>0</v>
      </c>
      <c r="AK251" s="247">
        <f t="shared" si="3689"/>
        <v>0</v>
      </c>
      <c r="AL251" s="247">
        <f t="shared" si="3689"/>
        <v>0</v>
      </c>
      <c r="AM251" s="247">
        <f t="shared" si="3689"/>
        <v>0</v>
      </c>
      <c r="AN251" s="247">
        <f t="shared" si="3689"/>
        <v>0</v>
      </c>
      <c r="AO251" s="247">
        <f t="shared" si="3689"/>
        <v>0</v>
      </c>
      <c r="AP251" s="247">
        <f t="shared" si="3689"/>
        <v>0</v>
      </c>
      <c r="AQ251" s="247">
        <f t="shared" si="3689"/>
        <v>0</v>
      </c>
      <c r="AR251" s="247">
        <f t="shared" si="3689"/>
        <v>0</v>
      </c>
      <c r="AS251" s="247">
        <f t="shared" si="3689"/>
        <v>0</v>
      </c>
      <c r="AT251" s="247">
        <f t="shared" si="3689"/>
        <v>0</v>
      </c>
      <c r="AU251" s="247">
        <f t="shared" si="3689"/>
        <v>0</v>
      </c>
      <c r="AV251" s="247">
        <f t="shared" si="3689"/>
        <v>0</v>
      </c>
      <c r="AW251" s="247">
        <f t="shared" si="3689"/>
        <v>0</v>
      </c>
      <c r="AX251" s="247">
        <f t="shared" si="3689"/>
        <v>0</v>
      </c>
      <c r="AY251" s="247">
        <f t="shared" si="3689"/>
        <v>0</v>
      </c>
      <c r="AZ251" s="247">
        <f t="shared" si="3689"/>
        <v>0</v>
      </c>
      <c r="BA251" s="247">
        <f t="shared" si="3689"/>
        <v>0</v>
      </c>
      <c r="BB251" s="247">
        <f t="shared" si="3689"/>
        <v>0</v>
      </c>
      <c r="BC251" s="247">
        <f t="shared" si="3689"/>
        <v>0</v>
      </c>
      <c r="BD251" s="247">
        <f t="shared" si="3689"/>
        <v>0</v>
      </c>
      <c r="BE251" s="247">
        <f t="shared" si="3689"/>
        <v>0</v>
      </c>
      <c r="BF251" s="247">
        <f t="shared" si="3689"/>
        <v>0</v>
      </c>
      <c r="BG251" s="247">
        <f t="shared" si="3689"/>
        <v>0</v>
      </c>
      <c r="BH251" s="247">
        <f t="shared" si="3689"/>
        <v>0</v>
      </c>
      <c r="BI251" s="247">
        <f t="shared" si="3689"/>
        <v>0</v>
      </c>
      <c r="BJ251" s="247">
        <f t="shared" si="3689"/>
        <v>0</v>
      </c>
      <c r="BK251" s="247">
        <f t="shared" si="3689"/>
        <v>0</v>
      </c>
      <c r="BL251" s="247">
        <f t="shared" si="3689"/>
        <v>0</v>
      </c>
      <c r="BM251" s="247">
        <f t="shared" si="3689"/>
        <v>0</v>
      </c>
      <c r="BN251" s="247">
        <f t="shared" si="3689"/>
        <v>0</v>
      </c>
      <c r="BO251" s="247">
        <f t="shared" ref="BO251:CV251" si="3690">BO122-BO375</f>
        <v>0</v>
      </c>
      <c r="BP251" s="247">
        <f t="shared" si="3690"/>
        <v>0</v>
      </c>
      <c r="BQ251" s="247">
        <f t="shared" si="3690"/>
        <v>0</v>
      </c>
      <c r="BR251" s="247">
        <f t="shared" si="3690"/>
        <v>0</v>
      </c>
      <c r="BS251" s="247">
        <f t="shared" si="3690"/>
        <v>0</v>
      </c>
      <c r="BT251" s="247">
        <f t="shared" si="3690"/>
        <v>0</v>
      </c>
      <c r="BU251" s="247">
        <f t="shared" si="3690"/>
        <v>0</v>
      </c>
      <c r="BV251" s="247">
        <f t="shared" si="3690"/>
        <v>0</v>
      </c>
      <c r="BW251" s="247">
        <f t="shared" si="3690"/>
        <v>0</v>
      </c>
      <c r="BX251" s="247">
        <f t="shared" si="3690"/>
        <v>0</v>
      </c>
      <c r="BY251" s="247">
        <f t="shared" si="3690"/>
        <v>0</v>
      </c>
      <c r="BZ251" s="247">
        <f t="shared" si="3690"/>
        <v>0</v>
      </c>
      <c r="CA251" s="247">
        <f t="shared" si="3690"/>
        <v>0</v>
      </c>
      <c r="CB251" s="247">
        <f t="shared" si="3690"/>
        <v>0</v>
      </c>
      <c r="CC251" s="247">
        <f t="shared" si="3690"/>
        <v>0</v>
      </c>
      <c r="CD251" s="247">
        <f t="shared" si="3690"/>
        <v>0</v>
      </c>
      <c r="CE251" s="247">
        <f t="shared" si="3690"/>
        <v>0</v>
      </c>
      <c r="CF251" s="247">
        <f t="shared" si="3690"/>
        <v>0</v>
      </c>
      <c r="CG251" s="247">
        <f t="shared" si="3690"/>
        <v>0</v>
      </c>
      <c r="CH251" s="247">
        <f t="shared" si="3690"/>
        <v>0</v>
      </c>
      <c r="CI251" s="247">
        <f t="shared" si="3690"/>
        <v>0</v>
      </c>
      <c r="CJ251" s="247">
        <f t="shared" si="3690"/>
        <v>0</v>
      </c>
      <c r="CK251" s="247">
        <f t="shared" si="3690"/>
        <v>0</v>
      </c>
      <c r="CL251" s="247">
        <f t="shared" si="3690"/>
        <v>0</v>
      </c>
      <c r="CM251" s="247">
        <f t="shared" si="3690"/>
        <v>0</v>
      </c>
      <c r="CN251" s="247">
        <f t="shared" si="3690"/>
        <v>0</v>
      </c>
      <c r="CO251" s="247">
        <f t="shared" si="3690"/>
        <v>0</v>
      </c>
      <c r="CP251" s="247">
        <f t="shared" si="3690"/>
        <v>0</v>
      </c>
      <c r="CQ251" s="247">
        <f t="shared" si="3690"/>
        <v>0</v>
      </c>
      <c r="CR251" s="247">
        <f t="shared" si="3690"/>
        <v>0</v>
      </c>
      <c r="CS251" s="247">
        <f t="shared" si="3690"/>
        <v>0</v>
      </c>
      <c r="CT251" s="247">
        <f t="shared" si="3690"/>
        <v>0</v>
      </c>
      <c r="CU251" s="247">
        <f t="shared" si="3690"/>
        <v>0</v>
      </c>
      <c r="CV251" s="247">
        <f t="shared" si="3690"/>
        <v>0</v>
      </c>
      <c r="CW251" s="248"/>
      <c r="CX251" s="247">
        <f>CX122-CX375</f>
        <v>0</v>
      </c>
      <c r="CY251" s="247">
        <f>CY122-CY375</f>
        <v>0</v>
      </c>
      <c r="CZ251" s="247">
        <f>CZ122-CZ375</f>
        <v>0</v>
      </c>
      <c r="DA251" s="247">
        <f>DA122-DA375</f>
        <v>0</v>
      </c>
      <c r="DB251" s="247">
        <f>DB122-DB375</f>
        <v>0</v>
      </c>
      <c r="DC251" s="247">
        <f>DC122-DC375</f>
        <v>0</v>
      </c>
      <c r="DD251" s="247"/>
      <c r="DE251" s="247">
        <f t="shared" ref="DE251:EG251" si="3691">DE122-DE375</f>
        <v>-16.121999999999986</v>
      </c>
      <c r="DF251" s="247">
        <f t="shared" si="3691"/>
        <v>-10.077999999999989</v>
      </c>
      <c r="DG251" s="247">
        <f t="shared" si="3691"/>
        <v>-3.5599999999999987</v>
      </c>
      <c r="DH251" s="247">
        <f t="shared" si="3691"/>
        <v>-2.1206832604605541E-3</v>
      </c>
      <c r="DI251" s="247">
        <f t="shared" si="3691"/>
        <v>-11.370999999999995</v>
      </c>
      <c r="DJ251" s="247">
        <f t="shared" si="3691"/>
        <v>3.4917289729315404E-3</v>
      </c>
      <c r="DK251" s="247">
        <f t="shared" si="3691"/>
        <v>0</v>
      </c>
      <c r="DL251" s="247">
        <f t="shared" si="3691"/>
        <v>0</v>
      </c>
      <c r="DM251" s="247">
        <f t="shared" si="3691"/>
        <v>0</v>
      </c>
      <c r="DN251" s="247">
        <f t="shared" si="3691"/>
        <v>0</v>
      </c>
      <c r="DO251" s="247">
        <f t="shared" si="3691"/>
        <v>-2.1000000000000796E-2</v>
      </c>
      <c r="DP251" s="247">
        <f t="shared" si="3691"/>
        <v>0</v>
      </c>
      <c r="DQ251" s="247">
        <f t="shared" si="3691"/>
        <v>-2.0999999999986585E-2</v>
      </c>
      <c r="DR251" s="247">
        <f t="shared" si="3691"/>
        <v>1.3710457124710418E-3</v>
      </c>
      <c r="DS251" s="247">
        <f t="shared" si="3691"/>
        <v>9.4771557310616261E-2</v>
      </c>
      <c r="DT251" s="247">
        <f t="shared" si="3691"/>
        <v>0</v>
      </c>
      <c r="DU251" s="247">
        <f t="shared" si="3691"/>
        <v>0</v>
      </c>
      <c r="DV251" s="247">
        <f t="shared" si="3691"/>
        <v>0</v>
      </c>
      <c r="DW251" s="247">
        <f t="shared" si="3691"/>
        <v>0</v>
      </c>
      <c r="DX251" s="247">
        <f t="shared" si="3691"/>
        <v>0</v>
      </c>
      <c r="DY251" s="247">
        <f t="shared" si="3691"/>
        <v>0</v>
      </c>
      <c r="DZ251" s="247">
        <f t="shared" si="3691"/>
        <v>0</v>
      </c>
      <c r="EA251" s="247">
        <f t="shared" si="3691"/>
        <v>0</v>
      </c>
      <c r="EB251" s="247">
        <f t="shared" si="3691"/>
        <v>0</v>
      </c>
      <c r="EC251" s="247">
        <f t="shared" si="3691"/>
        <v>0</v>
      </c>
      <c r="ED251" s="247">
        <f t="shared" si="3691"/>
        <v>0</v>
      </c>
      <c r="EE251" s="247">
        <f t="shared" si="3691"/>
        <v>0</v>
      </c>
      <c r="EF251" s="247">
        <f t="shared" si="3691"/>
        <v>0</v>
      </c>
      <c r="EG251" s="247">
        <f t="shared" si="3691"/>
        <v>0</v>
      </c>
    </row>
    <row r="252" spans="1:137" ht="11.25" customHeight="1">
      <c r="A252" s="157">
        <v>45717</v>
      </c>
      <c r="B252" s="247">
        <f>B123-B376</f>
        <v>0</v>
      </c>
      <c r="C252" s="247">
        <f>C123-C376</f>
        <v>0</v>
      </c>
      <c r="D252" s="247">
        <f>D123-D376</f>
        <v>0</v>
      </c>
      <c r="E252" s="247">
        <f>E123-E376</f>
        <v>0</v>
      </c>
      <c r="F252" s="247">
        <f>F123-F376</f>
        <v>0</v>
      </c>
      <c r="G252" s="247">
        <f>G123-G376</f>
        <v>0</v>
      </c>
      <c r="H252" s="247">
        <f>H123-H376</f>
        <v>0</v>
      </c>
      <c r="I252" s="247">
        <f t="shared" ref="I252:AB252" si="3692">I123-I376</f>
        <v>0</v>
      </c>
      <c r="J252" s="247">
        <f t="shared" si="3692"/>
        <v>0</v>
      </c>
      <c r="K252" s="247">
        <f t="shared" si="3692"/>
        <v>0</v>
      </c>
      <c r="L252" s="247">
        <f t="shared" si="3692"/>
        <v>0</v>
      </c>
      <c r="M252" s="247">
        <f t="shared" si="3692"/>
        <v>0</v>
      </c>
      <c r="N252" s="247">
        <f t="shared" si="3692"/>
        <v>0</v>
      </c>
      <c r="O252" s="247">
        <f t="shared" si="3692"/>
        <v>0</v>
      </c>
      <c r="P252" s="247">
        <f t="shared" si="3692"/>
        <v>0</v>
      </c>
      <c r="Q252" s="247">
        <f t="shared" si="3692"/>
        <v>0</v>
      </c>
      <c r="R252" s="247">
        <f t="shared" si="3692"/>
        <v>0</v>
      </c>
      <c r="S252" s="247">
        <f t="shared" si="3692"/>
        <v>0</v>
      </c>
      <c r="T252" s="247">
        <f t="shared" si="3692"/>
        <v>0</v>
      </c>
      <c r="U252" s="247">
        <f t="shared" si="3692"/>
        <v>-2.4277635765354262</v>
      </c>
      <c r="V252" s="247">
        <f t="shared" si="3692"/>
        <v>-2.222747142611281E-3</v>
      </c>
      <c r="W252" s="247">
        <f t="shared" si="3692"/>
        <v>0</v>
      </c>
      <c r="X252" s="247">
        <f t="shared" si="3692"/>
        <v>0</v>
      </c>
      <c r="Y252" s="247">
        <f t="shared" si="3692"/>
        <v>0</v>
      </c>
      <c r="Z252" s="247">
        <f t="shared" si="3692"/>
        <v>0</v>
      </c>
      <c r="AA252" s="247">
        <f t="shared" si="3692"/>
        <v>0</v>
      </c>
      <c r="AB252" s="247">
        <f t="shared" si="3692"/>
        <v>0</v>
      </c>
      <c r="AC252" s="247">
        <f>AC123-AC376</f>
        <v>0</v>
      </c>
      <c r="AD252" s="247">
        <f>AD123-AD376</f>
        <v>0</v>
      </c>
      <c r="AE252" s="247">
        <f>AE123-AE376</f>
        <v>0</v>
      </c>
      <c r="AF252" s="247">
        <f>AF123-AF376</f>
        <v>0</v>
      </c>
      <c r="AG252" s="248"/>
      <c r="AH252" s="247"/>
      <c r="AI252" s="247">
        <f t="shared" ref="AI252:BN252" si="3693">AI123-AI376</f>
        <v>0</v>
      </c>
      <c r="AJ252" s="247">
        <f t="shared" si="3693"/>
        <v>0</v>
      </c>
      <c r="AK252" s="247">
        <f t="shared" si="3693"/>
        <v>0</v>
      </c>
      <c r="AL252" s="247">
        <f t="shared" si="3693"/>
        <v>0</v>
      </c>
      <c r="AM252" s="247">
        <f t="shared" si="3693"/>
        <v>0</v>
      </c>
      <c r="AN252" s="247">
        <f t="shared" si="3693"/>
        <v>0</v>
      </c>
      <c r="AO252" s="247">
        <f t="shared" si="3693"/>
        <v>0</v>
      </c>
      <c r="AP252" s="247">
        <f t="shared" si="3693"/>
        <v>0</v>
      </c>
      <c r="AQ252" s="247">
        <f t="shared" si="3693"/>
        <v>0</v>
      </c>
      <c r="AR252" s="247">
        <f t="shared" si="3693"/>
        <v>0</v>
      </c>
      <c r="AS252" s="247">
        <f t="shared" si="3693"/>
        <v>0</v>
      </c>
      <c r="AT252" s="247">
        <f t="shared" si="3693"/>
        <v>0</v>
      </c>
      <c r="AU252" s="247">
        <f t="shared" si="3693"/>
        <v>0</v>
      </c>
      <c r="AV252" s="247">
        <f t="shared" si="3693"/>
        <v>0</v>
      </c>
      <c r="AW252" s="247">
        <f t="shared" si="3693"/>
        <v>0</v>
      </c>
      <c r="AX252" s="247">
        <f t="shared" si="3693"/>
        <v>0</v>
      </c>
      <c r="AY252" s="247">
        <f t="shared" si="3693"/>
        <v>0</v>
      </c>
      <c r="AZ252" s="247">
        <f t="shared" si="3693"/>
        <v>0</v>
      </c>
      <c r="BA252" s="247">
        <f t="shared" si="3693"/>
        <v>0</v>
      </c>
      <c r="BB252" s="247">
        <f t="shared" si="3693"/>
        <v>0</v>
      </c>
      <c r="BC252" s="247">
        <f t="shared" si="3693"/>
        <v>0</v>
      </c>
      <c r="BD252" s="247">
        <f t="shared" si="3693"/>
        <v>0</v>
      </c>
      <c r="BE252" s="247">
        <f t="shared" si="3693"/>
        <v>0</v>
      </c>
      <c r="BF252" s="247">
        <f t="shared" si="3693"/>
        <v>0</v>
      </c>
      <c r="BG252" s="247">
        <f t="shared" si="3693"/>
        <v>0</v>
      </c>
      <c r="BH252" s="247">
        <f t="shared" si="3693"/>
        <v>0</v>
      </c>
      <c r="BI252" s="247">
        <f t="shared" si="3693"/>
        <v>0</v>
      </c>
      <c r="BJ252" s="247">
        <f t="shared" si="3693"/>
        <v>0</v>
      </c>
      <c r="BK252" s="247">
        <f t="shared" si="3693"/>
        <v>0</v>
      </c>
      <c r="BL252" s="247">
        <f t="shared" si="3693"/>
        <v>0</v>
      </c>
      <c r="BM252" s="247">
        <f t="shared" si="3693"/>
        <v>0</v>
      </c>
      <c r="BN252" s="247">
        <f t="shared" si="3693"/>
        <v>0</v>
      </c>
      <c r="BO252" s="247">
        <f t="shared" ref="BO252:CV252" si="3694">BO123-BO376</f>
        <v>0</v>
      </c>
      <c r="BP252" s="247">
        <f t="shared" si="3694"/>
        <v>0</v>
      </c>
      <c r="BQ252" s="247">
        <f t="shared" si="3694"/>
        <v>0</v>
      </c>
      <c r="BR252" s="247">
        <f t="shared" si="3694"/>
        <v>0</v>
      </c>
      <c r="BS252" s="247">
        <f t="shared" si="3694"/>
        <v>0</v>
      </c>
      <c r="BT252" s="247">
        <f t="shared" si="3694"/>
        <v>0</v>
      </c>
      <c r="BU252" s="247">
        <f t="shared" si="3694"/>
        <v>0</v>
      </c>
      <c r="BV252" s="247">
        <f t="shared" si="3694"/>
        <v>0</v>
      </c>
      <c r="BW252" s="247">
        <f t="shared" si="3694"/>
        <v>0</v>
      </c>
      <c r="BX252" s="247">
        <f t="shared" si="3694"/>
        <v>0</v>
      </c>
      <c r="BY252" s="247">
        <f t="shared" si="3694"/>
        <v>0</v>
      </c>
      <c r="BZ252" s="247">
        <f t="shared" si="3694"/>
        <v>0</v>
      </c>
      <c r="CA252" s="247">
        <f t="shared" si="3694"/>
        <v>0</v>
      </c>
      <c r="CB252" s="247">
        <f t="shared" si="3694"/>
        <v>0</v>
      </c>
      <c r="CC252" s="247">
        <f t="shared" si="3694"/>
        <v>0</v>
      </c>
      <c r="CD252" s="247">
        <f t="shared" si="3694"/>
        <v>0</v>
      </c>
      <c r="CE252" s="247">
        <f t="shared" si="3694"/>
        <v>0</v>
      </c>
      <c r="CF252" s="247">
        <f t="shared" si="3694"/>
        <v>0</v>
      </c>
      <c r="CG252" s="247">
        <f t="shared" si="3694"/>
        <v>0</v>
      </c>
      <c r="CH252" s="247">
        <f t="shared" si="3694"/>
        <v>0</v>
      </c>
      <c r="CI252" s="247">
        <f t="shared" si="3694"/>
        <v>0</v>
      </c>
      <c r="CJ252" s="247">
        <f t="shared" si="3694"/>
        <v>0</v>
      </c>
      <c r="CK252" s="247">
        <f t="shared" si="3694"/>
        <v>0</v>
      </c>
      <c r="CL252" s="247">
        <f t="shared" si="3694"/>
        <v>0</v>
      </c>
      <c r="CM252" s="247">
        <f t="shared" si="3694"/>
        <v>0</v>
      </c>
      <c r="CN252" s="247">
        <f t="shared" si="3694"/>
        <v>0</v>
      </c>
      <c r="CO252" s="247">
        <f t="shared" si="3694"/>
        <v>0</v>
      </c>
      <c r="CP252" s="247">
        <f t="shared" si="3694"/>
        <v>0</v>
      </c>
      <c r="CQ252" s="247">
        <f t="shared" si="3694"/>
        <v>0</v>
      </c>
      <c r="CR252" s="247">
        <f t="shared" si="3694"/>
        <v>0</v>
      </c>
      <c r="CS252" s="247">
        <f t="shared" si="3694"/>
        <v>0</v>
      </c>
      <c r="CT252" s="247">
        <f t="shared" si="3694"/>
        <v>0</v>
      </c>
      <c r="CU252" s="247">
        <f t="shared" si="3694"/>
        <v>0</v>
      </c>
      <c r="CV252" s="247">
        <f t="shared" si="3694"/>
        <v>0</v>
      </c>
      <c r="CW252" s="248"/>
      <c r="CX252" s="247">
        <f>CX123-CX376</f>
        <v>0</v>
      </c>
      <c r="CY252" s="247">
        <f>CY123-CY376</f>
        <v>0</v>
      </c>
      <c r="CZ252" s="247">
        <f>CZ123-CZ376</f>
        <v>0</v>
      </c>
      <c r="DA252" s="247">
        <f>DA123-DA376</f>
        <v>0</v>
      </c>
      <c r="DB252" s="247">
        <f>DB123-DB376</f>
        <v>0</v>
      </c>
      <c r="DC252" s="247">
        <f>DC123-DC376</f>
        <v>0</v>
      </c>
      <c r="DD252" s="247"/>
      <c r="DE252" s="247">
        <f t="shared" ref="DE252:EG252" si="3695">DE123-DE376</f>
        <v>0</v>
      </c>
      <c r="DF252" s="247">
        <f t="shared" si="3695"/>
        <v>0</v>
      </c>
      <c r="DG252" s="247">
        <f t="shared" si="3695"/>
        <v>0</v>
      </c>
      <c r="DH252" s="247">
        <f t="shared" si="3695"/>
        <v>0</v>
      </c>
      <c r="DI252" s="247">
        <f t="shared" si="3695"/>
        <v>0</v>
      </c>
      <c r="DJ252" s="247">
        <f t="shared" si="3695"/>
        <v>0</v>
      </c>
      <c r="DK252" s="247">
        <f t="shared" si="3695"/>
        <v>0</v>
      </c>
      <c r="DL252" s="247">
        <f t="shared" si="3695"/>
        <v>0</v>
      </c>
      <c r="DM252" s="247">
        <f t="shared" si="3695"/>
        <v>0</v>
      </c>
      <c r="DN252" s="247">
        <f t="shared" si="3695"/>
        <v>0</v>
      </c>
      <c r="DO252" s="247">
        <f t="shared" si="3695"/>
        <v>0</v>
      </c>
      <c r="DP252" s="247">
        <f t="shared" si="3695"/>
        <v>0</v>
      </c>
      <c r="DQ252" s="247">
        <f t="shared" si="3695"/>
        <v>0</v>
      </c>
      <c r="DR252" s="247">
        <f t="shared" si="3695"/>
        <v>0</v>
      </c>
      <c r="DS252" s="247">
        <f t="shared" si="3695"/>
        <v>0</v>
      </c>
      <c r="DT252" s="247">
        <f t="shared" si="3695"/>
        <v>0</v>
      </c>
      <c r="DU252" s="247">
        <f t="shared" si="3695"/>
        <v>0</v>
      </c>
      <c r="DV252" s="247">
        <f t="shared" si="3695"/>
        <v>0</v>
      </c>
      <c r="DW252" s="247">
        <f t="shared" si="3695"/>
        <v>0</v>
      </c>
      <c r="DX252" s="247">
        <f t="shared" si="3695"/>
        <v>0</v>
      </c>
      <c r="DY252" s="247">
        <f t="shared" si="3695"/>
        <v>0</v>
      </c>
      <c r="DZ252" s="247">
        <f t="shared" si="3695"/>
        <v>0</v>
      </c>
      <c r="EA252" s="247">
        <f t="shared" si="3695"/>
        <v>0</v>
      </c>
      <c r="EB252" s="247">
        <f t="shared" si="3695"/>
        <v>0</v>
      </c>
      <c r="EC252" s="247">
        <f t="shared" si="3695"/>
        <v>0</v>
      </c>
      <c r="ED252" s="247">
        <f t="shared" si="3695"/>
        <v>0</v>
      </c>
      <c r="EE252" s="247">
        <f t="shared" si="3695"/>
        <v>0</v>
      </c>
      <c r="EF252" s="247">
        <f t="shared" si="3695"/>
        <v>0</v>
      </c>
      <c r="EG252" s="247">
        <f t="shared" si="3695"/>
        <v>0</v>
      </c>
    </row>
    <row r="253" spans="1:137" ht="11.25" customHeight="1">
      <c r="A253" s="157">
        <v>45748</v>
      </c>
      <c r="B253" s="247">
        <f>B124-B377</f>
        <v>0</v>
      </c>
      <c r="C253" s="247">
        <f>C124-C377</f>
        <v>0</v>
      </c>
      <c r="D253" s="247">
        <f>D124-D377</f>
        <v>0</v>
      </c>
      <c r="E253" s="247">
        <f>E124-E377</f>
        <v>0</v>
      </c>
      <c r="F253" s="247">
        <f>F124-F377</f>
        <v>0</v>
      </c>
      <c r="G253" s="247">
        <f>G124-G377</f>
        <v>0</v>
      </c>
      <c r="H253" s="247">
        <f>H124-H377</f>
        <v>0</v>
      </c>
      <c r="I253" s="247">
        <f t="shared" ref="I253:AB253" si="3696">I124-I377</f>
        <v>0</v>
      </c>
      <c r="J253" s="247">
        <f t="shared" si="3696"/>
        <v>0</v>
      </c>
      <c r="K253" s="247">
        <f t="shared" si="3696"/>
        <v>0</v>
      </c>
      <c r="L253" s="247">
        <f t="shared" si="3696"/>
        <v>0</v>
      </c>
      <c r="M253" s="247">
        <f t="shared" si="3696"/>
        <v>0</v>
      </c>
      <c r="N253" s="247">
        <f t="shared" si="3696"/>
        <v>0</v>
      </c>
      <c r="O253" s="247">
        <f t="shared" si="3696"/>
        <v>0</v>
      </c>
      <c r="P253" s="247">
        <f t="shared" si="3696"/>
        <v>0</v>
      </c>
      <c r="Q253" s="247">
        <f t="shared" si="3696"/>
        <v>0</v>
      </c>
      <c r="R253" s="247">
        <f t="shared" si="3696"/>
        <v>0</v>
      </c>
      <c r="S253" s="247">
        <f t="shared" si="3696"/>
        <v>0</v>
      </c>
      <c r="T253" s="247">
        <f t="shared" si="3696"/>
        <v>0</v>
      </c>
      <c r="U253" s="247">
        <f t="shared" si="3696"/>
        <v>-2.3065556995184124</v>
      </c>
      <c r="V253" s="247">
        <f t="shared" si="3696"/>
        <v>-2.222747142611281E-3</v>
      </c>
      <c r="W253" s="247">
        <f t="shared" si="3696"/>
        <v>0</v>
      </c>
      <c r="X253" s="247">
        <f t="shared" si="3696"/>
        <v>0</v>
      </c>
      <c r="Y253" s="247">
        <f t="shared" si="3696"/>
        <v>0</v>
      </c>
      <c r="Z253" s="247">
        <f t="shared" si="3696"/>
        <v>0</v>
      </c>
      <c r="AA253" s="247">
        <f t="shared" si="3696"/>
        <v>0</v>
      </c>
      <c r="AB253" s="247">
        <f t="shared" si="3696"/>
        <v>0</v>
      </c>
      <c r="AC253" s="247">
        <f>AC124-AC377</f>
        <v>0</v>
      </c>
      <c r="AD253" s="247">
        <f>AD124-AD377</f>
        <v>0</v>
      </c>
      <c r="AE253" s="247">
        <f>AE124-AE377</f>
        <v>0</v>
      </c>
      <c r="AF253" s="247">
        <f>AF124-AF377</f>
        <v>0</v>
      </c>
      <c r="AG253" s="248"/>
      <c r="AH253" s="247"/>
      <c r="AI253" s="247">
        <f t="shared" ref="AI253:BN253" si="3697">AI124-AI377</f>
        <v>0</v>
      </c>
      <c r="AJ253" s="247">
        <f t="shared" si="3697"/>
        <v>0</v>
      </c>
      <c r="AK253" s="247">
        <f t="shared" si="3697"/>
        <v>0</v>
      </c>
      <c r="AL253" s="247">
        <f t="shared" si="3697"/>
        <v>0</v>
      </c>
      <c r="AM253" s="247">
        <f t="shared" si="3697"/>
        <v>0</v>
      </c>
      <c r="AN253" s="247">
        <f t="shared" si="3697"/>
        <v>0</v>
      </c>
      <c r="AO253" s="247">
        <f t="shared" si="3697"/>
        <v>0</v>
      </c>
      <c r="AP253" s="247">
        <f t="shared" si="3697"/>
        <v>0</v>
      </c>
      <c r="AQ253" s="247">
        <f t="shared" si="3697"/>
        <v>0</v>
      </c>
      <c r="AR253" s="247">
        <f t="shared" si="3697"/>
        <v>0</v>
      </c>
      <c r="AS253" s="247">
        <f t="shared" si="3697"/>
        <v>0</v>
      </c>
      <c r="AT253" s="247">
        <f t="shared" si="3697"/>
        <v>0</v>
      </c>
      <c r="AU253" s="247">
        <f t="shared" si="3697"/>
        <v>0</v>
      </c>
      <c r="AV253" s="247">
        <f t="shared" si="3697"/>
        <v>0</v>
      </c>
      <c r="AW253" s="247">
        <f t="shared" si="3697"/>
        <v>0</v>
      </c>
      <c r="AX253" s="247">
        <f t="shared" si="3697"/>
        <v>0</v>
      </c>
      <c r="AY253" s="247">
        <f t="shared" si="3697"/>
        <v>0</v>
      </c>
      <c r="AZ253" s="247">
        <f t="shared" si="3697"/>
        <v>0</v>
      </c>
      <c r="BA253" s="247">
        <f t="shared" si="3697"/>
        <v>0</v>
      </c>
      <c r="BB253" s="247">
        <f t="shared" si="3697"/>
        <v>0</v>
      </c>
      <c r="BC253" s="247">
        <f t="shared" si="3697"/>
        <v>0</v>
      </c>
      <c r="BD253" s="247">
        <f t="shared" si="3697"/>
        <v>0</v>
      </c>
      <c r="BE253" s="247">
        <f t="shared" si="3697"/>
        <v>0</v>
      </c>
      <c r="BF253" s="247">
        <f t="shared" si="3697"/>
        <v>0</v>
      </c>
      <c r="BG253" s="247">
        <f t="shared" si="3697"/>
        <v>0</v>
      </c>
      <c r="BH253" s="247">
        <f t="shared" si="3697"/>
        <v>0</v>
      </c>
      <c r="BI253" s="247">
        <f t="shared" si="3697"/>
        <v>0</v>
      </c>
      <c r="BJ253" s="247">
        <f t="shared" si="3697"/>
        <v>0</v>
      </c>
      <c r="BK253" s="247">
        <f t="shared" si="3697"/>
        <v>0</v>
      </c>
      <c r="BL253" s="247">
        <f t="shared" si="3697"/>
        <v>0</v>
      </c>
      <c r="BM253" s="247">
        <f t="shared" si="3697"/>
        <v>0</v>
      </c>
      <c r="BN253" s="247">
        <f t="shared" si="3697"/>
        <v>0</v>
      </c>
      <c r="BO253" s="247">
        <f t="shared" ref="BO253:CV253" si="3698">BO124-BO377</f>
        <v>0</v>
      </c>
      <c r="BP253" s="247">
        <f t="shared" si="3698"/>
        <v>0</v>
      </c>
      <c r="BQ253" s="247">
        <f t="shared" si="3698"/>
        <v>0</v>
      </c>
      <c r="BR253" s="247">
        <f t="shared" si="3698"/>
        <v>0</v>
      </c>
      <c r="BS253" s="247">
        <f t="shared" si="3698"/>
        <v>0</v>
      </c>
      <c r="BT253" s="247">
        <f t="shared" si="3698"/>
        <v>0</v>
      </c>
      <c r="BU253" s="247">
        <f t="shared" si="3698"/>
        <v>0</v>
      </c>
      <c r="BV253" s="247">
        <f t="shared" si="3698"/>
        <v>0</v>
      </c>
      <c r="BW253" s="247">
        <f t="shared" si="3698"/>
        <v>0</v>
      </c>
      <c r="BX253" s="247">
        <f t="shared" si="3698"/>
        <v>0</v>
      </c>
      <c r="BY253" s="247">
        <f t="shared" si="3698"/>
        <v>0</v>
      </c>
      <c r="BZ253" s="247">
        <f t="shared" si="3698"/>
        <v>0</v>
      </c>
      <c r="CA253" s="247">
        <f t="shared" si="3698"/>
        <v>0</v>
      </c>
      <c r="CB253" s="247">
        <f t="shared" si="3698"/>
        <v>0</v>
      </c>
      <c r="CC253" s="247">
        <f t="shared" si="3698"/>
        <v>0</v>
      </c>
      <c r="CD253" s="247">
        <f t="shared" si="3698"/>
        <v>0</v>
      </c>
      <c r="CE253" s="247">
        <f t="shared" si="3698"/>
        <v>0</v>
      </c>
      <c r="CF253" s="247">
        <f t="shared" si="3698"/>
        <v>0</v>
      </c>
      <c r="CG253" s="247">
        <f t="shared" si="3698"/>
        <v>0</v>
      </c>
      <c r="CH253" s="247">
        <f t="shared" si="3698"/>
        <v>0</v>
      </c>
      <c r="CI253" s="247">
        <f t="shared" si="3698"/>
        <v>0</v>
      </c>
      <c r="CJ253" s="247">
        <f t="shared" si="3698"/>
        <v>0</v>
      </c>
      <c r="CK253" s="247">
        <f t="shared" si="3698"/>
        <v>0</v>
      </c>
      <c r="CL253" s="247">
        <f t="shared" si="3698"/>
        <v>0</v>
      </c>
      <c r="CM253" s="247">
        <f t="shared" si="3698"/>
        <v>0</v>
      </c>
      <c r="CN253" s="247">
        <f t="shared" si="3698"/>
        <v>0</v>
      </c>
      <c r="CO253" s="247">
        <f t="shared" si="3698"/>
        <v>0</v>
      </c>
      <c r="CP253" s="247">
        <f t="shared" si="3698"/>
        <v>0</v>
      </c>
      <c r="CQ253" s="247">
        <f t="shared" si="3698"/>
        <v>0</v>
      </c>
      <c r="CR253" s="247">
        <f t="shared" si="3698"/>
        <v>0</v>
      </c>
      <c r="CS253" s="247">
        <f t="shared" si="3698"/>
        <v>0</v>
      </c>
      <c r="CT253" s="247">
        <f t="shared" si="3698"/>
        <v>0</v>
      </c>
      <c r="CU253" s="247">
        <f t="shared" si="3698"/>
        <v>0</v>
      </c>
      <c r="CV253" s="247">
        <f t="shared" si="3698"/>
        <v>0</v>
      </c>
      <c r="CW253" s="248"/>
      <c r="CX253" s="247">
        <f>CX124-CX377</f>
        <v>0</v>
      </c>
      <c r="CY253" s="247">
        <f>CY124-CY377</f>
        <v>0</v>
      </c>
      <c r="CZ253" s="247">
        <f>CZ124-CZ377</f>
        <v>0</v>
      </c>
      <c r="DA253" s="247">
        <f>DA124-DA377</f>
        <v>0</v>
      </c>
      <c r="DB253" s="247">
        <f>DB124-DB377</f>
        <v>0</v>
      </c>
      <c r="DC253" s="247">
        <f>DC124-DC377</f>
        <v>0</v>
      </c>
      <c r="DD253" s="247"/>
      <c r="DE253" s="247">
        <f t="shared" ref="DE253:EG253" si="3699">DE124-DE377</f>
        <v>0</v>
      </c>
      <c r="DF253" s="247">
        <f t="shared" si="3699"/>
        <v>0</v>
      </c>
      <c r="DG253" s="247">
        <f t="shared" si="3699"/>
        <v>0</v>
      </c>
      <c r="DH253" s="247">
        <f t="shared" si="3699"/>
        <v>0</v>
      </c>
      <c r="DI253" s="247">
        <f t="shared" si="3699"/>
        <v>0</v>
      </c>
      <c r="DJ253" s="247">
        <f t="shared" si="3699"/>
        <v>0</v>
      </c>
      <c r="DK253" s="247">
        <f t="shared" si="3699"/>
        <v>0</v>
      </c>
      <c r="DL253" s="247">
        <f t="shared" si="3699"/>
        <v>0</v>
      </c>
      <c r="DM253" s="247">
        <f t="shared" si="3699"/>
        <v>0</v>
      </c>
      <c r="DN253" s="247">
        <f t="shared" si="3699"/>
        <v>0</v>
      </c>
      <c r="DO253" s="247">
        <f t="shared" si="3699"/>
        <v>0</v>
      </c>
      <c r="DP253" s="247">
        <f t="shared" si="3699"/>
        <v>0</v>
      </c>
      <c r="DQ253" s="247">
        <f t="shared" si="3699"/>
        <v>0</v>
      </c>
      <c r="DR253" s="247">
        <f t="shared" si="3699"/>
        <v>0</v>
      </c>
      <c r="DS253" s="247">
        <f t="shared" si="3699"/>
        <v>0</v>
      </c>
      <c r="DT253" s="247">
        <f t="shared" si="3699"/>
        <v>0</v>
      </c>
      <c r="DU253" s="247">
        <f t="shared" si="3699"/>
        <v>0</v>
      </c>
      <c r="DV253" s="247">
        <f t="shared" si="3699"/>
        <v>0</v>
      </c>
      <c r="DW253" s="247">
        <f t="shared" si="3699"/>
        <v>0</v>
      </c>
      <c r="DX253" s="247">
        <f t="shared" si="3699"/>
        <v>0</v>
      </c>
      <c r="DY253" s="247">
        <f t="shared" si="3699"/>
        <v>0</v>
      </c>
      <c r="DZ253" s="247">
        <f t="shared" si="3699"/>
        <v>0</v>
      </c>
      <c r="EA253" s="247">
        <f t="shared" si="3699"/>
        <v>0</v>
      </c>
      <c r="EB253" s="247">
        <f t="shared" si="3699"/>
        <v>0</v>
      </c>
      <c r="EC253" s="247">
        <f t="shared" si="3699"/>
        <v>0</v>
      </c>
      <c r="ED253" s="247">
        <f t="shared" si="3699"/>
        <v>0</v>
      </c>
      <c r="EE253" s="247">
        <f t="shared" si="3699"/>
        <v>0</v>
      </c>
      <c r="EF253" s="247">
        <f t="shared" si="3699"/>
        <v>0</v>
      </c>
      <c r="EG253" s="247">
        <f t="shared" si="3699"/>
        <v>0</v>
      </c>
    </row>
    <row r="254" spans="1:137" ht="11.25" customHeight="1">
      <c r="A254" s="157">
        <v>45778</v>
      </c>
      <c r="B254" s="247">
        <f>B125-B378</f>
        <v>6111.1149999999998</v>
      </c>
      <c r="C254" s="247">
        <f>C125-C378</f>
        <v>203.70383333333334</v>
      </c>
      <c r="D254" s="247">
        <f>D125-D378</f>
        <v>10.874833333333328</v>
      </c>
      <c r="E254" s="247">
        <f>E125-E378</f>
        <v>5.6396254366995358E-2</v>
      </c>
      <c r="F254" s="247">
        <f>F125-F378</f>
        <v>4522.4009999999998</v>
      </c>
      <c r="G254" s="247">
        <f>G125-G378</f>
        <v>4447.7520000000004</v>
      </c>
      <c r="H254" s="247">
        <f>H125-H378</f>
        <v>74.649000000000001</v>
      </c>
      <c r="I254" s="247">
        <f>I125-I378</f>
        <v>406.55700000000002</v>
      </c>
      <c r="J254" s="247">
        <f>J125-J378</f>
        <v>44.401727017082806</v>
      </c>
      <c r="K254" s="247">
        <f>K125-K378</f>
        <v>47.447413442555082</v>
      </c>
      <c r="L254" s="247">
        <f>L125-L378</f>
        <v>47.447413442555082</v>
      </c>
      <c r="M254" s="247">
        <f>M125-M378</f>
        <v>310.209</v>
      </c>
      <c r="N254" s="247">
        <f>N125-N378</f>
        <v>48.116999999999997</v>
      </c>
      <c r="O254" s="247">
        <f>O125-O378</f>
        <v>2415.5070000000001</v>
      </c>
      <c r="P254" s="247">
        <f>P125-P378</f>
        <v>1406.376</v>
      </c>
      <c r="Q254" s="247">
        <f>Q125-Q378</f>
        <v>834.97799999999995</v>
      </c>
      <c r="R254" s="247">
        <f>R125-R378</f>
        <v>336.43200000000002</v>
      </c>
      <c r="S254" s="247">
        <f>S125-S378</f>
        <v>234.96600000000001</v>
      </c>
      <c r="T254" s="247">
        <f>T125-T378</f>
        <v>469.55</v>
      </c>
      <c r="U254" s="247">
        <f>U125-U378</f>
        <v>515.33827846398162</v>
      </c>
      <c r="V254" s="247">
        <f>V125-V378</f>
        <v>0.37876152364670546</v>
      </c>
      <c r="W254" s="247">
        <f>W125-W378</f>
        <v>11.85793590858624</v>
      </c>
      <c r="X254" s="247">
        <f>X125-X378</f>
        <v>11.85793590858624</v>
      </c>
      <c r="Y254" s="247">
        <f>Y125-Y378</f>
        <v>59.305349351141324</v>
      </c>
      <c r="Z254" s="247">
        <f>Z125-Z378</f>
        <v>1970.5419999999999</v>
      </c>
      <c r="AA254" s="247">
        <f>AA125-AA378</f>
        <v>1916.6020000000001</v>
      </c>
      <c r="AB254" s="247">
        <f>AB125-AB378</f>
        <v>2.7373179561765153E-2</v>
      </c>
      <c r="AC254" s="247">
        <f>AC125-AC378</f>
        <v>217.56759931040503</v>
      </c>
      <c r="AD254" s="247">
        <f>AD125-AD378</f>
        <v>1892.9490000000001</v>
      </c>
      <c r="AE254" s="247">
        <f>AE125-AE378</f>
        <v>1191.9659999999999</v>
      </c>
      <c r="AF254" s="247">
        <f>AF125-AF378</f>
        <v>700.98299999999995</v>
      </c>
      <c r="AG254" s="248"/>
      <c r="AH254" s="247"/>
      <c r="AI254" s="247">
        <f t="shared" ref="AI254:CT254" si="3700">AI125-AI378</f>
        <v>643.54899999999998</v>
      </c>
      <c r="AJ254" s="247">
        <f t="shared" si="3700"/>
        <v>21.451633333333334</v>
      </c>
      <c r="AK254" s="247">
        <f t="shared" si="3700"/>
        <v>469.214</v>
      </c>
      <c r="AL254" s="247">
        <f t="shared" si="3700"/>
        <v>47.307000000000002</v>
      </c>
      <c r="AM254" s="247">
        <f t="shared" si="3700"/>
        <v>43.746226006100542</v>
      </c>
      <c r="AN254" s="247">
        <f t="shared" si="3700"/>
        <v>-0.65550101098226321</v>
      </c>
      <c r="AO254" s="247">
        <f t="shared" si="3700"/>
        <v>261.846</v>
      </c>
      <c r="AP254" s="247">
        <f t="shared" si="3700"/>
        <v>109.419</v>
      </c>
      <c r="AQ254" s="247">
        <f t="shared" si="3700"/>
        <v>12.206343262129224</v>
      </c>
      <c r="AR254" s="247">
        <f t="shared" si="3700"/>
        <v>0.34840735354298324</v>
      </c>
      <c r="AS254" s="247">
        <f t="shared" si="3700"/>
        <v>55.952569268229766</v>
      </c>
      <c r="AT254" s="247">
        <f t="shared" si="3700"/>
        <v>1303.682</v>
      </c>
      <c r="AU254" s="247">
        <f t="shared" si="3700"/>
        <v>43.456066666666665</v>
      </c>
      <c r="AV254" s="247">
        <f t="shared" si="3700"/>
        <v>974.95600000000002</v>
      </c>
      <c r="AW254" s="247">
        <f t="shared" si="3700"/>
        <v>66.313000000000002</v>
      </c>
      <c r="AX254" s="247">
        <f t="shared" si="3700"/>
        <v>44.870881089099953</v>
      </c>
      <c r="AY254" s="247">
        <f t="shared" si="3700"/>
        <v>0.46915407201714743</v>
      </c>
      <c r="AZ254" s="247">
        <f t="shared" si="3700"/>
        <v>519.55700000000002</v>
      </c>
      <c r="BA254" s="247">
        <f t="shared" si="3700"/>
        <v>108.914</v>
      </c>
      <c r="BB254" s="247">
        <f t="shared" si="3700"/>
        <v>11.955914095615343</v>
      </c>
      <c r="BC254" s="247">
        <f t="shared" si="3700"/>
        <v>9.797818702910277E-2</v>
      </c>
      <c r="BD254" s="247">
        <f t="shared" si="3700"/>
        <v>56.826795184715294</v>
      </c>
      <c r="BE254" s="247">
        <f t="shared" si="3700"/>
        <v>1334.3130000000001</v>
      </c>
      <c r="BF254" s="247">
        <f t="shared" si="3700"/>
        <v>44.4771</v>
      </c>
      <c r="BG254" s="247">
        <f t="shared" si="3700"/>
        <v>975.63699999999994</v>
      </c>
      <c r="BH254" s="247">
        <f t="shared" si="3700"/>
        <v>107.577</v>
      </c>
      <c r="BI254" s="247">
        <f t="shared" si="3700"/>
        <v>43.871430466464766</v>
      </c>
      <c r="BJ254" s="247">
        <f t="shared" si="3700"/>
        <v>-0.53029655061803993</v>
      </c>
      <c r="BK254" s="247">
        <f t="shared" si="3700"/>
        <v>527.83699999999999</v>
      </c>
      <c r="BL254" s="247">
        <f t="shared" si="3700"/>
        <v>191.071</v>
      </c>
      <c r="BM254" s="247">
        <f t="shared" si="3700"/>
        <v>11.867612771516129</v>
      </c>
      <c r="BN254" s="247">
        <f t="shared" si="3700"/>
        <v>9.6768629298882303E-3</v>
      </c>
      <c r="BO254" s="247">
        <f t="shared" si="3700"/>
        <v>55.739043237980894</v>
      </c>
      <c r="BP254" s="247">
        <f t="shared" si="3700"/>
        <v>1138.7809999999999</v>
      </c>
      <c r="BQ254" s="247">
        <f t="shared" si="3700"/>
        <v>37.959366666666668</v>
      </c>
      <c r="BR254" s="247">
        <f t="shared" si="3700"/>
        <v>856.55700000000002</v>
      </c>
      <c r="BS254" s="247">
        <f t="shared" si="3700"/>
        <v>80.772999999999996</v>
      </c>
      <c r="BT254" s="247">
        <f t="shared" si="3700"/>
        <v>45.130205017470438</v>
      </c>
      <c r="BU254" s="247">
        <f t="shared" si="3700"/>
        <v>0.72847800038763211</v>
      </c>
      <c r="BV254" s="247">
        <f t="shared" si="3700"/>
        <v>447.12799999999999</v>
      </c>
      <c r="BW254" s="247">
        <f t="shared" si="3700"/>
        <v>225.065</v>
      </c>
      <c r="BX254" s="247">
        <f t="shared" si="3700"/>
        <v>11.779121709968816</v>
      </c>
      <c r="BY254" s="247">
        <f t="shared" si="3700"/>
        <v>-7.8814198617424225E-2</v>
      </c>
      <c r="BZ254" s="247">
        <f t="shared" si="3700"/>
        <v>56.90932672743925</v>
      </c>
      <c r="CA254" s="247">
        <f t="shared" si="3700"/>
        <v>551.21799999999996</v>
      </c>
      <c r="CB254" s="247">
        <f t="shared" si="3700"/>
        <v>18.373933333333333</v>
      </c>
      <c r="CC254" s="247">
        <f t="shared" si="3700"/>
        <v>394.88600000000002</v>
      </c>
      <c r="CD254" s="247">
        <f t="shared" si="3700"/>
        <v>55.238999999999997</v>
      </c>
      <c r="CE254" s="247">
        <f t="shared" si="3700"/>
        <v>42.983284290425935</v>
      </c>
      <c r="CF254" s="247">
        <f t="shared" si="3700"/>
        <v>-1.4184427266568704</v>
      </c>
      <c r="CG254" s="247">
        <f t="shared" si="3700"/>
        <v>215.38800000000001</v>
      </c>
      <c r="CH254" s="247">
        <f t="shared" si="3700"/>
        <v>61.555999999999997</v>
      </c>
      <c r="CI254" s="247">
        <f t="shared" si="3700"/>
        <v>11.722476406793682</v>
      </c>
      <c r="CJ254" s="247">
        <f t="shared" si="3700"/>
        <v>-0.13545950179255861</v>
      </c>
      <c r="CK254" s="247">
        <f t="shared" si="3700"/>
        <v>54.705760697219617</v>
      </c>
      <c r="CL254" s="247">
        <f t="shared" si="3700"/>
        <v>1139.5719999999999</v>
      </c>
      <c r="CM254" s="247">
        <f t="shared" si="3700"/>
        <v>37.985733333333329</v>
      </c>
      <c r="CN254" s="247">
        <f t="shared" si="3700"/>
        <v>851.15099999999995</v>
      </c>
      <c r="CO254" s="247">
        <f t="shared" si="3700"/>
        <v>49.347999999999999</v>
      </c>
      <c r="CP254" s="247">
        <f t="shared" si="3700"/>
        <v>44.814246050271507</v>
      </c>
      <c r="CQ254" s="247">
        <f t="shared" si="3700"/>
        <v>0.4125190331887012</v>
      </c>
      <c r="CR254" s="247">
        <f t="shared" si="3700"/>
        <v>443.75099999999998</v>
      </c>
      <c r="CS254" s="247">
        <f t="shared" si="3700"/>
        <v>138.953</v>
      </c>
      <c r="CT254" s="247">
        <f t="shared" si="3700"/>
        <v>11.68204378485958</v>
      </c>
      <c r="CU254" s="247">
        <f t="shared" ref="CU254:EB254" si="3701">CU125-CU378</f>
        <v>-0.17589212372666019</v>
      </c>
      <c r="CV254" s="247">
        <f t="shared" si="3701"/>
        <v>56.496289835131087</v>
      </c>
      <c r="CW254" s="248"/>
      <c r="CX254" s="247">
        <f t="shared" ref="CX254:DC254" si="3702">CX125-CX378</f>
        <v>0</v>
      </c>
      <c r="CY254" s="247">
        <f t="shared" si="3702"/>
        <v>0</v>
      </c>
      <c r="CZ254" s="247">
        <f t="shared" si="3702"/>
        <v>0</v>
      </c>
      <c r="DA254" s="247">
        <f t="shared" si="3702"/>
        <v>0</v>
      </c>
      <c r="DB254" s="247">
        <f t="shared" si="3702"/>
        <v>0</v>
      </c>
      <c r="DC254" s="247">
        <f t="shared" si="3702"/>
        <v>0</v>
      </c>
      <c r="DD254" s="247"/>
      <c r="DE254" s="247">
        <f t="shared" ref="DE254:EG254" si="3703">DE125-DE378</f>
        <v>107.84</v>
      </c>
      <c r="DF254" s="247">
        <f t="shared" si="3703"/>
        <v>63.758000000000003</v>
      </c>
      <c r="DG254" s="247">
        <f t="shared" si="3703"/>
        <v>21.335000000000001</v>
      </c>
      <c r="DH254" s="247">
        <f t="shared" si="3703"/>
        <v>0.5912277448071217</v>
      </c>
      <c r="DI254" s="247">
        <f t="shared" si="3703"/>
        <v>83.501000000000005</v>
      </c>
      <c r="DJ254" s="247">
        <f t="shared" si="3703"/>
        <v>0.387152262611276</v>
      </c>
      <c r="DK254" s="247">
        <f t="shared" si="3703"/>
        <v>96.332999999999998</v>
      </c>
      <c r="DL254" s="247">
        <f t="shared" si="3703"/>
        <v>92.938999999999993</v>
      </c>
      <c r="DM254" s="247">
        <f t="shared" si="3703"/>
        <v>3.5231955819916339E-2</v>
      </c>
      <c r="DN254" s="247">
        <f t="shared" si="3703"/>
        <v>105.952</v>
      </c>
      <c r="DO254" s="247">
        <f t="shared" si="3703"/>
        <v>34.06</v>
      </c>
      <c r="DP254" s="247">
        <f t="shared" si="3703"/>
        <v>87.168000000000006</v>
      </c>
      <c r="DQ254" s="247">
        <f t="shared" si="3703"/>
        <v>121.22800000000001</v>
      </c>
      <c r="DR254" s="247">
        <f t="shared" si="3703"/>
        <v>0.9783800074183977</v>
      </c>
      <c r="DS254" s="247">
        <f t="shared" si="3703"/>
        <v>1.1536748062897451</v>
      </c>
      <c r="DT254" s="247">
        <f t="shared" si="3703"/>
        <v>0</v>
      </c>
      <c r="DU254" s="247">
        <f t="shared" si="3703"/>
        <v>0</v>
      </c>
      <c r="DV254" s="247">
        <f t="shared" si="3703"/>
        <v>0</v>
      </c>
      <c r="DW254" s="247">
        <f t="shared" si="3703"/>
        <v>0</v>
      </c>
      <c r="DX254" s="247">
        <f t="shared" si="3703"/>
        <v>0</v>
      </c>
      <c r="DY254" s="247">
        <f t="shared" si="3703"/>
        <v>0</v>
      </c>
      <c r="DZ254" s="247">
        <f t="shared" si="3703"/>
        <v>0</v>
      </c>
      <c r="EA254" s="247">
        <f t="shared" si="3703"/>
        <v>0</v>
      </c>
      <c r="EB254" s="247">
        <f t="shared" si="3703"/>
        <v>0</v>
      </c>
      <c r="EC254" s="247">
        <f t="shared" si="3703"/>
        <v>0</v>
      </c>
      <c r="ED254" s="247">
        <f t="shared" si="3703"/>
        <v>0</v>
      </c>
      <c r="EE254" s="247">
        <f t="shared" si="3703"/>
        <v>0</v>
      </c>
      <c r="EF254" s="247">
        <f t="shared" si="3703"/>
        <v>0</v>
      </c>
      <c r="EG254" s="247">
        <f t="shared" si="3703"/>
        <v>0</v>
      </c>
    </row>
    <row r="255" spans="1:137" ht="11.25" customHeight="1">
      <c r="A255" s="157">
        <v>45809</v>
      </c>
      <c r="B255" s="247">
        <f t="shared" ref="B255:AF255" si="3704">B126-B379</f>
        <v>-6.375</v>
      </c>
      <c r="C255" s="247">
        <f t="shared" si="3704"/>
        <v>-0.21250000000000568</v>
      </c>
      <c r="D255" s="247">
        <f t="shared" si="3704"/>
        <v>-0.21250000000000568</v>
      </c>
      <c r="E255" s="247">
        <f t="shared" si="3704"/>
        <v>-1.1442633367257926E-3</v>
      </c>
      <c r="F255" s="247">
        <f t="shared" si="3704"/>
        <v>-4.7849999999998545</v>
      </c>
      <c r="G255" s="247">
        <f t="shared" si="3704"/>
        <v>8.2999999999628926E-2</v>
      </c>
      <c r="H255" s="247">
        <f t="shared" si="3704"/>
        <v>-4.8680000000000092</v>
      </c>
      <c r="I255" s="247">
        <f t="shared" si="3704"/>
        <v>39.107000000000028</v>
      </c>
      <c r="J255" s="247">
        <f t="shared" si="3704"/>
        <v>-5.169729865670547E-4</v>
      </c>
      <c r="K255" s="247">
        <f t="shared" si="3704"/>
        <v>-3.4286008321657846E-3</v>
      </c>
      <c r="L255" s="247">
        <f t="shared" si="3704"/>
        <v>-3.4286008321657846E-3</v>
      </c>
      <c r="M255" s="247">
        <f t="shared" si="3704"/>
        <v>-0.6069999999999709</v>
      </c>
      <c r="N255" s="247">
        <f t="shared" si="3704"/>
        <v>1.5000000000000568E-2</v>
      </c>
      <c r="O255" s="247">
        <f t="shared" si="3704"/>
        <v>-2.3760000000002037</v>
      </c>
      <c r="P255" s="247">
        <f t="shared" si="3704"/>
        <v>-0.83200000000010732</v>
      </c>
      <c r="Q255" s="247">
        <f t="shared" si="3704"/>
        <v>-0.35000000000002274</v>
      </c>
      <c r="R255" s="247">
        <f t="shared" si="3704"/>
        <v>-0.4819999999999709</v>
      </c>
      <c r="S255" s="247">
        <f t="shared" si="3704"/>
        <v>0</v>
      </c>
      <c r="T255" s="247">
        <f t="shared" si="3704"/>
        <v>0.16500000000002046</v>
      </c>
      <c r="U255" s="247">
        <f t="shared" si="3704"/>
        <v>-2.8786815759781348</v>
      </c>
      <c r="V255" s="247">
        <f t="shared" si="3704"/>
        <v>-2.7081524966903192E-3</v>
      </c>
      <c r="W255" s="247">
        <f t="shared" si="3704"/>
        <v>8.0619632172229672E-4</v>
      </c>
      <c r="X255" s="247">
        <f t="shared" si="3704"/>
        <v>8.0619632172229672E-4</v>
      </c>
      <c r="Y255" s="247">
        <f t="shared" si="3704"/>
        <v>-2.6224045104399352E-3</v>
      </c>
      <c r="Z255" s="247">
        <f t="shared" si="3704"/>
        <v>0.13699999999994361</v>
      </c>
      <c r="AA255" s="247">
        <f t="shared" si="3704"/>
        <v>0.13600000000019463</v>
      </c>
      <c r="AB255" s="247">
        <f t="shared" si="3704"/>
        <v>-1.5139126711485873E-6</v>
      </c>
      <c r="AC255" s="247">
        <f t="shared" si="3704"/>
        <v>-0.14598491940097347</v>
      </c>
      <c r="AD255" s="247">
        <f t="shared" si="3704"/>
        <v>-1.2030000000002019</v>
      </c>
      <c r="AE255" s="247">
        <f t="shared" si="3704"/>
        <v>-0.54800000000000182</v>
      </c>
      <c r="AF255" s="247">
        <f t="shared" si="3704"/>
        <v>-0.65499999999997272</v>
      </c>
      <c r="AG255" s="248"/>
      <c r="AH255" s="247"/>
      <c r="AI255" s="247">
        <f t="shared" ref="AI255:CT255" si="3705">AI126-AI379</f>
        <v>0</v>
      </c>
      <c r="AJ255" s="247">
        <f t="shared" si="3705"/>
        <v>0</v>
      </c>
      <c r="AK255" s="247">
        <f t="shared" si="3705"/>
        <v>0</v>
      </c>
      <c r="AL255" s="247">
        <f t="shared" si="3705"/>
        <v>0</v>
      </c>
      <c r="AM255" s="247">
        <f t="shared" si="3705"/>
        <v>0</v>
      </c>
      <c r="AN255" s="247">
        <f t="shared" si="3705"/>
        <v>5.169729865670547E-4</v>
      </c>
      <c r="AO255" s="247">
        <f t="shared" si="3705"/>
        <v>0</v>
      </c>
      <c r="AP255" s="247">
        <f t="shared" si="3705"/>
        <v>0</v>
      </c>
      <c r="AQ255" s="247">
        <f t="shared" si="3705"/>
        <v>0</v>
      </c>
      <c r="AR255" s="247">
        <f t="shared" si="3705"/>
        <v>-8.0619632172229672E-4</v>
      </c>
      <c r="AS255" s="247">
        <f t="shared" si="3705"/>
        <v>0</v>
      </c>
      <c r="AT255" s="247">
        <f t="shared" si="3705"/>
        <v>0</v>
      </c>
      <c r="AU255" s="247">
        <f t="shared" si="3705"/>
        <v>0</v>
      </c>
      <c r="AV255" s="247">
        <f t="shared" si="3705"/>
        <v>0</v>
      </c>
      <c r="AW255" s="247">
        <f t="shared" si="3705"/>
        <v>0</v>
      </c>
      <c r="AX255" s="247">
        <f t="shared" si="3705"/>
        <v>0</v>
      </c>
      <c r="AY255" s="247">
        <f t="shared" si="3705"/>
        <v>5.169729865670547E-4</v>
      </c>
      <c r="AZ255" s="247">
        <f t="shared" si="3705"/>
        <v>0</v>
      </c>
      <c r="BA255" s="247">
        <f t="shared" si="3705"/>
        <v>0</v>
      </c>
      <c r="BB255" s="247">
        <f t="shared" si="3705"/>
        <v>0</v>
      </c>
      <c r="BC255" s="247">
        <f t="shared" si="3705"/>
        <v>-8.0619632172229672E-4</v>
      </c>
      <c r="BD255" s="247">
        <f t="shared" si="3705"/>
        <v>0</v>
      </c>
      <c r="BE255" s="247">
        <f t="shared" si="3705"/>
        <v>0</v>
      </c>
      <c r="BF255" s="247">
        <f t="shared" si="3705"/>
        <v>0</v>
      </c>
      <c r="BG255" s="247">
        <f t="shared" si="3705"/>
        <v>0</v>
      </c>
      <c r="BH255" s="247">
        <f t="shared" si="3705"/>
        <v>0</v>
      </c>
      <c r="BI255" s="247">
        <f t="shared" si="3705"/>
        <v>0</v>
      </c>
      <c r="BJ255" s="247">
        <f t="shared" si="3705"/>
        <v>5.169729865670547E-4</v>
      </c>
      <c r="BK255" s="247">
        <f t="shared" si="3705"/>
        <v>0</v>
      </c>
      <c r="BL255" s="247">
        <f t="shared" si="3705"/>
        <v>0</v>
      </c>
      <c r="BM255" s="247">
        <f t="shared" si="3705"/>
        <v>0</v>
      </c>
      <c r="BN255" s="247">
        <f t="shared" si="3705"/>
        <v>-8.0619632172229672E-4</v>
      </c>
      <c r="BO255" s="247">
        <f t="shared" si="3705"/>
        <v>0</v>
      </c>
      <c r="BP255" s="247">
        <f t="shared" si="3705"/>
        <v>0</v>
      </c>
      <c r="BQ255" s="247">
        <f t="shared" si="3705"/>
        <v>0</v>
      </c>
      <c r="BR255" s="247">
        <f t="shared" si="3705"/>
        <v>0</v>
      </c>
      <c r="BS255" s="247">
        <f t="shared" si="3705"/>
        <v>0</v>
      </c>
      <c r="BT255" s="247">
        <f t="shared" si="3705"/>
        <v>0</v>
      </c>
      <c r="BU255" s="247">
        <f t="shared" si="3705"/>
        <v>5.169729865670547E-4</v>
      </c>
      <c r="BV255" s="247">
        <f t="shared" si="3705"/>
        <v>0</v>
      </c>
      <c r="BW255" s="247">
        <f t="shared" si="3705"/>
        <v>0</v>
      </c>
      <c r="BX255" s="247">
        <f t="shared" si="3705"/>
        <v>0</v>
      </c>
      <c r="BY255" s="247">
        <f t="shared" si="3705"/>
        <v>-8.0619632172229672E-4</v>
      </c>
      <c r="BZ255" s="247">
        <f t="shared" si="3705"/>
        <v>0</v>
      </c>
      <c r="CA255" s="247">
        <f t="shared" si="3705"/>
        <v>0</v>
      </c>
      <c r="CB255" s="247">
        <f t="shared" si="3705"/>
        <v>0</v>
      </c>
      <c r="CC255" s="247">
        <f t="shared" si="3705"/>
        <v>0</v>
      </c>
      <c r="CD255" s="247">
        <f t="shared" si="3705"/>
        <v>0</v>
      </c>
      <c r="CE255" s="247">
        <f t="shared" si="3705"/>
        <v>0</v>
      </c>
      <c r="CF255" s="247">
        <f t="shared" si="3705"/>
        <v>5.169729865670547E-4</v>
      </c>
      <c r="CG255" s="247">
        <f t="shared" si="3705"/>
        <v>0</v>
      </c>
      <c r="CH255" s="247">
        <f t="shared" si="3705"/>
        <v>0</v>
      </c>
      <c r="CI255" s="247">
        <f t="shared" si="3705"/>
        <v>0</v>
      </c>
      <c r="CJ255" s="247">
        <f t="shared" si="3705"/>
        <v>-8.0619632172229672E-4</v>
      </c>
      <c r="CK255" s="247">
        <f t="shared" si="3705"/>
        <v>0</v>
      </c>
      <c r="CL255" s="247">
        <f t="shared" si="3705"/>
        <v>0</v>
      </c>
      <c r="CM255" s="247">
        <f t="shared" si="3705"/>
        <v>0</v>
      </c>
      <c r="CN255" s="247">
        <f t="shared" si="3705"/>
        <v>0</v>
      </c>
      <c r="CO255" s="247">
        <f t="shared" si="3705"/>
        <v>0</v>
      </c>
      <c r="CP255" s="247">
        <f t="shared" si="3705"/>
        <v>0</v>
      </c>
      <c r="CQ255" s="247">
        <f t="shared" si="3705"/>
        <v>5.169729865670547E-4</v>
      </c>
      <c r="CR255" s="247">
        <f t="shared" si="3705"/>
        <v>0</v>
      </c>
      <c r="CS255" s="247">
        <f t="shared" si="3705"/>
        <v>0</v>
      </c>
      <c r="CT255" s="247">
        <f t="shared" si="3705"/>
        <v>0</v>
      </c>
      <c r="CU255" s="247">
        <f t="shared" ref="CU255:EB255" si="3706">CU126-CU379</f>
        <v>-8.0619632172229672E-4</v>
      </c>
      <c r="CV255" s="247">
        <f t="shared" si="3706"/>
        <v>0</v>
      </c>
      <c r="CW255" s="248"/>
      <c r="CX255" s="247">
        <f t="shared" ref="CX255:DC255" si="3707">CX126-CX379</f>
        <v>-0.21249999999998437</v>
      </c>
      <c r="CY255" s="247">
        <f t="shared" si="3707"/>
        <v>-4.7849999999996271</v>
      </c>
      <c r="CZ255" s="247">
        <f t="shared" si="3707"/>
        <v>39.107000000000049</v>
      </c>
      <c r="DA255" s="247">
        <f t="shared" si="3707"/>
        <v>-2.3759999999999764</v>
      </c>
      <c r="DB255" s="247">
        <f t="shared" si="3707"/>
        <v>-0.34999999999996589</v>
      </c>
      <c r="DC255" s="247">
        <f t="shared" si="3707"/>
        <v>0</v>
      </c>
      <c r="DD255" s="247"/>
      <c r="DE255" s="247">
        <f t="shared" ref="DE255:EG255" si="3708">DE126-DE379</f>
        <v>0</v>
      </c>
      <c r="DF255" s="247">
        <f t="shared" si="3708"/>
        <v>0</v>
      </c>
      <c r="DG255" s="247">
        <f t="shared" si="3708"/>
        <v>0</v>
      </c>
      <c r="DH255" s="247">
        <f t="shared" si="3708"/>
        <v>0</v>
      </c>
      <c r="DI255" s="247">
        <f t="shared" si="3708"/>
        <v>0</v>
      </c>
      <c r="DJ255" s="247">
        <f t="shared" si="3708"/>
        <v>0</v>
      </c>
      <c r="DK255" s="247">
        <f t="shared" si="3708"/>
        <v>0</v>
      </c>
      <c r="DL255" s="247">
        <f t="shared" si="3708"/>
        <v>0</v>
      </c>
      <c r="DM255" s="247">
        <f t="shared" si="3708"/>
        <v>0</v>
      </c>
      <c r="DN255" s="247">
        <f t="shared" si="3708"/>
        <v>0</v>
      </c>
      <c r="DO255" s="247">
        <f t="shared" si="3708"/>
        <v>0</v>
      </c>
      <c r="DP255" s="247">
        <f t="shared" si="3708"/>
        <v>0</v>
      </c>
      <c r="DQ255" s="247">
        <f t="shared" si="3708"/>
        <v>0</v>
      </c>
      <c r="DR255" s="247">
        <f t="shared" si="3708"/>
        <v>0</v>
      </c>
      <c r="DS255" s="247">
        <f t="shared" si="3708"/>
        <v>0</v>
      </c>
      <c r="DT255" s="247">
        <f t="shared" si="3708"/>
        <v>0</v>
      </c>
      <c r="DU255" s="247">
        <f t="shared" si="3708"/>
        <v>0</v>
      </c>
      <c r="DV255" s="247">
        <f t="shared" si="3708"/>
        <v>0</v>
      </c>
      <c r="DW255" s="247">
        <f t="shared" si="3708"/>
        <v>0</v>
      </c>
      <c r="DX255" s="247">
        <f t="shared" si="3708"/>
        <v>0</v>
      </c>
      <c r="DY255" s="247">
        <f t="shared" si="3708"/>
        <v>0</v>
      </c>
      <c r="DZ255" s="247">
        <f t="shared" si="3708"/>
        <v>0</v>
      </c>
      <c r="EA255" s="247">
        <f t="shared" si="3708"/>
        <v>0</v>
      </c>
      <c r="EB255" s="247">
        <f t="shared" si="3708"/>
        <v>0</v>
      </c>
      <c r="EC255" s="247">
        <f t="shared" si="3708"/>
        <v>0</v>
      </c>
      <c r="ED255" s="247">
        <f t="shared" si="3708"/>
        <v>0</v>
      </c>
      <c r="EE255" s="247">
        <f t="shared" si="3708"/>
        <v>0</v>
      </c>
      <c r="EF255" s="247">
        <f t="shared" si="3708"/>
        <v>0</v>
      </c>
      <c r="EG255" s="247">
        <f t="shared" si="3708"/>
        <v>0</v>
      </c>
    </row>
    <row r="256" spans="1:137">
      <c r="A256" s="157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  <c r="AA256" s="197"/>
      <c r="AB256" s="197"/>
      <c r="AC256" s="197"/>
      <c r="AD256" s="197"/>
      <c r="AE256" s="197"/>
      <c r="AF256" s="197"/>
      <c r="AH256" s="197"/>
      <c r="AI256" s="197"/>
      <c r="AJ256" s="197"/>
      <c r="AK256" s="197"/>
      <c r="AL256" s="197"/>
      <c r="AM256" s="197"/>
      <c r="AN256" s="197"/>
      <c r="AO256" s="197"/>
      <c r="AP256" s="197"/>
      <c r="AQ256" s="197"/>
      <c r="AR256" s="197"/>
      <c r="AS256" s="197"/>
      <c r="AT256" s="197"/>
      <c r="AU256" s="197"/>
      <c r="AV256" s="197"/>
      <c r="AW256" s="197"/>
      <c r="AX256" s="197"/>
      <c r="AY256" s="197"/>
      <c r="AZ256" s="197"/>
      <c r="BA256" s="197"/>
      <c r="BB256" s="197"/>
      <c r="BC256" s="197"/>
      <c r="BD256" s="197"/>
      <c r="BE256" s="197"/>
      <c r="BF256" s="197"/>
      <c r="BG256" s="197"/>
      <c r="BH256" s="197"/>
      <c r="BI256" s="197"/>
      <c r="BJ256" s="197"/>
      <c r="BK256" s="197"/>
      <c r="BL256" s="197"/>
      <c r="BM256" s="197"/>
      <c r="BN256" s="197"/>
      <c r="BO256" s="197"/>
      <c r="BP256" s="197"/>
      <c r="BQ256" s="197"/>
      <c r="BR256" s="197"/>
      <c r="BS256" s="197"/>
      <c r="BT256" s="197"/>
      <c r="BU256" s="197"/>
      <c r="BV256" s="197"/>
      <c r="BW256" s="197"/>
      <c r="BX256" s="197"/>
      <c r="BY256" s="197"/>
      <c r="BZ256" s="197"/>
      <c r="CA256" s="197"/>
      <c r="CB256" s="197"/>
      <c r="CC256" s="197"/>
      <c r="CD256" s="197"/>
      <c r="CE256" s="197"/>
      <c r="CF256" s="197"/>
      <c r="CG256" s="197"/>
      <c r="CH256" s="197"/>
      <c r="CI256" s="197"/>
      <c r="CJ256" s="197"/>
      <c r="CK256" s="197"/>
      <c r="CL256" s="197"/>
      <c r="CM256" s="197"/>
      <c r="CN256" s="197"/>
      <c r="CO256" s="197"/>
      <c r="CP256" s="197"/>
      <c r="CQ256" s="197"/>
      <c r="CR256" s="197"/>
      <c r="CS256" s="197"/>
      <c r="CT256" s="197"/>
      <c r="CU256" s="197"/>
      <c r="CV256" s="197"/>
      <c r="CX256" s="197"/>
      <c r="CY256" s="197"/>
      <c r="CZ256" s="197"/>
      <c r="DA256" s="197"/>
      <c r="DB256" s="197"/>
      <c r="DC256" s="197"/>
      <c r="DD256" s="197"/>
      <c r="DE256" s="197"/>
      <c r="DF256" s="197"/>
      <c r="DG256" s="197"/>
      <c r="DH256" s="197"/>
      <c r="DI256" s="197"/>
      <c r="DJ256" s="197"/>
      <c r="DK256" s="197"/>
      <c r="DL256" s="197"/>
      <c r="DM256" s="197"/>
      <c r="DN256" s="197"/>
      <c r="DO256" s="197"/>
      <c r="DP256" s="197"/>
      <c r="DQ256" s="197"/>
      <c r="DR256" s="197"/>
      <c r="DS256" s="197"/>
      <c r="DT256" s="197"/>
      <c r="DU256" s="197"/>
      <c r="DV256" s="197"/>
      <c r="DW256" s="197"/>
      <c r="DX256" s="197"/>
      <c r="DY256" s="197"/>
      <c r="DZ256" s="197"/>
      <c r="EA256" s="197"/>
      <c r="EB256" s="197"/>
      <c r="EC256" s="197"/>
      <c r="ED256" s="197"/>
      <c r="EE256" s="197"/>
      <c r="EF256" s="197"/>
      <c r="EG256" s="197"/>
    </row>
    <row r="257" spans="1:13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97"/>
      <c r="Q257" s="197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  <c r="AY257" s="163"/>
      <c r="AZ257" s="163"/>
      <c r="BA257" s="163"/>
      <c r="BB257" s="163"/>
      <c r="BC257" s="163"/>
      <c r="BD257" s="163"/>
      <c r="BE257" s="163"/>
      <c r="BF257" s="163"/>
      <c r="BG257" s="163"/>
      <c r="BH257" s="163"/>
      <c r="BI257" s="163"/>
      <c r="BJ257" s="163"/>
      <c r="BK257" s="163"/>
      <c r="BL257" s="163"/>
      <c r="BM257" s="163"/>
      <c r="BN257" s="163"/>
      <c r="BO257" s="163"/>
      <c r="BP257" s="163"/>
      <c r="BQ257" s="163"/>
      <c r="BR257" s="163"/>
      <c r="BS257" s="163"/>
      <c r="BT257" s="163"/>
      <c r="BU257" s="163"/>
      <c r="BV257" s="163"/>
      <c r="BW257" s="163"/>
      <c r="BX257" s="163"/>
      <c r="BY257" s="163"/>
      <c r="BZ257" s="163"/>
      <c r="CA257" s="163"/>
      <c r="CB257" s="163"/>
      <c r="CC257" s="163"/>
      <c r="CD257" s="163"/>
      <c r="CE257" s="163"/>
      <c r="CF257" s="163"/>
      <c r="CG257" s="163"/>
      <c r="CH257" s="163"/>
      <c r="CI257" s="163"/>
      <c r="CJ257" s="163"/>
      <c r="CK257" s="163"/>
      <c r="CL257" s="163"/>
      <c r="CM257" s="163"/>
      <c r="CN257" s="163"/>
      <c r="CO257" s="163"/>
      <c r="CP257" s="163"/>
      <c r="CQ257" s="163"/>
      <c r="CR257" s="163"/>
      <c r="CS257" s="163"/>
      <c r="CT257" s="163"/>
      <c r="CU257" s="163"/>
      <c r="CV257" s="163"/>
      <c r="CW257" s="163"/>
      <c r="CX257" s="163"/>
      <c r="CY257" s="163"/>
      <c r="CZ257" s="163"/>
      <c r="DA257" s="163"/>
      <c r="DB257" s="163"/>
      <c r="DC257" s="163"/>
      <c r="DD257" s="163"/>
      <c r="DE257" s="211"/>
      <c r="DF257" s="211"/>
      <c r="DG257" s="211"/>
      <c r="DH257" s="163"/>
      <c r="DI257" s="211"/>
      <c r="DJ257" s="163"/>
      <c r="DK257" s="211"/>
      <c r="DL257" s="211"/>
      <c r="DM257" s="163"/>
      <c r="DN257" s="211"/>
      <c r="DO257" s="211"/>
      <c r="DP257" s="211"/>
      <c r="DQ257" s="211"/>
      <c r="DR257" s="163"/>
      <c r="DS257" s="163"/>
      <c r="DT257" s="163"/>
      <c r="DU257" s="163"/>
      <c r="DV257" s="163"/>
      <c r="DW257" s="163"/>
      <c r="DX257" s="163"/>
      <c r="DY257" s="163"/>
      <c r="DZ257" s="163"/>
      <c r="EA257" s="163"/>
      <c r="EB257" s="163"/>
      <c r="EC257" s="163"/>
      <c r="ED257" s="163"/>
      <c r="EE257" s="163"/>
      <c r="EF257" s="163"/>
      <c r="EG257" s="163"/>
    </row>
    <row r="258" spans="1:137" hidden="1">
      <c r="A258" s="157">
        <v>42125</v>
      </c>
      <c r="B258" s="163">
        <v>4682.3220000000001</v>
      </c>
      <c r="C258" s="163">
        <v>156.07740000000001</v>
      </c>
      <c r="D258" s="163">
        <v>7.6614000000000146</v>
      </c>
      <c r="E258" s="163">
        <v>5.1621119016817651E-2</v>
      </c>
      <c r="F258" s="163">
        <v>3472.9580000000001</v>
      </c>
      <c r="G258" s="163"/>
      <c r="H258" s="163"/>
      <c r="I258" s="163">
        <v>456.01600000000002</v>
      </c>
      <c r="J258" s="163">
        <v>44.5030222184634</v>
      </c>
      <c r="K258" s="163">
        <v>47.518577321252145</v>
      </c>
      <c r="L258" s="163">
        <v>-0.14142267874785119</v>
      </c>
      <c r="M258" s="163">
        <v>235.33</v>
      </c>
      <c r="N258" s="163">
        <v>51.723999999999997</v>
      </c>
      <c r="O258" s="163">
        <v>1754.1790000000001</v>
      </c>
      <c r="P258" s="163">
        <v>1350.252</v>
      </c>
      <c r="Q258" s="163">
        <v>1054.953</v>
      </c>
      <c r="R258" s="163">
        <v>163.04900000000001</v>
      </c>
      <c r="S258" s="163">
        <v>132.25</v>
      </c>
      <c r="T258" s="163">
        <v>376.44900000000001</v>
      </c>
      <c r="U258" s="163">
        <v>148.89799999999991</v>
      </c>
      <c r="V258" s="163">
        <v>9.4370463232735569E-2</v>
      </c>
      <c r="W258" s="163">
        <v>11.239160826615512</v>
      </c>
      <c r="X258" s="163">
        <v>-0.10083917338448778</v>
      </c>
      <c r="Y258" s="163">
        <v>58.757738147867656</v>
      </c>
      <c r="Z258" s="163">
        <v>1439.683</v>
      </c>
      <c r="AA258" s="163">
        <v>1400.2070000000001</v>
      </c>
      <c r="AB258" s="163">
        <v>2.7419925080729497E-2</v>
      </c>
      <c r="AC258" s="163"/>
      <c r="AD258" s="163"/>
      <c r="AE258" s="163"/>
      <c r="AF258" s="163"/>
      <c r="AH258" s="163"/>
      <c r="AI258" s="163">
        <v>527.04999999999995</v>
      </c>
      <c r="AJ258" s="163">
        <v>17.568333333333332</v>
      </c>
      <c r="AK258" s="163">
        <v>384.47399999999999</v>
      </c>
      <c r="AL258" s="163">
        <v>74.899000000000001</v>
      </c>
      <c r="AM258" s="163">
        <v>43.768978275305955</v>
      </c>
      <c r="AN258" s="163">
        <v>-0.73404394315744526</v>
      </c>
      <c r="AO258" s="163">
        <v>199.75299999999999</v>
      </c>
      <c r="AP258" s="163">
        <v>263.75799999999998</v>
      </c>
      <c r="AQ258" s="163">
        <v>11.370059766625557</v>
      </c>
      <c r="AR258" s="163">
        <v>0.1308989400100451</v>
      </c>
      <c r="AS258" s="163">
        <v>55.139038041931514</v>
      </c>
      <c r="AT258" s="163">
        <v>999.851</v>
      </c>
      <c r="AU258" s="163">
        <v>33.328366666666668</v>
      </c>
      <c r="AV258" s="163">
        <v>741.84299999999996</v>
      </c>
      <c r="AW258" s="163">
        <v>93.268000000000001</v>
      </c>
      <c r="AX258" s="163">
        <v>44.517213064746642</v>
      </c>
      <c r="AY258" s="163">
        <v>1.4190846283241854E-2</v>
      </c>
      <c r="AZ258" s="163">
        <v>373.02499999999998</v>
      </c>
      <c r="BA258" s="163">
        <v>154.548</v>
      </c>
      <c r="BB258" s="163">
        <v>11.192417670232864</v>
      </c>
      <c r="BC258" s="163">
        <v>-4.6743156382648365E-2</v>
      </c>
      <c r="BD258" s="163">
        <v>55.709630734979505</v>
      </c>
      <c r="BE258" s="163">
        <v>1122.1120000000001</v>
      </c>
      <c r="BF258" s="163">
        <v>37.403733333333335</v>
      </c>
      <c r="BG258" s="163">
        <v>836.30200000000002</v>
      </c>
      <c r="BH258" s="163">
        <v>105.526</v>
      </c>
      <c r="BI258" s="163">
        <v>44.717568299777561</v>
      </c>
      <c r="BJ258" s="163">
        <v>0.21454608131416109</v>
      </c>
      <c r="BK258" s="163">
        <v>411.84100000000001</v>
      </c>
      <c r="BL258" s="163">
        <v>233.05500000000001</v>
      </c>
      <c r="BM258" s="163">
        <v>11.010692337306793</v>
      </c>
      <c r="BN258" s="163">
        <v>-0.22846848930871921</v>
      </c>
      <c r="BO258" s="163">
        <v>55.728260637084354</v>
      </c>
      <c r="BP258" s="163">
        <v>586.822</v>
      </c>
      <c r="BQ258" s="163">
        <v>19.560733333333335</v>
      </c>
      <c r="BR258" s="163">
        <v>447.32100000000003</v>
      </c>
      <c r="BS258" s="163">
        <v>57.914000000000001</v>
      </c>
      <c r="BT258" s="163">
        <v>45.736628824413536</v>
      </c>
      <c r="BU258" s="163">
        <v>1.2336066059501363</v>
      </c>
      <c r="BV258" s="163">
        <v>221.107</v>
      </c>
      <c r="BW258" s="163">
        <v>220.25200000000001</v>
      </c>
      <c r="BX258" s="163">
        <v>11.303615065556505</v>
      </c>
      <c r="BY258" s="163">
        <v>6.4454238940992781E-2</v>
      </c>
      <c r="BZ258" s="163">
        <v>57.040243889970043</v>
      </c>
      <c r="CA258" s="163">
        <v>630.18600000000004</v>
      </c>
      <c r="CB258" s="163">
        <v>21.0062</v>
      </c>
      <c r="CC258" s="163">
        <v>458.92200000000003</v>
      </c>
      <c r="CD258" s="163">
        <v>50.768000000000001</v>
      </c>
      <c r="CE258" s="163">
        <v>43.693957022212494</v>
      </c>
      <c r="CF258" s="163">
        <v>-0.80906519625090567</v>
      </c>
      <c r="CG258" s="163">
        <v>235.00399999999999</v>
      </c>
      <c r="CH258" s="163">
        <v>52.298999999999999</v>
      </c>
      <c r="CI258" s="163">
        <v>11.187363730708077</v>
      </c>
      <c r="CJ258" s="163">
        <v>-5.179709590743542E-2</v>
      </c>
      <c r="CK258" s="163">
        <v>54.881320752920573</v>
      </c>
      <c r="CL258" s="163">
        <v>816.30100000000004</v>
      </c>
      <c r="CM258" s="163">
        <v>27.210033333333335</v>
      </c>
      <c r="CN258" s="163">
        <v>604.096</v>
      </c>
      <c r="CO258" s="163">
        <v>73.641000000000005</v>
      </c>
      <c r="CP258" s="163">
        <v>44.402444686457564</v>
      </c>
      <c r="CQ258" s="163">
        <v>-0.10057753200583619</v>
      </c>
      <c r="CR258" s="163">
        <v>313.44900000000001</v>
      </c>
      <c r="CS258" s="163">
        <v>131.041</v>
      </c>
      <c r="CT258" s="163">
        <v>11.519611025834832</v>
      </c>
      <c r="CU258" s="163">
        <v>0.28045019921932024</v>
      </c>
      <c r="CV258" s="163">
        <v>55.922055712292398</v>
      </c>
      <c r="CW258" s="163"/>
      <c r="CX258" s="163">
        <v>0</v>
      </c>
      <c r="CY258" s="163">
        <v>0</v>
      </c>
      <c r="CZ258" s="163">
        <v>0</v>
      </c>
      <c r="DA258" s="163">
        <v>0</v>
      </c>
      <c r="DB258" s="163">
        <v>0</v>
      </c>
      <c r="DC258" s="163">
        <v>0</v>
      </c>
      <c r="DD258" s="163"/>
      <c r="DE258" s="163">
        <v>112.13500000000001</v>
      </c>
      <c r="DF258" s="163">
        <v>64.406000000000006</v>
      </c>
      <c r="DG258" s="163"/>
      <c r="DH258" s="163">
        <v>0.57436126098006868</v>
      </c>
      <c r="DI258" s="163">
        <v>94.626000000000005</v>
      </c>
      <c r="DJ258" s="163">
        <v>0.42192892495652562</v>
      </c>
      <c r="DK258" s="163">
        <v>139.82</v>
      </c>
      <c r="DL258" s="163">
        <v>136.40600000000001</v>
      </c>
      <c r="DM258" s="163">
        <v>2.4417107709912653E-2</v>
      </c>
      <c r="DN258" s="163">
        <v>132.078</v>
      </c>
      <c r="DO258" s="163">
        <v>70.155000000000001</v>
      </c>
      <c r="DP258" s="163">
        <v>66.094999999999999</v>
      </c>
      <c r="DQ258" s="163">
        <v>136.25</v>
      </c>
      <c r="DR258" s="163">
        <v>0.99629018593659424</v>
      </c>
      <c r="DS258" s="163"/>
      <c r="DT258" s="163">
        <v>141.846</v>
      </c>
      <c r="DU258" s="163">
        <v>64.957999999999998</v>
      </c>
      <c r="DV258" s="163">
        <v>53.073999999999998</v>
      </c>
      <c r="DW258" s="163">
        <v>0.45794735135287562</v>
      </c>
      <c r="DX258" s="163">
        <v>43.639000000000003</v>
      </c>
      <c r="DY258" s="163">
        <v>0.15382527529856324</v>
      </c>
      <c r="DZ258" s="163">
        <v>54.697000000000003</v>
      </c>
      <c r="EA258" s="163">
        <v>53.546999999999997</v>
      </c>
      <c r="EB258" s="163">
        <v>2.1024919099767916E-2</v>
      </c>
      <c r="EC258" s="163">
        <v>51.442</v>
      </c>
      <c r="ED258" s="163">
        <v>43.475000000000001</v>
      </c>
      <c r="EE258" s="163">
        <v>39.933999999999997</v>
      </c>
      <c r="EF258" s="163">
        <v>83.408999999999992</v>
      </c>
      <c r="EG258" s="163">
        <v>0.61177262665143883</v>
      </c>
    </row>
    <row r="259" spans="1:137" hidden="1">
      <c r="A259" s="157">
        <v>42156</v>
      </c>
      <c r="B259" s="163">
        <v>4549.1030000000001</v>
      </c>
      <c r="C259" s="163">
        <v>151.63676666666666</v>
      </c>
      <c r="D259" s="163">
        <v>9.1637666666666462</v>
      </c>
      <c r="E259" s="163">
        <v>6.4319321321700595E-2</v>
      </c>
      <c r="F259" s="163">
        <v>3380.13</v>
      </c>
      <c r="G259" s="163"/>
      <c r="H259" s="163"/>
      <c r="I259" s="163">
        <v>300.22500000000002</v>
      </c>
      <c r="J259" s="163">
        <v>44.581931866567984</v>
      </c>
      <c r="K259" s="163">
        <v>47.571351978620839</v>
      </c>
      <c r="L259" s="163">
        <v>2.135197862084226E-2</v>
      </c>
      <c r="M259" s="163">
        <v>226.65299999999999</v>
      </c>
      <c r="N259" s="163">
        <v>34.4</v>
      </c>
      <c r="O259" s="163">
        <v>1708.2860000000001</v>
      </c>
      <c r="P259" s="163">
        <v>1654.261</v>
      </c>
      <c r="Q259" s="163">
        <v>1027.2090000000001</v>
      </c>
      <c r="R259" s="163">
        <v>167.72399999999999</v>
      </c>
      <c r="S259" s="163">
        <v>459.32799999999997</v>
      </c>
      <c r="T259" s="163">
        <v>380.04599999999999</v>
      </c>
      <c r="U259" s="163">
        <v>460.38100000000009</v>
      </c>
      <c r="V259" s="163">
        <v>0.29250485728045672</v>
      </c>
      <c r="W259" s="163">
        <v>11.265645117290157</v>
      </c>
      <c r="X259" s="163">
        <v>-6.4354882709842798E-2</v>
      </c>
      <c r="Y259" s="163">
        <v>58.836997095910995</v>
      </c>
      <c r="Z259" s="163">
        <v>1499.818</v>
      </c>
      <c r="AA259" s="163">
        <v>1458.2819999999999</v>
      </c>
      <c r="AB259" s="163">
        <v>2.7694026875260905E-2</v>
      </c>
      <c r="AC259" s="163"/>
      <c r="AD259" s="163"/>
      <c r="AE259" s="163"/>
      <c r="AF259" s="163"/>
      <c r="AH259" s="163"/>
      <c r="AI259" s="163">
        <v>606.56600000000003</v>
      </c>
      <c r="AJ259" s="163">
        <v>20.218866666666667</v>
      </c>
      <c r="AK259" s="163">
        <v>443.42099999999999</v>
      </c>
      <c r="AL259" s="163">
        <v>61.106999999999999</v>
      </c>
      <c r="AM259" s="163">
        <v>43.862102392814627</v>
      </c>
      <c r="AN259" s="163">
        <v>-0.71982947375335726</v>
      </c>
      <c r="AO259" s="163">
        <v>229.96899999999999</v>
      </c>
      <c r="AP259" s="163">
        <v>260.32499999999999</v>
      </c>
      <c r="AQ259" s="163">
        <v>11.373980737463029</v>
      </c>
      <c r="AR259" s="163">
        <v>0.10833562017287157</v>
      </c>
      <c r="AS259" s="163">
        <v>55.236083130277656</v>
      </c>
      <c r="AT259" s="163">
        <v>1042.5050000000001</v>
      </c>
      <c r="AU259" s="163">
        <v>34.750166666666672</v>
      </c>
      <c r="AV259" s="163">
        <v>771.18399999999997</v>
      </c>
      <c r="AW259" s="163">
        <v>62.259</v>
      </c>
      <c r="AX259" s="163">
        <v>44.384477772288854</v>
      </c>
      <c r="AY259" s="163">
        <v>-0.19745409427913074</v>
      </c>
      <c r="AZ259" s="163">
        <v>384.00700000000001</v>
      </c>
      <c r="BA259" s="163">
        <v>176.66200000000001</v>
      </c>
      <c r="BB259" s="163">
        <v>11.050508151040042</v>
      </c>
      <c r="BC259" s="163">
        <v>-0.21513696625011569</v>
      </c>
      <c r="BD259" s="163">
        <v>55.434985923328895</v>
      </c>
      <c r="BE259" s="163">
        <v>1069.307</v>
      </c>
      <c r="BF259" s="163">
        <v>35.643566666666665</v>
      </c>
      <c r="BG259" s="163">
        <v>800.60900000000004</v>
      </c>
      <c r="BH259" s="163">
        <v>69.293999999999997</v>
      </c>
      <c r="BI259" s="163">
        <v>44.9230576438759</v>
      </c>
      <c r="BJ259" s="163">
        <v>0.34112577730791571</v>
      </c>
      <c r="BK259" s="163">
        <v>395.92700000000002</v>
      </c>
      <c r="BL259" s="163">
        <v>210.25800000000001</v>
      </c>
      <c r="BM259" s="163">
        <v>11.107951224484644</v>
      </c>
      <c r="BN259" s="163">
        <v>-0.15769389280551316</v>
      </c>
      <c r="BO259" s="163">
        <v>56.031008868360544</v>
      </c>
      <c r="BP259" s="163">
        <v>515.01099999999997</v>
      </c>
      <c r="BQ259" s="163">
        <v>17.167033333333332</v>
      </c>
      <c r="BR259" s="163">
        <v>391.59800000000001</v>
      </c>
      <c r="BS259" s="163">
        <v>21.242000000000001</v>
      </c>
      <c r="BT259" s="163">
        <v>45.62209350868234</v>
      </c>
      <c r="BU259" s="163">
        <v>1.0401616421143558</v>
      </c>
      <c r="BV259" s="163">
        <v>198.012</v>
      </c>
      <c r="BW259" s="163">
        <v>177.279</v>
      </c>
      <c r="BX259" s="163">
        <v>11.534433245115153</v>
      </c>
      <c r="BY259" s="163">
        <v>0.26878812782499573</v>
      </c>
      <c r="BZ259" s="163">
        <v>57.156526753797493</v>
      </c>
      <c r="CA259" s="163">
        <v>551.19000000000005</v>
      </c>
      <c r="CB259" s="163">
        <v>18.373000000000001</v>
      </c>
      <c r="CC259" s="163">
        <v>405.56099999999998</v>
      </c>
      <c r="CD259" s="163">
        <v>53.668999999999997</v>
      </c>
      <c r="CE259" s="163">
        <v>44.147499047515367</v>
      </c>
      <c r="CF259" s="163">
        <v>-0.43443281905261699</v>
      </c>
      <c r="CG259" s="163">
        <v>207.559</v>
      </c>
      <c r="CH259" s="163">
        <v>61.164999999999999</v>
      </c>
      <c r="CI259" s="163">
        <v>11.296957491971915</v>
      </c>
      <c r="CJ259" s="163">
        <v>3.1312374681757404E-2</v>
      </c>
      <c r="CK259" s="163">
        <v>55.444456539487284</v>
      </c>
      <c r="CL259" s="163">
        <v>764.524</v>
      </c>
      <c r="CM259" s="163">
        <v>25.484133333333332</v>
      </c>
      <c r="CN259" s="163">
        <v>567.75699999999995</v>
      </c>
      <c r="CO259" s="163">
        <v>32.654000000000003</v>
      </c>
      <c r="CP259" s="163">
        <v>44.557685566443958</v>
      </c>
      <c r="CQ259" s="163">
        <v>-2.4246300124026732E-2</v>
      </c>
      <c r="CR259" s="163">
        <v>292.81200000000001</v>
      </c>
      <c r="CS259" s="163">
        <v>141.52000000000001</v>
      </c>
      <c r="CT259" s="163">
        <v>11.489972845849183</v>
      </c>
      <c r="CU259" s="163">
        <v>0.22432772855902527</v>
      </c>
      <c r="CV259" s="163">
        <v>56.047658412293138</v>
      </c>
      <c r="CW259" s="163"/>
      <c r="CX259" s="163">
        <v>0</v>
      </c>
      <c r="CY259" s="163">
        <v>0</v>
      </c>
      <c r="CZ259" s="163">
        <v>0</v>
      </c>
      <c r="DA259" s="163">
        <v>0</v>
      </c>
      <c r="DB259" s="163">
        <v>0</v>
      </c>
      <c r="DC259" s="163">
        <v>0</v>
      </c>
      <c r="DD259" s="163"/>
      <c r="DE259" s="163">
        <v>102.28100000000001</v>
      </c>
      <c r="DF259" s="163">
        <v>58.947000000000003</v>
      </c>
      <c r="DG259" s="163"/>
      <c r="DH259" s="163">
        <v>0.57632404845474716</v>
      </c>
      <c r="DI259" s="163">
        <v>87.396000000000001</v>
      </c>
      <c r="DJ259" s="163">
        <v>0.42723477478710609</v>
      </c>
      <c r="DK259" s="163">
        <v>109.253</v>
      </c>
      <c r="DL259" s="163">
        <v>105.896</v>
      </c>
      <c r="DM259" s="163">
        <v>3.0726845029427102E-2</v>
      </c>
      <c r="DN259" s="163">
        <v>120.08499999999999</v>
      </c>
      <c r="DO259" s="163">
        <v>52.991</v>
      </c>
      <c r="DP259" s="163">
        <v>73.646000000000001</v>
      </c>
      <c r="DQ259" s="163">
        <v>126.637</v>
      </c>
      <c r="DR259" s="163">
        <v>1.0035588232418533</v>
      </c>
      <c r="DS259" s="163"/>
      <c r="DT259" s="163">
        <v>125.78700000000001</v>
      </c>
      <c r="DU259" s="163">
        <v>55.527999999999999</v>
      </c>
      <c r="DV259" s="163">
        <v>56.31</v>
      </c>
      <c r="DW259" s="163">
        <v>0.44144466439298174</v>
      </c>
      <c r="DX259" s="163">
        <v>38.970999999999997</v>
      </c>
      <c r="DY259" s="163">
        <v>0.15490869485717917</v>
      </c>
      <c r="DZ259" s="163">
        <v>49.09</v>
      </c>
      <c r="EA259" s="163">
        <v>48.704999999999998</v>
      </c>
      <c r="EB259" s="163">
        <v>7.8427378284784081E-3</v>
      </c>
      <c r="EC259" s="163">
        <v>55.722999999999999</v>
      </c>
      <c r="ED259" s="163"/>
      <c r="EE259" s="163">
        <v>43.661999999999999</v>
      </c>
      <c r="EF259" s="163">
        <v>43.661999999999999</v>
      </c>
      <c r="EG259" s="163">
        <v>0.59635335925016086</v>
      </c>
    </row>
    <row r="260" spans="1:137" hidden="1">
      <c r="A260" s="157">
        <v>42186</v>
      </c>
      <c r="B260" s="163">
        <v>4672.9210000000003</v>
      </c>
      <c r="C260" s="163">
        <v>155.76403333333334</v>
      </c>
      <c r="D260" s="163">
        <v>10.537033333333341</v>
      </c>
      <c r="E260" s="163">
        <v>7.2555608346473788E-2</v>
      </c>
      <c r="F260" s="163">
        <v>3468.95</v>
      </c>
      <c r="G260" s="163"/>
      <c r="H260" s="163"/>
      <c r="I260" s="163">
        <v>310.185</v>
      </c>
      <c r="J260" s="163">
        <v>44.541091107681893</v>
      </c>
      <c r="K260" s="163">
        <v>47.568593605584169</v>
      </c>
      <c r="L260" s="163">
        <v>6.8593605584169381E-2</v>
      </c>
      <c r="M260" s="163">
        <v>235.78800000000001</v>
      </c>
      <c r="N260" s="163">
        <v>36.698</v>
      </c>
      <c r="O260" s="163">
        <v>1738.0530000000001</v>
      </c>
      <c r="P260" s="163">
        <v>1671.075</v>
      </c>
      <c r="Q260" s="163">
        <v>1003.484</v>
      </c>
      <c r="R260" s="163">
        <v>149.785</v>
      </c>
      <c r="S260" s="163">
        <v>517.80600000000004</v>
      </c>
      <c r="T260" s="163">
        <v>354.71499999999997</v>
      </c>
      <c r="U260" s="163">
        <v>401.47800000000007</v>
      </c>
      <c r="V260" s="163">
        <v>0.24716803175744562</v>
      </c>
      <c r="W260" s="163">
        <v>11.158243419908018</v>
      </c>
      <c r="X260" s="163">
        <v>-8.1756580091981945E-2</v>
      </c>
      <c r="Y260" s="163">
        <v>58.726837025492188</v>
      </c>
      <c r="Z260" s="163">
        <v>1462.35</v>
      </c>
      <c r="AA260" s="163">
        <v>1425.963</v>
      </c>
      <c r="AB260" s="163">
        <v>2.4882552056621154E-2</v>
      </c>
      <c r="AC260" s="163"/>
      <c r="AD260" s="163"/>
      <c r="AE260" s="163"/>
      <c r="AF260" s="163"/>
      <c r="AH260" s="163"/>
      <c r="AI260" s="163">
        <v>553.00599999999997</v>
      </c>
      <c r="AJ260" s="163">
        <v>18.433533333333333</v>
      </c>
      <c r="AK260" s="163">
        <v>402.83199999999999</v>
      </c>
      <c r="AL260" s="163">
        <v>64.067999999999998</v>
      </c>
      <c r="AM260" s="163">
        <v>43.706433564916111</v>
      </c>
      <c r="AN260" s="163">
        <v>-0.83465754276578252</v>
      </c>
      <c r="AO260" s="163">
        <v>210.21799999999999</v>
      </c>
      <c r="AP260" s="163">
        <v>235.709</v>
      </c>
      <c r="AQ260" s="163">
        <v>11.404107731200023</v>
      </c>
      <c r="AR260" s="163">
        <v>0.2458643112920047</v>
      </c>
      <c r="AS260" s="163">
        <v>55.110541296116132</v>
      </c>
      <c r="AT260" s="163">
        <v>963.71299999999997</v>
      </c>
      <c r="AU260" s="163">
        <v>32.123766666666668</v>
      </c>
      <c r="AV260" s="163">
        <v>713.971</v>
      </c>
      <c r="AW260" s="163">
        <v>54.557000000000002</v>
      </c>
      <c r="AX260" s="163">
        <v>44.451262979746041</v>
      </c>
      <c r="AY260" s="163">
        <v>-8.982812793585282E-2</v>
      </c>
      <c r="AZ260" s="163">
        <v>355.83600000000001</v>
      </c>
      <c r="BA260" s="163">
        <v>159.745</v>
      </c>
      <c r="BB260" s="163">
        <v>11.077032269980792</v>
      </c>
      <c r="BC260" s="163">
        <v>-8.121114992722589E-2</v>
      </c>
      <c r="BD260" s="163">
        <v>55.528295249726831</v>
      </c>
      <c r="BE260" s="163">
        <v>1107.3820000000001</v>
      </c>
      <c r="BF260" s="163">
        <v>36.912733333333335</v>
      </c>
      <c r="BG260" s="163">
        <v>823.07500000000005</v>
      </c>
      <c r="BH260" s="163">
        <v>94.816999999999993</v>
      </c>
      <c r="BI260" s="163">
        <v>44.595722162722531</v>
      </c>
      <c r="BJ260" s="163">
        <v>5.4631055040637477E-2</v>
      </c>
      <c r="BK260" s="163">
        <v>405.28199999999998</v>
      </c>
      <c r="BL260" s="163">
        <v>193.37799999999999</v>
      </c>
      <c r="BM260" s="163">
        <v>10.979463274642354</v>
      </c>
      <c r="BN260" s="163">
        <v>-0.1787801452656641</v>
      </c>
      <c r="BO260" s="163">
        <v>55.575185437364887</v>
      </c>
      <c r="BP260" s="163">
        <v>662.72799999999995</v>
      </c>
      <c r="BQ260" s="163">
        <v>22.090933333333332</v>
      </c>
      <c r="BR260" s="163">
        <v>501.67500000000001</v>
      </c>
      <c r="BS260" s="163">
        <v>28.561</v>
      </c>
      <c r="BT260" s="163">
        <v>45.419085959850804</v>
      </c>
      <c r="BU260" s="163">
        <v>0.87799485216891071</v>
      </c>
      <c r="BV260" s="163">
        <v>244.417</v>
      </c>
      <c r="BW260" s="163">
        <v>185.60400000000001</v>
      </c>
      <c r="BX260" s="163">
        <v>11.06413189121329</v>
      </c>
      <c r="BY260" s="163">
        <v>-9.4111528694728719E-2</v>
      </c>
      <c r="BZ260" s="163">
        <v>56.483217851064097</v>
      </c>
      <c r="CA260" s="163">
        <v>607.36599999999999</v>
      </c>
      <c r="CB260" s="163">
        <v>20.245533333333334</v>
      </c>
      <c r="CC260" s="163">
        <v>445.67200000000003</v>
      </c>
      <c r="CD260" s="163">
        <v>45.137</v>
      </c>
      <c r="CE260" s="163">
        <v>44.026698893253823</v>
      </c>
      <c r="CF260" s="163">
        <v>-0.51439221442807082</v>
      </c>
      <c r="CG260" s="163">
        <v>228.21100000000001</v>
      </c>
      <c r="CH260" s="163">
        <v>77.866</v>
      </c>
      <c r="CI260" s="163">
        <v>11.272165382981596</v>
      </c>
      <c r="CJ260" s="163">
        <v>0.11392196307357771</v>
      </c>
      <c r="CK260" s="163">
        <v>55.29886427623542</v>
      </c>
      <c r="CL260" s="163">
        <v>778.726</v>
      </c>
      <c r="CM260" s="163">
        <v>25.957533333333334</v>
      </c>
      <c r="CN260" s="163">
        <v>581.72500000000002</v>
      </c>
      <c r="CO260" s="163">
        <v>23.045000000000002</v>
      </c>
      <c r="CP260" s="163">
        <v>44.821285021946103</v>
      </c>
      <c r="CQ260" s="163">
        <v>0.28019391426420981</v>
      </c>
      <c r="CR260" s="163">
        <v>294.089</v>
      </c>
      <c r="CS260" s="163">
        <v>151.18199999999999</v>
      </c>
      <c r="CT260" s="163">
        <v>11.329620431319873</v>
      </c>
      <c r="CU260" s="163">
        <v>0.17137701141185424</v>
      </c>
      <c r="CV260" s="163">
        <v>56.150905453265977</v>
      </c>
      <c r="CW260" s="163"/>
      <c r="CX260" s="163">
        <v>0</v>
      </c>
      <c r="CY260" s="163">
        <v>0</v>
      </c>
      <c r="CZ260" s="163">
        <v>0</v>
      </c>
      <c r="DA260" s="163">
        <v>0</v>
      </c>
      <c r="DB260" s="163">
        <v>0</v>
      </c>
      <c r="DC260" s="163">
        <v>0</v>
      </c>
      <c r="DD260" s="163"/>
      <c r="DE260" s="163">
        <v>159.24100000000001</v>
      </c>
      <c r="DF260" s="163">
        <v>90.983000000000004</v>
      </c>
      <c r="DG260" s="163">
        <v>37.070999999999998</v>
      </c>
      <c r="DH260" s="163">
        <v>0.57135411106436151</v>
      </c>
      <c r="DI260" s="163">
        <v>133.46199999999999</v>
      </c>
      <c r="DJ260" s="163">
        <v>0.41905664998335851</v>
      </c>
      <c r="DK260" s="163">
        <v>143.81800000000001</v>
      </c>
      <c r="DL260" s="163">
        <v>132.06899999999999</v>
      </c>
      <c r="DM260" s="163">
        <v>8.1693529321781852E-2</v>
      </c>
      <c r="DN260" s="163">
        <v>138.63800000000001</v>
      </c>
      <c r="DO260" s="163">
        <v>71.721000000000004</v>
      </c>
      <c r="DP260" s="163">
        <v>74.325000000000003</v>
      </c>
      <c r="DQ260" s="163">
        <v>146.04599999999999</v>
      </c>
      <c r="DR260" s="163">
        <v>0.99041076104771997</v>
      </c>
      <c r="DS260" s="163"/>
      <c r="DT260" s="163">
        <v>110.345</v>
      </c>
      <c r="DU260" s="163">
        <v>49.100999999999999</v>
      </c>
      <c r="DV260" s="163">
        <v>58.23</v>
      </c>
      <c r="DW260" s="163">
        <v>0.44497711722325434</v>
      </c>
      <c r="DX260" s="163">
        <v>33.034999999999997</v>
      </c>
      <c r="DY260" s="163">
        <v>0.14968960985998458</v>
      </c>
      <c r="DZ260" s="163">
        <v>52.009</v>
      </c>
      <c r="EA260" s="163">
        <v>51.578000000000003</v>
      </c>
      <c r="EB260" s="163">
        <v>8.2870272452844201E-3</v>
      </c>
      <c r="EC260" s="163">
        <v>59.45</v>
      </c>
      <c r="ED260" s="163"/>
      <c r="EE260" s="163">
        <v>36.572000000000003</v>
      </c>
      <c r="EF260" s="163">
        <v>36.572000000000003</v>
      </c>
      <c r="EG260" s="163">
        <v>0.59466672708323887</v>
      </c>
    </row>
    <row r="261" spans="1:137" hidden="1">
      <c r="A261" s="157">
        <v>42217</v>
      </c>
      <c r="B261" s="163">
        <v>4337.34</v>
      </c>
      <c r="C261" s="163">
        <v>144.578</v>
      </c>
      <c r="D261" s="163">
        <v>9.2740000000000009</v>
      </c>
      <c r="E261" s="163">
        <v>6.854194997930585E-2</v>
      </c>
      <c r="F261" s="163">
        <v>3193.2809999999999</v>
      </c>
      <c r="G261" s="163"/>
      <c r="H261" s="163"/>
      <c r="I261" s="163">
        <v>306.75700000000001</v>
      </c>
      <c r="J261" s="163">
        <v>44.173816209935119</v>
      </c>
      <c r="K261" s="163">
        <v>47.26378840487488</v>
      </c>
      <c r="L261" s="163">
        <v>-0.17621159512511753</v>
      </c>
      <c r="M261" s="163">
        <v>223.37100000000001</v>
      </c>
      <c r="N261" s="163">
        <v>32.479999999999997</v>
      </c>
      <c r="O261" s="163">
        <v>1626.655</v>
      </c>
      <c r="P261" s="163">
        <v>1630.31</v>
      </c>
      <c r="Q261" s="163">
        <v>904.92499999999995</v>
      </c>
      <c r="R261" s="163">
        <v>250.678</v>
      </c>
      <c r="S261" s="163">
        <v>474.70699999999999</v>
      </c>
      <c r="T261" s="163">
        <v>338.44600000000003</v>
      </c>
      <c r="U261" s="163">
        <v>488.58599999999979</v>
      </c>
      <c r="V261" s="163">
        <v>0.33008776018970787</v>
      </c>
      <c r="W261" s="163">
        <v>11.251054793952052</v>
      </c>
      <c r="X261" s="163">
        <v>-7.8945206047947636E-2</v>
      </c>
      <c r="Y261" s="163">
        <v>58.514843198826931</v>
      </c>
      <c r="Z261" s="163">
        <v>1437.8910000000001</v>
      </c>
      <c r="AA261" s="163">
        <v>1406.585</v>
      </c>
      <c r="AB261" s="163">
        <v>2.1772164927661441E-2</v>
      </c>
      <c r="AC261" s="163"/>
      <c r="AD261" s="163"/>
      <c r="AE261" s="163"/>
      <c r="AF261" s="163"/>
      <c r="AH261" s="163"/>
      <c r="AI261" s="163">
        <v>592.78200000000004</v>
      </c>
      <c r="AJ261" s="163">
        <v>19.759400000000003</v>
      </c>
      <c r="AK261" s="163">
        <v>437.56900000000002</v>
      </c>
      <c r="AL261" s="163">
        <v>57.546999999999997</v>
      </c>
      <c r="AM261" s="163">
        <v>44.289705152990472</v>
      </c>
      <c r="AN261" s="163">
        <v>0.11588894305535291</v>
      </c>
      <c r="AO261" s="163">
        <v>229.56399999999999</v>
      </c>
      <c r="AP261" s="163">
        <v>186.815</v>
      </c>
      <c r="AQ261" s="163">
        <v>11.617964108221907</v>
      </c>
      <c r="AR261" s="163">
        <v>0.36690931426985429</v>
      </c>
      <c r="AS261" s="163">
        <v>55.907669261212376</v>
      </c>
      <c r="AT261" s="163">
        <v>924.77099999999996</v>
      </c>
      <c r="AU261" s="163">
        <v>30.825699999999998</v>
      </c>
      <c r="AV261" s="163">
        <v>679.92200000000003</v>
      </c>
      <c r="AW261" s="163">
        <v>46.941000000000003</v>
      </c>
      <c r="AX261" s="163">
        <v>44.11396983685691</v>
      </c>
      <c r="AY261" s="163">
        <v>-5.9846373078208615E-2</v>
      </c>
      <c r="AZ261" s="163">
        <v>343.82499999999999</v>
      </c>
      <c r="BA261" s="163">
        <v>148.11099999999999</v>
      </c>
      <c r="BB261" s="163">
        <v>11.153842410715734</v>
      </c>
      <c r="BC261" s="163">
        <v>-9.721238323631809E-2</v>
      </c>
      <c r="BD261" s="163">
        <v>55.267812247572643</v>
      </c>
      <c r="BE261" s="163">
        <v>967.98500000000001</v>
      </c>
      <c r="BF261" s="163">
        <v>32.26616666666667</v>
      </c>
      <c r="BG261" s="163">
        <v>716.41499999999996</v>
      </c>
      <c r="BH261" s="163">
        <v>78.902000000000001</v>
      </c>
      <c r="BI261" s="163">
        <v>44.406576548190309</v>
      </c>
      <c r="BJ261" s="163">
        <v>0.23276033825518994</v>
      </c>
      <c r="BK261" s="163">
        <v>356.274</v>
      </c>
      <c r="BL261" s="163">
        <v>242.941</v>
      </c>
      <c r="BM261" s="163">
        <v>11.041720687820574</v>
      </c>
      <c r="BN261" s="163">
        <v>-0.20933410613147885</v>
      </c>
      <c r="BO261" s="163">
        <v>55.44829723601088</v>
      </c>
      <c r="BP261" s="163">
        <v>644.55100000000004</v>
      </c>
      <c r="BQ261" s="163">
        <v>21.485033333333334</v>
      </c>
      <c r="BR261" s="163">
        <v>477.62700000000001</v>
      </c>
      <c r="BS261" s="163">
        <v>31.861999999999998</v>
      </c>
      <c r="BT261" s="163">
        <v>44.461369232225223</v>
      </c>
      <c r="BU261" s="163">
        <v>0.28755302229010482</v>
      </c>
      <c r="BV261" s="163">
        <v>240.608</v>
      </c>
      <c r="BW261" s="163">
        <v>193.97300000000001</v>
      </c>
      <c r="BX261" s="163">
        <v>11.198865566882994</v>
      </c>
      <c r="BY261" s="163">
        <v>-5.218922706905893E-2</v>
      </c>
      <c r="BZ261" s="163">
        <v>55.660234799108217</v>
      </c>
      <c r="CA261" s="163">
        <v>535.20699999999999</v>
      </c>
      <c r="CB261" s="163">
        <v>17.840233333333334</v>
      </c>
      <c r="CC261" s="163">
        <v>390.476</v>
      </c>
      <c r="CD261" s="163">
        <v>42.426000000000002</v>
      </c>
      <c r="CE261" s="163">
        <v>43.774763782984898</v>
      </c>
      <c r="CF261" s="163">
        <v>-0.39905242695022025</v>
      </c>
      <c r="CG261" s="163">
        <v>200.66300000000001</v>
      </c>
      <c r="CH261" s="163">
        <v>43.887</v>
      </c>
      <c r="CI261" s="163">
        <v>11.247778896763309</v>
      </c>
      <c r="CJ261" s="163">
        <v>-3.2758971887432153E-3</v>
      </c>
      <c r="CK261" s="163">
        <v>55.022542679748206</v>
      </c>
      <c r="CL261" s="163">
        <v>672.04399999999998</v>
      </c>
      <c r="CM261" s="163">
        <v>22.401466666666668</v>
      </c>
      <c r="CN261" s="163">
        <v>491.27199999999999</v>
      </c>
      <c r="CO261" s="163">
        <v>49.079000000000001</v>
      </c>
      <c r="CP261" s="163">
        <v>43.860699597050193</v>
      </c>
      <c r="CQ261" s="163">
        <v>-0.31311661288492587</v>
      </c>
      <c r="CR261" s="163">
        <v>255.721</v>
      </c>
      <c r="CS261" s="163">
        <v>89.197999999999993</v>
      </c>
      <c r="CT261" s="163">
        <v>11.415368636577366</v>
      </c>
      <c r="CU261" s="163">
        <v>0.16431384262531346</v>
      </c>
      <c r="CV261" s="163">
        <v>55.276068233627555</v>
      </c>
      <c r="CW261" s="163"/>
      <c r="CX261" s="163">
        <v>0</v>
      </c>
      <c r="CY261" s="163">
        <v>0</v>
      </c>
      <c r="CZ261" s="163">
        <v>0</v>
      </c>
      <c r="DA261" s="163">
        <v>0</v>
      </c>
      <c r="DB261" s="163">
        <v>0</v>
      </c>
      <c r="DC261" s="163">
        <v>0</v>
      </c>
      <c r="DD261" s="163"/>
      <c r="DE261" s="163">
        <v>145.328</v>
      </c>
      <c r="DF261" s="163">
        <v>80.766000000000005</v>
      </c>
      <c r="DG261" s="163"/>
      <c r="DH261" s="163">
        <v>0.55574975228448753</v>
      </c>
      <c r="DI261" s="163">
        <v>118.497</v>
      </c>
      <c r="DJ261" s="163">
        <v>0.40768812616976768</v>
      </c>
      <c r="DK261" s="163">
        <v>130.97399999999999</v>
      </c>
      <c r="DL261" s="163">
        <v>127.34099999999999</v>
      </c>
      <c r="DM261" s="163">
        <v>2.7738329744834821E-2</v>
      </c>
      <c r="DN261" s="163">
        <v>131.203</v>
      </c>
      <c r="DO261" s="163">
        <v>69.097999999999999</v>
      </c>
      <c r="DP261" s="163">
        <v>83.533000000000001</v>
      </c>
      <c r="DQ261" s="163">
        <v>152.631</v>
      </c>
      <c r="DR261" s="163">
        <v>0.96343787845425521</v>
      </c>
      <c r="DS261" s="163"/>
      <c r="DT261" s="163">
        <v>97.738</v>
      </c>
      <c r="DU261" s="163">
        <v>45.387809999999995</v>
      </c>
      <c r="DV261" s="163">
        <v>46.45</v>
      </c>
      <c r="DW261" s="163">
        <v>0.46438243057971307</v>
      </c>
      <c r="DX261" s="163">
        <v>29.271000000000001</v>
      </c>
      <c r="DY261" s="163">
        <v>0.14974216783646074</v>
      </c>
      <c r="DZ261" s="163">
        <v>45.192</v>
      </c>
      <c r="EA261" s="163">
        <v>43.886000000000003</v>
      </c>
      <c r="EB261" s="163">
        <v>2.8898920162860626E-2</v>
      </c>
      <c r="EC261" s="163">
        <v>43.475999999999999</v>
      </c>
      <c r="ED261" s="163"/>
      <c r="EE261" s="163">
        <v>36.457999999999998</v>
      </c>
      <c r="EF261" s="163">
        <v>36.457999999999998</v>
      </c>
      <c r="EG261" s="163">
        <v>0.61412459841617384</v>
      </c>
    </row>
    <row r="262" spans="1:137" hidden="1">
      <c r="A262" s="157">
        <v>42248</v>
      </c>
      <c r="B262" s="163">
        <v>4036.8960000000002</v>
      </c>
      <c r="C262" s="163">
        <v>134.56319999999999</v>
      </c>
      <c r="D262" s="163">
        <v>7.8592000000000013</v>
      </c>
      <c r="E262" s="163">
        <v>6.2028033842656871E-2</v>
      </c>
      <c r="F262" s="163">
        <v>2974.1590000000001</v>
      </c>
      <c r="G262" s="163"/>
      <c r="H262" s="163"/>
      <c r="I262" s="163">
        <v>240.755</v>
      </c>
      <c r="J262" s="163">
        <v>44.204641387838578</v>
      </c>
      <c r="K262" s="163">
        <v>47.191996028631905</v>
      </c>
      <c r="L262" s="163">
        <v>-0.11800397136809693</v>
      </c>
      <c r="M262" s="163">
        <v>200.994</v>
      </c>
      <c r="N262" s="163">
        <v>19.709</v>
      </c>
      <c r="O262" s="163">
        <v>1531.2819999999999</v>
      </c>
      <c r="P262" s="163">
        <v>1481.201</v>
      </c>
      <c r="Q262" s="163">
        <v>736.75400000000002</v>
      </c>
      <c r="R262" s="163">
        <v>275.56099999999998</v>
      </c>
      <c r="S262" s="163">
        <v>468.88600000000002</v>
      </c>
      <c r="T262" s="163">
        <v>338.43299999999999</v>
      </c>
      <c r="U262" s="163">
        <v>464.93200000000002</v>
      </c>
      <c r="V262" s="163">
        <v>0.34319872562379028</v>
      </c>
      <c r="W262" s="163">
        <v>11.379649116548952</v>
      </c>
      <c r="X262" s="163">
        <v>-7.0350883451046897E-2</v>
      </c>
      <c r="Y262" s="163">
        <v>58.57164514518086</v>
      </c>
      <c r="Z262" s="163">
        <v>1435.64</v>
      </c>
      <c r="AA262" s="163">
        <v>1396.1010000000001</v>
      </c>
      <c r="AB262" s="163">
        <v>2.7541026998411846E-2</v>
      </c>
      <c r="AC262" s="163"/>
      <c r="AD262" s="163"/>
      <c r="AE262" s="163"/>
      <c r="AF262" s="163"/>
      <c r="AH262" s="163"/>
      <c r="AI262" s="163">
        <v>484.41899999999998</v>
      </c>
      <c r="AJ262" s="163">
        <v>16.147299999999998</v>
      </c>
      <c r="AK262" s="163">
        <v>355.56</v>
      </c>
      <c r="AL262" s="163">
        <v>44.164999999999999</v>
      </c>
      <c r="AM262" s="163">
        <v>44.039560793445354</v>
      </c>
      <c r="AN262" s="163">
        <v>-0.16508059439322409</v>
      </c>
      <c r="AO262" s="163">
        <v>187.14599999999999</v>
      </c>
      <c r="AP262" s="163">
        <v>164.881</v>
      </c>
      <c r="AQ262" s="163">
        <v>11.589925250661102</v>
      </c>
      <c r="AR262" s="163">
        <v>0.21027613411214929</v>
      </c>
      <c r="AS262" s="163">
        <v>55.629486044106457</v>
      </c>
      <c r="AT262" s="163">
        <v>875.19200000000001</v>
      </c>
      <c r="AU262" s="163">
        <v>29.173066666666667</v>
      </c>
      <c r="AV262" s="163">
        <v>649.41300000000001</v>
      </c>
      <c r="AW262" s="163">
        <v>42.034999999999997</v>
      </c>
      <c r="AX262" s="163">
        <v>44.521407873929377</v>
      </c>
      <c r="AY262" s="163">
        <v>0.31676648609079905</v>
      </c>
      <c r="AZ262" s="163">
        <v>327.50299999999999</v>
      </c>
      <c r="BA262" s="163">
        <v>103.783</v>
      </c>
      <c r="BB262" s="163">
        <v>11.226210934286419</v>
      </c>
      <c r="BC262" s="163">
        <v>-0.15343818226253347</v>
      </c>
      <c r="BD262" s="163">
        <v>55.747618808215798</v>
      </c>
      <c r="BE262" s="163">
        <v>1016.5940000000001</v>
      </c>
      <c r="BF262" s="163">
        <v>33.886466666666671</v>
      </c>
      <c r="BG262" s="163">
        <v>746.86400000000003</v>
      </c>
      <c r="BH262" s="163">
        <v>53.216999999999999</v>
      </c>
      <c r="BI262" s="163">
        <v>44.08037033466654</v>
      </c>
      <c r="BJ262" s="163">
        <v>-0.12427105317203768</v>
      </c>
      <c r="BK262" s="163">
        <v>381.5</v>
      </c>
      <c r="BL262" s="163">
        <v>175.137</v>
      </c>
      <c r="BM262" s="163">
        <v>11.258181732333654</v>
      </c>
      <c r="BN262" s="163">
        <v>-0.12146738421529868</v>
      </c>
      <c r="BO262" s="163">
        <v>55.338552067000194</v>
      </c>
      <c r="BP262" s="163">
        <v>591.07799999999997</v>
      </c>
      <c r="BQ262" s="163">
        <v>19.7026</v>
      </c>
      <c r="BR262" s="163">
        <v>441.51100000000002</v>
      </c>
      <c r="BS262" s="163">
        <v>26.602</v>
      </c>
      <c r="BT262" s="163">
        <v>44.817536771796618</v>
      </c>
      <c r="BU262" s="163">
        <v>0.61289538395804044</v>
      </c>
      <c r="BV262" s="163">
        <v>223.88300000000001</v>
      </c>
      <c r="BW262" s="163">
        <v>176.77199999999999</v>
      </c>
      <c r="BX262" s="163">
        <v>11.363119588277689</v>
      </c>
      <c r="BY262" s="163">
        <v>-1.6529528271263416E-2</v>
      </c>
      <c r="BZ262" s="163">
        <v>56.180656360074309</v>
      </c>
      <c r="CA262" s="163">
        <v>509.67200000000003</v>
      </c>
      <c r="CB262" s="163">
        <v>16.989066666666666</v>
      </c>
      <c r="CC262" s="163">
        <v>366.87400000000002</v>
      </c>
      <c r="CD262" s="163">
        <v>38.902000000000001</v>
      </c>
      <c r="CE262" s="163">
        <v>43.18942378627824</v>
      </c>
      <c r="CF262" s="163">
        <v>-1.0152176015603374</v>
      </c>
      <c r="CG262" s="163">
        <v>198.91399999999999</v>
      </c>
      <c r="CH262" s="163">
        <v>49.694000000000003</v>
      </c>
      <c r="CI262" s="163">
        <v>11.708353607810514</v>
      </c>
      <c r="CJ262" s="163">
        <v>0.32870449126156132</v>
      </c>
      <c r="CK262" s="163">
        <v>54.897777394088756</v>
      </c>
      <c r="CL262" s="163">
        <v>559.94100000000003</v>
      </c>
      <c r="CM262" s="163">
        <v>18.6647</v>
      </c>
      <c r="CN262" s="163">
        <v>413.93700000000001</v>
      </c>
      <c r="CO262" s="163">
        <v>35.834000000000003</v>
      </c>
      <c r="CP262" s="163">
        <v>44.355065980165769</v>
      </c>
      <c r="CQ262" s="163">
        <v>0.15042459232719096</v>
      </c>
      <c r="CR262" s="163">
        <v>212.33600000000001</v>
      </c>
      <c r="CS262" s="163">
        <v>66.486999999999995</v>
      </c>
      <c r="CT262" s="163">
        <v>11.376341435972719</v>
      </c>
      <c r="CU262" s="163">
        <v>-3.3076805762330963E-3</v>
      </c>
      <c r="CV262" s="163">
        <v>55.731407416138488</v>
      </c>
      <c r="CW262" s="163"/>
      <c r="CX262" s="163">
        <v>0</v>
      </c>
      <c r="CY262" s="163">
        <v>0</v>
      </c>
      <c r="CZ262" s="163">
        <v>0</v>
      </c>
      <c r="DA262" s="163">
        <v>0</v>
      </c>
      <c r="DB262" s="163">
        <v>0</v>
      </c>
      <c r="DC262" s="163">
        <v>0</v>
      </c>
      <c r="DD262" s="163"/>
      <c r="DE262" s="163">
        <v>184.589</v>
      </c>
      <c r="DF262" s="163">
        <v>101.721</v>
      </c>
      <c r="DG262" s="163"/>
      <c r="DH262" s="163">
        <v>0.55106750673117033</v>
      </c>
      <c r="DI262" s="163">
        <v>155.30600000000001</v>
      </c>
      <c r="DJ262" s="163">
        <v>0.42068053892702167</v>
      </c>
      <c r="DK262" s="163">
        <v>139.708</v>
      </c>
      <c r="DL262" s="163">
        <v>132.27699999999999</v>
      </c>
      <c r="DM262" s="163">
        <v>5.3189509548486925E-2</v>
      </c>
      <c r="DN262" s="163">
        <v>155.167</v>
      </c>
      <c r="DO262" s="163"/>
      <c r="DP262" s="163">
        <v>67.245000000000005</v>
      </c>
      <c r="DQ262" s="163">
        <v>67.245000000000005</v>
      </c>
      <c r="DR262" s="163">
        <v>0.97174804565819195</v>
      </c>
      <c r="DS262" s="163"/>
      <c r="DT262" s="163">
        <v>116.505</v>
      </c>
      <c r="DU262" s="163">
        <v>54.484999999999999</v>
      </c>
      <c r="DV262" s="163">
        <v>42.316000000000003</v>
      </c>
      <c r="DW262" s="163">
        <v>0.46766233208875158</v>
      </c>
      <c r="DX262" s="163">
        <v>36.021000000000001</v>
      </c>
      <c r="DY262" s="163">
        <v>0.15458993176258531</v>
      </c>
      <c r="DZ262" s="163">
        <v>49.427</v>
      </c>
      <c r="EA262" s="163">
        <v>47.255000000000003</v>
      </c>
      <c r="EB262" s="163">
        <v>4.3943593582454872E-2</v>
      </c>
      <c r="EC262" s="163">
        <v>39.487000000000002</v>
      </c>
      <c r="ED262" s="163"/>
      <c r="EE262" s="163">
        <v>48.634999999999998</v>
      </c>
      <c r="EF262" s="163">
        <v>48.634999999999998</v>
      </c>
      <c r="EG262" s="163">
        <v>0.62225226385133692</v>
      </c>
    </row>
    <row r="263" spans="1:137" hidden="1">
      <c r="A263" s="157">
        <v>42278</v>
      </c>
      <c r="B263" s="163">
        <v>5104.01</v>
      </c>
      <c r="C263" s="163">
        <v>170.13366666666667</v>
      </c>
      <c r="D263" s="163">
        <v>11.23866666666666</v>
      </c>
      <c r="E263" s="163">
        <v>7.0730146742607802E-2</v>
      </c>
      <c r="F263" s="163">
        <v>3742.4119999999998</v>
      </c>
      <c r="G263" s="163"/>
      <c r="H263" s="163"/>
      <c r="I263" s="163">
        <v>360.25299999999999</v>
      </c>
      <c r="J263" s="163">
        <v>43.993785278633858</v>
      </c>
      <c r="K263" s="163">
        <v>47.037380412655928</v>
      </c>
      <c r="L263" s="163">
        <v>8.7380412655924999E-2</v>
      </c>
      <c r="M263" s="163">
        <v>258.90899999999999</v>
      </c>
      <c r="N263" s="163">
        <v>33.515000000000001</v>
      </c>
      <c r="O263" s="163">
        <v>1962.9369999999999</v>
      </c>
      <c r="P263" s="163">
        <v>1569.8610000000001</v>
      </c>
      <c r="Q263" s="163">
        <v>747.77</v>
      </c>
      <c r="R263" s="163">
        <v>270.00200000000001</v>
      </c>
      <c r="S263" s="163">
        <v>552.08900000000006</v>
      </c>
      <c r="T263" s="163">
        <v>370.50799999999998</v>
      </c>
      <c r="U263" s="163">
        <v>532.55400000000009</v>
      </c>
      <c r="V263" s="163">
        <v>0.37828407851883949</v>
      </c>
      <c r="W263" s="163">
        <v>11.537616501535068</v>
      </c>
      <c r="X263" s="163">
        <v>-6.2383498464932075E-2</v>
      </c>
      <c r="Y263" s="163">
        <v>58.574996914190997</v>
      </c>
      <c r="Z263" s="163">
        <v>1610.904</v>
      </c>
      <c r="AA263" s="163">
        <v>1575.91</v>
      </c>
      <c r="AB263" s="163">
        <v>2.1723206348733329E-2</v>
      </c>
      <c r="AC263" s="163"/>
      <c r="AD263" s="163"/>
      <c r="AE263" s="163"/>
      <c r="AF263" s="163"/>
      <c r="AH263" s="163"/>
      <c r="AI263" s="163">
        <v>555.93100000000004</v>
      </c>
      <c r="AJ263" s="163">
        <v>18.531033333333333</v>
      </c>
      <c r="AK263" s="163">
        <v>398.012</v>
      </c>
      <c r="AL263" s="163">
        <v>51.287999999999997</v>
      </c>
      <c r="AM263" s="163">
        <v>42.95626615533223</v>
      </c>
      <c r="AN263" s="163">
        <v>-1.0375191233016281</v>
      </c>
      <c r="AO263" s="163">
        <v>215.17099999999999</v>
      </c>
      <c r="AP263" s="163">
        <v>83.245999999999995</v>
      </c>
      <c r="AQ263" s="163">
        <v>11.611387024648742</v>
      </c>
      <c r="AR263" s="163">
        <v>7.3770523113674713E-2</v>
      </c>
      <c r="AS263" s="163">
        <v>54.567653179980972</v>
      </c>
      <c r="AT263" s="163">
        <v>1085.673</v>
      </c>
      <c r="AU263" s="163">
        <v>36.189100000000003</v>
      </c>
      <c r="AV263" s="163">
        <v>797.40800000000002</v>
      </c>
      <c r="AW263" s="163">
        <v>69.454999999999998</v>
      </c>
      <c r="AX263" s="163">
        <v>44.068959990715435</v>
      </c>
      <c r="AY263" s="163">
        <v>7.5174712081576445E-2</v>
      </c>
      <c r="AZ263" s="163">
        <v>414.23700000000002</v>
      </c>
      <c r="BA263" s="163">
        <v>109.952</v>
      </c>
      <c r="BB263" s="163">
        <v>11.446457635033752</v>
      </c>
      <c r="BC263" s="163">
        <v>-9.1158866501315217E-2</v>
      </c>
      <c r="BD263" s="163">
        <v>55.515417625749187</v>
      </c>
      <c r="BE263" s="163">
        <v>1251.1969999999999</v>
      </c>
      <c r="BF263" s="163">
        <v>41.70656666666666</v>
      </c>
      <c r="BG263" s="163">
        <v>917.68700000000001</v>
      </c>
      <c r="BH263" s="163">
        <v>95.335999999999999</v>
      </c>
      <c r="BI263" s="163">
        <v>44.006835054751576</v>
      </c>
      <c r="BJ263" s="163">
        <v>1.3049776117718181E-2</v>
      </c>
      <c r="BK263" s="163">
        <v>478.7</v>
      </c>
      <c r="BL263" s="163">
        <v>232.422</v>
      </c>
      <c r="BM263" s="163">
        <v>11.477808850245006</v>
      </c>
      <c r="BN263" s="163">
        <v>-5.9807651290061159E-2</v>
      </c>
      <c r="BO263" s="163">
        <v>55.484643904996581</v>
      </c>
      <c r="BP263" s="163">
        <v>745.49699999999996</v>
      </c>
      <c r="BQ263" s="163">
        <v>24.849899999999998</v>
      </c>
      <c r="BR263" s="163">
        <v>556.66700000000003</v>
      </c>
      <c r="BS263" s="163">
        <v>31.603000000000002</v>
      </c>
      <c r="BT263" s="163">
        <v>44.802353329389661</v>
      </c>
      <c r="BU263" s="163">
        <v>0.8085680507558024</v>
      </c>
      <c r="BV263" s="163">
        <v>288.65499999999997</v>
      </c>
      <c r="BW263" s="163">
        <v>191.80600000000001</v>
      </c>
      <c r="BX263" s="163">
        <v>11.61594211646727</v>
      </c>
      <c r="BY263" s="163">
        <v>7.832561493220247E-2</v>
      </c>
      <c r="BZ263" s="163">
        <v>56.418295445856927</v>
      </c>
      <c r="CA263" s="163">
        <v>656.45</v>
      </c>
      <c r="CB263" s="163">
        <v>21.881666666666668</v>
      </c>
      <c r="CC263" s="163">
        <v>477.89800000000002</v>
      </c>
      <c r="CD263" s="163">
        <v>66.478999999999999</v>
      </c>
      <c r="CE263" s="163">
        <v>43.680219361718336</v>
      </c>
      <c r="CF263" s="163">
        <v>-0.31356591691552183</v>
      </c>
      <c r="CG263" s="163">
        <v>255.68199999999999</v>
      </c>
      <c r="CH263" s="163">
        <v>64.052000000000007</v>
      </c>
      <c r="CI263" s="163">
        <v>11.684758930611622</v>
      </c>
      <c r="CJ263" s="163">
        <v>0.14714242907655439</v>
      </c>
      <c r="CK263" s="163">
        <v>55.364978292329958</v>
      </c>
      <c r="CL263" s="163">
        <v>809.26199999999994</v>
      </c>
      <c r="CM263" s="163">
        <v>26.975399999999997</v>
      </c>
      <c r="CN263" s="163">
        <v>594.74</v>
      </c>
      <c r="CO263" s="163">
        <v>46.091999999999999</v>
      </c>
      <c r="CP263" s="163">
        <v>44.094990250376277</v>
      </c>
      <c r="CQ263" s="163">
        <v>0.10120497174241905</v>
      </c>
      <c r="CR263" s="163">
        <v>310.49200000000002</v>
      </c>
      <c r="CS263" s="163">
        <v>66.292000000000002</v>
      </c>
      <c r="CT263" s="163">
        <v>11.510190766401983</v>
      </c>
      <c r="CU263" s="163">
        <v>-2.7425735133084217E-2</v>
      </c>
      <c r="CV263" s="163">
        <v>55.605181016778261</v>
      </c>
      <c r="CW263" s="163"/>
      <c r="CX263" s="163">
        <v>0</v>
      </c>
      <c r="CY263" s="163">
        <v>0</v>
      </c>
      <c r="CZ263" s="163">
        <v>0</v>
      </c>
      <c r="DA263" s="163">
        <v>0</v>
      </c>
      <c r="DB263" s="163">
        <v>0</v>
      </c>
      <c r="DC263" s="163">
        <v>0</v>
      </c>
      <c r="DD263" s="163"/>
      <c r="DE263" s="163">
        <v>99.117000000000004</v>
      </c>
      <c r="DF263" s="163">
        <v>55.587000000000003</v>
      </c>
      <c r="DG263" s="163"/>
      <c r="DH263" s="163">
        <v>0.5608220587790187</v>
      </c>
      <c r="DI263" s="163">
        <v>81.605999999999995</v>
      </c>
      <c r="DJ263" s="163">
        <v>0.41166500196737182</v>
      </c>
      <c r="DK263" s="163">
        <v>85.388999999999996</v>
      </c>
      <c r="DL263" s="163">
        <v>82.822000000000003</v>
      </c>
      <c r="DM263" s="163">
        <v>3.0062420218060795E-2</v>
      </c>
      <c r="DN263" s="163">
        <v>86.736000000000004</v>
      </c>
      <c r="DO263" s="163"/>
      <c r="DP263" s="163">
        <v>57.348999999999997</v>
      </c>
      <c r="DQ263" s="163">
        <v>57.348999999999997</v>
      </c>
      <c r="DR263" s="163">
        <v>0.97248706074639046</v>
      </c>
      <c r="DS263" s="163"/>
      <c r="DT263" s="163">
        <v>123.06</v>
      </c>
      <c r="DU263" s="163">
        <v>58.555999999999997</v>
      </c>
      <c r="DV263" s="163">
        <v>44.835999999999999</v>
      </c>
      <c r="DW263" s="163">
        <v>0.47583292702746627</v>
      </c>
      <c r="DX263" s="163">
        <v>37.719000000000001</v>
      </c>
      <c r="DY263" s="163">
        <v>0.15325450999512433</v>
      </c>
      <c r="DZ263" s="163">
        <v>50.383000000000003</v>
      </c>
      <c r="EA263" s="163">
        <v>48.555999999999997</v>
      </c>
      <c r="EB263" s="163">
        <v>3.6262231308179446E-2</v>
      </c>
      <c r="EC263" s="163">
        <v>50.838999999999999</v>
      </c>
      <c r="ED263" s="163"/>
      <c r="EE263" s="163">
        <v>46.67</v>
      </c>
      <c r="EF263" s="163">
        <v>46.67</v>
      </c>
      <c r="EG263" s="163">
        <v>0.62908743702259062</v>
      </c>
    </row>
    <row r="264" spans="1:137" hidden="1">
      <c r="A264" s="157">
        <v>42309</v>
      </c>
      <c r="B264" s="163">
        <v>4973.5339999999997</v>
      </c>
      <c r="C264" s="163">
        <v>165.78446666666665</v>
      </c>
      <c r="D264" s="163">
        <v>9.6504666666666594</v>
      </c>
      <c r="E264" s="163">
        <v>6.180887357440823E-2</v>
      </c>
      <c r="F264" s="163">
        <v>3655.75</v>
      </c>
      <c r="G264" s="163"/>
      <c r="H264" s="163"/>
      <c r="I264" s="163">
        <v>342.96199999999999</v>
      </c>
      <c r="J264" s="163">
        <v>44.102443051560527</v>
      </c>
      <c r="K264" s="163">
        <v>47.142112630576172</v>
      </c>
      <c r="L264" s="163">
        <v>-0.10788736942382826</v>
      </c>
      <c r="M264" s="163">
        <v>251.965</v>
      </c>
      <c r="N264" s="163">
        <v>38.826000000000001</v>
      </c>
      <c r="O264" s="163">
        <v>1901.8530000000001</v>
      </c>
      <c r="P264" s="163">
        <v>1545.181</v>
      </c>
      <c r="Q264" s="163">
        <v>750.72500000000002</v>
      </c>
      <c r="R264" s="163">
        <v>267.04899999999998</v>
      </c>
      <c r="S264" s="163">
        <v>527.40700000000004</v>
      </c>
      <c r="T264" s="163">
        <v>420.67700000000002</v>
      </c>
      <c r="U264" s="163">
        <v>488.86900000000014</v>
      </c>
      <c r="V264" s="163">
        <v>0.33099027819435367</v>
      </c>
      <c r="W264" s="163">
        <v>11.471840747444375</v>
      </c>
      <c r="X264" s="163">
        <v>-6.815925255562405E-2</v>
      </c>
      <c r="Y264" s="163">
        <v>58.613953378020547</v>
      </c>
      <c r="Z264" s="163">
        <v>1461.9649999999999</v>
      </c>
      <c r="AA264" s="163">
        <v>1433.4490000000001</v>
      </c>
      <c r="AB264" s="163">
        <v>1.9505254913763224E-2</v>
      </c>
      <c r="AC264" s="163"/>
      <c r="AD264" s="163"/>
      <c r="AE264" s="163"/>
      <c r="AF264" s="163"/>
      <c r="AH264" s="163"/>
      <c r="AI264" s="163">
        <v>580.13400000000001</v>
      </c>
      <c r="AJ264" s="163">
        <v>19.337800000000001</v>
      </c>
      <c r="AK264" s="163">
        <v>418.04300000000001</v>
      </c>
      <c r="AL264" s="163">
        <v>79.992999999999995</v>
      </c>
      <c r="AM264" s="163">
        <v>43.235838616595473</v>
      </c>
      <c r="AN264" s="163">
        <v>-0.86660443496505479</v>
      </c>
      <c r="AO264" s="163">
        <v>224.71700000000001</v>
      </c>
      <c r="AP264" s="163">
        <v>87.394999999999996</v>
      </c>
      <c r="AQ264" s="163">
        <v>11.620608342210593</v>
      </c>
      <c r="AR264" s="163">
        <v>0.14876759476621793</v>
      </c>
      <c r="AS264" s="163">
        <v>54.856446958806067</v>
      </c>
      <c r="AT264" s="163">
        <v>1117.3489999999999</v>
      </c>
      <c r="AU264" s="163">
        <v>37.244966666666663</v>
      </c>
      <c r="AV264" s="163">
        <v>835.46500000000003</v>
      </c>
      <c r="AW264" s="163">
        <v>64.965000000000003</v>
      </c>
      <c r="AX264" s="163">
        <v>44.863243265980465</v>
      </c>
      <c r="AY264" s="163">
        <v>0.7608002144199375</v>
      </c>
      <c r="AZ264" s="163">
        <v>424.93799999999999</v>
      </c>
      <c r="BA264" s="163">
        <v>134.65899999999999</v>
      </c>
      <c r="BB264" s="163">
        <v>11.409273199331633</v>
      </c>
      <c r="BC264" s="163">
        <v>-6.2567548112742344E-2</v>
      </c>
      <c r="BD264" s="163">
        <v>56.272516465312094</v>
      </c>
      <c r="BE264" s="163">
        <v>1186.723</v>
      </c>
      <c r="BF264" s="163">
        <v>39.557433333333329</v>
      </c>
      <c r="BG264" s="163">
        <v>870.005</v>
      </c>
      <c r="BH264" s="163">
        <v>65.415000000000006</v>
      </c>
      <c r="BI264" s="163">
        <v>43.98692871040673</v>
      </c>
      <c r="BJ264" s="163">
        <v>-0.11551434115379777</v>
      </c>
      <c r="BK264" s="163">
        <v>449.04899999999998</v>
      </c>
      <c r="BL264" s="163">
        <v>203.85599999999999</v>
      </c>
      <c r="BM264" s="163">
        <v>11.351823466807335</v>
      </c>
      <c r="BN264" s="163">
        <v>-0.12001728063703965</v>
      </c>
      <c r="BO264" s="163">
        <v>55.338752177214062</v>
      </c>
      <c r="BP264" s="163">
        <v>675.50900000000001</v>
      </c>
      <c r="BQ264" s="163">
        <v>22.516966666666669</v>
      </c>
      <c r="BR264" s="163">
        <v>497.69799999999998</v>
      </c>
      <c r="BS264" s="163">
        <v>23.946000000000002</v>
      </c>
      <c r="BT264" s="163">
        <v>44.206487256276375</v>
      </c>
      <c r="BU264" s="163">
        <v>0.10404420471584785</v>
      </c>
      <c r="BV264" s="163">
        <v>261.26299999999998</v>
      </c>
      <c r="BW264" s="163">
        <v>204.77600000000001</v>
      </c>
      <c r="BX264" s="163">
        <v>11.60293941309442</v>
      </c>
      <c r="BY264" s="163">
        <v>0.13109866565004502</v>
      </c>
      <c r="BZ264" s="163">
        <v>55.809426669370794</v>
      </c>
      <c r="CA264" s="163">
        <v>653.803</v>
      </c>
      <c r="CB264" s="163">
        <v>21.793433333333333</v>
      </c>
      <c r="CC264" s="163">
        <v>472.62</v>
      </c>
      <c r="CD264" s="163">
        <v>65.399000000000001</v>
      </c>
      <c r="CE264" s="163">
        <v>43.372697892178529</v>
      </c>
      <c r="CF264" s="163">
        <v>-0.72974515938199858</v>
      </c>
      <c r="CG264" s="163">
        <v>251.126</v>
      </c>
      <c r="CH264" s="163">
        <v>62.927999999999997</v>
      </c>
      <c r="CI264" s="163">
        <v>11.523012283516595</v>
      </c>
      <c r="CJ264" s="163">
        <v>5.1171536072219581E-2</v>
      </c>
      <c r="CK264" s="163">
        <v>54.895710175695122</v>
      </c>
      <c r="CL264" s="163">
        <v>760.01599999999996</v>
      </c>
      <c r="CM264" s="163">
        <v>25.333866666666665</v>
      </c>
      <c r="CN264" s="163">
        <v>561.91899999999998</v>
      </c>
      <c r="CO264" s="163">
        <v>43.244</v>
      </c>
      <c r="CP264" s="163">
        <v>44.36109239805478</v>
      </c>
      <c r="CQ264" s="163">
        <v>0.25864934649425209</v>
      </c>
      <c r="CR264" s="163">
        <v>290.76</v>
      </c>
      <c r="CS264" s="163">
        <v>57.110999999999997</v>
      </c>
      <c r="CT264" s="163">
        <v>11.477126797330582</v>
      </c>
      <c r="CU264" s="163">
        <v>5.2860498862070671E-3</v>
      </c>
      <c r="CV264" s="163">
        <v>55.838219195385363</v>
      </c>
      <c r="CW264" s="163"/>
      <c r="CX264" s="163">
        <v>0</v>
      </c>
      <c r="CY264" s="163">
        <v>0</v>
      </c>
      <c r="CZ264" s="163">
        <v>0</v>
      </c>
      <c r="DA264" s="163">
        <v>0</v>
      </c>
      <c r="DB264" s="163">
        <v>0</v>
      </c>
      <c r="DC264" s="163">
        <v>0</v>
      </c>
      <c r="DD264" s="163"/>
      <c r="DE264" s="163">
        <v>128.92500000000001</v>
      </c>
      <c r="DF264" s="163">
        <v>71.957999999999998</v>
      </c>
      <c r="DG264" s="163"/>
      <c r="DH264" s="163">
        <v>0.55813845258871431</v>
      </c>
      <c r="DI264" s="163">
        <v>108.22199999999999</v>
      </c>
      <c r="DJ264" s="163">
        <v>0.41970913321698655</v>
      </c>
      <c r="DK264" s="163">
        <v>99.480999999999995</v>
      </c>
      <c r="DL264" s="163">
        <v>98.093999999999994</v>
      </c>
      <c r="DM264" s="163">
        <v>1.3942360852826173E-2</v>
      </c>
      <c r="DN264" s="163">
        <v>91.462000000000003</v>
      </c>
      <c r="DO264" s="163"/>
      <c r="DP264" s="163">
        <v>55.944000000000003</v>
      </c>
      <c r="DQ264" s="163">
        <v>55.944000000000003</v>
      </c>
      <c r="DR264" s="163">
        <v>0.97784758580570086</v>
      </c>
      <c r="DS264" s="163"/>
      <c r="DT264" s="163">
        <v>135.714</v>
      </c>
      <c r="DU264" s="163">
        <v>61.006999999999998</v>
      </c>
      <c r="DV264" s="163">
        <v>43.406999999999996</v>
      </c>
      <c r="DW264" s="163">
        <v>0.44952620952886213</v>
      </c>
      <c r="DX264" s="163">
        <v>41.95</v>
      </c>
      <c r="DY264" s="163">
        <v>0.15455295695359361</v>
      </c>
      <c r="DZ264" s="163">
        <v>50.853999999999999</v>
      </c>
      <c r="EA264" s="163">
        <v>49.485999999999997</v>
      </c>
      <c r="EB264" s="163">
        <v>2.6900538797341451E-2</v>
      </c>
      <c r="EC264" s="163">
        <v>44.338000000000001</v>
      </c>
      <c r="ED264" s="163"/>
      <c r="EE264" s="163">
        <v>47.771999999999998</v>
      </c>
      <c r="EF264" s="163">
        <v>47.771999999999998</v>
      </c>
      <c r="EG264" s="163">
        <v>0.60407916648245574</v>
      </c>
    </row>
    <row r="265" spans="1:137" hidden="1">
      <c r="A265" s="157">
        <v>42339</v>
      </c>
      <c r="B265" s="163">
        <v>5011.3239999999996</v>
      </c>
      <c r="C265" s="163">
        <v>167.04413333333332</v>
      </c>
      <c r="D265" s="163">
        <v>9.3331333333333077</v>
      </c>
      <c r="E265" s="163">
        <v>5.9178708735175833E-2</v>
      </c>
      <c r="F265" s="163">
        <v>3669.2130000000002</v>
      </c>
      <c r="G265" s="163"/>
      <c r="H265" s="163"/>
      <c r="I265" s="163">
        <v>270.42099999999999</v>
      </c>
      <c r="J265" s="163">
        <v>43.931060933198495</v>
      </c>
      <c r="K265" s="163">
        <v>47.071141279230808</v>
      </c>
      <c r="L265" s="163">
        <v>-8.8858720769188437E-2</v>
      </c>
      <c r="M265" s="163">
        <v>262.26600000000002</v>
      </c>
      <c r="N265" s="163">
        <v>31.927</v>
      </c>
      <c r="O265" s="163">
        <v>1929.027</v>
      </c>
      <c r="P265" s="163">
        <v>1576.8489999999999</v>
      </c>
      <c r="Q265" s="163">
        <v>778.78899999999999</v>
      </c>
      <c r="R265" s="163">
        <v>304.19200000000001</v>
      </c>
      <c r="S265" s="163">
        <v>493.86799999999999</v>
      </c>
      <c r="T265" s="163">
        <v>395.661</v>
      </c>
      <c r="U265" s="163">
        <v>491.42499999999995</v>
      </c>
      <c r="V265" s="163">
        <v>0.33180067315515305</v>
      </c>
      <c r="W265" s="163">
        <v>11.548008071320075</v>
      </c>
      <c r="X265" s="163">
        <v>-8.1991928679926218E-2</v>
      </c>
      <c r="Y265" s="163">
        <v>58.619149350550884</v>
      </c>
      <c r="Z265" s="163">
        <v>1445.9490000000001</v>
      </c>
      <c r="AA265" s="163">
        <v>1401.107</v>
      </c>
      <c r="AB265" s="163">
        <v>3.1012158796748776E-2</v>
      </c>
      <c r="AC265" s="163"/>
      <c r="AD265" s="163"/>
      <c r="AE265" s="163"/>
      <c r="AF265" s="163"/>
      <c r="AH265" s="163"/>
      <c r="AI265" s="163">
        <v>587.32500000000005</v>
      </c>
      <c r="AJ265" s="163">
        <v>19.577500000000001</v>
      </c>
      <c r="AK265" s="163">
        <v>423.76499999999999</v>
      </c>
      <c r="AL265" s="163">
        <v>49.628</v>
      </c>
      <c r="AM265" s="163">
        <v>43.291022857872555</v>
      </c>
      <c r="AN265" s="163">
        <v>-0.64003807532593981</v>
      </c>
      <c r="AO265" s="163">
        <v>232.17599999999999</v>
      </c>
      <c r="AP265" s="163">
        <v>91.653000000000006</v>
      </c>
      <c r="AQ265" s="163">
        <v>11.859328310560592</v>
      </c>
      <c r="AR265" s="163">
        <v>0.31132023924051744</v>
      </c>
      <c r="AS265" s="163">
        <v>55.150351168433147</v>
      </c>
      <c r="AT265" s="163">
        <v>1118.4849999999999</v>
      </c>
      <c r="AU265" s="163">
        <v>37.282833333333329</v>
      </c>
      <c r="AV265" s="163">
        <v>827.14200000000005</v>
      </c>
      <c r="AW265" s="163">
        <v>45.944000000000003</v>
      </c>
      <c r="AX265" s="163">
        <v>44.371198540883434</v>
      </c>
      <c r="AY265" s="163">
        <v>0.44013760768493881</v>
      </c>
      <c r="AZ265" s="163">
        <v>427.10599999999999</v>
      </c>
      <c r="BA265" s="163">
        <v>147.84800000000001</v>
      </c>
      <c r="BB265" s="163">
        <v>11.455835348708298</v>
      </c>
      <c r="BC265" s="163">
        <v>-9.2172722611776337E-2</v>
      </c>
      <c r="BD265" s="163">
        <v>55.827033889591732</v>
      </c>
      <c r="BE265" s="163">
        <v>1105.04</v>
      </c>
      <c r="BF265" s="163">
        <v>36.834666666666664</v>
      </c>
      <c r="BG265" s="163">
        <v>816.29899999999998</v>
      </c>
      <c r="BH265" s="163">
        <v>77.278999999999996</v>
      </c>
      <c r="BI265" s="163">
        <v>44.322323173821765</v>
      </c>
      <c r="BJ265" s="163">
        <v>0.39126224062326997</v>
      </c>
      <c r="BK265" s="163">
        <v>425.42200000000003</v>
      </c>
      <c r="BL265" s="163">
        <v>198.28800000000001</v>
      </c>
      <c r="BM265" s="163">
        <v>11.549500470571203</v>
      </c>
      <c r="BN265" s="163">
        <v>1.4923992511288731E-3</v>
      </c>
      <c r="BO265" s="163">
        <v>55.871823644392968</v>
      </c>
      <c r="BP265" s="163">
        <v>709.05200000000002</v>
      </c>
      <c r="BQ265" s="163">
        <v>23.635066666666667</v>
      </c>
      <c r="BR265" s="163">
        <v>516.83799999999997</v>
      </c>
      <c r="BS265" s="163">
        <v>23.431000000000001</v>
      </c>
      <c r="BT265" s="163">
        <v>43.7348459633426</v>
      </c>
      <c r="BU265" s="163">
        <v>-0.19621496985589459</v>
      </c>
      <c r="BV265" s="163">
        <v>275.31400000000002</v>
      </c>
      <c r="BW265" s="163">
        <v>227.072</v>
      </c>
      <c r="BX265" s="163">
        <v>11.648539176252235</v>
      </c>
      <c r="BY265" s="163">
        <v>0.10053110493216089</v>
      </c>
      <c r="BZ265" s="163">
        <v>55.383385139594836</v>
      </c>
      <c r="CA265" s="163">
        <v>665.29700000000003</v>
      </c>
      <c r="CB265" s="163">
        <v>22.176566666666666</v>
      </c>
      <c r="CC265" s="163">
        <v>475.88099999999997</v>
      </c>
      <c r="CD265" s="163">
        <v>35.662999999999997</v>
      </c>
      <c r="CE265" s="163">
        <v>42.917463929643453</v>
      </c>
      <c r="CF265" s="163">
        <v>-1.0135970035550415</v>
      </c>
      <c r="CG265" s="163">
        <v>252.25399999999999</v>
      </c>
      <c r="CH265" s="163">
        <v>64.403000000000006</v>
      </c>
      <c r="CI265" s="163">
        <v>11.374799525625397</v>
      </c>
      <c r="CJ265" s="163">
        <v>-0.1732085456946777</v>
      </c>
      <c r="CK265" s="163">
        <v>54.292263455268852</v>
      </c>
      <c r="CL265" s="163">
        <v>826.125</v>
      </c>
      <c r="CM265" s="163">
        <v>27.537500000000001</v>
      </c>
      <c r="CN265" s="163">
        <v>609.28800000000001</v>
      </c>
      <c r="CO265" s="163">
        <v>38.475999999999999</v>
      </c>
      <c r="CP265" s="163">
        <v>44.25151157512483</v>
      </c>
      <c r="CQ265" s="163">
        <v>0.32045064192633532</v>
      </c>
      <c r="CR265" s="163">
        <v>316.755</v>
      </c>
      <c r="CS265" s="163">
        <v>49.524999999999999</v>
      </c>
      <c r="CT265" s="163">
        <v>11.502678166137086</v>
      </c>
      <c r="CU265" s="163">
        <v>-4.5329905182988739E-2</v>
      </c>
      <c r="CV265" s="163">
        <v>55.754189741261918</v>
      </c>
      <c r="CW265" s="163"/>
      <c r="CX265" s="163">
        <v>0</v>
      </c>
      <c r="CY265" s="163">
        <v>0</v>
      </c>
      <c r="CZ265" s="163">
        <v>0</v>
      </c>
      <c r="DA265" s="163">
        <v>0</v>
      </c>
      <c r="DB265" s="163">
        <v>0</v>
      </c>
      <c r="DC265" s="163">
        <v>0</v>
      </c>
      <c r="DD265" s="163"/>
      <c r="DE265" s="163">
        <v>165.762</v>
      </c>
      <c r="DF265" s="163">
        <v>91.745999999999995</v>
      </c>
      <c r="DG265" s="163"/>
      <c r="DH265" s="163">
        <v>0.55348029101965468</v>
      </c>
      <c r="DI265" s="163">
        <v>135.68899999999999</v>
      </c>
      <c r="DJ265" s="163">
        <v>0.40928861862187954</v>
      </c>
      <c r="DK265" s="163">
        <v>102.98</v>
      </c>
      <c r="DL265" s="163">
        <v>96.54</v>
      </c>
      <c r="DM265" s="163">
        <v>6.2536414837832566E-2</v>
      </c>
      <c r="DN265" s="163">
        <v>98.204999999999998</v>
      </c>
      <c r="DO265" s="163"/>
      <c r="DP265" s="163">
        <v>72.843000000000004</v>
      </c>
      <c r="DQ265" s="163">
        <v>72.843000000000004</v>
      </c>
      <c r="DR265" s="163">
        <v>0.96276890964153417</v>
      </c>
      <c r="DS265" s="163"/>
      <c r="DT265" s="163">
        <v>149.64400000000001</v>
      </c>
      <c r="DU265" s="163">
        <v>70.040000000000006</v>
      </c>
      <c r="DV265" s="163">
        <v>47.976999999999997</v>
      </c>
      <c r="DW265" s="163">
        <v>0.46804415813530781</v>
      </c>
      <c r="DX265" s="163">
        <v>46.826000000000001</v>
      </c>
      <c r="DY265" s="163">
        <v>0.15645799363823473</v>
      </c>
      <c r="DZ265" s="163">
        <v>54.603000000000002</v>
      </c>
      <c r="EA265" s="163">
        <v>54.02</v>
      </c>
      <c r="EB265" s="163">
        <v>1.0677069025511389E-2</v>
      </c>
      <c r="EC265" s="163">
        <v>44.042000000000002</v>
      </c>
      <c r="ED265" s="163"/>
      <c r="EE265" s="163">
        <v>49.143999999999998</v>
      </c>
      <c r="EF265" s="163">
        <v>49.143999999999998</v>
      </c>
      <c r="EG265" s="163">
        <v>0.62450215177354251</v>
      </c>
    </row>
    <row r="266" spans="1:137" hidden="1">
      <c r="A266" s="157">
        <v>42370</v>
      </c>
      <c r="B266" s="163">
        <v>4814.0439999999999</v>
      </c>
      <c r="C266" s="163">
        <v>160.46813333333333</v>
      </c>
      <c r="D266" s="163">
        <v>10.015133333333324</v>
      </c>
      <c r="E266" s="163">
        <v>6.6566524651109127E-2</v>
      </c>
      <c r="F266" s="163">
        <v>3539.7910000000002</v>
      </c>
      <c r="G266" s="163"/>
      <c r="H266" s="163"/>
      <c r="I266" s="163">
        <v>368.06299999999999</v>
      </c>
      <c r="J266" s="163">
        <v>44.118304693517551</v>
      </c>
      <c r="K266" s="163">
        <v>47.319987104397057</v>
      </c>
      <c r="L266" s="163">
        <v>-2.0012895602945946E-2</v>
      </c>
      <c r="M266" s="163">
        <v>256.88400000000001</v>
      </c>
      <c r="N266" s="163">
        <v>42.234999999999999</v>
      </c>
      <c r="O266" s="163">
        <v>1864.8869999999999</v>
      </c>
      <c r="P266" s="163">
        <v>1724.4590000000001</v>
      </c>
      <c r="Q266" s="163">
        <v>890.95</v>
      </c>
      <c r="R266" s="163">
        <v>341.226</v>
      </c>
      <c r="S266" s="163">
        <v>492.28300000000002</v>
      </c>
      <c r="T266" s="163">
        <v>386.33800000000002</v>
      </c>
      <c r="U266" s="163">
        <v>529.16100000000006</v>
      </c>
      <c r="V266" s="163">
        <v>0.33456560169343641</v>
      </c>
      <c r="W266" s="163">
        <v>11.62154105778842</v>
      </c>
      <c r="X266" s="163">
        <v>-6.8458942211579554E-2</v>
      </c>
      <c r="Y266" s="163">
        <v>58.941528162185477</v>
      </c>
      <c r="Z266" s="163">
        <v>1277.7819999999999</v>
      </c>
      <c r="AA266" s="163">
        <v>1236.6020000000001</v>
      </c>
      <c r="AB266" s="163">
        <v>3.2227719595361214E-2</v>
      </c>
      <c r="AC266" s="163"/>
      <c r="AD266" s="163"/>
      <c r="AE266" s="163"/>
      <c r="AF266" s="163"/>
      <c r="AH266" s="163"/>
      <c r="AI266" s="163">
        <v>514.26099999999997</v>
      </c>
      <c r="AJ266" s="163">
        <v>17.142033333333334</v>
      </c>
      <c r="AK266" s="163">
        <v>366.35500000000002</v>
      </c>
      <c r="AL266" s="163">
        <v>61.418999999999997</v>
      </c>
      <c r="AM266" s="163">
        <v>42.743470727898867</v>
      </c>
      <c r="AN266" s="163">
        <v>-1.3748339656186843</v>
      </c>
      <c r="AO266" s="163">
        <v>201.80099999999999</v>
      </c>
      <c r="AP266" s="163">
        <v>126.79900000000001</v>
      </c>
      <c r="AQ266" s="163">
        <v>11.772290723970901</v>
      </c>
      <c r="AR266" s="163">
        <v>0.15074966618248098</v>
      </c>
      <c r="AS266" s="163">
        <v>54.515761451869764</v>
      </c>
      <c r="AT266" s="163">
        <v>1064.2529999999999</v>
      </c>
      <c r="AU266" s="163">
        <v>35.475099999999998</v>
      </c>
      <c r="AV266" s="163">
        <v>787.21100000000001</v>
      </c>
      <c r="AW266" s="163">
        <v>69.766999999999996</v>
      </c>
      <c r="AX266" s="163">
        <v>44.38104473278441</v>
      </c>
      <c r="AY266" s="163">
        <v>0.26274003926685907</v>
      </c>
      <c r="AZ266" s="163">
        <v>409.62599999999998</v>
      </c>
      <c r="BA266" s="163">
        <v>171.13499999999999</v>
      </c>
      <c r="BB266" s="163">
        <v>11.546859628302668</v>
      </c>
      <c r="BC266" s="163">
        <v>-7.4681429485751849E-2</v>
      </c>
      <c r="BD266" s="163">
        <v>55.92790436108708</v>
      </c>
      <c r="BE266" s="163">
        <v>1119.325</v>
      </c>
      <c r="BF266" s="163">
        <v>37.310833333333335</v>
      </c>
      <c r="BG266" s="163">
        <v>822.62300000000005</v>
      </c>
      <c r="BH266" s="163">
        <v>99.828000000000003</v>
      </c>
      <c r="BI266" s="163">
        <v>44.095664797980923</v>
      </c>
      <c r="BJ266" s="163">
        <v>-2.2639895536627819E-2</v>
      </c>
      <c r="BK266" s="163">
        <v>428.44200000000001</v>
      </c>
      <c r="BL266" s="163">
        <v>226.63399999999999</v>
      </c>
      <c r="BM266" s="163">
        <v>11.483045585509123</v>
      </c>
      <c r="BN266" s="163">
        <v>-0.13849547227929726</v>
      </c>
      <c r="BO266" s="163">
        <v>55.578710383490048</v>
      </c>
      <c r="BP266" s="163">
        <v>654.55499999999995</v>
      </c>
      <c r="BQ266" s="163">
        <v>21.818499999999997</v>
      </c>
      <c r="BR266" s="163">
        <v>488.8</v>
      </c>
      <c r="BS266" s="163">
        <v>46.725999999999999</v>
      </c>
      <c r="BT266" s="163">
        <v>44.806013245640173</v>
      </c>
      <c r="BU266" s="163">
        <v>0.68770855212262205</v>
      </c>
      <c r="BV266" s="163">
        <v>258.81099999999998</v>
      </c>
      <c r="BW266" s="163">
        <v>247.46</v>
      </c>
      <c r="BX266" s="163">
        <v>11.861997845864749</v>
      </c>
      <c r="BY266" s="163">
        <v>0.24045678807632953</v>
      </c>
      <c r="BZ266" s="163">
        <v>56.668011091504923</v>
      </c>
      <c r="CA266" s="163">
        <v>670.75699999999995</v>
      </c>
      <c r="CB266" s="163">
        <v>22.358566666666665</v>
      </c>
      <c r="CC266" s="163">
        <v>487.459</v>
      </c>
      <c r="CD266" s="163">
        <v>39.000999999999998</v>
      </c>
      <c r="CE266" s="163">
        <v>43.603779013860461</v>
      </c>
      <c r="CF266" s="163">
        <v>-0.51452567965709051</v>
      </c>
      <c r="CG266" s="163">
        <v>257.93400000000003</v>
      </c>
      <c r="CH266" s="163">
        <v>60.469000000000001</v>
      </c>
      <c r="CI266" s="163">
        <v>11.536249342161172</v>
      </c>
      <c r="CJ266" s="163">
        <v>-8.529171562724791E-2</v>
      </c>
      <c r="CK266" s="163">
        <v>55.140028356021631</v>
      </c>
      <c r="CL266" s="163">
        <v>790.89300000000003</v>
      </c>
      <c r="CM266" s="163">
        <v>26.363099999999999</v>
      </c>
      <c r="CN266" s="163">
        <v>587.34299999999996</v>
      </c>
      <c r="CO266" s="163">
        <v>51.322000000000003</v>
      </c>
      <c r="CP266" s="163">
        <v>44.557961696462101</v>
      </c>
      <c r="CQ266" s="163">
        <v>0.4396570029445499</v>
      </c>
      <c r="CR266" s="163">
        <v>308.27300000000002</v>
      </c>
      <c r="CS266" s="163">
        <v>58.453000000000003</v>
      </c>
      <c r="CT266" s="163">
        <v>11.693351692327536</v>
      </c>
      <c r="CU266" s="163">
        <v>7.1810634539115625E-2</v>
      </c>
      <c r="CV266" s="163">
        <v>56.25131338878964</v>
      </c>
      <c r="CW266" s="163"/>
      <c r="CX266" s="163">
        <v>0</v>
      </c>
      <c r="CY266" s="163">
        <v>0</v>
      </c>
      <c r="CZ266" s="163">
        <v>0</v>
      </c>
      <c r="DA266" s="163">
        <v>0</v>
      </c>
      <c r="DB266" s="163">
        <v>0</v>
      </c>
      <c r="DC266" s="163">
        <v>0</v>
      </c>
      <c r="DD266" s="163"/>
      <c r="DE266" s="163">
        <v>148.42400000000001</v>
      </c>
      <c r="DF266" s="163">
        <v>82.05</v>
      </c>
      <c r="DG266" s="163"/>
      <c r="DH266" s="163">
        <v>0.55280817118525305</v>
      </c>
      <c r="DI266" s="163">
        <v>126.10899999999999</v>
      </c>
      <c r="DJ266" s="163">
        <v>0.42482684741012233</v>
      </c>
      <c r="DK266" s="163">
        <v>130.85499999999999</v>
      </c>
      <c r="DL266" s="163">
        <v>123.76</v>
      </c>
      <c r="DM266" s="163">
        <v>5.4220320201749918E-2</v>
      </c>
      <c r="DN266" s="163">
        <v>117.27500000000001</v>
      </c>
      <c r="DO266" s="163"/>
      <c r="DP266" s="163">
        <v>78.204999999999998</v>
      </c>
      <c r="DQ266" s="163">
        <v>78.204999999999998</v>
      </c>
      <c r="DR266" s="163">
        <v>0.97763501859537538</v>
      </c>
      <c r="DS266" s="163"/>
      <c r="DT266" s="163">
        <v>131.63900000000001</v>
      </c>
      <c r="DU266" s="163">
        <v>65.905000000000001</v>
      </c>
      <c r="DV266" s="163">
        <v>43.756</v>
      </c>
      <c r="DW266" s="163">
        <v>0.50064950356657223</v>
      </c>
      <c r="DX266" s="163">
        <v>41.43</v>
      </c>
      <c r="DY266" s="163">
        <v>0.15736217990109314</v>
      </c>
      <c r="DZ266" s="163">
        <v>46.076999999999998</v>
      </c>
      <c r="EA266" s="163">
        <v>45.555</v>
      </c>
      <c r="EB266" s="163">
        <v>1.1328862556155967E-2</v>
      </c>
      <c r="EC266" s="163">
        <v>45.27</v>
      </c>
      <c r="ED266" s="163"/>
      <c r="EE266" s="163">
        <v>51.087000000000003</v>
      </c>
      <c r="EF266" s="163">
        <v>51.087000000000003</v>
      </c>
      <c r="EG266" s="163">
        <v>0.65801168346766536</v>
      </c>
    </row>
    <row r="267" spans="1:137" hidden="1">
      <c r="A267" s="157">
        <v>42401</v>
      </c>
      <c r="B267" s="163">
        <v>4638.6629999999996</v>
      </c>
      <c r="C267" s="163">
        <v>154.62209999999999</v>
      </c>
      <c r="D267" s="163">
        <v>8.4410999999999774</v>
      </c>
      <c r="E267" s="163">
        <v>5.7744166478543635E-2</v>
      </c>
      <c r="F267" s="163">
        <v>3425.2359999999999</v>
      </c>
      <c r="G267" s="163"/>
      <c r="H267" s="163"/>
      <c r="I267" s="163">
        <v>330.05700000000002</v>
      </c>
      <c r="J267" s="163">
        <v>44.304611048485306</v>
      </c>
      <c r="K267" s="163">
        <v>47.422897503008947</v>
      </c>
      <c r="L267" s="163">
        <v>-0.1071024969910539</v>
      </c>
      <c r="M267" s="163">
        <v>241.078</v>
      </c>
      <c r="N267" s="163">
        <v>32.295000000000002</v>
      </c>
      <c r="O267" s="163">
        <v>1795.866</v>
      </c>
      <c r="P267" s="163">
        <v>1880.21</v>
      </c>
      <c r="Q267" s="163">
        <v>976.8</v>
      </c>
      <c r="R267" s="163">
        <v>371.27300000000002</v>
      </c>
      <c r="S267" s="163">
        <v>532.13699999999994</v>
      </c>
      <c r="T267" s="163">
        <v>399.96699999999998</v>
      </c>
      <c r="U267" s="163">
        <v>488.12500000000023</v>
      </c>
      <c r="V267" s="163">
        <v>0.27238327905663473</v>
      </c>
      <c r="W267" s="163">
        <v>11.614549278531337</v>
      </c>
      <c r="X267" s="163">
        <v>-6.545072146866282E-2</v>
      </c>
      <c r="Y267" s="163">
        <v>59.037446781540282</v>
      </c>
      <c r="Z267" s="163">
        <v>1344.3879999999999</v>
      </c>
      <c r="AA267" s="163">
        <v>1306.085</v>
      </c>
      <c r="AB267" s="163">
        <v>2.8491030863113838E-2</v>
      </c>
      <c r="AC267" s="163"/>
      <c r="AD267" s="163"/>
      <c r="AE267" s="163"/>
      <c r="AF267" s="163"/>
      <c r="AH267" s="163"/>
      <c r="AI267" s="163">
        <v>546.69500000000005</v>
      </c>
      <c r="AJ267" s="163">
        <v>18.223166666666668</v>
      </c>
      <c r="AK267" s="163">
        <v>398.36900000000003</v>
      </c>
      <c r="AL267" s="163">
        <v>56.703000000000003</v>
      </c>
      <c r="AM267" s="163">
        <v>43.721160793495457</v>
      </c>
      <c r="AN267" s="163">
        <v>-0.58345025498984882</v>
      </c>
      <c r="AO267" s="163">
        <v>212.59399999999999</v>
      </c>
      <c r="AP267" s="163">
        <v>155.453</v>
      </c>
      <c r="AQ267" s="163">
        <v>11.666139254977637</v>
      </c>
      <c r="AR267" s="163">
        <v>5.1589976446299701E-2</v>
      </c>
      <c r="AS267" s="163">
        <v>55.387300048473094</v>
      </c>
      <c r="AT267" s="163">
        <v>1039.47</v>
      </c>
      <c r="AU267" s="163">
        <v>34.649000000000001</v>
      </c>
      <c r="AV267" s="163">
        <v>769.93899999999996</v>
      </c>
      <c r="AW267" s="163">
        <v>65.265000000000001</v>
      </c>
      <c r="AX267" s="163">
        <v>44.442206124274868</v>
      </c>
      <c r="AY267" s="163">
        <v>0.13759507578956232</v>
      </c>
      <c r="AZ267" s="163">
        <v>400.84500000000003</v>
      </c>
      <c r="BA267" s="163">
        <v>177.351</v>
      </c>
      <c r="BB267" s="163">
        <v>11.568732142341771</v>
      </c>
      <c r="BC267" s="163">
        <v>-4.5817136189565844E-2</v>
      </c>
      <c r="BD267" s="163">
        <v>56.010938266616641</v>
      </c>
      <c r="BE267" s="163">
        <v>1073.7270000000001</v>
      </c>
      <c r="BF267" s="163">
        <v>35.790900000000001</v>
      </c>
      <c r="BG267" s="163">
        <v>791.41600000000005</v>
      </c>
      <c r="BH267" s="163">
        <v>84.293000000000006</v>
      </c>
      <c r="BI267" s="163">
        <v>44.22442576185567</v>
      </c>
      <c r="BJ267" s="163">
        <v>-8.0185286629635755E-2</v>
      </c>
      <c r="BK267" s="163">
        <v>412.26400000000001</v>
      </c>
      <c r="BL267" s="163">
        <v>268.00700000000001</v>
      </c>
      <c r="BM267" s="163">
        <v>11.518682123109505</v>
      </c>
      <c r="BN267" s="163">
        <v>-9.5867155421831995E-2</v>
      </c>
      <c r="BO267" s="163">
        <v>55.743107884965177</v>
      </c>
      <c r="BP267" s="163">
        <v>613.96</v>
      </c>
      <c r="BQ267" s="163">
        <v>20.465333333333334</v>
      </c>
      <c r="BR267" s="163">
        <v>456.642</v>
      </c>
      <c r="BS267" s="163">
        <v>33.701000000000001</v>
      </c>
      <c r="BT267" s="163">
        <v>44.62590396768519</v>
      </c>
      <c r="BU267" s="163">
        <v>0.3212929191998839</v>
      </c>
      <c r="BV267" s="163">
        <v>245.85300000000001</v>
      </c>
      <c r="BW267" s="163">
        <v>264.50799999999998</v>
      </c>
      <c r="BX267" s="163">
        <v>12.013144178773862</v>
      </c>
      <c r="BY267" s="163">
        <v>0.39859490024252509</v>
      </c>
      <c r="BZ267" s="163">
        <v>56.639048146459054</v>
      </c>
      <c r="CA267" s="163">
        <v>619.30399999999997</v>
      </c>
      <c r="CB267" s="163">
        <v>20.643466666666665</v>
      </c>
      <c r="CC267" s="163">
        <v>451.37200000000001</v>
      </c>
      <c r="CD267" s="163">
        <v>30.536999999999999</v>
      </c>
      <c r="CE267" s="163">
        <v>43.730252024853712</v>
      </c>
      <c r="CF267" s="163">
        <v>-0.57435902363159386</v>
      </c>
      <c r="CG267" s="163">
        <v>238.07499999999999</v>
      </c>
      <c r="CH267" s="163">
        <v>57.244</v>
      </c>
      <c r="CI267" s="163">
        <v>11.532704455324042</v>
      </c>
      <c r="CJ267" s="163">
        <v>-8.1844823207294581E-2</v>
      </c>
      <c r="CK267" s="163">
        <v>55.262956480177756</v>
      </c>
      <c r="CL267" s="163">
        <v>745.50699999999995</v>
      </c>
      <c r="CM267" s="163">
        <v>24.850233333333332</v>
      </c>
      <c r="CN267" s="163">
        <v>557.49800000000005</v>
      </c>
      <c r="CO267" s="163">
        <v>59.558</v>
      </c>
      <c r="CP267" s="163">
        <v>44.868633024237205</v>
      </c>
      <c r="CQ267" s="163">
        <v>0.56402197575189916</v>
      </c>
      <c r="CR267" s="163">
        <v>286.23500000000001</v>
      </c>
      <c r="CS267" s="163">
        <v>54.237000000000002</v>
      </c>
      <c r="CT267" s="163">
        <v>11.518402912380434</v>
      </c>
      <c r="CU267" s="163">
        <v>-9.6146366150902551E-2</v>
      </c>
      <c r="CV267" s="163">
        <v>56.387035936617636</v>
      </c>
      <c r="CW267" s="163"/>
      <c r="CX267" s="163">
        <v>0</v>
      </c>
      <c r="CY267" s="163">
        <v>0</v>
      </c>
      <c r="CZ267" s="163">
        <v>0</v>
      </c>
      <c r="DA267" s="163">
        <v>0</v>
      </c>
      <c r="DB267" s="163">
        <v>0</v>
      </c>
      <c r="DC267" s="163">
        <v>0</v>
      </c>
      <c r="DD267" s="163"/>
      <c r="DE267" s="163">
        <v>137.631</v>
      </c>
      <c r="DF267" s="163">
        <v>76.447999999999993</v>
      </c>
      <c r="DG267" s="163"/>
      <c r="DH267" s="163">
        <v>0.55545625622134542</v>
      </c>
      <c r="DI267" s="163">
        <v>114.443</v>
      </c>
      <c r="DJ267" s="163">
        <v>0.41576025750012713</v>
      </c>
      <c r="DK267" s="163">
        <v>117.491</v>
      </c>
      <c r="DL267" s="163">
        <v>116.149</v>
      </c>
      <c r="DM267" s="163">
        <v>1.1422151483943441E-2</v>
      </c>
      <c r="DN267" s="163">
        <v>125.7</v>
      </c>
      <c r="DO267" s="163"/>
      <c r="DP267" s="163">
        <v>80.162000000000006</v>
      </c>
      <c r="DQ267" s="163">
        <v>80.162000000000006</v>
      </c>
      <c r="DR267" s="163">
        <v>0.97121651372147255</v>
      </c>
      <c r="DS267" s="163"/>
      <c r="DT267" s="163">
        <v>125.631</v>
      </c>
      <c r="DU267" s="163">
        <v>57.607999999999997</v>
      </c>
      <c r="DV267" s="163">
        <v>35.915999999999997</v>
      </c>
      <c r="DW267" s="163">
        <v>0.45854924341921977</v>
      </c>
      <c r="DX267" s="163">
        <v>38.433</v>
      </c>
      <c r="DY267" s="163">
        <v>0.1529598586336175</v>
      </c>
      <c r="DZ267" s="163">
        <v>44.088000000000001</v>
      </c>
      <c r="EA267" s="163">
        <v>43.445</v>
      </c>
      <c r="EB267" s="163">
        <v>1.4584467428778822E-2</v>
      </c>
      <c r="EC267" s="163">
        <v>51.081000000000003</v>
      </c>
      <c r="ED267" s="163"/>
      <c r="EE267" s="163">
        <v>47.302</v>
      </c>
      <c r="EF267" s="163">
        <v>47.302</v>
      </c>
      <c r="EG267" s="163">
        <v>0.61150910205283726</v>
      </c>
    </row>
    <row r="268" spans="1:137" hidden="1">
      <c r="A268" s="157">
        <v>42430</v>
      </c>
      <c r="B268" s="163">
        <v>4991.6260000000002</v>
      </c>
      <c r="C268" s="163">
        <v>166.38753333333335</v>
      </c>
      <c r="D268" s="163">
        <v>9.6975333333333538</v>
      </c>
      <c r="E268" s="163">
        <v>6.1889931286829736E-2</v>
      </c>
      <c r="F268" s="163">
        <v>3677.248</v>
      </c>
      <c r="G268" s="163"/>
      <c r="H268" s="163"/>
      <c r="I268" s="163">
        <v>302.67200000000003</v>
      </c>
      <c r="J268" s="163">
        <v>44.201003841233295</v>
      </c>
      <c r="K268" s="163">
        <v>47.329819982506699</v>
      </c>
      <c r="L268" s="163">
        <v>-7.0180017493299829E-2</v>
      </c>
      <c r="M268" s="163">
        <v>260.298</v>
      </c>
      <c r="N268" s="163">
        <v>35.426000000000002</v>
      </c>
      <c r="O268" s="163">
        <v>1943.537</v>
      </c>
      <c r="P268" s="163">
        <v>1956.5989999999999</v>
      </c>
      <c r="Q268" s="163">
        <v>1013.888</v>
      </c>
      <c r="R268" s="163">
        <v>420.58300000000003</v>
      </c>
      <c r="S268" s="163">
        <v>522.12800000000004</v>
      </c>
      <c r="T268" s="163">
        <v>368.327</v>
      </c>
      <c r="U268" s="163">
        <v>466.11199999999985</v>
      </c>
      <c r="V268" s="163">
        <v>0.25075774122639483</v>
      </c>
      <c r="W268" s="163">
        <v>11.680784978682295</v>
      </c>
      <c r="X268" s="163">
        <v>-6.9215021317704739E-2</v>
      </c>
      <c r="Y268" s="163">
        <v>59.010604961188996</v>
      </c>
      <c r="Z268" s="163">
        <v>1438.3789999999999</v>
      </c>
      <c r="AA268" s="163">
        <v>1404.133</v>
      </c>
      <c r="AB268" s="163">
        <v>2.3808745817340122E-2</v>
      </c>
      <c r="AC268" s="163"/>
      <c r="AD268" s="163"/>
      <c r="AE268" s="163"/>
      <c r="AF268" s="163"/>
      <c r="AH268" s="163"/>
      <c r="AI268" s="163">
        <v>607.19399999999996</v>
      </c>
      <c r="AJ268" s="163">
        <v>20.239799999999999</v>
      </c>
      <c r="AK268" s="163">
        <v>436.93200000000002</v>
      </c>
      <c r="AL268" s="163">
        <v>43.67</v>
      </c>
      <c r="AM268" s="163">
        <v>43.175525449856231</v>
      </c>
      <c r="AN268" s="163">
        <v>-1.0254783913770638</v>
      </c>
      <c r="AO268" s="163">
        <v>243.08199999999999</v>
      </c>
      <c r="AP268" s="163">
        <v>201.541</v>
      </c>
      <c r="AQ268" s="163">
        <v>12.01009891402089</v>
      </c>
      <c r="AR268" s="163">
        <v>0.32931393533859499</v>
      </c>
      <c r="AS268" s="163">
        <v>55.185624363877125</v>
      </c>
      <c r="AT268" s="163">
        <v>1115.3340000000001</v>
      </c>
      <c r="AU268" s="163">
        <v>37.177800000000005</v>
      </c>
      <c r="AV268" s="163">
        <v>828.61</v>
      </c>
      <c r="AW268" s="163">
        <v>61.79</v>
      </c>
      <c r="AX268" s="163">
        <v>44.575526254915566</v>
      </c>
      <c r="AY268" s="163">
        <v>0.37452241368227135</v>
      </c>
      <c r="AZ268" s="163">
        <v>429.053</v>
      </c>
      <c r="BA268" s="163">
        <v>183.78700000000001</v>
      </c>
      <c r="BB268" s="163">
        <v>11.540569910000052</v>
      </c>
      <c r="BC268" s="163">
        <v>-0.14021506868224343</v>
      </c>
      <c r="BD268" s="163">
        <v>56.116096164915618</v>
      </c>
      <c r="BE268" s="163">
        <v>1114.5119999999999</v>
      </c>
      <c r="BF268" s="163">
        <v>37.150399999999998</v>
      </c>
      <c r="BG268" s="163">
        <v>818.26900000000001</v>
      </c>
      <c r="BH268" s="163">
        <v>57.726999999999997</v>
      </c>
      <c r="BI268" s="163">
        <v>44.051692579353116</v>
      </c>
      <c r="BJ268" s="163">
        <v>-0.14931126188017885</v>
      </c>
      <c r="BK268" s="163">
        <v>429.94099999999997</v>
      </c>
      <c r="BL268" s="163">
        <v>252.74600000000001</v>
      </c>
      <c r="BM268" s="163">
        <v>11.572984409319954</v>
      </c>
      <c r="BN268" s="163">
        <v>-0.10780056936234139</v>
      </c>
      <c r="BO268" s="163">
        <v>55.624676988673073</v>
      </c>
      <c r="BP268" s="163">
        <v>682.24599999999998</v>
      </c>
      <c r="BQ268" s="163">
        <v>22.741533333333333</v>
      </c>
      <c r="BR268" s="163">
        <v>506.05799999999999</v>
      </c>
      <c r="BS268" s="163">
        <v>25.074000000000002</v>
      </c>
      <c r="BT268" s="163">
        <v>44.505178484007232</v>
      </c>
      <c r="BU268" s="163">
        <v>0.30417464277393691</v>
      </c>
      <c r="BV268" s="163">
        <v>268.005</v>
      </c>
      <c r="BW268" s="163">
        <v>267.24099999999999</v>
      </c>
      <c r="BX268" s="163">
        <v>11.784825414879677</v>
      </c>
      <c r="BY268" s="163">
        <v>0.10404043619738168</v>
      </c>
      <c r="BZ268" s="163">
        <v>56.290003898886908</v>
      </c>
      <c r="CA268" s="163">
        <v>678.26700000000005</v>
      </c>
      <c r="CB268" s="163">
        <v>22.608900000000002</v>
      </c>
      <c r="CC268" s="163">
        <v>498.22899999999998</v>
      </c>
      <c r="CD268" s="163">
        <v>71.019000000000005</v>
      </c>
      <c r="CE268" s="163">
        <v>44.073705487661933</v>
      </c>
      <c r="CF268" s="163">
        <v>-0.1272983535713621</v>
      </c>
      <c r="CG268" s="163">
        <v>260.38099999999997</v>
      </c>
      <c r="CH268" s="163">
        <v>55.52</v>
      </c>
      <c r="CI268" s="163">
        <v>11.516747829394617</v>
      </c>
      <c r="CJ268" s="163">
        <v>-0.16403714928767776</v>
      </c>
      <c r="CK268" s="163">
        <v>55.59045331705655</v>
      </c>
      <c r="CL268" s="163">
        <v>794.07299999999998</v>
      </c>
      <c r="CM268" s="163">
        <v>26.469100000000001</v>
      </c>
      <c r="CN268" s="163">
        <v>589.15</v>
      </c>
      <c r="CO268" s="163">
        <v>43.392000000000003</v>
      </c>
      <c r="CP268" s="163">
        <v>44.516058347280413</v>
      </c>
      <c r="CQ268" s="163">
        <v>0.31505450604711882</v>
      </c>
      <c r="CR268" s="163">
        <v>313.07499999999999</v>
      </c>
      <c r="CS268" s="163">
        <v>53.052999999999997</v>
      </c>
      <c r="CT268" s="163">
        <v>11.827942771004681</v>
      </c>
      <c r="CU268" s="163">
        <v>0.14715779232238546</v>
      </c>
      <c r="CV268" s="163">
        <v>56.344001118285092</v>
      </c>
      <c r="CW268" s="163"/>
      <c r="CX268" s="163">
        <v>0</v>
      </c>
      <c r="CY268" s="163">
        <v>0</v>
      </c>
      <c r="CZ268" s="163">
        <v>0</v>
      </c>
      <c r="DA268" s="163">
        <v>0</v>
      </c>
      <c r="DB268" s="163">
        <v>0</v>
      </c>
      <c r="DC268" s="163">
        <v>0</v>
      </c>
      <c r="DD268" s="163"/>
      <c r="DE268" s="163">
        <v>149.88200000000001</v>
      </c>
      <c r="DF268" s="163">
        <v>84.757999999999996</v>
      </c>
      <c r="DG268" s="163"/>
      <c r="DH268" s="163">
        <v>0.56549819191096995</v>
      </c>
      <c r="DI268" s="163">
        <v>123.498</v>
      </c>
      <c r="DJ268" s="163">
        <v>0.41198409415406789</v>
      </c>
      <c r="DK268" s="163">
        <v>125.623</v>
      </c>
      <c r="DL268" s="163">
        <v>122.72199999999999</v>
      </c>
      <c r="DM268" s="163">
        <v>2.3092904961671115E-2</v>
      </c>
      <c r="DN268" s="163">
        <v>142.65899999999999</v>
      </c>
      <c r="DO268" s="163"/>
      <c r="DP268" s="163">
        <v>79.337000000000003</v>
      </c>
      <c r="DQ268" s="163">
        <v>79.337000000000003</v>
      </c>
      <c r="DR268" s="163">
        <v>0.97748228606503784</v>
      </c>
      <c r="DS268" s="163"/>
      <c r="DT268" s="163">
        <v>142.679</v>
      </c>
      <c r="DU268" s="163">
        <v>68.727999999999994</v>
      </c>
      <c r="DV268" s="163">
        <v>42.423000000000002</v>
      </c>
      <c r="DW268" s="163">
        <v>0.48169667575466601</v>
      </c>
      <c r="DX268" s="163">
        <v>45.265000000000001</v>
      </c>
      <c r="DY268" s="163">
        <v>0.15862530575627809</v>
      </c>
      <c r="DZ268" s="163">
        <v>53.408999999999999</v>
      </c>
      <c r="EA268" s="163">
        <v>52.771999999999998</v>
      </c>
      <c r="EB268" s="163">
        <v>1.1926828811623517E-2</v>
      </c>
      <c r="EC268" s="163">
        <v>55.817</v>
      </c>
      <c r="ED268" s="163"/>
      <c r="EE268" s="163">
        <v>53.984999999999999</v>
      </c>
      <c r="EF268" s="163">
        <v>53.984999999999999</v>
      </c>
      <c r="EG268" s="163">
        <v>0.6403219815109441</v>
      </c>
    </row>
    <row r="269" spans="1:137" hidden="1">
      <c r="A269" s="157">
        <v>42461</v>
      </c>
      <c r="B269" s="163">
        <v>4745.09</v>
      </c>
      <c r="C269" s="163">
        <v>158.16966666666667</v>
      </c>
      <c r="D269" s="163">
        <v>10.555666666666667</v>
      </c>
      <c r="E269" s="163">
        <v>7.1508574164148797E-2</v>
      </c>
      <c r="F269" s="163">
        <v>3502.9110000000001</v>
      </c>
      <c r="G269" s="163"/>
      <c r="H269" s="163"/>
      <c r="I269" s="163">
        <v>365.65300000000002</v>
      </c>
      <c r="J269" s="163">
        <v>44.293081901502397</v>
      </c>
      <c r="K269" s="163">
        <v>47.37535431361681</v>
      </c>
      <c r="L269" s="163">
        <v>-0.12464568638318951</v>
      </c>
      <c r="M269" s="163">
        <v>243.761</v>
      </c>
      <c r="N269" s="163">
        <v>46.616</v>
      </c>
      <c r="O269" s="163">
        <v>1840.2629999999999</v>
      </c>
      <c r="P269" s="163">
        <v>2048.5540000000001</v>
      </c>
      <c r="Q269" s="163">
        <v>1033.6590000000001</v>
      </c>
      <c r="R269" s="163">
        <v>450.93799999999999</v>
      </c>
      <c r="S269" s="163">
        <v>563.95699999999999</v>
      </c>
      <c r="T269" s="163">
        <v>371.464</v>
      </c>
      <c r="U269" s="163">
        <v>477.28999999999996</v>
      </c>
      <c r="V269" s="163">
        <v>0.24568030110236738</v>
      </c>
      <c r="W269" s="163">
        <v>11.634740331584858</v>
      </c>
      <c r="X269" s="163">
        <v>-8.5259668415142542E-2</v>
      </c>
      <c r="Y269" s="163">
        <v>59.010094645201669</v>
      </c>
      <c r="Z269" s="163">
        <v>1385.229</v>
      </c>
      <c r="AA269" s="163">
        <v>1352.2349999999999</v>
      </c>
      <c r="AB269" s="163">
        <v>2.3818444459363861E-2</v>
      </c>
      <c r="AC269" s="163"/>
      <c r="AD269" s="163"/>
      <c r="AE269" s="163"/>
      <c r="AF269" s="163"/>
      <c r="AH269" s="163"/>
      <c r="AI269" s="163">
        <v>570.995</v>
      </c>
      <c r="AJ269" s="163">
        <v>19.033166666666666</v>
      </c>
      <c r="AK269" s="163">
        <v>411.62799999999999</v>
      </c>
      <c r="AL269" s="163">
        <v>53.514000000000003</v>
      </c>
      <c r="AM269" s="163">
        <v>43.253758789481516</v>
      </c>
      <c r="AN269" s="163">
        <v>-1.039323112020881</v>
      </c>
      <c r="AO269" s="163">
        <v>224.43899999999999</v>
      </c>
      <c r="AP269" s="163">
        <v>208.03299999999999</v>
      </c>
      <c r="AQ269" s="163">
        <v>11.791994675960385</v>
      </c>
      <c r="AR269" s="163">
        <v>0.15725434437552721</v>
      </c>
      <c r="AS269" s="163">
        <v>55.045753465441905</v>
      </c>
      <c r="AT269" s="163">
        <v>998.221</v>
      </c>
      <c r="AU269" s="163">
        <v>33.274033333333335</v>
      </c>
      <c r="AV269" s="163">
        <v>744.24599999999998</v>
      </c>
      <c r="AW269" s="163">
        <v>75.984999999999999</v>
      </c>
      <c r="AX269" s="163">
        <v>44.734342395120919</v>
      </c>
      <c r="AY269" s="163">
        <v>0.44126049361852182</v>
      </c>
      <c r="AZ269" s="163">
        <v>386.07600000000002</v>
      </c>
      <c r="BA269" s="163">
        <v>179.767</v>
      </c>
      <c r="BB269" s="163">
        <v>11.602921597521991</v>
      </c>
      <c r="BC269" s="163">
        <v>-3.1818734062866838E-2</v>
      </c>
      <c r="BD269" s="163">
        <v>56.33726399264291</v>
      </c>
      <c r="BE269" s="163">
        <v>1082.4649999999999</v>
      </c>
      <c r="BF269" s="163">
        <v>36.082166666666666</v>
      </c>
      <c r="BG269" s="163">
        <v>798.84299999999996</v>
      </c>
      <c r="BH269" s="163">
        <v>86.302999999999997</v>
      </c>
      <c r="BI269" s="163">
        <v>44.279103712360211</v>
      </c>
      <c r="BJ269" s="163">
        <v>-1.3978189142186181E-2</v>
      </c>
      <c r="BK269" s="163">
        <v>418.96800000000002</v>
      </c>
      <c r="BL269" s="163">
        <v>274.47300000000001</v>
      </c>
      <c r="BM269" s="163">
        <v>11.611497831338658</v>
      </c>
      <c r="BN269" s="163">
        <v>-2.3242500246199782E-2</v>
      </c>
      <c r="BO269" s="163">
        <v>55.890601543698871</v>
      </c>
      <c r="BP269" s="163">
        <v>631.76700000000005</v>
      </c>
      <c r="BQ269" s="163">
        <v>21.058900000000001</v>
      </c>
      <c r="BR269" s="163">
        <v>466.2</v>
      </c>
      <c r="BS269" s="163">
        <v>42.366</v>
      </c>
      <c r="BT269" s="163">
        <v>44.275816875525308</v>
      </c>
      <c r="BU269" s="163">
        <v>-1.726502597708901E-2</v>
      </c>
      <c r="BV269" s="163">
        <v>247.59899999999999</v>
      </c>
      <c r="BW269" s="163">
        <v>259.541</v>
      </c>
      <c r="BX269" s="163">
        <v>11.75745171875074</v>
      </c>
      <c r="BY269" s="163">
        <v>0.12271138716588226</v>
      </c>
      <c r="BZ269" s="163">
        <v>56.033268594276052</v>
      </c>
      <c r="CA269" s="163">
        <v>660.70799999999997</v>
      </c>
      <c r="CB269" s="163">
        <v>22.023599999999998</v>
      </c>
      <c r="CC269" s="163">
        <v>483.79500000000002</v>
      </c>
      <c r="CD269" s="163">
        <v>58.201000000000001</v>
      </c>
      <c r="CE269" s="163">
        <v>43.934234185146849</v>
      </c>
      <c r="CF269" s="163">
        <v>-0.35884771635554813</v>
      </c>
      <c r="CG269" s="163">
        <v>254.70599999999999</v>
      </c>
      <c r="CH269" s="163">
        <v>52.478000000000002</v>
      </c>
      <c r="CI269" s="163">
        <v>11.565139214297391</v>
      </c>
      <c r="CJ269" s="163">
        <v>-6.9601117287467318E-2</v>
      </c>
      <c r="CK269" s="163">
        <v>55.499373399444238</v>
      </c>
      <c r="CL269" s="163">
        <v>800.93399999999997</v>
      </c>
      <c r="CM269" s="163">
        <v>26.697799999999997</v>
      </c>
      <c r="CN269" s="163">
        <v>598.19899999999996</v>
      </c>
      <c r="CO269" s="163">
        <v>49.283999999999999</v>
      </c>
      <c r="CP269" s="163">
        <v>44.812606282165575</v>
      </c>
      <c r="CQ269" s="163">
        <v>0.51952438066317796</v>
      </c>
      <c r="CR269" s="163">
        <v>308.47500000000002</v>
      </c>
      <c r="CS269" s="163">
        <v>59.366999999999997</v>
      </c>
      <c r="CT269" s="163">
        <v>11.554322828098197</v>
      </c>
      <c r="CU269" s="163">
        <v>-8.0417503486660991E-2</v>
      </c>
      <c r="CV269" s="163">
        <v>56.366929110263769</v>
      </c>
      <c r="CW269" s="163"/>
      <c r="CX269" s="163">
        <v>0</v>
      </c>
      <c r="CY269" s="163">
        <v>0</v>
      </c>
      <c r="CZ269" s="163">
        <v>0</v>
      </c>
      <c r="DA269" s="163">
        <v>0</v>
      </c>
      <c r="DB269" s="163">
        <v>0</v>
      </c>
      <c r="DC269" s="163">
        <v>0</v>
      </c>
      <c r="DD269" s="163"/>
      <c r="DE269" s="163">
        <v>137.12</v>
      </c>
      <c r="DF269" s="163">
        <v>79.349000000000004</v>
      </c>
      <c r="DG269" s="163">
        <v>53.73</v>
      </c>
      <c r="DH269" s="163">
        <v>0.57868290548424739</v>
      </c>
      <c r="DI269" s="163">
        <v>119.82599999999999</v>
      </c>
      <c r="DJ269" s="163">
        <v>0.43693844807467908</v>
      </c>
      <c r="DK269" s="163">
        <v>119.36</v>
      </c>
      <c r="DL269" s="163">
        <v>115.69499999999999</v>
      </c>
      <c r="DM269" s="163">
        <v>3.0705428954423644E-2</v>
      </c>
      <c r="DN269" s="163">
        <v>129.00399999999999</v>
      </c>
      <c r="DO269" s="163"/>
      <c r="DP269" s="163">
        <v>75.587999999999994</v>
      </c>
      <c r="DQ269" s="163">
        <v>75.587999999999994</v>
      </c>
      <c r="DR269" s="163">
        <v>1.0156213535589265</v>
      </c>
      <c r="DS269" s="163"/>
      <c r="DT269" s="163">
        <v>132.30600000000001</v>
      </c>
      <c r="DU269" s="163">
        <v>61.06</v>
      </c>
      <c r="DV269" s="163">
        <v>46.96</v>
      </c>
      <c r="DW269" s="163">
        <v>0.46150590298248001</v>
      </c>
      <c r="DX269" s="163">
        <v>39.194000000000003</v>
      </c>
      <c r="DY269" s="163">
        <v>0.14811875500733149</v>
      </c>
      <c r="DZ269" s="163">
        <v>42.81</v>
      </c>
      <c r="EA269" s="163">
        <v>42.198999999999998</v>
      </c>
      <c r="EB269" s="163">
        <v>1.4272366269563283E-2</v>
      </c>
      <c r="EC269" s="163">
        <v>55.277999999999999</v>
      </c>
      <c r="ED269" s="163"/>
      <c r="EE269" s="163">
        <v>48.198999999999998</v>
      </c>
      <c r="EF269" s="163">
        <v>48.198999999999998</v>
      </c>
      <c r="EG269" s="163">
        <v>0.60962465798981147</v>
      </c>
    </row>
    <row r="270" spans="1:137" hidden="1">
      <c r="A270" s="157">
        <v>42491</v>
      </c>
      <c r="B270" s="163">
        <v>4825.8329999999996</v>
      </c>
      <c r="C270" s="163">
        <v>160.86109999999999</v>
      </c>
      <c r="D270" s="163">
        <v>8.5810999999999922</v>
      </c>
      <c r="E270" s="163">
        <v>5.6350801155765629E-2</v>
      </c>
      <c r="F270" s="163">
        <v>3561.181</v>
      </c>
      <c r="G270" s="163"/>
      <c r="H270" s="163"/>
      <c r="I270" s="163">
        <v>343.411</v>
      </c>
      <c r="J270" s="163">
        <v>44.276472061921744</v>
      </c>
      <c r="K270" s="163">
        <v>47.339462430631151</v>
      </c>
      <c r="L270" s="163">
        <v>-0.15053756936885065</v>
      </c>
      <c r="M270" s="163">
        <v>246.358</v>
      </c>
      <c r="N270" s="163">
        <v>46.011000000000003</v>
      </c>
      <c r="O270" s="163">
        <v>1876.184</v>
      </c>
      <c r="P270" s="163">
        <v>2063.2399999999998</v>
      </c>
      <c r="Q270" s="163">
        <v>1001.7</v>
      </c>
      <c r="R270" s="163">
        <v>451.654</v>
      </c>
      <c r="S270" s="163">
        <v>609.88599999999997</v>
      </c>
      <c r="T270" s="163">
        <v>402.89800000000002</v>
      </c>
      <c r="U270" s="163">
        <v>472.57499999999982</v>
      </c>
      <c r="V270" s="163">
        <v>0.23705044686322929</v>
      </c>
      <c r="W270" s="163">
        <v>11.663379151329936</v>
      </c>
      <c r="X270" s="163">
        <v>-6.6620848670064348E-2</v>
      </c>
      <c r="Y270" s="163">
        <v>59.002841581961086</v>
      </c>
      <c r="Z270" s="163">
        <v>1474.278</v>
      </c>
      <c r="AA270" s="163">
        <v>1439.174</v>
      </c>
      <c r="AB270" s="163">
        <v>2.3810977305501434E-2</v>
      </c>
      <c r="AC270" s="163"/>
      <c r="AD270" s="163"/>
      <c r="AE270" s="163"/>
      <c r="AF270" s="163"/>
      <c r="AH270" s="163"/>
      <c r="AI270" s="163">
        <v>597.27099999999996</v>
      </c>
      <c r="AJ270" s="163">
        <v>19.909033333333333</v>
      </c>
      <c r="AK270" s="163">
        <v>435.50799999999998</v>
      </c>
      <c r="AL270" s="163">
        <v>57.256999999999998</v>
      </c>
      <c r="AM270" s="163">
        <v>43.749788621915343</v>
      </c>
      <c r="AN270" s="163">
        <v>-0.52668344000640133</v>
      </c>
      <c r="AO270" s="163">
        <v>236.50299999999999</v>
      </c>
      <c r="AP270" s="163">
        <v>195.93600000000001</v>
      </c>
      <c r="AQ270" s="163">
        <v>11.879180472515825</v>
      </c>
      <c r="AR270" s="163">
        <v>0.21580132118588935</v>
      </c>
      <c r="AS270" s="163">
        <v>55.62896909443117</v>
      </c>
      <c r="AT270" s="163">
        <v>1028.376</v>
      </c>
      <c r="AU270" s="163">
        <v>34.279199999999996</v>
      </c>
      <c r="AV270" s="163">
        <v>765.10500000000002</v>
      </c>
      <c r="AW270" s="163">
        <v>86.596999999999994</v>
      </c>
      <c r="AX270" s="163">
        <v>44.639606525239799</v>
      </c>
      <c r="AY270" s="163">
        <v>0.36313446331805466</v>
      </c>
      <c r="AZ270" s="163">
        <v>397.548</v>
      </c>
      <c r="BA270" s="163">
        <v>168.87299999999999</v>
      </c>
      <c r="BB270" s="163">
        <v>11.597353497164463</v>
      </c>
      <c r="BC270" s="163">
        <v>-6.6025654165473568E-2</v>
      </c>
      <c r="BD270" s="163">
        <v>56.236960022404261</v>
      </c>
      <c r="BE270" s="163">
        <v>1098.826</v>
      </c>
      <c r="BF270" s="163">
        <v>36.627533333333332</v>
      </c>
      <c r="BG270" s="163">
        <v>809.399</v>
      </c>
      <c r="BH270" s="163">
        <v>65.641000000000005</v>
      </c>
      <c r="BI270" s="163">
        <v>44.196205768702235</v>
      </c>
      <c r="BJ270" s="163">
        <v>-8.0266293219509066E-2</v>
      </c>
      <c r="BK270" s="163">
        <v>426.24700000000001</v>
      </c>
      <c r="BL270" s="163">
        <v>287.14499999999998</v>
      </c>
      <c r="BM270" s="163">
        <v>11.637338395705964</v>
      </c>
      <c r="BN270" s="163">
        <v>-2.6040755623972345E-2</v>
      </c>
      <c r="BO270" s="163">
        <v>55.833544164408195</v>
      </c>
      <c r="BP270" s="163">
        <v>648.69600000000003</v>
      </c>
      <c r="BQ270" s="163">
        <v>21.623200000000001</v>
      </c>
      <c r="BR270" s="163">
        <v>476.75400000000002</v>
      </c>
      <c r="BS270" s="163">
        <v>44.241</v>
      </c>
      <c r="BT270" s="163">
        <v>44.096525953605386</v>
      </c>
      <c r="BU270" s="163">
        <v>-0.17994610831635782</v>
      </c>
      <c r="BV270" s="163">
        <v>253.268</v>
      </c>
      <c r="BW270" s="163">
        <v>247.44300000000001</v>
      </c>
      <c r="BX270" s="163">
        <v>11.712789966332457</v>
      </c>
      <c r="BY270" s="163">
        <v>4.9410815002520536E-2</v>
      </c>
      <c r="BZ270" s="163">
        <v>55.809315919937845</v>
      </c>
      <c r="CA270" s="163">
        <v>649.71199999999999</v>
      </c>
      <c r="CB270" s="163">
        <v>21.657066666666665</v>
      </c>
      <c r="CC270" s="163">
        <v>473.892</v>
      </c>
      <c r="CD270" s="163">
        <v>41.856999999999999</v>
      </c>
      <c r="CE270" s="163">
        <v>43.763267416947819</v>
      </c>
      <c r="CF270" s="163">
        <v>-0.51320464497392493</v>
      </c>
      <c r="CG270" s="163">
        <v>250.78</v>
      </c>
      <c r="CH270" s="163">
        <v>54.030999999999999</v>
      </c>
      <c r="CI270" s="163">
        <v>11.579592188538923</v>
      </c>
      <c r="CJ270" s="163">
        <v>-8.3786962791013053E-2</v>
      </c>
      <c r="CK270" s="163">
        <v>55.342859605486744</v>
      </c>
      <c r="CL270" s="163">
        <v>802.952</v>
      </c>
      <c r="CM270" s="163">
        <v>26.765066666666666</v>
      </c>
      <c r="CN270" s="163">
        <v>600.52300000000002</v>
      </c>
      <c r="CO270" s="163">
        <v>47.817999999999998</v>
      </c>
      <c r="CP270" s="163">
        <v>44.873641263736815</v>
      </c>
      <c r="CQ270" s="163">
        <v>0.59716920181507049</v>
      </c>
      <c r="CR270" s="163">
        <v>311.83800000000002</v>
      </c>
      <c r="CS270" s="163">
        <v>48.271999999999998</v>
      </c>
      <c r="CT270" s="163">
        <v>11.650933057019598</v>
      </c>
      <c r="CU270" s="163">
        <v>-1.2446094310337941E-2</v>
      </c>
      <c r="CV270" s="163">
        <v>56.524574320756415</v>
      </c>
      <c r="CW270" s="163"/>
      <c r="CX270" s="163">
        <v>0</v>
      </c>
      <c r="CY270" s="163">
        <v>0</v>
      </c>
      <c r="CZ270" s="163">
        <v>0</v>
      </c>
      <c r="DA270" s="163">
        <v>0</v>
      </c>
      <c r="DB270" s="163">
        <v>0</v>
      </c>
      <c r="DC270" s="163">
        <v>0</v>
      </c>
      <c r="DD270" s="163"/>
      <c r="DE270" s="163">
        <v>131.68799999999999</v>
      </c>
      <c r="DF270" s="163">
        <v>76.308000000000007</v>
      </c>
      <c r="DG270" s="163">
        <v>53.784999999999997</v>
      </c>
      <c r="DH270" s="163">
        <v>0.57946054310187722</v>
      </c>
      <c r="DI270" s="163">
        <v>112.422</v>
      </c>
      <c r="DJ270" s="163">
        <v>0.42684982686349554</v>
      </c>
      <c r="DK270" s="163">
        <v>140.46100000000001</v>
      </c>
      <c r="DL270" s="163">
        <v>136.50200000000001</v>
      </c>
      <c r="DM270" s="163">
        <v>2.8185759748257544E-2</v>
      </c>
      <c r="DN270" s="163">
        <v>148.30099999999999</v>
      </c>
      <c r="DO270" s="163"/>
      <c r="DP270" s="163">
        <v>66.343000000000004</v>
      </c>
      <c r="DQ270" s="163">
        <v>66.343000000000004</v>
      </c>
      <c r="DR270" s="163">
        <v>1.0063103699653728</v>
      </c>
      <c r="DS270" s="163"/>
      <c r="DT270" s="163">
        <v>126.89100000000001</v>
      </c>
      <c r="DU270" s="163">
        <v>57.448</v>
      </c>
      <c r="DV270" s="163">
        <v>53.735999999999997</v>
      </c>
      <c r="DW270" s="163">
        <v>0.45273502454862835</v>
      </c>
      <c r="DX270" s="163">
        <v>38.433999999999997</v>
      </c>
      <c r="DY270" s="163">
        <v>0.15144494093355712</v>
      </c>
      <c r="DZ270" s="163">
        <v>44.374000000000002</v>
      </c>
      <c r="EA270" s="163">
        <v>43.917000000000002</v>
      </c>
      <c r="EB270" s="163">
        <v>1.0298823635462223E-2</v>
      </c>
      <c r="EC270" s="163">
        <v>44.018000000000001</v>
      </c>
      <c r="ED270" s="163"/>
      <c r="EE270" s="163">
        <v>54.869</v>
      </c>
      <c r="EF270" s="163">
        <v>54.869</v>
      </c>
      <c r="EG270" s="163">
        <v>0.60417996548218544</v>
      </c>
    </row>
    <row r="271" spans="1:137" hidden="1">
      <c r="A271" s="157">
        <v>42522</v>
      </c>
      <c r="B271" s="163">
        <v>4623.7520000000004</v>
      </c>
      <c r="C271" s="163">
        <v>154.12506666666667</v>
      </c>
      <c r="D271" s="163">
        <v>9.0750666666666575</v>
      </c>
      <c r="E271" s="163">
        <v>6.2565092496840169E-2</v>
      </c>
      <c r="F271" s="163">
        <v>3411.0990000000002</v>
      </c>
      <c r="G271" s="163"/>
      <c r="H271" s="163"/>
      <c r="I271" s="163">
        <v>281.03800000000001</v>
      </c>
      <c r="J271" s="163">
        <v>44.264039247779728</v>
      </c>
      <c r="K271" s="163">
        <v>47.317325842735507</v>
      </c>
      <c r="L271" s="163">
        <v>-7.2674157264493999E-2</v>
      </c>
      <c r="M271" s="163">
        <v>235.29400000000001</v>
      </c>
      <c r="N271" s="163">
        <v>30.119</v>
      </c>
      <c r="O271" s="163">
        <v>1787.2339999999999</v>
      </c>
      <c r="P271" s="163">
        <v>2042.7380000000001</v>
      </c>
      <c r="Q271" s="163">
        <v>941.37300000000005</v>
      </c>
      <c r="R271" s="163">
        <v>425.779</v>
      </c>
      <c r="S271" s="163">
        <v>675.58600000000001</v>
      </c>
      <c r="T271" s="163">
        <v>381.39600000000002</v>
      </c>
      <c r="U271" s="163">
        <v>439.1579999999999</v>
      </c>
      <c r="V271" s="163">
        <v>0.22124096210735034</v>
      </c>
      <c r="W271" s="163">
        <v>11.595998228278679</v>
      </c>
      <c r="X271" s="163">
        <v>-6.4001771721320821E-2</v>
      </c>
      <c r="Y271" s="163">
        <v>58.913324071014188</v>
      </c>
      <c r="Z271" s="163">
        <v>1407.2819999999999</v>
      </c>
      <c r="AA271" s="163">
        <v>1373.8979999999999</v>
      </c>
      <c r="AB271" s="163">
        <v>2.3722324310266184E-2</v>
      </c>
      <c r="AC271" s="163"/>
      <c r="AD271" s="163"/>
      <c r="AE271" s="163"/>
      <c r="AF271" s="163"/>
      <c r="AH271" s="163"/>
      <c r="AI271" s="163">
        <v>526.30399999999997</v>
      </c>
      <c r="AJ271" s="163">
        <v>17.543466666666667</v>
      </c>
      <c r="AK271" s="163">
        <v>377.88499999999999</v>
      </c>
      <c r="AL271" s="163">
        <v>33.058</v>
      </c>
      <c r="AM271" s="163">
        <v>43.079854988751748</v>
      </c>
      <c r="AN271" s="163">
        <v>-1.1841842590279796</v>
      </c>
      <c r="AO271" s="163">
        <v>205.48</v>
      </c>
      <c r="AP271" s="163">
        <v>170.858</v>
      </c>
      <c r="AQ271" s="163">
        <v>11.712622362740925</v>
      </c>
      <c r="AR271" s="163">
        <v>0.11662413446224562</v>
      </c>
      <c r="AS271" s="163">
        <v>54.792477351492671</v>
      </c>
      <c r="AT271" s="163">
        <v>972.01</v>
      </c>
      <c r="AU271" s="163">
        <v>32.400333333333336</v>
      </c>
      <c r="AV271" s="163">
        <v>718.66700000000003</v>
      </c>
      <c r="AW271" s="163">
        <v>84.343999999999994</v>
      </c>
      <c r="AX271" s="163">
        <v>44.361704097694464</v>
      </c>
      <c r="AY271" s="163">
        <v>9.7664849914735896E-2</v>
      </c>
      <c r="AZ271" s="163">
        <v>370.61799999999999</v>
      </c>
      <c r="BA271" s="163">
        <v>183.05099999999999</v>
      </c>
      <c r="BB271" s="163">
        <v>11.438709478297547</v>
      </c>
      <c r="BC271" s="163">
        <v>-0.15728874998113263</v>
      </c>
      <c r="BD271" s="163">
        <v>55.80041357599201</v>
      </c>
      <c r="BE271" s="163">
        <v>1077.5840000000001</v>
      </c>
      <c r="BF271" s="163">
        <v>35.919466666666672</v>
      </c>
      <c r="BG271" s="163">
        <v>801.86500000000001</v>
      </c>
      <c r="BH271" s="163">
        <v>81.715999999999994</v>
      </c>
      <c r="BI271" s="163">
        <v>44.647934638970135</v>
      </c>
      <c r="BJ271" s="163">
        <v>0.38389539119040705</v>
      </c>
      <c r="BK271" s="163">
        <v>419.149</v>
      </c>
      <c r="BL271" s="163">
        <v>298.73099999999999</v>
      </c>
      <c r="BM271" s="163">
        <v>11.669132058382454</v>
      </c>
      <c r="BN271" s="163">
        <v>7.31338301037745E-2</v>
      </c>
      <c r="BO271" s="163">
        <v>56.317066697352587</v>
      </c>
      <c r="BP271" s="163">
        <v>625.97799999999995</v>
      </c>
      <c r="BQ271" s="163">
        <v>20.865933333333331</v>
      </c>
      <c r="BR271" s="163">
        <v>464.39100000000002</v>
      </c>
      <c r="BS271" s="163">
        <v>26.266999999999999</v>
      </c>
      <c r="BT271" s="163">
        <v>44.51188380422316</v>
      </c>
      <c r="BU271" s="163">
        <v>0.2478445564434324</v>
      </c>
      <c r="BV271" s="163">
        <v>245.23599999999999</v>
      </c>
      <c r="BW271" s="163">
        <v>196.292</v>
      </c>
      <c r="BX271" s="163">
        <v>11.752937004175866</v>
      </c>
      <c r="BY271" s="163">
        <v>0.15693877589718674</v>
      </c>
      <c r="BZ271" s="163">
        <v>56.264820808399023</v>
      </c>
      <c r="CA271" s="163">
        <v>656.65</v>
      </c>
      <c r="CB271" s="163">
        <v>21.888333333333332</v>
      </c>
      <c r="CC271" s="163">
        <v>481.28300000000002</v>
      </c>
      <c r="CD271" s="163">
        <v>32.573999999999998</v>
      </c>
      <c r="CE271" s="163">
        <v>43.976212594228286</v>
      </c>
      <c r="CF271" s="163">
        <v>-0.28782665355144132</v>
      </c>
      <c r="CG271" s="163">
        <v>251.559</v>
      </c>
      <c r="CH271" s="163">
        <v>55.372999999999998</v>
      </c>
      <c r="CI271" s="163">
        <v>11.492834843523948</v>
      </c>
      <c r="CJ271" s="163">
        <v>-0.10316338475473152</v>
      </c>
      <c r="CK271" s="163">
        <v>55.469047437752238</v>
      </c>
      <c r="CL271" s="163">
        <v>765.226</v>
      </c>
      <c r="CM271" s="163">
        <v>25.507533333333335</v>
      </c>
      <c r="CN271" s="163">
        <v>567.00800000000004</v>
      </c>
      <c r="CO271" s="163">
        <v>23.079000000000001</v>
      </c>
      <c r="CP271" s="163">
        <v>44.458081664763093</v>
      </c>
      <c r="CQ271" s="163">
        <v>0.19404241698336477</v>
      </c>
      <c r="CR271" s="163">
        <v>295.19200000000001</v>
      </c>
      <c r="CS271" s="163">
        <v>37.067999999999998</v>
      </c>
      <c r="CT271" s="163">
        <v>11.572737988515811</v>
      </c>
      <c r="CU271" s="163">
        <v>-2.326023976286784E-2</v>
      </c>
      <c r="CV271" s="163">
        <v>56.030819653278904</v>
      </c>
      <c r="CW271" s="163"/>
      <c r="CX271" s="163">
        <v>0</v>
      </c>
      <c r="CY271" s="163">
        <v>0</v>
      </c>
      <c r="CZ271" s="163">
        <v>0</v>
      </c>
      <c r="DA271" s="163">
        <v>0</v>
      </c>
      <c r="DB271" s="163">
        <v>0</v>
      </c>
      <c r="DC271" s="163">
        <v>0</v>
      </c>
      <c r="DD271" s="163"/>
      <c r="DE271" s="163">
        <v>202.41499999999999</v>
      </c>
      <c r="DF271" s="163">
        <v>116.628</v>
      </c>
      <c r="DG271" s="163"/>
      <c r="DH271" s="163">
        <v>0.57618259516340198</v>
      </c>
      <c r="DI271" s="163">
        <v>174.761</v>
      </c>
      <c r="DJ271" s="163">
        <v>0.43168984512017389</v>
      </c>
      <c r="DK271" s="163">
        <v>164.125</v>
      </c>
      <c r="DL271" s="163">
        <v>159.596</v>
      </c>
      <c r="DM271" s="163">
        <v>2.7594821020563574E-2</v>
      </c>
      <c r="DN271" s="163">
        <v>168.648</v>
      </c>
      <c r="DO271" s="163"/>
      <c r="DP271" s="163">
        <v>53.773000000000003</v>
      </c>
      <c r="DQ271" s="163">
        <v>53.773000000000003</v>
      </c>
      <c r="DR271" s="163">
        <v>1.0078724402835759</v>
      </c>
      <c r="DS271" s="163"/>
      <c r="DT271" s="163">
        <v>114.374</v>
      </c>
      <c r="DU271" s="163">
        <v>51.991999999999997</v>
      </c>
      <c r="DV271" s="163">
        <v>50.106000000000002</v>
      </c>
      <c r="DW271" s="163">
        <v>0.4545788378477626</v>
      </c>
      <c r="DX271" s="163">
        <v>32.182000000000002</v>
      </c>
      <c r="DY271" s="163">
        <v>0.14068756885306102</v>
      </c>
      <c r="DZ271" s="163">
        <v>37.728000000000002</v>
      </c>
      <c r="EA271" s="163">
        <v>37.4</v>
      </c>
      <c r="EB271" s="163">
        <v>8.6938083121290005E-3</v>
      </c>
      <c r="EC271" s="163">
        <v>46.009</v>
      </c>
      <c r="ED271" s="163"/>
      <c r="EE271" s="163">
        <v>47.026000000000003</v>
      </c>
      <c r="EF271" s="163">
        <v>47.026000000000003</v>
      </c>
      <c r="EG271" s="163">
        <v>0.59526640670082365</v>
      </c>
    </row>
    <row r="272" spans="1:137" hidden="1">
      <c r="A272" s="157">
        <v>42552</v>
      </c>
      <c r="B272" s="163">
        <v>4603.5429999999997</v>
      </c>
      <c r="C272" s="163">
        <v>153.45143333333331</v>
      </c>
      <c r="D272" s="163">
        <v>9.7364333333333093</v>
      </c>
      <c r="E272" s="163">
        <v>6.7748205360145475E-2</v>
      </c>
      <c r="F272" s="163">
        <v>3403.386</v>
      </c>
      <c r="G272" s="163"/>
      <c r="H272" s="163"/>
      <c r="I272" s="163">
        <v>419.80200000000002</v>
      </c>
      <c r="J272" s="163">
        <v>44.357826135218033</v>
      </c>
      <c r="K272" s="163">
        <v>47.496343577110068</v>
      </c>
      <c r="L272" s="163">
        <v>-0.17365642288993399</v>
      </c>
      <c r="M272" s="163">
        <v>240.80500000000001</v>
      </c>
      <c r="N272" s="163">
        <v>39.832000000000001</v>
      </c>
      <c r="O272" s="163">
        <v>1789.356</v>
      </c>
      <c r="P272" s="163">
        <v>1865.797</v>
      </c>
      <c r="Q272" s="163">
        <v>823.75300000000004</v>
      </c>
      <c r="R272" s="163">
        <v>379.435</v>
      </c>
      <c r="S272" s="163">
        <v>662.60900000000004</v>
      </c>
      <c r="T272" s="163">
        <v>348.48099999999999</v>
      </c>
      <c r="U272" s="163">
        <v>471.09400000000028</v>
      </c>
      <c r="V272" s="163">
        <v>0.27024915327355026</v>
      </c>
      <c r="W272" s="163">
        <v>11.660731745092857</v>
      </c>
      <c r="X272" s="163">
        <v>-8.0268254907142733E-2</v>
      </c>
      <c r="Y272" s="163">
        <v>59.157075322202928</v>
      </c>
      <c r="Z272" s="163">
        <v>1469.7470000000001</v>
      </c>
      <c r="AA272" s="163">
        <v>1435.6079999999999</v>
      </c>
      <c r="AB272" s="163">
        <v>2.3227807234850708E-2</v>
      </c>
      <c r="AC272" s="163"/>
      <c r="AD272" s="163"/>
      <c r="AE272" s="163"/>
      <c r="AF272" s="163"/>
      <c r="AH272" s="163"/>
      <c r="AI272" s="163">
        <v>452.36099999999999</v>
      </c>
      <c r="AJ272" s="163">
        <v>15.0787</v>
      </c>
      <c r="AK272" s="163">
        <v>325.90300000000002</v>
      </c>
      <c r="AL272" s="163">
        <v>51.325000000000003</v>
      </c>
      <c r="AM272" s="163">
        <v>43.226936009072404</v>
      </c>
      <c r="AN272" s="163">
        <v>-1.1308901261456299</v>
      </c>
      <c r="AO272" s="163">
        <v>180.48099999999999</v>
      </c>
      <c r="AP272" s="163">
        <v>131.00299999999999</v>
      </c>
      <c r="AQ272" s="163">
        <v>11.969267907710877</v>
      </c>
      <c r="AR272" s="163">
        <v>0.30853616261802053</v>
      </c>
      <c r="AS272" s="163">
        <v>55.196203916783283</v>
      </c>
      <c r="AT272" s="163">
        <v>1049.7560000000001</v>
      </c>
      <c r="AU272" s="163">
        <v>34.991866666666667</v>
      </c>
      <c r="AV272" s="163">
        <v>784.15700000000004</v>
      </c>
      <c r="AW272" s="163">
        <v>78.619</v>
      </c>
      <c r="AX272" s="163">
        <v>44.819386600314743</v>
      </c>
      <c r="AY272" s="163">
        <v>0.46156046509671</v>
      </c>
      <c r="AZ272" s="163">
        <v>408.17599999999999</v>
      </c>
      <c r="BA272" s="163">
        <v>165.36799999999999</v>
      </c>
      <c r="BB272" s="163">
        <v>11.664882124989045</v>
      </c>
      <c r="BC272" s="163">
        <v>4.1503798961883831E-3</v>
      </c>
      <c r="BD272" s="163">
        <v>56.484268725303792</v>
      </c>
      <c r="BE272" s="163">
        <v>1050.1969999999999</v>
      </c>
      <c r="BF272" s="163">
        <v>35.006566666666664</v>
      </c>
      <c r="BG272" s="163">
        <v>771.93799999999999</v>
      </c>
      <c r="BH272" s="163">
        <v>106.52</v>
      </c>
      <c r="BI272" s="163">
        <v>44.102468394025124</v>
      </c>
      <c r="BJ272" s="163">
        <v>-0.25535774119290977</v>
      </c>
      <c r="BK272" s="163">
        <v>406.71499999999997</v>
      </c>
      <c r="BL272" s="163">
        <v>243.72900000000001</v>
      </c>
      <c r="BM272" s="163">
        <v>11.618248766659969</v>
      </c>
      <c r="BN272" s="163">
        <v>-4.2482978432888174E-2</v>
      </c>
      <c r="BO272" s="163">
        <v>55.720717160685091</v>
      </c>
      <c r="BP272" s="163">
        <v>701.39</v>
      </c>
      <c r="BQ272" s="163">
        <v>23.379666666666665</v>
      </c>
      <c r="BR272" s="163">
        <v>519.44299999999998</v>
      </c>
      <c r="BS272" s="163">
        <v>46.051000000000002</v>
      </c>
      <c r="BT272" s="163">
        <v>44.435449607208547</v>
      </c>
      <c r="BU272" s="163">
        <v>7.7623471990513337E-2</v>
      </c>
      <c r="BV272" s="163">
        <v>272.38600000000002</v>
      </c>
      <c r="BW272" s="163">
        <v>201.66499999999999</v>
      </c>
      <c r="BX272" s="163">
        <v>11.650551048632003</v>
      </c>
      <c r="BY272" s="163">
        <v>-1.0180696460853511E-2</v>
      </c>
      <c r="BZ272" s="163">
        <v>56.08600065584055</v>
      </c>
      <c r="CA272" s="163">
        <v>610.36</v>
      </c>
      <c r="CB272" s="163">
        <v>20.345333333333333</v>
      </c>
      <c r="CC272" s="163">
        <v>455.49</v>
      </c>
      <c r="CD272" s="163">
        <v>71.236000000000004</v>
      </c>
      <c r="CE272" s="163">
        <v>44.775869978373422</v>
      </c>
      <c r="CF272" s="163">
        <v>0.41804384315538812</v>
      </c>
      <c r="CG272" s="163">
        <v>235.24</v>
      </c>
      <c r="CH272" s="163">
        <v>38.128999999999998</v>
      </c>
      <c r="CI272" s="163">
        <v>11.562356641981783</v>
      </c>
      <c r="CJ272" s="163">
        <v>-9.8375103111074225E-2</v>
      </c>
      <c r="CK272" s="163">
        <v>56.338226620355201</v>
      </c>
      <c r="CL272" s="163">
        <v>739.47900000000004</v>
      </c>
      <c r="CM272" s="163">
        <v>24.6493</v>
      </c>
      <c r="CN272" s="163">
        <v>546.45500000000004</v>
      </c>
      <c r="CO272" s="163">
        <v>66.051000000000002</v>
      </c>
      <c r="CP272" s="163">
        <v>44.338378777490639</v>
      </c>
      <c r="CQ272" s="163">
        <v>-1.9447357727393921E-2</v>
      </c>
      <c r="CR272" s="163">
        <v>286.358</v>
      </c>
      <c r="CS272" s="163">
        <v>43.859000000000002</v>
      </c>
      <c r="CT272" s="163">
        <v>11.617287306333242</v>
      </c>
      <c r="CU272" s="163">
        <v>-4.3444438759614457E-2</v>
      </c>
      <c r="CV272" s="163">
        <v>55.955666083823886</v>
      </c>
      <c r="CW272" s="163"/>
      <c r="CX272" s="163">
        <v>0</v>
      </c>
      <c r="CY272" s="163">
        <v>0</v>
      </c>
      <c r="CZ272" s="163">
        <v>0</v>
      </c>
      <c r="DA272" s="163">
        <v>0</v>
      </c>
      <c r="DB272" s="163">
        <v>0</v>
      </c>
      <c r="DC272" s="163">
        <v>0</v>
      </c>
      <c r="DD272" s="163"/>
      <c r="DE272" s="163">
        <v>201.506</v>
      </c>
      <c r="DF272" s="163">
        <v>110.072</v>
      </c>
      <c r="DG272" s="163"/>
      <c r="DH272" s="163">
        <v>0.5462467618830209</v>
      </c>
      <c r="DI272" s="163">
        <v>162.239</v>
      </c>
      <c r="DJ272" s="163">
        <v>0.40256617668952788</v>
      </c>
      <c r="DK272" s="163">
        <v>142.79900000000001</v>
      </c>
      <c r="DL272" s="163">
        <v>137.673</v>
      </c>
      <c r="DM272" s="163">
        <v>3.589660992023757E-2</v>
      </c>
      <c r="DN272" s="163">
        <v>153.08799999999999</v>
      </c>
      <c r="DO272" s="163"/>
      <c r="DP272" s="163">
        <v>54.753999999999998</v>
      </c>
      <c r="DQ272" s="163">
        <v>54.753999999999998</v>
      </c>
      <c r="DR272" s="163">
        <v>0.94881293857254878</v>
      </c>
      <c r="DS272" s="163"/>
      <c r="DT272" s="163"/>
      <c r="DU272" s="163"/>
      <c r="DV272" s="163">
        <v>34.109000000000002</v>
      </c>
      <c r="DW272" s="163"/>
      <c r="DX272" s="163"/>
      <c r="DY272" s="163"/>
      <c r="DZ272" s="163">
        <v>26.59</v>
      </c>
      <c r="EA272" s="163">
        <v>26.18</v>
      </c>
      <c r="EB272" s="163">
        <v>1.5419330575404292E-2</v>
      </c>
      <c r="EC272" s="163">
        <v>37.499000000000002</v>
      </c>
      <c r="ED272" s="163"/>
      <c r="EE272" s="163">
        <v>43.548999999999999</v>
      </c>
      <c r="EF272" s="163">
        <v>43.548999999999999</v>
      </c>
      <c r="EG272" s="163"/>
    </row>
    <row r="273" spans="1:137" hidden="1">
      <c r="A273" s="157">
        <v>42583</v>
      </c>
      <c r="B273" s="163">
        <v>4218.7889999999998</v>
      </c>
      <c r="C273" s="163">
        <v>140.62629999999999</v>
      </c>
      <c r="D273" s="163">
        <v>8.8042999999999836</v>
      </c>
      <c r="E273" s="163">
        <v>6.6789306792492731E-2</v>
      </c>
      <c r="F273" s="163">
        <v>3111.3009999999999</v>
      </c>
      <c r="G273" s="163"/>
      <c r="H273" s="163"/>
      <c r="I273" s="163">
        <v>247.79900000000001</v>
      </c>
      <c r="J273" s="163">
        <v>44.249205162903387</v>
      </c>
      <c r="K273" s="163">
        <v>47.3362237362428</v>
      </c>
      <c r="L273" s="163">
        <v>-0.20377626375719871</v>
      </c>
      <c r="M273" s="163">
        <v>217.05799999999999</v>
      </c>
      <c r="N273" s="163">
        <v>26.866</v>
      </c>
      <c r="O273" s="163">
        <v>1642.4780000000001</v>
      </c>
      <c r="P273" s="163">
        <v>1666.5309999999999</v>
      </c>
      <c r="Q273" s="163">
        <v>705.83600000000001</v>
      </c>
      <c r="R273" s="163">
        <v>279.62099999999998</v>
      </c>
      <c r="S273" s="163">
        <v>681.07399999999996</v>
      </c>
      <c r="T273" s="163">
        <v>319.21199999999999</v>
      </c>
      <c r="U273" s="163">
        <v>365.46399999999994</v>
      </c>
      <c r="V273" s="163">
        <v>0.22555621593565056</v>
      </c>
      <c r="W273" s="163">
        <v>11.679735582888835</v>
      </c>
      <c r="X273" s="163">
        <v>-0.13026441711116554</v>
      </c>
      <c r="Y273" s="163">
        <v>59.015959319131639</v>
      </c>
      <c r="Z273" s="163">
        <v>1455.355</v>
      </c>
      <c r="AA273" s="163">
        <v>1426.954</v>
      </c>
      <c r="AB273" s="163">
        <v>1.9514826279498864E-2</v>
      </c>
      <c r="AC273" s="163"/>
      <c r="AD273" s="163"/>
      <c r="AE273" s="163"/>
      <c r="AF273" s="163"/>
      <c r="AH273" s="163"/>
      <c r="AI273" s="163">
        <v>472.76100000000002</v>
      </c>
      <c r="AJ273" s="163">
        <v>15.758700000000001</v>
      </c>
      <c r="AK273" s="163">
        <v>342.98099999999999</v>
      </c>
      <c r="AL273" s="163">
        <v>34.57</v>
      </c>
      <c r="AM273" s="163">
        <v>43.529098212415995</v>
      </c>
      <c r="AN273" s="163">
        <v>-0.72010695048739137</v>
      </c>
      <c r="AO273" s="163">
        <v>188.44900000000001</v>
      </c>
      <c r="AP273" s="163">
        <v>128.64400000000001</v>
      </c>
      <c r="AQ273" s="163">
        <v>11.958410274959229</v>
      </c>
      <c r="AR273" s="163">
        <v>0.27867469207039441</v>
      </c>
      <c r="AS273" s="163">
        <v>55.487508487375223</v>
      </c>
      <c r="AT273" s="163">
        <v>1093.723</v>
      </c>
      <c r="AU273" s="163">
        <v>36.457433333333334</v>
      </c>
      <c r="AV273" s="163">
        <v>812.02599999999995</v>
      </c>
      <c r="AW273" s="163">
        <v>53.075000000000003</v>
      </c>
      <c r="AX273" s="163">
        <v>44.546525948526266</v>
      </c>
      <c r="AY273" s="163">
        <v>0.29732078562287967</v>
      </c>
      <c r="AZ273" s="163">
        <v>420.59100000000001</v>
      </c>
      <c r="BA273" s="163">
        <v>151.834</v>
      </c>
      <c r="BB273" s="163">
        <v>11.5364950723355</v>
      </c>
      <c r="BC273" s="163">
        <v>-0.1432405105533352</v>
      </c>
      <c r="BD273" s="163">
        <v>56.083021020861764</v>
      </c>
      <c r="BE273" s="163">
        <v>897.15899999999999</v>
      </c>
      <c r="BF273" s="163">
        <v>29.9053</v>
      </c>
      <c r="BG273" s="163">
        <v>658.529</v>
      </c>
      <c r="BH273" s="163">
        <v>38.238999999999997</v>
      </c>
      <c r="BI273" s="163">
        <v>44.04095595095184</v>
      </c>
      <c r="BJ273" s="163">
        <v>-0.20824921195154644</v>
      </c>
      <c r="BK273" s="163">
        <v>348.78899999999999</v>
      </c>
      <c r="BL273" s="163">
        <v>184.11500000000001</v>
      </c>
      <c r="BM273" s="163">
        <v>11.663116571310102</v>
      </c>
      <c r="BN273" s="163">
        <v>-1.6619011578733023E-2</v>
      </c>
      <c r="BO273" s="163">
        <v>55.704072522261939</v>
      </c>
      <c r="BP273" s="163">
        <v>653.30700000000002</v>
      </c>
      <c r="BQ273" s="163">
        <v>21.776900000000001</v>
      </c>
      <c r="BR273" s="163">
        <v>482.26400000000001</v>
      </c>
      <c r="BS273" s="163">
        <v>26.997</v>
      </c>
      <c r="BT273" s="163">
        <v>44.291336232429778</v>
      </c>
      <c r="BU273" s="163">
        <v>4.2131069526391229E-2</v>
      </c>
      <c r="BV273" s="163">
        <v>255.97200000000001</v>
      </c>
      <c r="BW273" s="163">
        <v>156.947</v>
      </c>
      <c r="BX273" s="163">
        <v>11.754290096386537</v>
      </c>
      <c r="BY273" s="163">
        <v>7.4554513497702146E-2</v>
      </c>
      <c r="BZ273" s="163">
        <v>56.045626328816311</v>
      </c>
      <c r="CA273" s="163">
        <v>483.971</v>
      </c>
      <c r="CB273" s="163">
        <v>16.132366666666666</v>
      </c>
      <c r="CC273" s="163">
        <v>355.68599999999998</v>
      </c>
      <c r="CD273" s="163">
        <v>46.088999999999999</v>
      </c>
      <c r="CE273" s="163">
        <v>44.095947897704612</v>
      </c>
      <c r="CF273" s="163">
        <v>-0.15325726519877492</v>
      </c>
      <c r="CG273" s="163">
        <v>188.67</v>
      </c>
      <c r="CH273" s="163">
        <v>36.478000000000002</v>
      </c>
      <c r="CI273" s="163">
        <v>11.695122228397983</v>
      </c>
      <c r="CJ273" s="163">
        <v>1.5386645509147812E-2</v>
      </c>
      <c r="CK273" s="163">
        <v>55.791070126102596</v>
      </c>
      <c r="CL273" s="163">
        <v>617.86800000000005</v>
      </c>
      <c r="CM273" s="163">
        <v>20.595600000000001</v>
      </c>
      <c r="CN273" s="163">
        <v>459.815</v>
      </c>
      <c r="CO273" s="163">
        <v>48.829000000000001</v>
      </c>
      <c r="CP273" s="163">
        <v>44.651770281030899</v>
      </c>
      <c r="CQ273" s="163">
        <v>0.40256511812751228</v>
      </c>
      <c r="CR273" s="163">
        <v>240.00700000000001</v>
      </c>
      <c r="CS273" s="163">
        <v>47.817999999999998</v>
      </c>
      <c r="CT273" s="163">
        <v>11.653314300141778</v>
      </c>
      <c r="CU273" s="163">
        <v>-2.6421282747056907E-2</v>
      </c>
      <c r="CV273" s="163">
        <v>56.305084581172679</v>
      </c>
      <c r="CW273" s="163"/>
      <c r="CX273" s="163">
        <v>0</v>
      </c>
      <c r="CY273" s="163">
        <v>0</v>
      </c>
      <c r="CZ273" s="163">
        <v>0</v>
      </c>
      <c r="DA273" s="163">
        <v>0</v>
      </c>
      <c r="DB273" s="163">
        <v>0</v>
      </c>
      <c r="DC273" s="163">
        <v>0</v>
      </c>
      <c r="DD273" s="163"/>
      <c r="DE273" s="163">
        <v>174.16399999999999</v>
      </c>
      <c r="DF273" s="163">
        <v>101.35299999999999</v>
      </c>
      <c r="DG273" s="163"/>
      <c r="DH273" s="163">
        <v>0.58194001056475508</v>
      </c>
      <c r="DI273" s="163">
        <v>146.06</v>
      </c>
      <c r="DJ273" s="163">
        <v>0.41931742495578883</v>
      </c>
      <c r="DK273" s="163">
        <v>118.238</v>
      </c>
      <c r="DL273" s="163">
        <v>114.497</v>
      </c>
      <c r="DM273" s="163">
        <v>3.1639574417699892E-2</v>
      </c>
      <c r="DN273" s="163">
        <v>144.02500000000001</v>
      </c>
      <c r="DO273" s="163">
        <v>252.30500000000001</v>
      </c>
      <c r="DP273" s="163">
        <v>48.570999999999998</v>
      </c>
      <c r="DQ273" s="163">
        <v>300.87599999999998</v>
      </c>
      <c r="DR273" s="163">
        <v>1.0012574355205439</v>
      </c>
      <c r="DS273" s="163"/>
      <c r="DT273" s="163">
        <v>109.126</v>
      </c>
      <c r="DU273" s="163">
        <v>47.094000000000001</v>
      </c>
      <c r="DV273" s="163">
        <v>22.364000000000001</v>
      </c>
      <c r="DW273" s="163">
        <v>0.43155618276121183</v>
      </c>
      <c r="DX273" s="163">
        <v>32.792000000000002</v>
      </c>
      <c r="DY273" s="163">
        <v>0.15024833678500082</v>
      </c>
      <c r="DZ273" s="163">
        <v>38.905999999999999</v>
      </c>
      <c r="EA273" s="163">
        <v>38.445</v>
      </c>
      <c r="EB273" s="163">
        <v>1.1849072122551754E-2</v>
      </c>
      <c r="EC273" s="163">
        <v>34.481999999999999</v>
      </c>
      <c r="ED273" s="163"/>
      <c r="EE273" s="163">
        <v>43.057000000000002</v>
      </c>
      <c r="EF273" s="163">
        <v>43.057000000000002</v>
      </c>
      <c r="EG273" s="163">
        <v>0.58180451954621271</v>
      </c>
    </row>
    <row r="274" spans="1:137" hidden="1">
      <c r="A274" s="157">
        <v>42614</v>
      </c>
      <c r="B274" s="163">
        <v>4148.0079999999998</v>
      </c>
      <c r="C274" s="163">
        <v>138.26693333333333</v>
      </c>
      <c r="D274" s="163">
        <v>8.8619333333333259</v>
      </c>
      <c r="E274" s="163">
        <v>6.8482155506613518E-2</v>
      </c>
      <c r="F274" s="163">
        <v>3042.3150000000001</v>
      </c>
      <c r="G274" s="163"/>
      <c r="H274" s="163"/>
      <c r="I274" s="163">
        <v>233.715</v>
      </c>
      <c r="J274" s="163">
        <v>44.006400180520387</v>
      </c>
      <c r="K274" s="163">
        <v>47.118395142921621</v>
      </c>
      <c r="L274" s="163">
        <v>-0.15160485707838234</v>
      </c>
      <c r="M274" s="163">
        <v>215.143</v>
      </c>
      <c r="N274" s="163">
        <v>30.170999999999999</v>
      </c>
      <c r="O274" s="163">
        <v>1616.6089999999999</v>
      </c>
      <c r="P274" s="163">
        <v>1417.4</v>
      </c>
      <c r="Q274" s="163">
        <v>600.47699999999998</v>
      </c>
      <c r="R274" s="163">
        <v>259.92700000000002</v>
      </c>
      <c r="S274" s="163">
        <v>556.99599999999998</v>
      </c>
      <c r="T274" s="163">
        <v>269.41300000000001</v>
      </c>
      <c r="U274" s="163">
        <v>310.86000000000013</v>
      </c>
      <c r="V274" s="163">
        <v>0.2259234145352349</v>
      </c>
      <c r="W274" s="163">
        <v>11.691942252763255</v>
      </c>
      <c r="X274" s="163">
        <v>-6.8057747236744959E-2</v>
      </c>
      <c r="Y274" s="163">
        <v>58.810337395684876</v>
      </c>
      <c r="Z274" s="163">
        <v>1397.5550000000001</v>
      </c>
      <c r="AA274" s="163">
        <v>1368.461</v>
      </c>
      <c r="AB274" s="163">
        <v>2.0817785346551692E-2</v>
      </c>
      <c r="AC274" s="163"/>
      <c r="AD274" s="163"/>
      <c r="AE274" s="163"/>
      <c r="AF274" s="163"/>
      <c r="AH274" s="163"/>
      <c r="AI274" s="163">
        <v>451.25299999999999</v>
      </c>
      <c r="AJ274" s="163">
        <v>15.041766666666666</v>
      </c>
      <c r="AK274" s="163">
        <v>327.48700000000002</v>
      </c>
      <c r="AL274" s="163">
        <v>43.807000000000002</v>
      </c>
      <c r="AM274" s="163">
        <v>43.54368835221041</v>
      </c>
      <c r="AN274" s="163">
        <v>-0.46271182830997759</v>
      </c>
      <c r="AO274" s="163">
        <v>174.08099999999999</v>
      </c>
      <c r="AP274" s="163">
        <v>77.781000000000006</v>
      </c>
      <c r="AQ274" s="163">
        <v>11.573175136785794</v>
      </c>
      <c r="AR274" s="163">
        <v>-0.11876711597746059</v>
      </c>
      <c r="AS274" s="163">
        <v>55.116863488996202</v>
      </c>
      <c r="AT274" s="163">
        <v>970.697</v>
      </c>
      <c r="AU274" s="163">
        <v>32.356566666666666</v>
      </c>
      <c r="AV274" s="163">
        <v>714.78499999999997</v>
      </c>
      <c r="AW274" s="163">
        <v>48.268000000000001</v>
      </c>
      <c r="AX274" s="163">
        <v>44.181758056324476</v>
      </c>
      <c r="AY274" s="163">
        <v>0.17535787580408879</v>
      </c>
      <c r="AZ274" s="163">
        <v>372.202</v>
      </c>
      <c r="BA274" s="163">
        <v>112.59</v>
      </c>
      <c r="BB274" s="163">
        <v>11.503136406108188</v>
      </c>
      <c r="BC274" s="163">
        <v>-0.18880584665506639</v>
      </c>
      <c r="BD274" s="163">
        <v>55.684894462432666</v>
      </c>
      <c r="BE274" s="163">
        <v>985.48400000000004</v>
      </c>
      <c r="BF274" s="163">
        <v>32.849466666666665</v>
      </c>
      <c r="BG274" s="163">
        <v>721.65700000000004</v>
      </c>
      <c r="BH274" s="163">
        <v>51.805</v>
      </c>
      <c r="BI274" s="163">
        <v>43.937212577779043</v>
      </c>
      <c r="BJ274" s="163">
        <v>-6.9187602741344278E-2</v>
      </c>
      <c r="BK274" s="163">
        <v>384.12299999999999</v>
      </c>
      <c r="BL274" s="163">
        <v>155.04499999999999</v>
      </c>
      <c r="BM274" s="163">
        <v>11.693431856833801</v>
      </c>
      <c r="BN274" s="163">
        <v>1.4896040705458802E-3</v>
      </c>
      <c r="BO274" s="163">
        <v>55.630644434612847</v>
      </c>
      <c r="BP274" s="163">
        <v>592.74800000000005</v>
      </c>
      <c r="BQ274" s="163">
        <v>19.758266666666668</v>
      </c>
      <c r="BR274" s="163">
        <v>436.06599999999997</v>
      </c>
      <c r="BS274" s="163">
        <v>23.353999999999999</v>
      </c>
      <c r="BT274" s="163">
        <v>44.140106757002968</v>
      </c>
      <c r="BU274" s="163">
        <v>0.13370657648258089</v>
      </c>
      <c r="BV274" s="163">
        <v>239.857</v>
      </c>
      <c r="BW274" s="163">
        <v>156.93299999999999</v>
      </c>
      <c r="BX274" s="163">
        <v>12.139577020926261</v>
      </c>
      <c r="BY274" s="163">
        <v>0.44763476816300596</v>
      </c>
      <c r="BZ274" s="163">
        <v>56.279683777929229</v>
      </c>
      <c r="CA274" s="163">
        <v>495.38499999999999</v>
      </c>
      <c r="CB274" s="163">
        <v>16.512833333333333</v>
      </c>
      <c r="CC274" s="163">
        <v>357.654</v>
      </c>
      <c r="CD274" s="163">
        <v>35.939</v>
      </c>
      <c r="CE274" s="163">
        <v>43.318307982680139</v>
      </c>
      <c r="CF274" s="163">
        <v>-0.68809219784024833</v>
      </c>
      <c r="CG274" s="163">
        <v>190.80500000000001</v>
      </c>
      <c r="CH274" s="163">
        <v>54.25</v>
      </c>
      <c r="CI274" s="163">
        <v>11.554952208888038</v>
      </c>
      <c r="CJ274" s="163">
        <v>-0.13699004387521718</v>
      </c>
      <c r="CK274" s="163">
        <v>54.873260191568178</v>
      </c>
      <c r="CL274" s="163">
        <v>652.44100000000003</v>
      </c>
      <c r="CM274" s="163">
        <v>21.748033333333336</v>
      </c>
      <c r="CN274" s="163">
        <v>484.666</v>
      </c>
      <c r="CO274" s="163">
        <v>30.542000000000002</v>
      </c>
      <c r="CP274" s="163">
        <v>44.571018682149031</v>
      </c>
      <c r="CQ274" s="163">
        <v>0.5646185016286438</v>
      </c>
      <c r="CR274" s="163">
        <v>255.541</v>
      </c>
      <c r="CS274" s="163">
        <v>43.878</v>
      </c>
      <c r="CT274" s="163">
        <v>11.750073953047094</v>
      </c>
      <c r="CU274" s="163">
        <v>5.8131700283839294E-2</v>
      </c>
      <c r="CV274" s="163">
        <v>56.321092635196123</v>
      </c>
      <c r="CW274" s="163"/>
      <c r="CX274" s="163">
        <v>0</v>
      </c>
      <c r="CY274" s="163">
        <v>0</v>
      </c>
      <c r="CZ274" s="163">
        <v>0</v>
      </c>
      <c r="DA274" s="163">
        <v>0</v>
      </c>
      <c r="DB274" s="163">
        <v>0</v>
      </c>
      <c r="DC274" s="163">
        <v>0</v>
      </c>
      <c r="DD274" s="163"/>
      <c r="DE274" s="163">
        <v>213.17599999999999</v>
      </c>
      <c r="DF274" s="163">
        <v>120.435</v>
      </c>
      <c r="DG274" s="163"/>
      <c r="DH274" s="163">
        <v>0.56495571734153938</v>
      </c>
      <c r="DI274" s="163">
        <v>183.01900000000001</v>
      </c>
      <c r="DJ274" s="163">
        <v>0.42926736593237519</v>
      </c>
      <c r="DK274" s="163">
        <v>176.68</v>
      </c>
      <c r="DL274" s="163">
        <v>173.184</v>
      </c>
      <c r="DM274" s="163">
        <v>1.978718587276437E-2</v>
      </c>
      <c r="DN274" s="163">
        <v>160.876</v>
      </c>
      <c r="DO274" s="163"/>
      <c r="DP274" s="163">
        <v>52.783000000000001</v>
      </c>
      <c r="DQ274" s="163">
        <v>52.783000000000001</v>
      </c>
      <c r="DR274" s="163">
        <v>0.99422308327391451</v>
      </c>
      <c r="DS274" s="163"/>
      <c r="DT274" s="163">
        <v>119.113</v>
      </c>
      <c r="DU274" s="163">
        <v>54.805</v>
      </c>
      <c r="DV274" s="163">
        <v>19.675999999999998</v>
      </c>
      <c r="DW274" s="163">
        <v>0.46010930796806393</v>
      </c>
      <c r="DX274" s="163">
        <v>37.298000000000002</v>
      </c>
      <c r="DY274" s="163">
        <v>0.15656561416470074</v>
      </c>
      <c r="DZ274" s="163">
        <v>38.286000000000001</v>
      </c>
      <c r="EA274" s="163">
        <v>37.234999999999999</v>
      </c>
      <c r="EB274" s="163">
        <v>2.7451287676957686E-2</v>
      </c>
      <c r="EC274" s="163">
        <v>40.747</v>
      </c>
      <c r="ED274" s="163"/>
      <c r="EE274" s="163">
        <v>41.546999999999997</v>
      </c>
      <c r="EF274" s="163">
        <v>41.546999999999997</v>
      </c>
      <c r="EG274" s="163">
        <v>0.61667492213276465</v>
      </c>
    </row>
    <row r="275" spans="1:137" hidden="1">
      <c r="A275" s="157">
        <v>42644</v>
      </c>
      <c r="B275" s="163">
        <v>5276.415</v>
      </c>
      <c r="C275" s="163">
        <v>175.88050000000001</v>
      </c>
      <c r="D275" s="163">
        <v>11.239500000000021</v>
      </c>
      <c r="E275" s="163">
        <v>6.8266713637550991E-2</v>
      </c>
      <c r="F275" s="163">
        <v>3830.125</v>
      </c>
      <c r="G275" s="163"/>
      <c r="H275" s="163"/>
      <c r="I275" s="163">
        <v>335.41300000000001</v>
      </c>
      <c r="J275" s="163">
        <v>43.553719713100655</v>
      </c>
      <c r="K275" s="163">
        <v>46.668527778804361</v>
      </c>
      <c r="L275" s="163">
        <v>8.5277788043640612E-3</v>
      </c>
      <c r="M275" s="163">
        <v>273.91699999999997</v>
      </c>
      <c r="N275" s="163">
        <v>42.212000000000003</v>
      </c>
      <c r="O275" s="163">
        <v>2028.518</v>
      </c>
      <c r="P275" s="163">
        <v>1437.4829999999999</v>
      </c>
      <c r="Q275" s="163">
        <v>592.33000000000004</v>
      </c>
      <c r="R275" s="163">
        <v>317.44900000000001</v>
      </c>
      <c r="S275" s="163">
        <v>527.70399999999995</v>
      </c>
      <c r="T275" s="163">
        <v>357.82799999999997</v>
      </c>
      <c r="U275" s="163">
        <v>452.24199999999996</v>
      </c>
      <c r="V275" s="163">
        <v>0.33672283404650094</v>
      </c>
      <c r="W275" s="163">
        <v>11.533501439898112</v>
      </c>
      <c r="X275" s="163">
        <v>-7.6498560101887492E-2</v>
      </c>
      <c r="Y275" s="163">
        <v>58.202029218702471</v>
      </c>
      <c r="Z275" s="163">
        <v>1580.8140000000001</v>
      </c>
      <c r="AA275" s="163">
        <v>1542.749</v>
      </c>
      <c r="AB275" s="163">
        <v>2.4079366706013516E-2</v>
      </c>
      <c r="AC275" s="163"/>
      <c r="AD275" s="163"/>
      <c r="AE275" s="163"/>
      <c r="AF275" s="163"/>
      <c r="AH275" s="163"/>
      <c r="AI275" s="163">
        <v>635.95799999999997</v>
      </c>
      <c r="AJ275" s="163">
        <v>21.198599999999999</v>
      </c>
      <c r="AK275" s="163">
        <v>459.827</v>
      </c>
      <c r="AL275" s="163">
        <v>69.516000000000005</v>
      </c>
      <c r="AM275" s="163">
        <v>43.382770560320026</v>
      </c>
      <c r="AN275" s="163">
        <v>-0.17094915278062928</v>
      </c>
      <c r="AO275" s="163">
        <v>251.934</v>
      </c>
      <c r="AP275" s="163">
        <v>99.941999999999993</v>
      </c>
      <c r="AQ275" s="163">
        <v>11.884464068381874</v>
      </c>
      <c r="AR275" s="163">
        <v>0.35096262848376192</v>
      </c>
      <c r="AS275" s="163">
        <v>55.2672346287019</v>
      </c>
      <c r="AT275" s="163">
        <v>1135.222</v>
      </c>
      <c r="AU275" s="163">
        <v>37.840733333333333</v>
      </c>
      <c r="AV275" s="163">
        <v>826.93700000000001</v>
      </c>
      <c r="AW275" s="163">
        <v>68.084000000000003</v>
      </c>
      <c r="AX275" s="163">
        <v>43.706182579266432</v>
      </c>
      <c r="AY275" s="163">
        <v>0.1524628661657772</v>
      </c>
      <c r="AZ275" s="163">
        <v>432.983</v>
      </c>
      <c r="BA275" s="163">
        <v>98.397999999999996</v>
      </c>
      <c r="BB275" s="163">
        <v>11.442246538562502</v>
      </c>
      <c r="BC275" s="163">
        <v>-9.1254901335609873E-2</v>
      </c>
      <c r="BD275" s="163">
        <v>55.148429117828933</v>
      </c>
      <c r="BE275" s="163">
        <v>1260.422</v>
      </c>
      <c r="BF275" s="163">
        <v>42.014066666666665</v>
      </c>
      <c r="BG275" s="163">
        <v>914.44</v>
      </c>
      <c r="BH275" s="163">
        <v>62.600999999999999</v>
      </c>
      <c r="BI275" s="163">
        <v>43.530182748317628</v>
      </c>
      <c r="BJ275" s="163">
        <v>-2.3536964783026804E-2</v>
      </c>
      <c r="BK275" s="163">
        <v>487.72800000000001</v>
      </c>
      <c r="BL275" s="163">
        <v>123.69</v>
      </c>
      <c r="BM275" s="163">
        <v>11.608683440942796</v>
      </c>
      <c r="BN275" s="163">
        <v>7.5182001044684199E-2</v>
      </c>
      <c r="BO275" s="163">
        <v>55.138866189260426</v>
      </c>
      <c r="BP275" s="163">
        <v>712.93399999999997</v>
      </c>
      <c r="BQ275" s="163">
        <v>23.764466666666667</v>
      </c>
      <c r="BR275" s="163">
        <v>524.59299999999996</v>
      </c>
      <c r="BS275" s="163">
        <v>35.369999999999997</v>
      </c>
      <c r="BT275" s="163">
        <v>44.149360249335835</v>
      </c>
      <c r="BU275" s="163">
        <v>0.59564053623518021</v>
      </c>
      <c r="BV275" s="163">
        <v>269.43900000000002</v>
      </c>
      <c r="BW275" s="163">
        <v>177.38200000000001</v>
      </c>
      <c r="BX275" s="163">
        <v>11.337893830284431</v>
      </c>
      <c r="BY275" s="163">
        <v>-0.19560760961368118</v>
      </c>
      <c r="BZ275" s="163">
        <v>55.487254079620264</v>
      </c>
      <c r="CA275" s="163">
        <v>653.60400000000004</v>
      </c>
      <c r="CB275" s="163">
        <v>21.786800000000003</v>
      </c>
      <c r="CC275" s="163">
        <v>471.43599999999998</v>
      </c>
      <c r="CD275" s="163">
        <v>51.814999999999998</v>
      </c>
      <c r="CE275" s="163">
        <v>43.277213725742186</v>
      </c>
      <c r="CF275" s="163">
        <v>-0.27650598735846899</v>
      </c>
      <c r="CG275" s="163">
        <v>252.39099999999999</v>
      </c>
      <c r="CH275" s="163">
        <v>48.539000000000001</v>
      </c>
      <c r="CI275" s="163">
        <v>11.58458332568344</v>
      </c>
      <c r="CJ275" s="163">
        <v>5.1081885785327685E-2</v>
      </c>
      <c r="CK275" s="163">
        <v>54.861797051425626</v>
      </c>
      <c r="CL275" s="163">
        <v>878.27499999999998</v>
      </c>
      <c r="CM275" s="163">
        <v>29.275833333333331</v>
      </c>
      <c r="CN275" s="163">
        <v>632.89200000000005</v>
      </c>
      <c r="CO275" s="163">
        <v>48.027000000000001</v>
      </c>
      <c r="CP275" s="163">
        <v>43.236480601178457</v>
      </c>
      <c r="CQ275" s="163">
        <v>-0.31723911192219845</v>
      </c>
      <c r="CR275" s="163">
        <v>334.04300000000001</v>
      </c>
      <c r="CS275" s="163">
        <v>44.378999999999998</v>
      </c>
      <c r="CT275" s="163">
        <v>11.41019612308218</v>
      </c>
      <c r="CU275" s="163">
        <v>-0.12330531681593193</v>
      </c>
      <c r="CV275" s="163">
        <v>54.646676724260637</v>
      </c>
      <c r="CW275" s="163"/>
      <c r="CX275" s="163">
        <v>0</v>
      </c>
      <c r="CY275" s="163">
        <v>0</v>
      </c>
      <c r="CZ275" s="163">
        <v>0</v>
      </c>
      <c r="DA275" s="163">
        <v>0</v>
      </c>
      <c r="DB275" s="163">
        <v>0</v>
      </c>
      <c r="DC275" s="163">
        <v>0</v>
      </c>
      <c r="DD275" s="163"/>
      <c r="DE275" s="163">
        <v>213.23</v>
      </c>
      <c r="DF275" s="163">
        <v>121.184</v>
      </c>
      <c r="DG275" s="163"/>
      <c r="DH275" s="163">
        <v>0.56832528255873938</v>
      </c>
      <c r="DI275" s="163">
        <v>177.07599999999999</v>
      </c>
      <c r="DJ275" s="163">
        <v>0.41522299863996626</v>
      </c>
      <c r="DK275" s="163">
        <v>171.63900000000001</v>
      </c>
      <c r="DL275" s="163">
        <v>166.881</v>
      </c>
      <c r="DM275" s="163">
        <v>2.7720972506248637E-2</v>
      </c>
      <c r="DN275" s="163">
        <v>170.97900000000001</v>
      </c>
      <c r="DO275" s="163"/>
      <c r="DP275" s="163">
        <v>52.156999999999996</v>
      </c>
      <c r="DQ275" s="163">
        <v>52.156999999999996</v>
      </c>
      <c r="DR275" s="163">
        <v>0.98354828119870563</v>
      </c>
      <c r="DS275" s="163"/>
      <c r="DT275" s="163">
        <v>141.59</v>
      </c>
      <c r="DU275" s="163">
        <v>63.853000000000002</v>
      </c>
      <c r="DV275" s="163">
        <v>29.753</v>
      </c>
      <c r="DW275" s="163">
        <v>0.45097111377922172</v>
      </c>
      <c r="DX275" s="163">
        <v>42.003</v>
      </c>
      <c r="DY275" s="163">
        <v>0.14832615297690516</v>
      </c>
      <c r="DZ275" s="163">
        <v>54.637</v>
      </c>
      <c r="EA275" s="163">
        <v>49.850999999999999</v>
      </c>
      <c r="EB275" s="163">
        <v>8.759631751377274E-2</v>
      </c>
      <c r="EC275" s="163">
        <v>39.122</v>
      </c>
      <c r="ED275" s="163"/>
      <c r="EE275" s="163">
        <v>47.610999999999997</v>
      </c>
      <c r="EF275" s="163">
        <v>47.610999999999997</v>
      </c>
      <c r="EG275" s="163">
        <v>0.59929726675612693</v>
      </c>
    </row>
    <row r="276" spans="1:137" hidden="1">
      <c r="A276" s="157">
        <v>42675</v>
      </c>
      <c r="B276" s="163">
        <v>5122.0379999999996</v>
      </c>
      <c r="C276" s="163">
        <v>170.73459999999997</v>
      </c>
      <c r="D276" s="163">
        <v>9.9825999999999624</v>
      </c>
      <c r="E276" s="163">
        <v>6.2099382900367983E-2</v>
      </c>
      <c r="F276" s="163">
        <v>3739.0929999999998</v>
      </c>
      <c r="G276" s="163"/>
      <c r="H276" s="163"/>
      <c r="I276" s="163">
        <v>361.959</v>
      </c>
      <c r="J276" s="163">
        <v>43.800061616098908</v>
      </c>
      <c r="K276" s="163">
        <v>47.002857065878857</v>
      </c>
      <c r="L276" s="163">
        <v>0.14285706587885727</v>
      </c>
      <c r="M276" s="163">
        <v>273.41399999999999</v>
      </c>
      <c r="N276" s="163">
        <v>46.073999999999998</v>
      </c>
      <c r="O276" s="163">
        <v>1961.2560000000001</v>
      </c>
      <c r="P276" s="163">
        <v>1473.201</v>
      </c>
      <c r="Q276" s="163">
        <v>618.32000000000005</v>
      </c>
      <c r="R276" s="163">
        <v>325.89400000000001</v>
      </c>
      <c r="S276" s="163">
        <v>528.98699999999997</v>
      </c>
      <c r="T276" s="163">
        <v>307.51</v>
      </c>
      <c r="U276" s="163">
        <v>442.06999999999994</v>
      </c>
      <c r="V276" s="163">
        <v>0.33023790545784859</v>
      </c>
      <c r="W276" s="163">
        <v>11.487161946084745</v>
      </c>
      <c r="X276" s="163">
        <v>-6.2838053915255543E-2</v>
      </c>
      <c r="Y276" s="163">
        <v>58.490019011963604</v>
      </c>
      <c r="Z276" s="163">
        <v>1471.587</v>
      </c>
      <c r="AA276" s="163">
        <v>1438.84</v>
      </c>
      <c r="AB276" s="163">
        <v>2.2252846756596837E-2</v>
      </c>
      <c r="AC276" s="163"/>
      <c r="AD276" s="163"/>
      <c r="AE276" s="163"/>
      <c r="AF276" s="163"/>
      <c r="AH276" s="163"/>
      <c r="AI276" s="163">
        <v>653.25900000000001</v>
      </c>
      <c r="AJ276" s="163">
        <v>21.775300000000001</v>
      </c>
      <c r="AK276" s="163">
        <v>475.78899999999999</v>
      </c>
      <c r="AL276" s="163">
        <v>86.89400000000002</v>
      </c>
      <c r="AM276" s="163">
        <v>43.699880139424025</v>
      </c>
      <c r="AN276" s="163">
        <v>-0.10018147667488364</v>
      </c>
      <c r="AO276" s="163">
        <v>255.08099999999999</v>
      </c>
      <c r="AP276" s="163">
        <v>126.85299999999999</v>
      </c>
      <c r="AQ276" s="163">
        <v>11.714235854385473</v>
      </c>
      <c r="AR276" s="163">
        <v>0.22707390830072782</v>
      </c>
      <c r="AS276" s="163">
        <v>55.414115993809496</v>
      </c>
      <c r="AT276" s="163">
        <v>1097.4459999999999</v>
      </c>
      <c r="AU276" s="163">
        <v>36.581533333333333</v>
      </c>
      <c r="AV276" s="163">
        <v>800.53899999999999</v>
      </c>
      <c r="AW276" s="163">
        <v>59.387999999999998</v>
      </c>
      <c r="AX276" s="163">
        <v>43.767383543244954</v>
      </c>
      <c r="AY276" s="163">
        <v>-3.2678072853954632E-2</v>
      </c>
      <c r="AZ276" s="163">
        <v>415.12799999999999</v>
      </c>
      <c r="BA276" s="163">
        <v>99.653000000000006</v>
      </c>
      <c r="BB276" s="163">
        <v>11.34802076822003</v>
      </c>
      <c r="BC276" s="163">
        <v>-0.13914117786471536</v>
      </c>
      <c r="BD276" s="163">
        <v>55.115404311464985</v>
      </c>
      <c r="BE276" s="163">
        <v>1177.106</v>
      </c>
      <c r="BF276" s="163">
        <v>39.236866666666664</v>
      </c>
      <c r="BG276" s="163">
        <v>854.89300000000003</v>
      </c>
      <c r="BH276" s="163">
        <v>96.25</v>
      </c>
      <c r="BI276" s="163">
        <v>43.576007598296165</v>
      </c>
      <c r="BJ276" s="163">
        <v>-0.22405401780274303</v>
      </c>
      <c r="BK276" s="163">
        <v>453.48099999999999</v>
      </c>
      <c r="BL276" s="163">
        <v>136.874</v>
      </c>
      <c r="BM276" s="163">
        <v>11.557523281675568</v>
      </c>
      <c r="BN276" s="163">
        <v>7.0361335590822804E-2</v>
      </c>
      <c r="BO276" s="163">
        <v>55.13353087997173</v>
      </c>
      <c r="BP276" s="163">
        <v>647.63099999999997</v>
      </c>
      <c r="BQ276" s="163">
        <v>21.587699999999998</v>
      </c>
      <c r="BR276" s="163">
        <v>480.77</v>
      </c>
      <c r="BS276" s="163">
        <v>26.602</v>
      </c>
      <c r="BT276" s="163">
        <v>44.541104425205098</v>
      </c>
      <c r="BU276" s="163">
        <v>0.74104280910619025</v>
      </c>
      <c r="BV276" s="163">
        <v>247.553</v>
      </c>
      <c r="BW276" s="163">
        <v>159.57599999999999</v>
      </c>
      <c r="BX276" s="163">
        <v>11.46731703701645</v>
      </c>
      <c r="BY276" s="163">
        <v>-1.984490906829528E-2</v>
      </c>
      <c r="BZ276" s="163">
        <v>56.008421462221548</v>
      </c>
      <c r="CA276" s="163">
        <v>666.90700000000004</v>
      </c>
      <c r="CB276" s="163">
        <v>22.230233333333334</v>
      </c>
      <c r="CC276" s="163">
        <v>484.41899999999998</v>
      </c>
      <c r="CD276" s="163">
        <v>50.393999999999998</v>
      </c>
      <c r="CE276" s="163">
        <v>43.581998689472442</v>
      </c>
      <c r="CF276" s="163">
        <v>-0.21806292662646598</v>
      </c>
      <c r="CG276" s="163">
        <v>256.79500000000002</v>
      </c>
      <c r="CH276" s="163">
        <v>59.39</v>
      </c>
      <c r="CI276" s="163">
        <v>11.551610644362707</v>
      </c>
      <c r="CJ276" s="163">
        <v>6.444869827796218E-2</v>
      </c>
      <c r="CK276" s="163">
        <v>55.133609333835153</v>
      </c>
      <c r="CL276" s="163">
        <v>879.68899999999996</v>
      </c>
      <c r="CM276" s="163">
        <v>29.322966666666666</v>
      </c>
      <c r="CN276" s="163">
        <v>642.68299999999999</v>
      </c>
      <c r="CO276" s="163">
        <v>42.430999999999997</v>
      </c>
      <c r="CP276" s="163">
        <v>43.834787066792927</v>
      </c>
      <c r="CQ276" s="163">
        <v>3.4725450694018889E-2</v>
      </c>
      <c r="CR276" s="163">
        <v>333.21800000000002</v>
      </c>
      <c r="CS276" s="163">
        <v>35.973999999999997</v>
      </c>
      <c r="CT276" s="163">
        <v>11.363720587616761</v>
      </c>
      <c r="CU276" s="163">
        <v>-0.12344135846798387</v>
      </c>
      <c r="CV276" s="163">
        <v>55.198507654409688</v>
      </c>
      <c r="CW276" s="163"/>
      <c r="CX276" s="163">
        <v>0</v>
      </c>
      <c r="CY276" s="163">
        <v>0</v>
      </c>
      <c r="CZ276" s="163">
        <v>0</v>
      </c>
      <c r="DA276" s="163">
        <v>0</v>
      </c>
      <c r="DB276" s="163">
        <v>0</v>
      </c>
      <c r="DC276" s="163">
        <v>0</v>
      </c>
      <c r="DD276" s="163"/>
      <c r="DE276" s="163">
        <v>209.43199999999999</v>
      </c>
      <c r="DF276" s="163">
        <v>117.056</v>
      </c>
      <c r="DG276" s="163"/>
      <c r="DH276" s="163">
        <v>0.5589212727758891</v>
      </c>
      <c r="DI276" s="163">
        <v>178.18899999999999</v>
      </c>
      <c r="DJ276" s="163">
        <v>0.42541015699606555</v>
      </c>
      <c r="DK276" s="163">
        <v>167.22200000000001</v>
      </c>
      <c r="DL276" s="163">
        <v>161.94999999999999</v>
      </c>
      <c r="DM276" s="163">
        <v>3.1526952195285424E-2</v>
      </c>
      <c r="DN276" s="163">
        <v>160.32599999999999</v>
      </c>
      <c r="DO276" s="163">
        <v>239.673</v>
      </c>
      <c r="DP276" s="163">
        <v>66.465999999999994</v>
      </c>
      <c r="DQ276" s="163">
        <v>306.13900000000001</v>
      </c>
      <c r="DR276" s="163">
        <v>0.98433142977195465</v>
      </c>
      <c r="DS276" s="163"/>
      <c r="DT276" s="163">
        <v>163.90899999999999</v>
      </c>
      <c r="DU276" s="163">
        <v>75.936999999999998</v>
      </c>
      <c r="DV276" s="163">
        <v>34.469000000000001</v>
      </c>
      <c r="DW276" s="163">
        <v>0.4632875558999201</v>
      </c>
      <c r="DX276" s="163">
        <v>51.140999999999998</v>
      </c>
      <c r="DY276" s="163">
        <v>0.15600424625859471</v>
      </c>
      <c r="DZ276" s="163">
        <v>50.006999999999998</v>
      </c>
      <c r="EA276" s="163">
        <v>48.776000000000003</v>
      </c>
      <c r="EB276" s="163">
        <v>2.4616553682484343E-2</v>
      </c>
      <c r="EC276" s="163">
        <v>48.018000000000001</v>
      </c>
      <c r="ED276" s="163"/>
      <c r="EE276" s="163">
        <v>48.432000000000002</v>
      </c>
      <c r="EF276" s="163">
        <v>48.432000000000002</v>
      </c>
      <c r="EG276" s="163">
        <v>0.61929180215851476</v>
      </c>
    </row>
    <row r="277" spans="1:137" hidden="1">
      <c r="A277" s="157">
        <v>42705</v>
      </c>
      <c r="B277" s="163">
        <v>5071.4930000000004</v>
      </c>
      <c r="C277" s="163">
        <v>169.04976666666667</v>
      </c>
      <c r="D277" s="163">
        <v>8.8737666666666826</v>
      </c>
      <c r="E277" s="163">
        <v>5.5400101554956338E-2</v>
      </c>
      <c r="F277" s="163">
        <v>3690.6680000000001</v>
      </c>
      <c r="G277" s="163"/>
      <c r="H277" s="163"/>
      <c r="I277" s="163">
        <v>403.90100000000001</v>
      </c>
      <c r="J277" s="163">
        <v>43.663686413448666</v>
      </c>
      <c r="K277" s="163">
        <v>46.899171506300014</v>
      </c>
      <c r="L277" s="163">
        <v>5.917150630001089E-2</v>
      </c>
      <c r="M277" s="163">
        <v>273.47899999999998</v>
      </c>
      <c r="N277" s="163">
        <v>42.509</v>
      </c>
      <c r="O277" s="163">
        <v>1950.1759999999999</v>
      </c>
      <c r="P277" s="163">
        <v>1505.3510000000001</v>
      </c>
      <c r="Q277" s="163">
        <v>632.12400000000002</v>
      </c>
      <c r="R277" s="163">
        <v>303.62</v>
      </c>
      <c r="S277" s="163">
        <v>569.60699999999997</v>
      </c>
      <c r="T277" s="163">
        <v>366.91899999999998</v>
      </c>
      <c r="U277" s="163">
        <v>438.32300000000009</v>
      </c>
      <c r="V277" s="163">
        <v>0.30567587226027193</v>
      </c>
      <c r="W277" s="163">
        <v>11.536105837077956</v>
      </c>
      <c r="X277" s="163">
        <v>-8.3894162922042881E-2</v>
      </c>
      <c r="Y277" s="163">
        <v>58.435277343377969</v>
      </c>
      <c r="Z277" s="163">
        <v>1440.556</v>
      </c>
      <c r="AA277" s="163">
        <v>1406.5050000000001</v>
      </c>
      <c r="AB277" s="163">
        <v>2.3637401114569603E-2</v>
      </c>
      <c r="AC277" s="163"/>
      <c r="AD277" s="163"/>
      <c r="AE277" s="163"/>
      <c r="AF277" s="163"/>
      <c r="AH277" s="163"/>
      <c r="AI277" s="163">
        <v>641.98800000000006</v>
      </c>
      <c r="AJ277" s="163">
        <v>21.399600000000003</v>
      </c>
      <c r="AK277" s="163">
        <v>462.69299999999998</v>
      </c>
      <c r="AL277" s="163">
        <v>94.385000000000005</v>
      </c>
      <c r="AM277" s="163">
        <v>43.243144731677219</v>
      </c>
      <c r="AN277" s="163">
        <v>-0.42054168177144646</v>
      </c>
      <c r="AO277" s="163">
        <v>252.51</v>
      </c>
      <c r="AP277" s="163">
        <v>118.626</v>
      </c>
      <c r="AQ277" s="163">
        <v>11.799753266416193</v>
      </c>
      <c r="AR277" s="163">
        <v>0.26364742933823671</v>
      </c>
      <c r="AS277" s="163">
        <v>55.042897998093409</v>
      </c>
      <c r="AT277" s="163">
        <v>1090.1849999999999</v>
      </c>
      <c r="AU277" s="163">
        <v>36.339500000000001</v>
      </c>
      <c r="AV277" s="163">
        <v>795.27599999999995</v>
      </c>
      <c r="AW277" s="163">
        <v>69.58</v>
      </c>
      <c r="AX277" s="163">
        <v>43.769231827625582</v>
      </c>
      <c r="AY277" s="163">
        <v>0.1055454141769161</v>
      </c>
      <c r="AZ277" s="163">
        <v>414.87900000000002</v>
      </c>
      <c r="BA277" s="163">
        <v>122.691</v>
      </c>
      <c r="BB277" s="163">
        <v>11.416750368056798</v>
      </c>
      <c r="BC277" s="163">
        <v>-0.11935546902115846</v>
      </c>
      <c r="BD277" s="163">
        <v>55.185982195682378</v>
      </c>
      <c r="BE277" s="163">
        <v>1102.2</v>
      </c>
      <c r="BF277" s="163">
        <v>36.74</v>
      </c>
      <c r="BG277" s="163">
        <v>803.90700000000004</v>
      </c>
      <c r="BH277" s="163">
        <v>79.528999999999996</v>
      </c>
      <c r="BI277" s="163">
        <v>43.761948829613502</v>
      </c>
      <c r="BJ277" s="163">
        <v>9.8262416164835997E-2</v>
      </c>
      <c r="BK277" s="163">
        <v>428.512</v>
      </c>
      <c r="BL277" s="163">
        <v>117.929</v>
      </c>
      <c r="BM277" s="163">
        <v>11.663364180729449</v>
      </c>
      <c r="BN277" s="163">
        <v>0.12725834365149247</v>
      </c>
      <c r="BO277" s="163">
        <v>55.425313010342947</v>
      </c>
      <c r="BP277" s="163">
        <v>690.15099999999995</v>
      </c>
      <c r="BQ277" s="163">
        <v>23.005033333333333</v>
      </c>
      <c r="BR277" s="163">
        <v>500.82100000000003</v>
      </c>
      <c r="BS277" s="163">
        <v>38.06</v>
      </c>
      <c r="BT277" s="163">
        <v>43.540123827973879</v>
      </c>
      <c r="BU277" s="163">
        <v>-0.1235625854747866</v>
      </c>
      <c r="BV277" s="163">
        <v>260.79700000000003</v>
      </c>
      <c r="BW277" s="163">
        <v>147.28899999999999</v>
      </c>
      <c r="BX277" s="163">
        <v>11.336519109586163</v>
      </c>
      <c r="BY277" s="163">
        <v>-0.19958672749179307</v>
      </c>
      <c r="BZ277" s="163">
        <v>54.876642937560042</v>
      </c>
      <c r="CA277" s="163">
        <v>660.05700000000002</v>
      </c>
      <c r="CB277" s="163">
        <v>22.001899999999999</v>
      </c>
      <c r="CC277" s="163">
        <v>478.29300000000001</v>
      </c>
      <c r="CD277" s="163">
        <v>65.332999999999998</v>
      </c>
      <c r="CE277" s="163">
        <v>43.477426949490727</v>
      </c>
      <c r="CF277" s="163">
        <v>-0.18625946395793846</v>
      </c>
      <c r="CG277" s="163">
        <v>255.05199999999999</v>
      </c>
      <c r="CH277" s="163">
        <v>82.32</v>
      </c>
      <c r="CI277" s="163">
        <v>11.592271576545661</v>
      </c>
      <c r="CJ277" s="163">
        <v>5.6165739467704867E-2</v>
      </c>
      <c r="CK277" s="163">
        <v>55.06969852603639</v>
      </c>
      <c r="CL277" s="163">
        <v>886.91200000000003</v>
      </c>
      <c r="CM277" s="163">
        <v>29.563733333333335</v>
      </c>
      <c r="CN277" s="163">
        <v>649.678</v>
      </c>
      <c r="CO277" s="163">
        <v>57.014000000000003</v>
      </c>
      <c r="CP277" s="163">
        <v>43.951012050800976</v>
      </c>
      <c r="CQ277" s="163">
        <v>0.28732563735231054</v>
      </c>
      <c r="CR277" s="163">
        <v>338.42599999999999</v>
      </c>
      <c r="CS277" s="163">
        <v>43.268999999999998</v>
      </c>
      <c r="CT277" s="163">
        <v>11.447336376100447</v>
      </c>
      <c r="CU277" s="163">
        <v>-8.8769460977509596E-2</v>
      </c>
      <c r="CV277" s="163">
        <v>55.398348426901421</v>
      </c>
      <c r="CW277" s="163"/>
      <c r="CX277" s="163">
        <v>0</v>
      </c>
      <c r="CY277" s="163">
        <v>0</v>
      </c>
      <c r="CZ277" s="163">
        <v>0</v>
      </c>
      <c r="DA277" s="163">
        <v>0</v>
      </c>
      <c r="DB277" s="163">
        <v>0</v>
      </c>
      <c r="DC277" s="163">
        <v>0</v>
      </c>
      <c r="DD277" s="163"/>
      <c r="DE277" s="163">
        <v>178.637</v>
      </c>
      <c r="DF277" s="163">
        <v>103.139</v>
      </c>
      <c r="DG277" s="163"/>
      <c r="DH277" s="163">
        <v>0.57736639106120236</v>
      </c>
      <c r="DI277" s="163">
        <v>149.916</v>
      </c>
      <c r="DJ277" s="163">
        <v>0.41961071894400376</v>
      </c>
      <c r="DK277" s="163">
        <v>120.438</v>
      </c>
      <c r="DL277" s="163">
        <v>117.307</v>
      </c>
      <c r="DM277" s="163">
        <v>2.5996778425413907E-2</v>
      </c>
      <c r="DN277" s="163">
        <v>138.86600000000001</v>
      </c>
      <c r="DO277" s="163">
        <v>237.62200000000001</v>
      </c>
      <c r="DP277" s="163">
        <v>68.912000000000006</v>
      </c>
      <c r="DQ277" s="163">
        <v>306.53399999999999</v>
      </c>
      <c r="DR277" s="163">
        <v>0.99697711000520606</v>
      </c>
      <c r="DS277" s="163"/>
      <c r="DT277" s="163">
        <v>167.631</v>
      </c>
      <c r="DU277" s="163">
        <v>76.852999999999994</v>
      </c>
      <c r="DV277" s="163">
        <v>33.198</v>
      </c>
      <c r="DW277" s="163">
        <v>0.45846531966044463</v>
      </c>
      <c r="DX277" s="163">
        <v>50.386000000000003</v>
      </c>
      <c r="DY277" s="163">
        <v>0.15028843113743878</v>
      </c>
      <c r="DZ277" s="163">
        <v>53.081000000000003</v>
      </c>
      <c r="EA277" s="163">
        <v>51.497999999999998</v>
      </c>
      <c r="EB277" s="163">
        <v>2.9822346979145181E-2</v>
      </c>
      <c r="EC277" s="163">
        <v>53.463999999999999</v>
      </c>
      <c r="ED277" s="163"/>
      <c r="EE277" s="163">
        <v>48.384999999999998</v>
      </c>
      <c r="EF277" s="163">
        <v>48.384999999999998</v>
      </c>
      <c r="EG277" s="163">
        <v>0.60875375079788341</v>
      </c>
    </row>
    <row r="278" spans="1:137" hidden="1">
      <c r="A278" s="157">
        <v>42736</v>
      </c>
      <c r="B278" s="163">
        <v>5124.2039999999997</v>
      </c>
      <c r="C278" s="163">
        <v>170.80679999999998</v>
      </c>
      <c r="D278" s="163">
        <v>10.185799999999972</v>
      </c>
      <c r="E278" s="163">
        <v>6.3415120065246633E-2</v>
      </c>
      <c r="F278" s="163">
        <v>3752.0940000000001</v>
      </c>
      <c r="G278" s="163"/>
      <c r="H278" s="163"/>
      <c r="I278" s="163">
        <v>387.18599999999998</v>
      </c>
      <c r="J278" s="163">
        <v>43.933777812124582</v>
      </c>
      <c r="K278" s="163">
        <v>46.986419744412991</v>
      </c>
      <c r="L278" s="163">
        <v>4.641974441299368E-2</v>
      </c>
      <c r="M278" s="163">
        <v>260.70600000000002</v>
      </c>
      <c r="N278" s="163">
        <v>38.588999999999999</v>
      </c>
      <c r="O278" s="163">
        <v>1977.2090000000001</v>
      </c>
      <c r="P278" s="163">
        <v>1730.3679999999999</v>
      </c>
      <c r="Q278" s="163">
        <v>791.05499999999995</v>
      </c>
      <c r="R278" s="163">
        <v>327.36200000000002</v>
      </c>
      <c r="S278" s="163">
        <v>611.95100000000002</v>
      </c>
      <c r="T278" s="163">
        <v>382.25099999999998</v>
      </c>
      <c r="U278" s="163">
        <v>483.82499999999959</v>
      </c>
      <c r="V278" s="163">
        <v>0.29704493017533196</v>
      </c>
      <c r="W278" s="163">
        <v>11.57570424596679</v>
      </c>
      <c r="X278" s="163">
        <v>-7.4295754033210315E-2</v>
      </c>
      <c r="Y278" s="163">
        <v>58.562123990379781</v>
      </c>
      <c r="Z278" s="163">
        <v>1359.3820000000001</v>
      </c>
      <c r="AA278" s="163">
        <v>1312.3240000000001</v>
      </c>
      <c r="AB278" s="163">
        <v>3.4617201051654348E-2</v>
      </c>
      <c r="AC278" s="163"/>
      <c r="AD278" s="163"/>
      <c r="AE278" s="163"/>
      <c r="AF278" s="163"/>
      <c r="AH278" s="163"/>
      <c r="AI278" s="163">
        <v>639.072</v>
      </c>
      <c r="AJ278" s="163">
        <v>21.302399999999999</v>
      </c>
      <c r="AK278" s="163">
        <v>459.07499999999999</v>
      </c>
      <c r="AL278" s="163">
        <v>76.611999999999995</v>
      </c>
      <c r="AM278" s="163">
        <v>43.100777377196934</v>
      </c>
      <c r="AN278" s="163">
        <v>-0.83300043492764786</v>
      </c>
      <c r="AO278" s="163">
        <v>252.48099999999999</v>
      </c>
      <c r="AP278" s="163">
        <v>141.34200000000001</v>
      </c>
      <c r="AQ278" s="163">
        <v>11.852232612287818</v>
      </c>
      <c r="AR278" s="163">
        <v>0.27652836632102762</v>
      </c>
      <c r="AS278" s="163">
        <v>54.953009989484755</v>
      </c>
      <c r="AT278" s="163">
        <v>1084.7729999999999</v>
      </c>
      <c r="AU278" s="163">
        <v>36.159099999999995</v>
      </c>
      <c r="AV278" s="163">
        <v>792.64499999999998</v>
      </c>
      <c r="AW278" s="163">
        <v>74.009</v>
      </c>
      <c r="AX278" s="163">
        <v>43.842075715380091</v>
      </c>
      <c r="AY278" s="163">
        <v>-9.1702096744491257E-2</v>
      </c>
      <c r="AZ278" s="163">
        <v>414.09699999999998</v>
      </c>
      <c r="BA278" s="163">
        <v>171.68199999999999</v>
      </c>
      <c r="BB278" s="163">
        <v>11.452082601613427</v>
      </c>
      <c r="BC278" s="163">
        <v>-0.12362164435336354</v>
      </c>
      <c r="BD278" s="163">
        <v>55.294158316993517</v>
      </c>
      <c r="BE278" s="163">
        <v>1169.152</v>
      </c>
      <c r="BF278" s="163">
        <v>38.971733333333333</v>
      </c>
      <c r="BG278" s="163">
        <v>859.92899999999997</v>
      </c>
      <c r="BH278" s="163">
        <v>77.742999999999995</v>
      </c>
      <c r="BI278" s="163">
        <v>44.130908555944821</v>
      </c>
      <c r="BJ278" s="163">
        <v>0.19713074382023876</v>
      </c>
      <c r="BK278" s="163">
        <v>455.529</v>
      </c>
      <c r="BL278" s="163">
        <v>169.84299999999999</v>
      </c>
      <c r="BM278" s="163">
        <v>11.688702581015985</v>
      </c>
      <c r="BN278" s="163">
        <v>0.11299833504919476</v>
      </c>
      <c r="BO278" s="163">
        <v>55.819611136960802</v>
      </c>
      <c r="BP278" s="163">
        <v>689.40099999999995</v>
      </c>
      <c r="BQ278" s="163">
        <v>22.980033333333331</v>
      </c>
      <c r="BR278" s="163">
        <v>511.43700000000001</v>
      </c>
      <c r="BS278" s="163">
        <v>47.894999999999939</v>
      </c>
      <c r="BT278" s="163">
        <v>44.511423685199183</v>
      </c>
      <c r="BU278" s="163">
        <v>0.57764587307460147</v>
      </c>
      <c r="BV278" s="163">
        <v>260.21199999999999</v>
      </c>
      <c r="BW278" s="163">
        <v>195.98599999999999</v>
      </c>
      <c r="BX278" s="163">
        <v>11.323395237314713</v>
      </c>
      <c r="BY278" s="163">
        <v>-0.25230900865207673</v>
      </c>
      <c r="BZ278" s="163">
        <v>55.834818922513897</v>
      </c>
      <c r="CA278" s="163">
        <v>673.61099999999999</v>
      </c>
      <c r="CB278" s="163">
        <v>22.453700000000001</v>
      </c>
      <c r="CC278" s="163">
        <v>490.94600000000003</v>
      </c>
      <c r="CD278" s="163">
        <v>63.031999999999996</v>
      </c>
      <c r="CE278" s="163">
        <v>43.729630305918398</v>
      </c>
      <c r="CF278" s="163">
        <v>-0.20414750620618349</v>
      </c>
      <c r="CG278" s="163">
        <v>260.47199999999998</v>
      </c>
      <c r="CH278" s="163">
        <v>75.278000000000006</v>
      </c>
      <c r="CI278" s="163">
        <v>11.600404387695567</v>
      </c>
      <c r="CJ278" s="163">
        <v>2.4700141728777325E-2</v>
      </c>
      <c r="CK278" s="163">
        <v>55.330034693613968</v>
      </c>
      <c r="CL278" s="163">
        <v>868.19500000000005</v>
      </c>
      <c r="CM278" s="163">
        <v>28.939833333333336</v>
      </c>
      <c r="CN278" s="163">
        <v>638.06200000000001</v>
      </c>
      <c r="CO278" s="163">
        <v>47.89500000000001</v>
      </c>
      <c r="CP278" s="163">
        <v>44.095761896808895</v>
      </c>
      <c r="CQ278" s="163">
        <v>0.16198408468431325</v>
      </c>
      <c r="CR278" s="163">
        <v>334.41800000000001</v>
      </c>
      <c r="CS278" s="163">
        <v>36.923999999999999</v>
      </c>
      <c r="CT278" s="163">
        <v>11.555629783631556</v>
      </c>
      <c r="CU278" s="163">
        <v>-2.0074462335234244E-2</v>
      </c>
      <c r="CV278" s="163">
        <v>55.651391680440454</v>
      </c>
      <c r="CW278" s="163"/>
      <c r="CX278" s="163">
        <v>0</v>
      </c>
      <c r="CY278" s="163">
        <v>0</v>
      </c>
      <c r="CZ278" s="163">
        <v>0</v>
      </c>
      <c r="DA278" s="163">
        <v>0</v>
      </c>
      <c r="DB278" s="163">
        <v>0</v>
      </c>
      <c r="DC278" s="163">
        <v>0</v>
      </c>
      <c r="DD278" s="163"/>
      <c r="DE278" s="163">
        <v>177.36199999999999</v>
      </c>
      <c r="DF278" s="163">
        <v>98.757999999999996</v>
      </c>
      <c r="DG278" s="163"/>
      <c r="DH278" s="163">
        <v>0.55681600342801729</v>
      </c>
      <c r="DI278" s="163">
        <v>150.87299999999999</v>
      </c>
      <c r="DJ278" s="163">
        <v>0.42532504144066935</v>
      </c>
      <c r="DK278" s="163">
        <v>117.494</v>
      </c>
      <c r="DL278" s="163">
        <v>114.721</v>
      </c>
      <c r="DM278" s="163">
        <v>2.3601205167923411E-2</v>
      </c>
      <c r="DN278" s="163">
        <v>132.80500000000001</v>
      </c>
      <c r="DO278" s="163"/>
      <c r="DP278" s="163">
        <v>82.692999999999998</v>
      </c>
      <c r="DQ278" s="163">
        <v>82.692999999999998</v>
      </c>
      <c r="DR278" s="163">
        <v>0.9821410448686867</v>
      </c>
      <c r="DS278" s="163"/>
      <c r="DT278" s="163">
        <v>158.51499999999999</v>
      </c>
      <c r="DU278" s="163">
        <v>71.819000000000003</v>
      </c>
      <c r="DV278" s="163">
        <v>26.594999999999999</v>
      </c>
      <c r="DW278" s="163">
        <v>0.45307384159227837</v>
      </c>
      <c r="DX278" s="163">
        <v>47.923000000000002</v>
      </c>
      <c r="DY278" s="163">
        <v>0.15116235056619248</v>
      </c>
      <c r="DZ278" s="163">
        <v>45.298000000000002</v>
      </c>
      <c r="EA278" s="163">
        <v>44.279000000000003</v>
      </c>
      <c r="EB278" s="163">
        <v>2.2495474413881333E-2</v>
      </c>
      <c r="EC278" s="163">
        <v>47.831000000000003</v>
      </c>
      <c r="ED278" s="163"/>
      <c r="EE278" s="163">
        <v>41.301000000000002</v>
      </c>
      <c r="EF278" s="163">
        <v>41.301000000000002</v>
      </c>
      <c r="EG278" s="163">
        <v>0.60423619215847091</v>
      </c>
    </row>
    <row r="279" spans="1:137" hidden="1">
      <c r="A279" s="157">
        <v>42767</v>
      </c>
      <c r="B279" s="163">
        <v>4530.0879999999997</v>
      </c>
      <c r="C279" s="163">
        <v>151.00293333333332</v>
      </c>
      <c r="D279" s="163">
        <v>8.2109333333333154</v>
      </c>
      <c r="E279" s="163">
        <v>5.7502754589425997E-2</v>
      </c>
      <c r="F279" s="163">
        <v>3322.0360000000001</v>
      </c>
      <c r="G279" s="163"/>
      <c r="H279" s="163"/>
      <c r="I279" s="163">
        <v>362.62700000000001</v>
      </c>
      <c r="J279" s="163">
        <v>43.999622082396641</v>
      </c>
      <c r="K279" s="163">
        <v>47.01091457825985</v>
      </c>
      <c r="L279" s="163">
        <v>1.0914578259850316E-2</v>
      </c>
      <c r="M279" s="163">
        <v>227.357</v>
      </c>
      <c r="N279" s="163">
        <v>29.914000000000001</v>
      </c>
      <c r="O279" s="163">
        <v>1752.539</v>
      </c>
      <c r="P279" s="163">
        <v>1797.556</v>
      </c>
      <c r="Q279" s="163">
        <v>858.16899999999998</v>
      </c>
      <c r="R279" s="163">
        <v>344.07499999999999</v>
      </c>
      <c r="S279" s="163">
        <v>595.31200000000001</v>
      </c>
      <c r="T279" s="163">
        <v>408.33800000000002</v>
      </c>
      <c r="U279" s="163">
        <v>435.83400000000029</v>
      </c>
      <c r="V279" s="163">
        <v>0.24622555167621463</v>
      </c>
      <c r="W279" s="163">
        <v>11.605993084461053</v>
      </c>
      <c r="X279" s="163">
        <v>-7.4006915538946672E-2</v>
      </c>
      <c r="Y279" s="163">
        <v>58.616907662720905</v>
      </c>
      <c r="Z279" s="163">
        <v>1310.223</v>
      </c>
      <c r="AA279" s="163">
        <v>1270.8879999999999</v>
      </c>
      <c r="AB279" s="163">
        <v>3.0021607008883251E-2</v>
      </c>
      <c r="AC279" s="163"/>
      <c r="AD279" s="163"/>
      <c r="AE279" s="163"/>
      <c r="AF279" s="163"/>
      <c r="AH279" s="163"/>
      <c r="AI279" s="163">
        <v>570.23099999999999</v>
      </c>
      <c r="AJ279" s="163">
        <v>19.0077</v>
      </c>
      <c r="AK279" s="163">
        <v>410.02600000000001</v>
      </c>
      <c r="AL279" s="163">
        <v>96.483000000000004</v>
      </c>
      <c r="AM279" s="163">
        <v>43.143147250850973</v>
      </c>
      <c r="AN279" s="163">
        <v>-0.85647483154566828</v>
      </c>
      <c r="AO279" s="163">
        <v>225.83600000000001</v>
      </c>
      <c r="AP279" s="163">
        <v>142.91999999999999</v>
      </c>
      <c r="AQ279" s="163">
        <v>11.88129021396592</v>
      </c>
      <c r="AR279" s="163">
        <v>0.2752971295048674</v>
      </c>
      <c r="AS279" s="163">
        <v>55.024437464816891</v>
      </c>
      <c r="AT279" s="163">
        <v>961.55600000000004</v>
      </c>
      <c r="AU279" s="163">
        <v>32.051866666666669</v>
      </c>
      <c r="AV279" s="163">
        <v>707.37699999999995</v>
      </c>
      <c r="AW279" s="163">
        <v>67.103999999999999</v>
      </c>
      <c r="AX279" s="163">
        <v>44.139519695160757</v>
      </c>
      <c r="AY279" s="163">
        <v>0.13989761276411627</v>
      </c>
      <c r="AZ279" s="163">
        <v>362.03899999999999</v>
      </c>
      <c r="BA279" s="163">
        <v>164.941</v>
      </c>
      <c r="BB279" s="163">
        <v>11.295410771707523</v>
      </c>
      <c r="BC279" s="163">
        <v>-0.31058231275352988</v>
      </c>
      <c r="BD279" s="163">
        <v>55.434930466868281</v>
      </c>
      <c r="BE279" s="163">
        <v>1012.452</v>
      </c>
      <c r="BF279" s="163">
        <v>33.748399999999997</v>
      </c>
      <c r="BG279" s="163">
        <v>747.59799999999996</v>
      </c>
      <c r="BH279" s="163">
        <v>77.986999999999995</v>
      </c>
      <c r="BI279" s="163">
        <v>44.304204051155018</v>
      </c>
      <c r="BJ279" s="163">
        <v>0.30458196875837729</v>
      </c>
      <c r="BK279" s="163">
        <v>398.01100000000002</v>
      </c>
      <c r="BL279" s="163">
        <v>208.50899999999999</v>
      </c>
      <c r="BM279" s="163">
        <v>11.793477616716647</v>
      </c>
      <c r="BN279" s="163">
        <v>0.18748453225559381</v>
      </c>
      <c r="BO279" s="163">
        <v>56.097681667871669</v>
      </c>
      <c r="BP279" s="163">
        <v>612.24400000000003</v>
      </c>
      <c r="BQ279" s="163">
        <v>20.408133333333335</v>
      </c>
      <c r="BR279" s="163">
        <v>456.56900000000002</v>
      </c>
      <c r="BS279" s="163">
        <v>31.006</v>
      </c>
      <c r="BT279" s="163">
        <v>44.743827624280513</v>
      </c>
      <c r="BU279" s="163">
        <v>0.744205541883872</v>
      </c>
      <c r="BV279" s="163">
        <v>235.416</v>
      </c>
      <c r="BW279" s="163">
        <v>222.381</v>
      </c>
      <c r="BX279" s="163">
        <v>11.535400918588012</v>
      </c>
      <c r="BY279" s="163">
        <v>-7.0592165873041068E-2</v>
      </c>
      <c r="BZ279" s="163">
        <v>56.279228542868523</v>
      </c>
      <c r="CA279" s="163">
        <v>610.37800000000004</v>
      </c>
      <c r="CB279" s="163">
        <v>20.345933333333335</v>
      </c>
      <c r="CC279" s="163">
        <v>442.37599999999998</v>
      </c>
      <c r="CD279" s="163">
        <v>53.865000000000002</v>
      </c>
      <c r="CE279" s="163">
        <v>43.485446723178093</v>
      </c>
      <c r="CF279" s="163">
        <v>-0.51417535921854807</v>
      </c>
      <c r="CG279" s="163">
        <v>237.035</v>
      </c>
      <c r="CH279" s="163">
        <v>76.331000000000003</v>
      </c>
      <c r="CI279" s="163">
        <v>11.650239687537885</v>
      </c>
      <c r="CJ279" s="163">
        <v>4.4246603076832258E-2</v>
      </c>
      <c r="CK279" s="163">
        <v>55.135686410715977</v>
      </c>
      <c r="CL279" s="163">
        <v>763.22699999999998</v>
      </c>
      <c r="CM279" s="163">
        <v>25.440899999999999</v>
      </c>
      <c r="CN279" s="163">
        <v>558.09</v>
      </c>
      <c r="CO279" s="163">
        <v>36.182000000000002</v>
      </c>
      <c r="CP279" s="163">
        <v>43.873447873306375</v>
      </c>
      <c r="CQ279" s="163">
        <v>-0.12617420909026578</v>
      </c>
      <c r="CR279" s="163">
        <v>294.202</v>
      </c>
      <c r="CS279" s="163">
        <v>43.087000000000003</v>
      </c>
      <c r="CT279" s="163">
        <v>11.564134916610655</v>
      </c>
      <c r="CU279" s="163">
        <v>-4.1858167850397976E-2</v>
      </c>
      <c r="CV279" s="163">
        <v>55.43758278991703</v>
      </c>
      <c r="CW279" s="163"/>
      <c r="CX279" s="163">
        <v>0</v>
      </c>
      <c r="CY279" s="163">
        <v>0</v>
      </c>
      <c r="CZ279" s="163">
        <v>0</v>
      </c>
      <c r="DA279" s="163">
        <v>0</v>
      </c>
      <c r="DB279" s="163">
        <v>0</v>
      </c>
      <c r="DC279" s="163">
        <v>0</v>
      </c>
      <c r="DD279" s="163"/>
      <c r="DE279" s="163">
        <v>166.774</v>
      </c>
      <c r="DF279" s="163">
        <v>90.510999999999996</v>
      </c>
      <c r="DG279" s="163"/>
      <c r="DH279" s="163">
        <v>0.54271649058006644</v>
      </c>
      <c r="DI279" s="163">
        <v>139.94300000000001</v>
      </c>
      <c r="DJ279" s="163">
        <v>0.41955880413014024</v>
      </c>
      <c r="DK279" s="163">
        <v>120.57899999999999</v>
      </c>
      <c r="DL279" s="163">
        <v>117.142</v>
      </c>
      <c r="DM279" s="163">
        <v>2.8504134219059729E-2</v>
      </c>
      <c r="DN279" s="163">
        <v>130.69800000000001</v>
      </c>
      <c r="DO279" s="163"/>
      <c r="DP279" s="163">
        <v>80.974000000000004</v>
      </c>
      <c r="DQ279" s="163">
        <v>80.974000000000004</v>
      </c>
      <c r="DR279" s="163">
        <v>0.96227529471020667</v>
      </c>
      <c r="DS279" s="163"/>
      <c r="DT279" s="163">
        <v>152.85900000000001</v>
      </c>
      <c r="DU279" s="163">
        <v>67.63</v>
      </c>
      <c r="DV279" s="163">
        <v>18.465</v>
      </c>
      <c r="DW279" s="163">
        <v>0.44243387697158815</v>
      </c>
      <c r="DX279" s="163">
        <v>47.43</v>
      </c>
      <c r="DY279" s="163">
        <v>0.15514297489843581</v>
      </c>
      <c r="DZ279" s="163">
        <v>45.37</v>
      </c>
      <c r="EA279" s="163">
        <v>44.284999999999997</v>
      </c>
      <c r="EB279" s="163">
        <v>2.3914480934538296E-2</v>
      </c>
      <c r="EC279" s="163">
        <v>41.883000000000003</v>
      </c>
      <c r="ED279" s="163"/>
      <c r="EE279" s="163">
        <v>42.695999999999998</v>
      </c>
      <c r="EF279" s="163">
        <v>42.695999999999998</v>
      </c>
      <c r="EG279" s="163">
        <v>0.59757685187002396</v>
      </c>
    </row>
    <row r="280" spans="1:137" hidden="1">
      <c r="A280" s="157">
        <v>42795</v>
      </c>
      <c r="B280" s="163">
        <v>4800.0519999999997</v>
      </c>
      <c r="C280" s="163">
        <v>160.00173333333333</v>
      </c>
      <c r="D280" s="163">
        <v>6.9417333333333318</v>
      </c>
      <c r="E280" s="163">
        <v>4.5353020601942573E-2</v>
      </c>
      <c r="F280" s="163">
        <v>3511.933</v>
      </c>
      <c r="G280" s="163"/>
      <c r="H280" s="163"/>
      <c r="I280" s="163">
        <v>300.93799999999999</v>
      </c>
      <c r="J280" s="163">
        <v>43.898686930891579</v>
      </c>
      <c r="K280" s="163">
        <v>46.941216470154906</v>
      </c>
      <c r="L280" s="163">
        <v>-0.10878352984509121</v>
      </c>
      <c r="M280" s="163">
        <v>243.405</v>
      </c>
      <c r="N280" s="163">
        <v>32.704999999999998</v>
      </c>
      <c r="O280" s="163">
        <v>1857.066</v>
      </c>
      <c r="P280" s="163">
        <v>1929.779</v>
      </c>
      <c r="Q280" s="163">
        <v>904.74099999999999</v>
      </c>
      <c r="R280" s="163">
        <v>376.41300000000001</v>
      </c>
      <c r="S280" s="163">
        <v>648.625</v>
      </c>
      <c r="T280" s="163">
        <v>406.98200000000003</v>
      </c>
      <c r="U280" s="163">
        <v>521.60099999999989</v>
      </c>
      <c r="V280" s="163">
        <v>0.28735813922739584</v>
      </c>
      <c r="W280" s="163">
        <v>11.606536762518406</v>
      </c>
      <c r="X280" s="163">
        <v>-8.3463237481593566E-2</v>
      </c>
      <c r="Y280" s="163">
        <v>58.547753232673315</v>
      </c>
      <c r="Z280" s="163">
        <v>1433.835</v>
      </c>
      <c r="AA280" s="163">
        <v>1399.8889999999999</v>
      </c>
      <c r="AB280" s="163">
        <v>2.3674969574602474E-2</v>
      </c>
      <c r="AC280" s="163"/>
      <c r="AD280" s="163"/>
      <c r="AE280" s="163"/>
      <c r="AF280" s="163"/>
      <c r="AH280" s="163"/>
      <c r="AI280" s="163">
        <v>640.447</v>
      </c>
      <c r="AJ280" s="163">
        <v>21.348233333333333</v>
      </c>
      <c r="AK280" s="163">
        <v>468.57799999999997</v>
      </c>
      <c r="AL280" s="163">
        <v>55.692999999999998</v>
      </c>
      <c r="AM280" s="163">
        <v>43.898527122462902</v>
      </c>
      <c r="AN280" s="163">
        <v>-1.5980842867691081E-4</v>
      </c>
      <c r="AO280" s="163">
        <v>254.53899999999999</v>
      </c>
      <c r="AP280" s="163">
        <v>206.01400000000001</v>
      </c>
      <c r="AQ280" s="163">
        <v>11.923188023364931</v>
      </c>
      <c r="AR280" s="163">
        <v>0.31665126084652506</v>
      </c>
      <c r="AS280" s="163">
        <v>55.821715145827831</v>
      </c>
      <c r="AT280" s="163">
        <v>1001.263</v>
      </c>
      <c r="AU280" s="163">
        <v>33.375433333333334</v>
      </c>
      <c r="AV280" s="163">
        <v>726.82100000000003</v>
      </c>
      <c r="AW280" s="163">
        <v>48.055999999999997</v>
      </c>
      <c r="AX280" s="163">
        <v>43.554250981010988</v>
      </c>
      <c r="AY280" s="163">
        <v>-0.3444359498805909</v>
      </c>
      <c r="AZ280" s="163">
        <v>384.61099999999999</v>
      </c>
      <c r="BA280" s="163">
        <v>146.726</v>
      </c>
      <c r="BB280" s="163">
        <v>11.523775471579395</v>
      </c>
      <c r="BC280" s="163">
        <v>-8.2761290939011189E-2</v>
      </c>
      <c r="BD280" s="163">
        <v>55.078026452590379</v>
      </c>
      <c r="BE280" s="163">
        <v>1041.3510000000001</v>
      </c>
      <c r="BF280" s="163">
        <v>34.7117</v>
      </c>
      <c r="BG280" s="163">
        <v>763.46699999999998</v>
      </c>
      <c r="BH280" s="163">
        <v>67.010000000000005</v>
      </c>
      <c r="BI280" s="163">
        <v>43.989029635540753</v>
      </c>
      <c r="BJ280" s="163">
        <v>9.0342704649174266E-2</v>
      </c>
      <c r="BK280" s="163">
        <v>404.06400000000002</v>
      </c>
      <c r="BL280" s="163">
        <v>216.09299999999999</v>
      </c>
      <c r="BM280" s="163">
        <v>11.640570758562676</v>
      </c>
      <c r="BN280" s="163">
        <v>3.4033996044270154E-2</v>
      </c>
      <c r="BO280" s="163">
        <v>55.629600394103427</v>
      </c>
      <c r="BP280" s="163">
        <v>675.41600000000005</v>
      </c>
      <c r="BQ280" s="163">
        <v>22.513866666666669</v>
      </c>
      <c r="BR280" s="163">
        <v>498.53199999999998</v>
      </c>
      <c r="BS280" s="163">
        <v>30.702000000000002</v>
      </c>
      <c r="BT280" s="163">
        <v>44.286661849882144</v>
      </c>
      <c r="BU280" s="163">
        <v>0.38797491899056524</v>
      </c>
      <c r="BV280" s="163">
        <v>257.65499999999997</v>
      </c>
      <c r="BW280" s="163">
        <v>242.02199999999999</v>
      </c>
      <c r="BX280" s="163">
        <v>11.444280265791747</v>
      </c>
      <c r="BY280" s="163">
        <v>-0.16225649672665909</v>
      </c>
      <c r="BZ280" s="163">
        <v>55.730942115673891</v>
      </c>
      <c r="CA280" s="163">
        <v>606.73599999999999</v>
      </c>
      <c r="CB280" s="163">
        <v>20.224533333333333</v>
      </c>
      <c r="CC280" s="163">
        <v>441.18099999999998</v>
      </c>
      <c r="CD280" s="163">
        <v>57.027999999999999</v>
      </c>
      <c r="CE280" s="163">
        <v>43.628299622900236</v>
      </c>
      <c r="CF280" s="163">
        <v>-0.27038730799134214</v>
      </c>
      <c r="CG280" s="163">
        <v>236.89</v>
      </c>
      <c r="CH280" s="163">
        <v>63.689</v>
      </c>
      <c r="CI280" s="163">
        <v>11.713002030537169</v>
      </c>
      <c r="CJ280" s="163">
        <v>0.10646526801876277</v>
      </c>
      <c r="CK280" s="163">
        <v>55.341301653437405</v>
      </c>
      <c r="CL280" s="163">
        <v>834.83900000000006</v>
      </c>
      <c r="CM280" s="163">
        <v>27.827966666666669</v>
      </c>
      <c r="CN280" s="163">
        <v>613.35400000000004</v>
      </c>
      <c r="CO280" s="163">
        <v>42.448999999999998</v>
      </c>
      <c r="CP280" s="163">
        <v>44.081840929808024</v>
      </c>
      <c r="CQ280" s="163">
        <v>0.18315399891644546</v>
      </c>
      <c r="CR280" s="163">
        <v>319.30700000000002</v>
      </c>
      <c r="CS280" s="163">
        <v>30.196999999999999</v>
      </c>
      <c r="CT280" s="163">
        <v>11.474320198265774</v>
      </c>
      <c r="CU280" s="163">
        <v>-0.13221656425263184</v>
      </c>
      <c r="CV280" s="163">
        <v>55.556161128073796</v>
      </c>
      <c r="CW280" s="163"/>
      <c r="CX280" s="163">
        <v>0</v>
      </c>
      <c r="CY280" s="163">
        <v>0</v>
      </c>
      <c r="CZ280" s="163">
        <v>0</v>
      </c>
      <c r="DA280" s="163">
        <v>0</v>
      </c>
      <c r="DB280" s="163">
        <v>0</v>
      </c>
      <c r="DC280" s="163">
        <v>0</v>
      </c>
      <c r="DD280" s="163"/>
      <c r="DE280" s="163">
        <v>184.51599999999999</v>
      </c>
      <c r="DF280" s="163">
        <v>101.917</v>
      </c>
      <c r="DG280" s="163"/>
      <c r="DH280" s="163">
        <v>0.5523477638795552</v>
      </c>
      <c r="DI280" s="163">
        <v>156.376</v>
      </c>
      <c r="DJ280" s="163">
        <v>0.4237464501723428</v>
      </c>
      <c r="DK280" s="163">
        <v>128.357</v>
      </c>
      <c r="DL280" s="163">
        <v>124.956</v>
      </c>
      <c r="DM280" s="163">
        <v>2.6496412349930276E-2</v>
      </c>
      <c r="DN280" s="163">
        <v>150.601</v>
      </c>
      <c r="DO280" s="163">
        <v>254.34800000000001</v>
      </c>
      <c r="DP280" s="163">
        <v>83.95</v>
      </c>
      <c r="DQ280" s="163">
        <v>338.298</v>
      </c>
      <c r="DR280" s="163">
        <v>0.976094214051898</v>
      </c>
      <c r="DS280" s="163"/>
      <c r="DT280" s="163">
        <v>169.88</v>
      </c>
      <c r="DU280" s="163">
        <v>77.647999999999996</v>
      </c>
      <c r="DV280" s="163">
        <v>19.782</v>
      </c>
      <c r="DW280" s="163">
        <v>0.45707558276430421</v>
      </c>
      <c r="DX280" s="163">
        <v>51.567999999999998</v>
      </c>
      <c r="DY280" s="163">
        <v>0.15177772545326113</v>
      </c>
      <c r="DZ280" s="163">
        <v>50.515000000000001</v>
      </c>
      <c r="EA280" s="163">
        <v>49.353999999999999</v>
      </c>
      <c r="EB280" s="163">
        <v>2.2983272295357793E-2</v>
      </c>
      <c r="EC280" s="163">
        <v>42.057000000000002</v>
      </c>
      <c r="ED280" s="163"/>
      <c r="EE280" s="163">
        <v>49.277000000000001</v>
      </c>
      <c r="EF280" s="163">
        <v>49.277000000000001</v>
      </c>
      <c r="EG280" s="163">
        <v>0.60885330821756534</v>
      </c>
    </row>
    <row r="281" spans="1:137" hidden="1">
      <c r="A281" s="157">
        <v>42826</v>
      </c>
      <c r="B281" s="163">
        <v>4492.9059999999999</v>
      </c>
      <c r="C281" s="163">
        <v>149.76353333333333</v>
      </c>
      <c r="D281" s="163">
        <v>10.629533333333342</v>
      </c>
      <c r="E281" s="163">
        <v>7.6397813139371662E-2</v>
      </c>
      <c r="F281" s="163">
        <v>3288.6030000000001</v>
      </c>
      <c r="G281" s="163"/>
      <c r="H281" s="163"/>
      <c r="I281" s="163">
        <v>367.68599999999998</v>
      </c>
      <c r="J281" s="163">
        <v>43.91727314125869</v>
      </c>
      <c r="K281" s="163">
        <v>46.877272749530043</v>
      </c>
      <c r="L281" s="163">
        <v>-8.272725046995788E-2</v>
      </c>
      <c r="M281" s="163">
        <v>221.65</v>
      </c>
      <c r="N281" s="163">
        <v>38.768999999999998</v>
      </c>
      <c r="O281" s="163">
        <v>1731.704</v>
      </c>
      <c r="P281" s="163">
        <v>1843.95</v>
      </c>
      <c r="Q281" s="163">
        <v>894.803</v>
      </c>
      <c r="R281" s="163">
        <v>346.49099999999999</v>
      </c>
      <c r="S281" s="163">
        <v>602.65599999999995</v>
      </c>
      <c r="T281" s="163">
        <v>389.87299999999999</v>
      </c>
      <c r="U281" s="163">
        <v>508.41999999999985</v>
      </c>
      <c r="V281" s="163">
        <v>0.29466739074871184</v>
      </c>
      <c r="W281" s="163">
        <v>11.562921636909385</v>
      </c>
      <c r="X281" s="163">
        <v>-0.12707836309061449</v>
      </c>
      <c r="Y281" s="163">
        <v>58.44019438643943</v>
      </c>
      <c r="Z281" s="163">
        <v>1328.242</v>
      </c>
      <c r="AA281" s="163">
        <v>1300.518</v>
      </c>
      <c r="AB281" s="163">
        <v>2.0872702414168453E-2</v>
      </c>
      <c r="AC281" s="163"/>
      <c r="AD281" s="163"/>
      <c r="AE281" s="163"/>
      <c r="AF281" s="163"/>
      <c r="AH281" s="163"/>
      <c r="AI281" s="163">
        <v>573.50699999999995</v>
      </c>
      <c r="AJ281" s="163">
        <v>19.116899999999998</v>
      </c>
      <c r="AK281" s="163">
        <v>417.35899999999998</v>
      </c>
      <c r="AL281" s="163">
        <v>61.435000000000002</v>
      </c>
      <c r="AM281" s="163">
        <v>43.663878557715954</v>
      </c>
      <c r="AN281" s="163">
        <v>-0.25339458354273603</v>
      </c>
      <c r="AO281" s="163">
        <v>226.61699999999999</v>
      </c>
      <c r="AP281" s="163">
        <v>196.62100000000001</v>
      </c>
      <c r="AQ281" s="163">
        <v>11.854275536305574</v>
      </c>
      <c r="AR281" s="163">
        <v>0.29135389939618861</v>
      </c>
      <c r="AS281" s="163">
        <v>55.518154094021526</v>
      </c>
      <c r="AT281" s="163">
        <v>952.41700000000003</v>
      </c>
      <c r="AU281" s="163">
        <v>31.747233333333334</v>
      </c>
      <c r="AV281" s="163">
        <v>696.16300000000001</v>
      </c>
      <c r="AW281" s="163">
        <v>79.494</v>
      </c>
      <c r="AX281" s="163">
        <v>43.856609027348313</v>
      </c>
      <c r="AY281" s="163">
        <v>-6.0664113910377182E-2</v>
      </c>
      <c r="AZ281" s="163">
        <v>361.11599999999999</v>
      </c>
      <c r="BA281" s="163">
        <v>175.273</v>
      </c>
      <c r="BB281" s="163">
        <v>11.374723466716784</v>
      </c>
      <c r="BC281" s="163">
        <v>-0.18819817019260121</v>
      </c>
      <c r="BD281" s="163">
        <v>55.2313324940651</v>
      </c>
      <c r="BE281" s="163">
        <v>1034.6400000000001</v>
      </c>
      <c r="BF281" s="163">
        <v>34.488000000000007</v>
      </c>
      <c r="BG281" s="163">
        <v>763.09299999999996</v>
      </c>
      <c r="BH281" s="163">
        <v>93.644000000000005</v>
      </c>
      <c r="BI281" s="163">
        <v>44.252667594525619</v>
      </c>
      <c r="BJ281" s="163">
        <v>0.33539445326692885</v>
      </c>
      <c r="BK281" s="163">
        <v>406.26799999999997</v>
      </c>
      <c r="BL281" s="163">
        <v>201.58699999999999</v>
      </c>
      <c r="BM281" s="163">
        <v>11.779981442820688</v>
      </c>
      <c r="BN281" s="163">
        <v>0.21705980591130292</v>
      </c>
      <c r="BO281" s="163">
        <v>56.032649037346303</v>
      </c>
      <c r="BP281" s="163">
        <v>637.80499999999995</v>
      </c>
      <c r="BQ281" s="163">
        <v>21.260166666666667</v>
      </c>
      <c r="BR281" s="163">
        <v>466.87299999999999</v>
      </c>
      <c r="BS281" s="163">
        <v>49.872999999999998</v>
      </c>
      <c r="BT281" s="163">
        <v>43.919975541113665</v>
      </c>
      <c r="BU281" s="163">
        <v>2.7023998549751127E-3</v>
      </c>
      <c r="BV281" s="163">
        <v>234.75899999999999</v>
      </c>
      <c r="BW281" s="163">
        <v>236.61799999999999</v>
      </c>
      <c r="BX281" s="163">
        <v>11.042199418317511</v>
      </c>
      <c r="BY281" s="163">
        <v>-0.52072221859187451</v>
      </c>
      <c r="BZ281" s="163">
        <v>54.962174959431174</v>
      </c>
      <c r="CA281" s="163">
        <v>484.59399999999999</v>
      </c>
      <c r="CB281" s="163">
        <v>16.153133333333333</v>
      </c>
      <c r="CC281" s="163">
        <v>352.964</v>
      </c>
      <c r="CD281" s="163">
        <v>32.401000000000003</v>
      </c>
      <c r="CE281" s="163">
        <v>43.702233209655923</v>
      </c>
      <c r="CF281" s="163">
        <v>-0.21503993160276735</v>
      </c>
      <c r="CG281" s="163">
        <v>188.113</v>
      </c>
      <c r="CH281" s="163">
        <v>54.343000000000004</v>
      </c>
      <c r="CI281" s="163">
        <v>11.645604361589289</v>
      </c>
      <c r="CJ281" s="163">
        <v>8.2682724679903785E-2</v>
      </c>
      <c r="CK281" s="163">
        <v>55.347837571245208</v>
      </c>
      <c r="CL281" s="163">
        <v>809.94299999999998</v>
      </c>
      <c r="CM281" s="163">
        <v>26.998100000000001</v>
      </c>
      <c r="CN281" s="163">
        <v>592.15099999999995</v>
      </c>
      <c r="CO281" s="163">
        <v>50.838999999999999</v>
      </c>
      <c r="CP281" s="163">
        <v>43.866123912423461</v>
      </c>
      <c r="CQ281" s="163">
        <v>-5.1149228835228655E-2</v>
      </c>
      <c r="CR281" s="163">
        <v>314.83100000000002</v>
      </c>
      <c r="CS281" s="163">
        <v>30.361000000000001</v>
      </c>
      <c r="CT281" s="163">
        <v>11.66122801234161</v>
      </c>
      <c r="CU281" s="163">
        <v>9.8306375432224868E-2</v>
      </c>
      <c r="CV281" s="163">
        <v>55.527351924765071</v>
      </c>
      <c r="CW281" s="163"/>
      <c r="CX281" s="163">
        <v>0</v>
      </c>
      <c r="CY281" s="163">
        <v>0</v>
      </c>
      <c r="CZ281" s="163">
        <v>0</v>
      </c>
      <c r="DA281" s="163">
        <v>0</v>
      </c>
      <c r="DB281" s="163">
        <v>0</v>
      </c>
      <c r="DC281" s="163">
        <v>0</v>
      </c>
      <c r="DD281" s="163"/>
      <c r="DE281" s="163">
        <v>164.10300000000001</v>
      </c>
      <c r="DF281" s="163">
        <v>92.811000000000007</v>
      </c>
      <c r="DG281" s="163">
        <v>47.695</v>
      </c>
      <c r="DH281" s="163">
        <v>0.56556552896656365</v>
      </c>
      <c r="DI281" s="163">
        <v>141.28200000000001</v>
      </c>
      <c r="DJ281" s="163">
        <v>0.43046745032083511</v>
      </c>
      <c r="DK281" s="163">
        <v>129.821</v>
      </c>
      <c r="DL281" s="163">
        <v>126.667</v>
      </c>
      <c r="DM281" s="163">
        <v>2.4294990795017735E-2</v>
      </c>
      <c r="DN281" s="163">
        <v>148.68199999999999</v>
      </c>
      <c r="DO281" s="163">
        <v>252.57</v>
      </c>
      <c r="DP281" s="163">
        <v>70.451999999999998</v>
      </c>
      <c r="DQ281" s="163">
        <v>323.02199999999999</v>
      </c>
      <c r="DR281" s="163">
        <v>0.99603297928739876</v>
      </c>
      <c r="DS281" s="163"/>
      <c r="DT281" s="163">
        <v>155.733</v>
      </c>
      <c r="DU281" s="163">
        <v>69.239999999999995</v>
      </c>
      <c r="DV281" s="163">
        <v>31.596</v>
      </c>
      <c r="DW281" s="163">
        <v>0.44460711602550512</v>
      </c>
      <c r="DX281" s="163">
        <v>47.395000000000003</v>
      </c>
      <c r="DY281" s="163">
        <v>0.15216749179685746</v>
      </c>
      <c r="DZ281" s="163">
        <v>49.667000000000002</v>
      </c>
      <c r="EA281" s="163">
        <v>48.058</v>
      </c>
      <c r="EB281" s="163">
        <v>3.2395755733182985E-2</v>
      </c>
      <c r="EC281" s="163">
        <v>45.354999999999997</v>
      </c>
      <c r="ED281" s="163"/>
      <c r="EE281" s="163">
        <v>56.61</v>
      </c>
      <c r="EF281" s="163">
        <v>56.61</v>
      </c>
      <c r="EG281" s="163">
        <v>0.59677460782236258</v>
      </c>
    </row>
    <row r="282" spans="1:137" hidden="1">
      <c r="A282" s="157">
        <v>42856</v>
      </c>
      <c r="B282" s="163">
        <v>4739.3869999999997</v>
      </c>
      <c r="C282" s="163">
        <v>157.97956666666667</v>
      </c>
      <c r="D282" s="163">
        <v>8.7335666666666611</v>
      </c>
      <c r="E282" s="163">
        <v>5.8517927895331612E-2</v>
      </c>
      <c r="F282" s="163">
        <v>3491.3180000000002</v>
      </c>
      <c r="G282" s="163"/>
      <c r="H282" s="163"/>
      <c r="I282" s="163">
        <v>375.15600000000001</v>
      </c>
      <c r="J282" s="163">
        <v>44.199614844704598</v>
      </c>
      <c r="K282" s="163">
        <v>47.246996288760549</v>
      </c>
      <c r="L282" s="163">
        <v>0.16699628876055073</v>
      </c>
      <c r="M282" s="163">
        <v>240.71199999999999</v>
      </c>
      <c r="N282" s="163">
        <v>52.835999999999999</v>
      </c>
      <c r="O282" s="163">
        <v>1839.3420000000001</v>
      </c>
      <c r="P282" s="163">
        <v>1888.7170000000001</v>
      </c>
      <c r="Q282" s="163">
        <v>878.58699999999999</v>
      </c>
      <c r="R282" s="163">
        <v>400.41199999999998</v>
      </c>
      <c r="S282" s="163">
        <v>609.71799999999996</v>
      </c>
      <c r="T282" s="163">
        <v>380.53800000000001</v>
      </c>
      <c r="U282" s="163">
        <v>520.15900000000011</v>
      </c>
      <c r="V282" s="163">
        <v>0.29738733608675583</v>
      </c>
      <c r="W282" s="163">
        <v>11.642910781499802</v>
      </c>
      <c r="X282" s="163">
        <v>-9.7089218500197916E-2</v>
      </c>
      <c r="Y282" s="163">
        <v>58.88990707026035</v>
      </c>
      <c r="Z282" s="163">
        <v>1483.6890000000001</v>
      </c>
      <c r="AA282" s="163">
        <v>1452.877</v>
      </c>
      <c r="AB282" s="163">
        <v>2.0767155380945822E-2</v>
      </c>
      <c r="AC282" s="163"/>
      <c r="AD282" s="163"/>
      <c r="AE282" s="163"/>
      <c r="AF282" s="163"/>
      <c r="AH282" s="163"/>
      <c r="AI282" s="163">
        <v>549.154</v>
      </c>
      <c r="AJ282" s="163">
        <v>18.305133333333334</v>
      </c>
      <c r="AK282" s="163">
        <v>398.15199999999999</v>
      </c>
      <c r="AL282" s="163">
        <v>49.201999999999998</v>
      </c>
      <c r="AM282" s="163">
        <v>43.501677125177999</v>
      </c>
      <c r="AN282" s="163">
        <v>-0.69793771952659966</v>
      </c>
      <c r="AO282" s="163">
        <v>218.36600000000001</v>
      </c>
      <c r="AP282" s="163">
        <v>187.476</v>
      </c>
      <c r="AQ282" s="163">
        <v>11.929222039719278</v>
      </c>
      <c r="AR282" s="163">
        <v>0.28631125821947556</v>
      </c>
      <c r="AS282" s="163">
        <v>55.430899164897276</v>
      </c>
      <c r="AT282" s="163">
        <v>1051.3019999999999</v>
      </c>
      <c r="AU282" s="163">
        <v>35.043399999999998</v>
      </c>
      <c r="AV282" s="163">
        <v>772.35900000000004</v>
      </c>
      <c r="AW282" s="163">
        <v>90.567999999999998</v>
      </c>
      <c r="AX282" s="163">
        <v>44.080140625624232</v>
      </c>
      <c r="AY282" s="163">
        <v>-0.11947421908036659</v>
      </c>
      <c r="AZ282" s="163">
        <v>405.476</v>
      </c>
      <c r="BA282" s="163">
        <v>170.083</v>
      </c>
      <c r="BB282" s="163">
        <v>11.570680927078994</v>
      </c>
      <c r="BC282" s="163">
        <v>-7.2229854420807982E-2</v>
      </c>
      <c r="BD282" s="163">
        <v>55.650821552703228</v>
      </c>
      <c r="BE282" s="163">
        <v>1115.453</v>
      </c>
      <c r="BF282" s="163">
        <v>37.181766666666668</v>
      </c>
      <c r="BG282" s="163">
        <v>823.61699999999996</v>
      </c>
      <c r="BH282" s="163">
        <v>94.475999999999999</v>
      </c>
      <c r="BI282" s="163">
        <v>44.302198299704244</v>
      </c>
      <c r="BJ282" s="163">
        <v>0.10258345499964605</v>
      </c>
      <c r="BK282" s="163">
        <v>436.505</v>
      </c>
      <c r="BL282" s="163">
        <v>225.011</v>
      </c>
      <c r="BM282" s="163">
        <v>11.739759541639136</v>
      </c>
      <c r="BN282" s="163">
        <v>9.6848760139334189E-2</v>
      </c>
      <c r="BO282" s="163">
        <v>56.041957841343383</v>
      </c>
      <c r="BP282" s="163">
        <v>607.298</v>
      </c>
      <c r="BQ282" s="163">
        <v>20.243266666666667</v>
      </c>
      <c r="BR282" s="163">
        <v>456.00299999999999</v>
      </c>
      <c r="BS282" s="163">
        <v>23.402000000000001</v>
      </c>
      <c r="BT282" s="163">
        <v>45.052313691136803</v>
      </c>
      <c r="BU282" s="163">
        <v>0.8526988464322045</v>
      </c>
      <c r="BV282" s="163">
        <v>233.084</v>
      </c>
      <c r="BW282" s="163">
        <v>219.011</v>
      </c>
      <c r="BX282" s="163">
        <v>11.514149560841629</v>
      </c>
      <c r="BY282" s="163">
        <v>-0.12876122065817341</v>
      </c>
      <c r="BZ282" s="163">
        <v>56.566463251978433</v>
      </c>
      <c r="CA282" s="163">
        <v>561.97400000000005</v>
      </c>
      <c r="CB282" s="163">
        <v>18.732466666666667</v>
      </c>
      <c r="CC282" s="163">
        <v>413.62299999999999</v>
      </c>
      <c r="CD282" s="163">
        <v>78.37</v>
      </c>
      <c r="CE282" s="163">
        <v>44.161082185296827</v>
      </c>
      <c r="CF282" s="163">
        <v>-3.8532659407771064E-2</v>
      </c>
      <c r="CG282" s="163">
        <v>216.98099999999999</v>
      </c>
      <c r="CH282" s="163">
        <v>49.779000000000003</v>
      </c>
      <c r="CI282" s="163">
        <v>11.583151533700846</v>
      </c>
      <c r="CJ282" s="163">
        <v>-5.9759247798956139E-2</v>
      </c>
      <c r="CK282" s="163">
        <v>55.744233718997677</v>
      </c>
      <c r="CL282" s="163">
        <v>854.20600000000002</v>
      </c>
      <c r="CM282" s="163">
        <v>28.473533333333332</v>
      </c>
      <c r="CN282" s="163">
        <v>627.56399999999996</v>
      </c>
      <c r="CO282" s="163">
        <v>39.137999999999998</v>
      </c>
      <c r="CP282" s="163">
        <v>44.080514536306232</v>
      </c>
      <c r="CQ282" s="163">
        <v>-0.11910030839836594</v>
      </c>
      <c r="CR282" s="163">
        <v>328.93</v>
      </c>
      <c r="CS282" s="163">
        <v>27.227</v>
      </c>
      <c r="CT282" s="163">
        <v>11.552131453068698</v>
      </c>
      <c r="CU282" s="163">
        <v>-9.0779328431104034E-2</v>
      </c>
      <c r="CV282" s="163">
        <v>55.632645989374929</v>
      </c>
      <c r="CW282" s="163"/>
      <c r="CX282" s="163">
        <v>0</v>
      </c>
      <c r="CY282" s="163">
        <v>0</v>
      </c>
      <c r="CZ282" s="163">
        <v>0</v>
      </c>
      <c r="DA282" s="163">
        <v>0</v>
      </c>
      <c r="DB282" s="163">
        <v>5.3290705182007514E-14</v>
      </c>
      <c r="DC282" s="163">
        <v>0</v>
      </c>
      <c r="DD282" s="163"/>
      <c r="DE282" s="163">
        <v>113.599</v>
      </c>
      <c r="DF282" s="163">
        <v>69.498999999999995</v>
      </c>
      <c r="DG282" s="163">
        <v>43.789000000000001</v>
      </c>
      <c r="DH282" s="163">
        <v>0.61179235732708903</v>
      </c>
      <c r="DI282" s="163">
        <v>93.072000000000003</v>
      </c>
      <c r="DJ282" s="163">
        <v>0.40965149341103357</v>
      </c>
      <c r="DK282" s="163">
        <v>102.291</v>
      </c>
      <c r="DL282" s="163">
        <v>99.453000000000003</v>
      </c>
      <c r="DM282" s="163">
        <v>2.7744376338094234E-2</v>
      </c>
      <c r="DN282" s="163">
        <v>132.28700000000001</v>
      </c>
      <c r="DO282" s="163">
        <v>218.989</v>
      </c>
      <c r="DP282" s="163">
        <v>75.319999999999993</v>
      </c>
      <c r="DQ282" s="163">
        <v>294.30899999999997</v>
      </c>
      <c r="DR282" s="163">
        <v>1.0214438507381227</v>
      </c>
      <c r="DS282" s="163"/>
      <c r="DT282" s="163">
        <v>155.70400000000001</v>
      </c>
      <c r="DU282" s="163">
        <v>67.463999999999999</v>
      </c>
      <c r="DV282" s="163">
        <v>36.802</v>
      </c>
      <c r="DW282" s="163">
        <v>0.43328366644402194</v>
      </c>
      <c r="DX282" s="163">
        <v>46.921999999999997</v>
      </c>
      <c r="DY282" s="163">
        <v>0.15067692544828648</v>
      </c>
      <c r="DZ282" s="163">
        <v>35.68</v>
      </c>
      <c r="EA282" s="163">
        <v>34.898000000000003</v>
      </c>
      <c r="EB282" s="163">
        <v>2.1917040358744311E-2</v>
      </c>
      <c r="EC282" s="163">
        <v>50.11</v>
      </c>
      <c r="ED282" s="163"/>
      <c r="EE282" s="163">
        <v>44.536999999999999</v>
      </c>
      <c r="EF282" s="163">
        <v>44.536999999999999</v>
      </c>
      <c r="EG282" s="163">
        <v>0.58396059189230842</v>
      </c>
    </row>
    <row r="283" spans="1:137" hidden="1">
      <c r="A283" s="157">
        <v>42887</v>
      </c>
      <c r="B283" s="163">
        <v>4446.8630000000003</v>
      </c>
      <c r="C283" s="163">
        <v>148.22876666666667</v>
      </c>
      <c r="D283" s="163">
        <v>10.15476666666666</v>
      </c>
      <c r="E283" s="163">
        <v>7.3545828082525633E-2</v>
      </c>
      <c r="F283" s="163">
        <v>3268.3969999999999</v>
      </c>
      <c r="G283" s="163"/>
      <c r="H283" s="163"/>
      <c r="I283" s="163">
        <v>314.96499999999997</v>
      </c>
      <c r="J283" s="163">
        <v>44.099361729830669</v>
      </c>
      <c r="K283" s="163">
        <v>47.082993112223157</v>
      </c>
      <c r="L283" s="163">
        <v>0.24299311222315367</v>
      </c>
      <c r="M283" s="163">
        <v>221.13</v>
      </c>
      <c r="N283" s="163">
        <v>35.015999999999998</v>
      </c>
      <c r="O283" s="163">
        <v>1735.6079999999999</v>
      </c>
      <c r="P283" s="163">
        <v>1815.1569999999999</v>
      </c>
      <c r="Q283" s="163">
        <v>798.79</v>
      </c>
      <c r="R283" s="163">
        <v>426.57</v>
      </c>
      <c r="S283" s="163">
        <v>589.79700000000003</v>
      </c>
      <c r="T283" s="163">
        <v>327.78500000000003</v>
      </c>
      <c r="U283" s="163">
        <v>439.53700000000003</v>
      </c>
      <c r="V283" s="163">
        <v>0.25803434884833609</v>
      </c>
      <c r="W283" s="163">
        <v>11.708982264576173</v>
      </c>
      <c r="X283" s="163">
        <v>-3.101773542382702E-2</v>
      </c>
      <c r="Y283" s="163">
        <v>58.791975376799329</v>
      </c>
      <c r="Z283" s="163">
        <v>1399.8309999999999</v>
      </c>
      <c r="AA283" s="163">
        <v>1357.6120000000001</v>
      </c>
      <c r="AB283" s="163">
        <v>3.0160069322653825E-2</v>
      </c>
      <c r="AC283" s="163"/>
      <c r="AD283" s="163"/>
      <c r="AE283" s="163"/>
      <c r="AF283" s="163"/>
      <c r="AH283" s="163"/>
      <c r="AI283" s="163">
        <v>479.90800000000002</v>
      </c>
      <c r="AJ283" s="163">
        <v>15.996933333333335</v>
      </c>
      <c r="AK283" s="163">
        <v>346.68</v>
      </c>
      <c r="AL283" s="163">
        <v>49.923999999999999</v>
      </c>
      <c r="AM283" s="163">
        <v>43.343307467264559</v>
      </c>
      <c r="AN283" s="163">
        <v>-0.75605426256610997</v>
      </c>
      <c r="AO283" s="163">
        <v>191.316</v>
      </c>
      <c r="AP283" s="163">
        <v>215.99100000000001</v>
      </c>
      <c r="AQ283" s="163">
        <v>11.959542245597072</v>
      </c>
      <c r="AR283" s="163">
        <v>0.25055998102089916</v>
      </c>
      <c r="AS283" s="163">
        <v>55.302849712861629</v>
      </c>
      <c r="AT283" s="163">
        <v>976.09500000000003</v>
      </c>
      <c r="AU283" s="163">
        <v>32.536500000000004</v>
      </c>
      <c r="AV283" s="163">
        <v>723.63</v>
      </c>
      <c r="AW283" s="163">
        <v>41.195999999999998</v>
      </c>
      <c r="AX283" s="163">
        <v>44.481121202341981</v>
      </c>
      <c r="AY283" s="163">
        <v>0.38175947251131248</v>
      </c>
      <c r="AZ283" s="163">
        <v>374.00599999999997</v>
      </c>
      <c r="BA283" s="163">
        <v>156.46299999999999</v>
      </c>
      <c r="BB283" s="163">
        <v>11.494967190693526</v>
      </c>
      <c r="BC283" s="163">
        <v>-0.2140150738826474</v>
      </c>
      <c r="BD283" s="163">
        <v>55.976088393035511</v>
      </c>
      <c r="BE283" s="163">
        <v>1042.7819999999999</v>
      </c>
      <c r="BF283" s="163">
        <v>34.759399999999999</v>
      </c>
      <c r="BG283" s="163">
        <v>769.15899999999999</v>
      </c>
      <c r="BH283" s="163">
        <v>85.504999999999995</v>
      </c>
      <c r="BI283" s="163">
        <v>44.256172431054623</v>
      </c>
      <c r="BJ283" s="163">
        <v>0.15681070122395369</v>
      </c>
      <c r="BK283" s="163">
        <v>410.565</v>
      </c>
      <c r="BL283" s="163">
        <v>144.714</v>
      </c>
      <c r="BM283" s="163">
        <v>11.811625056819162</v>
      </c>
      <c r="BN283" s="163">
        <v>0.10264279224298889</v>
      </c>
      <c r="BO283" s="163">
        <v>56.067797487873783</v>
      </c>
      <c r="BP283" s="163">
        <v>619.32500000000005</v>
      </c>
      <c r="BQ283" s="163">
        <v>20.644166666666667</v>
      </c>
      <c r="BR283" s="163">
        <v>458.78399999999999</v>
      </c>
      <c r="BS283" s="163">
        <v>18.411999999999999</v>
      </c>
      <c r="BT283" s="163">
        <v>44.446841319178134</v>
      </c>
      <c r="BU283" s="163">
        <v>0.34747958934746492</v>
      </c>
      <c r="BV283" s="163">
        <v>247.71899999999999</v>
      </c>
      <c r="BW283" s="163">
        <v>212.203</v>
      </c>
      <c r="BX283" s="163">
        <v>11.999467161829411</v>
      </c>
      <c r="BY283" s="163">
        <v>0.29048489725323812</v>
      </c>
      <c r="BZ283" s="163">
        <v>56.446308481007549</v>
      </c>
      <c r="CA283" s="163">
        <v>577.87</v>
      </c>
      <c r="CB283" s="163">
        <v>19.262333333333334</v>
      </c>
      <c r="CC283" s="163">
        <v>423.69600000000003</v>
      </c>
      <c r="CD283" s="163">
        <v>92.363</v>
      </c>
      <c r="CE283" s="163">
        <v>43.992178171561079</v>
      </c>
      <c r="CF283" s="163">
        <v>-0.1071835582695897</v>
      </c>
      <c r="CG283" s="163">
        <v>223.833</v>
      </c>
      <c r="CH283" s="163">
        <v>47.722999999999999</v>
      </c>
      <c r="CI283" s="163">
        <v>11.620243307318255</v>
      </c>
      <c r="CJ283" s="163">
        <v>-8.8738957257918472E-2</v>
      </c>
      <c r="CK283" s="163">
        <v>55.612421478879334</v>
      </c>
      <c r="CL283" s="163">
        <v>750.88300000000004</v>
      </c>
      <c r="CM283" s="163">
        <v>25.029433333333333</v>
      </c>
      <c r="CN283" s="163">
        <v>546.44799999999998</v>
      </c>
      <c r="CO283" s="163">
        <v>27.565000000000001</v>
      </c>
      <c r="CP283" s="163">
        <v>43.664432408244693</v>
      </c>
      <c r="CQ283" s="163">
        <v>-0.43492932158597597</v>
      </c>
      <c r="CR283" s="163">
        <v>288.16899999999998</v>
      </c>
      <c r="CS283" s="163">
        <v>21.696000000000002</v>
      </c>
      <c r="CT283" s="163">
        <v>11.51320511983891</v>
      </c>
      <c r="CU283" s="163">
        <v>-0.1957771447372636</v>
      </c>
      <c r="CV283" s="163">
        <v>55.177637528083601</v>
      </c>
      <c r="CW283" s="163"/>
      <c r="CX283" s="163">
        <v>0</v>
      </c>
      <c r="CY283" s="163">
        <v>0</v>
      </c>
      <c r="CZ283" s="163">
        <v>0</v>
      </c>
      <c r="DA283" s="163">
        <v>0</v>
      </c>
      <c r="DB283" s="163">
        <v>0</v>
      </c>
      <c r="DC283" s="163">
        <v>0</v>
      </c>
      <c r="DD283" s="163"/>
      <c r="DE283" s="163">
        <v>167.44200000000001</v>
      </c>
      <c r="DF283" s="163">
        <v>97.231999999999999</v>
      </c>
      <c r="DG283" s="163"/>
      <c r="DH283" s="163">
        <v>0.58069062720225506</v>
      </c>
      <c r="DI283" s="163">
        <v>137.52799999999999</v>
      </c>
      <c r="DJ283" s="163">
        <v>0.41067354666093331</v>
      </c>
      <c r="DK283" s="163">
        <v>126.836</v>
      </c>
      <c r="DL283" s="163">
        <v>123.762</v>
      </c>
      <c r="DM283" s="163">
        <v>2.4236021318868484E-2</v>
      </c>
      <c r="DN283" s="163">
        <v>131.33500000000001</v>
      </c>
      <c r="DO283" s="163">
        <v>228.934</v>
      </c>
      <c r="DP283" s="163">
        <v>77.373000000000005</v>
      </c>
      <c r="DQ283" s="163">
        <v>306.30700000000002</v>
      </c>
      <c r="DR283" s="163">
        <v>0.99136417386318842</v>
      </c>
      <c r="DS283" s="163"/>
      <c r="DT283" s="163">
        <v>144.12</v>
      </c>
      <c r="DU283" s="163">
        <v>67.134</v>
      </c>
      <c r="DV283" s="163">
        <v>46.58</v>
      </c>
      <c r="DW283" s="163">
        <v>0.46582014987510406</v>
      </c>
      <c r="DX283" s="163">
        <v>43.706000000000003</v>
      </c>
      <c r="DY283" s="163">
        <v>0.15163058562309187</v>
      </c>
      <c r="DZ283" s="163">
        <v>47.933</v>
      </c>
      <c r="EA283" s="163">
        <v>46.38</v>
      </c>
      <c r="EB283" s="163">
        <v>3.2399390816347795E-2</v>
      </c>
      <c r="EC283" s="163">
        <v>42.694000000000003</v>
      </c>
      <c r="ED283" s="163"/>
      <c r="EE283" s="163">
        <v>49.43</v>
      </c>
      <c r="EF283" s="163">
        <v>49.43</v>
      </c>
      <c r="EG283" s="163">
        <v>0.61745073549819596</v>
      </c>
    </row>
    <row r="284" spans="1:137" hidden="1">
      <c r="A284" s="157">
        <v>42917</v>
      </c>
      <c r="B284" s="163">
        <v>4668.68</v>
      </c>
      <c r="C284" s="163">
        <v>155.62266666666667</v>
      </c>
      <c r="D284" s="163">
        <v>10.904666666666685</v>
      </c>
      <c r="E284" s="163">
        <v>7.5351142682089867E-2</v>
      </c>
      <c r="F284" s="163">
        <v>3400.652</v>
      </c>
      <c r="G284" s="163"/>
      <c r="H284" s="163"/>
      <c r="I284" s="163">
        <v>385.86799999999999</v>
      </c>
      <c r="J284" s="163">
        <v>43.703813497605317</v>
      </c>
      <c r="K284" s="163">
        <v>46.755194187650467</v>
      </c>
      <c r="L284" s="163">
        <v>0.32519418765046737</v>
      </c>
      <c r="M284" s="163">
        <v>237.43199999999999</v>
      </c>
      <c r="N284" s="163">
        <v>37.831000000000003</v>
      </c>
      <c r="O284" s="163">
        <v>1801.376</v>
      </c>
      <c r="P284" s="163">
        <v>1627.9090000000001</v>
      </c>
      <c r="Q284" s="163">
        <v>719.63199999999995</v>
      </c>
      <c r="R284" s="163">
        <v>369.28899999999999</v>
      </c>
      <c r="S284" s="163">
        <v>538.98800000000006</v>
      </c>
      <c r="T284" s="163">
        <v>372.678</v>
      </c>
      <c r="U284" s="163">
        <v>442.73399999999992</v>
      </c>
      <c r="V284" s="163">
        <v>0.28419497860196041</v>
      </c>
      <c r="W284" s="163">
        <v>11.575280379036473</v>
      </c>
      <c r="X284" s="163">
        <v>-8.4719620963527476E-2</v>
      </c>
      <c r="Y284" s="163">
        <v>58.330474566686938</v>
      </c>
      <c r="Z284" s="163">
        <v>1543.943</v>
      </c>
      <c r="AA284" s="163">
        <v>1496.4179999999999</v>
      </c>
      <c r="AB284" s="163">
        <v>3.0781576781008166E-2</v>
      </c>
      <c r="AC284" s="163"/>
      <c r="AD284" s="163"/>
      <c r="AE284" s="163"/>
      <c r="AF284" s="163"/>
      <c r="AH284" s="163"/>
      <c r="AI284" s="163">
        <v>562.34</v>
      </c>
      <c r="AJ284" s="163">
        <v>18.744666666666667</v>
      </c>
      <c r="AK284" s="163">
        <v>402.91899999999998</v>
      </c>
      <c r="AL284" s="163">
        <v>51.264000000000003</v>
      </c>
      <c r="AM284" s="163">
        <v>42.990255005868335</v>
      </c>
      <c r="AN284" s="163">
        <v>-0.7135584917369826</v>
      </c>
      <c r="AO284" s="163">
        <v>222.405</v>
      </c>
      <c r="AP284" s="163">
        <v>169.41200000000001</v>
      </c>
      <c r="AQ284" s="163">
        <v>11.86497492620123</v>
      </c>
      <c r="AR284" s="163">
        <v>0.28969454716475695</v>
      </c>
      <c r="AS284" s="163">
        <v>54.855229932069562</v>
      </c>
      <c r="AT284" s="163">
        <v>1050.4100000000001</v>
      </c>
      <c r="AU284" s="163">
        <v>35.013666666666673</v>
      </c>
      <c r="AV284" s="163">
        <v>764.09100000000001</v>
      </c>
      <c r="AW284" s="163">
        <v>73.212999999999994</v>
      </c>
      <c r="AX284" s="163">
        <v>43.645300406507928</v>
      </c>
      <c r="AY284" s="163">
        <v>-5.8513091097388781E-2</v>
      </c>
      <c r="AZ284" s="163">
        <v>399.19900000000001</v>
      </c>
      <c r="BA284" s="163">
        <v>147.673</v>
      </c>
      <c r="BB284" s="163">
        <v>11.401233803943221</v>
      </c>
      <c r="BC284" s="163">
        <v>-0.17404657509325183</v>
      </c>
      <c r="BD284" s="163">
        <v>55.046534210451149</v>
      </c>
      <c r="BE284" s="163">
        <v>1021.984</v>
      </c>
      <c r="BF284" s="163">
        <v>34.066133333333333</v>
      </c>
      <c r="BG284" s="163">
        <v>752.63599999999997</v>
      </c>
      <c r="BH284" s="163">
        <v>91.444999999999993</v>
      </c>
      <c r="BI284" s="163">
        <v>44.186758305413782</v>
      </c>
      <c r="BJ284" s="163">
        <v>0.48294480780846527</v>
      </c>
      <c r="BK284" s="163">
        <v>399.50099999999998</v>
      </c>
      <c r="BL284" s="163">
        <v>135.40799999999999</v>
      </c>
      <c r="BM284" s="163">
        <v>11.727218821429689</v>
      </c>
      <c r="BN284" s="163">
        <v>0.15193844239321663</v>
      </c>
      <c r="BO284" s="163">
        <v>55.91397712684347</v>
      </c>
      <c r="BP284" s="163">
        <v>631.13900000000001</v>
      </c>
      <c r="BQ284" s="163">
        <v>21.037966666666666</v>
      </c>
      <c r="BR284" s="163">
        <v>463.72399999999999</v>
      </c>
      <c r="BS284" s="163">
        <v>37.503999999999998</v>
      </c>
      <c r="BT284" s="163">
        <v>44.084488519961532</v>
      </c>
      <c r="BU284" s="163">
        <v>0.38067502235621475</v>
      </c>
      <c r="BV284" s="163">
        <v>242.369</v>
      </c>
      <c r="BW284" s="163">
        <v>196.18600000000001</v>
      </c>
      <c r="BX284" s="163">
        <v>11.520552524879623</v>
      </c>
      <c r="BY284" s="163">
        <v>-5.4727854156849887E-2</v>
      </c>
      <c r="BZ284" s="163">
        <v>55.605041044841158</v>
      </c>
      <c r="CA284" s="163">
        <v>594.80499999999995</v>
      </c>
      <c r="CB284" s="163">
        <v>19.826833333333333</v>
      </c>
      <c r="CC284" s="163">
        <v>427.19299999999998</v>
      </c>
      <c r="CD284" s="163">
        <v>94.25</v>
      </c>
      <c r="CE284" s="163">
        <v>43.092408436378307</v>
      </c>
      <c r="CF284" s="163">
        <v>-0.61140506122701055</v>
      </c>
      <c r="CG284" s="163">
        <v>226.51900000000001</v>
      </c>
      <c r="CH284" s="163">
        <v>45.686999999999998</v>
      </c>
      <c r="CI284" s="163">
        <v>11.424870335656223</v>
      </c>
      <c r="CJ284" s="163">
        <v>-0.15041004338024955</v>
      </c>
      <c r="CK284" s="163">
        <v>54.51727877203453</v>
      </c>
      <c r="CL284" s="163">
        <v>808.00199999999995</v>
      </c>
      <c r="CM284" s="163">
        <v>26.933399999999999</v>
      </c>
      <c r="CN284" s="163">
        <v>590.08900000000006</v>
      </c>
      <c r="CO284" s="163">
        <v>38.192</v>
      </c>
      <c r="CP284" s="163">
        <v>43.818381637669219</v>
      </c>
      <c r="CQ284" s="163">
        <v>0.11456814006390204</v>
      </c>
      <c r="CR284" s="163">
        <v>311.38299999999998</v>
      </c>
      <c r="CS284" s="163">
        <v>25.265999999999998</v>
      </c>
      <c r="CT284" s="163">
        <v>11.561221383115388</v>
      </c>
      <c r="CU284" s="163">
        <v>-1.4058995921084616E-2</v>
      </c>
      <c r="CV284" s="163">
        <v>55.379603020784607</v>
      </c>
      <c r="CW284" s="163"/>
      <c r="CX284" s="163">
        <v>0</v>
      </c>
      <c r="CY284" s="163">
        <v>0</v>
      </c>
      <c r="CZ284" s="163">
        <v>0</v>
      </c>
      <c r="DA284" s="163">
        <v>0</v>
      </c>
      <c r="DB284" s="163">
        <v>-1.0658141036401503E-13</v>
      </c>
      <c r="DC284" s="163">
        <v>0</v>
      </c>
      <c r="DD284" s="163"/>
      <c r="DE284" s="163">
        <v>160.71700000000001</v>
      </c>
      <c r="DF284" s="163">
        <v>91.111000000000004</v>
      </c>
      <c r="DG284" s="163">
        <v>51.335999999999999</v>
      </c>
      <c r="DH284" s="163">
        <v>0.56690331452179921</v>
      </c>
      <c r="DI284" s="163">
        <v>135.46299999999999</v>
      </c>
      <c r="DJ284" s="163">
        <v>0.42143332690381224</v>
      </c>
      <c r="DK284" s="163">
        <v>118.48</v>
      </c>
      <c r="DL284" s="163">
        <v>115.452</v>
      </c>
      <c r="DM284" s="163">
        <v>2.5557056043214121E-2</v>
      </c>
      <c r="DN284" s="163">
        <v>144.77199999999999</v>
      </c>
      <c r="DO284" s="163">
        <v>224.79400000000001</v>
      </c>
      <c r="DP284" s="163">
        <v>82.269000000000005</v>
      </c>
      <c r="DQ284" s="163">
        <v>307.06299999999999</v>
      </c>
      <c r="DR284" s="163">
        <v>0.9883366414256114</v>
      </c>
      <c r="DS284" s="163"/>
      <c r="DT284" s="163">
        <v>131.26</v>
      </c>
      <c r="DU284" s="163">
        <v>53.645000000000003</v>
      </c>
      <c r="DV284" s="163">
        <v>39.993000000000002</v>
      </c>
      <c r="DW284" s="163">
        <v>0.4086926710345879</v>
      </c>
      <c r="DX284" s="163">
        <v>36</v>
      </c>
      <c r="DY284" s="163">
        <v>0.13713240895931739</v>
      </c>
      <c r="DZ284" s="163">
        <v>40.734999999999999</v>
      </c>
      <c r="EA284" s="163">
        <v>39.140999999999998</v>
      </c>
      <c r="EB284" s="163">
        <v>3.913096845464592E-2</v>
      </c>
      <c r="EC284" s="163">
        <v>51.000999999999998</v>
      </c>
      <c r="ED284" s="163"/>
      <c r="EE284" s="163">
        <v>41.942</v>
      </c>
      <c r="EF284" s="163">
        <v>41.942</v>
      </c>
      <c r="EG284" s="163">
        <v>0.54582507999390528</v>
      </c>
    </row>
    <row r="285" spans="1:137" hidden="1">
      <c r="A285" s="157">
        <v>42948</v>
      </c>
      <c r="B285" s="163">
        <v>4548.5919999999996</v>
      </c>
      <c r="C285" s="163">
        <v>151.61973333333333</v>
      </c>
      <c r="D285" s="163">
        <v>9.1957333333333224</v>
      </c>
      <c r="E285" s="163">
        <v>6.4565897133441741E-2</v>
      </c>
      <c r="F285" s="163">
        <v>3319.1550000000002</v>
      </c>
      <c r="G285" s="163"/>
      <c r="H285" s="163"/>
      <c r="I285" s="163">
        <v>290.92099999999999</v>
      </c>
      <c r="J285" s="163">
        <v>43.78262548058828</v>
      </c>
      <c r="K285" s="163">
        <v>46.913141473229523</v>
      </c>
      <c r="L285" s="163">
        <v>4.3141473229525218E-2</v>
      </c>
      <c r="M285" s="163">
        <v>237.32400000000001</v>
      </c>
      <c r="N285" s="163">
        <v>35.558999999999997</v>
      </c>
      <c r="O285" s="163">
        <v>1762.2070000000001</v>
      </c>
      <c r="P285" s="163">
        <v>1483.0309999999999</v>
      </c>
      <c r="Q285" s="163">
        <v>598.197</v>
      </c>
      <c r="R285" s="163">
        <v>329.392</v>
      </c>
      <c r="S285" s="163">
        <v>555.44200000000001</v>
      </c>
      <c r="T285" s="163">
        <v>327.31</v>
      </c>
      <c r="U285" s="163">
        <v>393.32499999999982</v>
      </c>
      <c r="V285" s="163">
        <v>0.2775727303008575</v>
      </c>
      <c r="W285" s="163">
        <v>11.622543855329299</v>
      </c>
      <c r="X285" s="163">
        <v>-9.7456144670701406E-2</v>
      </c>
      <c r="Y285" s="163">
        <v>58.53568532855882</v>
      </c>
      <c r="Z285" s="163">
        <v>1550.365</v>
      </c>
      <c r="AA285" s="163">
        <v>1515.905</v>
      </c>
      <c r="AB285" s="163">
        <v>2.2227023958874225E-2</v>
      </c>
      <c r="AC285" s="163"/>
      <c r="AD285" s="163"/>
      <c r="AE285" s="163"/>
      <c r="AF285" s="163"/>
      <c r="AH285" s="163"/>
      <c r="AI285" s="163">
        <v>551.51300000000003</v>
      </c>
      <c r="AJ285" s="163">
        <v>18.383766666666666</v>
      </c>
      <c r="AK285" s="163">
        <v>393.06799999999998</v>
      </c>
      <c r="AL285" s="163">
        <v>34.628</v>
      </c>
      <c r="AM285" s="163">
        <v>42.762509677922367</v>
      </c>
      <c r="AN285" s="163">
        <v>-1.020115802665913</v>
      </c>
      <c r="AO285" s="163">
        <v>217.96899999999999</v>
      </c>
      <c r="AP285" s="163">
        <v>116.29300000000001</v>
      </c>
      <c r="AQ285" s="163">
        <v>11.856601748281545</v>
      </c>
      <c r="AR285" s="163">
        <v>0.23405789295224544</v>
      </c>
      <c r="AS285" s="163">
        <v>54.619111426203915</v>
      </c>
      <c r="AT285" s="163">
        <v>1004.011</v>
      </c>
      <c r="AU285" s="163">
        <v>33.467033333333333</v>
      </c>
      <c r="AV285" s="163">
        <v>728.54700000000003</v>
      </c>
      <c r="AW285" s="163">
        <v>54.872999999999998</v>
      </c>
      <c r="AX285" s="163">
        <v>43.538188326621921</v>
      </c>
      <c r="AY285" s="163">
        <v>-0.24443715396635923</v>
      </c>
      <c r="AZ285" s="163">
        <v>382.37299999999999</v>
      </c>
      <c r="BA285" s="163">
        <v>117.235</v>
      </c>
      <c r="BB285" s="163">
        <v>11.425362869530314</v>
      </c>
      <c r="BC285" s="163">
        <v>-0.19718098579898502</v>
      </c>
      <c r="BD285" s="163">
        <v>54.963551196152238</v>
      </c>
      <c r="BE285" s="163">
        <v>993.45899999999995</v>
      </c>
      <c r="BF285" s="163">
        <v>33.115299999999998</v>
      </c>
      <c r="BG285" s="163">
        <v>732.79499999999996</v>
      </c>
      <c r="BH285" s="163">
        <v>88.597999999999999</v>
      </c>
      <c r="BI285" s="163">
        <v>44.257186255295892</v>
      </c>
      <c r="BJ285" s="163">
        <v>0.47456077470761215</v>
      </c>
      <c r="BK285" s="163">
        <v>389.55200000000002</v>
      </c>
      <c r="BL285" s="163">
        <v>123.29900000000001</v>
      </c>
      <c r="BM285" s="163">
        <v>11.763505086772581</v>
      </c>
      <c r="BN285" s="163">
        <v>0.14096123144328132</v>
      </c>
      <c r="BO285" s="163">
        <v>56.020691342068474</v>
      </c>
      <c r="BP285" s="163">
        <v>599.95299999999997</v>
      </c>
      <c r="BQ285" s="163">
        <v>19.998433333333331</v>
      </c>
      <c r="BR285" s="163">
        <v>443.07799999999997</v>
      </c>
      <c r="BS285" s="163">
        <v>23.635999999999999</v>
      </c>
      <c r="BT285" s="163">
        <v>44.311271049565555</v>
      </c>
      <c r="BU285" s="163">
        <v>0.5286455689772751</v>
      </c>
      <c r="BV285" s="163">
        <v>230.828</v>
      </c>
      <c r="BW285" s="163">
        <v>162.898</v>
      </c>
      <c r="BX285" s="163">
        <v>11.542304147158195</v>
      </c>
      <c r="BY285" s="163">
        <v>-8.0239708171104596E-2</v>
      </c>
      <c r="BZ285" s="163">
        <v>55.853575196723753</v>
      </c>
      <c r="CA285" s="163">
        <v>613.32799999999997</v>
      </c>
      <c r="CB285" s="163">
        <v>20.444266666666667</v>
      </c>
      <c r="CC285" s="163">
        <v>445.34899999999999</v>
      </c>
      <c r="CD285" s="163">
        <v>48.451000000000001</v>
      </c>
      <c r="CE285" s="163">
        <v>43.567128844598649</v>
      </c>
      <c r="CF285" s="163">
        <v>-0.21549663598963065</v>
      </c>
      <c r="CG285" s="163">
        <v>239.13399999999999</v>
      </c>
      <c r="CH285" s="163">
        <v>53.527999999999999</v>
      </c>
      <c r="CI285" s="163">
        <v>11.696873451073486</v>
      </c>
      <c r="CJ285" s="163">
        <v>7.432959574418696E-2</v>
      </c>
      <c r="CK285" s="163">
        <v>55.264002295672135</v>
      </c>
      <c r="CL285" s="163">
        <v>786.32799999999997</v>
      </c>
      <c r="CM285" s="163">
        <v>26.210933333333333</v>
      </c>
      <c r="CN285" s="163">
        <v>576.31799999999998</v>
      </c>
      <c r="CO285" s="163">
        <v>40.734999999999999</v>
      </c>
      <c r="CP285" s="163">
        <v>43.975389404930254</v>
      </c>
      <c r="CQ285" s="163">
        <v>0.19276392434197476</v>
      </c>
      <c r="CR285" s="163">
        <v>302.351</v>
      </c>
      <c r="CS285" s="163">
        <v>24.943999999999999</v>
      </c>
      <c r="CT285" s="163">
        <v>11.535300790509813</v>
      </c>
      <c r="CU285" s="163">
        <v>-8.7243064819485738E-2</v>
      </c>
      <c r="CV285" s="163">
        <v>55.51069019544007</v>
      </c>
      <c r="CW285" s="163"/>
      <c r="CX285" s="163">
        <v>0</v>
      </c>
      <c r="CY285" s="163">
        <v>0</v>
      </c>
      <c r="CZ285" s="163">
        <v>0</v>
      </c>
      <c r="DA285" s="163">
        <v>0</v>
      </c>
      <c r="DB285" s="163">
        <v>0</v>
      </c>
      <c r="DC285" s="163">
        <v>0</v>
      </c>
      <c r="DD285" s="163"/>
      <c r="DE285" s="163">
        <v>151.958</v>
      </c>
      <c r="DF285" s="163">
        <v>86.308999999999997</v>
      </c>
      <c r="DG285" s="163"/>
      <c r="DH285" s="163">
        <v>0.56797931007252001</v>
      </c>
      <c r="DI285" s="163">
        <v>126.81</v>
      </c>
      <c r="DJ285" s="163">
        <v>0.41725345161162952</v>
      </c>
      <c r="DK285" s="163">
        <v>140.43700000000001</v>
      </c>
      <c r="DL285" s="163">
        <v>136.38900000000001</v>
      </c>
      <c r="DM285" s="163">
        <v>2.8824312681131059E-2</v>
      </c>
      <c r="DN285" s="163">
        <v>141.797</v>
      </c>
      <c r="DO285" s="163">
        <v>211.524</v>
      </c>
      <c r="DP285" s="163">
        <v>71.971999999999994</v>
      </c>
      <c r="DQ285" s="163">
        <v>283.49599999999998</v>
      </c>
      <c r="DR285" s="163">
        <v>0.98523276168414953</v>
      </c>
      <c r="DS285" s="163"/>
      <c r="DT285" s="163">
        <v>163.315</v>
      </c>
      <c r="DU285" s="163">
        <v>71.275000000000006</v>
      </c>
      <c r="DV285" s="163">
        <v>40.923000000000002</v>
      </c>
      <c r="DW285" s="163">
        <v>0.43642653767259593</v>
      </c>
      <c r="DX285" s="163">
        <v>46.502000000000002</v>
      </c>
      <c r="DY285" s="163">
        <v>0.14236904142301687</v>
      </c>
      <c r="DZ285" s="163">
        <v>52.069000000000003</v>
      </c>
      <c r="EA285" s="163">
        <v>50.362000000000002</v>
      </c>
      <c r="EB285" s="163">
        <v>3.2783421997733764E-2</v>
      </c>
      <c r="EC285" s="163">
        <v>46.475000000000001</v>
      </c>
      <c r="ED285" s="163"/>
      <c r="EE285" s="163">
        <v>46.643999999999998</v>
      </c>
      <c r="EF285" s="163">
        <v>46.643999999999998</v>
      </c>
      <c r="EG285" s="163">
        <v>0.57879557909561274</v>
      </c>
    </row>
    <row r="286" spans="1:137" hidden="1">
      <c r="A286" s="157">
        <v>42979</v>
      </c>
      <c r="B286" s="163">
        <v>4361.2070000000003</v>
      </c>
      <c r="C286" s="163">
        <v>145.37356666666668</v>
      </c>
      <c r="D286" s="163">
        <v>8.9545666666666648</v>
      </c>
      <c r="E286" s="163">
        <v>6.5640172312263489E-2</v>
      </c>
      <c r="F286" s="163">
        <v>3188.7710000000002</v>
      </c>
      <c r="G286" s="163"/>
      <c r="H286" s="163"/>
      <c r="I286" s="163">
        <v>353.75799999999998</v>
      </c>
      <c r="J286" s="163">
        <v>43.870024972444554</v>
      </c>
      <c r="K286" s="163">
        <v>46.894962793556921</v>
      </c>
      <c r="L286" s="163">
        <v>-4.5037206443076627E-2</v>
      </c>
      <c r="M286" s="163">
        <v>219.87299999999999</v>
      </c>
      <c r="N286" s="163">
        <v>46.872</v>
      </c>
      <c r="O286" s="163">
        <v>1701.7619999999999</v>
      </c>
      <c r="P286" s="163">
        <v>1400.9179999999999</v>
      </c>
      <c r="Q286" s="163">
        <v>601.21100000000001</v>
      </c>
      <c r="R286" s="163">
        <v>326.14999999999998</v>
      </c>
      <c r="S286" s="163">
        <v>473.55700000000002</v>
      </c>
      <c r="T286" s="163">
        <v>310.036</v>
      </c>
      <c r="U286" s="163">
        <v>409.04199999999992</v>
      </c>
      <c r="V286" s="163">
        <v>0.31418559779770061</v>
      </c>
      <c r="W286" s="163">
        <v>11.706130894497784</v>
      </c>
      <c r="X286" s="163">
        <v>-7.3869105502215149E-2</v>
      </c>
      <c r="Y286" s="163">
        <v>58.601093688054704</v>
      </c>
      <c r="Z286" s="163">
        <v>1418.28</v>
      </c>
      <c r="AA286" s="163">
        <v>1389.3389999999999</v>
      </c>
      <c r="AB286" s="163">
        <v>2.040570268212203E-2</v>
      </c>
      <c r="AC286" s="163"/>
      <c r="AD286" s="163"/>
      <c r="AE286" s="163"/>
      <c r="AF286" s="163"/>
      <c r="AH286" s="163"/>
      <c r="AI286" s="163">
        <v>518.80200000000002</v>
      </c>
      <c r="AJ286" s="163">
        <v>17.293400000000002</v>
      </c>
      <c r="AK286" s="163">
        <v>374.25299999999999</v>
      </c>
      <c r="AL286" s="163">
        <v>46.886000000000003</v>
      </c>
      <c r="AM286" s="163">
        <v>43.282755270796947</v>
      </c>
      <c r="AN286" s="163">
        <v>-0.58726970164760672</v>
      </c>
      <c r="AO286" s="163">
        <v>210.07</v>
      </c>
      <c r="AP286" s="163">
        <v>83.847999999999999</v>
      </c>
      <c r="AQ286" s="163">
        <v>12.147408838053822</v>
      </c>
      <c r="AR286" s="163">
        <v>0.44127794355603811</v>
      </c>
      <c r="AS286" s="163">
        <v>55.430164108850768</v>
      </c>
      <c r="AT286" s="163">
        <v>916.23599999999999</v>
      </c>
      <c r="AU286" s="163">
        <v>30.5412</v>
      </c>
      <c r="AV286" s="163">
        <v>674.20100000000002</v>
      </c>
      <c r="AW286" s="163">
        <v>65.131</v>
      </c>
      <c r="AX286" s="163">
        <v>44.150262596099694</v>
      </c>
      <c r="AY286" s="163">
        <v>0.2802376236551396</v>
      </c>
      <c r="AZ286" s="163">
        <v>349.99700000000001</v>
      </c>
      <c r="BA286" s="163">
        <v>98.406999999999996</v>
      </c>
      <c r="BB286" s="163">
        <v>11.459831309837204</v>
      </c>
      <c r="BC286" s="163">
        <v>-0.24629958466058</v>
      </c>
      <c r="BD286" s="163">
        <v>55.6100939059369</v>
      </c>
      <c r="BE286" s="163">
        <v>1046.125</v>
      </c>
      <c r="BF286" s="163">
        <v>34.87083333333333</v>
      </c>
      <c r="BG286" s="163">
        <v>764.11199999999997</v>
      </c>
      <c r="BH286" s="163">
        <v>88.543000000000006</v>
      </c>
      <c r="BI286" s="163">
        <v>43.825279005854945</v>
      </c>
      <c r="BJ286" s="163">
        <v>-4.4745966589609054E-2</v>
      </c>
      <c r="BK286" s="163">
        <v>411.37400000000002</v>
      </c>
      <c r="BL286" s="163">
        <v>157.79900000000001</v>
      </c>
      <c r="BM286" s="163">
        <v>11.797079698888759</v>
      </c>
      <c r="BN286" s="163">
        <v>9.0948804390974303E-2</v>
      </c>
      <c r="BO286" s="163">
        <v>55.622358704743704</v>
      </c>
      <c r="BP286" s="163">
        <v>620.072</v>
      </c>
      <c r="BQ286" s="163">
        <v>20.669066666666666</v>
      </c>
      <c r="BR286" s="163">
        <v>458.42399999999998</v>
      </c>
      <c r="BS286" s="163">
        <v>35.006</v>
      </c>
      <c r="BT286" s="163">
        <v>44.35846159800797</v>
      </c>
      <c r="BU286" s="163">
        <v>0.48843662556341627</v>
      </c>
      <c r="BV286" s="163">
        <v>237.54300000000001</v>
      </c>
      <c r="BW286" s="163">
        <v>171.143</v>
      </c>
      <c r="BX286" s="163">
        <v>11.492681495052189</v>
      </c>
      <c r="BY286" s="163">
        <v>-0.21344939944559549</v>
      </c>
      <c r="BZ286" s="163">
        <v>55.851143093060159</v>
      </c>
      <c r="CA286" s="163">
        <v>587.16999999999996</v>
      </c>
      <c r="CB286" s="163">
        <v>19.572333333333333</v>
      </c>
      <c r="CC286" s="163">
        <v>423.28300000000002</v>
      </c>
      <c r="CD286" s="163">
        <v>75.278000000000006</v>
      </c>
      <c r="CE286" s="163">
        <v>43.253197540746292</v>
      </c>
      <c r="CF286" s="163">
        <v>-0.61682743169826182</v>
      </c>
      <c r="CG286" s="163">
        <v>231.191</v>
      </c>
      <c r="CH286" s="163">
        <v>60.975999999999999</v>
      </c>
      <c r="CI286" s="163">
        <v>11.812132772450909</v>
      </c>
      <c r="CJ286" s="163">
        <v>0.10600187795312443</v>
      </c>
      <c r="CK286" s="163">
        <v>55.065330313197201</v>
      </c>
      <c r="CL286" s="163">
        <v>672.80200000000002</v>
      </c>
      <c r="CM286" s="163">
        <v>22.426733333333335</v>
      </c>
      <c r="CN286" s="163">
        <v>494.49799999999999</v>
      </c>
      <c r="CO286" s="163">
        <v>42.914000000000001</v>
      </c>
      <c r="CP286" s="163">
        <v>44.09897711362332</v>
      </c>
      <c r="CQ286" s="163">
        <v>0.22895214117876606</v>
      </c>
      <c r="CR286" s="163">
        <v>261.58699999999999</v>
      </c>
      <c r="CS286" s="163">
        <v>29.038</v>
      </c>
      <c r="CT286" s="163">
        <v>11.664070558648755</v>
      </c>
      <c r="CU286" s="163">
        <v>-4.2060335849029684E-2</v>
      </c>
      <c r="CV286" s="163">
        <v>55.763047672272073</v>
      </c>
      <c r="CW286" s="163"/>
      <c r="CX286" s="163">
        <v>0</v>
      </c>
      <c r="CY286" s="163">
        <v>0</v>
      </c>
      <c r="CZ286" s="163">
        <v>-5.6843418860808015E-14</v>
      </c>
      <c r="DA286" s="163">
        <v>0</v>
      </c>
      <c r="DB286" s="163">
        <v>3.907985046680551E-14</v>
      </c>
      <c r="DC286" s="163">
        <v>0</v>
      </c>
      <c r="DD286" s="163"/>
      <c r="DE286" s="163">
        <v>193.523</v>
      </c>
      <c r="DF286" s="163">
        <v>111.73399999999999</v>
      </c>
      <c r="DG286" s="163"/>
      <c r="DH286" s="163">
        <v>0.57736806477782998</v>
      </c>
      <c r="DI286" s="163">
        <v>165.119</v>
      </c>
      <c r="DJ286" s="163">
        <v>0.42661337412090555</v>
      </c>
      <c r="DK286" s="163">
        <v>154.565</v>
      </c>
      <c r="DL286" s="163">
        <v>149.99199999999999</v>
      </c>
      <c r="DM286" s="163">
        <v>2.9586258208520788E-2</v>
      </c>
      <c r="DN286" s="163">
        <v>176.13</v>
      </c>
      <c r="DO286" s="163"/>
      <c r="DP286" s="163">
        <v>94.807000000000002</v>
      </c>
      <c r="DQ286" s="163">
        <v>94.807000000000002</v>
      </c>
      <c r="DR286" s="163">
        <v>1.0039814388987356</v>
      </c>
      <c r="DS286" s="163"/>
      <c r="DT286" s="163">
        <v>110.881</v>
      </c>
      <c r="DU286" s="163">
        <v>42.795000000000002</v>
      </c>
      <c r="DV286" s="163">
        <v>27.736000000000001</v>
      </c>
      <c r="DW286" s="163">
        <v>0.38595431137886566</v>
      </c>
      <c r="DX286" s="163">
        <v>30.649000000000001</v>
      </c>
      <c r="DY286" s="163">
        <v>0.13820672612981486</v>
      </c>
      <c r="DZ286" s="163">
        <v>39.936</v>
      </c>
      <c r="EA286" s="163">
        <v>38.32</v>
      </c>
      <c r="EB286" s="163">
        <v>4.0464743589743613E-2</v>
      </c>
      <c r="EC286" s="163">
        <v>44.189</v>
      </c>
      <c r="ED286" s="163"/>
      <c r="EE286" s="163">
        <v>44.128999999999998</v>
      </c>
      <c r="EF286" s="163">
        <v>44.128999999999998</v>
      </c>
      <c r="EG286" s="163">
        <v>0.52416103750868048</v>
      </c>
    </row>
    <row r="287" spans="1:137" hidden="1">
      <c r="A287" s="157">
        <v>43009</v>
      </c>
      <c r="B287" s="163">
        <v>5277.3969999999999</v>
      </c>
      <c r="C287" s="163">
        <v>175.91323333333332</v>
      </c>
      <c r="D287" s="163">
        <v>11.671233333333333</v>
      </c>
      <c r="E287" s="163">
        <v>7.106119831305846E-2</v>
      </c>
      <c r="F287" s="163">
        <v>3847.77</v>
      </c>
      <c r="G287" s="163"/>
      <c r="H287" s="163"/>
      <c r="I287" s="163">
        <v>350.935</v>
      </c>
      <c r="J287" s="163">
        <v>43.74622564874312</v>
      </c>
      <c r="K287" s="163">
        <v>46.884761559533992</v>
      </c>
      <c r="L287" s="163">
        <v>4.761559533989157E-3</v>
      </c>
      <c r="M287" s="163">
        <v>276.05500000000001</v>
      </c>
      <c r="N287" s="163">
        <v>42.368000000000002</v>
      </c>
      <c r="O287" s="163">
        <v>2016.8879999999999</v>
      </c>
      <c r="P287" s="163">
        <v>1300.3599999999999</v>
      </c>
      <c r="Q287" s="163">
        <v>567.66999999999996</v>
      </c>
      <c r="R287" s="163">
        <v>325.72399999999999</v>
      </c>
      <c r="S287" s="163">
        <v>406.96600000000001</v>
      </c>
      <c r="T287" s="163">
        <v>325.863</v>
      </c>
      <c r="U287" s="163">
        <v>402.15699999999993</v>
      </c>
      <c r="V287" s="163">
        <v>0.32854192502691837</v>
      </c>
      <c r="W287" s="163">
        <v>11.465243187124258</v>
      </c>
      <c r="X287" s="163">
        <v>-7.4756812875740764E-2</v>
      </c>
      <c r="Y287" s="163">
        <v>58.35000474665825</v>
      </c>
      <c r="Z287" s="163">
        <v>1644.069</v>
      </c>
      <c r="AA287" s="163">
        <v>1601.067</v>
      </c>
      <c r="AB287" s="163">
        <v>2.6155836525109319E-2</v>
      </c>
      <c r="AC287" s="163"/>
      <c r="AD287" s="163"/>
      <c r="AE287" s="163"/>
      <c r="AF287" s="163"/>
      <c r="AH287" s="163"/>
      <c r="AI287" s="163">
        <v>606.90700000000004</v>
      </c>
      <c r="AJ287" s="163">
        <v>20.230233333333334</v>
      </c>
      <c r="AK287" s="163">
        <v>437.81900000000002</v>
      </c>
      <c r="AL287" s="163">
        <v>51.226999999999997</v>
      </c>
      <c r="AM287" s="163">
        <v>43.283633241995894</v>
      </c>
      <c r="AN287" s="163">
        <v>-0.4625924067472269</v>
      </c>
      <c r="AO287" s="163">
        <v>238.93700000000001</v>
      </c>
      <c r="AP287" s="163">
        <v>76.957999999999998</v>
      </c>
      <c r="AQ287" s="163">
        <v>11.810887005752116</v>
      </c>
      <c r="AR287" s="163">
        <v>0.34564381862785787</v>
      </c>
      <c r="AS287" s="163">
        <v>55.094520247748008</v>
      </c>
      <c r="AT287" s="163">
        <v>1118.269</v>
      </c>
      <c r="AU287" s="163">
        <v>37.275633333333332</v>
      </c>
      <c r="AV287" s="163">
        <v>816.02700000000004</v>
      </c>
      <c r="AW287" s="163">
        <v>51.107999999999997</v>
      </c>
      <c r="AX287" s="163">
        <v>43.783400952722474</v>
      </c>
      <c r="AY287" s="163">
        <v>3.7175303979353203E-2</v>
      </c>
      <c r="AZ287" s="163">
        <v>428.14400000000001</v>
      </c>
      <c r="BA287" s="163">
        <v>86.277000000000001</v>
      </c>
      <c r="BB287" s="163">
        <v>11.485894717639495</v>
      </c>
      <c r="BC287" s="163">
        <v>2.0651530515236161E-2</v>
      </c>
      <c r="BD287" s="163">
        <v>55.26929567036197</v>
      </c>
      <c r="BE287" s="163">
        <v>1249.2280000000001</v>
      </c>
      <c r="BF287" s="163">
        <v>41.640933333333336</v>
      </c>
      <c r="BG287" s="163">
        <v>915.49900000000002</v>
      </c>
      <c r="BH287" s="163">
        <v>114.752</v>
      </c>
      <c r="BI287" s="163">
        <v>43.97110855664458</v>
      </c>
      <c r="BJ287" s="163">
        <v>0.22488290790145982</v>
      </c>
      <c r="BK287" s="163">
        <v>473.77800000000002</v>
      </c>
      <c r="BL287" s="163">
        <v>155.71</v>
      </c>
      <c r="BM287" s="163">
        <v>11.377698866820147</v>
      </c>
      <c r="BN287" s="163">
        <v>-8.7544320304111523E-2</v>
      </c>
      <c r="BO287" s="163">
        <v>55.348807423464727</v>
      </c>
      <c r="BP287" s="163">
        <v>687.03300000000002</v>
      </c>
      <c r="BQ287" s="163">
        <v>22.9011</v>
      </c>
      <c r="BR287" s="163">
        <v>505.02600000000001</v>
      </c>
      <c r="BS287" s="163">
        <v>33.417000000000002</v>
      </c>
      <c r="BT287" s="163">
        <v>44.104955657151841</v>
      </c>
      <c r="BU287" s="163">
        <v>0.35873000840872038</v>
      </c>
      <c r="BV287" s="163">
        <v>257.61900000000003</v>
      </c>
      <c r="BW287" s="163">
        <v>162.49799999999999</v>
      </c>
      <c r="BX287" s="163">
        <v>11.24919763679474</v>
      </c>
      <c r="BY287" s="163">
        <v>-0.21604555032951822</v>
      </c>
      <c r="BZ287" s="163">
        <v>55.354153293946581</v>
      </c>
      <c r="CA287" s="163">
        <v>696.12400000000002</v>
      </c>
      <c r="CB287" s="163">
        <v>23.204133333333335</v>
      </c>
      <c r="CC287" s="163">
        <v>502.11900000000003</v>
      </c>
      <c r="CD287" s="163">
        <v>61.4</v>
      </c>
      <c r="CE287" s="163">
        <v>43.278410168303346</v>
      </c>
      <c r="CF287" s="163">
        <v>-0.46781548043977494</v>
      </c>
      <c r="CG287" s="163">
        <v>268.34699999999998</v>
      </c>
      <c r="CH287" s="163">
        <v>61.17</v>
      </c>
      <c r="CI287" s="163">
        <v>11.564620671029873</v>
      </c>
      <c r="CJ287" s="163">
        <v>9.9377483905614739E-2</v>
      </c>
      <c r="CK287" s="163">
        <v>54.843030839333217</v>
      </c>
      <c r="CL287" s="163">
        <v>919.83600000000001</v>
      </c>
      <c r="CM287" s="163">
        <v>30.661200000000001</v>
      </c>
      <c r="CN287" s="163">
        <v>671.28</v>
      </c>
      <c r="CO287" s="163">
        <v>39.030999999999999</v>
      </c>
      <c r="CP287" s="163">
        <v>43.786935932057453</v>
      </c>
      <c r="CQ287" s="163">
        <v>4.0710283314332685E-2</v>
      </c>
      <c r="CR287" s="163">
        <v>350.06299999999999</v>
      </c>
      <c r="CS287" s="163">
        <v>25.056999999999999</v>
      </c>
      <c r="CT287" s="163">
        <v>11.417133054153132</v>
      </c>
      <c r="CU287" s="163">
        <v>-4.8110132971126873E-2</v>
      </c>
      <c r="CV287" s="163">
        <v>55.204068986210586</v>
      </c>
      <c r="CW287" s="163"/>
      <c r="CX287" s="163">
        <v>0</v>
      </c>
      <c r="CY287" s="163">
        <v>0</v>
      </c>
      <c r="CZ287" s="163">
        <v>0</v>
      </c>
      <c r="DA287" s="163">
        <v>0</v>
      </c>
      <c r="DB287" s="163">
        <v>0</v>
      </c>
      <c r="DC287" s="163">
        <v>0</v>
      </c>
      <c r="DD287" s="163"/>
      <c r="DE287" s="163">
        <v>184.46299999999999</v>
      </c>
      <c r="DF287" s="163">
        <v>102.57899999999999</v>
      </c>
      <c r="DG287" s="163"/>
      <c r="DH287" s="163">
        <v>0.55609526029610268</v>
      </c>
      <c r="DI287" s="163">
        <v>155.98400000000001</v>
      </c>
      <c r="DJ287" s="163">
        <v>0.42280565750313076</v>
      </c>
      <c r="DK287" s="163">
        <v>149.511</v>
      </c>
      <c r="DL287" s="163">
        <v>146.03700000000001</v>
      </c>
      <c r="DM287" s="163">
        <v>2.323574854024113E-2</v>
      </c>
      <c r="DN287" s="163">
        <v>162.98599999999999</v>
      </c>
      <c r="DO287" s="163">
        <v>166.73400000000001</v>
      </c>
      <c r="DP287" s="163">
        <v>88.706000000000003</v>
      </c>
      <c r="DQ287" s="163">
        <v>255.44</v>
      </c>
      <c r="DR287" s="163">
        <v>0.97890091779923338</v>
      </c>
      <c r="DS287" s="163"/>
      <c r="DT287" s="163">
        <v>158.68700000000001</v>
      </c>
      <c r="DU287" s="163">
        <v>70.891999999999996</v>
      </c>
      <c r="DV287" s="163">
        <v>23.459</v>
      </c>
      <c r="DW287" s="163">
        <v>0.44674106889663295</v>
      </c>
      <c r="DX287" s="163">
        <v>47.195999999999998</v>
      </c>
      <c r="DY287" s="163">
        <v>0.14870783365997212</v>
      </c>
      <c r="DZ287" s="163">
        <v>55.356000000000002</v>
      </c>
      <c r="EA287" s="163">
        <v>53.329000000000001</v>
      </c>
      <c r="EB287" s="163">
        <v>3.6617530168364776E-2</v>
      </c>
      <c r="EC287" s="163">
        <v>45.295000000000002</v>
      </c>
      <c r="ED287" s="163"/>
      <c r="EE287" s="163">
        <v>56.158000000000001</v>
      </c>
      <c r="EF287" s="163">
        <v>56.158000000000001</v>
      </c>
      <c r="EG287" s="163">
        <v>0.5954489025566051</v>
      </c>
    </row>
    <row r="288" spans="1:137" hidden="1">
      <c r="A288" s="157">
        <v>43040</v>
      </c>
      <c r="B288" s="163">
        <v>5200.4620000000004</v>
      </c>
      <c r="C288" s="163">
        <v>173.34873333333334</v>
      </c>
      <c r="D288" s="163">
        <v>9.8027333333333502</v>
      </c>
      <c r="E288" s="163">
        <v>5.9938692070324873E-2</v>
      </c>
      <c r="F288" s="163">
        <v>3829.14</v>
      </c>
      <c r="G288" s="163"/>
      <c r="H288" s="163"/>
      <c r="I288" s="163">
        <v>354.99799999999999</v>
      </c>
      <c r="J288" s="163">
        <v>44.178459529172599</v>
      </c>
      <c r="K288" s="163">
        <v>47.323010917106977</v>
      </c>
      <c r="L288" s="163">
        <v>-5.6989082893025511E-2</v>
      </c>
      <c r="M288" s="163">
        <v>272.55200000000002</v>
      </c>
      <c r="N288" s="163">
        <v>34.11</v>
      </c>
      <c r="O288" s="163">
        <v>1977.0050000000001</v>
      </c>
      <c r="P288" s="163">
        <v>1379.223</v>
      </c>
      <c r="Q288" s="163">
        <v>651.572</v>
      </c>
      <c r="R288" s="163">
        <v>276.99700000000001</v>
      </c>
      <c r="S288" s="163">
        <v>450.654</v>
      </c>
      <c r="T288" s="163">
        <v>311.358</v>
      </c>
      <c r="U288" s="163">
        <v>364.27799999999979</v>
      </c>
      <c r="V288" s="163">
        <v>0.2746566960943313</v>
      </c>
      <c r="W288" s="163">
        <v>11.404784805657652</v>
      </c>
      <c r="X288" s="163">
        <v>-5.5215194342348894E-2</v>
      </c>
      <c r="Y288" s="163">
        <v>58.727795722764625</v>
      </c>
      <c r="Z288" s="163">
        <v>1482.83</v>
      </c>
      <c r="AA288" s="163">
        <v>1455.4390000000001</v>
      </c>
      <c r="AB288" s="163">
        <v>1.8472110761179536E-2</v>
      </c>
      <c r="AC288" s="163"/>
      <c r="AD288" s="163"/>
      <c r="AE288" s="163"/>
      <c r="AF288" s="163"/>
      <c r="AH288" s="163"/>
      <c r="AI288" s="163">
        <v>621.91700000000003</v>
      </c>
      <c r="AJ288" s="163">
        <v>20.730566666666668</v>
      </c>
      <c r="AK288" s="163">
        <v>452.06599999999997</v>
      </c>
      <c r="AL288" s="163">
        <v>55.417999999999999</v>
      </c>
      <c r="AM288" s="163">
        <v>43.613472537332143</v>
      </c>
      <c r="AN288" s="163">
        <v>-0.5649869918404562</v>
      </c>
      <c r="AO288" s="163">
        <v>240.87700000000001</v>
      </c>
      <c r="AP288" s="163">
        <v>84.534999999999997</v>
      </c>
      <c r="AQ288" s="163">
        <v>11.6194122366811</v>
      </c>
      <c r="AR288" s="163">
        <v>0.21462743102344817</v>
      </c>
      <c r="AS288" s="163">
        <v>55.232884774013243</v>
      </c>
      <c r="AT288" s="163">
        <v>1110.239</v>
      </c>
      <c r="AU288" s="163">
        <v>37.007966666666668</v>
      </c>
      <c r="AV288" s="163">
        <v>828.78200000000004</v>
      </c>
      <c r="AW288" s="163">
        <v>53.872999999999998</v>
      </c>
      <c r="AX288" s="163">
        <v>44.789383186863368</v>
      </c>
      <c r="AY288" s="163">
        <v>0.61092365769076906</v>
      </c>
      <c r="AZ288" s="163">
        <v>425.60399999999998</v>
      </c>
      <c r="BA288" s="163">
        <v>90.212999999999994</v>
      </c>
      <c r="BB288" s="163">
        <v>11.500334612637458</v>
      </c>
      <c r="BC288" s="163">
        <v>9.5549806979805751E-2</v>
      </c>
      <c r="BD288" s="163">
        <v>56.289717799500828</v>
      </c>
      <c r="BE288" s="163">
        <v>1185.1859999999999</v>
      </c>
      <c r="BF288" s="163">
        <v>39.5062</v>
      </c>
      <c r="BG288" s="163">
        <v>865.53</v>
      </c>
      <c r="BH288" s="163">
        <v>110.529</v>
      </c>
      <c r="BI288" s="163">
        <v>43.817426125519539</v>
      </c>
      <c r="BJ288" s="163">
        <v>-0.36103340365306025</v>
      </c>
      <c r="BK288" s="163">
        <v>445.37099999999998</v>
      </c>
      <c r="BL288" s="163">
        <v>203.44900000000001</v>
      </c>
      <c r="BM288" s="163">
        <v>11.27344568700609</v>
      </c>
      <c r="BN288" s="163">
        <v>-0.131339118651562</v>
      </c>
      <c r="BO288" s="163">
        <v>55.090871812525627</v>
      </c>
      <c r="BP288" s="163">
        <v>667.25300000000004</v>
      </c>
      <c r="BQ288" s="163">
        <v>22.241766666666667</v>
      </c>
      <c r="BR288" s="163">
        <v>499.02100000000002</v>
      </c>
      <c r="BS288" s="163">
        <v>17.771999999999998</v>
      </c>
      <c r="BT288" s="163">
        <v>44.872424702474177</v>
      </c>
      <c r="BU288" s="163">
        <v>0.69396517330157792</v>
      </c>
      <c r="BV288" s="163">
        <v>250.328</v>
      </c>
      <c r="BW288" s="163">
        <v>166.333</v>
      </c>
      <c r="BX288" s="163">
        <v>11.254861349443164</v>
      </c>
      <c r="BY288" s="163">
        <v>-0.14992345621448777</v>
      </c>
      <c r="BZ288" s="163">
        <v>56.127286051917338</v>
      </c>
      <c r="CA288" s="163">
        <v>707.52499999999998</v>
      </c>
      <c r="CB288" s="163">
        <v>23.584166666666665</v>
      </c>
      <c r="CC288" s="163">
        <v>513.02499999999998</v>
      </c>
      <c r="CD288" s="163">
        <v>74.789000000000001</v>
      </c>
      <c r="CE288" s="163">
        <v>43.50588318433978</v>
      </c>
      <c r="CF288" s="163">
        <v>-0.67257634483281947</v>
      </c>
      <c r="CG288" s="163">
        <v>268.21699999999998</v>
      </c>
      <c r="CH288" s="163">
        <v>64.557000000000002</v>
      </c>
      <c r="CI288" s="163">
        <v>11.372757146390587</v>
      </c>
      <c r="CJ288" s="163">
        <v>-3.2027659267065189E-2</v>
      </c>
      <c r="CK288" s="163">
        <v>54.878640330730363</v>
      </c>
      <c r="CL288" s="163">
        <v>908.34199999999998</v>
      </c>
      <c r="CM288" s="163">
        <v>30.278066666666668</v>
      </c>
      <c r="CN288" s="163">
        <v>670.71600000000001</v>
      </c>
      <c r="CO288" s="163">
        <v>42.616999999999997</v>
      </c>
      <c r="CP288" s="163">
        <v>44.303753432077343</v>
      </c>
      <c r="CQ288" s="163">
        <v>0.12529390290474396</v>
      </c>
      <c r="CR288" s="163">
        <v>346.608</v>
      </c>
      <c r="CS288" s="163">
        <v>42.484999999999999</v>
      </c>
      <c r="CT288" s="163">
        <v>11.447494445924553</v>
      </c>
      <c r="CU288" s="163">
        <v>4.2709640266901161E-2</v>
      </c>
      <c r="CV288" s="163">
        <v>55.751247878001898</v>
      </c>
      <c r="CW288" s="163"/>
      <c r="CX288" s="163">
        <v>0</v>
      </c>
      <c r="CY288" s="163">
        <v>0</v>
      </c>
      <c r="CZ288" s="163">
        <v>0</v>
      </c>
      <c r="DA288" s="163">
        <v>0</v>
      </c>
      <c r="DB288" s="163">
        <v>5.6843418860808015E-14</v>
      </c>
      <c r="DC288" s="163">
        <v>0</v>
      </c>
      <c r="DD288" s="163"/>
      <c r="DE288" s="163">
        <v>151.30099999999999</v>
      </c>
      <c r="DF288" s="163">
        <v>84.801000000000002</v>
      </c>
      <c r="DG288" s="163"/>
      <c r="DH288" s="163">
        <v>0.56047878070865365</v>
      </c>
      <c r="DI288" s="163">
        <v>129.76599999999999</v>
      </c>
      <c r="DJ288" s="163">
        <v>0.42883391385384101</v>
      </c>
      <c r="DK288" s="163">
        <v>129.749</v>
      </c>
      <c r="DL288" s="163">
        <v>126.54900000000001</v>
      </c>
      <c r="DM288" s="163">
        <v>2.4663003183068799E-2</v>
      </c>
      <c r="DN288" s="163">
        <v>155.30000000000001</v>
      </c>
      <c r="DO288" s="163">
        <v>179.148</v>
      </c>
      <c r="DP288" s="163">
        <v>81.801000000000002</v>
      </c>
      <c r="DQ288" s="163">
        <v>260.94900000000001</v>
      </c>
      <c r="DR288" s="163">
        <v>0.9893126945624946</v>
      </c>
      <c r="DS288" s="163"/>
      <c r="DT288" s="163">
        <v>174.179</v>
      </c>
      <c r="DU288" s="163">
        <v>76.81</v>
      </c>
      <c r="DV288" s="163">
        <v>22.797999999999998</v>
      </c>
      <c r="DW288" s="163">
        <v>0.44098312655371774</v>
      </c>
      <c r="DX288" s="163">
        <v>52.356000000000002</v>
      </c>
      <c r="DY288" s="163">
        <v>0.15029366341522227</v>
      </c>
      <c r="DZ288" s="163">
        <v>46.813000000000002</v>
      </c>
      <c r="EA288" s="163">
        <v>45.543999999999997</v>
      </c>
      <c r="EB288" s="163">
        <v>2.7107854655758157E-2</v>
      </c>
      <c r="EC288" s="163">
        <v>44.463000000000001</v>
      </c>
      <c r="ED288" s="163"/>
      <c r="EE288" s="163">
        <v>54.426000000000002</v>
      </c>
      <c r="EF288" s="163">
        <v>54.426000000000002</v>
      </c>
      <c r="EG288" s="163">
        <v>0.59127678996893995</v>
      </c>
    </row>
    <row r="289" spans="1:137" hidden="1">
      <c r="A289" s="157">
        <v>43070</v>
      </c>
      <c r="B289" s="163">
        <v>5290.2150000000001</v>
      </c>
      <c r="C289" s="163">
        <v>176.34049999999999</v>
      </c>
      <c r="D289" s="163">
        <v>9.9584999999999866</v>
      </c>
      <c r="E289" s="163">
        <v>5.9853229315671053E-2</v>
      </c>
      <c r="F289" s="163">
        <v>3904.1610000000001</v>
      </c>
      <c r="G289" s="163"/>
      <c r="H289" s="163"/>
      <c r="I289" s="163">
        <v>506.20299999999997</v>
      </c>
      <c r="J289" s="163">
        <v>44.279799592266102</v>
      </c>
      <c r="K289" s="163">
        <v>47.329082088346127</v>
      </c>
      <c r="L289" s="163">
        <v>-1.0917911653876899E-2</v>
      </c>
      <c r="M289" s="163">
        <v>268.85599999999999</v>
      </c>
      <c r="N289" s="163">
        <v>48.679000000000002</v>
      </c>
      <c r="O289" s="163">
        <v>2015.2560000000001</v>
      </c>
      <c r="P289" s="163">
        <v>1583.5440000000001</v>
      </c>
      <c r="Q289" s="163">
        <v>775.43100000000004</v>
      </c>
      <c r="R289" s="163">
        <v>336.58199999999999</v>
      </c>
      <c r="S289" s="163">
        <v>471.53100000000001</v>
      </c>
      <c r="T289" s="163">
        <v>367.13</v>
      </c>
      <c r="U289" s="163">
        <v>412.18299999999999</v>
      </c>
      <c r="V289" s="163">
        <v>0.26791381945035742</v>
      </c>
      <c r="W289" s="163">
        <v>11.428208494361762</v>
      </c>
      <c r="X289" s="163">
        <v>-0.12179150563823882</v>
      </c>
      <c r="Y289" s="163">
        <v>58.757290582707888</v>
      </c>
      <c r="Z289" s="163">
        <v>1405.0350000000001</v>
      </c>
      <c r="AA289" s="163">
        <v>1371.8219999999999</v>
      </c>
      <c r="AB289" s="163">
        <v>2.3638557046621749E-2</v>
      </c>
      <c r="AC289" s="163"/>
      <c r="AD289" s="163"/>
      <c r="AE289" s="163"/>
      <c r="AF289" s="163"/>
      <c r="AH289" s="163"/>
      <c r="AI289" s="163">
        <v>638.81899999999996</v>
      </c>
      <c r="AJ289" s="163">
        <v>21.293966666666666</v>
      </c>
      <c r="AK289" s="163">
        <v>465.24599999999998</v>
      </c>
      <c r="AL289" s="163">
        <v>94.844999999999999</v>
      </c>
      <c r="AM289" s="163">
        <v>43.697447946914544</v>
      </c>
      <c r="AN289" s="163">
        <v>-0.58235164535155803</v>
      </c>
      <c r="AO289" s="163">
        <v>249.755</v>
      </c>
      <c r="AP289" s="163">
        <v>106.505</v>
      </c>
      <c r="AQ289" s="163">
        <v>11.72890912762457</v>
      </c>
      <c r="AR289" s="163">
        <v>0.30070063326280838</v>
      </c>
      <c r="AS289" s="163">
        <v>55.426357074539112</v>
      </c>
      <c r="AT289" s="163">
        <v>1108.1079999999999</v>
      </c>
      <c r="AU289" s="163">
        <v>36.936933333333329</v>
      </c>
      <c r="AV289" s="163">
        <v>824.16399999999999</v>
      </c>
      <c r="AW289" s="163">
        <v>87.05</v>
      </c>
      <c r="AX289" s="163">
        <v>44.625469719558026</v>
      </c>
      <c r="AY289" s="163">
        <v>0.3456701272919247</v>
      </c>
      <c r="AZ289" s="163">
        <v>423.928</v>
      </c>
      <c r="BA289" s="163">
        <v>130.202</v>
      </c>
      <c r="BB289" s="163">
        <v>11.477076241665976</v>
      </c>
      <c r="BC289" s="163">
        <v>4.8867747304214504E-2</v>
      </c>
      <c r="BD289" s="163">
        <v>56.102545961224003</v>
      </c>
      <c r="BE289" s="163">
        <v>1227.8150000000001</v>
      </c>
      <c r="BF289" s="163">
        <v>40.927166666666672</v>
      </c>
      <c r="BG289" s="163">
        <v>890.47699999999998</v>
      </c>
      <c r="BH289" s="163">
        <v>136.304</v>
      </c>
      <c r="BI289" s="163">
        <v>43.515203837711702</v>
      </c>
      <c r="BJ289" s="163">
        <v>-0.76459575455439932</v>
      </c>
      <c r="BK289" s="163">
        <v>457.012</v>
      </c>
      <c r="BL289" s="163">
        <v>209.92500000000001</v>
      </c>
      <c r="BM289" s="163">
        <v>11.166470518767076</v>
      </c>
      <c r="BN289" s="163">
        <v>-0.26173797559468603</v>
      </c>
      <c r="BO289" s="163">
        <v>54.68167435647878</v>
      </c>
      <c r="BP289" s="163">
        <v>675.60199999999998</v>
      </c>
      <c r="BQ289" s="163">
        <v>22.520066666666665</v>
      </c>
      <c r="BR289" s="163">
        <v>516.71900000000005</v>
      </c>
      <c r="BS289" s="163">
        <v>39.521000000000001</v>
      </c>
      <c r="BT289" s="163">
        <v>45.889651007545872</v>
      </c>
      <c r="BU289" s="163">
        <v>1.6098514152797705</v>
      </c>
      <c r="BV289" s="163">
        <v>256.77</v>
      </c>
      <c r="BW289" s="163">
        <v>199.15199999999999</v>
      </c>
      <c r="BX289" s="163">
        <v>11.40183125568012</v>
      </c>
      <c r="BY289" s="163">
        <v>-2.6377238681641657E-2</v>
      </c>
      <c r="BZ289" s="163">
        <v>57.291482263225994</v>
      </c>
      <c r="CA289" s="163">
        <v>717.02700000000004</v>
      </c>
      <c r="CB289" s="163">
        <v>23.9009</v>
      </c>
      <c r="CC289" s="163">
        <v>523.47699999999998</v>
      </c>
      <c r="CD289" s="163">
        <v>86.168999999999997</v>
      </c>
      <c r="CE289" s="163">
        <v>43.803957173160839</v>
      </c>
      <c r="CF289" s="163">
        <v>-0.47584241910526259</v>
      </c>
      <c r="CG289" s="163">
        <v>271.303</v>
      </c>
      <c r="CH289" s="163">
        <v>78.05</v>
      </c>
      <c r="CI289" s="163">
        <v>11.351162508524784</v>
      </c>
      <c r="CJ289" s="163">
        <v>-7.7045985836978303E-2</v>
      </c>
      <c r="CK289" s="163">
        <v>55.155119681685619</v>
      </c>
      <c r="CL289" s="163">
        <v>922.84400000000005</v>
      </c>
      <c r="CM289" s="163">
        <v>30.761466666666667</v>
      </c>
      <c r="CN289" s="163">
        <v>684.07799999999997</v>
      </c>
      <c r="CO289" s="163">
        <v>62.314</v>
      </c>
      <c r="CP289" s="163">
        <v>44.476292851229459</v>
      </c>
      <c r="CQ289" s="163">
        <v>0.19649325896335768</v>
      </c>
      <c r="CR289" s="163">
        <v>356.488</v>
      </c>
      <c r="CS289" s="163">
        <v>51.597000000000001</v>
      </c>
      <c r="CT289" s="163">
        <v>11.588784236555691</v>
      </c>
      <c r="CU289" s="163">
        <v>0.16057574219392912</v>
      </c>
      <c r="CV289" s="163">
        <v>56.065077087785149</v>
      </c>
      <c r="CW289" s="163"/>
      <c r="CX289" s="163">
        <v>0</v>
      </c>
      <c r="CY289" s="163">
        <v>0</v>
      </c>
      <c r="CZ289" s="163">
        <v>0</v>
      </c>
      <c r="DA289" s="163">
        <v>0</v>
      </c>
      <c r="DB289" s="163">
        <v>0</v>
      </c>
      <c r="DC289" s="163">
        <v>0</v>
      </c>
      <c r="DD289" s="163"/>
      <c r="DE289" s="163">
        <v>172.01300000000001</v>
      </c>
      <c r="DF289" s="163">
        <v>95.613</v>
      </c>
      <c r="DG289" s="163">
        <v>63.174999999999997</v>
      </c>
      <c r="DH289" s="163">
        <v>0.55584752315231989</v>
      </c>
      <c r="DI289" s="163">
        <v>147.697</v>
      </c>
      <c r="DJ289" s="163">
        <v>0.42931929563463228</v>
      </c>
      <c r="DK289" s="163">
        <v>122.898</v>
      </c>
      <c r="DL289" s="163">
        <v>119.336</v>
      </c>
      <c r="DM289" s="163">
        <v>2.8983384595355433E-2</v>
      </c>
      <c r="DN289" s="163">
        <v>144.05099999999999</v>
      </c>
      <c r="DO289" s="163">
        <v>158.512</v>
      </c>
      <c r="DP289" s="163">
        <v>94.774000000000001</v>
      </c>
      <c r="DQ289" s="163">
        <v>253.286</v>
      </c>
      <c r="DR289" s="163">
        <v>0.98516681878695223</v>
      </c>
      <c r="DS289" s="163"/>
      <c r="DT289" s="163">
        <v>172.655</v>
      </c>
      <c r="DU289" s="163">
        <v>78.349000000000004</v>
      </c>
      <c r="DV289" s="163">
        <v>15.132</v>
      </c>
      <c r="DW289" s="163">
        <v>0.45378934870116711</v>
      </c>
      <c r="DX289" s="163">
        <v>50.621000000000002</v>
      </c>
      <c r="DY289" s="163">
        <v>0.14659581245837075</v>
      </c>
      <c r="DZ289" s="163">
        <v>56.65</v>
      </c>
      <c r="EA289" s="163">
        <v>54.747</v>
      </c>
      <c r="EB289" s="163">
        <v>3.3592233009708705E-2</v>
      </c>
      <c r="EC289" s="163">
        <v>54.325000000000003</v>
      </c>
      <c r="ED289" s="163"/>
      <c r="EE289" s="163">
        <v>53.755000000000003</v>
      </c>
      <c r="EF289" s="163">
        <v>53.755000000000003</v>
      </c>
      <c r="EG289" s="163">
        <v>0.60038516115953788</v>
      </c>
    </row>
    <row r="290" spans="1:137" hidden="1">
      <c r="A290" s="157">
        <v>43101</v>
      </c>
      <c r="B290" s="163">
        <v>5235.5039999999999</v>
      </c>
      <c r="C290" s="163">
        <v>174.51679999999999</v>
      </c>
      <c r="D290" s="163">
        <v>11.405799999999999</v>
      </c>
      <c r="E290" s="163">
        <v>6.9926614391426778E-2</v>
      </c>
      <c r="F290" s="163">
        <v>3866.7559999999999</v>
      </c>
      <c r="G290" s="163"/>
      <c r="H290" s="163"/>
      <c r="I290" s="163">
        <v>356.19400000000002</v>
      </c>
      <c r="J290" s="163">
        <v>44.313854024369</v>
      </c>
      <c r="K290" s="163">
        <v>47.399700200782966</v>
      </c>
      <c r="L290" s="163">
        <v>0.10970020078296727</v>
      </c>
      <c r="M290" s="163">
        <v>269.26600000000002</v>
      </c>
      <c r="N290" s="163">
        <v>30.57</v>
      </c>
      <c r="O290" s="163">
        <v>1997.7270000000001</v>
      </c>
      <c r="P290" s="163">
        <v>1865.6859999999999</v>
      </c>
      <c r="Q290" s="163">
        <v>873.56</v>
      </c>
      <c r="R290" s="163">
        <v>360.30599999999998</v>
      </c>
      <c r="S290" s="163">
        <v>631.82000000000005</v>
      </c>
      <c r="T290" s="163">
        <v>363.55</v>
      </c>
      <c r="U290" s="163">
        <v>500.82199999999989</v>
      </c>
      <c r="V290" s="163">
        <v>0.28975812507882948</v>
      </c>
      <c r="W290" s="163">
        <v>11.4471901845553</v>
      </c>
      <c r="X290" s="163">
        <v>-6.2809815444699879E-2</v>
      </c>
      <c r="Y290" s="163">
        <v>58.84689038533827</v>
      </c>
      <c r="Z290" s="163">
        <v>1288.8910000000001</v>
      </c>
      <c r="AA290" s="163">
        <v>1264.7660000000001</v>
      </c>
      <c r="AB290" s="163">
        <v>1.8717641755586777E-2</v>
      </c>
      <c r="AC290" s="163"/>
      <c r="AD290" s="163"/>
      <c r="AE290" s="163"/>
      <c r="AF290" s="163"/>
      <c r="AH290" s="163"/>
      <c r="AI290" s="163">
        <v>606.51599999999996</v>
      </c>
      <c r="AJ290" s="163">
        <v>20.217199999999998</v>
      </c>
      <c r="AK290" s="163">
        <v>438.99</v>
      </c>
      <c r="AL290" s="163">
        <v>56.64</v>
      </c>
      <c r="AM290" s="163">
        <v>43.427378667669117</v>
      </c>
      <c r="AN290" s="163">
        <v>-0.88647535669988287</v>
      </c>
      <c r="AO290" s="163">
        <v>235.22800000000001</v>
      </c>
      <c r="AP290" s="163">
        <v>130.828</v>
      </c>
      <c r="AQ290" s="163">
        <v>11.635043428367926</v>
      </c>
      <c r="AR290" s="163">
        <v>0.18785324381262569</v>
      </c>
      <c r="AS290" s="163">
        <v>55.062422096037039</v>
      </c>
      <c r="AT290" s="163">
        <v>1097.829</v>
      </c>
      <c r="AU290" s="163">
        <v>36.594299999999997</v>
      </c>
      <c r="AV290" s="163">
        <v>819.42899999999997</v>
      </c>
      <c r="AW290" s="163">
        <v>58.027999999999999</v>
      </c>
      <c r="AX290" s="163">
        <v>44.784515621285287</v>
      </c>
      <c r="AY290" s="163">
        <v>0.47066159691628684</v>
      </c>
      <c r="AZ290" s="163">
        <v>420.86700000000002</v>
      </c>
      <c r="BA290" s="163">
        <v>168.90199999999999</v>
      </c>
      <c r="BB290" s="163">
        <v>11.500889482788304</v>
      </c>
      <c r="BC290" s="163">
        <v>5.3699298233004455E-2</v>
      </c>
      <c r="BD290" s="163">
        <v>56.28540510407359</v>
      </c>
      <c r="BE290" s="163">
        <v>1199.4349999999999</v>
      </c>
      <c r="BF290" s="163">
        <v>39.981166666666667</v>
      </c>
      <c r="BG290" s="163">
        <v>879.90300000000002</v>
      </c>
      <c r="BH290" s="163">
        <v>115.398</v>
      </c>
      <c r="BI290" s="163">
        <v>44.015874140741268</v>
      </c>
      <c r="BJ290" s="163">
        <v>-0.29797988362773253</v>
      </c>
      <c r="BK290" s="163">
        <v>452.9</v>
      </c>
      <c r="BL290" s="163">
        <v>204.00899999999999</v>
      </c>
      <c r="BM290" s="163">
        <v>11.327833521616427</v>
      </c>
      <c r="BN290" s="163">
        <v>-0.11935666293887337</v>
      </c>
      <c r="BO290" s="163">
        <v>55.343707662357694</v>
      </c>
      <c r="BP290" s="163">
        <v>689.01499999999999</v>
      </c>
      <c r="BQ290" s="163">
        <v>22.967166666666667</v>
      </c>
      <c r="BR290" s="163">
        <v>521.10900000000004</v>
      </c>
      <c r="BS290" s="163">
        <v>29.628</v>
      </c>
      <c r="BT290" s="163">
        <v>45.378605690732421</v>
      </c>
      <c r="BU290" s="163">
        <v>1.0647516663634207</v>
      </c>
      <c r="BV290" s="163">
        <v>259.68200000000002</v>
      </c>
      <c r="BW290" s="163">
        <v>238.06</v>
      </c>
      <c r="BX290" s="163">
        <v>11.306662409381509</v>
      </c>
      <c r="BY290" s="163">
        <v>-0.14052777517379056</v>
      </c>
      <c r="BZ290" s="163">
        <v>56.68526810011393</v>
      </c>
      <c r="CA290" s="163">
        <v>710.71600000000001</v>
      </c>
      <c r="CB290" s="163">
        <v>23.690533333333335</v>
      </c>
      <c r="CC290" s="163">
        <v>516.90800000000002</v>
      </c>
      <c r="CD290" s="163">
        <v>57.014000000000003</v>
      </c>
      <c r="CE290" s="163">
        <v>43.638359063254519</v>
      </c>
      <c r="CF290" s="163">
        <v>-0.67549496111448093</v>
      </c>
      <c r="CG290" s="163">
        <v>269.726</v>
      </c>
      <c r="CH290" s="163">
        <v>74.98</v>
      </c>
      <c r="CI290" s="163">
        <v>11.385391633226211</v>
      </c>
      <c r="CJ290" s="163">
        <v>-6.1798551329088625E-2</v>
      </c>
      <c r="CK290" s="163">
        <v>55.023750696480732</v>
      </c>
      <c r="CL290" s="163">
        <v>931.99300000000005</v>
      </c>
      <c r="CM290" s="163">
        <v>31.066433333333336</v>
      </c>
      <c r="CN290" s="163">
        <v>690.41700000000003</v>
      </c>
      <c r="CO290" s="163">
        <v>39.485999999999997</v>
      </c>
      <c r="CP290" s="163">
        <v>44.447780187190247</v>
      </c>
      <c r="CQ290" s="163">
        <v>0.13392616282124692</v>
      </c>
      <c r="CR290" s="163">
        <v>359.32400000000001</v>
      </c>
      <c r="CS290" s="163">
        <v>56.780999999999999</v>
      </c>
      <c r="CT290" s="163">
        <v>11.56631004739306</v>
      </c>
      <c r="CU290" s="163">
        <v>0.11911986283775988</v>
      </c>
      <c r="CV290" s="163">
        <v>56.014090234583307</v>
      </c>
      <c r="CW290" s="163"/>
      <c r="CX290" s="163">
        <v>0</v>
      </c>
      <c r="CY290" s="163">
        <v>0</v>
      </c>
      <c r="CZ290" s="163">
        <v>0</v>
      </c>
      <c r="DA290" s="163">
        <v>0</v>
      </c>
      <c r="DB290" s="163">
        <v>-9.2370555648813024E-14</v>
      </c>
      <c r="DC290" s="163">
        <v>0</v>
      </c>
      <c r="DD290" s="163"/>
      <c r="DE290" s="163">
        <v>160.43700000000001</v>
      </c>
      <c r="DF290" s="163">
        <v>87.923000000000002</v>
      </c>
      <c r="DG290" s="163"/>
      <c r="DH290" s="163">
        <v>0.54802196500807165</v>
      </c>
      <c r="DI290" s="163">
        <v>140.30799999999999</v>
      </c>
      <c r="DJ290" s="163">
        <v>0.43726821119816495</v>
      </c>
      <c r="DK290" s="163">
        <v>102.096</v>
      </c>
      <c r="DL290" s="163">
        <v>99.88</v>
      </c>
      <c r="DM290" s="163">
        <v>2.1705061902523193E-2</v>
      </c>
      <c r="DN290" s="163">
        <v>132.50299999999999</v>
      </c>
      <c r="DO290" s="163">
        <v>168.40799999999999</v>
      </c>
      <c r="DP290" s="163">
        <v>109.083</v>
      </c>
      <c r="DQ290" s="163">
        <v>277.49099999999999</v>
      </c>
      <c r="DR290" s="163">
        <v>0.9852901762062366</v>
      </c>
      <c r="DS290" s="163"/>
      <c r="DT290" s="163">
        <v>164.72399999999999</v>
      </c>
      <c r="DU290" s="163">
        <v>73.543999999999997</v>
      </c>
      <c r="DV290" s="163">
        <v>10.242000000000001</v>
      </c>
      <c r="DW290" s="163">
        <v>0.44646803137369179</v>
      </c>
      <c r="DX290" s="163">
        <v>47.16</v>
      </c>
      <c r="DY290" s="163">
        <v>0.14314853937495448</v>
      </c>
      <c r="DZ290" s="163">
        <v>43.259</v>
      </c>
      <c r="EA290" s="163">
        <v>42.078000000000003</v>
      </c>
      <c r="EB290" s="163">
        <v>2.730067731570307E-2</v>
      </c>
      <c r="EC290" s="163">
        <v>47.284999999999997</v>
      </c>
      <c r="ED290" s="163"/>
      <c r="EE290" s="163">
        <v>54.15</v>
      </c>
      <c r="EF290" s="163">
        <v>54.15</v>
      </c>
      <c r="EG290" s="163">
        <v>0.58961657074864626</v>
      </c>
    </row>
    <row r="291" spans="1:137" hidden="1">
      <c r="A291" s="157">
        <v>43132</v>
      </c>
      <c r="B291" s="163">
        <v>4948.7719999999999</v>
      </c>
      <c r="C291" s="163">
        <v>164.95906666666667</v>
      </c>
      <c r="D291" s="163">
        <v>11.240066666666678</v>
      </c>
      <c r="E291" s="163">
        <v>7.3120867730512629E-2</v>
      </c>
      <c r="F291" s="163">
        <v>3651.7860000000001</v>
      </c>
      <c r="G291" s="163"/>
      <c r="H291" s="163"/>
      <c r="I291" s="163">
        <v>415.077</v>
      </c>
      <c r="J291" s="163">
        <v>44.275056519071804</v>
      </c>
      <c r="K291" s="163">
        <v>47.27926847306766</v>
      </c>
      <c r="L291" s="163">
        <v>-0.11073152693234078</v>
      </c>
      <c r="M291" s="163">
        <v>247.786</v>
      </c>
      <c r="N291" s="163">
        <v>40.715000000000003</v>
      </c>
      <c r="O291" s="163">
        <v>1889.8409999999999</v>
      </c>
      <c r="P291" s="163">
        <v>2049.6439999999998</v>
      </c>
      <c r="Q291" s="163">
        <v>928.51400000000001</v>
      </c>
      <c r="R291" s="163">
        <v>386.79</v>
      </c>
      <c r="S291" s="163">
        <v>734.34</v>
      </c>
      <c r="T291" s="163">
        <v>375.738</v>
      </c>
      <c r="U291" s="163">
        <v>569.68399999999951</v>
      </c>
      <c r="V291" s="163">
        <v>0.30699176266827877</v>
      </c>
      <c r="W291" s="163">
        <v>11.456423937089847</v>
      </c>
      <c r="X291" s="163">
        <v>-4.3576062910153368E-2</v>
      </c>
      <c r="Y291" s="163">
        <v>58.735692410157505</v>
      </c>
      <c r="Z291" s="163">
        <v>1288.769</v>
      </c>
      <c r="AA291" s="163">
        <v>1259.3699999999999</v>
      </c>
      <c r="AB291" s="163">
        <v>2.2811690846071028E-2</v>
      </c>
      <c r="AC291" s="163"/>
      <c r="AD291" s="163"/>
      <c r="AE291" s="163"/>
      <c r="AF291" s="163"/>
      <c r="AH291" s="163"/>
      <c r="AI291" s="163">
        <v>580.21400000000006</v>
      </c>
      <c r="AJ291" s="163">
        <v>19.340466666666668</v>
      </c>
      <c r="AK291" s="163">
        <v>420.80099999999999</v>
      </c>
      <c r="AL291" s="163">
        <v>54.22</v>
      </c>
      <c r="AM291" s="163">
        <v>43.515082366161444</v>
      </c>
      <c r="AN291" s="163">
        <v>-0.75997415291035963</v>
      </c>
      <c r="AO291" s="163">
        <v>227.3</v>
      </c>
      <c r="AP291" s="163">
        <v>151.934</v>
      </c>
      <c r="AQ291" s="163">
        <v>11.752560262248068</v>
      </c>
      <c r="AR291" s="163">
        <v>0.29613632515822097</v>
      </c>
      <c r="AS291" s="163">
        <v>55.267642628409511</v>
      </c>
      <c r="AT291" s="163">
        <v>1009.213</v>
      </c>
      <c r="AU291" s="163">
        <v>33.640433333333334</v>
      </c>
      <c r="AV291" s="163">
        <v>750.81899999999996</v>
      </c>
      <c r="AW291" s="163">
        <v>52.235999999999997</v>
      </c>
      <c r="AX291" s="163">
        <v>44.637891109210834</v>
      </c>
      <c r="AY291" s="163">
        <v>0.36283459013903041</v>
      </c>
      <c r="AZ291" s="163">
        <v>386.77199999999999</v>
      </c>
      <c r="BA291" s="163">
        <v>178.88499999999999</v>
      </c>
      <c r="BB291" s="163">
        <v>11.497235965053957</v>
      </c>
      <c r="BC291" s="163">
        <v>4.0812027964109987E-2</v>
      </c>
      <c r="BD291" s="163">
        <v>56.135127074264787</v>
      </c>
      <c r="BE291" s="163">
        <v>1158.1569999999999</v>
      </c>
      <c r="BF291" s="163">
        <v>38.605233333333331</v>
      </c>
      <c r="BG291" s="163">
        <v>855.83600000000001</v>
      </c>
      <c r="BH291" s="163">
        <v>104.916</v>
      </c>
      <c r="BI291" s="163">
        <v>44.337822937650081</v>
      </c>
      <c r="BJ291" s="163">
        <v>6.2766418578277694E-2</v>
      </c>
      <c r="BK291" s="163">
        <v>442.392</v>
      </c>
      <c r="BL291" s="163">
        <v>207.49799999999999</v>
      </c>
      <c r="BM291" s="163">
        <v>11.459378996111926</v>
      </c>
      <c r="BN291" s="163">
        <v>2.9550590220797091E-3</v>
      </c>
      <c r="BO291" s="163">
        <v>55.797201933762011</v>
      </c>
      <c r="BP291" s="163">
        <v>668.15300000000002</v>
      </c>
      <c r="BQ291" s="163">
        <v>22.271766666666668</v>
      </c>
      <c r="BR291" s="163">
        <v>497.06200000000001</v>
      </c>
      <c r="BS291" s="163">
        <v>67.739000000000004</v>
      </c>
      <c r="BT291" s="163">
        <v>44.636063895544879</v>
      </c>
      <c r="BU291" s="163">
        <v>0.36100737647307568</v>
      </c>
      <c r="BV291" s="163">
        <v>247.98599999999999</v>
      </c>
      <c r="BW291" s="163">
        <v>255.30600000000001</v>
      </c>
      <c r="BX291" s="163">
        <v>11.134545530739215</v>
      </c>
      <c r="BY291" s="163">
        <v>-0.32187840635063125</v>
      </c>
      <c r="BZ291" s="163">
        <v>55.770609426284096</v>
      </c>
      <c r="CA291" s="163">
        <v>663.16399999999999</v>
      </c>
      <c r="CB291" s="163">
        <v>22.105466666666665</v>
      </c>
      <c r="CC291" s="163">
        <v>482.197</v>
      </c>
      <c r="CD291" s="163">
        <v>81.745999999999995</v>
      </c>
      <c r="CE291" s="163">
        <v>43.626945974148178</v>
      </c>
      <c r="CF291" s="163">
        <v>-0.6481105449236253</v>
      </c>
      <c r="CG291" s="163">
        <v>252.79900000000001</v>
      </c>
      <c r="CH291" s="163">
        <v>72.903999999999996</v>
      </c>
      <c r="CI291" s="163">
        <v>11.436039953917886</v>
      </c>
      <c r="CJ291" s="163">
        <v>-2.0383983171960551E-2</v>
      </c>
      <c r="CK291" s="163">
        <v>55.062985928066063</v>
      </c>
      <c r="CL291" s="163">
        <v>869.87099999999998</v>
      </c>
      <c r="CM291" s="163">
        <v>28.995699999999999</v>
      </c>
      <c r="CN291" s="163">
        <v>645.07100000000003</v>
      </c>
      <c r="CO291" s="163">
        <v>54.22</v>
      </c>
      <c r="CP291" s="163">
        <v>44.494252596074595</v>
      </c>
      <c r="CQ291" s="163">
        <v>0.21919607700279187</v>
      </c>
      <c r="CR291" s="163">
        <v>332.59199999999998</v>
      </c>
      <c r="CS291" s="163">
        <v>61.987000000000002</v>
      </c>
      <c r="CT291" s="163">
        <v>11.470390437202758</v>
      </c>
      <c r="CU291" s="163">
        <v>1.3966500112911007E-2</v>
      </c>
      <c r="CV291" s="163">
        <v>55.964643033277355</v>
      </c>
      <c r="CW291" s="163"/>
      <c r="CX291" s="163">
        <v>0</v>
      </c>
      <c r="CY291" s="163">
        <v>0</v>
      </c>
      <c r="CZ291" s="163">
        <v>0</v>
      </c>
      <c r="DA291" s="163">
        <v>0</v>
      </c>
      <c r="DB291" s="163">
        <v>0</v>
      </c>
      <c r="DC291" s="163">
        <v>0</v>
      </c>
      <c r="DD291" s="163"/>
      <c r="DE291" s="163">
        <v>151.59100000000001</v>
      </c>
      <c r="DF291" s="163">
        <v>84.671000000000006</v>
      </c>
      <c r="DG291" s="163"/>
      <c r="DH291" s="163">
        <v>0.55854899037541805</v>
      </c>
      <c r="DI291" s="163">
        <v>128.363</v>
      </c>
      <c r="DJ291" s="163">
        <v>0.42338595299193221</v>
      </c>
      <c r="DK291" s="163">
        <v>115.194</v>
      </c>
      <c r="DL291" s="163">
        <v>112.078</v>
      </c>
      <c r="DM291" s="163">
        <v>2.7050019966317729E-2</v>
      </c>
      <c r="DN291" s="163">
        <v>133.77600000000001</v>
      </c>
      <c r="DO291" s="163"/>
      <c r="DP291" s="163">
        <v>92.84</v>
      </c>
      <c r="DQ291" s="163">
        <v>92.84</v>
      </c>
      <c r="DR291" s="163">
        <v>0.98193494336735032</v>
      </c>
      <c r="DS291" s="163"/>
      <c r="DT291" s="163">
        <v>154.702</v>
      </c>
      <c r="DU291" s="163">
        <v>71.962999999999994</v>
      </c>
      <c r="DV291" s="163">
        <v>10.122999999999999</v>
      </c>
      <c r="DW291" s="163">
        <v>0.46517174955721319</v>
      </c>
      <c r="DX291" s="163">
        <v>48.252000000000002</v>
      </c>
      <c r="DY291" s="163">
        <v>0.15595144212744502</v>
      </c>
      <c r="DZ291" s="163">
        <v>50.576000000000001</v>
      </c>
      <c r="EA291" s="163">
        <v>49.024000000000001</v>
      </c>
      <c r="EB291" s="163">
        <v>3.0686491616576994E-2</v>
      </c>
      <c r="EC291" s="163">
        <v>47.406999999999996</v>
      </c>
      <c r="ED291" s="163"/>
      <c r="EE291" s="163">
        <v>57.186999999999998</v>
      </c>
      <c r="EF291" s="163">
        <v>57.186999999999998</v>
      </c>
      <c r="EG291" s="163">
        <v>0.62112319168465824</v>
      </c>
    </row>
    <row r="292" spans="1:137" hidden="1">
      <c r="A292" s="157">
        <v>43160</v>
      </c>
      <c r="B292" s="163">
        <v>5465.24</v>
      </c>
      <c r="C292" s="163">
        <v>182.17466666666667</v>
      </c>
      <c r="D292" s="163">
        <v>10.316666666666663</v>
      </c>
      <c r="E292" s="163">
        <v>6.0030179954768892E-2</v>
      </c>
      <c r="F292" s="163">
        <v>4029.2719999999999</v>
      </c>
      <c r="G292" s="163"/>
      <c r="H292" s="163"/>
      <c r="I292" s="163">
        <v>492.22399999999999</v>
      </c>
      <c r="J292" s="163">
        <v>44.23526139748666</v>
      </c>
      <c r="K292" s="163">
        <v>47.279339974090796</v>
      </c>
      <c r="L292" s="163">
        <v>-0.24066002590920732</v>
      </c>
      <c r="M292" s="163">
        <v>277.27699999999999</v>
      </c>
      <c r="N292" s="163">
        <v>51.966999999999999</v>
      </c>
      <c r="O292" s="163">
        <v>2079.123</v>
      </c>
      <c r="P292" s="163">
        <v>2080.1379999999999</v>
      </c>
      <c r="Q292" s="163">
        <v>915.12199999999996</v>
      </c>
      <c r="R292" s="163">
        <v>362.84</v>
      </c>
      <c r="S292" s="163">
        <v>802.17600000000004</v>
      </c>
      <c r="T292" s="163">
        <v>364.34399999999999</v>
      </c>
      <c r="U292" s="163">
        <v>498.35899999999992</v>
      </c>
      <c r="V292" s="163">
        <v>0.25607785324976895</v>
      </c>
      <c r="W292" s="163">
        <v>11.412799803851248</v>
      </c>
      <c r="X292" s="163">
        <v>-9.7200196148751417E-2</v>
      </c>
      <c r="Y292" s="163">
        <v>58.692139777942046</v>
      </c>
      <c r="Z292" s="163">
        <v>1519.7819999999999</v>
      </c>
      <c r="AA292" s="163">
        <v>1459.498</v>
      </c>
      <c r="AB292" s="163">
        <v>3.9666215286139644E-2</v>
      </c>
      <c r="AC292" s="163"/>
      <c r="AD292" s="163"/>
      <c r="AE292" s="163"/>
      <c r="AF292" s="163"/>
      <c r="AH292" s="163"/>
      <c r="AI292" s="163">
        <v>618.61199999999997</v>
      </c>
      <c r="AJ292" s="163">
        <v>20.6204</v>
      </c>
      <c r="AK292" s="163">
        <v>450.75</v>
      </c>
      <c r="AL292" s="163">
        <v>103.943</v>
      </c>
      <c r="AM292" s="163">
        <v>43.718841535566717</v>
      </c>
      <c r="AN292" s="163">
        <v>-0.51641986191994249</v>
      </c>
      <c r="AO292" s="163">
        <v>243.72499999999999</v>
      </c>
      <c r="AP292" s="163">
        <v>154.91300000000001</v>
      </c>
      <c r="AQ292" s="163">
        <v>11.819605827239045</v>
      </c>
      <c r="AR292" s="163">
        <v>0.40680602338779615</v>
      </c>
      <c r="AS292" s="163">
        <v>55.538447362805762</v>
      </c>
      <c r="AT292" s="163">
        <v>1158.623</v>
      </c>
      <c r="AU292" s="163">
        <v>38.620766666666668</v>
      </c>
      <c r="AV292" s="163">
        <v>862.30799999999999</v>
      </c>
      <c r="AW292" s="163">
        <v>69.320999999999998</v>
      </c>
      <c r="AX292" s="163">
        <v>44.655146669796814</v>
      </c>
      <c r="AY292" s="163">
        <v>0.41988527231015382</v>
      </c>
      <c r="AZ292" s="163">
        <v>442.50599999999997</v>
      </c>
      <c r="BA292" s="163">
        <v>173.91399999999999</v>
      </c>
      <c r="BB292" s="163">
        <v>11.457721795614276</v>
      </c>
      <c r="BC292" s="163">
        <v>4.4921991763027691E-2</v>
      </c>
      <c r="BD292" s="163">
        <v>56.11286846541109</v>
      </c>
      <c r="BE292" s="163">
        <v>1263.566</v>
      </c>
      <c r="BF292" s="163">
        <v>42.118866666666669</v>
      </c>
      <c r="BG292" s="163">
        <v>933.87699999999995</v>
      </c>
      <c r="BH292" s="163">
        <v>112.52500000000001</v>
      </c>
      <c r="BI292" s="163">
        <v>44.344830424370386</v>
      </c>
      <c r="BJ292" s="163">
        <v>0.10956902688372594</v>
      </c>
      <c r="BK292" s="163">
        <v>480.35399999999998</v>
      </c>
      <c r="BL292" s="163">
        <v>237.50899999999999</v>
      </c>
      <c r="BM292" s="163">
        <v>11.404722824134234</v>
      </c>
      <c r="BN292" s="163">
        <v>-8.0769797170141544E-3</v>
      </c>
      <c r="BO292" s="163">
        <v>55.749553248504618</v>
      </c>
      <c r="BP292" s="163">
        <v>751.08799999999997</v>
      </c>
      <c r="BQ292" s="163">
        <v>25.036266666666666</v>
      </c>
      <c r="BR292" s="163">
        <v>550.23299999999995</v>
      </c>
      <c r="BS292" s="163">
        <v>53.64</v>
      </c>
      <c r="BT292" s="163">
        <v>43.954876126366017</v>
      </c>
      <c r="BU292" s="163">
        <v>-0.28038527112064315</v>
      </c>
      <c r="BV292" s="163">
        <v>272.08300000000003</v>
      </c>
      <c r="BW292" s="163">
        <v>246.58600000000001</v>
      </c>
      <c r="BX292" s="163">
        <v>10.867554800502738</v>
      </c>
      <c r="BY292" s="163">
        <v>-0.54524500334851034</v>
      </c>
      <c r="BZ292" s="163">
        <v>54.822430926868755</v>
      </c>
      <c r="CA292" s="163">
        <v>730.33799999999997</v>
      </c>
      <c r="CB292" s="163">
        <v>24.3446</v>
      </c>
      <c r="CC292" s="163">
        <v>533.27499999999998</v>
      </c>
      <c r="CD292" s="163">
        <v>75.070999999999998</v>
      </c>
      <c r="CE292" s="163">
        <v>43.810537039014811</v>
      </c>
      <c r="CF292" s="163">
        <v>-0.42472435847184897</v>
      </c>
      <c r="CG292" s="163">
        <v>276.44299999999998</v>
      </c>
      <c r="CH292" s="163">
        <v>56.058</v>
      </c>
      <c r="CI292" s="163">
        <v>11.355413520862943</v>
      </c>
      <c r="CJ292" s="163">
        <v>-5.7386282988305837E-2</v>
      </c>
      <c r="CK292" s="163">
        <v>55.165950559877757</v>
      </c>
      <c r="CL292" s="163">
        <v>943.01300000000003</v>
      </c>
      <c r="CM292" s="163">
        <v>31.433766666666667</v>
      </c>
      <c r="CN292" s="163">
        <v>698.82899999999995</v>
      </c>
      <c r="CO292" s="163">
        <v>77.724000000000004</v>
      </c>
      <c r="CP292" s="163">
        <v>44.463586398066617</v>
      </c>
      <c r="CQ292" s="163">
        <v>0.2283250005799573</v>
      </c>
      <c r="CR292" s="163">
        <v>364.012</v>
      </c>
      <c r="CS292" s="163">
        <v>46.142000000000003</v>
      </c>
      <c r="CT292" s="163">
        <v>11.580285743674795</v>
      </c>
      <c r="CU292" s="163">
        <v>0.1674859398235462</v>
      </c>
      <c r="CV292" s="163">
        <v>56.04387214174141</v>
      </c>
      <c r="CW292" s="163"/>
      <c r="CX292" s="163">
        <v>0</v>
      </c>
      <c r="CY292" s="163">
        <v>0</v>
      </c>
      <c r="CZ292" s="163">
        <v>0</v>
      </c>
      <c r="DA292" s="163">
        <v>0</v>
      </c>
      <c r="DB292" s="163">
        <v>-7.1054273576010019E-14</v>
      </c>
      <c r="DC292" s="163">
        <v>0</v>
      </c>
      <c r="DD292" s="163"/>
      <c r="DE292" s="163">
        <v>164.1</v>
      </c>
      <c r="DF292" s="163">
        <v>90.656000000000006</v>
      </c>
      <c r="DG292" s="163"/>
      <c r="DH292" s="163">
        <v>0.55244363193174895</v>
      </c>
      <c r="DI292" s="163">
        <v>139.99799999999999</v>
      </c>
      <c r="DJ292" s="163">
        <v>0.42656307129798904</v>
      </c>
      <c r="DK292" s="163">
        <v>123.88800000000001</v>
      </c>
      <c r="DL292" s="163">
        <v>121.23399999999999</v>
      </c>
      <c r="DM292" s="163">
        <v>2.1422575229239404E-2</v>
      </c>
      <c r="DN292" s="163">
        <v>145.358</v>
      </c>
      <c r="DO292" s="163"/>
      <c r="DP292" s="163">
        <v>82.561999999999998</v>
      </c>
      <c r="DQ292" s="163">
        <v>82.561999999999998</v>
      </c>
      <c r="DR292" s="163">
        <v>0.97900670322973804</v>
      </c>
      <c r="DS292" s="163"/>
      <c r="DT292" s="163">
        <v>151.91300000000001</v>
      </c>
      <c r="DU292" s="163">
        <v>73.504999999999995</v>
      </c>
      <c r="DV292" s="163">
        <v>10.429</v>
      </c>
      <c r="DW292" s="163">
        <v>0.4838624739159913</v>
      </c>
      <c r="DX292" s="163">
        <v>48.787999999999997</v>
      </c>
      <c r="DY292" s="163">
        <v>0.16057875231217866</v>
      </c>
      <c r="DZ292" s="163">
        <v>50.363999999999997</v>
      </c>
      <c r="EA292" s="163">
        <v>48.78</v>
      </c>
      <c r="EB292" s="163">
        <v>3.1451036454610337E-2</v>
      </c>
      <c r="EC292" s="163">
        <v>49.363</v>
      </c>
      <c r="ED292" s="163"/>
      <c r="EE292" s="163">
        <v>59.02</v>
      </c>
      <c r="EF292" s="163">
        <v>59.02</v>
      </c>
      <c r="EG292" s="163">
        <v>0.64444122622817002</v>
      </c>
    </row>
    <row r="293" spans="1:137" hidden="1">
      <c r="A293" s="157">
        <v>43191</v>
      </c>
      <c r="B293" s="163">
        <v>5149.1469999999999</v>
      </c>
      <c r="C293" s="163">
        <v>171.63823333333332</v>
      </c>
      <c r="D293" s="163">
        <v>10.622233333333327</v>
      </c>
      <c r="E293" s="163">
        <v>6.5970048525198388E-2</v>
      </c>
      <c r="F293" s="163">
        <v>3822.3380000000002</v>
      </c>
      <c r="G293" s="163"/>
      <c r="H293" s="163"/>
      <c r="I293" s="163">
        <v>404.46800000000002</v>
      </c>
      <c r="J293" s="163">
        <v>44.53947032391968</v>
      </c>
      <c r="K293" s="163">
        <v>47.540957754750451</v>
      </c>
      <c r="L293" s="163">
        <v>-6.9042245249548273E-2</v>
      </c>
      <c r="M293" s="163">
        <v>257.58499999999998</v>
      </c>
      <c r="N293" s="163">
        <v>47.658000000000001</v>
      </c>
      <c r="O293" s="163">
        <v>1964.922</v>
      </c>
      <c r="P293" s="163">
        <v>2316.192</v>
      </c>
      <c r="Q293" s="163">
        <v>924.04499999999996</v>
      </c>
      <c r="R293" s="163">
        <v>452.654</v>
      </c>
      <c r="S293" s="163">
        <v>939.49300000000005</v>
      </c>
      <c r="T293" s="163">
        <v>372.584</v>
      </c>
      <c r="U293" s="163">
        <v>596.32899999999972</v>
      </c>
      <c r="V293" s="163">
        <v>0.28499120885738072</v>
      </c>
      <c r="W293" s="163">
        <v>11.448043724523695</v>
      </c>
      <c r="X293" s="163">
        <v>-9.1956275476304583E-2</v>
      </c>
      <c r="Y293" s="163">
        <v>58.989001479274144</v>
      </c>
      <c r="Z293" s="163">
        <v>1477.749</v>
      </c>
      <c r="AA293" s="163">
        <v>1437.9770000000001</v>
      </c>
      <c r="AB293" s="163">
        <v>2.6913907571583493E-2</v>
      </c>
      <c r="AC293" s="163"/>
      <c r="AD293" s="163"/>
      <c r="AE293" s="163"/>
      <c r="AF293" s="163"/>
      <c r="AH293" s="163"/>
      <c r="AI293" s="163">
        <v>615.74599999999998</v>
      </c>
      <c r="AJ293" s="163">
        <v>20.524866666666664</v>
      </c>
      <c r="AK293" s="163">
        <v>453.84</v>
      </c>
      <c r="AL293" s="163">
        <v>81.478999999999999</v>
      </c>
      <c r="AM293" s="163">
        <v>44.22342979085532</v>
      </c>
      <c r="AN293" s="163">
        <v>-0.31604053306435986</v>
      </c>
      <c r="AO293" s="163">
        <v>236.41200000000001</v>
      </c>
      <c r="AP293" s="163">
        <v>139.50899999999999</v>
      </c>
      <c r="AQ293" s="163">
        <v>11.5183208660714</v>
      </c>
      <c r="AR293" s="163">
        <v>7.0277141547705924E-2</v>
      </c>
      <c r="AS293" s="163">
        <v>55.741750656926719</v>
      </c>
      <c r="AT293" s="163">
        <v>1071.7090000000001</v>
      </c>
      <c r="AU293" s="163">
        <v>35.723633333333332</v>
      </c>
      <c r="AV293" s="163">
        <v>796.27</v>
      </c>
      <c r="AW293" s="163">
        <v>65.444999999999993</v>
      </c>
      <c r="AX293" s="163">
        <v>44.579452071411175</v>
      </c>
      <c r="AY293" s="163">
        <v>3.9981747491495412E-2</v>
      </c>
      <c r="AZ293" s="163">
        <v>411.34500000000003</v>
      </c>
      <c r="BA293" s="163">
        <v>164.70500000000001</v>
      </c>
      <c r="BB293" s="163">
        <v>11.514646233259215</v>
      </c>
      <c r="BC293" s="163">
        <v>6.6602508735520871E-2</v>
      </c>
      <c r="BD293" s="163">
        <v>56.094098304670389</v>
      </c>
      <c r="BE293" s="163">
        <v>1224.4110000000001</v>
      </c>
      <c r="BF293" s="163">
        <v>40.813700000000004</v>
      </c>
      <c r="BG293" s="163">
        <v>911.12</v>
      </c>
      <c r="BH293" s="163">
        <v>100.661</v>
      </c>
      <c r="BI293" s="163">
        <v>44.647753082910882</v>
      </c>
      <c r="BJ293" s="163">
        <v>0.10828275899120143</v>
      </c>
      <c r="BK293" s="163">
        <v>466.76499999999999</v>
      </c>
      <c r="BL293" s="163">
        <v>256.42899999999997</v>
      </c>
      <c r="BM293" s="163">
        <v>11.436478437387445</v>
      </c>
      <c r="BN293" s="163">
        <v>-1.1565287136249935E-2</v>
      </c>
      <c r="BO293" s="163">
        <v>56.084231520298324</v>
      </c>
      <c r="BP293" s="163">
        <v>659.32799999999997</v>
      </c>
      <c r="BQ293" s="163">
        <v>21.977599999999999</v>
      </c>
      <c r="BR293" s="163">
        <v>496.024</v>
      </c>
      <c r="BS293" s="163">
        <v>31.721</v>
      </c>
      <c r="BT293" s="163">
        <v>45.139050669772864</v>
      </c>
      <c r="BU293" s="163">
        <v>0.59958034585318387</v>
      </c>
      <c r="BV293" s="163">
        <v>246.25899999999999</v>
      </c>
      <c r="BW293" s="163">
        <v>253.376</v>
      </c>
      <c r="BX293" s="163">
        <v>11.20499963599301</v>
      </c>
      <c r="BY293" s="163">
        <v>-0.24304408853068438</v>
      </c>
      <c r="BZ293" s="163">
        <v>56.344050305765876</v>
      </c>
      <c r="CA293" s="163">
        <v>684.37099999999998</v>
      </c>
      <c r="CB293" s="163">
        <v>22.812366666666666</v>
      </c>
      <c r="CC293" s="163">
        <v>501.12700000000001</v>
      </c>
      <c r="CD293" s="163">
        <v>68.616</v>
      </c>
      <c r="CE293" s="163">
        <v>43.934678704971432</v>
      </c>
      <c r="CF293" s="163">
        <v>-0.60479161894824784</v>
      </c>
      <c r="CG293" s="163">
        <v>260.45100000000002</v>
      </c>
      <c r="CH293" s="163">
        <v>68.031000000000006</v>
      </c>
      <c r="CI293" s="163">
        <v>11.417096867050184</v>
      </c>
      <c r="CJ293" s="163">
        <v>-3.0946857473511002E-2</v>
      </c>
      <c r="CK293" s="163">
        <v>55.351775572021616</v>
      </c>
      <c r="CL293" s="163">
        <v>893.58199999999999</v>
      </c>
      <c r="CM293" s="163">
        <v>29.786066666666667</v>
      </c>
      <c r="CN293" s="163">
        <v>663.95699999999999</v>
      </c>
      <c r="CO293" s="163">
        <v>56.545999999999999</v>
      </c>
      <c r="CP293" s="163">
        <v>44.581717178725626</v>
      </c>
      <c r="CQ293" s="163">
        <v>4.2246854805945588E-2</v>
      </c>
      <c r="CR293" s="163">
        <v>343.69</v>
      </c>
      <c r="CS293" s="163">
        <v>41.994999999999997</v>
      </c>
      <c r="CT293" s="163">
        <v>11.538616489589092</v>
      </c>
      <c r="CU293" s="163">
        <v>9.0572765065397576E-2</v>
      </c>
      <c r="CV293" s="163">
        <v>56.120333668314714</v>
      </c>
      <c r="CW293" s="163"/>
      <c r="CX293" s="163">
        <v>-2.8421709430404007E-14</v>
      </c>
      <c r="CY293" s="163">
        <v>0</v>
      </c>
      <c r="CZ293" s="163">
        <v>0</v>
      </c>
      <c r="DA293" s="163">
        <v>0</v>
      </c>
      <c r="DB293" s="163">
        <v>-7.815970093361102E-14</v>
      </c>
      <c r="DC293" s="163">
        <v>0</v>
      </c>
      <c r="DD293" s="163"/>
      <c r="DE293" s="163">
        <v>152.358</v>
      </c>
      <c r="DF293" s="163">
        <v>85.399000000000001</v>
      </c>
      <c r="DG293" s="163"/>
      <c r="DH293" s="163">
        <v>0.56051536512687228</v>
      </c>
      <c r="DI293" s="163">
        <v>131.21600000000001</v>
      </c>
      <c r="DJ293" s="163">
        <v>0.43061736174011211</v>
      </c>
      <c r="DK293" s="163">
        <v>112.715</v>
      </c>
      <c r="DL293" s="163">
        <v>108.678</v>
      </c>
      <c r="DM293" s="163">
        <v>3.5815996096349223E-2</v>
      </c>
      <c r="DN293" s="163">
        <v>150.506</v>
      </c>
      <c r="DO293" s="163">
        <v>175.88</v>
      </c>
      <c r="DP293" s="163">
        <v>79.596000000000004</v>
      </c>
      <c r="DQ293" s="163">
        <v>255.476</v>
      </c>
      <c r="DR293" s="163">
        <v>0.99113272686698439</v>
      </c>
      <c r="DS293" s="163"/>
      <c r="DT293" s="163">
        <v>141.89500000000001</v>
      </c>
      <c r="DU293" s="163">
        <v>61.530999999999999</v>
      </c>
      <c r="DV293" s="163">
        <v>12.053000000000001</v>
      </c>
      <c r="DW293" s="163">
        <v>0.43363754889178613</v>
      </c>
      <c r="DX293" s="163">
        <v>40.917000000000002</v>
      </c>
      <c r="DY293" s="163">
        <v>0.14418055604496283</v>
      </c>
      <c r="DZ293" s="163">
        <v>41.81</v>
      </c>
      <c r="EA293" s="163">
        <v>40.262</v>
      </c>
      <c r="EB293" s="163">
        <v>3.702463525472377E-2</v>
      </c>
      <c r="EC293" s="163">
        <v>46.405000000000001</v>
      </c>
      <c r="ED293" s="163"/>
      <c r="EE293" s="163">
        <v>53.631</v>
      </c>
      <c r="EF293" s="163">
        <v>53.631</v>
      </c>
      <c r="EG293" s="163">
        <v>0.57781810493674901</v>
      </c>
    </row>
    <row r="294" spans="1:137" hidden="1">
      <c r="A294" s="157">
        <v>43221</v>
      </c>
      <c r="B294" s="163">
        <v>5174.04</v>
      </c>
      <c r="C294" s="163">
        <v>172.46799999999999</v>
      </c>
      <c r="D294" s="163">
        <v>8.8959999999999866</v>
      </c>
      <c r="E294" s="163">
        <v>5.4385836206685578E-2</v>
      </c>
      <c r="F294" s="163">
        <v>3846.6869999999999</v>
      </c>
      <c r="G294" s="163"/>
      <c r="H294" s="163"/>
      <c r="I294" s="163">
        <v>391.81200000000001</v>
      </c>
      <c r="J294" s="163">
        <v>44.607544587981543</v>
      </c>
      <c r="K294" s="163">
        <v>47.652445671081011</v>
      </c>
      <c r="L294" s="163">
        <v>7.2445671081013074E-2</v>
      </c>
      <c r="M294" s="163">
        <v>262.57400000000001</v>
      </c>
      <c r="N294" s="163">
        <v>41.314999999999998</v>
      </c>
      <c r="O294" s="163">
        <v>1966.511</v>
      </c>
      <c r="P294" s="163">
        <v>2002.934</v>
      </c>
      <c r="Q294" s="163">
        <v>834.57899999999995</v>
      </c>
      <c r="R294" s="163">
        <v>458.39499999999998</v>
      </c>
      <c r="S294" s="163">
        <v>709.96</v>
      </c>
      <c r="T294" s="163">
        <v>371.12700000000001</v>
      </c>
      <c r="U294" s="163">
        <v>518.0010000000002</v>
      </c>
      <c r="V294" s="163">
        <v>0.2790863441914595</v>
      </c>
      <c r="W294" s="163">
        <v>11.402178954936568</v>
      </c>
      <c r="X294" s="163">
        <v>-0.11782104506343138</v>
      </c>
      <c r="Y294" s="163">
        <v>59.054624626017578</v>
      </c>
      <c r="Z294" s="163">
        <v>1518.13</v>
      </c>
      <c r="AA294" s="163">
        <v>1460.0350000000001</v>
      </c>
      <c r="AB294" s="163">
        <v>3.8267473800003969E-2</v>
      </c>
      <c r="AC294" s="163"/>
      <c r="AD294" s="163"/>
      <c r="AE294" s="163"/>
      <c r="AF294" s="163"/>
      <c r="AH294" s="163"/>
      <c r="AI294" s="163">
        <v>618.67499999999995</v>
      </c>
      <c r="AJ294" s="163">
        <v>20.622499999999999</v>
      </c>
      <c r="AK294" s="163">
        <v>451.608</v>
      </c>
      <c r="AL294" s="163">
        <v>81.209000000000003</v>
      </c>
      <c r="AM294" s="163">
        <v>43.797599709055646</v>
      </c>
      <c r="AN294" s="163">
        <v>-0.80994487892589717</v>
      </c>
      <c r="AO294" s="163">
        <v>241.685</v>
      </c>
      <c r="AP294" s="163">
        <v>119.59699999999999</v>
      </c>
      <c r="AQ294" s="163">
        <v>11.71948114923021</v>
      </c>
      <c r="AR294" s="163">
        <v>0.31730219429364226</v>
      </c>
      <c r="AS294" s="163">
        <v>55.517080858285858</v>
      </c>
      <c r="AT294" s="163">
        <v>1132.2619999999999</v>
      </c>
      <c r="AU294" s="163">
        <v>37.742066666666666</v>
      </c>
      <c r="AV294" s="163">
        <v>844.71900000000005</v>
      </c>
      <c r="AW294" s="163">
        <v>55.546999999999997</v>
      </c>
      <c r="AX294" s="163">
        <v>44.762731593924379</v>
      </c>
      <c r="AY294" s="163">
        <v>0.1551870059428353</v>
      </c>
      <c r="AZ294" s="163">
        <v>433.983</v>
      </c>
      <c r="BA294" s="163">
        <v>139.98699999999999</v>
      </c>
      <c r="BB294" s="163">
        <v>11.49865490496016</v>
      </c>
      <c r="BC294" s="163">
        <v>9.6475950023592105E-2</v>
      </c>
      <c r="BD294" s="163">
        <v>56.261386498884541</v>
      </c>
      <c r="BE294" s="163">
        <v>1214.1469999999999</v>
      </c>
      <c r="BF294" s="163">
        <v>40.471566666666668</v>
      </c>
      <c r="BG294" s="163">
        <v>904.00300000000004</v>
      </c>
      <c r="BH294" s="163">
        <v>114.294</v>
      </c>
      <c r="BI294" s="163">
        <v>44.67348681831772</v>
      </c>
      <c r="BJ294" s="163">
        <v>6.5942230336176522E-2</v>
      </c>
      <c r="BK294" s="163">
        <v>452.61599999999999</v>
      </c>
      <c r="BL294" s="163">
        <v>200.79</v>
      </c>
      <c r="BM294" s="163">
        <v>11.183555203776807</v>
      </c>
      <c r="BN294" s="163">
        <v>-0.21862375115976107</v>
      </c>
      <c r="BO294" s="163">
        <v>55.857042022094525</v>
      </c>
      <c r="BP294" s="163">
        <v>719.50400000000002</v>
      </c>
      <c r="BQ294" s="163">
        <v>23.983466666666668</v>
      </c>
      <c r="BR294" s="163">
        <v>543.48099999999999</v>
      </c>
      <c r="BS294" s="163">
        <v>40.228999999999999</v>
      </c>
      <c r="BT294" s="163">
        <v>45.321304676554959</v>
      </c>
      <c r="BU294" s="163">
        <v>0.71376008857341589</v>
      </c>
      <c r="BV294" s="163">
        <v>265.71699999999998</v>
      </c>
      <c r="BW294" s="163">
        <v>269.98899999999998</v>
      </c>
      <c r="BX294" s="163">
        <v>11.079173986524049</v>
      </c>
      <c r="BY294" s="163">
        <v>-0.32300496841251913</v>
      </c>
      <c r="BZ294" s="163">
        <v>56.400478663079006</v>
      </c>
      <c r="CA294" s="163">
        <v>544.64599999999996</v>
      </c>
      <c r="CB294" s="163">
        <v>18.154866666666667</v>
      </c>
      <c r="CC294" s="163">
        <v>399.66800000000001</v>
      </c>
      <c r="CD294" s="163">
        <v>38.656999999999996</v>
      </c>
      <c r="CE294" s="163">
        <v>44.028745276748566</v>
      </c>
      <c r="CF294" s="163">
        <v>-0.57879931123297723</v>
      </c>
      <c r="CG294" s="163">
        <v>207.77799999999999</v>
      </c>
      <c r="CH294" s="163">
        <v>53.994999999999997</v>
      </c>
      <c r="CI294" s="163">
        <v>11.444754941741975</v>
      </c>
      <c r="CJ294" s="163">
        <v>4.2575986805406529E-2</v>
      </c>
      <c r="CK294" s="163">
        <v>55.473500218490543</v>
      </c>
      <c r="CL294" s="163">
        <v>944.80600000000004</v>
      </c>
      <c r="CM294" s="163">
        <v>31.493533333333335</v>
      </c>
      <c r="CN294" s="163">
        <v>703.20799999999997</v>
      </c>
      <c r="CO294" s="163">
        <v>61.875999999999998</v>
      </c>
      <c r="CP294" s="163">
        <v>44.657294725054662</v>
      </c>
      <c r="CQ294" s="163">
        <v>4.9750137073118594E-2</v>
      </c>
      <c r="CR294" s="163">
        <v>364.73200000000003</v>
      </c>
      <c r="CS294" s="163">
        <v>50.220999999999997</v>
      </c>
      <c r="CT294" s="163">
        <v>11.581171161063754</v>
      </c>
      <c r="CU294" s="163">
        <v>0.17899220612718558</v>
      </c>
      <c r="CV294" s="163">
        <v>56.238465886118419</v>
      </c>
      <c r="CW294" s="163"/>
      <c r="CX294" s="163">
        <v>0</v>
      </c>
      <c r="CY294" s="163">
        <v>0</v>
      </c>
      <c r="CZ294" s="163">
        <v>0</v>
      </c>
      <c r="DA294" s="163">
        <v>0</v>
      </c>
      <c r="DB294" s="163">
        <v>7.1054273576010019E-14</v>
      </c>
      <c r="DC294" s="163">
        <v>0</v>
      </c>
      <c r="DD294" s="163"/>
      <c r="DE294" s="163">
        <v>130.92099999999999</v>
      </c>
      <c r="DF294" s="163">
        <v>73.352999999999994</v>
      </c>
      <c r="DG294" s="163"/>
      <c r="DH294" s="163">
        <v>0.560284446345506</v>
      </c>
      <c r="DI294" s="163">
        <v>115.066</v>
      </c>
      <c r="DJ294" s="163">
        <v>0.4394482168636048</v>
      </c>
      <c r="DK294" s="163">
        <v>86.73</v>
      </c>
      <c r="DL294" s="163">
        <v>84.076999999999998</v>
      </c>
      <c r="DM294" s="163">
        <v>3.0589184826472993E-2</v>
      </c>
      <c r="DN294" s="163">
        <v>137.14500000000001</v>
      </c>
      <c r="DO294" s="163">
        <v>181.16800000000001</v>
      </c>
      <c r="DP294" s="163">
        <v>81.122</v>
      </c>
      <c r="DQ294" s="163">
        <v>262.29000000000002</v>
      </c>
      <c r="DR294" s="163">
        <v>0.99973266320911081</v>
      </c>
      <c r="DS294" s="163"/>
      <c r="DT294" s="163">
        <v>166.3</v>
      </c>
      <c r="DU294" s="163">
        <v>70.945999999999998</v>
      </c>
      <c r="DV294" s="163">
        <v>21.899000000000001</v>
      </c>
      <c r="DW294" s="163">
        <v>0.42661455201443171</v>
      </c>
      <c r="DX294" s="163">
        <v>49.345999999999997</v>
      </c>
      <c r="DY294" s="163">
        <v>0.14836440168370413</v>
      </c>
      <c r="DZ294" s="163">
        <v>52.426000000000002</v>
      </c>
      <c r="EA294" s="163">
        <v>50.637</v>
      </c>
      <c r="EB294" s="163">
        <v>3.4124289474688152E-2</v>
      </c>
      <c r="EC294" s="163">
        <v>58.024999999999999</v>
      </c>
      <c r="ED294" s="163"/>
      <c r="EE294" s="163">
        <v>49.74</v>
      </c>
      <c r="EF294" s="163">
        <v>49.74</v>
      </c>
      <c r="EG294" s="163">
        <v>0.57497895369813579</v>
      </c>
    </row>
    <row r="295" spans="1:137" hidden="1">
      <c r="A295" s="157">
        <v>43252</v>
      </c>
      <c r="B295" s="163">
        <v>5086.9409999999998</v>
      </c>
      <c r="C295" s="163">
        <v>169.56469999999999</v>
      </c>
      <c r="D295" s="163">
        <v>10.336699999999979</v>
      </c>
      <c r="E295" s="163">
        <v>6.4917602431733057E-2</v>
      </c>
      <c r="F295" s="163">
        <v>3778.127</v>
      </c>
      <c r="G295" s="163"/>
      <c r="H295" s="163"/>
      <c r="I295" s="163">
        <v>359.82299999999998</v>
      </c>
      <c r="J295" s="163">
        <v>44.562659562986873</v>
      </c>
      <c r="K295" s="163">
        <v>47.560830762534891</v>
      </c>
      <c r="L295" s="163">
        <v>8.3076253488911789E-4</v>
      </c>
      <c r="M295" s="163">
        <v>254.19200000000001</v>
      </c>
      <c r="N295" s="163">
        <v>38.706000000000003</v>
      </c>
      <c r="O295" s="163">
        <v>1936.9069999999999</v>
      </c>
      <c r="P295" s="163">
        <v>1933.152</v>
      </c>
      <c r="Q295" s="163">
        <v>833.12199999999996</v>
      </c>
      <c r="R295" s="163">
        <v>331.49299999999999</v>
      </c>
      <c r="S295" s="163">
        <v>768.53700000000003</v>
      </c>
      <c r="T295" s="163">
        <v>371.65600000000001</v>
      </c>
      <c r="U295" s="163">
        <v>538.86300000000006</v>
      </c>
      <c r="V295" s="163">
        <v>0.30514143985231712</v>
      </c>
      <c r="W295" s="163">
        <v>11.422819726039677</v>
      </c>
      <c r="X295" s="163">
        <v>-9.7180273960322694E-2</v>
      </c>
      <c r="Y295" s="163">
        <v>58.983650488574568</v>
      </c>
      <c r="Z295" s="163">
        <v>1466.7</v>
      </c>
      <c r="AA295" s="163">
        <v>1437.3430000000001</v>
      </c>
      <c r="AB295" s="163">
        <v>2.0015681461784941E-2</v>
      </c>
      <c r="AC295" s="163"/>
      <c r="AD295" s="163"/>
      <c r="AE295" s="163"/>
      <c r="AF295" s="163"/>
      <c r="AH295" s="163"/>
      <c r="AI295" s="163">
        <v>584.29999999999995</v>
      </c>
      <c r="AJ295" s="163">
        <v>19.476666666666667</v>
      </c>
      <c r="AK295" s="163">
        <v>429.71699999999998</v>
      </c>
      <c r="AL295" s="163">
        <v>57.052</v>
      </c>
      <c r="AM295" s="163">
        <v>44.126339209310288</v>
      </c>
      <c r="AN295" s="163">
        <v>-0.43632035367658517</v>
      </c>
      <c r="AO295" s="163">
        <v>228.251</v>
      </c>
      <c r="AP295" s="163">
        <v>95.762</v>
      </c>
      <c r="AQ295" s="163">
        <v>11.719202464487422</v>
      </c>
      <c r="AR295" s="163">
        <v>0.2963827384477451</v>
      </c>
      <c r="AS295" s="163">
        <v>55.845541673797712</v>
      </c>
      <c r="AT295" s="163">
        <v>1114.7750000000001</v>
      </c>
      <c r="AU295" s="163">
        <v>37.159166666666671</v>
      </c>
      <c r="AV295" s="163">
        <v>828.82399999999996</v>
      </c>
      <c r="AW295" s="163">
        <v>68.331999999999994</v>
      </c>
      <c r="AX295" s="163">
        <v>44.609396514991808</v>
      </c>
      <c r="AY295" s="163">
        <v>4.6736952004934551E-2</v>
      </c>
      <c r="AZ295" s="163">
        <v>426.733</v>
      </c>
      <c r="BA295" s="163">
        <v>142.779</v>
      </c>
      <c r="BB295" s="163">
        <v>11.483922764683456</v>
      </c>
      <c r="BC295" s="163">
        <v>6.1103038643778973E-2</v>
      </c>
      <c r="BD295" s="163">
        <v>56.093319279675264</v>
      </c>
      <c r="BE295" s="163">
        <v>1130.569</v>
      </c>
      <c r="BF295" s="163">
        <v>37.685633333333335</v>
      </c>
      <c r="BG295" s="163">
        <v>846.87</v>
      </c>
      <c r="BH295" s="163">
        <v>100.86499999999999</v>
      </c>
      <c r="BI295" s="163">
        <v>44.943917620242551</v>
      </c>
      <c r="BJ295" s="163">
        <v>0.3812580572556783</v>
      </c>
      <c r="BK295" s="163">
        <v>427.22199999999998</v>
      </c>
      <c r="BL295" s="163">
        <v>209.529</v>
      </c>
      <c r="BM295" s="163">
        <v>11.336468627744082</v>
      </c>
      <c r="BN295" s="163">
        <v>-8.6351098295594397E-2</v>
      </c>
      <c r="BO295" s="163">
        <v>56.280386247986634</v>
      </c>
      <c r="BP295" s="163">
        <v>721.43</v>
      </c>
      <c r="BQ295" s="163">
        <v>24.047666666666665</v>
      </c>
      <c r="BR295" s="163">
        <v>535.51900000000001</v>
      </c>
      <c r="BS295" s="163">
        <v>41.344999999999999</v>
      </c>
      <c r="BT295" s="163">
        <v>44.538125667077892</v>
      </c>
      <c r="BU295" s="163">
        <v>-2.4533895908980696E-2</v>
      </c>
      <c r="BV295" s="163">
        <v>268.43400000000003</v>
      </c>
      <c r="BW295" s="163">
        <v>292.798</v>
      </c>
      <c r="BX295" s="163">
        <v>11.162579876079455</v>
      </c>
      <c r="BY295" s="163">
        <v>-0.26023984996022165</v>
      </c>
      <c r="BZ295" s="163">
        <v>55.700705543157348</v>
      </c>
      <c r="CA295" s="163">
        <v>638.07500000000005</v>
      </c>
      <c r="CB295" s="163">
        <v>21.269166666666667</v>
      </c>
      <c r="CC295" s="163">
        <v>467.505</v>
      </c>
      <c r="CD295" s="163">
        <v>46.890999999999998</v>
      </c>
      <c r="CE295" s="163">
        <v>43.960819652862121</v>
      </c>
      <c r="CF295" s="163">
        <v>-0.60183991012475246</v>
      </c>
      <c r="CG295" s="163">
        <v>242.67400000000001</v>
      </c>
      <c r="CH295" s="163">
        <v>50.722000000000001</v>
      </c>
      <c r="CI295" s="163">
        <v>11.4096618736042</v>
      </c>
      <c r="CJ295" s="163">
        <v>-1.3157852435476514E-2</v>
      </c>
      <c r="CK295" s="163">
        <v>55.370481526466321</v>
      </c>
      <c r="CL295" s="163">
        <v>897.79200000000003</v>
      </c>
      <c r="CM295" s="163">
        <v>29.926400000000001</v>
      </c>
      <c r="CN295" s="163">
        <v>669.69200000000001</v>
      </c>
      <c r="CO295" s="163">
        <v>45.338000000000001</v>
      </c>
      <c r="CP295" s="163">
        <v>44.75593455945252</v>
      </c>
      <c r="CQ295" s="163">
        <v>0.19327499646564661</v>
      </c>
      <c r="CR295" s="163">
        <v>343.59300000000002</v>
      </c>
      <c r="CS295" s="163">
        <v>41.531999999999996</v>
      </c>
      <c r="CT295" s="163">
        <v>11.481267375962361</v>
      </c>
      <c r="CU295" s="163">
        <v>5.8447649922683809E-2</v>
      </c>
      <c r="CV295" s="163">
        <v>56.23720193541488</v>
      </c>
      <c r="CW295" s="163"/>
      <c r="CX295" s="163">
        <v>0</v>
      </c>
      <c r="CY295" s="163">
        <v>0</v>
      </c>
      <c r="CZ295" s="163">
        <v>0</v>
      </c>
      <c r="DA295" s="163">
        <v>0</v>
      </c>
      <c r="DB295" s="163">
        <v>-9.2370555648813024E-14</v>
      </c>
      <c r="DC295" s="163">
        <v>0</v>
      </c>
      <c r="DD295" s="163"/>
      <c r="DE295" s="163">
        <v>147.43199999999999</v>
      </c>
      <c r="DF295" s="163">
        <v>82.787000000000006</v>
      </c>
      <c r="DG295" s="163"/>
      <c r="DH295" s="163">
        <v>0.56152666992240496</v>
      </c>
      <c r="DI295" s="163">
        <v>129.66300000000001</v>
      </c>
      <c r="DJ295" s="163">
        <v>0.43973832003906893</v>
      </c>
      <c r="DK295" s="163">
        <v>128.34100000000001</v>
      </c>
      <c r="DL295" s="163">
        <v>124.48</v>
      </c>
      <c r="DM295" s="163">
        <v>3.0083917064694821E-2</v>
      </c>
      <c r="DN295" s="163">
        <v>152.352</v>
      </c>
      <c r="DO295" s="163">
        <v>149.25800000000001</v>
      </c>
      <c r="DP295" s="163">
        <v>77.254000000000005</v>
      </c>
      <c r="DQ295" s="163">
        <v>226.512</v>
      </c>
      <c r="DR295" s="163">
        <v>1.0012649899614738</v>
      </c>
      <c r="DS295" s="163"/>
      <c r="DT295" s="163">
        <v>156.50299999999999</v>
      </c>
      <c r="DU295" s="163">
        <v>69.495999999999995</v>
      </c>
      <c r="DV295" s="163">
        <v>29.620999999999999</v>
      </c>
      <c r="DW295" s="163">
        <v>0.44405538551976642</v>
      </c>
      <c r="DX295" s="163">
        <v>46.28</v>
      </c>
      <c r="DY295" s="163">
        <v>0.14785659060848674</v>
      </c>
      <c r="DZ295" s="163">
        <v>48.970999999999997</v>
      </c>
      <c r="EA295" s="163">
        <v>47.313000000000002</v>
      </c>
      <c r="EB295" s="163">
        <v>3.3856772375487454E-2</v>
      </c>
      <c r="EC295" s="163">
        <v>48.341999999999999</v>
      </c>
      <c r="ED295" s="163"/>
      <c r="EE295" s="163">
        <v>50.319000000000003</v>
      </c>
      <c r="EF295" s="163">
        <v>50.319000000000003</v>
      </c>
      <c r="EG295" s="163">
        <v>0.59191197612825319</v>
      </c>
    </row>
    <row r="296" spans="1:137" hidden="1">
      <c r="A296" s="157">
        <v>43282</v>
      </c>
      <c r="B296" s="163">
        <v>5365.8280000000004</v>
      </c>
      <c r="C296" s="163">
        <v>178.86093333333335</v>
      </c>
      <c r="D296" s="163">
        <v>11.127933333333345</v>
      </c>
      <c r="E296" s="163">
        <v>6.6343136611956677E-2</v>
      </c>
      <c r="F296" s="163">
        <v>3979.12</v>
      </c>
      <c r="G296" s="163"/>
      <c r="H296" s="163"/>
      <c r="I296" s="163">
        <v>462.35</v>
      </c>
      <c r="J296" s="163">
        <v>44.494009125898181</v>
      </c>
      <c r="K296" s="163">
        <v>47.463489325412588</v>
      </c>
      <c r="L296" s="163">
        <v>-6.5106745874103922E-3</v>
      </c>
      <c r="M296" s="163">
        <v>265.56200000000001</v>
      </c>
      <c r="N296" s="163">
        <v>50.079000000000001</v>
      </c>
      <c r="O296" s="163">
        <v>2043.3230000000001</v>
      </c>
      <c r="P296" s="163">
        <v>1983.6659999999999</v>
      </c>
      <c r="Q296" s="163">
        <v>755.82</v>
      </c>
      <c r="R296" s="163">
        <v>446.947</v>
      </c>
      <c r="S296" s="163">
        <v>780.899</v>
      </c>
      <c r="T296" s="163">
        <v>399.935</v>
      </c>
      <c r="U296" s="163">
        <v>620.09300000000007</v>
      </c>
      <c r="V296" s="163">
        <v>0.35162471619068358</v>
      </c>
      <c r="W296" s="163">
        <v>11.424087764274217</v>
      </c>
      <c r="X296" s="163">
        <v>-7.5912235725782651E-2</v>
      </c>
      <c r="Y296" s="163">
        <v>58.887577089686808</v>
      </c>
      <c r="Z296" s="163">
        <v>1470.4929999999999</v>
      </c>
      <c r="AA296" s="163">
        <v>1432.655</v>
      </c>
      <c r="AB296" s="163">
        <v>2.573150637235265E-2</v>
      </c>
      <c r="AC296" s="163"/>
      <c r="AD296" s="163"/>
      <c r="AE296" s="163"/>
      <c r="AF296" s="163"/>
      <c r="AH296" s="163"/>
      <c r="AI296" s="163">
        <v>634.37900000000002</v>
      </c>
      <c r="AJ296" s="163">
        <v>21.145966666666666</v>
      </c>
      <c r="AK296" s="163">
        <v>469.315</v>
      </c>
      <c r="AL296" s="163">
        <v>100.907</v>
      </c>
      <c r="AM296" s="163">
        <v>44.388133907333</v>
      </c>
      <c r="AN296" s="163">
        <v>-0.10587521856518123</v>
      </c>
      <c r="AO296" s="163">
        <v>252.66499999999999</v>
      </c>
      <c r="AP296" s="163">
        <v>85.912000000000006</v>
      </c>
      <c r="AQ296" s="163">
        <v>11.948614314156048</v>
      </c>
      <c r="AR296" s="163">
        <v>0.52452654988183056</v>
      </c>
      <c r="AS296" s="163">
        <v>56.336748221489046</v>
      </c>
      <c r="AT296" s="163">
        <v>1023.211</v>
      </c>
      <c r="AU296" s="163">
        <v>34.107033333333334</v>
      </c>
      <c r="AV296" s="163">
        <v>761.11699999999996</v>
      </c>
      <c r="AW296" s="163">
        <v>57.399000000000001</v>
      </c>
      <c r="AX296" s="163">
        <v>44.631087820596143</v>
      </c>
      <c r="AY296" s="163">
        <v>0.13707869469796208</v>
      </c>
      <c r="AZ296" s="163">
        <v>389.92</v>
      </c>
      <c r="BA296" s="163">
        <v>130.23500000000001</v>
      </c>
      <c r="BB296" s="163">
        <v>11.43224613496141</v>
      </c>
      <c r="BC296" s="163">
        <v>8.1583706871928285E-3</v>
      </c>
      <c r="BD296" s="163">
        <v>56.063333955557553</v>
      </c>
      <c r="BE296" s="163">
        <v>1298.21</v>
      </c>
      <c r="BF296" s="163">
        <v>43.273666666666671</v>
      </c>
      <c r="BG296" s="163">
        <v>962.58699999999999</v>
      </c>
      <c r="BH296" s="163">
        <v>125.93</v>
      </c>
      <c r="BI296" s="163">
        <v>44.488349342556283</v>
      </c>
      <c r="BJ296" s="163">
        <v>-5.6597833418976506E-3</v>
      </c>
      <c r="BK296" s="163">
        <v>488.238</v>
      </c>
      <c r="BL296" s="163">
        <v>170.56</v>
      </c>
      <c r="BM296" s="163">
        <v>11.282565994715799</v>
      </c>
      <c r="BN296" s="163">
        <v>-0.14152176955841789</v>
      </c>
      <c r="BO296" s="163">
        <v>55.770915337272086</v>
      </c>
      <c r="BP296" s="163">
        <v>738.39599999999996</v>
      </c>
      <c r="BQ296" s="163">
        <v>24.613199999999999</v>
      </c>
      <c r="BR296" s="163">
        <v>552.303</v>
      </c>
      <c r="BS296" s="163">
        <v>56.936</v>
      </c>
      <c r="BT296" s="163">
        <v>44.878601725903174</v>
      </c>
      <c r="BU296" s="163">
        <v>0.38459260000499285</v>
      </c>
      <c r="BV296" s="163">
        <v>272.75099999999998</v>
      </c>
      <c r="BW296" s="163">
        <v>276.47500000000002</v>
      </c>
      <c r="BX296" s="163">
        <v>11.081492857491101</v>
      </c>
      <c r="BY296" s="163">
        <v>-0.34259490678311622</v>
      </c>
      <c r="BZ296" s="163">
        <v>55.960094583394273</v>
      </c>
      <c r="CA296" s="163">
        <v>738.44</v>
      </c>
      <c r="CB296" s="163">
        <v>24.614666666666668</v>
      </c>
      <c r="CC296" s="163">
        <v>541.48699999999997</v>
      </c>
      <c r="CD296" s="163">
        <v>61.942999999999998</v>
      </c>
      <c r="CE296" s="163">
        <v>43.99710199880829</v>
      </c>
      <c r="CF296" s="163">
        <v>-0.49690712708989082</v>
      </c>
      <c r="CG296" s="163">
        <v>280.81200000000001</v>
      </c>
      <c r="CH296" s="163">
        <v>48.543999999999997</v>
      </c>
      <c r="CI296" s="163">
        <v>11.408320242673744</v>
      </c>
      <c r="CJ296" s="163">
        <v>-1.5767521600473344E-2</v>
      </c>
      <c r="CK296" s="163">
        <v>55.405422241482036</v>
      </c>
      <c r="CL296" s="163">
        <v>933.19200000000001</v>
      </c>
      <c r="CM296" s="163">
        <v>31.106400000000001</v>
      </c>
      <c r="CN296" s="163">
        <v>692.31100000000004</v>
      </c>
      <c r="CO296" s="163">
        <v>59.234999999999999</v>
      </c>
      <c r="CP296" s="163">
        <v>44.512447599207881</v>
      </c>
      <c r="CQ296" s="163">
        <v>1.8438473309700498E-2</v>
      </c>
      <c r="CR296" s="163">
        <v>358.93700000000001</v>
      </c>
      <c r="CS296" s="163">
        <v>44.094000000000001</v>
      </c>
      <c r="CT296" s="163">
        <v>11.539008049790397</v>
      </c>
      <c r="CU296" s="163">
        <v>0.11492028551617928</v>
      </c>
      <c r="CV296" s="163">
        <v>56.051455648998278</v>
      </c>
      <c r="CW296" s="163"/>
      <c r="CX296" s="163">
        <v>0</v>
      </c>
      <c r="CY296" s="163">
        <v>0</v>
      </c>
      <c r="CZ296" s="163">
        <v>0</v>
      </c>
      <c r="DA296" s="163">
        <v>0</v>
      </c>
      <c r="DB296" s="163">
        <v>0</v>
      </c>
      <c r="DC296" s="163">
        <v>0</v>
      </c>
      <c r="DD296" s="163"/>
      <c r="DE296" s="163">
        <v>165.00700000000001</v>
      </c>
      <c r="DF296" s="163">
        <v>97.757999999999996</v>
      </c>
      <c r="DG296" s="163"/>
      <c r="DH296" s="163">
        <v>0.59244759313241246</v>
      </c>
      <c r="DI296" s="163">
        <v>149.71600000000001</v>
      </c>
      <c r="DJ296" s="163">
        <v>0.45366560206536694</v>
      </c>
      <c r="DK296" s="163">
        <v>140.85900000000001</v>
      </c>
      <c r="DL296" s="163">
        <v>136.78100000000001</v>
      </c>
      <c r="DM296" s="163">
        <v>2.8950936752355161E-2</v>
      </c>
      <c r="DN296" s="163">
        <v>155.33000000000001</v>
      </c>
      <c r="DO296" s="163">
        <v>121.64700000000001</v>
      </c>
      <c r="DP296" s="163">
        <v>83.320999999999998</v>
      </c>
      <c r="DQ296" s="163">
        <v>204.96800000000002</v>
      </c>
      <c r="DR296" s="163">
        <v>1.0461131951977793</v>
      </c>
      <c r="DS296" s="163"/>
      <c r="DT296" s="163">
        <v>137.822</v>
      </c>
      <c r="DU296" s="163">
        <v>58.47</v>
      </c>
      <c r="DV296" s="163">
        <v>26.786999999999999</v>
      </c>
      <c r="DW296" s="163">
        <v>0.42424286398397931</v>
      </c>
      <c r="DX296" s="163">
        <v>39.853999999999999</v>
      </c>
      <c r="DY296" s="163">
        <v>0.14458504447765957</v>
      </c>
      <c r="DZ296" s="163">
        <v>44.042999999999999</v>
      </c>
      <c r="EA296" s="163">
        <v>42.32</v>
      </c>
      <c r="EB296" s="163">
        <v>3.9120859160366006E-2</v>
      </c>
      <c r="EC296" s="163">
        <v>50.619</v>
      </c>
      <c r="ED296" s="163"/>
      <c r="EE296" s="163">
        <v>42.142000000000003</v>
      </c>
      <c r="EF296" s="163">
        <v>42.142000000000003</v>
      </c>
      <c r="EG296" s="163">
        <v>0.56882790846163889</v>
      </c>
    </row>
    <row r="297" spans="1:137" hidden="1">
      <c r="A297" s="157">
        <v>43313</v>
      </c>
      <c r="B297" s="163">
        <v>5088.884</v>
      </c>
      <c r="C297" s="163">
        <v>169.62946666666667</v>
      </c>
      <c r="D297" s="163">
        <v>10.744466666666682</v>
      </c>
      <c r="E297" s="163">
        <v>6.7624172619609624E-2</v>
      </c>
      <c r="F297" s="163">
        <v>3771.7269999999999</v>
      </c>
      <c r="G297" s="163"/>
      <c r="H297" s="163"/>
      <c r="I297" s="163">
        <v>359.93599999999998</v>
      </c>
      <c r="J297" s="163">
        <v>44.470186390572074</v>
      </c>
      <c r="K297" s="163">
        <v>47.524820766203355</v>
      </c>
      <c r="L297" s="163">
        <v>-6.5179233796648361E-2</v>
      </c>
      <c r="M297" s="163">
        <v>259.07799999999997</v>
      </c>
      <c r="N297" s="163">
        <v>41.116999999999997</v>
      </c>
      <c r="O297" s="163">
        <v>1944.9659999999999</v>
      </c>
      <c r="P297" s="163">
        <v>1843.912</v>
      </c>
      <c r="Q297" s="163">
        <v>710.67899999999997</v>
      </c>
      <c r="R297" s="163">
        <v>410.48599999999999</v>
      </c>
      <c r="S297" s="163">
        <v>722.74699999999996</v>
      </c>
      <c r="T297" s="163">
        <v>370.887</v>
      </c>
      <c r="U297" s="163">
        <v>591.67100000000005</v>
      </c>
      <c r="V297" s="163">
        <v>0.36452516375787991</v>
      </c>
      <c r="W297" s="163">
        <v>11.465967783899179</v>
      </c>
      <c r="X297" s="163">
        <v>-9.4032216100821131E-2</v>
      </c>
      <c r="Y297" s="163">
        <v>58.990788550102536</v>
      </c>
      <c r="Z297" s="163">
        <v>1481.2760000000001</v>
      </c>
      <c r="AA297" s="163">
        <v>1448.9659999999999</v>
      </c>
      <c r="AB297" s="163">
        <v>2.1812275362592906E-2</v>
      </c>
      <c r="AC297" s="163"/>
      <c r="AD297" s="163"/>
      <c r="AE297" s="163"/>
      <c r="AF297" s="163"/>
      <c r="AH297" s="163"/>
      <c r="AI297" s="163">
        <v>621.41899999999998</v>
      </c>
      <c r="AJ297" s="163">
        <v>20.713966666666668</v>
      </c>
      <c r="AK297" s="163">
        <v>452.47699999999998</v>
      </c>
      <c r="AL297" s="163">
        <v>84.311000000000007</v>
      </c>
      <c r="AM297" s="163">
        <v>43.688107380044698</v>
      </c>
      <c r="AN297" s="163">
        <v>-0.78207901052737583</v>
      </c>
      <c r="AO297" s="163">
        <v>242.869</v>
      </c>
      <c r="AP297" s="163">
        <v>100.081</v>
      </c>
      <c r="AQ297" s="163">
        <v>11.724890935101758</v>
      </c>
      <c r="AR297" s="163">
        <v>0.25892315120257869</v>
      </c>
      <c r="AS297" s="163">
        <v>55.412998315146453</v>
      </c>
      <c r="AT297" s="163">
        <v>1120.453</v>
      </c>
      <c r="AU297" s="163">
        <v>37.348433333333332</v>
      </c>
      <c r="AV297" s="163">
        <v>830.59</v>
      </c>
      <c r="AW297" s="163">
        <v>67.700999999999993</v>
      </c>
      <c r="AX297" s="163">
        <v>44.477903133821769</v>
      </c>
      <c r="AY297" s="163">
        <v>7.7167432496949573E-3</v>
      </c>
      <c r="AZ297" s="163">
        <v>428.78699999999998</v>
      </c>
      <c r="BA297" s="163">
        <v>108.441</v>
      </c>
      <c r="BB297" s="163">
        <v>11.480722529191318</v>
      </c>
      <c r="BC297" s="163">
        <v>1.4754745292139049E-2</v>
      </c>
      <c r="BD297" s="163">
        <v>55.958625663013088</v>
      </c>
      <c r="BE297" s="163">
        <v>1088.537</v>
      </c>
      <c r="BF297" s="163">
        <v>36.28456666666667</v>
      </c>
      <c r="BG297" s="163">
        <v>810.78800000000001</v>
      </c>
      <c r="BH297" s="163">
        <v>68.34</v>
      </c>
      <c r="BI297" s="163">
        <v>44.690515802402672</v>
      </c>
      <c r="BJ297" s="163">
        <v>0.22032941183059762</v>
      </c>
      <c r="BK297" s="163">
        <v>417.57600000000002</v>
      </c>
      <c r="BL297" s="163">
        <v>155.77600000000001</v>
      </c>
      <c r="BM297" s="163">
        <v>11.508363978440787</v>
      </c>
      <c r="BN297" s="163">
        <v>4.2396194541607812E-2</v>
      </c>
      <c r="BO297" s="163">
        <v>56.198879780843455</v>
      </c>
      <c r="BP297" s="163">
        <v>698.11800000000005</v>
      </c>
      <c r="BQ297" s="163">
        <v>23.270600000000002</v>
      </c>
      <c r="BR297" s="163">
        <v>522.76199999999994</v>
      </c>
      <c r="BS297" s="163">
        <v>26.38</v>
      </c>
      <c r="BT297" s="163">
        <v>44.928966163313355</v>
      </c>
      <c r="BU297" s="163">
        <v>0.45877977274128057</v>
      </c>
      <c r="BV297" s="163">
        <v>256.33</v>
      </c>
      <c r="BW297" s="163">
        <v>259.38</v>
      </c>
      <c r="BX297" s="163">
        <v>11.015186544395073</v>
      </c>
      <c r="BY297" s="163">
        <v>-0.45078123950410642</v>
      </c>
      <c r="BZ297" s="163">
        <v>55.944152707708426</v>
      </c>
      <c r="CA297" s="163">
        <v>700.20899999999995</v>
      </c>
      <c r="CB297" s="163">
        <v>23.340299999999999</v>
      </c>
      <c r="CC297" s="163">
        <v>514.63099999999997</v>
      </c>
      <c r="CD297" s="163">
        <v>67.239999999999995</v>
      </c>
      <c r="CE297" s="163">
        <v>44.09806215001521</v>
      </c>
      <c r="CF297" s="163">
        <v>-0.37212424055686455</v>
      </c>
      <c r="CG297" s="163">
        <v>266.97000000000003</v>
      </c>
      <c r="CH297" s="163">
        <v>43.50049999999996</v>
      </c>
      <c r="CI297" s="163">
        <v>11.438156321898179</v>
      </c>
      <c r="CJ297" s="163">
        <v>-2.781146200100082E-2</v>
      </c>
      <c r="CK297" s="163">
        <v>55.536218471913386</v>
      </c>
      <c r="CL297" s="163">
        <v>860.14800000000002</v>
      </c>
      <c r="CM297" s="163">
        <v>28.671600000000002</v>
      </c>
      <c r="CN297" s="163">
        <v>640.47900000000004</v>
      </c>
      <c r="CO297" s="163">
        <v>45.963999999999999</v>
      </c>
      <c r="CP297" s="163">
        <v>44.676892813794836</v>
      </c>
      <c r="CQ297" s="163">
        <v>0.20670642322276223</v>
      </c>
      <c r="CR297" s="163">
        <v>332.43400000000003</v>
      </c>
      <c r="CS297" s="163">
        <v>43.50049999999996</v>
      </c>
      <c r="CT297" s="163">
        <v>11.594539544357483</v>
      </c>
      <c r="CU297" s="163">
        <v>0.12857176045830343</v>
      </c>
      <c r="CV297" s="163">
        <v>56.271432358152317</v>
      </c>
      <c r="CW297" s="163"/>
      <c r="CX297" s="163">
        <v>0</v>
      </c>
      <c r="CY297" s="163">
        <v>0</v>
      </c>
      <c r="CZ297" s="163">
        <v>0</v>
      </c>
      <c r="DA297" s="163">
        <v>0</v>
      </c>
      <c r="DB297" s="163">
        <v>0</v>
      </c>
      <c r="DC297" s="163">
        <v>0</v>
      </c>
      <c r="DD297" s="163"/>
      <c r="DE297" s="163">
        <v>170.47200000000001</v>
      </c>
      <c r="DF297" s="163">
        <v>93.948999999999998</v>
      </c>
      <c r="DG297" s="163"/>
      <c r="DH297" s="163">
        <v>0.551111032896898</v>
      </c>
      <c r="DI297" s="163">
        <v>139.345</v>
      </c>
      <c r="DJ297" s="163">
        <v>0.4087034820967666</v>
      </c>
      <c r="DK297" s="163">
        <v>116.348</v>
      </c>
      <c r="DL297" s="163">
        <v>110.749</v>
      </c>
      <c r="DM297" s="163">
        <v>4.8122872761027335E-2</v>
      </c>
      <c r="DN297" s="163">
        <v>153.13399999999999</v>
      </c>
      <c r="DO297" s="163"/>
      <c r="DP297" s="163">
        <v>110.21899999999999</v>
      </c>
      <c r="DQ297" s="163">
        <v>110.21899999999999</v>
      </c>
      <c r="DR297" s="163">
        <v>0.95981451499366455</v>
      </c>
      <c r="DS297" s="163"/>
      <c r="DT297" s="163">
        <v>177.9</v>
      </c>
      <c r="DU297" s="163">
        <v>76.941000000000003</v>
      </c>
      <c r="DV297" s="163">
        <v>35.731999999999999</v>
      </c>
      <c r="DW297" s="163">
        <v>0.43249578414839795</v>
      </c>
      <c r="DX297" s="163">
        <v>49.723999999999997</v>
      </c>
      <c r="DY297" s="163">
        <v>0.13975267003934794</v>
      </c>
      <c r="DZ297" s="163">
        <v>47.121000000000002</v>
      </c>
      <c r="EA297" s="163">
        <v>45.625</v>
      </c>
      <c r="EB297" s="163">
        <v>3.1748052885125611E-2</v>
      </c>
      <c r="EC297" s="163">
        <v>53.070999999999998</v>
      </c>
      <c r="ED297" s="163"/>
      <c r="EE297" s="163">
        <v>32.5</v>
      </c>
      <c r="EF297" s="163">
        <v>32.5</v>
      </c>
      <c r="EG297" s="163">
        <v>0.57224845418774595</v>
      </c>
    </row>
    <row r="298" spans="1:137" hidden="1">
      <c r="A298" s="157">
        <v>43344</v>
      </c>
      <c r="B298" s="163">
        <v>5077.5320000000002</v>
      </c>
      <c r="C298" s="163">
        <v>169.25106666666667</v>
      </c>
      <c r="D298" s="163">
        <v>8.4720666666666773</v>
      </c>
      <c r="E298" s="163">
        <v>5.2693863419144726E-2</v>
      </c>
      <c r="F298" s="163">
        <v>3731.6</v>
      </c>
      <c r="G298" s="163"/>
      <c r="H298" s="163"/>
      <c r="I298" s="163">
        <v>498.86200000000002</v>
      </c>
      <c r="J298" s="163">
        <v>44.095438492558984</v>
      </c>
      <c r="K298" s="163">
        <v>47.100075390957649</v>
      </c>
      <c r="L298" s="163">
        <v>-2.9924609042353723E-2</v>
      </c>
      <c r="M298" s="163">
        <v>254.26900000000001</v>
      </c>
      <c r="N298" s="163">
        <v>54.01</v>
      </c>
      <c r="O298" s="163">
        <v>1936.873</v>
      </c>
      <c r="P298" s="163">
        <v>1642.954</v>
      </c>
      <c r="Q298" s="163">
        <v>674.97699999999998</v>
      </c>
      <c r="R298" s="163">
        <v>295.637</v>
      </c>
      <c r="S298" s="163">
        <v>672.34</v>
      </c>
      <c r="T298" s="163">
        <v>347.08699999999999</v>
      </c>
      <c r="U298" s="163">
        <v>458.64899999999989</v>
      </c>
      <c r="V298" s="163">
        <v>0.299498103686058</v>
      </c>
      <c r="W298" s="163">
        <v>11.443786075597357</v>
      </c>
      <c r="X298" s="163">
        <v>-5.6213924402642945E-2</v>
      </c>
      <c r="Y298" s="163">
        <v>58.543861466555008</v>
      </c>
      <c r="Z298" s="163">
        <v>1494.848</v>
      </c>
      <c r="AA298" s="163">
        <v>1467.768</v>
      </c>
      <c r="AB298" s="163">
        <v>1.8115554223573183E-2</v>
      </c>
      <c r="AC298" s="163"/>
      <c r="AD298" s="163"/>
      <c r="AE298" s="163"/>
      <c r="AF298" s="163"/>
      <c r="AH298" s="163"/>
      <c r="AI298" s="163">
        <v>575.00400000000002</v>
      </c>
      <c r="AJ298" s="163">
        <v>19.166800000000002</v>
      </c>
      <c r="AK298" s="163">
        <v>420.59899999999999</v>
      </c>
      <c r="AL298" s="163">
        <v>102.75642954278959</v>
      </c>
      <c r="AM298" s="163">
        <v>43.888285994532204</v>
      </c>
      <c r="AN298" s="163">
        <v>-0.2071524980267796</v>
      </c>
      <c r="AO298" s="163">
        <v>225.76400000000001</v>
      </c>
      <c r="AP298" s="163">
        <v>96.09644395893973</v>
      </c>
      <c r="AQ298" s="163">
        <v>11.77890936410877</v>
      </c>
      <c r="AR298" s="163">
        <v>0.33512328851141326</v>
      </c>
      <c r="AS298" s="163">
        <v>55.667195358640974</v>
      </c>
      <c r="AT298" s="163">
        <v>1105.598</v>
      </c>
      <c r="AU298" s="163">
        <v>36.853266666666663</v>
      </c>
      <c r="AV298" s="163">
        <v>814.23</v>
      </c>
      <c r="AW298" s="163">
        <v>68.231999999999999</v>
      </c>
      <c r="AX298" s="163">
        <v>44.187670382905907</v>
      </c>
      <c r="AY298" s="163">
        <v>9.2231890346923251E-2</v>
      </c>
      <c r="AZ298" s="163">
        <v>421.78399999999999</v>
      </c>
      <c r="BA298" s="163">
        <v>113.03400000000001</v>
      </c>
      <c r="BB298" s="163">
        <v>11.444955580599821</v>
      </c>
      <c r="BC298" s="163">
        <v>1.1695050024638221E-3</v>
      </c>
      <c r="BD298" s="163">
        <v>55.632625963505731</v>
      </c>
      <c r="BE298" s="163">
        <v>1205.3340000000001</v>
      </c>
      <c r="BF298" s="163">
        <v>40.177800000000005</v>
      </c>
      <c r="BG298" s="163">
        <v>876.91099999999994</v>
      </c>
      <c r="BH298" s="163">
        <v>101.09399999999999</v>
      </c>
      <c r="BI298" s="163">
        <v>43.651518998053646</v>
      </c>
      <c r="BJ298" s="163">
        <v>-0.4439194945053373</v>
      </c>
      <c r="BK298" s="163">
        <v>462.92500000000001</v>
      </c>
      <c r="BL298" s="163">
        <v>147.76900000000001</v>
      </c>
      <c r="BM298" s="163">
        <v>11.521910109562992</v>
      </c>
      <c r="BN298" s="163">
        <v>7.8124033965634609E-2</v>
      </c>
      <c r="BO298" s="163">
        <v>55.173429107616641</v>
      </c>
      <c r="BP298" s="163">
        <v>695.15499999999997</v>
      </c>
      <c r="BQ298" s="163">
        <v>23.171833333333332</v>
      </c>
      <c r="BR298" s="163">
        <v>522.34900000000005</v>
      </c>
      <c r="BS298" s="163">
        <v>87.520570457210468</v>
      </c>
      <c r="BT298" s="163">
        <v>45.084822809301528</v>
      </c>
      <c r="BU298" s="163">
        <v>0.98938431674254446</v>
      </c>
      <c r="BV298" s="163">
        <v>256.95</v>
      </c>
      <c r="BW298" s="163">
        <v>228.898</v>
      </c>
      <c r="BX298" s="163">
        <v>11.088893843819005</v>
      </c>
      <c r="BY298" s="163">
        <v>-0.3548922317783525</v>
      </c>
      <c r="BZ298" s="163">
        <v>56.173716653120536</v>
      </c>
      <c r="CA298" s="163">
        <v>648.66999999999996</v>
      </c>
      <c r="CB298" s="163">
        <v>21.622333333333334</v>
      </c>
      <c r="CC298" s="163">
        <v>472.39400000000001</v>
      </c>
      <c r="CD298" s="163">
        <v>75.600999999999999</v>
      </c>
      <c r="CE298" s="163">
        <v>43.695006706029261</v>
      </c>
      <c r="CF298" s="163">
        <v>-0.40043178652972244</v>
      </c>
      <c r="CG298" s="163">
        <v>247.86099999999999</v>
      </c>
      <c r="CH298" s="163">
        <v>47.345999999999997</v>
      </c>
      <c r="CI298" s="163">
        <v>11.463193919866804</v>
      </c>
      <c r="CJ298" s="163">
        <v>1.9407844269446528E-2</v>
      </c>
      <c r="CK298" s="163">
        <v>55.158200625896065</v>
      </c>
      <c r="CL298" s="163">
        <v>847.77099999999996</v>
      </c>
      <c r="CM298" s="163">
        <v>28.259033333333331</v>
      </c>
      <c r="CN298" s="163">
        <v>625.11699999999996</v>
      </c>
      <c r="CO298" s="163">
        <v>63.658000000000001</v>
      </c>
      <c r="CP298" s="163">
        <v>44.241923821409323</v>
      </c>
      <c r="CQ298" s="163">
        <v>0.14648532885033916</v>
      </c>
      <c r="CR298" s="163">
        <v>321.589</v>
      </c>
      <c r="CS298" s="163">
        <v>41.833556041060241</v>
      </c>
      <c r="CT298" s="163">
        <v>11.380042487888829</v>
      </c>
      <c r="CU298" s="163">
        <v>-6.3743587708527727E-2</v>
      </c>
      <c r="CV298" s="163">
        <v>55.621966309298152</v>
      </c>
      <c r="CW298" s="163"/>
      <c r="CX298" s="163">
        <v>0</v>
      </c>
      <c r="CY298" s="163">
        <v>0</v>
      </c>
      <c r="CZ298" s="163">
        <v>0</v>
      </c>
      <c r="DA298" s="163">
        <v>0</v>
      </c>
      <c r="DB298" s="163">
        <v>0</v>
      </c>
      <c r="DC298" s="163">
        <v>0</v>
      </c>
      <c r="DD298" s="163"/>
      <c r="DE298" s="163">
        <v>178.16200000000001</v>
      </c>
      <c r="DF298" s="163">
        <v>101.75</v>
      </c>
      <c r="DG298" s="163"/>
      <c r="DH298" s="163">
        <v>0.57110943972339778</v>
      </c>
      <c r="DI298" s="163">
        <v>151.517</v>
      </c>
      <c r="DJ298" s="163">
        <v>0.42522255026324352</v>
      </c>
      <c r="DK298" s="163">
        <v>166.792</v>
      </c>
      <c r="DL298" s="163">
        <v>161.31399999999999</v>
      </c>
      <c r="DM298" s="163">
        <v>3.2843301837018668E-2</v>
      </c>
      <c r="DN298" s="163">
        <v>154.209</v>
      </c>
      <c r="DO298" s="163">
        <v>115.128</v>
      </c>
      <c r="DP298" s="163">
        <v>79.44</v>
      </c>
      <c r="DQ298" s="163">
        <v>194.56799999999998</v>
      </c>
      <c r="DR298" s="163">
        <v>0.9963319899866413</v>
      </c>
      <c r="DS298" s="163"/>
      <c r="DT298" s="163">
        <v>157.50399999999999</v>
      </c>
      <c r="DU298" s="163">
        <v>62.185000000000002</v>
      </c>
      <c r="DV298" s="163">
        <v>44.808999999999997</v>
      </c>
      <c r="DW298" s="163">
        <v>0.39481536976838688</v>
      </c>
      <c r="DX298" s="163">
        <v>40.807000000000002</v>
      </c>
      <c r="DY298" s="163">
        <v>0.12954274177163755</v>
      </c>
      <c r="DZ298" s="163">
        <v>44.741999999999997</v>
      </c>
      <c r="EA298" s="163">
        <v>43.277999999999999</v>
      </c>
      <c r="EB298" s="163">
        <v>3.2720933351213621E-2</v>
      </c>
      <c r="EC298" s="163">
        <v>49.875999999999998</v>
      </c>
      <c r="ED298" s="163"/>
      <c r="EE298" s="163">
        <v>32.087000000000003</v>
      </c>
      <c r="EF298" s="163">
        <v>32.087000000000003</v>
      </c>
      <c r="EG298" s="163">
        <v>0.52435811154002443</v>
      </c>
    </row>
    <row r="299" spans="1:137" hidden="1">
      <c r="A299" s="157">
        <v>43374</v>
      </c>
      <c r="B299" s="163">
        <v>5488.9070000000002</v>
      </c>
      <c r="C299" s="163">
        <v>182.96356666666668</v>
      </c>
      <c r="D299" s="163">
        <v>10.617566666666676</v>
      </c>
      <c r="E299" s="163">
        <v>6.1606110189193153E-2</v>
      </c>
      <c r="F299" s="163">
        <v>4007.6709999999998</v>
      </c>
      <c r="G299" s="163"/>
      <c r="H299" s="163"/>
      <c r="I299" s="163">
        <v>397.41300000000001</v>
      </c>
      <c r="J299" s="163">
        <v>43.808404842712761</v>
      </c>
      <c r="K299" s="163">
        <v>46.760828704148203</v>
      </c>
      <c r="L299" s="163">
        <v>-3.9171295851794241E-2</v>
      </c>
      <c r="M299" s="163">
        <v>270.09300000000002</v>
      </c>
      <c r="N299" s="163">
        <v>45.326000000000001</v>
      </c>
      <c r="O299" s="163">
        <v>2127.91</v>
      </c>
      <c r="P299" s="163">
        <v>1694.722</v>
      </c>
      <c r="Q299" s="163">
        <v>683.98299999999995</v>
      </c>
      <c r="R299" s="163">
        <v>411.76600000000002</v>
      </c>
      <c r="S299" s="163">
        <v>598.97299999999996</v>
      </c>
      <c r="T299" s="163">
        <v>346.72</v>
      </c>
      <c r="U299" s="163">
        <v>538.74299999999994</v>
      </c>
      <c r="V299" s="163">
        <v>0.35851690857583574</v>
      </c>
      <c r="W299" s="163">
        <v>11.630238952855276</v>
      </c>
      <c r="X299" s="163">
        <v>-7.9761047144724984E-2</v>
      </c>
      <c r="Y299" s="163">
        <v>58.391067657003475</v>
      </c>
      <c r="Z299" s="163">
        <v>1601.0409999999999</v>
      </c>
      <c r="AA299" s="163">
        <v>1568.355</v>
      </c>
      <c r="AB299" s="163">
        <v>2.041546718666163E-2</v>
      </c>
      <c r="AC299" s="163"/>
      <c r="AD299" s="163"/>
      <c r="AE299" s="163"/>
      <c r="AF299" s="163"/>
      <c r="AH299" s="163"/>
      <c r="AI299" s="163">
        <v>622.33399999999995</v>
      </c>
      <c r="AJ299" s="163">
        <v>20.744466666666664</v>
      </c>
      <c r="AK299" s="163">
        <v>453.91399999999999</v>
      </c>
      <c r="AL299" s="163">
        <v>111.136</v>
      </c>
      <c r="AM299" s="163">
        <v>43.762416965809358</v>
      </c>
      <c r="AN299" s="163">
        <v>-4.5987876903403446E-2</v>
      </c>
      <c r="AO299" s="163">
        <v>248.24799999999999</v>
      </c>
      <c r="AP299" s="163">
        <v>114.887</v>
      </c>
      <c r="AQ299" s="163">
        <v>11.966950222870679</v>
      </c>
      <c r="AR299" s="163">
        <v>0.33671127001540313</v>
      </c>
      <c r="AS299" s="163">
        <v>55.729367188680037</v>
      </c>
      <c r="AT299" s="163">
        <v>1146.9649999999999</v>
      </c>
      <c r="AU299" s="163">
        <v>38.232166666666664</v>
      </c>
      <c r="AV299" s="163">
        <v>844.96299999999997</v>
      </c>
      <c r="AW299" s="163">
        <v>50.021999999999998</v>
      </c>
      <c r="AX299" s="163">
        <v>44.201680086140378</v>
      </c>
      <c r="AY299" s="163">
        <v>0.39327524342761677</v>
      </c>
      <c r="AZ299" s="163">
        <v>446.495</v>
      </c>
      <c r="BA299" s="163">
        <v>121.373</v>
      </c>
      <c r="BB299" s="163">
        <v>11.678516781244415</v>
      </c>
      <c r="BC299" s="163">
        <v>4.8277828389139188E-2</v>
      </c>
      <c r="BD299" s="163">
        <v>55.880196867384797</v>
      </c>
      <c r="BE299" s="163">
        <v>1344.4</v>
      </c>
      <c r="BF299" s="163">
        <v>44.81333333333334</v>
      </c>
      <c r="BG299" s="163">
        <v>978.48400000000004</v>
      </c>
      <c r="BH299" s="163">
        <v>98.129000000000005</v>
      </c>
      <c r="BI299" s="163">
        <v>43.66932460577209</v>
      </c>
      <c r="BJ299" s="163">
        <v>-0.1390802369406714</v>
      </c>
      <c r="BK299" s="163">
        <v>524.09</v>
      </c>
      <c r="BL299" s="163">
        <v>156.059</v>
      </c>
      <c r="BM299" s="163">
        <v>11.694956858077951</v>
      </c>
      <c r="BN299" s="163">
        <v>6.4717905222675398E-2</v>
      </c>
      <c r="BO299" s="163">
        <v>55.364281463850041</v>
      </c>
      <c r="BP299" s="163">
        <v>749.97500000000002</v>
      </c>
      <c r="BQ299" s="163">
        <v>24.999166666666667</v>
      </c>
      <c r="BR299" s="163">
        <v>553.09699999999998</v>
      </c>
      <c r="BS299" s="163">
        <v>42.213999999999999</v>
      </c>
      <c r="BT299" s="163">
        <v>44.249234974499146</v>
      </c>
      <c r="BU299" s="163">
        <v>0.44083013178638453</v>
      </c>
      <c r="BV299" s="163">
        <v>280.92899999999997</v>
      </c>
      <c r="BW299" s="163">
        <v>211.762</v>
      </c>
      <c r="BX299" s="163">
        <v>11.237534584486149</v>
      </c>
      <c r="BY299" s="163">
        <v>-0.39270436836912737</v>
      </c>
      <c r="BZ299" s="163">
        <v>55.486769558985294</v>
      </c>
      <c r="CA299" s="163">
        <v>708.72400000000005</v>
      </c>
      <c r="CB299" s="163">
        <v>23.624133333333337</v>
      </c>
      <c r="CC299" s="163">
        <v>509.322</v>
      </c>
      <c r="CD299" s="163">
        <v>53.801000000000002</v>
      </c>
      <c r="CE299" s="163">
        <v>43.1187881319103</v>
      </c>
      <c r="CF299" s="163">
        <v>-0.68961671080246134</v>
      </c>
      <c r="CG299" s="163">
        <v>276.53399999999999</v>
      </c>
      <c r="CH299" s="163">
        <v>42.515999999999998</v>
      </c>
      <c r="CI299" s="163">
        <v>11.705572267906827</v>
      </c>
      <c r="CJ299" s="163">
        <v>7.5333315051551608E-2</v>
      </c>
      <c r="CK299" s="163">
        <v>54.824360399817124</v>
      </c>
      <c r="CL299" s="163">
        <v>916.50900000000001</v>
      </c>
      <c r="CM299" s="163">
        <v>30.5503</v>
      </c>
      <c r="CN299" s="163">
        <v>667.89099999999996</v>
      </c>
      <c r="CO299" s="163">
        <v>42.110999999999997</v>
      </c>
      <c r="CP299" s="163">
        <v>43.724022350026019</v>
      </c>
      <c r="CQ299" s="163">
        <v>-8.4382492686742694E-2</v>
      </c>
      <c r="CR299" s="163">
        <v>351.61399999999998</v>
      </c>
      <c r="CS299" s="163">
        <v>37.386000000000003</v>
      </c>
      <c r="CT299" s="163">
        <v>11.5093468803907</v>
      </c>
      <c r="CU299" s="163">
        <v>-0.12089207246457612</v>
      </c>
      <c r="CV299" s="163">
        <v>55.23336923041672</v>
      </c>
      <c r="CW299" s="163"/>
      <c r="CX299" s="163">
        <v>0</v>
      </c>
      <c r="CY299" s="163">
        <v>0</v>
      </c>
      <c r="CZ299" s="163">
        <v>0</v>
      </c>
      <c r="DA299" s="163">
        <v>0</v>
      </c>
      <c r="DB299" s="163">
        <v>0</v>
      </c>
      <c r="DC299" s="163">
        <v>0</v>
      </c>
      <c r="DD299" s="163"/>
      <c r="DE299" s="163">
        <v>175.96</v>
      </c>
      <c r="DF299" s="163">
        <v>100.529</v>
      </c>
      <c r="DG299" s="163"/>
      <c r="DH299" s="163">
        <v>0.57131734485110253</v>
      </c>
      <c r="DI299" s="163">
        <v>146.18899999999999</v>
      </c>
      <c r="DJ299" s="163">
        <v>0.41540406910661509</v>
      </c>
      <c r="DK299" s="163">
        <v>136.809</v>
      </c>
      <c r="DL299" s="163">
        <v>132.411</v>
      </c>
      <c r="DM299" s="163">
        <v>3.214700787228908E-2</v>
      </c>
      <c r="DN299" s="163">
        <v>162.54400000000001</v>
      </c>
      <c r="DO299" s="163">
        <v>105.828</v>
      </c>
      <c r="DP299" s="163">
        <v>84.793000000000006</v>
      </c>
      <c r="DQ299" s="163">
        <v>190.62100000000001</v>
      </c>
      <c r="DR299" s="163">
        <v>0.98672141395771762</v>
      </c>
      <c r="DS299" s="163"/>
      <c r="DT299" s="163">
        <v>164.48400000000001</v>
      </c>
      <c r="DU299" s="163">
        <v>71.168999999999997</v>
      </c>
      <c r="DV299" s="163">
        <v>51.389000000000003</v>
      </c>
      <c r="DW299" s="163">
        <v>0.43268038228642297</v>
      </c>
      <c r="DX299" s="163">
        <v>44.386000000000003</v>
      </c>
      <c r="DY299" s="163">
        <v>0.13492497750541085</v>
      </c>
      <c r="DZ299" s="163">
        <v>49.442</v>
      </c>
      <c r="EA299" s="163">
        <v>47.889000000000003</v>
      </c>
      <c r="EB299" s="163">
        <v>3.141054164475543E-2</v>
      </c>
      <c r="EC299" s="163">
        <v>49.523000000000003</v>
      </c>
      <c r="ED299" s="163"/>
      <c r="EE299" s="163">
        <v>29.617000000000001</v>
      </c>
      <c r="EF299" s="163">
        <v>29.617000000000001</v>
      </c>
      <c r="EG299" s="163">
        <v>0.5676053597918338</v>
      </c>
    </row>
    <row r="300" spans="1:137" hidden="1">
      <c r="A300" s="157">
        <v>43405</v>
      </c>
      <c r="B300" s="163">
        <v>5343.0529999999999</v>
      </c>
      <c r="C300" s="163">
        <v>178.10176666666666</v>
      </c>
      <c r="D300" s="163">
        <v>11.14276666666666</v>
      </c>
      <c r="E300" s="163">
        <v>6.673953884885897E-2</v>
      </c>
      <c r="F300" s="163">
        <v>3889.3420000000001</v>
      </c>
      <c r="G300" s="163"/>
      <c r="H300" s="163"/>
      <c r="I300" s="163">
        <v>294.99599999999998</v>
      </c>
      <c r="J300" s="163">
        <v>43.675501628001818</v>
      </c>
      <c r="K300" s="163">
        <v>46.659840357189047</v>
      </c>
      <c r="L300" s="163">
        <v>-9.0159642810952789E-2</v>
      </c>
      <c r="M300" s="163">
        <v>265.75799999999998</v>
      </c>
      <c r="N300" s="163">
        <v>40.459000000000003</v>
      </c>
      <c r="O300" s="163">
        <v>2060.5630000000001</v>
      </c>
      <c r="P300" s="163">
        <v>1582.3630000000001</v>
      </c>
      <c r="Q300" s="163">
        <v>711.42100000000005</v>
      </c>
      <c r="R300" s="163">
        <v>417.721</v>
      </c>
      <c r="S300" s="163">
        <v>453.221</v>
      </c>
      <c r="T300" s="163">
        <v>317.91000000000003</v>
      </c>
      <c r="U300" s="163">
        <v>416.10000000000014</v>
      </c>
      <c r="V300" s="163">
        <v>0.28035815231782291</v>
      </c>
      <c r="W300" s="163">
        <v>11.569582034840382</v>
      </c>
      <c r="X300" s="163">
        <v>-7.0417965159618845E-2</v>
      </c>
      <c r="Y300" s="163">
        <v>58.229422392029427</v>
      </c>
      <c r="Z300" s="163">
        <v>1496.018</v>
      </c>
      <c r="AA300" s="163">
        <v>1456.902</v>
      </c>
      <c r="AB300" s="163">
        <v>2.6146744223665749E-2</v>
      </c>
      <c r="AC300" s="163"/>
      <c r="AD300" s="163"/>
      <c r="AE300" s="163"/>
      <c r="AF300" s="163"/>
      <c r="AH300" s="163"/>
      <c r="AI300" s="163">
        <v>636.22699999999998</v>
      </c>
      <c r="AJ300" s="163">
        <v>21.207566666666665</v>
      </c>
      <c r="AK300" s="163">
        <v>450.50799999999998</v>
      </c>
      <c r="AL300" s="163">
        <v>45.502000000000002</v>
      </c>
      <c r="AM300" s="163">
        <v>42.485590834717797</v>
      </c>
      <c r="AN300" s="163">
        <v>-1.1899107932840209</v>
      </c>
      <c r="AO300" s="163">
        <v>247.09299999999999</v>
      </c>
      <c r="AP300" s="163">
        <v>103.79645990725987</v>
      </c>
      <c r="AQ300" s="163">
        <v>11.651171673003503</v>
      </c>
      <c r="AR300" s="163">
        <v>8.1589638163121592E-2</v>
      </c>
      <c r="AS300" s="163">
        <v>54.136762507721301</v>
      </c>
      <c r="AT300" s="163">
        <v>1125.556</v>
      </c>
      <c r="AU300" s="163">
        <v>37.518533333333338</v>
      </c>
      <c r="AV300" s="163">
        <v>829.33500000000004</v>
      </c>
      <c r="AW300" s="163">
        <v>44.417000000000002</v>
      </c>
      <c r="AX300" s="163">
        <v>44.209350756426154</v>
      </c>
      <c r="AY300" s="163">
        <v>0.53384912842433607</v>
      </c>
      <c r="AZ300" s="163">
        <v>436.74900000000002</v>
      </c>
      <c r="BA300" s="163">
        <v>121.684</v>
      </c>
      <c r="BB300" s="163">
        <v>11.640886815049628</v>
      </c>
      <c r="BC300" s="163">
        <v>7.1304780209246132E-2</v>
      </c>
      <c r="BD300" s="163">
        <v>55.85023757147578</v>
      </c>
      <c r="BE300" s="163">
        <v>1233.2</v>
      </c>
      <c r="BF300" s="163">
        <v>41.106666666666669</v>
      </c>
      <c r="BG300" s="163">
        <v>896.32299999999998</v>
      </c>
      <c r="BH300" s="163">
        <v>72.766000000000005</v>
      </c>
      <c r="BI300" s="163">
        <v>43.609617255919552</v>
      </c>
      <c r="BJ300" s="163">
        <v>-6.5884372082265941E-2</v>
      </c>
      <c r="BK300" s="163">
        <v>478.06799999999998</v>
      </c>
      <c r="BL300" s="163">
        <v>168.14699999999999</v>
      </c>
      <c r="BM300" s="163">
        <v>11.629938371715861</v>
      </c>
      <c r="BN300" s="163">
        <v>6.0356336875479144E-2</v>
      </c>
      <c r="BO300" s="163">
        <v>55.239555627635411</v>
      </c>
      <c r="BP300" s="163">
        <v>722.44600000000003</v>
      </c>
      <c r="BQ300" s="163">
        <v>24.081533333333333</v>
      </c>
      <c r="BR300" s="163">
        <v>532.84900000000005</v>
      </c>
      <c r="BS300" s="163">
        <v>36.917000000000002</v>
      </c>
      <c r="BT300" s="163">
        <v>44.253743532388583</v>
      </c>
      <c r="BU300" s="163">
        <v>0.57824190438676482</v>
      </c>
      <c r="BV300" s="163">
        <v>272.74400000000003</v>
      </c>
      <c r="BW300" s="163">
        <v>238.11099999999999</v>
      </c>
      <c r="BX300" s="163">
        <v>11.325856880652672</v>
      </c>
      <c r="BY300" s="163">
        <v>-0.24372515418770924</v>
      </c>
      <c r="BZ300" s="163">
        <v>55.579600413041256</v>
      </c>
      <c r="CA300" s="163">
        <v>700.94799999999998</v>
      </c>
      <c r="CB300" s="163">
        <v>23.364933333333333</v>
      </c>
      <c r="CC300" s="163">
        <v>502.185</v>
      </c>
      <c r="CD300" s="163">
        <v>57.368000000000002</v>
      </c>
      <c r="CE300" s="163">
        <v>42.986212957309242</v>
      </c>
      <c r="CF300" s="163">
        <v>-0.68928867069257649</v>
      </c>
      <c r="CG300" s="163">
        <v>272.83800000000002</v>
      </c>
      <c r="CH300" s="163">
        <v>48.124000000000002</v>
      </c>
      <c r="CI300" s="163">
        <v>11.677242819724146</v>
      </c>
      <c r="CJ300" s="163">
        <v>0.10766078488376429</v>
      </c>
      <c r="CK300" s="163">
        <v>54.663455777033391</v>
      </c>
      <c r="CL300" s="163">
        <v>924.67600000000004</v>
      </c>
      <c r="CM300" s="163">
        <v>30.822533333333336</v>
      </c>
      <c r="CN300" s="163">
        <v>678.14200000000005</v>
      </c>
      <c r="CO300" s="163">
        <v>38.026000000000003</v>
      </c>
      <c r="CP300" s="163">
        <v>44.00300213263889</v>
      </c>
      <c r="CQ300" s="163">
        <v>0.32750050463707225</v>
      </c>
      <c r="CR300" s="163">
        <v>353.07100000000003</v>
      </c>
      <c r="CS300" s="163">
        <v>31.558540092740223</v>
      </c>
      <c r="CT300" s="163">
        <v>11.454963684577084</v>
      </c>
      <c r="CU300" s="163">
        <v>-0.11461835026329759</v>
      </c>
      <c r="CV300" s="163">
        <v>55.457965817215978</v>
      </c>
      <c r="CW300" s="163"/>
      <c r="CX300" s="163">
        <v>0</v>
      </c>
      <c r="CY300" s="163">
        <v>0</v>
      </c>
      <c r="CZ300" s="163">
        <v>0</v>
      </c>
      <c r="DA300" s="163">
        <v>0</v>
      </c>
      <c r="DB300" s="163">
        <v>0</v>
      </c>
      <c r="DC300" s="163">
        <v>0</v>
      </c>
      <c r="DD300" s="163"/>
      <c r="DE300" s="163">
        <v>161.50700000000001</v>
      </c>
      <c r="DF300" s="163">
        <v>92.915000000000006</v>
      </c>
      <c r="DG300" s="163"/>
      <c r="DH300" s="163">
        <v>0.57530014178951994</v>
      </c>
      <c r="DI300" s="163">
        <v>133.96899999999999</v>
      </c>
      <c r="DJ300" s="163">
        <v>0.41474672924393369</v>
      </c>
      <c r="DK300" s="163">
        <v>157.65299999999999</v>
      </c>
      <c r="DL300" s="163">
        <v>153.10300000000001</v>
      </c>
      <c r="DM300" s="163">
        <v>2.8860852632046186E-2</v>
      </c>
      <c r="DN300" s="163">
        <v>151.34200000000001</v>
      </c>
      <c r="DO300" s="163">
        <v>96.08</v>
      </c>
      <c r="DP300" s="163">
        <v>70.748000000000005</v>
      </c>
      <c r="DQ300" s="163">
        <v>166.828</v>
      </c>
      <c r="DR300" s="163">
        <v>0.99004687103345357</v>
      </c>
      <c r="DS300" s="163"/>
      <c r="DT300" s="163">
        <v>159.19800000000001</v>
      </c>
      <c r="DU300" s="163">
        <v>65.712999999999994</v>
      </c>
      <c r="DV300" s="163">
        <v>45.378999999999998</v>
      </c>
      <c r="DW300" s="163">
        <v>0.4127752861216849</v>
      </c>
      <c r="DX300" s="163">
        <v>44.709000000000003</v>
      </c>
      <c r="DY300" s="163">
        <v>0.14041947763162854</v>
      </c>
      <c r="DZ300" s="163">
        <v>50.636000000000003</v>
      </c>
      <c r="EA300" s="163">
        <v>48.8</v>
      </c>
      <c r="EB300" s="163">
        <v>3.6258788213919035E-2</v>
      </c>
      <c r="EC300" s="163">
        <v>50.048999999999999</v>
      </c>
      <c r="ED300" s="163"/>
      <c r="EE300" s="163">
        <v>29.347999999999999</v>
      </c>
      <c r="EF300" s="163">
        <v>29.347999999999999</v>
      </c>
      <c r="EG300" s="163">
        <v>0.55319476375331345</v>
      </c>
    </row>
    <row r="301" spans="1:137" hidden="1">
      <c r="A301" s="157">
        <v>43435</v>
      </c>
      <c r="B301" s="163">
        <v>5513.2659999999996</v>
      </c>
      <c r="C301" s="163">
        <v>183.77553333333333</v>
      </c>
      <c r="D301" s="163">
        <v>12.016533333333342</v>
      </c>
      <c r="E301" s="163">
        <v>6.996159347302533E-2</v>
      </c>
      <c r="F301" s="163">
        <v>4016.547</v>
      </c>
      <c r="G301" s="163"/>
      <c r="H301" s="163"/>
      <c r="I301" s="163">
        <v>394.44400000000002</v>
      </c>
      <c r="J301" s="163">
        <v>43.711444359840428</v>
      </c>
      <c r="K301" s="163">
        <v>46.749291617708998</v>
      </c>
      <c r="L301" s="163">
        <v>-3.0708382291003034E-2</v>
      </c>
      <c r="M301" s="163">
        <v>279.14100000000002</v>
      </c>
      <c r="N301" s="163">
        <v>40.661999999999999</v>
      </c>
      <c r="O301" s="163">
        <v>2135.37</v>
      </c>
      <c r="P301" s="163">
        <v>1601.77</v>
      </c>
      <c r="Q301" s="163">
        <v>712.20699999999999</v>
      </c>
      <c r="R301" s="163">
        <v>419.60399999999998</v>
      </c>
      <c r="S301" s="163">
        <v>469.959</v>
      </c>
      <c r="T301" s="163">
        <v>344.07799999999997</v>
      </c>
      <c r="U301" s="163">
        <v>447.78800000000001</v>
      </c>
      <c r="V301" s="163">
        <v>0.29891192609107775</v>
      </c>
      <c r="W301" s="163">
        <v>11.619446622020414</v>
      </c>
      <c r="X301" s="163">
        <v>-7.0553377979585719E-2</v>
      </c>
      <c r="Y301" s="163">
        <v>58.36873823972941</v>
      </c>
      <c r="Z301" s="163">
        <v>1479.059</v>
      </c>
      <c r="AA301" s="163">
        <v>1451.0260000000001</v>
      </c>
      <c r="AB301" s="163">
        <v>1.8953266908216578E-2</v>
      </c>
      <c r="AC301" s="163"/>
      <c r="AD301" s="163"/>
      <c r="AE301" s="163"/>
      <c r="AF301" s="163"/>
      <c r="AH301" s="163"/>
      <c r="AI301" s="163">
        <v>675.14099999999996</v>
      </c>
      <c r="AJ301" s="163">
        <v>22.5047</v>
      </c>
      <c r="AK301" s="163">
        <v>483.11900000000003</v>
      </c>
      <c r="AL301" s="163">
        <v>64.375</v>
      </c>
      <c r="AM301" s="163">
        <v>42.934942478682231</v>
      </c>
      <c r="AN301" s="163">
        <v>-0.77650188115819674</v>
      </c>
      <c r="AO301" s="163">
        <v>272.12700000000001</v>
      </c>
      <c r="AP301" s="163">
        <v>103.77397558013344</v>
      </c>
      <c r="AQ301" s="163">
        <v>12.092007447333224</v>
      </c>
      <c r="AR301" s="163">
        <v>0.47256082531280974</v>
      </c>
      <c r="AS301" s="163">
        <v>55.026949926015455</v>
      </c>
      <c r="AT301" s="163">
        <v>1179.4359999999999</v>
      </c>
      <c r="AU301" s="163">
        <v>39.31453333333333</v>
      </c>
      <c r="AV301" s="163">
        <v>863.90499999999997</v>
      </c>
      <c r="AW301" s="163">
        <v>55.143000000000001</v>
      </c>
      <c r="AX301" s="163">
        <v>43.948378716606925</v>
      </c>
      <c r="AY301" s="163">
        <v>0.23693435676649699</v>
      </c>
      <c r="AZ301" s="163">
        <v>456.423</v>
      </c>
      <c r="BA301" s="163">
        <v>130.16499999999999</v>
      </c>
      <c r="BB301" s="163">
        <v>11.609523534977736</v>
      </c>
      <c r="BC301" s="163">
        <v>-9.9230870426776363E-3</v>
      </c>
      <c r="BD301" s="163">
        <v>55.557902251584665</v>
      </c>
      <c r="BE301" s="163">
        <v>1279.9469999999999</v>
      </c>
      <c r="BF301" s="163">
        <v>42.664899999999996</v>
      </c>
      <c r="BG301" s="163">
        <v>932.67499999999995</v>
      </c>
      <c r="BH301" s="163">
        <v>77.385000000000005</v>
      </c>
      <c r="BI301" s="163">
        <v>43.720950945625091</v>
      </c>
      <c r="BJ301" s="163">
        <v>9.5065857846634572E-3</v>
      </c>
      <c r="BK301" s="163">
        <v>496.43299999999999</v>
      </c>
      <c r="BL301" s="163">
        <v>188.84399999999999</v>
      </c>
      <c r="BM301" s="163">
        <v>11.635630225314017</v>
      </c>
      <c r="BN301" s="163">
        <v>1.6183603293603355E-2</v>
      </c>
      <c r="BO301" s="163">
        <v>55.356581170939108</v>
      </c>
      <c r="BP301" s="163">
        <v>755.40099999999995</v>
      </c>
      <c r="BQ301" s="163">
        <v>25.180033333333331</v>
      </c>
      <c r="BR301" s="163">
        <v>556.48500000000001</v>
      </c>
      <c r="BS301" s="163">
        <v>57.893999999999998</v>
      </c>
      <c r="BT301" s="163">
        <v>44.200497484117712</v>
      </c>
      <c r="BU301" s="163">
        <v>0.48905312427728376</v>
      </c>
      <c r="BV301" s="163">
        <v>285.74299999999999</v>
      </c>
      <c r="BW301" s="163">
        <v>219.994</v>
      </c>
      <c r="BX301" s="163">
        <v>11.347999274557488</v>
      </c>
      <c r="BY301" s="163">
        <v>-0.2714473474629262</v>
      </c>
      <c r="BZ301" s="163">
        <v>55.548496758675199</v>
      </c>
      <c r="CA301" s="163">
        <v>668.33299999999997</v>
      </c>
      <c r="CB301" s="163">
        <v>22.277766666666665</v>
      </c>
      <c r="CC301" s="163">
        <v>479.88299999999998</v>
      </c>
      <c r="CD301" s="163">
        <v>74.584999999999994</v>
      </c>
      <c r="CE301" s="163">
        <v>43.081787073210513</v>
      </c>
      <c r="CF301" s="163">
        <v>-0.62965728662991438</v>
      </c>
      <c r="CG301" s="163">
        <v>260.72899999999998</v>
      </c>
      <c r="CH301" s="163">
        <v>43.64</v>
      </c>
      <c r="CI301" s="163">
        <v>11.70355197184637</v>
      </c>
      <c r="CJ301" s="163">
        <v>8.4105349825955855E-2</v>
      </c>
      <c r="CK301" s="163">
        <v>54.785339045056887</v>
      </c>
      <c r="CL301" s="163">
        <v>955.00800000000004</v>
      </c>
      <c r="CM301" s="163">
        <v>31.833600000000001</v>
      </c>
      <c r="CN301" s="163">
        <v>700.48</v>
      </c>
      <c r="CO301" s="163">
        <v>65.061999999999998</v>
      </c>
      <c r="CP301" s="163">
        <v>44.00884599919582</v>
      </c>
      <c r="CQ301" s="163">
        <v>0.29740163935539243</v>
      </c>
      <c r="CR301" s="163">
        <v>363.91500000000002</v>
      </c>
      <c r="CS301" s="163">
        <v>25.790024419866612</v>
      </c>
      <c r="CT301" s="163">
        <v>11.431789053075995</v>
      </c>
      <c r="CU301" s="163">
        <v>-0.18765756894441843</v>
      </c>
      <c r="CV301" s="163">
        <v>55.440635052271816</v>
      </c>
      <c r="CW301" s="163"/>
      <c r="CX301" s="163">
        <v>0</v>
      </c>
      <c r="CY301" s="163">
        <v>0</v>
      </c>
      <c r="CZ301" s="163">
        <v>0</v>
      </c>
      <c r="DA301" s="163">
        <v>0</v>
      </c>
      <c r="DB301" s="163">
        <v>0</v>
      </c>
      <c r="DC301" s="163">
        <v>0</v>
      </c>
      <c r="DD301" s="163"/>
      <c r="DE301" s="163">
        <v>156.703</v>
      </c>
      <c r="DF301" s="163">
        <v>90.257000000000005</v>
      </c>
      <c r="DG301" s="163"/>
      <c r="DH301" s="163">
        <v>0.57597493347287543</v>
      </c>
      <c r="DI301" s="163">
        <v>134.38499999999999</v>
      </c>
      <c r="DJ301" s="163">
        <v>0.4287888553505676</v>
      </c>
      <c r="DK301" s="163">
        <v>130.35900000000001</v>
      </c>
      <c r="DL301" s="163">
        <v>127.271</v>
      </c>
      <c r="DM301" s="163">
        <v>2.3688429644290077E-2</v>
      </c>
      <c r="DN301" s="163">
        <v>145.845</v>
      </c>
      <c r="DO301" s="163">
        <v>107.71599999999999</v>
      </c>
      <c r="DP301" s="163">
        <v>100.815</v>
      </c>
      <c r="DQ301" s="163">
        <v>208.53100000000001</v>
      </c>
      <c r="DR301" s="163">
        <v>1.0047637888234431</v>
      </c>
      <c r="DS301" s="163"/>
      <c r="DT301" s="163">
        <v>164.636</v>
      </c>
      <c r="DU301" s="163">
        <v>72.578999999999994</v>
      </c>
      <c r="DV301" s="163">
        <v>39.731000000000002</v>
      </c>
      <c r="DW301" s="163">
        <v>0.44084525863116203</v>
      </c>
      <c r="DX301" s="163">
        <v>40.866999999999997</v>
      </c>
      <c r="DY301" s="163">
        <v>0.12411319516995067</v>
      </c>
      <c r="DZ301" s="163">
        <v>45.709000000000003</v>
      </c>
      <c r="EA301" s="163">
        <v>44.161999999999999</v>
      </c>
      <c r="EB301" s="163">
        <v>3.3844538274738101E-2</v>
      </c>
      <c r="EC301" s="163">
        <v>45.265999999999998</v>
      </c>
      <c r="ED301" s="163"/>
      <c r="EE301" s="163">
        <v>31.420999999999999</v>
      </c>
      <c r="EF301" s="163">
        <v>31.420999999999999</v>
      </c>
      <c r="EG301" s="163">
        <v>0.56495845380111276</v>
      </c>
    </row>
    <row r="302" spans="1:137" hidden="1">
      <c r="A302" s="157">
        <v>43466</v>
      </c>
      <c r="B302" s="163">
        <v>5492.1270000000004</v>
      </c>
      <c r="C302" s="163">
        <v>183.07090000000002</v>
      </c>
      <c r="D302" s="163">
        <v>11.440900000000028</v>
      </c>
      <c r="E302" s="163">
        <v>6.6660257530734901E-2</v>
      </c>
      <c r="F302" s="163">
        <v>3988.7370000000001</v>
      </c>
      <c r="G302" s="163"/>
      <c r="H302" s="163"/>
      <c r="I302" s="163">
        <v>380.22399999999999</v>
      </c>
      <c r="J302" s="163">
        <v>43.575871424677537</v>
      </c>
      <c r="K302" s="163">
        <v>46.643163932662148</v>
      </c>
      <c r="L302" s="163">
        <v>-4.683606733784984E-2</v>
      </c>
      <c r="M302" s="163">
        <v>280.76600000000002</v>
      </c>
      <c r="N302" s="163">
        <v>39.576999999999998</v>
      </c>
      <c r="O302" s="163">
        <v>2115.799</v>
      </c>
      <c r="P302" s="163">
        <v>1659.501</v>
      </c>
      <c r="Q302" s="163">
        <v>795.88199999999995</v>
      </c>
      <c r="R302" s="163">
        <v>438.97399999999999</v>
      </c>
      <c r="S302" s="163">
        <v>424.64499999999998</v>
      </c>
      <c r="T302" s="163">
        <v>345.22699999999998</v>
      </c>
      <c r="U302" s="163">
        <v>455.55899999999997</v>
      </c>
      <c r="V302" s="163">
        <v>0.29406668994796559</v>
      </c>
      <c r="W302" s="163">
        <v>11.557265518441215</v>
      </c>
      <c r="X302" s="163">
        <v>-5.2734481558784907E-2</v>
      </c>
      <c r="Y302" s="163">
        <v>58.200429451103361</v>
      </c>
      <c r="Z302" s="163">
        <v>1425.415</v>
      </c>
      <c r="AA302" s="163">
        <v>1397.8050000000001</v>
      </c>
      <c r="AB302" s="163">
        <v>1.9369797567725822E-2</v>
      </c>
      <c r="AC302" s="163"/>
      <c r="AD302" s="163"/>
      <c r="AE302" s="163"/>
      <c r="AF302" s="163"/>
      <c r="AH302" s="163"/>
      <c r="AI302" s="163">
        <v>684.58100000000002</v>
      </c>
      <c r="AJ302" s="163">
        <v>22.819366666666667</v>
      </c>
      <c r="AK302" s="163">
        <v>486.99</v>
      </c>
      <c r="AL302" s="163">
        <v>98.116</v>
      </c>
      <c r="AM302" s="163">
        <v>42.682166171716716</v>
      </c>
      <c r="AN302" s="163">
        <v>-0.89370525296082093</v>
      </c>
      <c r="AO302" s="163">
        <v>269.32499999999999</v>
      </c>
      <c r="AP302" s="163">
        <v>129.64500000000001</v>
      </c>
      <c r="AQ302" s="163">
        <v>11.80247479845336</v>
      </c>
      <c r="AR302" s="163">
        <v>0.24520928001214592</v>
      </c>
      <c r="AS302" s="163">
        <v>54.484640970170076</v>
      </c>
      <c r="AT302" s="163">
        <v>1141.7439999999999</v>
      </c>
      <c r="AU302" s="163">
        <v>38.05813333333333</v>
      </c>
      <c r="AV302" s="163">
        <v>839.24400000000003</v>
      </c>
      <c r="AW302" s="163">
        <v>45.253</v>
      </c>
      <c r="AX302" s="163">
        <v>44.10326658165053</v>
      </c>
      <c r="AY302" s="163">
        <v>0.52739515697299311</v>
      </c>
      <c r="AZ302" s="163">
        <v>442.54300000000001</v>
      </c>
      <c r="BA302" s="163">
        <v>163.529</v>
      </c>
      <c r="BB302" s="163">
        <v>11.628079499432449</v>
      </c>
      <c r="BC302" s="163">
        <v>7.081398099123426E-2</v>
      </c>
      <c r="BD302" s="163">
        <v>55.731346081082975</v>
      </c>
      <c r="BE302" s="163">
        <v>1294.8800000000001</v>
      </c>
      <c r="BF302" s="163">
        <v>43.162666666666674</v>
      </c>
      <c r="BG302" s="163">
        <v>940.01</v>
      </c>
      <c r="BH302" s="163">
        <v>97.462000000000003</v>
      </c>
      <c r="BI302" s="163">
        <v>43.556623007537368</v>
      </c>
      <c r="BJ302" s="163">
        <v>-1.9248417140168783E-2</v>
      </c>
      <c r="BK302" s="163">
        <v>502.92099999999999</v>
      </c>
      <c r="BL302" s="163">
        <v>199.74799999999999</v>
      </c>
      <c r="BM302" s="163">
        <v>11.651759236377114</v>
      </c>
      <c r="BN302" s="163">
        <v>9.4493717935899113E-2</v>
      </c>
      <c r="BO302" s="163">
        <v>55.208382243914485</v>
      </c>
      <c r="BP302" s="163">
        <v>730.05799999999999</v>
      </c>
      <c r="BQ302" s="163">
        <v>24.335266666666666</v>
      </c>
      <c r="BR302" s="163">
        <v>540.24699999999996</v>
      </c>
      <c r="BS302" s="163">
        <v>36.195999999999998</v>
      </c>
      <c r="BT302" s="163">
        <v>44.400335315824222</v>
      </c>
      <c r="BU302" s="163">
        <v>0.82446389114668506</v>
      </c>
      <c r="BV302" s="163">
        <v>276.47800000000001</v>
      </c>
      <c r="BW302" s="163">
        <v>214.81700000000001</v>
      </c>
      <c r="BX302" s="163">
        <v>11.36120691780653</v>
      </c>
      <c r="BY302" s="163">
        <v>-0.19605860063468405</v>
      </c>
      <c r="BZ302" s="163">
        <v>55.761542233630749</v>
      </c>
      <c r="CA302" s="163">
        <v>696.36199999999997</v>
      </c>
      <c r="CB302" s="163">
        <v>23.212066666666665</v>
      </c>
      <c r="CC302" s="163">
        <v>492.97</v>
      </c>
      <c r="CD302" s="163">
        <v>52.825000000000003</v>
      </c>
      <c r="CE302" s="163">
        <v>42.475321743575904</v>
      </c>
      <c r="CF302" s="163">
        <v>-1.1005496811016329</v>
      </c>
      <c r="CG302" s="163">
        <v>269.221</v>
      </c>
      <c r="CH302" s="163">
        <v>48.335000000000001</v>
      </c>
      <c r="CI302" s="163">
        <v>11.598320988221644</v>
      </c>
      <c r="CJ302" s="163">
        <v>4.1055469780429732E-2</v>
      </c>
      <c r="CK302" s="163">
        <v>54.073642731797548</v>
      </c>
      <c r="CL302" s="163">
        <v>944.50199999999995</v>
      </c>
      <c r="CM302" s="163">
        <v>31.4834</v>
      </c>
      <c r="CN302" s="163">
        <v>689.27599999999995</v>
      </c>
      <c r="CO302" s="163">
        <v>50.372</v>
      </c>
      <c r="CP302" s="163">
        <v>43.78663041475825</v>
      </c>
      <c r="CQ302" s="163">
        <v>0.21075899008071275</v>
      </c>
      <c r="CR302" s="163">
        <v>355.31099999999998</v>
      </c>
      <c r="CS302" s="163">
        <v>39.808</v>
      </c>
      <c r="CT302" s="163">
        <v>11.285661650266489</v>
      </c>
      <c r="CU302" s="163">
        <v>-0.2716038681747257</v>
      </c>
      <c r="CV302" s="163">
        <v>55.07229206502474</v>
      </c>
      <c r="CW302" s="163"/>
      <c r="CX302" s="163">
        <v>0</v>
      </c>
      <c r="CY302" s="163">
        <v>0</v>
      </c>
      <c r="CZ302" s="163">
        <v>0</v>
      </c>
      <c r="DA302" s="163">
        <v>0</v>
      </c>
      <c r="DB302" s="163">
        <v>0</v>
      </c>
      <c r="DC302" s="163">
        <v>0</v>
      </c>
      <c r="DD302" s="163"/>
      <c r="DE302" s="163">
        <v>162.631</v>
      </c>
      <c r="DF302" s="163">
        <v>91.447000000000003</v>
      </c>
      <c r="DG302" s="163"/>
      <c r="DH302" s="163">
        <v>0.56229747096187077</v>
      </c>
      <c r="DI302" s="163">
        <v>135.572</v>
      </c>
      <c r="DJ302" s="163">
        <v>0.41680860352577309</v>
      </c>
      <c r="DK302" s="163">
        <v>128.94900000000001</v>
      </c>
      <c r="DL302" s="163">
        <v>124.273</v>
      </c>
      <c r="DM302" s="163">
        <v>3.6262398312511324E-2</v>
      </c>
      <c r="DN302" s="163">
        <v>138.584</v>
      </c>
      <c r="DO302" s="163">
        <v>100.172</v>
      </c>
      <c r="DP302" s="163">
        <v>96.91</v>
      </c>
      <c r="DQ302" s="163">
        <v>197.08199999999999</v>
      </c>
      <c r="DR302" s="163">
        <v>0.97910607448764386</v>
      </c>
      <c r="DS302" s="163"/>
      <c r="DT302" s="163">
        <v>167.64400000000001</v>
      </c>
      <c r="DU302" s="163">
        <v>79.972999999999999</v>
      </c>
      <c r="DV302" s="163">
        <v>37.159999999999997</v>
      </c>
      <c r="DW302" s="163">
        <v>0.47704063372384337</v>
      </c>
      <c r="DX302" s="163">
        <v>48.265999999999998</v>
      </c>
      <c r="DY302" s="163">
        <v>0.14395385459664525</v>
      </c>
      <c r="DZ302" s="163">
        <v>51.521000000000001</v>
      </c>
      <c r="EA302" s="163">
        <v>49.951999999999998</v>
      </c>
      <c r="EB302" s="163">
        <v>3.0453601444071388E-2</v>
      </c>
      <c r="EC302" s="163">
        <v>50.485999999999997</v>
      </c>
      <c r="ED302" s="163">
        <v>50.366</v>
      </c>
      <c r="EE302" s="163">
        <v>27.100999999999999</v>
      </c>
      <c r="EF302" s="163">
        <v>77.466999999999999</v>
      </c>
      <c r="EG302" s="163">
        <v>0.62099448832048865</v>
      </c>
    </row>
    <row r="303" spans="1:137" hidden="1">
      <c r="A303" s="157">
        <v>43497</v>
      </c>
      <c r="B303" s="163">
        <v>4883.4340000000002</v>
      </c>
      <c r="C303" s="163">
        <v>162.78113333333334</v>
      </c>
      <c r="D303" s="163">
        <v>8.2831333333333532</v>
      </c>
      <c r="E303" s="163">
        <v>5.3613207506461924E-2</v>
      </c>
      <c r="F303" s="163">
        <v>3583.2220000000002</v>
      </c>
      <c r="G303" s="163"/>
      <c r="H303" s="163"/>
      <c r="I303" s="163">
        <v>263.51499999999999</v>
      </c>
      <c r="J303" s="163">
        <v>44.02502828951922</v>
      </c>
      <c r="K303" s="163">
        <v>47.138349775997789</v>
      </c>
      <c r="L303" s="163">
        <v>0.16834977599778966</v>
      </c>
      <c r="M303" s="163">
        <v>253.39500000000001</v>
      </c>
      <c r="N303" s="163">
        <v>31.364000000000001</v>
      </c>
      <c r="O303" s="163">
        <v>1899.1959999999999</v>
      </c>
      <c r="P303" s="163">
        <v>1762.9649999999999</v>
      </c>
      <c r="Q303" s="163">
        <v>851.70399999999995</v>
      </c>
      <c r="R303" s="163">
        <v>410.14982166206903</v>
      </c>
      <c r="S303" s="163">
        <v>501.11117833793094</v>
      </c>
      <c r="T303" s="163">
        <v>386.16500000000002</v>
      </c>
      <c r="U303" s="163">
        <v>397.2650000000001</v>
      </c>
      <c r="V303" s="163">
        <v>0.2267669027008361</v>
      </c>
      <c r="W303" s="163">
        <v>11.667175188607033</v>
      </c>
      <c r="X303" s="163">
        <v>-2.2824811392966993E-2</v>
      </c>
      <c r="Y303" s="163">
        <v>58.805524964604821</v>
      </c>
      <c r="Z303" s="163">
        <v>1317.633</v>
      </c>
      <c r="AA303" s="163">
        <v>1287.932</v>
      </c>
      <c r="AB303" s="163">
        <v>2.2541178006318923E-2</v>
      </c>
      <c r="AC303" s="163"/>
      <c r="AD303" s="163"/>
      <c r="AE303" s="163"/>
      <c r="AF303" s="163"/>
      <c r="AH303" s="163"/>
      <c r="AI303" s="163">
        <v>590.48299999999995</v>
      </c>
      <c r="AJ303" s="163">
        <v>19.682766666666666</v>
      </c>
      <c r="AK303" s="163">
        <v>422.96899999999999</v>
      </c>
      <c r="AL303" s="163">
        <v>51.57</v>
      </c>
      <c r="AM303" s="163">
        <v>42.978612424066398</v>
      </c>
      <c r="AN303" s="163">
        <v>-1.0464158654528219</v>
      </c>
      <c r="AO303" s="163">
        <v>237.892</v>
      </c>
      <c r="AP303" s="163">
        <v>136.40700000000001</v>
      </c>
      <c r="AQ303" s="163">
        <v>12.086309004662285</v>
      </c>
      <c r="AR303" s="163">
        <v>0.41913381605525224</v>
      </c>
      <c r="AS303" s="163">
        <v>55.064921428728681</v>
      </c>
      <c r="AT303" s="163">
        <v>1018.7</v>
      </c>
      <c r="AU303" s="163">
        <v>33.956666666666671</v>
      </c>
      <c r="AV303" s="163">
        <v>751.98299999999995</v>
      </c>
      <c r="AW303" s="163">
        <v>35.372999999999998</v>
      </c>
      <c r="AX303" s="163">
        <v>44.290743103956011</v>
      </c>
      <c r="AY303" s="163">
        <v>0.2657148144367909</v>
      </c>
      <c r="AZ303" s="163">
        <v>395.43200000000002</v>
      </c>
      <c r="BA303" s="163">
        <v>184.517</v>
      </c>
      <c r="BB303" s="163">
        <v>11.64519485618926</v>
      </c>
      <c r="BC303" s="163">
        <v>-2.198033241777253E-2</v>
      </c>
      <c r="BD303" s="163">
        <v>55.935937960145267</v>
      </c>
      <c r="BE303" s="163">
        <v>1162.4860000000001</v>
      </c>
      <c r="BF303" s="163">
        <v>38.749533333333339</v>
      </c>
      <c r="BG303" s="163">
        <v>848.29300000000001</v>
      </c>
      <c r="BH303" s="163">
        <v>67.968999999999994</v>
      </c>
      <c r="BI303" s="163">
        <v>43.783391799987264</v>
      </c>
      <c r="BJ303" s="163">
        <v>-0.24163648953195604</v>
      </c>
      <c r="BK303" s="163">
        <v>444.84</v>
      </c>
      <c r="BL303" s="163">
        <v>217.63800000000001</v>
      </c>
      <c r="BM303" s="163">
        <v>11.47988018780441</v>
      </c>
      <c r="BN303" s="163">
        <v>-0.18729500080262262</v>
      </c>
      <c r="BO303" s="163">
        <v>55.263271987791676</v>
      </c>
      <c r="BP303" s="163">
        <v>633.55799999999999</v>
      </c>
      <c r="BQ303" s="163">
        <v>21.118600000000001</v>
      </c>
      <c r="BR303" s="163">
        <v>465.846</v>
      </c>
      <c r="BS303" s="163">
        <v>34.125</v>
      </c>
      <c r="BT303" s="163">
        <v>44.117128976352596</v>
      </c>
      <c r="BU303" s="163">
        <v>9.2100686833376244E-2</v>
      </c>
      <c r="BV303" s="163">
        <v>239.732</v>
      </c>
      <c r="BW303" s="163">
        <v>210.66300000000001</v>
      </c>
      <c r="BX303" s="163">
        <v>11.351699449774133</v>
      </c>
      <c r="BY303" s="163">
        <v>-0.31547573883289992</v>
      </c>
      <c r="BZ303" s="163">
        <v>55.468828426126727</v>
      </c>
      <c r="CA303" s="163">
        <v>645.697</v>
      </c>
      <c r="CB303" s="163">
        <v>21.523233333333334</v>
      </c>
      <c r="CC303" s="163">
        <v>462.72399999999999</v>
      </c>
      <c r="CD303" s="163">
        <v>42.847000000000001</v>
      </c>
      <c r="CE303" s="163">
        <v>42.997628918827253</v>
      </c>
      <c r="CF303" s="163">
        <v>-1.0273993706919669</v>
      </c>
      <c r="CG303" s="163">
        <v>250.88900000000001</v>
      </c>
      <c r="CH303" s="163">
        <v>50.011979599342958</v>
      </c>
      <c r="CI303" s="163">
        <v>11.656659392873127</v>
      </c>
      <c r="CJ303" s="163">
        <v>-1.0515795733905264E-2</v>
      </c>
      <c r="CK303" s="163">
        <v>54.654288311700384</v>
      </c>
      <c r="CL303" s="163">
        <v>832.51</v>
      </c>
      <c r="CM303" s="163">
        <v>27.750333333333334</v>
      </c>
      <c r="CN303" s="163">
        <v>631.40700000000004</v>
      </c>
      <c r="CO303" s="163">
        <v>31.631</v>
      </c>
      <c r="CP303" s="163">
        <v>45.506264189018751</v>
      </c>
      <c r="CQ303" s="163">
        <v>1.4812358994995307</v>
      </c>
      <c r="CR303" s="163">
        <v>330.411</v>
      </c>
      <c r="CS303" s="163">
        <v>52.46702040065697</v>
      </c>
      <c r="CT303" s="163">
        <v>11.906559680964794</v>
      </c>
      <c r="CU303" s="163">
        <v>0.23938449235776105</v>
      </c>
      <c r="CV303" s="163">
        <v>57.412823869983541</v>
      </c>
      <c r="CW303" s="163"/>
      <c r="CX303" s="163">
        <v>-2.8421709430404007E-14</v>
      </c>
      <c r="CY303" s="163">
        <v>0</v>
      </c>
      <c r="CZ303" s="163">
        <v>0</v>
      </c>
      <c r="DA303" s="163">
        <v>0</v>
      </c>
      <c r="DB303" s="163">
        <v>0</v>
      </c>
      <c r="DC303" s="163">
        <v>0</v>
      </c>
      <c r="DD303" s="163"/>
      <c r="DE303" s="163">
        <v>136.42099999999999</v>
      </c>
      <c r="DF303" s="163">
        <v>78.564999999999998</v>
      </c>
      <c r="DG303" s="163"/>
      <c r="DH303" s="163">
        <v>0.57590107094948728</v>
      </c>
      <c r="DI303" s="163">
        <v>115.595</v>
      </c>
      <c r="DJ303" s="163">
        <v>0.42367010944062866</v>
      </c>
      <c r="DK303" s="163">
        <v>105.717</v>
      </c>
      <c r="DL303" s="163">
        <v>102.151</v>
      </c>
      <c r="DM303" s="163">
        <v>3.3731566351674735E-2</v>
      </c>
      <c r="DN303" s="163">
        <v>138.636</v>
      </c>
      <c r="DO303" s="163">
        <v>97.983000000000004</v>
      </c>
      <c r="DP303" s="163">
        <v>99.974999999999994</v>
      </c>
      <c r="DQ303" s="163">
        <v>197.958</v>
      </c>
      <c r="DR303" s="163">
        <v>0.99957118039011594</v>
      </c>
      <c r="DS303" s="163"/>
      <c r="DT303" s="163">
        <v>136.983</v>
      </c>
      <c r="DU303" s="163">
        <v>66.168000000000006</v>
      </c>
      <c r="DV303" s="163">
        <v>39.683999999999997</v>
      </c>
      <c r="DW303" s="163">
        <v>0.48303804121679333</v>
      </c>
      <c r="DX303" s="163">
        <v>35.152999999999999</v>
      </c>
      <c r="DY303" s="163">
        <v>0.12831154230816963</v>
      </c>
      <c r="DZ303" s="163">
        <v>38.223999999999997</v>
      </c>
      <c r="EA303" s="163">
        <v>36.862000000000002</v>
      </c>
      <c r="EB303" s="163">
        <v>3.563206362494753E-2</v>
      </c>
      <c r="EC303" s="163">
        <v>40.860999999999997</v>
      </c>
      <c r="ED303" s="163">
        <v>40</v>
      </c>
      <c r="EE303" s="163">
        <v>28.123000000000001</v>
      </c>
      <c r="EF303" s="163">
        <v>68.123000000000005</v>
      </c>
      <c r="EG303" s="163">
        <v>0.61134958352496294</v>
      </c>
    </row>
    <row r="304" spans="1:137" hidden="1">
      <c r="A304" s="157">
        <v>43525</v>
      </c>
      <c r="B304" s="163">
        <v>5383.0079999999998</v>
      </c>
      <c r="C304" s="163">
        <v>179.43359999999998</v>
      </c>
      <c r="D304" s="163">
        <v>9.4225999999999885</v>
      </c>
      <c r="E304" s="163">
        <v>5.5423472598831847E-2</v>
      </c>
      <c r="F304" s="163">
        <v>3926.558</v>
      </c>
      <c r="G304" s="163"/>
      <c r="H304" s="163"/>
      <c r="I304" s="163">
        <v>465.15899999999999</v>
      </c>
      <c r="J304" s="163">
        <v>43.766139675066434</v>
      </c>
      <c r="K304" s="163">
        <v>46.823092219071576</v>
      </c>
      <c r="L304" s="163">
        <v>-9.690778092842578E-2</v>
      </c>
      <c r="M304" s="163">
        <v>274.26</v>
      </c>
      <c r="N304" s="163">
        <v>44.933999999999997</v>
      </c>
      <c r="O304" s="163">
        <v>2094.4180000000001</v>
      </c>
      <c r="P304" s="163">
        <v>1893.9179999999999</v>
      </c>
      <c r="Q304" s="163">
        <v>942.47699999999998</v>
      </c>
      <c r="R304" s="163">
        <v>443.56929671052995</v>
      </c>
      <c r="S304" s="163">
        <v>507.87170328946996</v>
      </c>
      <c r="T304" s="163">
        <v>339.01100000000002</v>
      </c>
      <c r="U304" s="163">
        <v>472.33100000000013</v>
      </c>
      <c r="V304" s="163">
        <v>0.26827873256700285</v>
      </c>
      <c r="W304" s="163">
        <v>11.672384659283436</v>
      </c>
      <c r="X304" s="163">
        <v>-8.761534071656385E-2</v>
      </c>
      <c r="Y304" s="163">
        <v>58.495476878355014</v>
      </c>
      <c r="Z304" s="163">
        <v>1443.0989999999999</v>
      </c>
      <c r="AA304" s="163">
        <v>1413.729</v>
      </c>
      <c r="AB304" s="163">
        <v>2.035203406003323E-2</v>
      </c>
      <c r="AC304" s="163"/>
      <c r="AD304" s="163"/>
      <c r="AE304" s="163"/>
      <c r="AF304" s="163"/>
      <c r="AH304" s="163"/>
      <c r="AI304" s="163">
        <v>687.76599999999996</v>
      </c>
      <c r="AJ304" s="163">
        <v>22.92553333333333</v>
      </c>
      <c r="AK304" s="163">
        <v>497.495</v>
      </c>
      <c r="AL304" s="163">
        <v>85.134</v>
      </c>
      <c r="AM304" s="163">
        <v>43.400953231186193</v>
      </c>
      <c r="AN304" s="163">
        <v>-0.36518644388024057</v>
      </c>
      <c r="AO304" s="163">
        <v>278.846</v>
      </c>
      <c r="AP304" s="163">
        <v>185.655</v>
      </c>
      <c r="AQ304" s="163">
        <v>12.163119433062992</v>
      </c>
      <c r="AR304" s="163">
        <v>0.49073477377955577</v>
      </c>
      <c r="AS304" s="163">
        <v>55.564072664249181</v>
      </c>
      <c r="AT304" s="163">
        <v>1124.0060000000001</v>
      </c>
      <c r="AU304" s="163">
        <v>37.466866666666668</v>
      </c>
      <c r="AV304" s="163">
        <v>825.24199999999996</v>
      </c>
      <c r="AW304" s="163">
        <v>97.918000000000006</v>
      </c>
      <c r="AX304" s="163">
        <v>44.051828904827907</v>
      </c>
      <c r="AY304" s="163">
        <v>0.28568922976147348</v>
      </c>
      <c r="AZ304" s="163">
        <v>441.23500000000001</v>
      </c>
      <c r="BA304" s="163">
        <v>198.297</v>
      </c>
      <c r="BB304" s="163">
        <v>11.77667201064763</v>
      </c>
      <c r="BC304" s="163">
        <v>0.10428735136419398</v>
      </c>
      <c r="BD304" s="163">
        <v>55.828500915475537</v>
      </c>
      <c r="BE304" s="163">
        <v>1294.3579999999999</v>
      </c>
      <c r="BF304" s="163">
        <v>43.145266666666664</v>
      </c>
      <c r="BG304" s="163">
        <v>941.71699999999998</v>
      </c>
      <c r="BH304" s="163">
        <v>108.89700000000001</v>
      </c>
      <c r="BI304" s="163">
        <v>43.653316933954905</v>
      </c>
      <c r="BJ304" s="163">
        <v>-0.11282274111152901</v>
      </c>
      <c r="BK304" s="163">
        <v>497.65600000000001</v>
      </c>
      <c r="BL304" s="163">
        <v>218.38399999999999</v>
      </c>
      <c r="BM304" s="163">
        <v>11.534428651115071</v>
      </c>
      <c r="BN304" s="163">
        <v>-0.13795600816836462</v>
      </c>
      <c r="BO304" s="163">
        <v>55.187745585069976</v>
      </c>
      <c r="BP304" s="163">
        <v>725.09199999999998</v>
      </c>
      <c r="BQ304" s="163">
        <v>24.169733333333333</v>
      </c>
      <c r="BR304" s="163">
        <v>537.55100000000004</v>
      </c>
      <c r="BS304" s="163">
        <v>51.210999999999999</v>
      </c>
      <c r="BT304" s="163">
        <v>44.481334782344867</v>
      </c>
      <c r="BU304" s="163">
        <v>0.71519510727843283</v>
      </c>
      <c r="BV304" s="163">
        <v>274.714</v>
      </c>
      <c r="BW304" s="163">
        <v>234.16800000000001</v>
      </c>
      <c r="BX304" s="163">
        <v>11.366033551604486</v>
      </c>
      <c r="BY304" s="163">
        <v>-0.30635110767894957</v>
      </c>
      <c r="BZ304" s="163">
        <v>55.847368333949355</v>
      </c>
      <c r="CA304" s="163">
        <v>665.44299999999998</v>
      </c>
      <c r="CB304" s="163">
        <v>22.181433333333334</v>
      </c>
      <c r="CC304" s="163">
        <v>478.00700000000001</v>
      </c>
      <c r="CD304" s="163">
        <v>69.224000000000004</v>
      </c>
      <c r="CE304" s="163">
        <v>43.099739571984372</v>
      </c>
      <c r="CF304" s="163">
        <v>-0.66640010308206143</v>
      </c>
      <c r="CG304" s="163">
        <v>261.02600000000001</v>
      </c>
      <c r="CH304" s="163">
        <v>56.484999999999999</v>
      </c>
      <c r="CI304" s="163">
        <v>11.767769741360267</v>
      </c>
      <c r="CJ304" s="163">
        <v>9.538508207683094E-2</v>
      </c>
      <c r="CK304" s="163">
        <v>54.867509313344641</v>
      </c>
      <c r="CL304" s="163">
        <v>886.34299999999996</v>
      </c>
      <c r="CM304" s="163">
        <v>29.544766666666664</v>
      </c>
      <c r="CN304" s="163">
        <v>646.54600000000005</v>
      </c>
      <c r="CO304" s="163">
        <v>52.774999999999999</v>
      </c>
      <c r="CP304" s="163">
        <v>43.767209759652872</v>
      </c>
      <c r="CQ304" s="163">
        <v>1.0700845864377584E-3</v>
      </c>
      <c r="CR304" s="163">
        <v>340.94099999999997</v>
      </c>
      <c r="CS304" s="163">
        <v>49.488</v>
      </c>
      <c r="CT304" s="163">
        <v>11.539810208914608</v>
      </c>
      <c r="CU304" s="163">
        <v>-0.13257445036882842</v>
      </c>
      <c r="CV304" s="163">
        <v>55.307019968567481</v>
      </c>
      <c r="CW304" s="163"/>
      <c r="CX304" s="163">
        <v>0</v>
      </c>
      <c r="CY304" s="163">
        <v>0</v>
      </c>
      <c r="CZ304" s="163">
        <v>0</v>
      </c>
      <c r="DA304" s="163">
        <v>0</v>
      </c>
      <c r="DB304" s="163">
        <v>0</v>
      </c>
      <c r="DC304" s="163">
        <v>0</v>
      </c>
      <c r="DD304" s="163"/>
      <c r="DE304" s="163">
        <v>142.92099999999999</v>
      </c>
      <c r="DF304" s="163">
        <v>81.313000000000002</v>
      </c>
      <c r="DG304" s="163"/>
      <c r="DH304" s="163">
        <v>0.56893668530167019</v>
      </c>
      <c r="DI304" s="163">
        <v>122.64100000000001</v>
      </c>
      <c r="DJ304" s="163">
        <v>0.42905171388389396</v>
      </c>
      <c r="DK304" s="163">
        <v>126.726</v>
      </c>
      <c r="DL304" s="163">
        <v>122.86199999999999</v>
      </c>
      <c r="DM304" s="163">
        <v>3.0490980540694101E-2</v>
      </c>
      <c r="DN304" s="163">
        <v>141.149</v>
      </c>
      <c r="DO304" s="163">
        <v>84.037000000000006</v>
      </c>
      <c r="DP304" s="163">
        <v>110.446</v>
      </c>
      <c r="DQ304" s="163">
        <v>194.483</v>
      </c>
      <c r="DR304" s="163">
        <v>0.99798839918556415</v>
      </c>
      <c r="DS304" s="163"/>
      <c r="DT304" s="163">
        <v>158.41300000000001</v>
      </c>
      <c r="DU304" s="163">
        <v>69.935000000000002</v>
      </c>
      <c r="DV304" s="163">
        <v>23.696000000000002</v>
      </c>
      <c r="DW304" s="163">
        <v>0.44147260641487757</v>
      </c>
      <c r="DX304" s="163">
        <v>42.225999999999999</v>
      </c>
      <c r="DY304" s="163">
        <v>0.13327820317776948</v>
      </c>
      <c r="DZ304" s="163">
        <v>47.265000000000001</v>
      </c>
      <c r="EA304" s="163">
        <v>45.661000000000001</v>
      </c>
      <c r="EB304" s="163">
        <v>3.3936316513276221E-2</v>
      </c>
      <c r="EC304" s="163">
        <v>46.798999999999999</v>
      </c>
      <c r="ED304" s="163">
        <v>40</v>
      </c>
      <c r="EE304" s="163">
        <v>31.736000000000001</v>
      </c>
      <c r="EF304" s="163">
        <v>71.736000000000004</v>
      </c>
      <c r="EG304" s="163">
        <v>0.57475080959264702</v>
      </c>
    </row>
    <row r="305" spans="1:137" hidden="1">
      <c r="A305" s="157">
        <v>43556</v>
      </c>
      <c r="B305" s="163">
        <v>5146.4030000000002</v>
      </c>
      <c r="C305" s="163">
        <v>171.54676666666668</v>
      </c>
      <c r="D305" s="163">
        <v>11.556766666666675</v>
      </c>
      <c r="E305" s="163">
        <v>7.2234306310811069E-2</v>
      </c>
      <c r="F305" s="163">
        <v>3763.527</v>
      </c>
      <c r="G305" s="163"/>
      <c r="H305" s="163"/>
      <c r="I305" s="163">
        <v>337.32600000000002</v>
      </c>
      <c r="J305" s="163">
        <v>43.877562639381324</v>
      </c>
      <c r="K305" s="163">
        <v>46.897392217438082</v>
      </c>
      <c r="L305" s="163">
        <v>7.7392217438081445E-2</v>
      </c>
      <c r="M305" s="163">
        <v>259.02100000000002</v>
      </c>
      <c r="N305" s="163">
        <v>47.847000000000001</v>
      </c>
      <c r="O305" s="163">
        <v>1989.1010000000001</v>
      </c>
      <c r="P305" s="163">
        <v>1893.3510000000001</v>
      </c>
      <c r="Q305" s="163">
        <v>916.26599999999996</v>
      </c>
      <c r="R305" s="163">
        <v>446.28641700392586</v>
      </c>
      <c r="S305" s="163">
        <v>530.79858299607429</v>
      </c>
      <c r="T305" s="163">
        <v>364.255</v>
      </c>
      <c r="U305" s="163">
        <v>470.73800000000028</v>
      </c>
      <c r="V305" s="163">
        <v>0.2634430746982992</v>
      </c>
      <c r="W305" s="163">
        <v>11.595094670976991</v>
      </c>
      <c r="X305" s="163">
        <v>-9.4905329023008633E-2</v>
      </c>
      <c r="Y305" s="163">
        <v>58.492486888415073</v>
      </c>
      <c r="Z305" s="163">
        <v>1496.9949999999999</v>
      </c>
      <c r="AA305" s="163">
        <v>1460.6510000000001</v>
      </c>
      <c r="AB305" s="163">
        <v>2.4277970200301154E-2</v>
      </c>
      <c r="AC305" s="163"/>
      <c r="AD305" s="163"/>
      <c r="AE305" s="163"/>
      <c r="AF305" s="163"/>
      <c r="AH305" s="163"/>
      <c r="AI305" s="163">
        <v>597.03</v>
      </c>
      <c r="AJ305" s="163">
        <v>19.901</v>
      </c>
      <c r="AK305" s="163">
        <v>431.47800000000001</v>
      </c>
      <c r="AL305" s="163">
        <v>66.795000000000002</v>
      </c>
      <c r="AM305" s="163">
        <v>43.362444098286517</v>
      </c>
      <c r="AN305" s="163">
        <v>-0.51511854109480737</v>
      </c>
      <c r="AO305" s="163">
        <v>242.119</v>
      </c>
      <c r="AP305" s="163">
        <v>202.12200000000001</v>
      </c>
      <c r="AQ305" s="163">
        <v>12.166172554143008</v>
      </c>
      <c r="AR305" s="163">
        <v>0.57107788316601749</v>
      </c>
      <c r="AS305" s="163">
        <v>55.528616652429527</v>
      </c>
      <c r="AT305" s="163">
        <v>1147.4010000000001</v>
      </c>
      <c r="AU305" s="163">
        <v>38.246700000000004</v>
      </c>
      <c r="AV305" s="163">
        <v>844.83</v>
      </c>
      <c r="AW305" s="163">
        <v>75.45</v>
      </c>
      <c r="AX305" s="163">
        <v>44.177929076234022</v>
      </c>
      <c r="AY305" s="163">
        <v>0.30036643685269837</v>
      </c>
      <c r="AZ305" s="163">
        <v>446.12599999999998</v>
      </c>
      <c r="BA305" s="163">
        <v>165.01300000000001</v>
      </c>
      <c r="BB305" s="163">
        <v>11.664431179683474</v>
      </c>
      <c r="BC305" s="163">
        <v>6.9336508706483002E-2</v>
      </c>
      <c r="BD305" s="163">
        <v>55.842360255917498</v>
      </c>
      <c r="BE305" s="163">
        <v>1201.7829999999999</v>
      </c>
      <c r="BF305" s="163">
        <v>40.059433333333331</v>
      </c>
      <c r="BG305" s="163">
        <v>884.97</v>
      </c>
      <c r="BH305" s="163">
        <v>83.71</v>
      </c>
      <c r="BI305" s="163">
        <v>44.182851646262264</v>
      </c>
      <c r="BJ305" s="163">
        <v>0.30528900688094041</v>
      </c>
      <c r="BK305" s="163">
        <v>461.6</v>
      </c>
      <c r="BL305" s="163">
        <v>207.46600000000001</v>
      </c>
      <c r="BM305" s="163">
        <v>11.522878922401134</v>
      </c>
      <c r="BN305" s="163">
        <v>-7.2215748575857219E-2</v>
      </c>
      <c r="BO305" s="163">
        <v>55.705730568663398</v>
      </c>
      <c r="BP305" s="163">
        <v>694.30600000000004</v>
      </c>
      <c r="BQ305" s="163">
        <v>23.143533333333334</v>
      </c>
      <c r="BR305" s="163">
        <v>513.56399999999996</v>
      </c>
      <c r="BS305" s="163">
        <v>33.887999999999998</v>
      </c>
      <c r="BT305" s="163">
        <v>44.380777351772842</v>
      </c>
      <c r="BU305" s="163">
        <v>0.50321471239151805</v>
      </c>
      <c r="BV305" s="163">
        <v>264.43</v>
      </c>
      <c r="BW305" s="163">
        <v>245.447</v>
      </c>
      <c r="BX305" s="163">
        <v>11.425653818345225</v>
      </c>
      <c r="BY305" s="163">
        <v>-0.16944085263176589</v>
      </c>
      <c r="BZ305" s="163">
        <v>55.806431170118067</v>
      </c>
      <c r="CA305" s="163">
        <v>672.91099999999994</v>
      </c>
      <c r="CB305" s="163">
        <v>22.430366666666664</v>
      </c>
      <c r="CC305" s="163">
        <v>481.34399999999999</v>
      </c>
      <c r="CD305" s="163">
        <v>41.820158916929671</v>
      </c>
      <c r="CE305" s="163">
        <v>42.918959565232257</v>
      </c>
      <c r="CF305" s="163">
        <v>-0.95860307414906742</v>
      </c>
      <c r="CG305" s="163">
        <v>258.12099999999998</v>
      </c>
      <c r="CH305" s="163">
        <v>54.376561864768995</v>
      </c>
      <c r="CI305" s="163">
        <v>11.507658516505154</v>
      </c>
      <c r="CJ305" s="163">
        <v>-8.7436154471836502E-2</v>
      </c>
      <c r="CK305" s="163">
        <v>54.426618081737409</v>
      </c>
      <c r="CL305" s="163">
        <v>832.97199999999998</v>
      </c>
      <c r="CM305" s="163">
        <v>27.765733333333333</v>
      </c>
      <c r="CN305" s="163">
        <v>607.34100000000001</v>
      </c>
      <c r="CO305" s="163">
        <v>35.662841083070361</v>
      </c>
      <c r="CP305" s="163">
        <v>43.747520925073111</v>
      </c>
      <c r="CQ305" s="163">
        <v>-0.13004171430821287</v>
      </c>
      <c r="CR305" s="163">
        <v>316.70499999999998</v>
      </c>
      <c r="CS305" s="163">
        <v>41.841438135230966</v>
      </c>
      <c r="CT305" s="163">
        <v>11.406325782859447</v>
      </c>
      <c r="CU305" s="163">
        <v>-0.18876888811754355</v>
      </c>
      <c r="CV305" s="163">
        <v>55.153846707932559</v>
      </c>
      <c r="CW305" s="163"/>
      <c r="CX305" s="163">
        <v>0</v>
      </c>
      <c r="CY305" s="163">
        <v>0</v>
      </c>
      <c r="CZ305" s="163">
        <v>0</v>
      </c>
      <c r="DA305" s="163">
        <v>0</v>
      </c>
      <c r="DB305" s="163">
        <v>0</v>
      </c>
      <c r="DC305" s="163">
        <v>0</v>
      </c>
      <c r="DD305" s="163"/>
      <c r="DE305" s="163">
        <v>162.46700000000001</v>
      </c>
      <c r="DF305" s="163">
        <v>91.629000000000005</v>
      </c>
      <c r="DG305" s="163"/>
      <c r="DH305" s="163">
        <v>0.56398530163048499</v>
      </c>
      <c r="DI305" s="163">
        <v>138.93299999999999</v>
      </c>
      <c r="DJ305" s="163">
        <v>0.42757298405214594</v>
      </c>
      <c r="DK305" s="163">
        <v>106.34</v>
      </c>
      <c r="DL305" s="163">
        <v>103.515</v>
      </c>
      <c r="DM305" s="163">
        <v>2.6565732555952626E-2</v>
      </c>
      <c r="DN305" s="163">
        <v>142.81399999999999</v>
      </c>
      <c r="DO305" s="163">
        <v>87.825000000000003</v>
      </c>
      <c r="DP305" s="163">
        <v>108.334</v>
      </c>
      <c r="DQ305" s="163">
        <v>196.15899999999999</v>
      </c>
      <c r="DR305" s="163">
        <v>0.99155828568263094</v>
      </c>
      <c r="DS305" s="163"/>
      <c r="DT305" s="163">
        <v>133.625</v>
      </c>
      <c r="DU305" s="163">
        <v>59.88</v>
      </c>
      <c r="DV305" s="163">
        <v>25.748000000000001</v>
      </c>
      <c r="DW305" s="163">
        <v>0.4481197380729654</v>
      </c>
      <c r="DX305" s="163">
        <v>37.831000000000003</v>
      </c>
      <c r="DY305" s="163">
        <v>0.14155659494855005</v>
      </c>
      <c r="DZ305" s="163">
        <v>36.511000000000003</v>
      </c>
      <c r="EA305" s="163">
        <v>35.353999999999999</v>
      </c>
      <c r="EB305" s="163">
        <v>3.168908000328674E-2</v>
      </c>
      <c r="EC305" s="163">
        <v>41.118000000000002</v>
      </c>
      <c r="ED305" s="163">
        <v>43.759</v>
      </c>
      <c r="EE305" s="163">
        <v>27.367000000000001</v>
      </c>
      <c r="EF305" s="163">
        <v>71.126000000000005</v>
      </c>
      <c r="EG305" s="163">
        <v>0.58967633302151545</v>
      </c>
    </row>
    <row r="306" spans="1:137" hidden="1">
      <c r="A306" s="157">
        <v>43586</v>
      </c>
      <c r="B306" s="163">
        <v>4963.2709999999997</v>
      </c>
      <c r="C306" s="163">
        <v>165.44236666666666</v>
      </c>
      <c r="D306" s="163">
        <v>10.646366666666665</v>
      </c>
      <c r="E306" s="163">
        <v>6.8776755643987331E-2</v>
      </c>
      <c r="F306" s="163">
        <v>3660.3249999999998</v>
      </c>
      <c r="G306" s="163"/>
      <c r="H306" s="163"/>
      <c r="I306" s="163">
        <v>276.27600000000001</v>
      </c>
      <c r="J306" s="163">
        <v>44.248943892042163</v>
      </c>
      <c r="K306" s="163">
        <v>47.261799728445212</v>
      </c>
      <c r="L306" s="163">
        <v>-9.8200271554787832E-2</v>
      </c>
      <c r="M306" s="163">
        <v>249.227</v>
      </c>
      <c r="N306" s="163">
        <v>35.829000000000001</v>
      </c>
      <c r="O306" s="163">
        <v>1915.9939999999999</v>
      </c>
      <c r="P306" s="163">
        <v>1662.7819999999999</v>
      </c>
      <c r="Q306" s="163">
        <v>810.91600000000005</v>
      </c>
      <c r="R306" s="163">
        <v>482.27600000000001</v>
      </c>
      <c r="S306" s="163">
        <v>369.59</v>
      </c>
      <c r="T306" s="163">
        <v>356.08499999999998</v>
      </c>
      <c r="U306" s="163">
        <v>437.4849999999999</v>
      </c>
      <c r="V306" s="163">
        <v>0.27664726169894416</v>
      </c>
      <c r="W306" s="163">
        <v>11.581035974058237</v>
      </c>
      <c r="X306" s="163">
        <v>-0.18896402594176287</v>
      </c>
      <c r="Y306" s="163">
        <v>58.84283570250345</v>
      </c>
      <c r="Z306" s="163">
        <v>1531.8409999999999</v>
      </c>
      <c r="AA306" s="163">
        <v>1493.7850000000001</v>
      </c>
      <c r="AB306" s="163">
        <v>2.4843309455746265E-2</v>
      </c>
      <c r="AC306" s="163"/>
      <c r="AD306" s="163"/>
      <c r="AE306" s="163"/>
      <c r="AF306" s="163"/>
      <c r="AH306" s="163"/>
      <c r="AI306" s="163">
        <v>472.57</v>
      </c>
      <c r="AJ306" s="163">
        <v>15.752333333333333</v>
      </c>
      <c r="AK306" s="163">
        <v>353.74799999999999</v>
      </c>
      <c r="AL306" s="163">
        <v>44.768999999999998</v>
      </c>
      <c r="AM306" s="163">
        <v>44.913727066889564</v>
      </c>
      <c r="AN306" s="163">
        <v>0.66478317484740046</v>
      </c>
      <c r="AO306" s="163">
        <v>196.66300000000001</v>
      </c>
      <c r="AP306" s="163">
        <v>177.85599999999999</v>
      </c>
      <c r="AQ306" s="163">
        <v>12.484690098821339</v>
      </c>
      <c r="AR306" s="163">
        <v>0.90365412476310247</v>
      </c>
      <c r="AS306" s="163">
        <v>57.398417165710903</v>
      </c>
      <c r="AT306" s="163">
        <v>1126.0999999999999</v>
      </c>
      <c r="AU306" s="163">
        <v>37.536666666666662</v>
      </c>
      <c r="AV306" s="163">
        <v>829.49599999999998</v>
      </c>
      <c r="AW306" s="163">
        <v>79.635999999999996</v>
      </c>
      <c r="AX306" s="163">
        <v>44.196572240475987</v>
      </c>
      <c r="AY306" s="163">
        <v>-5.237165156617607E-2</v>
      </c>
      <c r="AZ306" s="163">
        <v>435.84100000000001</v>
      </c>
      <c r="BA306" s="163">
        <v>150.47</v>
      </c>
      <c r="BB306" s="163">
        <v>11.611073616907914</v>
      </c>
      <c r="BC306" s="163">
        <v>3.0037642849677582E-2</v>
      </c>
      <c r="BD306" s="163">
        <v>55.807645857383903</v>
      </c>
      <c r="BE306" s="163">
        <v>1160.768</v>
      </c>
      <c r="BF306" s="163">
        <v>38.692266666666669</v>
      </c>
      <c r="BG306" s="163">
        <v>850.46299999999997</v>
      </c>
      <c r="BH306" s="163">
        <v>67.263000000000005</v>
      </c>
      <c r="BI306" s="163">
        <v>43.960360726691292</v>
      </c>
      <c r="BJ306" s="163">
        <v>-0.2885831653508717</v>
      </c>
      <c r="BK306" s="163">
        <v>436.81299999999999</v>
      </c>
      <c r="BL306" s="163">
        <v>177.673</v>
      </c>
      <c r="BM306" s="163">
        <v>11.289413560677069</v>
      </c>
      <c r="BN306" s="163">
        <v>-0.29162241338116779</v>
      </c>
      <c r="BO306" s="163">
        <v>55.249774287368361</v>
      </c>
      <c r="BP306" s="163">
        <v>686.49599999999998</v>
      </c>
      <c r="BQ306" s="163">
        <v>22.883199999999999</v>
      </c>
      <c r="BR306" s="163">
        <v>515.10299999999995</v>
      </c>
      <c r="BS306" s="163">
        <v>24.175999999999998</v>
      </c>
      <c r="BT306" s="163">
        <v>45.020189483988254</v>
      </c>
      <c r="BU306" s="163">
        <v>0.77124559194609077</v>
      </c>
      <c r="BV306" s="163">
        <v>258.86</v>
      </c>
      <c r="BW306" s="163">
        <v>212.44900000000001</v>
      </c>
      <c r="BX306" s="163">
        <v>11.312229058872886</v>
      </c>
      <c r="BY306" s="163">
        <v>-0.26880691518535116</v>
      </c>
      <c r="BZ306" s="163">
        <v>56.332418542861141</v>
      </c>
      <c r="CA306" s="163">
        <v>669.54600000000005</v>
      </c>
      <c r="CB306" s="163">
        <v>22.318200000000001</v>
      </c>
      <c r="CC306" s="163">
        <v>486.25299999999999</v>
      </c>
      <c r="CD306" s="163">
        <v>25.721</v>
      </c>
      <c r="CE306" s="163">
        <v>43.574571426011055</v>
      </c>
      <c r="CF306" s="163">
        <v>-0.67437246603110879</v>
      </c>
      <c r="CG306" s="163">
        <v>262.63200000000001</v>
      </c>
      <c r="CH306" s="163">
        <v>47.481999999999999</v>
      </c>
      <c r="CI306" s="163">
        <v>11.76761566793021</v>
      </c>
      <c r="CJ306" s="163">
        <v>0.18657969387197326</v>
      </c>
      <c r="CK306" s="163">
        <v>55.342187093941263</v>
      </c>
      <c r="CL306" s="163">
        <v>847.79100000000005</v>
      </c>
      <c r="CM306" s="163">
        <v>28.259700000000002</v>
      </c>
      <c r="CN306" s="163">
        <v>625.26199999999994</v>
      </c>
      <c r="CO306" s="163">
        <v>34.710999999999999</v>
      </c>
      <c r="CP306" s="163">
        <v>44.251142085726308</v>
      </c>
      <c r="CQ306" s="163">
        <v>2.1981936841442007E-3</v>
      </c>
      <c r="CR306" s="163">
        <v>325.185</v>
      </c>
      <c r="CS306" s="163">
        <v>44.985999999999997</v>
      </c>
      <c r="CT306" s="163">
        <v>11.507022367541056</v>
      </c>
      <c r="CU306" s="163">
        <v>-7.4013606517180364E-2</v>
      </c>
      <c r="CV306" s="163">
        <v>55.758164453267362</v>
      </c>
      <c r="CW306" s="163"/>
      <c r="CX306" s="163">
        <v>0</v>
      </c>
      <c r="CY306" s="163">
        <v>0</v>
      </c>
      <c r="CZ306" s="163">
        <v>0</v>
      </c>
      <c r="DA306" s="163">
        <v>0</v>
      </c>
      <c r="DB306" s="163">
        <v>0</v>
      </c>
      <c r="DC306" s="163">
        <v>0</v>
      </c>
      <c r="DD306" s="163"/>
      <c r="DE306" s="163">
        <v>133.79</v>
      </c>
      <c r="DF306" s="163">
        <v>75.656999999999996</v>
      </c>
      <c r="DG306" s="163"/>
      <c r="DH306" s="163">
        <v>0.56549069437177668</v>
      </c>
      <c r="DI306" s="163">
        <v>113.16500000000001</v>
      </c>
      <c r="DJ306" s="163">
        <v>0.422920248150086</v>
      </c>
      <c r="DK306" s="163">
        <v>118.24</v>
      </c>
      <c r="DL306" s="163">
        <v>115.34399999999999</v>
      </c>
      <c r="DM306" s="163">
        <v>2.4492557510148893E-2</v>
      </c>
      <c r="DN306" s="163">
        <v>136.66300000000001</v>
      </c>
      <c r="DO306" s="163">
        <v>77.52</v>
      </c>
      <c r="DP306" s="163">
        <v>105.005</v>
      </c>
      <c r="DQ306" s="163">
        <v>182.52499999999998</v>
      </c>
      <c r="DR306" s="163">
        <v>0.98841094252186268</v>
      </c>
      <c r="DS306" s="163"/>
      <c r="DT306" s="163">
        <v>121.057</v>
      </c>
      <c r="DU306" s="163">
        <v>55.707999999999998</v>
      </c>
      <c r="DV306" s="163">
        <v>34.563000000000002</v>
      </c>
      <c r="DW306" s="163">
        <v>0.46017991524653673</v>
      </c>
      <c r="DX306" s="163">
        <v>31.983000000000001</v>
      </c>
      <c r="DY306" s="163">
        <v>0.13209892860388081</v>
      </c>
      <c r="DZ306" s="163">
        <v>39.741999999999997</v>
      </c>
      <c r="EA306" s="163">
        <v>38.462000000000003</v>
      </c>
      <c r="EB306" s="163">
        <v>3.2207739922499923E-2</v>
      </c>
      <c r="EC306" s="163">
        <v>47.040999999999997</v>
      </c>
      <c r="ED306" s="163">
        <v>37.514000000000003</v>
      </c>
      <c r="EE306" s="163">
        <v>20.945</v>
      </c>
      <c r="EF306" s="163">
        <v>58.459000000000003</v>
      </c>
      <c r="EG306" s="163">
        <v>0.59227884385041751</v>
      </c>
    </row>
    <row r="307" spans="1:137" hidden="1">
      <c r="A307" s="157">
        <v>43617</v>
      </c>
      <c r="B307" s="163">
        <v>4729.1369999999997</v>
      </c>
      <c r="C307" s="163">
        <v>157.6379</v>
      </c>
      <c r="D307" s="163">
        <v>8.7949000000000126</v>
      </c>
      <c r="E307" s="163">
        <v>5.9088435465557865E-2</v>
      </c>
      <c r="F307" s="163">
        <v>3453.1779999999999</v>
      </c>
      <c r="G307" s="163"/>
      <c r="H307" s="163"/>
      <c r="I307" s="163">
        <v>376.02499999999998</v>
      </c>
      <c r="J307" s="163">
        <v>43.81151994539384</v>
      </c>
      <c r="K307" s="163">
        <v>46.896374539371557</v>
      </c>
      <c r="L307" s="163">
        <v>-5.3625460628445865E-2</v>
      </c>
      <c r="M307" s="163">
        <v>243.14500000000001</v>
      </c>
      <c r="N307" s="163">
        <v>48.430999999999997</v>
      </c>
      <c r="O307" s="163">
        <v>1811.481</v>
      </c>
      <c r="P307" s="163">
        <v>1595.2729999999999</v>
      </c>
      <c r="Q307" s="163">
        <v>802.21500000000003</v>
      </c>
      <c r="R307" s="163">
        <v>402.875</v>
      </c>
      <c r="S307" s="163">
        <v>390.18299999999999</v>
      </c>
      <c r="T307" s="163">
        <v>419.14699999999999</v>
      </c>
      <c r="U307" s="163">
        <v>478.95299999999975</v>
      </c>
      <c r="V307" s="163">
        <v>0.31192659952965429</v>
      </c>
      <c r="W307" s="163">
        <v>11.491405302912561</v>
      </c>
      <c r="X307" s="163">
        <v>-0.1785946970874388</v>
      </c>
      <c r="Y307" s="163">
        <v>58.387779842284118</v>
      </c>
      <c r="Z307" s="163">
        <v>1438.2329999999999</v>
      </c>
      <c r="AA307" s="163">
        <v>1411.4960000000001</v>
      </c>
      <c r="AB307" s="163">
        <v>1.8590172802320525E-2</v>
      </c>
      <c r="AC307" s="163"/>
      <c r="AD307" s="163"/>
      <c r="AE307" s="163"/>
      <c r="AF307" s="163"/>
      <c r="AH307" s="163"/>
      <c r="AI307" s="163">
        <v>513.58799999999997</v>
      </c>
      <c r="AJ307" s="163">
        <v>17.119599999999998</v>
      </c>
      <c r="AK307" s="163">
        <v>374.72</v>
      </c>
      <c r="AL307" s="163">
        <v>77.453999999999994</v>
      </c>
      <c r="AM307" s="163">
        <v>43.776723755227934</v>
      </c>
      <c r="AN307" s="163">
        <v>-3.4796190165906182E-2</v>
      </c>
      <c r="AO307" s="163">
        <v>204.79499999999999</v>
      </c>
      <c r="AP307" s="163">
        <v>151.49199999999999</v>
      </c>
      <c r="AQ307" s="163">
        <v>11.962604266454823</v>
      </c>
      <c r="AR307" s="163">
        <v>0.47119896354226221</v>
      </c>
      <c r="AS307" s="163">
        <v>55.739328021682759</v>
      </c>
      <c r="AT307" s="163">
        <v>921.58799999999997</v>
      </c>
      <c r="AU307" s="163">
        <v>30.7196</v>
      </c>
      <c r="AV307" s="163">
        <v>679.98800000000006</v>
      </c>
      <c r="AW307" s="163">
        <v>85.736000000000004</v>
      </c>
      <c r="AX307" s="163">
        <v>44.270628523808909</v>
      </c>
      <c r="AY307" s="163">
        <v>0.45910857841506925</v>
      </c>
      <c r="AZ307" s="163">
        <v>357.53300000000002</v>
      </c>
      <c r="BA307" s="163">
        <v>146.37899999999999</v>
      </c>
      <c r="BB307" s="163">
        <v>11.638595554629617</v>
      </c>
      <c r="BC307" s="163">
        <v>0.14719025171705624</v>
      </c>
      <c r="BD307" s="163">
        <v>55.909224078438527</v>
      </c>
      <c r="BE307" s="163">
        <v>1212.672</v>
      </c>
      <c r="BF307" s="163">
        <v>40.422400000000003</v>
      </c>
      <c r="BG307" s="163">
        <v>883.79100000000005</v>
      </c>
      <c r="BH307" s="163">
        <v>92.581000000000003</v>
      </c>
      <c r="BI307" s="163">
        <v>43.727784594680173</v>
      </c>
      <c r="BJ307" s="163">
        <v>-8.373535071366689E-2</v>
      </c>
      <c r="BK307" s="163">
        <v>455.34399999999999</v>
      </c>
      <c r="BL307" s="163">
        <v>189.761</v>
      </c>
      <c r="BM307" s="163">
        <v>11.264645345155161</v>
      </c>
      <c r="BN307" s="163">
        <v>-0.22675995775739999</v>
      </c>
      <c r="BO307" s="163">
        <v>54.992429939835333</v>
      </c>
      <c r="BP307" s="163">
        <v>702.62900000000002</v>
      </c>
      <c r="BQ307" s="163">
        <v>23.420966666666668</v>
      </c>
      <c r="BR307" s="163">
        <v>516.09400000000005</v>
      </c>
      <c r="BS307" s="163">
        <v>30.992000000000001</v>
      </c>
      <c r="BT307" s="163">
        <v>44.071110073737351</v>
      </c>
      <c r="BU307" s="163">
        <v>0.25959012834351114</v>
      </c>
      <c r="BV307" s="163">
        <v>264.60000000000002</v>
      </c>
      <c r="BW307" s="163">
        <v>215.62200000000001</v>
      </c>
      <c r="BX307" s="163">
        <v>11.297569556622342</v>
      </c>
      <c r="BY307" s="163">
        <v>-0.19383574629021894</v>
      </c>
      <c r="BZ307" s="163">
        <v>55.368679630359694</v>
      </c>
      <c r="CA307" s="163">
        <v>516.57799999999997</v>
      </c>
      <c r="CB307" s="163">
        <v>17.219266666666666</v>
      </c>
      <c r="CC307" s="163">
        <v>365.78300000000002</v>
      </c>
      <c r="CD307" s="163">
        <v>31.48</v>
      </c>
      <c r="CE307" s="163">
        <v>42.485316835018139</v>
      </c>
      <c r="CF307" s="163">
        <v>-1.326203110375701</v>
      </c>
      <c r="CG307" s="163">
        <v>197.226</v>
      </c>
      <c r="CH307" s="163">
        <v>56.807000000000002</v>
      </c>
      <c r="CI307" s="163">
        <v>11.453797877571247</v>
      </c>
      <c r="CJ307" s="163">
        <v>-3.7607425341313672E-2</v>
      </c>
      <c r="CK307" s="163">
        <v>53.939114712589387</v>
      </c>
      <c r="CL307" s="163">
        <v>862.08199999999999</v>
      </c>
      <c r="CM307" s="163">
        <v>28.736066666666666</v>
      </c>
      <c r="CN307" s="163">
        <v>632.80200000000002</v>
      </c>
      <c r="CO307" s="163">
        <v>57.781999999999996</v>
      </c>
      <c r="CP307" s="163">
        <v>44.042353279618418</v>
      </c>
      <c r="CQ307" s="163">
        <v>0.23083333422457741</v>
      </c>
      <c r="CR307" s="163">
        <v>331.983</v>
      </c>
      <c r="CS307" s="163">
        <v>42.154000000000003</v>
      </c>
      <c r="CT307" s="163">
        <v>11.552833721154137</v>
      </c>
      <c r="CU307" s="163">
        <v>6.1428418241575855E-2</v>
      </c>
      <c r="CV307" s="163">
        <v>55.595187000772555</v>
      </c>
      <c r="CW307" s="163"/>
      <c r="CX307" s="163">
        <v>0</v>
      </c>
      <c r="CY307" s="163">
        <v>-9.0949470177292824E-13</v>
      </c>
      <c r="CZ307" s="163">
        <v>0</v>
      </c>
      <c r="DA307" s="163">
        <v>0</v>
      </c>
      <c r="DB307" s="163">
        <v>6.3948846218409017E-14</v>
      </c>
      <c r="DC307" s="163">
        <v>0</v>
      </c>
      <c r="DD307" s="163"/>
      <c r="DE307" s="163">
        <v>125.124</v>
      </c>
      <c r="DF307" s="163">
        <v>72.608000000000004</v>
      </c>
      <c r="DG307" s="163"/>
      <c r="DH307" s="163">
        <v>0.58028835395287881</v>
      </c>
      <c r="DI307" s="163">
        <v>108.33199999999999</v>
      </c>
      <c r="DJ307" s="163">
        <v>0.43289856462389309</v>
      </c>
      <c r="DK307" s="163">
        <v>112.974</v>
      </c>
      <c r="DL307" s="163">
        <v>109.65600000000001</v>
      </c>
      <c r="DM307" s="163">
        <v>2.9369589463062229E-2</v>
      </c>
      <c r="DN307" s="163">
        <v>142.953</v>
      </c>
      <c r="DO307" s="163">
        <v>66.768000000000001</v>
      </c>
      <c r="DP307" s="163">
        <v>87.067999999999998</v>
      </c>
      <c r="DQ307" s="163">
        <v>153.83600000000001</v>
      </c>
      <c r="DR307" s="163">
        <v>1.0131869185767719</v>
      </c>
      <c r="DS307" s="163"/>
      <c r="DT307" s="163">
        <v>122.379</v>
      </c>
      <c r="DU307" s="163">
        <v>55.097000000000001</v>
      </c>
      <c r="DV307" s="163">
        <v>48.402000000000001</v>
      </c>
      <c r="DW307" s="163">
        <v>0.45021613185268716</v>
      </c>
      <c r="DX307" s="163">
        <v>35.572000000000003</v>
      </c>
      <c r="DY307" s="163">
        <v>0.1453353925101529</v>
      </c>
      <c r="DZ307" s="163">
        <v>41.564</v>
      </c>
      <c r="EA307" s="163">
        <v>40.295999999999999</v>
      </c>
      <c r="EB307" s="163">
        <v>3.0507169666057155E-2</v>
      </c>
      <c r="EC307" s="163">
        <v>38.671999999999997</v>
      </c>
      <c r="ED307" s="163">
        <v>33.015000000000001</v>
      </c>
      <c r="EE307" s="163">
        <v>24.596</v>
      </c>
      <c r="EF307" s="163">
        <v>57.611000000000004</v>
      </c>
      <c r="EG307" s="163">
        <v>0.59555152436284009</v>
      </c>
    </row>
    <row r="308" spans="1:137" hidden="1">
      <c r="A308" s="157">
        <v>43647</v>
      </c>
      <c r="B308" s="163">
        <v>5383.8959999999997</v>
      </c>
      <c r="C308" s="163">
        <v>179.4632</v>
      </c>
      <c r="D308" s="163">
        <v>11.370200000000011</v>
      </c>
      <c r="E308" s="163">
        <v>6.7642317050680356E-2</v>
      </c>
      <c r="F308" s="163">
        <v>3918.9070000000002</v>
      </c>
      <c r="G308" s="163"/>
      <c r="H308" s="163"/>
      <c r="I308" s="163">
        <v>345.45</v>
      </c>
      <c r="J308" s="163">
        <v>43.673655657538703</v>
      </c>
      <c r="K308" s="163">
        <v>46.653286021869668</v>
      </c>
      <c r="L308" s="163">
        <v>-0.11671397813033479</v>
      </c>
      <c r="M308" s="163">
        <v>267.36700000000002</v>
      </c>
      <c r="N308" s="163">
        <v>39.762</v>
      </c>
      <c r="O308" s="163">
        <v>2090.1680000000001</v>
      </c>
      <c r="P308" s="163">
        <v>1652.854</v>
      </c>
      <c r="Q308" s="163">
        <v>790.11900000000003</v>
      </c>
      <c r="R308" s="163">
        <v>423.12400000000002</v>
      </c>
      <c r="S308" s="163">
        <v>439.61099999999999</v>
      </c>
      <c r="T308" s="163">
        <v>386.64699999999999</v>
      </c>
      <c r="U308" s="163">
        <v>572.36999999999989</v>
      </c>
      <c r="V308" s="163">
        <v>0.39012876150800424</v>
      </c>
      <c r="W308" s="163">
        <v>11.646777723789613</v>
      </c>
      <c r="X308" s="163">
        <v>-8.3222276210387136E-2</v>
      </c>
      <c r="Y308" s="163">
        <v>58.30006374565928</v>
      </c>
      <c r="Z308" s="163">
        <v>1550.144</v>
      </c>
      <c r="AA308" s="163">
        <v>1514.4680000000001</v>
      </c>
      <c r="AB308" s="163">
        <v>2.3014636059617642E-2</v>
      </c>
      <c r="AC308" s="163"/>
      <c r="AD308" s="163"/>
      <c r="AE308" s="163"/>
      <c r="AF308" s="163"/>
      <c r="AH308" s="163"/>
      <c r="AI308" s="163">
        <v>692.12599999999998</v>
      </c>
      <c r="AJ308" s="163">
        <v>23.070866666666667</v>
      </c>
      <c r="AK308" s="163">
        <v>493.459</v>
      </c>
      <c r="AL308" s="163">
        <v>61.149000000000001</v>
      </c>
      <c r="AM308" s="163">
        <v>42.777673429404473</v>
      </c>
      <c r="AN308" s="163">
        <v>-0.89598222813422979</v>
      </c>
      <c r="AO308" s="163">
        <v>277.06400000000002</v>
      </c>
      <c r="AP308" s="163">
        <v>165.03307521668526</v>
      </c>
      <c r="AQ308" s="163">
        <v>12.009258429823472</v>
      </c>
      <c r="AR308" s="163">
        <v>0.36248070603385862</v>
      </c>
      <c r="AS308" s="163">
        <v>54.786931859227948</v>
      </c>
      <c r="AT308" s="163">
        <v>1104.4000000000001</v>
      </c>
      <c r="AU308" s="163">
        <v>36.81333333333334</v>
      </c>
      <c r="AV308" s="163">
        <v>806.23699999999997</v>
      </c>
      <c r="AW308" s="163">
        <v>67.870999999999995</v>
      </c>
      <c r="AX308" s="163">
        <v>43.801358203549427</v>
      </c>
      <c r="AY308" s="163">
        <v>0.12770254601072395</v>
      </c>
      <c r="AZ308" s="163">
        <v>430.44299999999998</v>
      </c>
      <c r="BA308" s="163">
        <v>116.694</v>
      </c>
      <c r="BB308" s="163">
        <v>11.692584208620064</v>
      </c>
      <c r="BC308" s="163">
        <v>4.5806484830450245E-2</v>
      </c>
      <c r="BD308" s="163">
        <v>55.493942412169488</v>
      </c>
      <c r="BE308" s="163">
        <v>1266.2149999999999</v>
      </c>
      <c r="BF308" s="163">
        <v>42.207166666666666</v>
      </c>
      <c r="BG308" s="163">
        <v>919.601</v>
      </c>
      <c r="BH308" s="163">
        <v>94.54</v>
      </c>
      <c r="BI308" s="163">
        <v>43.575585504831331</v>
      </c>
      <c r="BJ308" s="163">
        <v>-9.807015270737196E-2</v>
      </c>
      <c r="BK308" s="163">
        <v>490.88600000000002</v>
      </c>
      <c r="BL308" s="163">
        <v>199.453</v>
      </c>
      <c r="BM308" s="163">
        <v>11.63039452225728</v>
      </c>
      <c r="BN308" s="163">
        <v>-1.6383201532333302E-2</v>
      </c>
      <c r="BO308" s="163">
        <v>55.205980027088614</v>
      </c>
      <c r="BP308" s="163">
        <v>766.90800000000002</v>
      </c>
      <c r="BQ308" s="163">
        <v>25.563600000000001</v>
      </c>
      <c r="BR308" s="163">
        <v>571.22299999999996</v>
      </c>
      <c r="BS308" s="163">
        <v>32.82</v>
      </c>
      <c r="BT308" s="163">
        <v>44.690340953543313</v>
      </c>
      <c r="BU308" s="163">
        <v>1.01668529600461</v>
      </c>
      <c r="BV308" s="163">
        <v>291.82499999999999</v>
      </c>
      <c r="BW308" s="163">
        <v>209.971</v>
      </c>
      <c r="BX308" s="163">
        <v>11.415645683706519</v>
      </c>
      <c r="BY308" s="163">
        <v>-0.23113204008309474</v>
      </c>
      <c r="BZ308" s="163">
        <v>56.105986637249828</v>
      </c>
      <c r="CA308" s="163">
        <v>645.22299999999996</v>
      </c>
      <c r="CB308" s="163">
        <v>21.507433333333331</v>
      </c>
      <c r="CC308" s="163">
        <v>464.53899999999999</v>
      </c>
      <c r="CD308" s="163">
        <v>48.088000000000001</v>
      </c>
      <c r="CE308" s="163">
        <v>43.197995111767561</v>
      </c>
      <c r="CF308" s="163">
        <v>-0.47566054577114159</v>
      </c>
      <c r="CG308" s="163">
        <v>248.74100000000001</v>
      </c>
      <c r="CH308" s="163">
        <v>54.633000000000003</v>
      </c>
      <c r="CI308" s="163">
        <v>11.565350274246271</v>
      </c>
      <c r="CJ308" s="163">
        <v>-8.1427449543342689E-2</v>
      </c>
      <c r="CK308" s="163">
        <v>54.763345386013832</v>
      </c>
      <c r="CL308" s="163">
        <v>909.024</v>
      </c>
      <c r="CM308" s="163">
        <v>30.300799999999999</v>
      </c>
      <c r="CN308" s="163">
        <v>663.84799999999996</v>
      </c>
      <c r="CO308" s="163">
        <v>40.981999999999999</v>
      </c>
      <c r="CP308" s="163">
        <v>43.817192945400784</v>
      </c>
      <c r="CQ308" s="163">
        <v>0.14353728786208109</v>
      </c>
      <c r="CR308" s="163">
        <v>351.209</v>
      </c>
      <c r="CS308" s="163">
        <v>44.33492478331474</v>
      </c>
      <c r="CT308" s="163">
        <v>11.590750079205829</v>
      </c>
      <c r="CU308" s="163">
        <v>-5.6027644583783953E-2</v>
      </c>
      <c r="CV308" s="163">
        <v>55.40794302460661</v>
      </c>
      <c r="CW308" s="163"/>
      <c r="CX308" s="163">
        <v>0</v>
      </c>
      <c r="CY308" s="163">
        <v>0</v>
      </c>
      <c r="CZ308" s="163">
        <v>0</v>
      </c>
      <c r="DA308" s="163">
        <v>0</v>
      </c>
      <c r="DB308" s="163">
        <v>0</v>
      </c>
      <c r="DC308" s="163">
        <v>0</v>
      </c>
      <c r="DD308" s="163"/>
      <c r="DE308" s="163">
        <v>145.547</v>
      </c>
      <c r="DF308" s="163">
        <v>84.447000000000003</v>
      </c>
      <c r="DG308" s="163"/>
      <c r="DH308" s="163">
        <v>0.58020433262107773</v>
      </c>
      <c r="DI308" s="163">
        <v>121.974</v>
      </c>
      <c r="DJ308" s="163">
        <v>0.41901928586642118</v>
      </c>
      <c r="DK308" s="163">
        <v>106.28700000000001</v>
      </c>
      <c r="DL308" s="163">
        <v>102.407</v>
      </c>
      <c r="DM308" s="163">
        <v>3.6504934752133456E-2</v>
      </c>
      <c r="DN308" s="163">
        <v>143.44499999999999</v>
      </c>
      <c r="DO308" s="163">
        <v>73.662999999999997</v>
      </c>
      <c r="DP308" s="163">
        <v>84.216999999999999</v>
      </c>
      <c r="DQ308" s="163">
        <v>157.88</v>
      </c>
      <c r="DR308" s="163">
        <v>0.99922361848749897</v>
      </c>
      <c r="DS308" s="163"/>
      <c r="DT308" s="163">
        <v>96.585999999999999</v>
      </c>
      <c r="DU308" s="163">
        <v>43.107999999999997</v>
      </c>
      <c r="DV308" s="163">
        <v>39.228000000000002</v>
      </c>
      <c r="DW308" s="163">
        <v>0.44631727165427698</v>
      </c>
      <c r="DX308" s="163">
        <v>24.978000000000002</v>
      </c>
      <c r="DY308" s="163">
        <v>0.12930445406166527</v>
      </c>
      <c r="DZ308" s="163">
        <v>35.113999999999997</v>
      </c>
      <c r="EA308" s="163">
        <v>33.981000000000002</v>
      </c>
      <c r="EB308" s="163">
        <v>3.2266332516944662E-2</v>
      </c>
      <c r="EC308" s="163">
        <v>37.448</v>
      </c>
      <c r="ED308" s="163">
        <v>35</v>
      </c>
      <c r="EE308" s="163">
        <v>19.094000000000001</v>
      </c>
      <c r="EF308" s="163">
        <v>54.094000000000001</v>
      </c>
      <c r="EG308" s="163">
        <v>0.57562172571594228</v>
      </c>
    </row>
    <row r="309" spans="1:137" hidden="1">
      <c r="A309" s="157">
        <v>43678</v>
      </c>
      <c r="B309" s="163">
        <v>5320.183</v>
      </c>
      <c r="C309" s="163">
        <v>177.33943333333335</v>
      </c>
      <c r="D309" s="163">
        <v>9.2544333333333384</v>
      </c>
      <c r="E309" s="163">
        <v>5.5058055943917328E-2</v>
      </c>
      <c r="F309" s="163">
        <v>3876.1529999999998</v>
      </c>
      <c r="G309" s="163"/>
      <c r="H309" s="163"/>
      <c r="I309" s="163">
        <v>384.87400000000002</v>
      </c>
      <c r="J309" s="163">
        <v>43.714507564871354</v>
      </c>
      <c r="K309" s="163">
        <v>46.762492944321643</v>
      </c>
      <c r="L309" s="163">
        <v>-0.11750705567835951</v>
      </c>
      <c r="M309" s="163">
        <v>270.26400000000001</v>
      </c>
      <c r="N309" s="163">
        <v>48.338000000000001</v>
      </c>
      <c r="O309" s="163">
        <v>2048.1669999999999</v>
      </c>
      <c r="P309" s="163">
        <v>1439.116</v>
      </c>
      <c r="Q309" s="163">
        <v>731.29200000000003</v>
      </c>
      <c r="R309" s="163">
        <v>420.572</v>
      </c>
      <c r="S309" s="163">
        <v>287.25200000000001</v>
      </c>
      <c r="T309" s="163">
        <v>366.51</v>
      </c>
      <c r="U309" s="163">
        <v>404.98</v>
      </c>
      <c r="V309" s="163">
        <v>0.28913801203159117</v>
      </c>
      <c r="W309" s="163">
        <v>11.549416627210002</v>
      </c>
      <c r="X309" s="163">
        <v>-0.14058337278999744</v>
      </c>
      <c r="Y309" s="163">
        <v>58.311909571531643</v>
      </c>
      <c r="Z309" s="163">
        <v>1558.374</v>
      </c>
      <c r="AA309" s="163">
        <v>1515.357</v>
      </c>
      <c r="AB309" s="163">
        <v>2.7603771623499911E-2</v>
      </c>
      <c r="AC309" s="163"/>
      <c r="AD309" s="163"/>
      <c r="AE309" s="163"/>
      <c r="AF309" s="163"/>
      <c r="AH309" s="163"/>
      <c r="AI309" s="163">
        <v>679.23500000000001</v>
      </c>
      <c r="AJ309" s="163">
        <v>22.641166666666667</v>
      </c>
      <c r="AK309" s="163">
        <v>491.36200000000002</v>
      </c>
      <c r="AL309" s="163">
        <v>82.619</v>
      </c>
      <c r="AM309" s="163">
        <v>43.404300426214789</v>
      </c>
      <c r="AN309" s="163">
        <v>-0.31020713865656546</v>
      </c>
      <c r="AO309" s="163">
        <v>270.64400000000001</v>
      </c>
      <c r="AP309" s="163">
        <v>179.45744529525911</v>
      </c>
      <c r="AQ309" s="163">
        <v>11.953624297923399</v>
      </c>
      <c r="AR309" s="163">
        <v>0.40420767071339725</v>
      </c>
      <c r="AS309" s="163">
        <v>55.357924724138186</v>
      </c>
      <c r="AT309" s="163">
        <v>1009.009</v>
      </c>
      <c r="AU309" s="163">
        <v>33.633633333333336</v>
      </c>
      <c r="AV309" s="163">
        <v>736.12199999999996</v>
      </c>
      <c r="AW309" s="163">
        <v>43.152000000000001</v>
      </c>
      <c r="AX309" s="163">
        <v>43.772969319401504</v>
      </c>
      <c r="AY309" s="163">
        <v>5.846175453014979E-2</v>
      </c>
      <c r="AZ309" s="163">
        <v>390.67500000000001</v>
      </c>
      <c r="BA309" s="163">
        <v>92.338999999999999</v>
      </c>
      <c r="BB309" s="163">
        <v>11.615605014425045</v>
      </c>
      <c r="BC309" s="163">
        <v>6.618838721504261E-2</v>
      </c>
      <c r="BD309" s="163">
        <v>55.388574333826547</v>
      </c>
      <c r="BE309" s="163">
        <v>1237.662</v>
      </c>
      <c r="BF309" s="163">
        <v>41.255400000000002</v>
      </c>
      <c r="BG309" s="163">
        <v>900.20299999999997</v>
      </c>
      <c r="BH309" s="163">
        <v>126.443</v>
      </c>
      <c r="BI309" s="163">
        <v>43.640493123324461</v>
      </c>
      <c r="BJ309" s="163">
        <v>-7.4014441546893295E-2</v>
      </c>
      <c r="BK309" s="163">
        <v>470.07900000000001</v>
      </c>
      <c r="BL309" s="163">
        <v>167.71700000000001</v>
      </c>
      <c r="BM309" s="163">
        <v>11.39436291976323</v>
      </c>
      <c r="BN309" s="163">
        <v>-0.15505370744677194</v>
      </c>
      <c r="BO309" s="163">
        <v>55.034856043087693</v>
      </c>
      <c r="BP309" s="163">
        <v>829.75599999999997</v>
      </c>
      <c r="BQ309" s="163">
        <v>27.658533333333331</v>
      </c>
      <c r="BR309" s="163">
        <v>613.30999999999995</v>
      </c>
      <c r="BS309" s="163">
        <v>29.698</v>
      </c>
      <c r="BT309" s="163">
        <v>44.348700099788374</v>
      </c>
      <c r="BU309" s="163">
        <v>0.63419253491701966</v>
      </c>
      <c r="BV309" s="163">
        <v>306.38200000000001</v>
      </c>
      <c r="BW309" s="163">
        <v>199.738</v>
      </c>
      <c r="BX309" s="163">
        <v>11.077304653416187</v>
      </c>
      <c r="BY309" s="163">
        <v>-0.47211197379381531</v>
      </c>
      <c r="BZ309" s="163">
        <v>55.426004753204559</v>
      </c>
      <c r="CA309" s="163">
        <v>656.38499999999999</v>
      </c>
      <c r="CB309" s="163">
        <v>21.8795</v>
      </c>
      <c r="CC309" s="163">
        <v>473.26499999999999</v>
      </c>
      <c r="CD309" s="163">
        <v>52.002000000000002</v>
      </c>
      <c r="CE309" s="163">
        <v>43.261043442491825</v>
      </c>
      <c r="CF309" s="163">
        <v>-0.45346412237952904</v>
      </c>
      <c r="CG309" s="163">
        <v>255.95400000000001</v>
      </c>
      <c r="CH309" s="163">
        <v>49.456000000000003</v>
      </c>
      <c r="CI309" s="163">
        <v>11.69834776845906</v>
      </c>
      <c r="CJ309" s="163">
        <v>0.14893114124905793</v>
      </c>
      <c r="CK309" s="163">
        <v>54.959391210950884</v>
      </c>
      <c r="CL309" s="163">
        <v>908.13599999999997</v>
      </c>
      <c r="CM309" s="163">
        <v>30.2712</v>
      </c>
      <c r="CN309" s="163">
        <v>661.89099999999996</v>
      </c>
      <c r="CO309" s="163">
        <v>50.96</v>
      </c>
      <c r="CP309" s="163">
        <v>43.730740770104916</v>
      </c>
      <c r="CQ309" s="163">
        <v>1.6233205233561421E-2</v>
      </c>
      <c r="CR309" s="163">
        <v>354.43299999999999</v>
      </c>
      <c r="CS309" s="163">
        <v>42.584554704740825</v>
      </c>
      <c r="CT309" s="163">
        <v>11.708587700520626</v>
      </c>
      <c r="CU309" s="163">
        <v>0.15917107331062397</v>
      </c>
      <c r="CV309" s="163">
        <v>55.43932847062554</v>
      </c>
      <c r="CW309" s="163"/>
      <c r="CX309" s="163">
        <v>0</v>
      </c>
      <c r="CY309" s="163">
        <v>0</v>
      </c>
      <c r="CZ309" s="163">
        <v>0</v>
      </c>
      <c r="DA309" s="163">
        <v>0</v>
      </c>
      <c r="DB309" s="163">
        <v>0</v>
      </c>
      <c r="DC309" s="163">
        <v>0</v>
      </c>
      <c r="DD309" s="163"/>
      <c r="DE309" s="163">
        <v>156.13200000000001</v>
      </c>
      <c r="DF309" s="163">
        <v>85.658000000000001</v>
      </c>
      <c r="DG309" s="163"/>
      <c r="DH309" s="163">
        <v>0.54862552199421</v>
      </c>
      <c r="DI309" s="163">
        <v>126.47499999999999</v>
      </c>
      <c r="DJ309" s="163">
        <v>0.40502587554120867</v>
      </c>
      <c r="DK309" s="163">
        <v>75.838999999999999</v>
      </c>
      <c r="DL309" s="163">
        <v>72.802000000000007</v>
      </c>
      <c r="DM309" s="163">
        <v>4.0045359247880219E-2</v>
      </c>
      <c r="DN309" s="163">
        <v>114.735</v>
      </c>
      <c r="DO309" s="163">
        <v>70.349999999999994</v>
      </c>
      <c r="DP309" s="163">
        <v>89.807000000000002</v>
      </c>
      <c r="DQ309" s="163">
        <v>160.15699999999998</v>
      </c>
      <c r="DR309" s="163">
        <v>0.95365139753541861</v>
      </c>
      <c r="DS309" s="163"/>
      <c r="DT309" s="163">
        <v>132.99100000000001</v>
      </c>
      <c r="DU309" s="163">
        <v>51.698999999999998</v>
      </c>
      <c r="DV309" s="163">
        <v>40.073999999999998</v>
      </c>
      <c r="DW309" s="163">
        <v>0.38874059146859558</v>
      </c>
      <c r="DX309" s="163">
        <v>34.377000000000002</v>
      </c>
      <c r="DY309" s="163">
        <v>0.12924558804731145</v>
      </c>
      <c r="DZ309" s="163">
        <v>40.848999999999997</v>
      </c>
      <c r="EA309" s="163">
        <v>39.573</v>
      </c>
      <c r="EB309" s="163">
        <v>3.1236994785673988E-2</v>
      </c>
      <c r="EC309" s="163">
        <v>44.74</v>
      </c>
      <c r="ED309" s="163">
        <v>40</v>
      </c>
      <c r="EE309" s="163">
        <v>18.202999999999999</v>
      </c>
      <c r="EF309" s="163">
        <v>58.203000000000003</v>
      </c>
      <c r="EG309" s="163">
        <v>0.51798617951590709</v>
      </c>
    </row>
    <row r="310" spans="1:137" hidden="1">
      <c r="A310" s="157">
        <v>43709</v>
      </c>
      <c r="B310" s="163">
        <v>4870.0339999999997</v>
      </c>
      <c r="C310" s="163">
        <v>162.33446666666666</v>
      </c>
      <c r="D310" s="163">
        <v>9.7684666666666544</v>
      </c>
      <c r="E310" s="163">
        <v>6.402780872977365E-2</v>
      </c>
      <c r="F310" s="163">
        <v>3553.4839999999999</v>
      </c>
      <c r="G310" s="163"/>
      <c r="H310" s="163"/>
      <c r="I310" s="163">
        <v>360.387</v>
      </c>
      <c r="J310" s="163">
        <v>43.779784699655075</v>
      </c>
      <c r="K310" s="163">
        <v>46.811365177327303</v>
      </c>
      <c r="L310" s="163">
        <v>-6.8634822672699158E-2</v>
      </c>
      <c r="M310" s="163">
        <v>246.065</v>
      </c>
      <c r="N310" s="163">
        <v>41.628</v>
      </c>
      <c r="O310" s="163">
        <v>1900.6679999999999</v>
      </c>
      <c r="P310" s="163">
        <v>1400.569</v>
      </c>
      <c r="Q310" s="163">
        <v>697.66899999999998</v>
      </c>
      <c r="R310" s="163">
        <v>410.77</v>
      </c>
      <c r="S310" s="163">
        <v>292.13</v>
      </c>
      <c r="T310" s="163">
        <v>374.74700000000001</v>
      </c>
      <c r="U310" s="163">
        <v>333.51099999999997</v>
      </c>
      <c r="V310" s="163">
        <v>0.231314914291461</v>
      </c>
      <c r="W310" s="163">
        <v>11.708345362681246</v>
      </c>
      <c r="X310" s="163">
        <v>-0.15165463731875306</v>
      </c>
      <c r="Y310" s="163">
        <v>58.519710540008546</v>
      </c>
      <c r="Z310" s="163">
        <v>1448.211</v>
      </c>
      <c r="AA310" s="163">
        <v>1412.136</v>
      </c>
      <c r="AB310" s="163">
        <v>2.4910044185550342E-2</v>
      </c>
      <c r="AC310" s="163"/>
      <c r="AD310" s="163"/>
      <c r="AE310" s="163"/>
      <c r="AF310" s="163"/>
      <c r="AH310" s="163"/>
      <c r="AI310" s="163">
        <v>525.26499999999999</v>
      </c>
      <c r="AJ310" s="163">
        <v>17.508833333333332</v>
      </c>
      <c r="AK310" s="163">
        <v>372.22800000000001</v>
      </c>
      <c r="AL310" s="163">
        <v>69.793999999999997</v>
      </c>
      <c r="AM310" s="163">
        <v>42.518880945808313</v>
      </c>
      <c r="AN310" s="163">
        <v>-1.2609037538467618</v>
      </c>
      <c r="AO310" s="163">
        <v>214.27799999999999</v>
      </c>
      <c r="AP310" s="163">
        <v>123.925</v>
      </c>
      <c r="AQ310" s="163">
        <v>12.238279725471905</v>
      </c>
      <c r="AR310" s="163">
        <v>0.52993436279065875</v>
      </c>
      <c r="AS310" s="163">
        <v>54.757160671280218</v>
      </c>
      <c r="AT310" s="163">
        <v>1094.9190000000001</v>
      </c>
      <c r="AU310" s="163">
        <v>36.497300000000003</v>
      </c>
      <c r="AV310" s="163">
        <v>808.327</v>
      </c>
      <c r="AW310" s="163">
        <v>49.61</v>
      </c>
      <c r="AX310" s="163">
        <v>44.295167039753622</v>
      </c>
      <c r="AY310" s="163">
        <v>0.51538234009854733</v>
      </c>
      <c r="AZ310" s="163">
        <v>425.524</v>
      </c>
      <c r="BA310" s="163">
        <v>101.846</v>
      </c>
      <c r="BB310" s="163">
        <v>11.659054231408899</v>
      </c>
      <c r="BC310" s="163">
        <v>-4.9291131272347855E-2</v>
      </c>
      <c r="BD310" s="163">
        <v>55.954221271162524</v>
      </c>
      <c r="BE310" s="163">
        <v>1226.24</v>
      </c>
      <c r="BF310" s="163">
        <v>40.87466666666667</v>
      </c>
      <c r="BG310" s="163">
        <v>891.79200000000003</v>
      </c>
      <c r="BH310" s="163">
        <v>81.632999999999996</v>
      </c>
      <c r="BI310" s="163">
        <v>43.635438413361165</v>
      </c>
      <c r="BJ310" s="163">
        <v>-0.14434628629391</v>
      </c>
      <c r="BK310" s="163">
        <v>477.82900000000001</v>
      </c>
      <c r="BL310" s="163">
        <v>168.12</v>
      </c>
      <c r="BM310" s="163">
        <v>11.690101448329854</v>
      </c>
      <c r="BN310" s="163">
        <v>-1.8243914351392831E-2</v>
      </c>
      <c r="BO310" s="163">
        <v>55.32553986169102</v>
      </c>
      <c r="BP310" s="163">
        <v>749.42</v>
      </c>
      <c r="BQ310" s="163">
        <v>24.980666666666664</v>
      </c>
      <c r="BR310" s="163">
        <v>549.55499999999995</v>
      </c>
      <c r="BS310" s="163">
        <v>49.4</v>
      </c>
      <c r="BT310" s="163">
        <v>43.998425449013901</v>
      </c>
      <c r="BU310" s="163">
        <v>0.21864074935882627</v>
      </c>
      <c r="BV310" s="163">
        <v>287.61799999999999</v>
      </c>
      <c r="BW310" s="163">
        <v>214.666</v>
      </c>
      <c r="BX310" s="163">
        <v>11.513623869125459</v>
      </c>
      <c r="BY310" s="163">
        <v>-0.19472149355578772</v>
      </c>
      <c r="BZ310" s="163">
        <v>55.512049318139361</v>
      </c>
      <c r="CA310" s="163">
        <v>543.19399999999996</v>
      </c>
      <c r="CB310" s="163">
        <v>18.106466666666666</v>
      </c>
      <c r="CC310" s="163">
        <v>392.077</v>
      </c>
      <c r="CD310" s="163">
        <v>49.05</v>
      </c>
      <c r="CE310" s="163">
        <v>43.307952591523474</v>
      </c>
      <c r="CF310" s="163">
        <v>-0.47183210813160059</v>
      </c>
      <c r="CG310" s="163">
        <v>212.57300000000001</v>
      </c>
      <c r="CH310" s="163">
        <v>48.371000000000002</v>
      </c>
      <c r="CI310" s="163">
        <v>11.740170178610221</v>
      </c>
      <c r="CJ310" s="163">
        <v>3.1824815928974459E-2</v>
      </c>
      <c r="CK310" s="163">
        <v>55.048122770133695</v>
      </c>
      <c r="CL310" s="163">
        <v>730.99599999999998</v>
      </c>
      <c r="CM310" s="163">
        <v>24.366533333333333</v>
      </c>
      <c r="CN310" s="163">
        <v>539.505</v>
      </c>
      <c r="CO310" s="163">
        <v>60.9</v>
      </c>
      <c r="CP310" s="163">
        <v>44.282458453945026</v>
      </c>
      <c r="CQ310" s="163">
        <v>0.50267375428995109</v>
      </c>
      <c r="CR310" s="163">
        <v>282.846</v>
      </c>
      <c r="CS310" s="163">
        <v>40.741</v>
      </c>
      <c r="CT310" s="163">
        <v>11.607970495050589</v>
      </c>
      <c r="CU310" s="163">
        <v>-0.1003748676306575</v>
      </c>
      <c r="CV310" s="163">
        <v>55.890428948995613</v>
      </c>
      <c r="CW310" s="163"/>
      <c r="CX310" s="163">
        <v>0</v>
      </c>
      <c r="CY310" s="163">
        <v>0</v>
      </c>
      <c r="CZ310" s="163">
        <v>0</v>
      </c>
      <c r="DA310" s="163">
        <v>0</v>
      </c>
      <c r="DB310" s="163">
        <v>0</v>
      </c>
      <c r="DC310" s="163">
        <v>0</v>
      </c>
      <c r="DD310" s="163"/>
      <c r="DE310" s="163">
        <v>163.321</v>
      </c>
      <c r="DF310" s="163">
        <v>91.757999999999996</v>
      </c>
      <c r="DG310" s="163"/>
      <c r="DH310" s="163">
        <v>0.56182609707263609</v>
      </c>
      <c r="DI310" s="163">
        <v>134.20699999999999</v>
      </c>
      <c r="DJ310" s="163">
        <v>0.4108687798874609</v>
      </c>
      <c r="DK310" s="163">
        <v>124.663</v>
      </c>
      <c r="DL310" s="163">
        <v>119.864</v>
      </c>
      <c r="DM310" s="163">
        <v>3.8495784635376951E-2</v>
      </c>
      <c r="DN310" s="163">
        <v>144.417</v>
      </c>
      <c r="DO310" s="163">
        <v>63.427999999999997</v>
      </c>
      <c r="DP310" s="163">
        <v>94.501999999999995</v>
      </c>
      <c r="DQ310" s="163">
        <v>157.93</v>
      </c>
      <c r="DR310" s="163">
        <v>0.97269487696009693</v>
      </c>
      <c r="DS310" s="163"/>
      <c r="DT310" s="163">
        <v>132.202</v>
      </c>
      <c r="DU310" s="163">
        <v>56.536000000000001</v>
      </c>
      <c r="DV310" s="163">
        <v>43</v>
      </c>
      <c r="DW310" s="163">
        <v>0.42764859835705965</v>
      </c>
      <c r="DX310" s="163">
        <v>35.424999999999997</v>
      </c>
      <c r="DY310" s="163">
        <v>0.13398057518040574</v>
      </c>
      <c r="DZ310" s="163">
        <v>42.085000000000001</v>
      </c>
      <c r="EA310" s="163">
        <v>40.728000000000002</v>
      </c>
      <c r="EB310" s="163">
        <v>3.2244267553760197E-2</v>
      </c>
      <c r="EC310" s="163">
        <v>38.362000000000002</v>
      </c>
      <c r="ED310" s="163">
        <v>15.14</v>
      </c>
      <c r="EE310" s="163">
        <v>19.901</v>
      </c>
      <c r="EF310" s="163">
        <v>35.040999999999997</v>
      </c>
      <c r="EG310" s="163">
        <v>0.56162917353746544</v>
      </c>
    </row>
    <row r="311" spans="1:137" hidden="1">
      <c r="A311" s="157">
        <v>43739</v>
      </c>
      <c r="B311" s="247">
        <v>5609.7569999999996</v>
      </c>
      <c r="C311" s="247">
        <v>186.99189999999999</v>
      </c>
      <c r="D311" s="247">
        <v>11.594899999999996</v>
      </c>
      <c r="E311" s="247">
        <v>6.6106603875778935E-2</v>
      </c>
      <c r="F311" s="247">
        <v>4100.9669999999996</v>
      </c>
      <c r="G311" s="247"/>
      <c r="H311" s="247"/>
      <c r="I311" s="247">
        <v>335.08699999999999</v>
      </c>
      <c r="J311" s="190">
        <v>43.862509552552808</v>
      </c>
      <c r="K311" s="190">
        <v>46.818562729187732</v>
      </c>
      <c r="L311" s="190">
        <v>-0.10143727081226928</v>
      </c>
      <c r="M311" s="247">
        <v>276.37900000000002</v>
      </c>
      <c r="N311" s="247">
        <v>30.175999999999998</v>
      </c>
      <c r="O311" s="247">
        <v>2148.241</v>
      </c>
      <c r="P311" s="247">
        <v>1471.5730000000001</v>
      </c>
      <c r="Q311" s="247">
        <v>645.86199999999997</v>
      </c>
      <c r="R311" s="247">
        <v>412.65600000000001</v>
      </c>
      <c r="S311" s="247">
        <v>413.05500000000001</v>
      </c>
      <c r="T311" s="247">
        <v>348.86099999999999</v>
      </c>
      <c r="U311" s="247">
        <v>397.34500000000025</v>
      </c>
      <c r="V311" s="199">
        <v>0.27921303586774981</v>
      </c>
      <c r="W311" s="190">
        <v>11.488417412732852</v>
      </c>
      <c r="X311" s="190">
        <v>-8.1582587267147844E-2</v>
      </c>
      <c r="Y311" s="247">
        <v>58.306980141920583</v>
      </c>
      <c r="Z311" s="247">
        <v>1609.4839999999999</v>
      </c>
      <c r="AA311" s="247">
        <v>1564.672</v>
      </c>
      <c r="AB311" s="199">
        <v>2.7842463795850037E-2</v>
      </c>
      <c r="AC311" s="199"/>
      <c r="AD311" s="199"/>
      <c r="AE311" s="199"/>
      <c r="AF311" s="199"/>
      <c r="AH311" s="247"/>
      <c r="AI311" s="247">
        <v>650.01900000000001</v>
      </c>
      <c r="AJ311" s="247">
        <v>21.667300000000001</v>
      </c>
      <c r="AK311" s="247">
        <v>466.76100000000002</v>
      </c>
      <c r="AL311" s="247">
        <v>72.400000000000006</v>
      </c>
      <c r="AM311" s="190">
        <v>43.084371379913513</v>
      </c>
      <c r="AN311" s="190">
        <v>-0.77813817263929508</v>
      </c>
      <c r="AO311" s="247">
        <v>255.86699999999999</v>
      </c>
      <c r="AP311" s="247">
        <v>99.68</v>
      </c>
      <c r="AQ311" s="190">
        <v>11.808900970587013</v>
      </c>
      <c r="AR311" s="190">
        <v>0.32048355785416049</v>
      </c>
      <c r="AS311" s="190">
        <v>54.893272350500524</v>
      </c>
      <c r="AT311" s="247">
        <v>1169.508</v>
      </c>
      <c r="AU311" s="247">
        <v>38.983600000000003</v>
      </c>
      <c r="AV311" s="247">
        <v>858.33199999999999</v>
      </c>
      <c r="AW311" s="247">
        <v>36.329000000000001</v>
      </c>
      <c r="AX311" s="190">
        <v>44.035543151479082</v>
      </c>
      <c r="AY311" s="190">
        <v>0.17303359892627412</v>
      </c>
      <c r="AZ311" s="247">
        <v>451.05599999999998</v>
      </c>
      <c r="BA311" s="247">
        <v>97.55</v>
      </c>
      <c r="BB311" s="190">
        <v>11.570403964744148</v>
      </c>
      <c r="BC311" s="190">
        <v>8.1986552011295899E-2</v>
      </c>
      <c r="BD311" s="190">
        <v>55.605947116223234</v>
      </c>
      <c r="BE311" s="247">
        <v>1339.3969999999999</v>
      </c>
      <c r="BF311" s="247">
        <v>44.646566666666665</v>
      </c>
      <c r="BG311" s="247">
        <v>982.99900000000002</v>
      </c>
      <c r="BH311" s="247">
        <v>98.909000000000006</v>
      </c>
      <c r="BI311" s="190">
        <v>44.034696210309569</v>
      </c>
      <c r="BJ311" s="190">
        <v>0.17218665775676101</v>
      </c>
      <c r="BK311" s="247">
        <v>516.04899999999998</v>
      </c>
      <c r="BL311" s="247">
        <v>181.614</v>
      </c>
      <c r="BM311" s="190">
        <v>11.5585371626187</v>
      </c>
      <c r="BN311" s="190">
        <v>7.0119749885847682E-2</v>
      </c>
      <c r="BO311" s="190">
        <v>55.593233372928267</v>
      </c>
      <c r="BP311" s="247">
        <v>863.53700000000003</v>
      </c>
      <c r="BQ311" s="247">
        <v>28.784566666666667</v>
      </c>
      <c r="BR311" s="247">
        <v>632.99300000000005</v>
      </c>
      <c r="BS311" s="247">
        <v>32.418999999999997</v>
      </c>
      <c r="BT311" s="190">
        <v>43.981415967121272</v>
      </c>
      <c r="BU311" s="190">
        <v>0.11890641456846396</v>
      </c>
      <c r="BV311" s="247">
        <v>311.88900000000001</v>
      </c>
      <c r="BW311" s="247">
        <v>171.529</v>
      </c>
      <c r="BX311" s="190">
        <v>10.835285575487791</v>
      </c>
      <c r="BY311" s="190">
        <v>-0.65313183724506096</v>
      </c>
      <c r="BZ311" s="190">
        <v>54.816701542609067</v>
      </c>
      <c r="CA311" s="247">
        <v>623.94600000000003</v>
      </c>
      <c r="CB311" s="247">
        <v>20.798200000000001</v>
      </c>
      <c r="CC311" s="247">
        <v>455.12299999999999</v>
      </c>
      <c r="CD311" s="247">
        <v>47.497</v>
      </c>
      <c r="CE311" s="190">
        <v>43.765614332009498</v>
      </c>
      <c r="CF311" s="190">
        <v>-9.689522054330979E-2</v>
      </c>
      <c r="CG311" s="247">
        <v>242.80099999999999</v>
      </c>
      <c r="CH311" s="247">
        <v>55.456000000000003</v>
      </c>
      <c r="CI311" s="190">
        <v>11.674135261705338</v>
      </c>
      <c r="CJ311" s="190">
        <v>0.18571784897248556</v>
      </c>
      <c r="CK311" s="190">
        <v>55.439749593714836</v>
      </c>
      <c r="CL311" s="247">
        <v>963.35</v>
      </c>
      <c r="CM311" s="247">
        <v>32.111666666666665</v>
      </c>
      <c r="CN311" s="247">
        <v>704.75900000000001</v>
      </c>
      <c r="CO311" s="247">
        <v>47.533000000000001</v>
      </c>
      <c r="CP311" s="190">
        <v>43.894264805107184</v>
      </c>
      <c r="CQ311" s="190">
        <v>3.1755252554376057E-2</v>
      </c>
      <c r="CR311" s="247">
        <v>370.57900000000001</v>
      </c>
      <c r="CS311" s="247">
        <v>40.033000000000001</v>
      </c>
      <c r="CT311" s="190">
        <v>11.540322831784918</v>
      </c>
      <c r="CU311" s="190">
        <v>5.1905419052065582E-2</v>
      </c>
      <c r="CV311" s="190">
        <v>55.434587636892104</v>
      </c>
      <c r="CW311" s="163"/>
      <c r="CX311" s="212">
        <v>0</v>
      </c>
      <c r="CY311" s="212">
        <v>0</v>
      </c>
      <c r="CZ311" s="212">
        <v>0</v>
      </c>
      <c r="DA311" s="212">
        <v>0</v>
      </c>
      <c r="DB311" s="212">
        <v>0</v>
      </c>
      <c r="DC311" s="212">
        <v>0</v>
      </c>
      <c r="DD311" s="163"/>
      <c r="DE311" s="247">
        <v>188.29900000000001</v>
      </c>
      <c r="DF311" s="247">
        <v>104.798</v>
      </c>
      <c r="DG311" s="247"/>
      <c r="DH311" s="199">
        <v>0.55655101726509437</v>
      </c>
      <c r="DI311" s="247">
        <v>157.494</v>
      </c>
      <c r="DJ311" s="199">
        <v>0.41820190229369247</v>
      </c>
      <c r="DK311" s="247">
        <v>126.65600000000001</v>
      </c>
      <c r="DL311" s="247">
        <v>122.81399999999999</v>
      </c>
      <c r="DM311" s="199">
        <v>3.0334133400707564E-2</v>
      </c>
      <c r="DN311" s="247">
        <v>164.83</v>
      </c>
      <c r="DO311" s="247">
        <v>49.976999999999997</v>
      </c>
      <c r="DP311" s="247">
        <v>96.590999999999994</v>
      </c>
      <c r="DQ311" s="247">
        <v>146.56799999999998</v>
      </c>
      <c r="DR311" s="247">
        <v>0.97475291955878685</v>
      </c>
      <c r="DS311" s="247"/>
      <c r="DT311" s="247">
        <v>145.48500000000001</v>
      </c>
      <c r="DU311" s="247">
        <v>67.941999999999993</v>
      </c>
      <c r="DV311" s="247">
        <v>36.31</v>
      </c>
      <c r="DW311" s="199">
        <v>0.46700347114822827</v>
      </c>
      <c r="DX311" s="247">
        <v>39.875999999999998</v>
      </c>
      <c r="DY311" s="199">
        <v>0.13704505619135993</v>
      </c>
      <c r="DZ311" s="247">
        <v>44.145000000000003</v>
      </c>
      <c r="EA311" s="247">
        <v>42.662999999999997</v>
      </c>
      <c r="EB311" s="199">
        <v>3.3571185864764042E-2</v>
      </c>
      <c r="EC311" s="247">
        <v>44.234999999999999</v>
      </c>
      <c r="ED311" s="247">
        <v>10.242000000000001</v>
      </c>
      <c r="EE311" s="247">
        <v>22.131</v>
      </c>
      <c r="EF311" s="247">
        <v>32.373000000000005</v>
      </c>
      <c r="EG311" s="199">
        <v>0.60404852733958814</v>
      </c>
    </row>
    <row r="312" spans="1:137" hidden="1">
      <c r="A312" s="157">
        <v>43770</v>
      </c>
      <c r="B312" s="247">
        <v>5239.4520000000002</v>
      </c>
      <c r="C312" s="247">
        <v>174.64840000000001</v>
      </c>
      <c r="D312" s="247">
        <v>9.7394000000000176</v>
      </c>
      <c r="E312" s="247">
        <v>5.9059238731664188E-2</v>
      </c>
      <c r="F312" s="247">
        <v>3855.8270000000002</v>
      </c>
      <c r="G312" s="247"/>
      <c r="H312" s="247"/>
      <c r="I312" s="247">
        <v>426.33199999999999</v>
      </c>
      <c r="J312" s="190">
        <v>44.155308608610213</v>
      </c>
      <c r="K312" s="190">
        <v>47.086283069298084</v>
      </c>
      <c r="L312" s="190">
        <v>-0.13371693070191526</v>
      </c>
      <c r="M312" s="247">
        <v>255.94499999999999</v>
      </c>
      <c r="N312" s="247">
        <v>41.081000000000003</v>
      </c>
      <c r="O312" s="247">
        <v>1999.6479999999999</v>
      </c>
      <c r="P312" s="247">
        <v>1522.923</v>
      </c>
      <c r="Q312" s="247">
        <v>739.83199999999999</v>
      </c>
      <c r="R312" s="247">
        <v>392.63</v>
      </c>
      <c r="S312" s="247">
        <v>390.46100000000001</v>
      </c>
      <c r="T312" s="247">
        <v>357.435</v>
      </c>
      <c r="U312" s="247">
        <v>432.26499999999987</v>
      </c>
      <c r="V312" s="199">
        <v>0.29850638046037092</v>
      </c>
      <c r="W312" s="190">
        <v>11.449563809344946</v>
      </c>
      <c r="X312" s="190">
        <v>-8.0436190655053252E-2</v>
      </c>
      <c r="Y312" s="247">
        <v>58.535846878643028</v>
      </c>
      <c r="Z312" s="247">
        <v>1397.17</v>
      </c>
      <c r="AA312" s="247">
        <v>1362.3430000000001</v>
      </c>
      <c r="AB312" s="199">
        <v>2.4926816350193604E-2</v>
      </c>
      <c r="AC312" s="199"/>
      <c r="AD312" s="199"/>
      <c r="AE312" s="199"/>
      <c r="AF312" s="199"/>
      <c r="AH312" s="247"/>
      <c r="AI312" s="247">
        <v>613.80799999999999</v>
      </c>
      <c r="AJ312" s="247">
        <v>20.460266666666666</v>
      </c>
      <c r="AK312" s="247">
        <v>447.21</v>
      </c>
      <c r="AL312" s="247">
        <v>88.658000000000001</v>
      </c>
      <c r="AM312" s="190">
        <v>43.714972760211666</v>
      </c>
      <c r="AN312" s="190">
        <v>-0.44033584839854711</v>
      </c>
      <c r="AO312" s="247">
        <v>234.749</v>
      </c>
      <c r="AP312" s="247">
        <v>117.15300000000001</v>
      </c>
      <c r="AQ312" s="190">
        <v>11.473408622891849</v>
      </c>
      <c r="AR312" s="190">
        <v>2.3844813546903154E-2</v>
      </c>
      <c r="AS312" s="190">
        <v>55.188381383103518</v>
      </c>
      <c r="AT312" s="247">
        <v>1040.2639999999999</v>
      </c>
      <c r="AU312" s="247">
        <v>34.675466666666665</v>
      </c>
      <c r="AV312" s="247">
        <v>767.35699999999997</v>
      </c>
      <c r="AW312" s="247">
        <v>62.898000000000003</v>
      </c>
      <c r="AX312" s="190">
        <v>44.259361085262974</v>
      </c>
      <c r="AY312" s="190">
        <v>0.10405247665276107</v>
      </c>
      <c r="AZ312" s="247">
        <v>397.63600000000002</v>
      </c>
      <c r="BA312" s="247">
        <v>150.24799999999999</v>
      </c>
      <c r="BB312" s="190">
        <v>11.467358285973562</v>
      </c>
      <c r="BC312" s="190">
        <v>1.7794476628615996E-2</v>
      </c>
      <c r="BD312" s="190">
        <v>55.726719371236534</v>
      </c>
      <c r="BE312" s="247">
        <v>1227.011</v>
      </c>
      <c r="BF312" s="247">
        <v>40.900366666666663</v>
      </c>
      <c r="BG312" s="247">
        <v>903.97799999999995</v>
      </c>
      <c r="BH312" s="247">
        <v>110.754</v>
      </c>
      <c r="BI312" s="190">
        <v>44.203906892440251</v>
      </c>
      <c r="BJ312" s="190">
        <v>4.8598283830038724E-2</v>
      </c>
      <c r="BK312" s="247">
        <v>467.44499999999999</v>
      </c>
      <c r="BL312" s="247">
        <v>193.446</v>
      </c>
      <c r="BM312" s="190">
        <v>11.428870645821432</v>
      </c>
      <c r="BN312" s="190">
        <v>-2.0693163523514357E-2</v>
      </c>
      <c r="BO312" s="190">
        <v>55.632777538261685</v>
      </c>
      <c r="BP312" s="247">
        <v>775.26599999999996</v>
      </c>
      <c r="BQ312" s="247">
        <v>25.842199999999998</v>
      </c>
      <c r="BR312" s="247">
        <v>570.69299999999998</v>
      </c>
      <c r="BS312" s="247">
        <v>51.933999999999997</v>
      </c>
      <c r="BT312" s="190">
        <v>44.167524436773959</v>
      </c>
      <c r="BU312" s="190">
        <v>1.2215828163746778E-2</v>
      </c>
      <c r="BV312" s="247">
        <v>290.75400000000002</v>
      </c>
      <c r="BW312" s="247">
        <v>176.423</v>
      </c>
      <c r="BX312" s="190">
        <v>11.251131869577669</v>
      </c>
      <c r="BY312" s="190">
        <v>-0.19843193976727669</v>
      </c>
      <c r="BZ312" s="190">
        <v>55.418656306351629</v>
      </c>
      <c r="CA312" s="247">
        <v>653.67600000000004</v>
      </c>
      <c r="CB312" s="247">
        <v>21.789200000000001</v>
      </c>
      <c r="CC312" s="247">
        <v>476.279</v>
      </c>
      <c r="CD312" s="247">
        <v>70.733000000000004</v>
      </c>
      <c r="CE312" s="190">
        <v>43.716979053843183</v>
      </c>
      <c r="CF312" s="190">
        <v>-0.43832955476703006</v>
      </c>
      <c r="CG312" s="247">
        <v>252.65799999999999</v>
      </c>
      <c r="CH312" s="247">
        <v>62.768000000000001</v>
      </c>
      <c r="CI312" s="190">
        <v>11.595561103666036</v>
      </c>
      <c r="CJ312" s="190">
        <v>0.14599729432108965</v>
      </c>
      <c r="CK312" s="190">
        <v>55.312540157509218</v>
      </c>
      <c r="CL312" s="247">
        <v>929.42700000000002</v>
      </c>
      <c r="CM312" s="247">
        <v>30.980900000000002</v>
      </c>
      <c r="CN312" s="247">
        <v>690.31</v>
      </c>
      <c r="CO312" s="247">
        <v>41.354999999999997</v>
      </c>
      <c r="CP312" s="190">
        <v>44.563585951344209</v>
      </c>
      <c r="CQ312" s="190">
        <v>0.40827734273399585</v>
      </c>
      <c r="CR312" s="247">
        <v>356.40600000000001</v>
      </c>
      <c r="CS312" s="247">
        <v>39.793999999999997</v>
      </c>
      <c r="CT312" s="190">
        <v>11.504055724656158</v>
      </c>
      <c r="CU312" s="190">
        <v>5.4491915311212225E-2</v>
      </c>
      <c r="CV312" s="190">
        <v>56.067641676000363</v>
      </c>
      <c r="CW312" s="163"/>
      <c r="CX312" s="212">
        <v>3.1974423109204508E-14</v>
      </c>
      <c r="CY312" s="212">
        <v>0</v>
      </c>
      <c r="CZ312" s="212">
        <v>-6.3948846218409017E-14</v>
      </c>
      <c r="DA312" s="212">
        <v>0</v>
      </c>
      <c r="DB312" s="212">
        <v>0</v>
      </c>
      <c r="DC312" s="212">
        <v>0</v>
      </c>
      <c r="DD312" s="163"/>
      <c r="DE312" s="247">
        <v>152.43</v>
      </c>
      <c r="DF312" s="247">
        <v>85.254999999999995</v>
      </c>
      <c r="DG312" s="247"/>
      <c r="DH312" s="199">
        <v>0.55930591090992576</v>
      </c>
      <c r="DI312" s="247">
        <v>126.68</v>
      </c>
      <c r="DJ312" s="199">
        <v>0.4155349996719806</v>
      </c>
      <c r="DK312" s="247">
        <v>99.525999999999996</v>
      </c>
      <c r="DL312" s="247">
        <v>96.257999999999996</v>
      </c>
      <c r="DM312" s="199">
        <v>3.2835640938046362E-2</v>
      </c>
      <c r="DN312" s="247">
        <v>159.52000000000001</v>
      </c>
      <c r="DO312" s="247">
        <v>39.936999999999998</v>
      </c>
      <c r="DP312" s="247">
        <v>101.435</v>
      </c>
      <c r="DQ312" s="247">
        <v>141.37200000000001</v>
      </c>
      <c r="DR312" s="247">
        <v>0.97484091058190636</v>
      </c>
      <c r="DS312" s="247"/>
      <c r="DT312" s="247">
        <v>166.80199999999999</v>
      </c>
      <c r="DU312" s="247">
        <v>83.584000000000003</v>
      </c>
      <c r="DV312" s="247">
        <v>37.279000000000003</v>
      </c>
      <c r="DW312" s="199">
        <v>0.50109710914737238</v>
      </c>
      <c r="DX312" s="247">
        <v>46.500999999999998</v>
      </c>
      <c r="DY312" s="199">
        <v>0.1393898154698385</v>
      </c>
      <c r="DZ312" s="247">
        <v>42.46</v>
      </c>
      <c r="EA312" s="247">
        <v>41.244999999999997</v>
      </c>
      <c r="EB312" s="199">
        <v>2.8615167216203607E-2</v>
      </c>
      <c r="EC312" s="247">
        <v>36.762</v>
      </c>
      <c r="ED312" s="247">
        <v>15</v>
      </c>
      <c r="EE312" s="247">
        <v>28.744</v>
      </c>
      <c r="EF312" s="247">
        <v>43.744</v>
      </c>
      <c r="EG312" s="199">
        <v>0.64048692461721091</v>
      </c>
    </row>
    <row r="313" spans="1:137" hidden="1">
      <c r="A313" s="157">
        <v>43800</v>
      </c>
      <c r="B313" s="247">
        <v>5542.2740000000003</v>
      </c>
      <c r="C313" s="247">
        <v>184.74246666666667</v>
      </c>
      <c r="D313" s="247">
        <v>9.9304666666666606</v>
      </c>
      <c r="E313" s="247">
        <v>5.6806550274961953E-2</v>
      </c>
      <c r="F313" s="247">
        <v>4062.9290000000001</v>
      </c>
      <c r="G313" s="247"/>
      <c r="H313" s="247"/>
      <c r="I313" s="247">
        <v>342.08499999999998</v>
      </c>
      <c r="J313" s="190">
        <v>43.984786749987457</v>
      </c>
      <c r="K313" s="190">
        <v>46.958039245262867</v>
      </c>
      <c r="L313" s="190">
        <v>-8.1960754737131936E-2</v>
      </c>
      <c r="M313" s="247">
        <v>274.64299999999997</v>
      </c>
      <c r="N313" s="247">
        <v>34.987000000000002</v>
      </c>
      <c r="O313" s="247">
        <v>2110.9360000000001</v>
      </c>
      <c r="P313" s="247">
        <v>1749.423</v>
      </c>
      <c r="Q313" s="247">
        <v>830.21900000000005</v>
      </c>
      <c r="R313" s="247">
        <v>413.42500000000001</v>
      </c>
      <c r="S313" s="247">
        <v>505.779</v>
      </c>
      <c r="T313" s="247">
        <v>384.64100000000002</v>
      </c>
      <c r="U313" s="247">
        <v>376.99499999999989</v>
      </c>
      <c r="V313" s="199">
        <v>0.21455901845630421</v>
      </c>
      <c r="W313" s="190">
        <v>11.426371197093468</v>
      </c>
      <c r="X313" s="190">
        <v>-8.3628802906531519E-2</v>
      </c>
      <c r="Y313" s="247">
        <v>58.384410442356334</v>
      </c>
      <c r="Z313" s="247">
        <v>1389.8720000000001</v>
      </c>
      <c r="AA313" s="247">
        <v>1363.403</v>
      </c>
      <c r="AB313" s="199">
        <v>1.9044199753646414E-2</v>
      </c>
      <c r="AC313" s="199"/>
      <c r="AD313" s="199"/>
      <c r="AE313" s="199"/>
      <c r="AF313" s="199"/>
      <c r="AH313" s="247"/>
      <c r="AI313" s="247">
        <v>671.35199999999998</v>
      </c>
      <c r="AJ313" s="247">
        <v>22.378399999999999</v>
      </c>
      <c r="AK313" s="247">
        <v>493.44099999999997</v>
      </c>
      <c r="AL313" s="247">
        <v>99.599000000000004</v>
      </c>
      <c r="AM313" s="190">
        <v>44.099756908447432</v>
      </c>
      <c r="AN313" s="190">
        <v>0.11497015845997538</v>
      </c>
      <c r="AO313" s="247">
        <v>263.71899999999999</v>
      </c>
      <c r="AP313" s="247">
        <v>156.36699999999999</v>
      </c>
      <c r="AQ313" s="190">
        <v>11.784533299967826</v>
      </c>
      <c r="AR313" s="190">
        <v>0.35816210287435801</v>
      </c>
      <c r="AS313" s="190">
        <v>55.884290208415258</v>
      </c>
      <c r="AT313" s="247">
        <v>1132.5409999999999</v>
      </c>
      <c r="AU313" s="247">
        <v>37.751366666666662</v>
      </c>
      <c r="AV313" s="247">
        <v>831.94200000000001</v>
      </c>
      <c r="AW313" s="247">
        <v>43.441000000000003</v>
      </c>
      <c r="AX313" s="190">
        <v>44.074801706958077</v>
      </c>
      <c r="AY313" s="190">
        <v>9.0014956970620119E-2</v>
      </c>
      <c r="AZ313" s="247">
        <v>429.60199999999998</v>
      </c>
      <c r="BA313" s="247">
        <v>160.31100000000001</v>
      </c>
      <c r="BB313" s="190">
        <v>11.3797734474955</v>
      </c>
      <c r="BC313" s="190">
        <v>-4.6597749597967919E-2</v>
      </c>
      <c r="BD313" s="190">
        <v>55.454575154453579</v>
      </c>
      <c r="BE313" s="247">
        <v>1303.3109999999999</v>
      </c>
      <c r="BF313" s="247">
        <v>43.4437</v>
      </c>
      <c r="BG313" s="247">
        <v>949.86300000000006</v>
      </c>
      <c r="BH313" s="247">
        <v>54.872</v>
      </c>
      <c r="BI313" s="190">
        <v>43.728457751066323</v>
      </c>
      <c r="BJ313" s="190">
        <v>-0.25632899892113414</v>
      </c>
      <c r="BK313" s="247">
        <v>497.54</v>
      </c>
      <c r="BL313" s="247">
        <v>224.72</v>
      </c>
      <c r="BM313" s="190">
        <v>11.4525236110184</v>
      </c>
      <c r="BN313" s="190">
        <v>2.6152413924931395E-2</v>
      </c>
      <c r="BO313" s="190">
        <v>55.180981362084722</v>
      </c>
      <c r="BP313" s="247">
        <v>819.14700000000005</v>
      </c>
      <c r="BQ313" s="247">
        <v>27.3049</v>
      </c>
      <c r="BR313" s="247">
        <v>605.57000000000005</v>
      </c>
      <c r="BS313" s="247">
        <v>38.530999999999999</v>
      </c>
      <c r="BT313" s="190">
        <v>44.35614120542467</v>
      </c>
      <c r="BU313" s="190">
        <v>0.37135445543721346</v>
      </c>
      <c r="BV313" s="247">
        <v>297.572</v>
      </c>
      <c r="BW313" s="247">
        <v>189.297</v>
      </c>
      <c r="BX313" s="190">
        <v>10.898117187757508</v>
      </c>
      <c r="BY313" s="190">
        <v>-0.52825400933596001</v>
      </c>
      <c r="BZ313" s="190">
        <v>55.254258393182177</v>
      </c>
      <c r="CA313" s="247">
        <v>680.36400000000003</v>
      </c>
      <c r="CB313" s="247">
        <v>22.678800000000003</v>
      </c>
      <c r="CC313" s="247">
        <v>487.15600000000001</v>
      </c>
      <c r="CD313" s="247">
        <v>61.569000000000003</v>
      </c>
      <c r="CE313" s="190">
        <v>42.961355980034213</v>
      </c>
      <c r="CF313" s="190">
        <v>-1.0234307699532437</v>
      </c>
      <c r="CG313" s="247">
        <v>260.95299999999997</v>
      </c>
      <c r="CH313" s="247">
        <v>51.79</v>
      </c>
      <c r="CI313" s="190">
        <v>11.506473005626397</v>
      </c>
      <c r="CJ313" s="190">
        <v>8.0101808532928587E-2</v>
      </c>
      <c r="CK313" s="190">
        <v>54.46782898566061</v>
      </c>
      <c r="CL313" s="247">
        <v>935.55899999999997</v>
      </c>
      <c r="CM313" s="247">
        <v>31.185299999999998</v>
      </c>
      <c r="CN313" s="247">
        <v>694.95699999999999</v>
      </c>
      <c r="CO313" s="247">
        <v>44.073</v>
      </c>
      <c r="CP313" s="190">
        <v>44.569524744030041</v>
      </c>
      <c r="CQ313" s="190">
        <v>0.58473799404258386</v>
      </c>
      <c r="CR313" s="247">
        <v>361.55</v>
      </c>
      <c r="CS313" s="247">
        <v>47.734000000000002</v>
      </c>
      <c r="CT313" s="190">
        <v>11.593603396472057</v>
      </c>
      <c r="CU313" s="190">
        <v>0.16723219937858858</v>
      </c>
      <c r="CV313" s="190">
        <v>56.163128140502096</v>
      </c>
      <c r="CW313" s="163"/>
      <c r="CX313" s="212">
        <v>0</v>
      </c>
      <c r="CY313" s="212">
        <v>0</v>
      </c>
      <c r="CZ313" s="212">
        <v>0</v>
      </c>
      <c r="DA313" s="212">
        <v>0</v>
      </c>
      <c r="DB313" s="212">
        <v>0</v>
      </c>
      <c r="DC313" s="212">
        <v>0</v>
      </c>
      <c r="DD313" s="163"/>
      <c r="DE313" s="247">
        <v>176.63800000000001</v>
      </c>
      <c r="DF313" s="247">
        <v>98.584999999999994</v>
      </c>
      <c r="DG313" s="247"/>
      <c r="DH313" s="199">
        <v>0.55811886457047744</v>
      </c>
      <c r="DI313" s="247">
        <v>146.68</v>
      </c>
      <c r="DJ313" s="199">
        <v>0.41519944745751197</v>
      </c>
      <c r="DK313" s="247">
        <v>108.75700000000001</v>
      </c>
      <c r="DL313" s="247">
        <v>104.895</v>
      </c>
      <c r="DM313" s="199">
        <v>3.5510357953970839E-2</v>
      </c>
      <c r="DN313" s="247">
        <v>149.17099999999999</v>
      </c>
      <c r="DO313" s="247">
        <v>37.28</v>
      </c>
      <c r="DP313" s="247">
        <v>93.468999999999994</v>
      </c>
      <c r="DQ313" s="247">
        <v>130.749</v>
      </c>
      <c r="DR313" s="247">
        <v>0.97331831202798935</v>
      </c>
      <c r="DS313" s="247"/>
      <c r="DT313" s="247">
        <v>180.22399999999999</v>
      </c>
      <c r="DU313" s="247">
        <v>81.474000000000004</v>
      </c>
      <c r="DV313" s="247">
        <v>30.832999999999998</v>
      </c>
      <c r="DW313" s="199">
        <v>0.45207075639204553</v>
      </c>
      <c r="DX313" s="247">
        <v>50.329000000000001</v>
      </c>
      <c r="DY313" s="199">
        <v>0.13962901722301138</v>
      </c>
      <c r="DZ313" s="247">
        <v>53.311</v>
      </c>
      <c r="EA313" s="247">
        <v>51.625999999999998</v>
      </c>
      <c r="EB313" s="199">
        <v>3.1606985425146839E-2</v>
      </c>
      <c r="EC313" s="247">
        <v>46.475999999999999</v>
      </c>
      <c r="ED313" s="247">
        <v>15</v>
      </c>
      <c r="EE313" s="247">
        <v>30.271999999999998</v>
      </c>
      <c r="EF313" s="247">
        <v>45.271999999999998</v>
      </c>
      <c r="EG313" s="199">
        <v>0.59169977361505688</v>
      </c>
    </row>
    <row r="314" spans="1:137" hidden="1">
      <c r="A314" s="157">
        <v>43831</v>
      </c>
      <c r="B314" s="247">
        <v>5663.4030000000002</v>
      </c>
      <c r="C314" s="247">
        <v>188.7801</v>
      </c>
      <c r="D314" s="247">
        <v>11.840100000000007</v>
      </c>
      <c r="E314" s="247">
        <v>6.6915903696168177E-2</v>
      </c>
      <c r="F314" s="247">
        <v>4144.3549999999996</v>
      </c>
      <c r="G314" s="247"/>
      <c r="H314" s="247"/>
      <c r="I314" s="247">
        <v>302.32100000000003</v>
      </c>
      <c r="J314" s="190">
        <v>43.906693555093987</v>
      </c>
      <c r="K314" s="190">
        <v>46.887876423415392</v>
      </c>
      <c r="L314" s="190">
        <v>-3.2123576584609737E-2</v>
      </c>
      <c r="M314" s="247">
        <v>281.39400000000001</v>
      </c>
      <c r="N314" s="247">
        <v>42.612000000000002</v>
      </c>
      <c r="O314" s="247">
        <v>2154.4270000000001</v>
      </c>
      <c r="P314" s="247">
        <v>1989.164</v>
      </c>
      <c r="Q314" s="247">
        <v>862.56700000000001</v>
      </c>
      <c r="R314" s="247">
        <v>467.76400000000001</v>
      </c>
      <c r="S314" s="247">
        <v>658.83299999999997</v>
      </c>
      <c r="T314" s="247">
        <v>362.62</v>
      </c>
      <c r="U314" s="247">
        <v>339.05600000000004</v>
      </c>
      <c r="V314" s="199">
        <v>0.16845594635738159</v>
      </c>
      <c r="W314" s="190">
        <v>11.412362849685957</v>
      </c>
      <c r="X314" s="190">
        <v>-8.7637150314042955E-2</v>
      </c>
      <c r="Y314" s="247">
        <v>58.300239273101347</v>
      </c>
      <c r="Z314" s="247">
        <v>1407.5029999999999</v>
      </c>
      <c r="AA314" s="247">
        <v>1374.5050000000001</v>
      </c>
      <c r="AB314" s="199">
        <v>2.3444355003150844E-2</v>
      </c>
      <c r="AC314" s="199"/>
      <c r="AD314" s="199"/>
      <c r="AE314" s="199"/>
      <c r="AF314" s="199"/>
      <c r="AH314" s="247"/>
      <c r="AI314" s="247">
        <v>680.08199999999999</v>
      </c>
      <c r="AJ314" s="247">
        <v>22.6694</v>
      </c>
      <c r="AK314" s="247">
        <v>494.22899999999998</v>
      </c>
      <c r="AL314" s="247">
        <v>57.934565488356142</v>
      </c>
      <c r="AM314" s="190">
        <v>43.603183145561857</v>
      </c>
      <c r="AN314" s="190">
        <v>-0.30351040953213015</v>
      </c>
      <c r="AO314" s="247">
        <v>262.99200000000002</v>
      </c>
      <c r="AP314" s="247">
        <v>188.98099999999999</v>
      </c>
      <c r="AQ314" s="190">
        <v>11.601189268352934</v>
      </c>
      <c r="AR314" s="190">
        <v>0.18882641866697725</v>
      </c>
      <c r="AS314" s="190">
        <v>55.20437241391479</v>
      </c>
      <c r="AT314" s="247">
        <v>1149.329</v>
      </c>
      <c r="AU314" s="247">
        <v>38.310966666666666</v>
      </c>
      <c r="AV314" s="247">
        <v>839.81</v>
      </c>
      <c r="AW314" s="247">
        <v>45.618000000000002</v>
      </c>
      <c r="AX314" s="190">
        <v>43.84175462378483</v>
      </c>
      <c r="AY314" s="190">
        <v>-6.493893130915751E-2</v>
      </c>
      <c r="AZ314" s="247">
        <v>437.67700000000002</v>
      </c>
      <c r="BA314" s="247">
        <v>175.85499999999999</v>
      </c>
      <c r="BB314" s="190">
        <v>11.424326715848988</v>
      </c>
      <c r="BC314" s="190">
        <v>1.1963866163030801E-2</v>
      </c>
      <c r="BD314" s="190">
        <v>55.266081339633814</v>
      </c>
      <c r="BE314" s="247">
        <v>1331.4690000000001</v>
      </c>
      <c r="BF314" s="247">
        <v>44.382300000000001</v>
      </c>
      <c r="BG314" s="247">
        <v>978.89300000000003</v>
      </c>
      <c r="BH314" s="247">
        <v>68.352000000000004</v>
      </c>
      <c r="BI314" s="190">
        <v>44.111864414417461</v>
      </c>
      <c r="BJ314" s="190">
        <v>0.20517085932347356</v>
      </c>
      <c r="BK314" s="247">
        <v>505.36500000000001</v>
      </c>
      <c r="BL314" s="247">
        <v>202.07599999999999</v>
      </c>
      <c r="BM314" s="190">
        <v>11.386633860795857</v>
      </c>
      <c r="BN314" s="190">
        <v>-2.5728988890099558E-2</v>
      </c>
      <c r="BO314" s="190">
        <v>55.498498275213322</v>
      </c>
      <c r="BP314" s="247">
        <v>819.48699999999997</v>
      </c>
      <c r="BQ314" s="247">
        <v>27.316233333333333</v>
      </c>
      <c r="BR314" s="247">
        <v>602.35299999999995</v>
      </c>
      <c r="BS314" s="247">
        <v>35.194000000000003</v>
      </c>
      <c r="BT314" s="190">
        <v>44.102200523010126</v>
      </c>
      <c r="BU314" s="190">
        <v>0.19550696791613831</v>
      </c>
      <c r="BV314" s="247">
        <v>301.55599999999998</v>
      </c>
      <c r="BW314" s="247">
        <v>190.08799999999999</v>
      </c>
      <c r="BX314" s="190">
        <v>11.039442968588885</v>
      </c>
      <c r="BY314" s="190">
        <v>-0.37291988109707219</v>
      </c>
      <c r="BZ314" s="190">
        <v>55.141643491599012</v>
      </c>
      <c r="CA314" s="247">
        <v>688.34699999999998</v>
      </c>
      <c r="CB314" s="247">
        <v>22.944900000000001</v>
      </c>
      <c r="CC314" s="247">
        <v>500.25700000000001</v>
      </c>
      <c r="CD314" s="247">
        <v>50.317434511643896</v>
      </c>
      <c r="CE314" s="190">
        <v>43.605071279456439</v>
      </c>
      <c r="CF314" s="190">
        <v>-0.3016222756375484</v>
      </c>
      <c r="CG314" s="247">
        <v>264.03500000000003</v>
      </c>
      <c r="CH314" s="247">
        <v>60.134915165601996</v>
      </c>
      <c r="CI314" s="190">
        <v>11.50735021725961</v>
      </c>
      <c r="CJ314" s="190">
        <v>9.4987367573653003E-2</v>
      </c>
      <c r="CK314" s="190">
        <v>55.112421496716053</v>
      </c>
      <c r="CL314" s="247">
        <v>994.68899999999996</v>
      </c>
      <c r="CM314" s="247">
        <v>33.156300000000002</v>
      </c>
      <c r="CN314" s="247">
        <v>728.81299999999999</v>
      </c>
      <c r="CO314" s="247">
        <v>44.905000000000001</v>
      </c>
      <c r="CP314" s="190">
        <v>43.962263581883377</v>
      </c>
      <c r="CQ314" s="190">
        <v>5.5570026789389715E-2</v>
      </c>
      <c r="CR314" s="247">
        <v>382.80200000000002</v>
      </c>
      <c r="CS314" s="247">
        <v>45.432084834397983</v>
      </c>
      <c r="CT314" s="190">
        <v>11.54537749990198</v>
      </c>
      <c r="CU314" s="190">
        <v>0.13301465021602255</v>
      </c>
      <c r="CV314" s="190">
        <v>55.507641081785358</v>
      </c>
      <c r="CW314" s="163"/>
      <c r="CX314" s="212">
        <v>0</v>
      </c>
      <c r="CY314" s="212">
        <v>0</v>
      </c>
      <c r="CZ314" s="212">
        <v>0</v>
      </c>
      <c r="DA314" s="212">
        <v>0</v>
      </c>
      <c r="DB314" s="212">
        <v>0</v>
      </c>
      <c r="DC314" s="212">
        <v>0</v>
      </c>
      <c r="DD314" s="163"/>
      <c r="DE314" s="247">
        <v>167.209</v>
      </c>
      <c r="DF314" s="247">
        <v>94.338999999999999</v>
      </c>
      <c r="DG314" s="247"/>
      <c r="DH314" s="199">
        <v>0.56419809938460252</v>
      </c>
      <c r="DI314" s="247">
        <v>139.25899999999999</v>
      </c>
      <c r="DJ314" s="199">
        <v>0.41642196293261724</v>
      </c>
      <c r="DK314" s="247">
        <v>103.581</v>
      </c>
      <c r="DL314" s="247">
        <v>100.61</v>
      </c>
      <c r="DM314" s="199">
        <v>2.8682866548884522E-2</v>
      </c>
      <c r="DN314" s="247">
        <v>161.22999999999999</v>
      </c>
      <c r="DO314" s="247">
        <v>48.991</v>
      </c>
      <c r="DP314" s="247">
        <v>85.492000000000004</v>
      </c>
      <c r="DQ314" s="247">
        <v>134.483</v>
      </c>
      <c r="DR314" s="247">
        <v>0.98062006231721977</v>
      </c>
      <c r="DS314" s="247"/>
      <c r="DT314" s="247">
        <v>156.04</v>
      </c>
      <c r="DU314" s="247">
        <v>68.924000000000007</v>
      </c>
      <c r="DV314" s="247">
        <v>20.751999999999999</v>
      </c>
      <c r="DW314" s="199">
        <v>0.44170725455011545</v>
      </c>
      <c r="DX314" s="247">
        <v>44.332999999999998</v>
      </c>
      <c r="DY314" s="199">
        <v>0.14205652396821328</v>
      </c>
      <c r="DZ314" s="247">
        <v>44.505000000000003</v>
      </c>
      <c r="EA314" s="247">
        <v>43.281999999999996</v>
      </c>
      <c r="EB314" s="199">
        <v>2.7480058420402353E-2</v>
      </c>
      <c r="EC314" s="247">
        <v>49.113999999999997</v>
      </c>
      <c r="ED314" s="247">
        <v>15</v>
      </c>
      <c r="EE314" s="247">
        <v>25.847999999999999</v>
      </c>
      <c r="EF314" s="247">
        <v>40.847999999999999</v>
      </c>
      <c r="EG314" s="199">
        <v>0.58376377851832872</v>
      </c>
    </row>
    <row r="315" spans="1:137" hidden="1">
      <c r="A315" s="157">
        <v>43862</v>
      </c>
      <c r="B315" s="247">
        <v>5447.0479999999998</v>
      </c>
      <c r="C315" s="247">
        <v>181.56826666666666</v>
      </c>
      <c r="D315" s="247">
        <v>15.280266666666648</v>
      </c>
      <c r="E315" s="247">
        <v>9.1890374931844931E-2</v>
      </c>
      <c r="F315" s="247">
        <v>4001.0390000000002</v>
      </c>
      <c r="G315" s="247"/>
      <c r="H315" s="247"/>
      <c r="I315" s="247">
        <v>418.75200000000001</v>
      </c>
      <c r="J315" s="190">
        <v>44.072007443297728</v>
      </c>
      <c r="K315" s="190">
        <v>47.044498230968415</v>
      </c>
      <c r="L315" s="190">
        <v>4.4982309684158395E-3</v>
      </c>
      <c r="M315" s="247">
        <v>269.85500000000002</v>
      </c>
      <c r="N315" s="247">
        <v>46.064</v>
      </c>
      <c r="O315" s="247">
        <v>2074.4549999999999</v>
      </c>
      <c r="P315" s="247">
        <v>2034.7239999999999</v>
      </c>
      <c r="Q315" s="247">
        <v>952.149</v>
      </c>
      <c r="R315" s="247">
        <v>496.38099999999997</v>
      </c>
      <c r="S315" s="247">
        <v>586.19399999999996</v>
      </c>
      <c r="T315" s="247">
        <v>385.50799999999998</v>
      </c>
      <c r="U315" s="247">
        <v>498.11200000000008</v>
      </c>
      <c r="V315" s="199">
        <v>0.25914719164256139</v>
      </c>
      <c r="W315" s="190">
        <v>11.425206827624798</v>
      </c>
      <c r="X315" s="190">
        <v>-6.4793172375201991E-2</v>
      </c>
      <c r="Y315" s="247">
        <v>58.469705058593213</v>
      </c>
      <c r="Z315" s="247">
        <v>1446.365</v>
      </c>
      <c r="AA315" s="247">
        <v>1406.4580000000001</v>
      </c>
      <c r="AB315" s="199">
        <v>2.7591237343270836E-2</v>
      </c>
      <c r="AC315" s="199"/>
      <c r="AD315" s="199"/>
      <c r="AE315" s="199"/>
      <c r="AF315" s="199"/>
      <c r="AH315" s="247"/>
      <c r="AI315" s="247">
        <v>643.54600000000005</v>
      </c>
      <c r="AJ315" s="247">
        <v>21.451533333333334</v>
      </c>
      <c r="AK315" s="247">
        <v>471.97800000000001</v>
      </c>
      <c r="AL315" s="247">
        <v>104.712</v>
      </c>
      <c r="AM315" s="190">
        <v>44.004127133103147</v>
      </c>
      <c r="AN315" s="190">
        <v>-6.7880310194581739E-2</v>
      </c>
      <c r="AO315" s="247">
        <v>248.71600000000001</v>
      </c>
      <c r="AP315" s="247">
        <v>207.697</v>
      </c>
      <c r="AQ315" s="190">
        <v>11.594322705758408</v>
      </c>
      <c r="AR315" s="190">
        <v>0.16911587813360995</v>
      </c>
      <c r="AS315" s="190">
        <v>55.598449838861555</v>
      </c>
      <c r="AT315" s="247">
        <v>1088.8800000000001</v>
      </c>
      <c r="AU315" s="247">
        <v>36.296000000000006</v>
      </c>
      <c r="AV315" s="247">
        <v>795.70799999999997</v>
      </c>
      <c r="AW315" s="247">
        <v>57.066000000000003</v>
      </c>
      <c r="AX315" s="190">
        <v>43.845492616266249</v>
      </c>
      <c r="AY315" s="190">
        <v>-0.22651482703147963</v>
      </c>
      <c r="AZ315" s="247">
        <v>415.947</v>
      </c>
      <c r="BA315" s="247">
        <v>220.762</v>
      </c>
      <c r="BB315" s="190">
        <v>11.459857835574166</v>
      </c>
      <c r="BC315" s="190">
        <v>3.4651007949367596E-2</v>
      </c>
      <c r="BD315" s="190">
        <v>55.305350451840411</v>
      </c>
      <c r="BE315" s="247">
        <v>1219.1110000000001</v>
      </c>
      <c r="BF315" s="247">
        <v>40.637033333333335</v>
      </c>
      <c r="BG315" s="247">
        <v>903.27700000000004</v>
      </c>
      <c r="BH315" s="247">
        <v>91.35</v>
      </c>
      <c r="BI315" s="190">
        <v>44.455853486680049</v>
      </c>
      <c r="BJ315" s="190">
        <v>0.38384604338232009</v>
      </c>
      <c r="BK315" s="247">
        <v>463.12700000000001</v>
      </c>
      <c r="BL315" s="247">
        <v>202.995</v>
      </c>
      <c r="BM315" s="190">
        <v>11.396673477640674</v>
      </c>
      <c r="BN315" s="190">
        <v>-2.8533349984124712E-2</v>
      </c>
      <c r="BO315" s="190">
        <v>55.852526964320724</v>
      </c>
      <c r="BP315" s="247">
        <v>963.64599999999996</v>
      </c>
      <c r="BQ315" s="247">
        <v>32.121533333333332</v>
      </c>
      <c r="BR315" s="247">
        <v>710.01</v>
      </c>
      <c r="BS315" s="247">
        <v>58.692</v>
      </c>
      <c r="BT315" s="190">
        <v>44.207727734043416</v>
      </c>
      <c r="BU315" s="190">
        <v>0.13572029074568803</v>
      </c>
      <c r="BV315" s="247">
        <v>358.14400000000001</v>
      </c>
      <c r="BW315" s="247">
        <v>202.27500000000001</v>
      </c>
      <c r="BX315" s="190">
        <v>11.149654541190438</v>
      </c>
      <c r="BY315" s="190">
        <v>-0.27555228643436003</v>
      </c>
      <c r="BZ315" s="190">
        <v>55.357382275233853</v>
      </c>
      <c r="CA315" s="247">
        <v>612.83600000000001</v>
      </c>
      <c r="CB315" s="247">
        <v>20.427866666666667</v>
      </c>
      <c r="CC315" s="247">
        <v>444.767</v>
      </c>
      <c r="CD315" s="247">
        <v>32.756</v>
      </c>
      <c r="CE315" s="190">
        <v>43.545124633670348</v>
      </c>
      <c r="CF315" s="190">
        <v>-0.52688280962738077</v>
      </c>
      <c r="CG315" s="247">
        <v>234.11699999999999</v>
      </c>
      <c r="CH315" s="247">
        <v>50.183999999999997</v>
      </c>
      <c r="CI315" s="190">
        <v>11.460668106964995</v>
      </c>
      <c r="CJ315" s="190">
        <v>3.5461279340196938E-2</v>
      </c>
      <c r="CK315" s="190">
        <v>55.005792740635343</v>
      </c>
      <c r="CL315" s="247">
        <v>919.029</v>
      </c>
      <c r="CM315" s="247">
        <v>30.6343</v>
      </c>
      <c r="CN315" s="247">
        <v>675.29899999999998</v>
      </c>
      <c r="CO315" s="247">
        <v>74.176000000000002</v>
      </c>
      <c r="CP315" s="190">
        <v>44.087770897327502</v>
      </c>
      <c r="CQ315" s="190">
        <v>1.5763454029773527E-2</v>
      </c>
      <c r="CR315" s="247">
        <v>354.404</v>
      </c>
      <c r="CS315" s="247">
        <v>68.236000000000004</v>
      </c>
      <c r="CT315" s="190">
        <v>11.568862353636284</v>
      </c>
      <c r="CU315" s="190">
        <v>0.14365552601148579</v>
      </c>
      <c r="CV315" s="190">
        <v>55.656633250963786</v>
      </c>
      <c r="CW315" s="163"/>
      <c r="CX315" s="212">
        <v>0</v>
      </c>
      <c r="CY315" s="212">
        <v>0</v>
      </c>
      <c r="CZ315" s="212">
        <v>0</v>
      </c>
      <c r="DA315" s="212">
        <v>0</v>
      </c>
      <c r="DB315" s="212">
        <v>0</v>
      </c>
      <c r="DC315" s="212">
        <v>0</v>
      </c>
      <c r="DD315" s="163"/>
      <c r="DE315" s="247">
        <v>175.34100000000001</v>
      </c>
      <c r="DF315" s="247">
        <v>97.233000000000004</v>
      </c>
      <c r="DG315" s="247"/>
      <c r="DH315" s="199">
        <v>0.55453658870429623</v>
      </c>
      <c r="DI315" s="247">
        <v>146.78899999999999</v>
      </c>
      <c r="DJ315" s="199">
        <v>0.41858150689228413</v>
      </c>
      <c r="DK315" s="247">
        <v>145.03200000000001</v>
      </c>
      <c r="DL315" s="247">
        <v>140.22300000000001</v>
      </c>
      <c r="DM315" s="199">
        <v>3.315819956975008E-2</v>
      </c>
      <c r="DN315" s="247">
        <v>139.858</v>
      </c>
      <c r="DO315" s="247">
        <v>50.341999999999999</v>
      </c>
      <c r="DP315" s="247">
        <v>91.781000000000006</v>
      </c>
      <c r="DQ315" s="247">
        <v>142.12299999999999</v>
      </c>
      <c r="DR315" s="247">
        <v>0.97311809559658036</v>
      </c>
      <c r="DS315" s="247"/>
      <c r="DT315" s="247">
        <v>158</v>
      </c>
      <c r="DU315" s="247">
        <v>72.582999999999998</v>
      </c>
      <c r="DV315" s="247">
        <v>25.466000000000001</v>
      </c>
      <c r="DW315" s="199">
        <v>0.45938607594936709</v>
      </c>
      <c r="DX315" s="247">
        <v>46.792999999999999</v>
      </c>
      <c r="DY315" s="199">
        <v>0.14807911392405063</v>
      </c>
      <c r="DZ315" s="247">
        <v>40.316000000000003</v>
      </c>
      <c r="EA315" s="247">
        <v>39.113</v>
      </c>
      <c r="EB315" s="199">
        <v>2.9839269768826338E-2</v>
      </c>
      <c r="EC315" s="247">
        <v>41.076000000000001</v>
      </c>
      <c r="ED315" s="247">
        <v>27.788</v>
      </c>
      <c r="EE315" s="247">
        <v>32.68</v>
      </c>
      <c r="EF315" s="247">
        <v>57.611000000000004</v>
      </c>
      <c r="EG315" s="199">
        <v>0.59555152436284009</v>
      </c>
    </row>
    <row r="316" spans="1:137" hidden="1">
      <c r="A316" s="157">
        <v>43891</v>
      </c>
      <c r="B316" s="247">
        <v>5764.8670000000002</v>
      </c>
      <c r="C316" s="247">
        <v>192.16223333333335</v>
      </c>
      <c r="D316" s="247">
        <v>10.788233333333352</v>
      </c>
      <c r="E316" s="247">
        <v>5.948059442551501E-2</v>
      </c>
      <c r="F316" s="247">
        <v>4234.6049999999996</v>
      </c>
      <c r="G316" s="247"/>
      <c r="H316" s="247"/>
      <c r="I316" s="247">
        <v>368.55200000000002</v>
      </c>
      <c r="J316" s="190">
        <v>44.07322840232046</v>
      </c>
      <c r="K316" s="190">
        <v>47.021861909390097</v>
      </c>
      <c r="L316" s="190">
        <v>-4.8138090609903372E-2</v>
      </c>
      <c r="M316" s="247">
        <v>283.30799999999999</v>
      </c>
      <c r="N316" s="247">
        <v>46.497</v>
      </c>
      <c r="O316" s="247">
        <v>2201.0680000000002</v>
      </c>
      <c r="P316" s="247">
        <v>1933.6479999999999</v>
      </c>
      <c r="Q316" s="247">
        <v>856.12400000000002</v>
      </c>
      <c r="R316" s="247">
        <v>407.46499999999997</v>
      </c>
      <c r="S316" s="247">
        <v>670.05899999999997</v>
      </c>
      <c r="T316" s="247">
        <v>393.94299999999998</v>
      </c>
      <c r="U316" s="247">
        <v>428.72899999999981</v>
      </c>
      <c r="V316" s="199">
        <v>0.22578207368413272</v>
      </c>
      <c r="W316" s="190">
        <v>11.454217417331572</v>
      </c>
      <c r="X316" s="190">
        <v>-0.10578258266842866</v>
      </c>
      <c r="Y316" s="247">
        <v>58.476079326721667</v>
      </c>
      <c r="Z316" s="247">
        <v>1576.365</v>
      </c>
      <c r="AA316" s="247">
        <v>1540.931</v>
      </c>
      <c r="AB316" s="199">
        <v>2.2478296587402011E-2</v>
      </c>
      <c r="AC316" s="199"/>
      <c r="AD316" s="199"/>
      <c r="AE316" s="199"/>
      <c r="AF316" s="199"/>
      <c r="AH316" s="247"/>
      <c r="AI316" s="247">
        <v>635.91200000000003</v>
      </c>
      <c r="AJ316" s="247">
        <v>21.197066666666668</v>
      </c>
      <c r="AK316" s="247">
        <v>461.60399999999998</v>
      </c>
      <c r="AL316" s="247">
        <v>64.793000000000006</v>
      </c>
      <c r="AM316" s="190">
        <v>43.553573450414518</v>
      </c>
      <c r="AN316" s="190">
        <v>-0.51965495190594169</v>
      </c>
      <c r="AO316" s="247">
        <v>249.56100000000001</v>
      </c>
      <c r="AP316" s="247">
        <v>125.429</v>
      </c>
      <c r="AQ316" s="190">
        <v>11.773374303362729</v>
      </c>
      <c r="AR316" s="190">
        <v>0.31915688603115733</v>
      </c>
      <c r="AS316" s="190">
        <v>55.326947753777247</v>
      </c>
      <c r="AT316" s="247">
        <v>1195.9739999999999</v>
      </c>
      <c r="AU316" s="247">
        <v>39.8658</v>
      </c>
      <c r="AV316" s="247">
        <v>874.779</v>
      </c>
      <c r="AW316" s="247">
        <v>59.253999999999998</v>
      </c>
      <c r="AX316" s="190">
        <v>43.886188161281098</v>
      </c>
      <c r="AY316" s="190">
        <v>-0.18704024103936234</v>
      </c>
      <c r="AZ316" s="247">
        <v>454.26900000000001</v>
      </c>
      <c r="BA316" s="247">
        <v>201.124</v>
      </c>
      <c r="BB316" s="190">
        <v>11.39495507427419</v>
      </c>
      <c r="BC316" s="190">
        <v>-5.9262343057381983E-2</v>
      </c>
      <c r="BD316" s="190">
        <v>55.281143235555291</v>
      </c>
      <c r="BE316" s="247">
        <v>1315.3979999999999</v>
      </c>
      <c r="BF316" s="247">
        <v>43.846599999999995</v>
      </c>
      <c r="BG316" s="247">
        <v>971.21600000000001</v>
      </c>
      <c r="BH316" s="247">
        <v>101.508</v>
      </c>
      <c r="BI316" s="190">
        <v>44.300629923414817</v>
      </c>
      <c r="BJ316" s="190">
        <v>0.22740152109435741</v>
      </c>
      <c r="BK316" s="247">
        <v>505.28100000000001</v>
      </c>
      <c r="BL316" s="247">
        <v>189.32599999999999</v>
      </c>
      <c r="BM316" s="190">
        <v>11.523835371499731</v>
      </c>
      <c r="BN316" s="190">
        <v>6.9617954168158747E-2</v>
      </c>
      <c r="BO316" s="190">
        <v>55.824465294914546</v>
      </c>
      <c r="BP316" s="247">
        <v>917.47199999999998</v>
      </c>
      <c r="BQ316" s="247">
        <v>30.5824</v>
      </c>
      <c r="BR316" s="247">
        <v>677.06299999999999</v>
      </c>
      <c r="BS316" s="247">
        <v>50.887999999999998</v>
      </c>
      <c r="BT316" s="190">
        <v>44.277950716752116</v>
      </c>
      <c r="BU316" s="190">
        <v>0.20472231443165612</v>
      </c>
      <c r="BV316" s="247">
        <v>337.35700000000003</v>
      </c>
      <c r="BW316" s="247">
        <v>206.518</v>
      </c>
      <c r="BX316" s="190">
        <v>11.031083237417601</v>
      </c>
      <c r="BY316" s="190">
        <v>-0.42313417991397095</v>
      </c>
      <c r="BZ316" s="190">
        <v>55.30903395416972</v>
      </c>
      <c r="CA316" s="247">
        <v>717.31100000000004</v>
      </c>
      <c r="CB316" s="247">
        <v>23.910366666666668</v>
      </c>
      <c r="CC316" s="247">
        <v>524.54100000000005</v>
      </c>
      <c r="CD316" s="247">
        <v>39.831000000000003</v>
      </c>
      <c r="CE316" s="190">
        <v>43.875613227735251</v>
      </c>
      <c r="CF316" s="190">
        <v>-0.19761517458520927</v>
      </c>
      <c r="CG316" s="247">
        <v>275.26600000000002</v>
      </c>
      <c r="CH316" s="247">
        <v>60.372</v>
      </c>
      <c r="CI316" s="190">
        <v>11.512412328822505</v>
      </c>
      <c r="CJ316" s="190">
        <v>5.819491149093281E-2</v>
      </c>
      <c r="CK316" s="190">
        <v>55.388025556557757</v>
      </c>
      <c r="CL316" s="247">
        <v>982.8</v>
      </c>
      <c r="CM316" s="247">
        <v>32.76</v>
      </c>
      <c r="CN316" s="247">
        <v>725.40200000000004</v>
      </c>
      <c r="CO316" s="247">
        <v>52.277999999999999</v>
      </c>
      <c r="CP316" s="190">
        <v>44.28583638583639</v>
      </c>
      <c r="CQ316" s="190">
        <v>0.21260798351593024</v>
      </c>
      <c r="CR316" s="247">
        <v>379.334</v>
      </c>
      <c r="CS316" s="247">
        <v>73.355000000000004</v>
      </c>
      <c r="CT316" s="190">
        <v>11.57918192918193</v>
      </c>
      <c r="CU316" s="190">
        <v>0.12496451185035795</v>
      </c>
      <c r="CV316" s="190">
        <v>55.865018315018318</v>
      </c>
      <c r="CW316" s="163"/>
      <c r="CX316" s="212">
        <v>0</v>
      </c>
      <c r="CY316" s="212">
        <v>0</v>
      </c>
      <c r="CZ316" s="212">
        <v>0</v>
      </c>
      <c r="DA316" s="212">
        <v>0</v>
      </c>
      <c r="DB316" s="212">
        <v>0</v>
      </c>
      <c r="DC316" s="212">
        <v>0</v>
      </c>
      <c r="DD316" s="163"/>
      <c r="DE316" s="247">
        <v>187.95400000000001</v>
      </c>
      <c r="DF316" s="247">
        <v>104.05500000000001</v>
      </c>
      <c r="DG316" s="247"/>
      <c r="DH316" s="199">
        <v>0.55361950264426407</v>
      </c>
      <c r="DI316" s="247">
        <v>160.87200000000001</v>
      </c>
      <c r="DJ316" s="199">
        <v>0.42795577641337779</v>
      </c>
      <c r="DK316" s="247">
        <v>126.79600000000001</v>
      </c>
      <c r="DL316" s="247">
        <v>122.378</v>
      </c>
      <c r="DM316" s="199">
        <v>3.4843370453326639E-2</v>
      </c>
      <c r="DN316" s="247">
        <v>163.28399999999999</v>
      </c>
      <c r="DO316" s="247">
        <v>59.058</v>
      </c>
      <c r="DP316" s="247">
        <v>74.608999999999995</v>
      </c>
      <c r="DQ316" s="247">
        <v>133.667</v>
      </c>
      <c r="DR316" s="247">
        <v>0.98157527905764186</v>
      </c>
      <c r="DS316" s="247"/>
      <c r="DT316" s="247">
        <v>157.79900000000001</v>
      </c>
      <c r="DU316" s="247">
        <v>70.760000000000005</v>
      </c>
      <c r="DV316" s="247">
        <v>24.175000000000001</v>
      </c>
      <c r="DW316" s="199">
        <v>0.4484185577855373</v>
      </c>
      <c r="DX316" s="247">
        <v>43.497</v>
      </c>
      <c r="DY316" s="199">
        <v>0.13782406732615543</v>
      </c>
      <c r="DZ316" s="247">
        <v>44.506</v>
      </c>
      <c r="EA316" s="247">
        <v>43.095999999999997</v>
      </c>
      <c r="EB316" s="199">
        <v>3.1681121646519705E-2</v>
      </c>
      <c r="EC316" s="247">
        <v>45.506</v>
      </c>
      <c r="ED316" s="247">
        <v>30.646999999999998</v>
      </c>
      <c r="EE316" s="247">
        <v>34.101999999999997</v>
      </c>
      <c r="EF316" s="247">
        <v>58.610999999999997</v>
      </c>
      <c r="EG316" s="199">
        <v>0.58624262511169278</v>
      </c>
    </row>
    <row r="317" spans="1:137" hidden="1">
      <c r="A317" s="157">
        <v>43922</v>
      </c>
      <c r="B317" s="247">
        <v>5501.8249999999998</v>
      </c>
      <c r="C317" s="247">
        <v>183.39416666666665</v>
      </c>
      <c r="D317" s="247">
        <v>11.640166666666659</v>
      </c>
      <c r="E317" s="247">
        <v>6.7772317772317736E-2</v>
      </c>
      <c r="F317" s="247">
        <v>4039.2649999999999</v>
      </c>
      <c r="G317" s="247"/>
      <c r="H317" s="247"/>
      <c r="I317" s="247">
        <v>341.68099999999998</v>
      </c>
      <c r="J317" s="190">
        <v>44.050092469317001</v>
      </c>
      <c r="K317" s="190">
        <v>47.026326718861469</v>
      </c>
      <c r="L317" s="190">
        <v>-8.3673281138530342E-2</v>
      </c>
      <c r="M317" s="247">
        <v>272.91199999999998</v>
      </c>
      <c r="N317" s="247">
        <v>44.512</v>
      </c>
      <c r="O317" s="247">
        <v>2099.4650000000001</v>
      </c>
      <c r="P317" s="247">
        <v>2224.0070000000001</v>
      </c>
      <c r="Q317" s="247">
        <v>939.327</v>
      </c>
      <c r="R317" s="247">
        <v>443.76100000000002</v>
      </c>
      <c r="S317" s="247">
        <v>840.91899999999998</v>
      </c>
      <c r="T317" s="247">
        <v>377.964</v>
      </c>
      <c r="U317" s="247">
        <v>491.13900000000012</v>
      </c>
      <c r="V317" s="199">
        <v>0.23267555163082632</v>
      </c>
      <c r="W317" s="190">
        <v>11.447828675030561</v>
      </c>
      <c r="X317" s="190">
        <v>-0.11217132496943982</v>
      </c>
      <c r="Y317" s="247">
        <v>58.474155393892033</v>
      </c>
      <c r="Z317" s="247">
        <v>1249.4670000000001</v>
      </c>
      <c r="AA317" s="247">
        <v>1223.692</v>
      </c>
      <c r="AB317" s="199">
        <v>2.0628796118665069E-2</v>
      </c>
      <c r="AC317" s="199"/>
      <c r="AD317" s="199"/>
      <c r="AE317" s="199"/>
      <c r="AF317" s="199"/>
      <c r="AH317" s="247"/>
      <c r="AI317" s="247">
        <v>671.32299999999998</v>
      </c>
      <c r="AJ317" s="247">
        <v>22.377433333333332</v>
      </c>
      <c r="AK317" s="247">
        <v>488.00099999999998</v>
      </c>
      <c r="AL317" s="247">
        <v>64.584999999999994</v>
      </c>
      <c r="AM317" s="190">
        <v>43.615457834753165</v>
      </c>
      <c r="AN317" s="190">
        <v>-0.43463463456383522</v>
      </c>
      <c r="AO317" s="247">
        <v>264.30900000000003</v>
      </c>
      <c r="AP317" s="247">
        <v>155.73400000000001</v>
      </c>
      <c r="AQ317" s="190">
        <v>11.811408219292355</v>
      </c>
      <c r="AR317" s="190">
        <v>0.3635795442617944</v>
      </c>
      <c r="AS317" s="190">
        <v>55.426866054045519</v>
      </c>
      <c r="AT317" s="247">
        <v>1112.0640000000001</v>
      </c>
      <c r="AU317" s="247">
        <v>37.068800000000003</v>
      </c>
      <c r="AV317" s="247">
        <v>815.39</v>
      </c>
      <c r="AW317" s="247">
        <v>41.710999999999999</v>
      </c>
      <c r="AX317" s="190">
        <v>43.993331319060772</v>
      </c>
      <c r="AY317" s="190">
        <v>-5.6761150256228632E-2</v>
      </c>
      <c r="AZ317" s="247">
        <v>423.25299999999999</v>
      </c>
      <c r="BA317" s="247">
        <v>203.994</v>
      </c>
      <c r="BB317" s="190">
        <v>11.418038889848065</v>
      </c>
      <c r="BC317" s="190">
        <v>-2.9789785182495976E-2</v>
      </c>
      <c r="BD317" s="190">
        <v>55.411370208908835</v>
      </c>
      <c r="BE317" s="247">
        <v>1277.645</v>
      </c>
      <c r="BF317" s="247">
        <v>42.588166666666666</v>
      </c>
      <c r="BG317" s="247">
        <v>942.85900000000004</v>
      </c>
      <c r="BH317" s="247">
        <v>101.387</v>
      </c>
      <c r="BI317" s="190">
        <v>44.277980190115407</v>
      </c>
      <c r="BJ317" s="190">
        <v>0.22788772079840669</v>
      </c>
      <c r="BK317" s="247">
        <v>489.298</v>
      </c>
      <c r="BL317" s="247">
        <v>197.39699999999999</v>
      </c>
      <c r="BM317" s="190">
        <v>11.489059950142645</v>
      </c>
      <c r="BN317" s="190">
        <v>4.123127511208402E-2</v>
      </c>
      <c r="BO317" s="190">
        <v>55.767040140258054</v>
      </c>
      <c r="BP317" s="247">
        <v>863.84299999999996</v>
      </c>
      <c r="BQ317" s="247">
        <v>28.794766666666664</v>
      </c>
      <c r="BR317" s="247">
        <v>636.00599999999997</v>
      </c>
      <c r="BS317" s="247">
        <v>36.106000000000002</v>
      </c>
      <c r="BT317" s="190">
        <v>44.175110523555787</v>
      </c>
      <c r="BU317" s="190">
        <v>0.12501805423878665</v>
      </c>
      <c r="BV317" s="247">
        <v>313.346</v>
      </c>
      <c r="BW317" s="247">
        <v>251.13300000000001</v>
      </c>
      <c r="BX317" s="190">
        <v>10.882046853421283</v>
      </c>
      <c r="BY317" s="190">
        <v>-0.56578182160927781</v>
      </c>
      <c r="BZ317" s="190">
        <v>55.057157376977074</v>
      </c>
      <c r="CA317" s="247">
        <v>650.33799999999997</v>
      </c>
      <c r="CB317" s="247">
        <v>21.677933333333332</v>
      </c>
      <c r="CC317" s="247">
        <v>473.16800000000001</v>
      </c>
      <c r="CD317" s="247">
        <v>47.641075294600505</v>
      </c>
      <c r="CE317" s="190">
        <v>43.654345893981287</v>
      </c>
      <c r="CF317" s="190">
        <v>-0.39574657533571411</v>
      </c>
      <c r="CG317" s="247">
        <v>250.523</v>
      </c>
      <c r="CH317" s="247">
        <v>62.372</v>
      </c>
      <c r="CI317" s="190">
        <v>11.556590572902092</v>
      </c>
      <c r="CJ317" s="190">
        <v>0.10876189787153123</v>
      </c>
      <c r="CK317" s="190">
        <v>55.210936466883382</v>
      </c>
      <c r="CL317" s="247">
        <v>926.61199999999997</v>
      </c>
      <c r="CM317" s="247">
        <v>30.887066666666666</v>
      </c>
      <c r="CN317" s="247">
        <v>683.84100000000001</v>
      </c>
      <c r="CO317" s="247">
        <v>50.250924705399491</v>
      </c>
      <c r="CP317" s="190">
        <v>44.280087026716686</v>
      </c>
      <c r="CQ317" s="190">
        <v>0.22999455739968511</v>
      </c>
      <c r="CR317" s="247">
        <v>358.73599999999999</v>
      </c>
      <c r="CS317" s="247">
        <v>68.697000000000003</v>
      </c>
      <c r="CT317" s="190">
        <v>11.61444056411961</v>
      </c>
      <c r="CU317" s="190">
        <v>0.16661188908904911</v>
      </c>
      <c r="CV317" s="190">
        <v>55.894527590836297</v>
      </c>
      <c r="CW317" s="163"/>
      <c r="CX317" s="212">
        <v>0</v>
      </c>
      <c r="CY317" s="212">
        <v>0</v>
      </c>
      <c r="CZ317" s="212">
        <v>0</v>
      </c>
      <c r="DA317" s="212">
        <v>0</v>
      </c>
      <c r="DB317" s="212">
        <v>0</v>
      </c>
      <c r="DC317" s="212">
        <v>0</v>
      </c>
      <c r="DD317" s="163"/>
      <c r="DE317" s="247">
        <v>177.35</v>
      </c>
      <c r="DF317" s="247">
        <v>98.804000000000002</v>
      </c>
      <c r="DG317" s="247"/>
      <c r="DH317" s="199">
        <v>0.55711305328446581</v>
      </c>
      <c r="DI317" s="247">
        <v>146.98699999999999</v>
      </c>
      <c r="DJ317" s="199">
        <v>0.41439808288694674</v>
      </c>
      <c r="DK317" s="247">
        <v>139.72</v>
      </c>
      <c r="DL317" s="247">
        <v>135.02500000000001</v>
      </c>
      <c r="DM317" s="199">
        <v>3.3602920125966218E-2</v>
      </c>
      <c r="DN317" s="247">
        <v>147.584</v>
      </c>
      <c r="DO317" s="247">
        <v>60.325000000000003</v>
      </c>
      <c r="DP317" s="247">
        <v>93.302000000000007</v>
      </c>
      <c r="DQ317" s="247">
        <v>153.62700000000001</v>
      </c>
      <c r="DR317" s="247">
        <v>0.9715111361714126</v>
      </c>
      <c r="DS317" s="247"/>
      <c r="DT317" s="247">
        <v>142.392</v>
      </c>
      <c r="DU317" s="247">
        <v>62.741</v>
      </c>
      <c r="DV317" s="247">
        <v>23.198</v>
      </c>
      <c r="DW317" s="199">
        <v>0.44062166413843473</v>
      </c>
      <c r="DX317" s="247">
        <v>40.994</v>
      </c>
      <c r="DY317" s="199">
        <v>0.14394769369065677</v>
      </c>
      <c r="DZ317" s="247">
        <v>36.567</v>
      </c>
      <c r="EA317" s="247">
        <v>35.540999999999997</v>
      </c>
      <c r="EB317" s="199">
        <v>2.8058085158749746E-2</v>
      </c>
      <c r="EC317" s="247">
        <v>32.582000000000001</v>
      </c>
      <c r="ED317" s="247">
        <v>25</v>
      </c>
      <c r="EE317" s="247">
        <v>39.988999999999997</v>
      </c>
      <c r="EF317" s="247">
        <v>59.610999999999997</v>
      </c>
      <c r="EG317" s="199">
        <v>0.58456935782909147</v>
      </c>
    </row>
    <row r="318" spans="1:137" hidden="1">
      <c r="A318" s="157">
        <v>43952</v>
      </c>
      <c r="B318" s="247">
        <v>5386.5339999999997</v>
      </c>
      <c r="C318" s="247">
        <v>179.55113333333333</v>
      </c>
      <c r="D318" s="247">
        <v>9.9671333333333223</v>
      </c>
      <c r="E318" s="247">
        <v>5.8774019561593782E-2</v>
      </c>
      <c r="F318" s="247">
        <v>3970.047</v>
      </c>
      <c r="G318" s="247"/>
      <c r="H318" s="247"/>
      <c r="I318" s="247">
        <v>442.173</v>
      </c>
      <c r="J318" s="190">
        <v>44.221909673270417</v>
      </c>
      <c r="K318" s="190">
        <v>47.239802069382648</v>
      </c>
      <c r="L318" s="190">
        <v>0.12980206938264871</v>
      </c>
      <c r="M318" s="247">
        <v>270.93299999999999</v>
      </c>
      <c r="N318" s="247">
        <v>55.673999999999999</v>
      </c>
      <c r="O318" s="247">
        <v>2057.6170000000002</v>
      </c>
      <c r="P318" s="247">
        <v>2048.9920000000002</v>
      </c>
      <c r="Q318" s="247">
        <v>875.58399999999995</v>
      </c>
      <c r="R318" s="247">
        <v>431.34500000000003</v>
      </c>
      <c r="S318" s="247">
        <v>742.06299999999999</v>
      </c>
      <c r="T318" s="247">
        <v>398.25599999999997</v>
      </c>
      <c r="U318" s="247">
        <v>567.02300000000014</v>
      </c>
      <c r="V318" s="199">
        <v>0.30157188634338983</v>
      </c>
      <c r="W318" s="190">
        <v>11.459782858513472</v>
      </c>
      <c r="X318" s="190">
        <v>-8.02171414865267E-2</v>
      </c>
      <c r="Y318" s="247">
        <v>58.699584927896119</v>
      </c>
      <c r="Z318" s="247">
        <v>1489.672</v>
      </c>
      <c r="AA318" s="247">
        <v>1455.183</v>
      </c>
      <c r="AB318" s="199">
        <v>2.3152076430247755E-2</v>
      </c>
      <c r="AC318" s="199"/>
      <c r="AD318" s="199"/>
      <c r="AE318" s="199"/>
      <c r="AF318" s="199"/>
      <c r="AH318" s="247"/>
      <c r="AI318" s="247">
        <v>576.48299999999995</v>
      </c>
      <c r="AJ318" s="247">
        <v>19.216099999999997</v>
      </c>
      <c r="AK318" s="247">
        <v>418.99900000000002</v>
      </c>
      <c r="AL318" s="247">
        <v>90.79790635166836</v>
      </c>
      <c r="AM318" s="190">
        <v>43.609161068062726</v>
      </c>
      <c r="AN318" s="190">
        <v>-0.61274860520769181</v>
      </c>
      <c r="AO318" s="247">
        <v>229.13200000000001</v>
      </c>
      <c r="AP318" s="247">
        <v>108.904</v>
      </c>
      <c r="AQ318" s="190">
        <v>11.92395959638012</v>
      </c>
      <c r="AR318" s="190">
        <v>0.46417673786664793</v>
      </c>
      <c r="AS318" s="190">
        <v>55.533120664442848</v>
      </c>
      <c r="AT318" s="247">
        <v>1100.0509999999999</v>
      </c>
      <c r="AU318" s="247">
        <v>36.668366666666664</v>
      </c>
      <c r="AV318" s="247">
        <v>806.87599999999998</v>
      </c>
      <c r="AW318" s="247">
        <v>82.284000000000006</v>
      </c>
      <c r="AX318" s="190">
        <v>44.009377747031728</v>
      </c>
      <c r="AY318" s="190">
        <v>-0.21253192623868955</v>
      </c>
      <c r="AZ318" s="247">
        <v>419.55700000000002</v>
      </c>
      <c r="BA318" s="247">
        <v>173.673</v>
      </c>
      <c r="BB318" s="190">
        <v>11.441933146735925</v>
      </c>
      <c r="BC318" s="190">
        <v>-1.7849711777547128E-2</v>
      </c>
      <c r="BD318" s="190">
        <v>55.451310893767655</v>
      </c>
      <c r="BE318" s="247">
        <v>1242.434</v>
      </c>
      <c r="BF318" s="247">
        <v>41.414466666666662</v>
      </c>
      <c r="BG318" s="247">
        <v>923.78</v>
      </c>
      <c r="BH318" s="247">
        <v>78.56</v>
      </c>
      <c r="BI318" s="190">
        <v>44.611464270939145</v>
      </c>
      <c r="BJ318" s="190">
        <v>0.38955459766872735</v>
      </c>
      <c r="BK318" s="247">
        <v>476.06099999999998</v>
      </c>
      <c r="BL318" s="247">
        <v>221.161</v>
      </c>
      <c r="BM318" s="190">
        <v>11.495041185286302</v>
      </c>
      <c r="BN318" s="190">
        <v>3.5258326772829918E-2</v>
      </c>
      <c r="BO318" s="190">
        <v>56.106505456225449</v>
      </c>
      <c r="BP318" s="247">
        <v>854.16499999999996</v>
      </c>
      <c r="BQ318" s="247">
        <v>28.472166666666666</v>
      </c>
      <c r="BR318" s="247">
        <v>632.245</v>
      </c>
      <c r="BS318" s="247">
        <v>56.372999999999998</v>
      </c>
      <c r="BT318" s="190">
        <v>44.411442754034645</v>
      </c>
      <c r="BU318" s="190">
        <v>0.18953308076422815</v>
      </c>
      <c r="BV318" s="247">
        <v>313.37200000000001</v>
      </c>
      <c r="BW318" s="247">
        <v>240.29300000000001</v>
      </c>
      <c r="BX318" s="190">
        <v>11.006257573185509</v>
      </c>
      <c r="BY318" s="190">
        <v>-0.45352528532796299</v>
      </c>
      <c r="BZ318" s="190">
        <v>55.417700327220153</v>
      </c>
      <c r="CA318" s="247">
        <v>635.74400000000003</v>
      </c>
      <c r="CB318" s="247">
        <v>21.191466666666667</v>
      </c>
      <c r="CC318" s="247">
        <v>463.113</v>
      </c>
      <c r="CD318" s="247">
        <v>61.498093648331654</v>
      </c>
      <c r="CE318" s="190">
        <v>43.707498615795039</v>
      </c>
      <c r="CF318" s="190">
        <v>-0.51441105747537819</v>
      </c>
      <c r="CG318" s="247">
        <v>243.751</v>
      </c>
      <c r="CH318" s="247">
        <v>61.539000000000001</v>
      </c>
      <c r="CI318" s="190">
        <v>11.502318543313033</v>
      </c>
      <c r="CJ318" s="190">
        <v>4.2535684799560158E-2</v>
      </c>
      <c r="CK318" s="190">
        <v>55.20981715910807</v>
      </c>
      <c r="CL318" s="247">
        <v>977.65700000000004</v>
      </c>
      <c r="CM318" s="247">
        <v>32.588566666666665</v>
      </c>
      <c r="CN318" s="247">
        <v>725.03399999999999</v>
      </c>
      <c r="CO318" s="247">
        <v>72.66</v>
      </c>
      <c r="CP318" s="190">
        <v>44.4962190215996</v>
      </c>
      <c r="CQ318" s="190">
        <v>0.27430934832918297</v>
      </c>
      <c r="CR318" s="247">
        <v>375.74400000000003</v>
      </c>
      <c r="CS318" s="247">
        <v>70.013999999999996</v>
      </c>
      <c r="CT318" s="190">
        <v>11.529933299715546</v>
      </c>
      <c r="CU318" s="190">
        <v>7.0150441202073921E-2</v>
      </c>
      <c r="CV318" s="190">
        <v>56.026152321315145</v>
      </c>
      <c r="CW318" s="163"/>
      <c r="CX318" s="212">
        <v>0</v>
      </c>
      <c r="CY318" s="212">
        <v>0</v>
      </c>
      <c r="CZ318" s="212">
        <v>0</v>
      </c>
      <c r="DA318" s="212">
        <v>0</v>
      </c>
      <c r="DB318" s="212">
        <v>0</v>
      </c>
      <c r="DC318" s="212">
        <v>0</v>
      </c>
      <c r="DD318" s="163"/>
      <c r="DE318" s="247">
        <v>194.81299999999999</v>
      </c>
      <c r="DF318" s="247">
        <v>107.328</v>
      </c>
      <c r="DG318" s="247">
        <v>63.238999999999997</v>
      </c>
      <c r="DH318" s="199">
        <v>0.55092832613839948</v>
      </c>
      <c r="DI318" s="247">
        <v>161.642</v>
      </c>
      <c r="DJ318" s="199">
        <v>0.41486451109525546</v>
      </c>
      <c r="DK318" s="247">
        <v>126.876</v>
      </c>
      <c r="DL318" s="247">
        <v>122.62</v>
      </c>
      <c r="DM318" s="199">
        <v>3.3544563195560984E-2</v>
      </c>
      <c r="DN318" s="247">
        <v>150.691</v>
      </c>
      <c r="DO318" s="247">
        <v>54.628999999999998</v>
      </c>
      <c r="DP318" s="247">
        <v>123.80800000000001</v>
      </c>
      <c r="DQ318" s="247">
        <v>178.43700000000001</v>
      </c>
      <c r="DR318" s="247">
        <v>0.96579283723365494</v>
      </c>
      <c r="DS318" s="247"/>
      <c r="DT318" s="247">
        <v>93.724999999999994</v>
      </c>
      <c r="DU318" s="247">
        <v>39.902999999999999</v>
      </c>
      <c r="DV318" s="247">
        <v>18.181999999999999</v>
      </c>
      <c r="DW318" s="199">
        <v>0.42574553214190453</v>
      </c>
      <c r="DX318" s="247">
        <v>26.346</v>
      </c>
      <c r="DY318" s="199">
        <v>0.14054947986129634</v>
      </c>
      <c r="DZ318" s="247">
        <v>36.732999999999997</v>
      </c>
      <c r="EA318" s="247">
        <v>35.514000000000003</v>
      </c>
      <c r="EB318" s="199">
        <v>3.3185419105436376E-2</v>
      </c>
      <c r="EC318" s="247">
        <v>36.405999999999999</v>
      </c>
      <c r="ED318" s="247">
        <v>21.9</v>
      </c>
      <c r="EE318" s="247">
        <v>40.258000000000003</v>
      </c>
      <c r="EF318" s="247">
        <v>60.610999999999997</v>
      </c>
      <c r="EG318" s="199">
        <v>0.56629501200320087</v>
      </c>
    </row>
    <row r="319" spans="1:137" hidden="1">
      <c r="A319" s="157">
        <v>43983</v>
      </c>
      <c r="B319" s="247">
        <v>5318.4189999999999</v>
      </c>
      <c r="C319" s="247">
        <v>177.28063333333333</v>
      </c>
      <c r="D319" s="247">
        <v>10.017633333333322</v>
      </c>
      <c r="E319" s="247">
        <v>5.9891508183718578E-2</v>
      </c>
      <c r="F319" s="247">
        <v>3904.7249999999999</v>
      </c>
      <c r="G319" s="247"/>
      <c r="H319" s="247"/>
      <c r="I319" s="247">
        <v>420.42599999999999</v>
      </c>
      <c r="J319" s="190">
        <v>44.05134307770787</v>
      </c>
      <c r="K319" s="190">
        <v>47.015581134167874</v>
      </c>
      <c r="L319" s="190">
        <v>-4.4418865832128063E-2</v>
      </c>
      <c r="M319" s="247">
        <v>262.75099999999998</v>
      </c>
      <c r="N319" s="247">
        <v>41.877000000000002</v>
      </c>
      <c r="O319" s="247">
        <v>2035.269</v>
      </c>
      <c r="P319" s="247">
        <v>1925.5830000000001</v>
      </c>
      <c r="Q319" s="247">
        <v>773.16099999999994</v>
      </c>
      <c r="R319" s="247">
        <v>450.97699999999998</v>
      </c>
      <c r="S319" s="247">
        <v>701.44500000000005</v>
      </c>
      <c r="T319" s="247">
        <v>345.08300000000003</v>
      </c>
      <c r="U319" s="247">
        <v>492.97000000000025</v>
      </c>
      <c r="V319" s="199">
        <v>0.2773083811855348</v>
      </c>
      <c r="W319" s="190">
        <v>11.480492605039204</v>
      </c>
      <c r="X319" s="190">
        <v>-7.9507394960796063E-2</v>
      </c>
      <c r="Y319" s="247">
        <v>58.496073739207077</v>
      </c>
      <c r="Z319" s="247">
        <v>1543.8420000000001</v>
      </c>
      <c r="AA319" s="247">
        <v>1511.2650000000001</v>
      </c>
      <c r="AB319" s="199">
        <v>2.1101252589319372E-2</v>
      </c>
      <c r="AC319" s="199"/>
      <c r="AD319" s="199"/>
      <c r="AE319" s="199"/>
      <c r="AF319" s="199"/>
      <c r="AH319" s="247"/>
      <c r="AI319" s="247">
        <v>667.19399999999996</v>
      </c>
      <c r="AJ319" s="247">
        <v>22.239799999999999</v>
      </c>
      <c r="AK319" s="247">
        <v>481.99200000000002</v>
      </c>
      <c r="AL319" s="247">
        <v>82.686000000000007</v>
      </c>
      <c r="AM319" s="190">
        <v>43.344994109659261</v>
      </c>
      <c r="AN319" s="190">
        <v>-0.70634896804860858</v>
      </c>
      <c r="AO319" s="247">
        <v>256.20999999999998</v>
      </c>
      <c r="AP319" s="247">
        <v>108.765</v>
      </c>
      <c r="AQ319" s="190">
        <v>11.520337413106233</v>
      </c>
      <c r="AR319" s="190">
        <v>3.9844808067028836E-2</v>
      </c>
      <c r="AS319" s="190">
        <v>54.865331522765494</v>
      </c>
      <c r="AT319" s="247">
        <v>982.154</v>
      </c>
      <c r="AU319" s="247">
        <v>32.738466666666667</v>
      </c>
      <c r="AV319" s="247">
        <v>720.8</v>
      </c>
      <c r="AW319" s="247">
        <v>49.375999999999998</v>
      </c>
      <c r="AX319" s="190">
        <v>44.033827688936761</v>
      </c>
      <c r="AY319" s="190">
        <v>-1.7515388771109031E-2</v>
      </c>
      <c r="AZ319" s="247">
        <v>374.07900000000001</v>
      </c>
      <c r="BA319" s="247">
        <v>129.90100000000001</v>
      </c>
      <c r="BB319" s="190">
        <v>11.426283454529534</v>
      </c>
      <c r="BC319" s="190">
        <v>-5.4209150509670678E-2</v>
      </c>
      <c r="BD319" s="190">
        <v>55.460111143466293</v>
      </c>
      <c r="BE319" s="247">
        <v>1174.6510000000001</v>
      </c>
      <c r="BF319" s="247">
        <v>39.155033333333336</v>
      </c>
      <c r="BG319" s="247">
        <v>876.5</v>
      </c>
      <c r="BH319" s="247">
        <v>116.07599999999999</v>
      </c>
      <c r="BI319" s="190">
        <v>44.770744672247332</v>
      </c>
      <c r="BJ319" s="190">
        <v>0.71940159453946251</v>
      </c>
      <c r="BK319" s="247">
        <v>458.04599999999999</v>
      </c>
      <c r="BL319" s="247">
        <v>191.839</v>
      </c>
      <c r="BM319" s="190">
        <v>11.6982661232996</v>
      </c>
      <c r="BN319" s="190">
        <v>0.2177735182603957</v>
      </c>
      <c r="BO319" s="190">
        <v>56.469010795546936</v>
      </c>
      <c r="BP319" s="247">
        <v>903.05700000000002</v>
      </c>
      <c r="BQ319" s="247">
        <v>30.101900000000001</v>
      </c>
      <c r="BR319" s="247">
        <v>659.98500000000001</v>
      </c>
      <c r="BS319" s="247">
        <v>64.44</v>
      </c>
      <c r="BT319" s="190">
        <v>43.850055976533042</v>
      </c>
      <c r="BU319" s="190">
        <v>-0.2012871011748274</v>
      </c>
      <c r="BV319" s="247">
        <v>332.74299999999999</v>
      </c>
      <c r="BW319" s="247">
        <v>231.375</v>
      </c>
      <c r="BX319" s="190">
        <v>11.053886963945796</v>
      </c>
      <c r="BY319" s="190">
        <v>-0.42660564109340804</v>
      </c>
      <c r="BZ319" s="190">
        <v>54.903942940478842</v>
      </c>
      <c r="CA319" s="247">
        <v>649.99900000000002</v>
      </c>
      <c r="CB319" s="247">
        <v>21.666633333333333</v>
      </c>
      <c r="CC319" s="247">
        <v>472.29399999999998</v>
      </c>
      <c r="CD319" s="247">
        <v>56.280982062374569</v>
      </c>
      <c r="CE319" s="190">
        <v>43.596436302209696</v>
      </c>
      <c r="CF319" s="190">
        <v>-0.45490677549817349</v>
      </c>
      <c r="CG319" s="247">
        <v>249.48099999999999</v>
      </c>
      <c r="CH319" s="247">
        <v>39.877000000000002</v>
      </c>
      <c r="CI319" s="190">
        <v>11.514525406962164</v>
      </c>
      <c r="CJ319" s="190">
        <v>3.4032801922959877E-2</v>
      </c>
      <c r="CK319" s="190">
        <v>55.11096170917186</v>
      </c>
      <c r="CL319" s="247">
        <v>941.36400000000003</v>
      </c>
      <c r="CM319" s="247">
        <v>31.378800000000002</v>
      </c>
      <c r="CN319" s="247">
        <v>693.154</v>
      </c>
      <c r="CO319" s="247">
        <v>51.567017937625472</v>
      </c>
      <c r="CP319" s="190">
        <v>44.179764681887129</v>
      </c>
      <c r="CQ319" s="190">
        <v>0.12842160417925896</v>
      </c>
      <c r="CR319" s="247">
        <v>364.71</v>
      </c>
      <c r="CS319" s="247">
        <v>71.403999999999996</v>
      </c>
      <c r="CT319" s="190">
        <v>11.622815404030746</v>
      </c>
      <c r="CU319" s="190">
        <v>0.14232279899154143</v>
      </c>
      <c r="CV319" s="190">
        <v>55.802580085917874</v>
      </c>
      <c r="CW319" s="163"/>
      <c r="CX319" s="212">
        <v>0</v>
      </c>
      <c r="CY319" s="212">
        <v>0</v>
      </c>
      <c r="CZ319" s="212">
        <v>0</v>
      </c>
      <c r="DA319" s="212">
        <v>0</v>
      </c>
      <c r="DB319" s="212">
        <v>-1.1368683772161603E-13</v>
      </c>
      <c r="DC319" s="212">
        <v>0</v>
      </c>
      <c r="DD319" s="163"/>
      <c r="DE319" s="247">
        <v>123.242</v>
      </c>
      <c r="DF319" s="247">
        <v>68.665999999999997</v>
      </c>
      <c r="DG319" s="247"/>
      <c r="DH319" s="199">
        <v>0.55716395384690276</v>
      </c>
      <c r="DI319" s="247">
        <v>105.607</v>
      </c>
      <c r="DJ319" s="199">
        <v>0.42845377387578909</v>
      </c>
      <c r="DK319" s="247">
        <v>119.752</v>
      </c>
      <c r="DL319" s="247">
        <v>115.913</v>
      </c>
      <c r="DM319" s="199">
        <v>3.205791970071481E-2</v>
      </c>
      <c r="DN319" s="247">
        <v>143.27500000000001</v>
      </c>
      <c r="DO319" s="247">
        <v>46.476999999999997</v>
      </c>
      <c r="DP319" s="247">
        <v>75.75</v>
      </c>
      <c r="DQ319" s="247">
        <v>122.227</v>
      </c>
      <c r="DR319" s="247">
        <v>0.98561772772269185</v>
      </c>
      <c r="DS319" s="247"/>
      <c r="DT319" s="247">
        <v>130.78800000000001</v>
      </c>
      <c r="DU319" s="247">
        <v>62.368000000000002</v>
      </c>
      <c r="DV319" s="247">
        <v>22.527000000000001</v>
      </c>
      <c r="DW319" s="199">
        <v>0.4768633207939566</v>
      </c>
      <c r="DX319" s="247">
        <v>37.558999999999997</v>
      </c>
      <c r="DY319" s="199">
        <v>0.14358733217114719</v>
      </c>
      <c r="DZ319" s="247">
        <v>41.39</v>
      </c>
      <c r="EA319" s="247">
        <v>40.048000000000002</v>
      </c>
      <c r="EB319" s="199">
        <v>3.2423290649915448E-2</v>
      </c>
      <c r="EC319" s="247">
        <v>45.241</v>
      </c>
      <c r="ED319" s="247">
        <v>20</v>
      </c>
      <c r="EE319" s="247">
        <v>41.067</v>
      </c>
      <c r="EF319" s="247">
        <v>61.610999999999997</v>
      </c>
      <c r="EG319" s="199">
        <v>0.62045065296510382</v>
      </c>
    </row>
    <row r="320" spans="1:137" hidden="1">
      <c r="A320" s="157">
        <v>44013</v>
      </c>
      <c r="B320" s="247">
        <v>5535.1959999999999</v>
      </c>
      <c r="C320" s="247">
        <v>184.50653333333332</v>
      </c>
      <c r="D320" s="247">
        <v>11.712533333333312</v>
      </c>
      <c r="E320" s="247">
        <v>6.7783217781481442E-2</v>
      </c>
      <c r="F320" s="247">
        <v>4080.7460000000001</v>
      </c>
      <c r="G320" s="247"/>
      <c r="H320" s="247"/>
      <c r="I320" s="247">
        <v>411.92500000000001</v>
      </c>
      <c r="J320" s="190">
        <v>44.234162620438376</v>
      </c>
      <c r="K320" s="190">
        <v>47.273881539154175</v>
      </c>
      <c r="L320" s="190">
        <v>5.3881539154176039E-2</v>
      </c>
      <c r="M320" s="247">
        <v>280.42399999999998</v>
      </c>
      <c r="N320" s="247">
        <v>38.594999999999999</v>
      </c>
      <c r="O320" s="247">
        <v>2122.46</v>
      </c>
      <c r="P320" s="247">
        <v>1776.38</v>
      </c>
      <c r="Q320" s="247">
        <v>729.22799999999995</v>
      </c>
      <c r="R320" s="247">
        <v>381.00599999999997</v>
      </c>
      <c r="S320" s="247">
        <v>666.14599999999996</v>
      </c>
      <c r="T320" s="247">
        <v>347.37599999999998</v>
      </c>
      <c r="U320" s="247">
        <v>504.80200000000036</v>
      </c>
      <c r="V320" s="199">
        <v>0.31180750039840555</v>
      </c>
      <c r="W320" s="190">
        <v>11.503440889898028</v>
      </c>
      <c r="X320" s="190">
        <v>-9.6559110101971157E-2</v>
      </c>
      <c r="Y320" s="247">
        <v>58.777322429052205</v>
      </c>
      <c r="Z320" s="247">
        <v>1626.046</v>
      </c>
      <c r="AA320" s="247">
        <v>1582.5650000000001</v>
      </c>
      <c r="AB320" s="199">
        <v>2.674032591943893E-2</v>
      </c>
      <c r="AC320" s="199"/>
      <c r="AD320" s="199"/>
      <c r="AE320" s="199"/>
      <c r="AF320" s="199"/>
      <c r="AH320" s="247"/>
      <c r="AI320" s="247">
        <v>684.43899999999996</v>
      </c>
      <c r="AJ320" s="247">
        <v>22.814633333333333</v>
      </c>
      <c r="AK320" s="247">
        <v>493.12900000000002</v>
      </c>
      <c r="AL320" s="247">
        <v>59.768000000000001</v>
      </c>
      <c r="AM320" s="190">
        <v>43.229184777606186</v>
      </c>
      <c r="AN320" s="190">
        <v>-1.00497784283219</v>
      </c>
      <c r="AO320" s="247">
        <v>269.86</v>
      </c>
      <c r="AP320" s="247">
        <v>135.05099999999999</v>
      </c>
      <c r="AQ320" s="190">
        <v>11.82837331011237</v>
      </c>
      <c r="AR320" s="190">
        <v>0.32493242021434199</v>
      </c>
      <c r="AS320" s="190">
        <v>55.057558087718554</v>
      </c>
      <c r="AT320" s="247">
        <v>1109.8620000000001</v>
      </c>
      <c r="AU320" s="247">
        <v>36.995400000000004</v>
      </c>
      <c r="AV320" s="247">
        <v>809.59199999999998</v>
      </c>
      <c r="AW320" s="247">
        <v>49.142000000000003</v>
      </c>
      <c r="AX320" s="190">
        <v>43.767171053698561</v>
      </c>
      <c r="AY320" s="190">
        <v>-0.46699156673981435</v>
      </c>
      <c r="AZ320" s="247">
        <v>418.53500000000003</v>
      </c>
      <c r="BA320" s="247">
        <v>112.28100000000001</v>
      </c>
      <c r="BB320" s="190">
        <v>11.313163258134795</v>
      </c>
      <c r="BC320" s="190">
        <v>-0.19027763176323376</v>
      </c>
      <c r="BD320" s="190">
        <v>55.080334311833354</v>
      </c>
      <c r="BE320" s="247">
        <v>1218.596</v>
      </c>
      <c r="BF320" s="247">
        <v>40.619866666666667</v>
      </c>
      <c r="BG320" s="247">
        <v>913.11199999999997</v>
      </c>
      <c r="BH320" s="247">
        <v>117.21899999999999</v>
      </c>
      <c r="BI320" s="190">
        <v>44.958887112710038</v>
      </c>
      <c r="BJ320" s="190">
        <v>0.7247244922716618</v>
      </c>
      <c r="BK320" s="247">
        <v>467.55900000000003</v>
      </c>
      <c r="BL320" s="247">
        <v>164.51300000000001</v>
      </c>
      <c r="BM320" s="190">
        <v>11.510599082878986</v>
      </c>
      <c r="BN320" s="190">
        <v>7.1581929809578781E-3</v>
      </c>
      <c r="BO320" s="190">
        <v>56.469486195589027</v>
      </c>
      <c r="BP320" s="247">
        <v>865.76800000000003</v>
      </c>
      <c r="BQ320" s="247">
        <v>28.858933333333333</v>
      </c>
      <c r="BR320" s="247">
        <v>640.95399999999995</v>
      </c>
      <c r="BS320" s="247">
        <v>66.781999999999996</v>
      </c>
      <c r="BT320" s="190">
        <v>44.419798375546335</v>
      </c>
      <c r="BU320" s="190">
        <v>0.18563575510795971</v>
      </c>
      <c r="BV320" s="247">
        <v>316.05700000000002</v>
      </c>
      <c r="BW320" s="247">
        <v>198.511</v>
      </c>
      <c r="BX320" s="190">
        <v>10.951790779978008</v>
      </c>
      <c r="BY320" s="190">
        <v>-0.55165010992002017</v>
      </c>
      <c r="BZ320" s="190">
        <v>55.371589155524347</v>
      </c>
      <c r="CA320" s="247">
        <v>676.38900000000001</v>
      </c>
      <c r="CB320" s="247">
        <v>22.546299999999999</v>
      </c>
      <c r="CC320" s="247">
        <v>503.02600000000001</v>
      </c>
      <c r="CD320" s="247">
        <v>78.072999999999993</v>
      </c>
      <c r="CE320" s="190">
        <v>44.621600883515256</v>
      </c>
      <c r="CF320" s="190">
        <v>0.38743826307688067</v>
      </c>
      <c r="CG320" s="247">
        <v>266.75900000000001</v>
      </c>
      <c r="CH320" s="247">
        <v>46.091999999999999</v>
      </c>
      <c r="CI320" s="190">
        <v>11.831608734027315</v>
      </c>
      <c r="CJ320" s="190">
        <v>0.32816784412928612</v>
      </c>
      <c r="CK320" s="190">
        <v>56.453209617542569</v>
      </c>
      <c r="CL320" s="247">
        <v>980.14200000000005</v>
      </c>
      <c r="CM320" s="247">
        <v>32.671399999999998</v>
      </c>
      <c r="CN320" s="247">
        <v>720.93299999999999</v>
      </c>
      <c r="CO320" s="247">
        <v>40.941000000000003</v>
      </c>
      <c r="CP320" s="190">
        <v>44.132360413083006</v>
      </c>
      <c r="CQ320" s="190">
        <v>-0.10180220735536949</v>
      </c>
      <c r="CR320" s="247">
        <v>383.69</v>
      </c>
      <c r="CS320" s="247">
        <v>72.78</v>
      </c>
      <c r="CT320" s="190">
        <v>11.74391057622263</v>
      </c>
      <c r="CU320" s="190">
        <v>0.24046968632460164</v>
      </c>
      <c r="CV320" s="190">
        <v>55.876270989305638</v>
      </c>
      <c r="CW320" s="163"/>
      <c r="CX320" s="212">
        <v>0</v>
      </c>
      <c r="CY320" s="212">
        <v>0</v>
      </c>
      <c r="CZ320" s="212">
        <v>5.6843418860808015E-14</v>
      </c>
      <c r="DA320" s="212">
        <v>0</v>
      </c>
      <c r="DB320" s="212">
        <v>0</v>
      </c>
      <c r="DC320" s="212">
        <v>0</v>
      </c>
      <c r="DD320" s="163"/>
      <c r="DE320" s="247">
        <v>204.619</v>
      </c>
      <c r="DF320" s="247">
        <v>115.58799999999999</v>
      </c>
      <c r="DG320" s="247">
        <v>57.386000000000003</v>
      </c>
      <c r="DH320" s="199">
        <v>0.56489377819264097</v>
      </c>
      <c r="DI320" s="247">
        <v>173.28</v>
      </c>
      <c r="DJ320" s="199">
        <v>0.42342108992811028</v>
      </c>
      <c r="DK320" s="247">
        <v>166.21899999999999</v>
      </c>
      <c r="DL320" s="247">
        <v>160.88499999999999</v>
      </c>
      <c r="DM320" s="199">
        <v>3.2090194261787164E-2</v>
      </c>
      <c r="DN320" s="247">
        <v>158.87200000000001</v>
      </c>
      <c r="DO320" s="247">
        <v>40.53</v>
      </c>
      <c r="DP320" s="247">
        <v>87.62</v>
      </c>
      <c r="DQ320" s="247">
        <v>128.15</v>
      </c>
      <c r="DR320" s="247">
        <v>0.9883148681207512</v>
      </c>
      <c r="DS320" s="247"/>
      <c r="DT320" s="247">
        <v>115.562</v>
      </c>
      <c r="DU320" s="247">
        <v>47.302</v>
      </c>
      <c r="DV320" s="247">
        <v>19.27</v>
      </c>
      <c r="DW320" s="199">
        <v>0.40932140322943528</v>
      </c>
      <c r="DX320" s="247">
        <v>29.158000000000001</v>
      </c>
      <c r="DY320" s="199">
        <v>0.12615738737647325</v>
      </c>
      <c r="DZ320" s="247">
        <v>38.588999999999999</v>
      </c>
      <c r="EA320" s="247">
        <v>37.204999999999998</v>
      </c>
      <c r="EB320" s="199">
        <v>3.5865142916375103E-2</v>
      </c>
      <c r="EC320" s="247">
        <v>47.834000000000003</v>
      </c>
      <c r="ED320" s="247">
        <v>19.27</v>
      </c>
      <c r="EE320" s="247">
        <v>34.997999999999998</v>
      </c>
      <c r="EF320" s="247">
        <v>54.268000000000001</v>
      </c>
      <c r="EG320" s="199">
        <v>0.53547879060590853</v>
      </c>
    </row>
    <row r="321" spans="1:137" hidden="1">
      <c r="A321" s="157">
        <v>44044</v>
      </c>
      <c r="B321" s="247">
        <v>5240.2340000000004</v>
      </c>
      <c r="C321" s="247">
        <v>174.67446666666669</v>
      </c>
      <c r="D321" s="247">
        <v>9.6194666666666819</v>
      </c>
      <c r="E321" s="247">
        <v>5.8280371189401547E-2</v>
      </c>
      <c r="F321" s="247">
        <v>3852.6869999999999</v>
      </c>
      <c r="G321" s="247"/>
      <c r="H321" s="247"/>
      <c r="I321" s="247">
        <v>388.92599999999999</v>
      </c>
      <c r="J321" s="190">
        <v>44.112766719959446</v>
      </c>
      <c r="K321" s="190">
        <v>47.086195005795531</v>
      </c>
      <c r="L321" s="190">
        <v>2.6195005795528914E-2</v>
      </c>
      <c r="M321" s="247">
        <v>259.69099999999997</v>
      </c>
      <c r="N321" s="247">
        <v>32.720999999999997</v>
      </c>
      <c r="O321" s="247">
        <v>2012.6990000000001</v>
      </c>
      <c r="P321" s="247">
        <v>1593.4190000000001</v>
      </c>
      <c r="Q321" s="247">
        <v>673.59299999999996</v>
      </c>
      <c r="R321" s="247">
        <v>327.15800000000002</v>
      </c>
      <c r="S321" s="247">
        <v>592.66800000000001</v>
      </c>
      <c r="T321" s="247">
        <v>364.767</v>
      </c>
      <c r="U321" s="247">
        <v>439.67600000000016</v>
      </c>
      <c r="V321" s="199">
        <v>0.28954435598053374</v>
      </c>
      <c r="W321" s="190">
        <v>11.522571320288368</v>
      </c>
      <c r="X321" s="190">
        <v>-7.7428679711632142E-2</v>
      </c>
      <c r="Y321" s="247">
        <v>58.608766326083895</v>
      </c>
      <c r="Z321" s="247">
        <v>1586.1890000000001</v>
      </c>
      <c r="AA321" s="247">
        <v>1545.72</v>
      </c>
      <c r="AB321" s="199">
        <v>2.5513353074570588E-2</v>
      </c>
      <c r="AC321" s="199"/>
      <c r="AD321" s="199"/>
      <c r="AE321" s="199"/>
      <c r="AF321" s="199"/>
      <c r="AH321" s="247"/>
      <c r="AI321" s="247">
        <v>683.79300000000001</v>
      </c>
      <c r="AJ321" s="247">
        <v>22.793099999999999</v>
      </c>
      <c r="AK321" s="247">
        <v>494.12099999999998</v>
      </c>
      <c r="AL321" s="247">
        <v>79.781000000000006</v>
      </c>
      <c r="AM321" s="190">
        <v>43.357068586545928</v>
      </c>
      <c r="AN321" s="190">
        <v>-0.75569813341351733</v>
      </c>
      <c r="AO321" s="247">
        <v>270.56200000000001</v>
      </c>
      <c r="AP321" s="247">
        <v>111.723</v>
      </c>
      <c r="AQ321" s="190">
        <v>11.870346727737781</v>
      </c>
      <c r="AR321" s="190">
        <v>0.34777540744941327</v>
      </c>
      <c r="AS321" s="190">
        <v>55.227415314283711</v>
      </c>
      <c r="AT321" s="247">
        <v>1100.944</v>
      </c>
      <c r="AU321" s="247">
        <v>36.698133333333331</v>
      </c>
      <c r="AV321" s="247">
        <v>808.54600000000005</v>
      </c>
      <c r="AW321" s="247">
        <v>56.515000000000001</v>
      </c>
      <c r="AX321" s="190">
        <v>44.064693572061799</v>
      </c>
      <c r="AY321" s="190">
        <v>-4.8073147897646606E-2</v>
      </c>
      <c r="AZ321" s="247">
        <v>420.08499999999998</v>
      </c>
      <c r="BA321" s="247">
        <v>102.529</v>
      </c>
      <c r="BB321" s="190">
        <v>11.447039994768126</v>
      </c>
      <c r="BC321" s="190">
        <v>-7.5531325520241666E-2</v>
      </c>
      <c r="BD321" s="190">
        <v>55.511733566829925</v>
      </c>
      <c r="BE321" s="247">
        <v>1136.32</v>
      </c>
      <c r="BF321" s="247">
        <v>37.877333333333333</v>
      </c>
      <c r="BG321" s="247">
        <v>843.23</v>
      </c>
      <c r="BH321" s="247">
        <v>86.188000000000002</v>
      </c>
      <c r="BI321" s="190">
        <v>44.524253731343286</v>
      </c>
      <c r="BJ321" s="190">
        <v>0.4114870113838407</v>
      </c>
      <c r="BK321" s="247">
        <v>446.33800000000002</v>
      </c>
      <c r="BL321" s="247">
        <v>151.24100000000001</v>
      </c>
      <c r="BM321" s="190">
        <v>11.783775696986766</v>
      </c>
      <c r="BN321" s="190">
        <v>0.26120437669839802</v>
      </c>
      <c r="BO321" s="190">
        <v>56.308029428330052</v>
      </c>
      <c r="BP321" s="247">
        <v>850.28700000000003</v>
      </c>
      <c r="BQ321" s="247">
        <v>28.3429</v>
      </c>
      <c r="BR321" s="247">
        <v>629.62599999999998</v>
      </c>
      <c r="BS321" s="247">
        <v>74.141999999999996</v>
      </c>
      <c r="BT321" s="190">
        <v>44.429186851027943</v>
      </c>
      <c r="BU321" s="190">
        <v>0.31642013106849731</v>
      </c>
      <c r="BV321" s="247">
        <v>311.60899999999998</v>
      </c>
      <c r="BW321" s="247">
        <v>185.26499999999999</v>
      </c>
      <c r="BX321" s="190">
        <v>10.994252528852023</v>
      </c>
      <c r="BY321" s="190">
        <v>-0.52831879143634453</v>
      </c>
      <c r="BZ321" s="190">
        <v>55.423439379879966</v>
      </c>
      <c r="CA321" s="247">
        <v>528.476</v>
      </c>
      <c r="CB321" s="247">
        <v>17.615866666666665</v>
      </c>
      <c r="CC321" s="247">
        <v>382.73599999999999</v>
      </c>
      <c r="CD321" s="247">
        <v>34.549999999999997</v>
      </c>
      <c r="CE321" s="190">
        <v>43.453553236097761</v>
      </c>
      <c r="CF321" s="190">
        <v>-0.65921348386168432</v>
      </c>
      <c r="CG321" s="247">
        <v>202.36799999999999</v>
      </c>
      <c r="CH321" s="247">
        <v>40.97</v>
      </c>
      <c r="CI321" s="190">
        <v>11.487825369553207</v>
      </c>
      <c r="CJ321" s="190">
        <v>-3.4745950735160847E-2</v>
      </c>
      <c r="CK321" s="190">
        <v>54.941378605650968</v>
      </c>
      <c r="CL321" s="247">
        <v>940.41399999999999</v>
      </c>
      <c r="CM321" s="247">
        <v>31.347133333333332</v>
      </c>
      <c r="CN321" s="247">
        <v>694.428</v>
      </c>
      <c r="CO321" s="247">
        <v>57.75</v>
      </c>
      <c r="CP321" s="190">
        <v>44.305678137501147</v>
      </c>
      <c r="CQ321" s="190">
        <v>0.19291141754170127</v>
      </c>
      <c r="CR321" s="247">
        <v>361.73700000000002</v>
      </c>
      <c r="CS321" s="247">
        <v>81.864999999999995</v>
      </c>
      <c r="CT321" s="190">
        <v>11.539715487008914</v>
      </c>
      <c r="CU321" s="190">
        <v>1.714416672054675E-2</v>
      </c>
      <c r="CV321" s="190">
        <v>55.845393624510059</v>
      </c>
      <c r="CW321" s="163"/>
      <c r="CX321" s="212">
        <v>0</v>
      </c>
      <c r="CY321" s="212">
        <v>0</v>
      </c>
      <c r="CZ321" s="212">
        <v>0</v>
      </c>
      <c r="DA321" s="212">
        <v>0</v>
      </c>
      <c r="DB321" s="212">
        <v>0</v>
      </c>
      <c r="DC321" s="212">
        <v>0</v>
      </c>
      <c r="DD321" s="163"/>
      <c r="DE321" s="247">
        <v>202.547</v>
      </c>
      <c r="DF321" s="247">
        <v>115.88800000000001</v>
      </c>
      <c r="DG321" s="247">
        <v>17.177</v>
      </c>
      <c r="DH321" s="199">
        <v>0.5721536236034106</v>
      </c>
      <c r="DI321" s="247">
        <v>171.49700000000001</v>
      </c>
      <c r="DJ321" s="199">
        <v>0.423351123442954</v>
      </c>
      <c r="DK321" s="247">
        <v>121.354</v>
      </c>
      <c r="DL321" s="247">
        <v>116.23699999999999</v>
      </c>
      <c r="DM321" s="199">
        <v>4.2165894820113126E-2</v>
      </c>
      <c r="DN321" s="247">
        <v>149.744</v>
      </c>
      <c r="DO321" s="247">
        <v>60.789000000000001</v>
      </c>
      <c r="DP321" s="247">
        <v>97.832999999999998</v>
      </c>
      <c r="DQ321" s="247">
        <v>158.62200000000001</v>
      </c>
      <c r="DR321" s="247">
        <v>0.9955047470463646</v>
      </c>
      <c r="DS321" s="247"/>
      <c r="DT321" s="247">
        <v>138.56200000000001</v>
      </c>
      <c r="DU321" s="247">
        <v>61.29</v>
      </c>
      <c r="DV321" s="247">
        <v>26.431000000000001</v>
      </c>
      <c r="DW321" s="199">
        <v>0.4423290656890056</v>
      </c>
      <c r="DX321" s="247">
        <v>38.256999999999998</v>
      </c>
      <c r="DY321" s="199">
        <v>0.13805011475007575</v>
      </c>
      <c r="DZ321" s="247">
        <v>39.734999999999999</v>
      </c>
      <c r="EA321" s="247">
        <v>38.505000000000003</v>
      </c>
      <c r="EB321" s="199">
        <v>3.095507738769343E-2</v>
      </c>
      <c r="EC321" s="247">
        <v>49.018999999999998</v>
      </c>
      <c r="ED321" s="247">
        <v>14.340999999999999</v>
      </c>
      <c r="EE321" s="247">
        <v>29.29</v>
      </c>
      <c r="EF321" s="247">
        <v>43.631</v>
      </c>
      <c r="EG321" s="199">
        <v>0.58037918043908132</v>
      </c>
    </row>
    <row r="322" spans="1:137" hidden="1">
      <c r="A322" s="157">
        <v>44075</v>
      </c>
      <c r="B322" s="247">
        <v>5131.665</v>
      </c>
      <c r="C322" s="247">
        <v>171.05549999999999</v>
      </c>
      <c r="D322" s="247">
        <v>9.5644999999999811</v>
      </c>
      <c r="E322" s="247">
        <v>5.9226210748586583E-2</v>
      </c>
      <c r="F322" s="247">
        <v>3754.1680000000001</v>
      </c>
      <c r="G322" s="247"/>
      <c r="H322" s="247"/>
      <c r="I322" s="247">
        <v>312.94400000000002</v>
      </c>
      <c r="J322" s="190">
        <v>43.894151313462594</v>
      </c>
      <c r="K322" s="190">
        <v>46.878539421415859</v>
      </c>
      <c r="L322" s="190">
        <v>-4.1460578584143093E-2</v>
      </c>
      <c r="M322" s="247">
        <v>255.24799999999999</v>
      </c>
      <c r="N322" s="247">
        <v>28.391999999999999</v>
      </c>
      <c r="O322" s="247">
        <v>1967.6210000000001</v>
      </c>
      <c r="P322" s="247">
        <v>1503.3440000000001</v>
      </c>
      <c r="Q322" s="247">
        <v>600.80600000000004</v>
      </c>
      <c r="R322" s="247">
        <v>328.13600000000002</v>
      </c>
      <c r="S322" s="247">
        <v>574.40200000000004</v>
      </c>
      <c r="T322" s="247">
        <v>345.18599999999998</v>
      </c>
      <c r="U322" s="247">
        <v>415.23599999999988</v>
      </c>
      <c r="V322" s="199">
        <v>0.28970748499609988</v>
      </c>
      <c r="W322" s="190">
        <v>11.502822183443387</v>
      </c>
      <c r="X322" s="190">
        <v>-9.7177816556612839E-2</v>
      </c>
      <c r="Y322" s="247">
        <v>58.381361604859244</v>
      </c>
      <c r="Z322" s="247">
        <v>1531.0740000000001</v>
      </c>
      <c r="AA322" s="247">
        <v>1496.712</v>
      </c>
      <c r="AB322" s="199">
        <v>2.2443069374831051E-2</v>
      </c>
      <c r="AC322" s="199"/>
      <c r="AD322" s="199"/>
      <c r="AE322" s="199"/>
      <c r="AF322" s="199"/>
      <c r="AH322" s="247"/>
      <c r="AI322" s="247">
        <v>596.32100000000003</v>
      </c>
      <c r="AJ322" s="247">
        <v>19.877366666666667</v>
      </c>
      <c r="AK322" s="247">
        <v>428.80200000000002</v>
      </c>
      <c r="AL322" s="247">
        <v>64.413512211331224</v>
      </c>
      <c r="AM322" s="190">
        <v>43.144749220637877</v>
      </c>
      <c r="AN322" s="190">
        <v>-0.7494020928247167</v>
      </c>
      <c r="AO322" s="247">
        <v>234.411</v>
      </c>
      <c r="AP322" s="247">
        <v>70.521000000000001</v>
      </c>
      <c r="AQ322" s="190">
        <v>11.792859885866839</v>
      </c>
      <c r="AR322" s="190">
        <v>0.29003770242345261</v>
      </c>
      <c r="AS322" s="190">
        <v>54.937609106504716</v>
      </c>
      <c r="AT322" s="247">
        <v>1129.883</v>
      </c>
      <c r="AU322" s="247">
        <v>37.66276666666667</v>
      </c>
      <c r="AV322" s="247">
        <v>827.995</v>
      </c>
      <c r="AW322" s="247">
        <v>30.215</v>
      </c>
      <c r="AX322" s="190">
        <v>43.968888814151548</v>
      </c>
      <c r="AY322" s="190">
        <v>7.4737500688954128E-2</v>
      </c>
      <c r="AZ322" s="247">
        <v>435.255</v>
      </c>
      <c r="BA322" s="247">
        <v>98.426000000000002</v>
      </c>
      <c r="BB322" s="190">
        <v>11.556639050237944</v>
      </c>
      <c r="BC322" s="190">
        <v>5.3816866794557328E-2</v>
      </c>
      <c r="BD322" s="190">
        <v>55.525527864389488</v>
      </c>
      <c r="BE322" s="247">
        <v>1197.0519999999999</v>
      </c>
      <c r="BF322" s="247">
        <v>39.901733333333333</v>
      </c>
      <c r="BG322" s="247">
        <v>873.75099999999998</v>
      </c>
      <c r="BH322" s="247">
        <v>91.692999999999998</v>
      </c>
      <c r="BI322" s="190">
        <v>43.79514006074924</v>
      </c>
      <c r="BJ322" s="190">
        <v>-9.9011252713353315E-2</v>
      </c>
      <c r="BK322" s="247">
        <v>459.483</v>
      </c>
      <c r="BL322" s="247">
        <v>128.751</v>
      </c>
      <c r="BM322" s="190">
        <v>11.515364411905248</v>
      </c>
      <c r="BN322" s="190">
        <v>1.2542228461860816E-2</v>
      </c>
      <c r="BO322" s="190">
        <v>55.310504472654486</v>
      </c>
      <c r="BP322" s="247">
        <v>785.03200000000004</v>
      </c>
      <c r="BQ322" s="247">
        <v>26.167733333333334</v>
      </c>
      <c r="BR322" s="247">
        <v>581.94100000000003</v>
      </c>
      <c r="BS322" s="247">
        <v>57.606000000000002</v>
      </c>
      <c r="BT322" s="190">
        <v>44.477753773094598</v>
      </c>
      <c r="BU322" s="190">
        <v>0.58360245963200441</v>
      </c>
      <c r="BV322" s="247">
        <v>288.81200000000001</v>
      </c>
      <c r="BW322" s="247">
        <v>145.07900000000001</v>
      </c>
      <c r="BX322" s="190">
        <v>11.036951359944563</v>
      </c>
      <c r="BY322" s="190">
        <v>-0.46587082349882358</v>
      </c>
      <c r="BZ322" s="190">
        <v>55.514705133039158</v>
      </c>
      <c r="CA322" s="247">
        <v>582.09699999999998</v>
      </c>
      <c r="CB322" s="247">
        <v>19.403233333333333</v>
      </c>
      <c r="CC322" s="247">
        <v>424.57100000000003</v>
      </c>
      <c r="CD322" s="247">
        <v>20.3</v>
      </c>
      <c r="CE322" s="190">
        <v>43.76291236683921</v>
      </c>
      <c r="CF322" s="190">
        <v>-0.13123894662338387</v>
      </c>
      <c r="CG322" s="247">
        <v>225.88</v>
      </c>
      <c r="CH322" s="247">
        <v>57.438000000000002</v>
      </c>
      <c r="CI322" s="190">
        <v>11.641358742615063</v>
      </c>
      <c r="CJ322" s="190">
        <v>0.13853655917167629</v>
      </c>
      <c r="CK322" s="190">
        <v>55.404271109454271</v>
      </c>
      <c r="CL322" s="247">
        <v>841.28</v>
      </c>
      <c r="CM322" s="247">
        <v>28.042666666666666</v>
      </c>
      <c r="CN322" s="247">
        <v>617.10799999999995</v>
      </c>
      <c r="CO322" s="247">
        <v>48.716487788668843</v>
      </c>
      <c r="CP322" s="190">
        <v>44.012076835298593</v>
      </c>
      <c r="CQ322" s="190">
        <v>0.1179255218359998</v>
      </c>
      <c r="CR322" s="247">
        <v>323.77999999999997</v>
      </c>
      <c r="CS322" s="247">
        <v>100.59099999999999</v>
      </c>
      <c r="CT322" s="190">
        <v>11.545977558006847</v>
      </c>
      <c r="CU322" s="190">
        <v>4.3155374563459858E-2</v>
      </c>
      <c r="CV322" s="190">
        <v>55.55805439330544</v>
      </c>
      <c r="CW322" s="163"/>
      <c r="CX322" s="212">
        <v>0</v>
      </c>
      <c r="CY322" s="212">
        <v>0</v>
      </c>
      <c r="CZ322" s="212">
        <v>-7.1054273576010019E-14</v>
      </c>
      <c r="DA322" s="212">
        <v>0</v>
      </c>
      <c r="DB322" s="212">
        <v>0</v>
      </c>
      <c r="DC322" s="212">
        <v>0</v>
      </c>
      <c r="DD322" s="163"/>
      <c r="DE322" s="247">
        <v>208.33799999999999</v>
      </c>
      <c r="DF322" s="247">
        <v>121.434</v>
      </c>
      <c r="DG322" s="247">
        <v>42.075000000000003</v>
      </c>
      <c r="DH322" s="199">
        <v>0.58287014370878087</v>
      </c>
      <c r="DI322" s="247">
        <v>174.43600000000001</v>
      </c>
      <c r="DJ322" s="199">
        <v>0.41863702253069535</v>
      </c>
      <c r="DK322" s="247">
        <v>169.51</v>
      </c>
      <c r="DL322" s="247">
        <v>163.92400000000001</v>
      </c>
      <c r="DM322" s="199">
        <v>3.2953808034924092E-2</v>
      </c>
      <c r="DN322" s="247">
        <v>174.345</v>
      </c>
      <c r="DO322" s="247">
        <v>39.854999999999997</v>
      </c>
      <c r="DP322" s="247">
        <v>92.021000000000001</v>
      </c>
      <c r="DQ322" s="247">
        <v>131.876</v>
      </c>
      <c r="DR322" s="247">
        <v>1.0015071662394761</v>
      </c>
      <c r="DS322" s="247"/>
      <c r="DT322" s="247">
        <v>148.95500000000001</v>
      </c>
      <c r="DU322" s="247">
        <v>61.104999999999997</v>
      </c>
      <c r="DV322" s="247">
        <v>24.872</v>
      </c>
      <c r="DW322" s="199">
        <v>0.41022456446577821</v>
      </c>
      <c r="DX322" s="247">
        <v>37.704999999999998</v>
      </c>
      <c r="DY322" s="199">
        <v>0.12656506998758013</v>
      </c>
      <c r="DZ322" s="247">
        <v>38.576000000000001</v>
      </c>
      <c r="EA322" s="247">
        <v>37.591999999999999</v>
      </c>
      <c r="EB322" s="199">
        <v>2.5508087930319445E-2</v>
      </c>
      <c r="EC322" s="247">
        <v>39.718000000000004</v>
      </c>
      <c r="ED322" s="247">
        <v>15</v>
      </c>
      <c r="EE322" s="247">
        <v>28.538</v>
      </c>
      <c r="EF322" s="247">
        <v>43.537999999999997</v>
      </c>
      <c r="EG322" s="199">
        <v>0.53678963445335837</v>
      </c>
    </row>
    <row r="323" spans="1:137" hidden="1">
      <c r="A323" s="157">
        <v>44105</v>
      </c>
      <c r="B323" s="247">
        <v>5897.0789999999997</v>
      </c>
      <c r="C323" s="247">
        <v>196.5693</v>
      </c>
      <c r="D323" s="247">
        <v>11.324299999999994</v>
      </c>
      <c r="E323" s="247">
        <v>6.1131474533725472E-2</v>
      </c>
      <c r="F323" s="247">
        <v>4335.0540000000001</v>
      </c>
      <c r="G323" s="247"/>
      <c r="H323" s="247"/>
      <c r="I323" s="247">
        <v>342.91399999999999</v>
      </c>
      <c r="J323" s="190">
        <v>44.107131683330003</v>
      </c>
      <c r="K323" s="190">
        <v>46.9614736380503</v>
      </c>
      <c r="L323" s="190">
        <v>1.1473638050297552E-2</v>
      </c>
      <c r="M323" s="247">
        <v>280.53800000000001</v>
      </c>
      <c r="N323" s="247">
        <v>31.285</v>
      </c>
      <c r="O323" s="247">
        <v>2282.471</v>
      </c>
      <c r="P323" s="247">
        <v>1564.319</v>
      </c>
      <c r="Q323" s="247">
        <v>689.02499999999998</v>
      </c>
      <c r="R323" s="247">
        <v>288.339</v>
      </c>
      <c r="S323" s="247">
        <v>586.95500000000004</v>
      </c>
      <c r="T323" s="247">
        <v>399.54700000000003</v>
      </c>
      <c r="U323" s="247">
        <v>476.53399999999988</v>
      </c>
      <c r="V323" s="199">
        <v>0.32039517740491008</v>
      </c>
      <c r="W323" s="190">
        <v>11.611533438843196</v>
      </c>
      <c r="X323" s="190">
        <v>-5.846656115680382E-2</v>
      </c>
      <c r="Y323" s="247">
        <v>58.573007076893497</v>
      </c>
      <c r="Z323" s="247">
        <v>1629.3140000000001</v>
      </c>
      <c r="AA323" s="247">
        <v>1589.296</v>
      </c>
      <c r="AB323" s="199">
        <v>2.4561257068925958E-2</v>
      </c>
      <c r="AC323" s="199"/>
      <c r="AD323" s="199"/>
      <c r="AE323" s="199"/>
      <c r="AF323" s="199"/>
      <c r="AH323" s="247"/>
      <c r="AI323" s="247">
        <v>701.83699999999999</v>
      </c>
      <c r="AJ323" s="247">
        <v>23.394566666666666</v>
      </c>
      <c r="AK323" s="247">
        <v>508.75</v>
      </c>
      <c r="AL323" s="247">
        <v>67.834999999999994</v>
      </c>
      <c r="AM323" s="190">
        <v>43.493004786011568</v>
      </c>
      <c r="AN323" s="190">
        <v>-0.61412689731843528</v>
      </c>
      <c r="AO323" s="247">
        <v>273.52800000000002</v>
      </c>
      <c r="AP323" s="247">
        <v>85.74</v>
      </c>
      <c r="AQ323" s="190">
        <v>11.691945565708279</v>
      </c>
      <c r="AR323" s="190">
        <v>8.0412126865082811E-2</v>
      </c>
      <c r="AS323" s="190">
        <v>55.184950351719849</v>
      </c>
      <c r="AT323" s="247">
        <v>1179.232</v>
      </c>
      <c r="AU323" s="247">
        <v>39.307733333333331</v>
      </c>
      <c r="AV323" s="247">
        <v>865.39700000000005</v>
      </c>
      <c r="AW323" s="247">
        <v>57.555</v>
      </c>
      <c r="AX323" s="190">
        <v>44.031895335269063</v>
      </c>
      <c r="AY323" s="190">
        <v>-7.5236348060940372E-2</v>
      </c>
      <c r="AZ323" s="247">
        <v>465.88600000000002</v>
      </c>
      <c r="BA323" s="247">
        <v>118.238</v>
      </c>
      <c r="BB323" s="190">
        <v>11.852273344006948</v>
      </c>
      <c r="BC323" s="190">
        <v>0.24073990516375154</v>
      </c>
      <c r="BD323" s="190">
        <v>55.884168679276009</v>
      </c>
      <c r="BE323" s="247">
        <v>1353.433</v>
      </c>
      <c r="BF323" s="247">
        <v>45.114433333333331</v>
      </c>
      <c r="BG323" s="247">
        <v>988.46799999999996</v>
      </c>
      <c r="BH323" s="247">
        <v>70.233999999999995</v>
      </c>
      <c r="BI323" s="190">
        <v>43.820477260418507</v>
      </c>
      <c r="BJ323" s="190">
        <v>-0.28665442291149645</v>
      </c>
      <c r="BK323" s="247">
        <v>518.76400000000001</v>
      </c>
      <c r="BL323" s="247">
        <v>155.64400000000001</v>
      </c>
      <c r="BM323" s="190">
        <v>11.498847744956715</v>
      </c>
      <c r="BN323" s="190">
        <v>-0.11268569388648153</v>
      </c>
      <c r="BO323" s="190">
        <v>55.319325005375219</v>
      </c>
      <c r="BP323" s="247">
        <v>945.36199999999997</v>
      </c>
      <c r="BQ323" s="247">
        <v>31.512066666666666</v>
      </c>
      <c r="BR323" s="247">
        <v>706.83900000000006</v>
      </c>
      <c r="BS323" s="247">
        <v>56.981999999999999</v>
      </c>
      <c r="BT323" s="190">
        <v>44.861481633490669</v>
      </c>
      <c r="BU323" s="190">
        <v>0.75434995016066608</v>
      </c>
      <c r="BV323" s="247">
        <v>357.60500000000002</v>
      </c>
      <c r="BW323" s="247">
        <v>167.48500000000001</v>
      </c>
      <c r="BX323" s="190">
        <v>11.348192544231734</v>
      </c>
      <c r="BY323" s="190">
        <v>-0.26334089461146171</v>
      </c>
      <c r="BZ323" s="190">
        <v>56.209674177722405</v>
      </c>
      <c r="CA323" s="247">
        <v>736.78399999999999</v>
      </c>
      <c r="CB323" s="247">
        <v>24.559466666666665</v>
      </c>
      <c r="CC323" s="247">
        <v>539.61500000000001</v>
      </c>
      <c r="CD323" s="247">
        <v>44.149060208698259</v>
      </c>
      <c r="CE323" s="190">
        <v>43.943543833742318</v>
      </c>
      <c r="CF323" s="190">
        <v>-0.16358784958768524</v>
      </c>
      <c r="CG323" s="247">
        <v>287.80500000000001</v>
      </c>
      <c r="CH323" s="247">
        <v>50.435000000000002</v>
      </c>
      <c r="CI323" s="190">
        <v>11.718699103129277</v>
      </c>
      <c r="CJ323" s="190">
        <v>0.10716566428608054</v>
      </c>
      <c r="CK323" s="190">
        <v>55.662242936871593</v>
      </c>
      <c r="CL323" s="247">
        <v>980.43100000000004</v>
      </c>
      <c r="CM323" s="247">
        <v>32.681033333333332</v>
      </c>
      <c r="CN323" s="247">
        <v>725.98500000000001</v>
      </c>
      <c r="CO323" s="247">
        <v>46.158939791301762</v>
      </c>
      <c r="CP323" s="190">
        <v>44.428521741968588</v>
      </c>
      <c r="CQ323" s="190">
        <v>0.32139005863858472</v>
      </c>
      <c r="CR323" s="247">
        <v>378.88299999999998</v>
      </c>
      <c r="CS323" s="247">
        <v>111.483</v>
      </c>
      <c r="CT323" s="190">
        <v>11.593360471058137</v>
      </c>
      <c r="CU323" s="190">
        <v>-1.8172967785059058E-2</v>
      </c>
      <c r="CV323" s="190">
        <v>56.021882213026728</v>
      </c>
      <c r="CW323" s="163"/>
      <c r="CX323" s="212">
        <v>0</v>
      </c>
      <c r="CY323" s="212">
        <v>0</v>
      </c>
      <c r="CZ323" s="212">
        <v>0</v>
      </c>
      <c r="DA323" s="212">
        <v>0</v>
      </c>
      <c r="DB323" s="212">
        <v>0</v>
      </c>
      <c r="DC323" s="212">
        <v>0</v>
      </c>
      <c r="DD323" s="163"/>
      <c r="DE323" s="247">
        <v>215.87799999999999</v>
      </c>
      <c r="DF323" s="247">
        <v>123.169</v>
      </c>
      <c r="DG323" s="247">
        <v>33.734000000000002</v>
      </c>
      <c r="DH323" s="199">
        <v>0.57054910643974843</v>
      </c>
      <c r="DI323" s="247">
        <v>179.03800000000001</v>
      </c>
      <c r="DJ323" s="199">
        <v>0.41467402884962806</v>
      </c>
      <c r="DK323" s="247">
        <v>159.03</v>
      </c>
      <c r="DL323" s="247">
        <v>154.477</v>
      </c>
      <c r="DM323" s="199">
        <v>2.8629818273281704E-2</v>
      </c>
      <c r="DN323" s="247">
        <v>172.38200000000001</v>
      </c>
      <c r="DO323" s="247">
        <v>57.142000000000003</v>
      </c>
      <c r="DP323" s="247">
        <v>93.197999999999993</v>
      </c>
      <c r="DQ323" s="247">
        <v>150.34</v>
      </c>
      <c r="DR323" s="247">
        <v>0.98522313528937655</v>
      </c>
      <c r="DS323" s="247"/>
      <c r="DT323" s="247">
        <v>141.29900000000001</v>
      </c>
      <c r="DU323" s="247">
        <v>64.119</v>
      </c>
      <c r="DV323" s="247">
        <v>24.068999999999999</v>
      </c>
      <c r="DW323" s="199">
        <v>0.45378240468793124</v>
      </c>
      <c r="DX323" s="247">
        <v>40.744</v>
      </c>
      <c r="DY323" s="199">
        <v>0.14417653345034287</v>
      </c>
      <c r="DZ323" s="247">
        <v>43.771000000000001</v>
      </c>
      <c r="EA323" s="247">
        <v>42.457000000000001</v>
      </c>
      <c r="EB323" s="199">
        <v>3.0019876173722371E-2</v>
      </c>
      <c r="EC323" s="247">
        <v>46.723999999999997</v>
      </c>
      <c r="ED323" s="247">
        <v>25</v>
      </c>
      <c r="EE323" s="247">
        <v>26.305</v>
      </c>
      <c r="EF323" s="247">
        <v>51.305</v>
      </c>
      <c r="EG323" s="199">
        <v>0.59795893813827417</v>
      </c>
    </row>
    <row r="324" spans="1:137" hidden="1">
      <c r="A324" s="157">
        <v>44136</v>
      </c>
      <c r="B324" s="247">
        <v>5731.2070000000003</v>
      </c>
      <c r="C324" s="247">
        <v>191.04023333333333</v>
      </c>
      <c r="D324" s="247">
        <v>10.022233333333332</v>
      </c>
      <c r="E324" s="247">
        <v>5.5365948874329218E-2</v>
      </c>
      <c r="F324" s="247">
        <v>4230.2740000000003</v>
      </c>
      <c r="G324" s="247"/>
      <c r="H324" s="247"/>
      <c r="I324" s="247">
        <v>415.10700000000003</v>
      </c>
      <c r="J324" s="190">
        <v>44.286734016063285</v>
      </c>
      <c r="K324" s="190">
        <v>47.281077092486797</v>
      </c>
      <c r="L324" s="190">
        <v>-2.8922907513205587E-2</v>
      </c>
      <c r="M324" s="247">
        <v>286.02</v>
      </c>
      <c r="N324" s="247">
        <v>43.31</v>
      </c>
      <c r="O324" s="247">
        <v>2206.7919999999999</v>
      </c>
      <c r="P324" s="247">
        <v>1685.1310000000001</v>
      </c>
      <c r="Q324" s="247">
        <v>760.16499999999996</v>
      </c>
      <c r="R324" s="247">
        <v>267.25299999999999</v>
      </c>
      <c r="S324" s="247">
        <v>657.71299999999997</v>
      </c>
      <c r="T324" s="247">
        <v>432.56200000000001</v>
      </c>
      <c r="U324" s="247">
        <v>559.86300000000028</v>
      </c>
      <c r="V324" s="199">
        <v>0.35938645423441606</v>
      </c>
      <c r="W324" s="190">
        <v>11.551451552875337</v>
      </c>
      <c r="X324" s="190">
        <v>-7.8548447124664023E-2</v>
      </c>
      <c r="Y324" s="247">
        <v>58.832528645362132</v>
      </c>
      <c r="Z324" s="247">
        <v>1553.431</v>
      </c>
      <c r="AA324" s="247">
        <v>1519.0170000000001</v>
      </c>
      <c r="AB324" s="199">
        <v>2.2153542706434971E-2</v>
      </c>
      <c r="AC324" s="199"/>
      <c r="AD324" s="199"/>
      <c r="AE324" s="199"/>
      <c r="AF324" s="199"/>
      <c r="AH324" s="247"/>
      <c r="AI324" s="247">
        <v>699.51800000000003</v>
      </c>
      <c r="AJ324" s="247">
        <v>23.317266666666669</v>
      </c>
      <c r="AK324" s="247">
        <v>509.63499999999999</v>
      </c>
      <c r="AL324" s="247">
        <v>87.936999999999998</v>
      </c>
      <c r="AM324" s="190">
        <v>43.71309959143295</v>
      </c>
      <c r="AN324" s="190">
        <v>-0.57363442463033465</v>
      </c>
      <c r="AO324" s="247">
        <v>269.90100000000001</v>
      </c>
      <c r="AP324" s="247">
        <v>97.960999999999999</v>
      </c>
      <c r="AQ324" s="190">
        <v>11.575156036013368</v>
      </c>
      <c r="AR324" s="190">
        <v>2.3704483138031307E-2</v>
      </c>
      <c r="AS324" s="190">
        <v>55.288255627446318</v>
      </c>
      <c r="AT324" s="247">
        <v>1161.4570000000001</v>
      </c>
      <c r="AU324" s="247">
        <v>38.715233333333337</v>
      </c>
      <c r="AV324" s="247">
        <v>863.83</v>
      </c>
      <c r="AW324" s="247">
        <v>60.49</v>
      </c>
      <c r="AX324" s="190">
        <v>44.624811766600054</v>
      </c>
      <c r="AY324" s="190">
        <v>0.33807775053676892</v>
      </c>
      <c r="AZ324" s="247">
        <v>460.839</v>
      </c>
      <c r="BA324" s="247">
        <v>123.657</v>
      </c>
      <c r="BB324" s="190">
        <v>11.903299045939711</v>
      </c>
      <c r="BC324" s="190">
        <v>0.35184749306437446</v>
      </c>
      <c r="BD324" s="190">
        <v>56.528110812539765</v>
      </c>
      <c r="BE324" s="247">
        <v>1258.202</v>
      </c>
      <c r="BF324" s="247">
        <v>41.940066666666667</v>
      </c>
      <c r="BG324" s="247">
        <v>933.35400000000004</v>
      </c>
      <c r="BH324" s="247">
        <v>93.138000000000005</v>
      </c>
      <c r="BI324" s="190">
        <v>44.508942125350302</v>
      </c>
      <c r="BJ324" s="190">
        <v>0.22220810928701695</v>
      </c>
      <c r="BK324" s="247">
        <v>481.274</v>
      </c>
      <c r="BL324" s="247">
        <v>169.071</v>
      </c>
      <c r="BM324" s="190">
        <v>11.475279804037825</v>
      </c>
      <c r="BN324" s="190">
        <v>-7.6171748837511544E-2</v>
      </c>
      <c r="BO324" s="190">
        <v>55.984221929388127</v>
      </c>
      <c r="BP324" s="247">
        <v>930.68399999999997</v>
      </c>
      <c r="BQ324" s="247">
        <v>31.0228</v>
      </c>
      <c r="BR324" s="247">
        <v>690.98</v>
      </c>
      <c r="BS324" s="247">
        <v>66.881</v>
      </c>
      <c r="BT324" s="190">
        <v>44.546591539126062</v>
      </c>
      <c r="BU324" s="190">
        <v>0.25985752306277732</v>
      </c>
      <c r="BV324" s="247">
        <v>352.779</v>
      </c>
      <c r="BW324" s="247">
        <v>191.47499999999999</v>
      </c>
      <c r="BX324" s="190">
        <v>11.371604110525162</v>
      </c>
      <c r="BY324" s="190">
        <v>-0.1798474423501748</v>
      </c>
      <c r="BZ324" s="190">
        <v>55.918195649651224</v>
      </c>
      <c r="CA324" s="247">
        <v>737.32299999999998</v>
      </c>
      <c r="CB324" s="247">
        <v>24.577433333333332</v>
      </c>
      <c r="CC324" s="247">
        <v>534.22299999999996</v>
      </c>
      <c r="CD324" s="247">
        <v>59.92</v>
      </c>
      <c r="CE324" s="190">
        <v>43.472643603956477</v>
      </c>
      <c r="CF324" s="190">
        <v>-0.81409041210680755</v>
      </c>
      <c r="CG324" s="247">
        <v>280.18400000000003</v>
      </c>
      <c r="CH324" s="247">
        <v>55.36</v>
      </c>
      <c r="CI324" s="190">
        <v>11.40005126654126</v>
      </c>
      <c r="CJ324" s="190">
        <v>-0.15140028633407709</v>
      </c>
      <c r="CK324" s="190">
        <v>54.872694870497739</v>
      </c>
      <c r="CL324" s="247">
        <v>944.02300000000002</v>
      </c>
      <c r="CM324" s="247">
        <v>31.467433333333336</v>
      </c>
      <c r="CN324" s="247">
        <v>698.25199999999995</v>
      </c>
      <c r="CO324" s="247">
        <v>46.741</v>
      </c>
      <c r="CP324" s="190">
        <v>44.37934245246143</v>
      </c>
      <c r="CQ324" s="190">
        <v>9.2608436398144534E-2</v>
      </c>
      <c r="CR324" s="247">
        <v>361.815</v>
      </c>
      <c r="CS324" s="247">
        <v>122.64100000000001</v>
      </c>
      <c r="CT324" s="190">
        <v>11.498077907000146</v>
      </c>
      <c r="CU324" s="190">
        <v>-5.3373645875190334E-2</v>
      </c>
      <c r="CV324" s="190">
        <v>55.877420359461574</v>
      </c>
      <c r="CW324" s="163"/>
      <c r="CX324" s="212">
        <v>-3.1974423109204508E-14</v>
      </c>
      <c r="CY324" s="212">
        <v>0</v>
      </c>
      <c r="CZ324" s="212">
        <v>0</v>
      </c>
      <c r="DA324" s="212">
        <v>0</v>
      </c>
      <c r="DB324" s="212">
        <v>-1.1368683772161603E-13</v>
      </c>
      <c r="DC324" s="212">
        <v>0</v>
      </c>
      <c r="DD324" s="163"/>
      <c r="DE324" s="247">
        <v>207.7</v>
      </c>
      <c r="DF324" s="247">
        <v>117.446</v>
      </c>
      <c r="DG324" s="247">
        <v>67.564999999999998</v>
      </c>
      <c r="DH324" s="199">
        <v>0.56545979778526723</v>
      </c>
      <c r="DI324" s="247">
        <v>173.51300000000001</v>
      </c>
      <c r="DJ324" s="199">
        <v>0.41770101107366397</v>
      </c>
      <c r="DK324" s="247">
        <v>152.24199999999999</v>
      </c>
      <c r="DL324" s="247">
        <v>146.857</v>
      </c>
      <c r="DM324" s="199">
        <v>3.5371316719433499E-2</v>
      </c>
      <c r="DN324" s="247">
        <v>154.27799999999999</v>
      </c>
      <c r="DO324" s="247">
        <v>56.25</v>
      </c>
      <c r="DP324" s="247">
        <v>74.28</v>
      </c>
      <c r="DQ324" s="247">
        <v>130.53</v>
      </c>
      <c r="DR324" s="247">
        <v>0.9831608088589312</v>
      </c>
      <c r="DS324" s="247"/>
      <c r="DT324" s="247">
        <v>142.892</v>
      </c>
      <c r="DU324" s="247">
        <v>62.962000000000003</v>
      </c>
      <c r="DV324" s="247">
        <v>18.951000000000001</v>
      </c>
      <c r="DW324" s="199">
        <v>0.44062648713713859</v>
      </c>
      <c r="DX324" s="247">
        <v>38.619</v>
      </c>
      <c r="DY324" s="199">
        <v>0.1351335274193097</v>
      </c>
      <c r="DZ324" s="247">
        <v>45.649000000000001</v>
      </c>
      <c r="EA324" s="247">
        <v>44.106000000000002</v>
      </c>
      <c r="EB324" s="199">
        <v>3.3801397620977447E-2</v>
      </c>
      <c r="EC324" s="247">
        <v>36.494</v>
      </c>
      <c r="ED324" s="247">
        <v>25</v>
      </c>
      <c r="EE324" s="247">
        <v>35.014000000000003</v>
      </c>
      <c r="EF324" s="247">
        <v>60.014000000000003</v>
      </c>
      <c r="EG324" s="199">
        <v>0.57576001455644832</v>
      </c>
    </row>
    <row r="325" spans="1:137" hidden="1">
      <c r="A325" s="157">
        <v>44166</v>
      </c>
      <c r="B325" s="247">
        <v>5812.9970000000003</v>
      </c>
      <c r="C325" s="247">
        <v>193.76656666666668</v>
      </c>
      <c r="D325" s="247">
        <v>10.607566666666685</v>
      </c>
      <c r="E325" s="247">
        <v>5.7914525994718691E-2</v>
      </c>
      <c r="F325" s="247">
        <v>4269.9639999999999</v>
      </c>
      <c r="G325" s="247"/>
      <c r="H325" s="247"/>
      <c r="I325" s="247">
        <v>358.13400000000001</v>
      </c>
      <c r="J325" s="190">
        <v>44.07327923960738</v>
      </c>
      <c r="K325" s="190">
        <v>47.159528897056028</v>
      </c>
      <c r="L325" s="190">
        <v>0.16952889705602558</v>
      </c>
      <c r="M325" s="247">
        <v>299.00599999999997</v>
      </c>
      <c r="N325" s="247">
        <v>39.734999999999999</v>
      </c>
      <c r="O325" s="247">
        <v>2231.7179999999998</v>
      </c>
      <c r="P325" s="247">
        <v>1808.1379999999999</v>
      </c>
      <c r="Q325" s="247">
        <v>826.87199999999996</v>
      </c>
      <c r="R325" s="247">
        <v>283.61099999999999</v>
      </c>
      <c r="S325" s="247">
        <v>697.65499999999997</v>
      </c>
      <c r="T325" s="247">
        <v>410.63</v>
      </c>
      <c r="U325" s="247">
        <v>520.01600000000008</v>
      </c>
      <c r="V325" s="199">
        <v>0.30611649022341103</v>
      </c>
      <c r="W325" s="190">
        <v>11.517559702852074</v>
      </c>
      <c r="X325" s="190">
        <v>-7.2440297147926103E-2</v>
      </c>
      <c r="Y325" s="247">
        <v>58.677088599908103</v>
      </c>
      <c r="Z325" s="247">
        <v>1534.2280000000001</v>
      </c>
      <c r="AA325" s="247">
        <v>1499.7929999999999</v>
      </c>
      <c r="AB325" s="199">
        <v>2.2444512810351636E-2</v>
      </c>
      <c r="AC325" s="199"/>
      <c r="AD325" s="199"/>
      <c r="AE325" s="199"/>
      <c r="AF325" s="199"/>
      <c r="AH325" s="247"/>
      <c r="AI325" s="247">
        <v>690.87900000000002</v>
      </c>
      <c r="AJ325" s="247">
        <v>23.029299999999999</v>
      </c>
      <c r="AK325" s="247">
        <v>499.81200000000001</v>
      </c>
      <c r="AL325" s="247">
        <v>86.298000000000002</v>
      </c>
      <c r="AM325" s="190">
        <v>43.406616788178539</v>
      </c>
      <c r="AN325" s="190">
        <v>-0.66666245142884151</v>
      </c>
      <c r="AO325" s="247">
        <v>262.61500000000001</v>
      </c>
      <c r="AP325" s="247">
        <v>108.31</v>
      </c>
      <c r="AQ325" s="190">
        <v>11.403516389990143</v>
      </c>
      <c r="AR325" s="190">
        <v>-0.1140433128619307</v>
      </c>
      <c r="AS325" s="190">
        <v>54.810133178168684</v>
      </c>
      <c r="AT325" s="247">
        <v>1201.3050000000001</v>
      </c>
      <c r="AU325" s="247">
        <v>40.043500000000002</v>
      </c>
      <c r="AV325" s="247">
        <v>884.92600000000004</v>
      </c>
      <c r="AW325" s="247">
        <v>40.834000000000003</v>
      </c>
      <c r="AX325" s="190">
        <v>44.198234420068175</v>
      </c>
      <c r="AY325" s="190">
        <v>0.12495518046079468</v>
      </c>
      <c r="AZ325" s="247">
        <v>473.16699999999997</v>
      </c>
      <c r="BA325" s="247">
        <v>131.881</v>
      </c>
      <c r="BB325" s="190">
        <v>11.816324746837813</v>
      </c>
      <c r="BC325" s="190">
        <v>0.298765043985739</v>
      </c>
      <c r="BD325" s="190">
        <v>56.01455916690599</v>
      </c>
      <c r="BE325" s="247">
        <v>1287.117</v>
      </c>
      <c r="BF325" s="247">
        <v>42.9039</v>
      </c>
      <c r="BG325" s="247">
        <v>956.78899999999999</v>
      </c>
      <c r="BH325" s="247">
        <v>95.944000000000003</v>
      </c>
      <c r="BI325" s="190">
        <v>44.601493104356479</v>
      </c>
      <c r="BJ325" s="190">
        <v>0.52821386474909815</v>
      </c>
      <c r="BK325" s="247">
        <v>496.09399999999999</v>
      </c>
      <c r="BL325" s="247">
        <v>170.691</v>
      </c>
      <c r="BM325" s="190">
        <v>11.562911530187233</v>
      </c>
      <c r="BN325" s="190">
        <v>4.5351827335158745E-2</v>
      </c>
      <c r="BO325" s="190">
        <v>56.164404634543715</v>
      </c>
      <c r="BP325" s="247">
        <v>932.90899999999999</v>
      </c>
      <c r="BQ325" s="247">
        <v>31.096966666666667</v>
      </c>
      <c r="BR325" s="247">
        <v>693.82600000000002</v>
      </c>
      <c r="BS325" s="247">
        <v>51.71</v>
      </c>
      <c r="BT325" s="190">
        <v>44.62338770448136</v>
      </c>
      <c r="BU325" s="190">
        <v>0.55010846487397913</v>
      </c>
      <c r="BV325" s="247">
        <v>354.06299999999999</v>
      </c>
      <c r="BW325" s="247">
        <v>218.041</v>
      </c>
      <c r="BX325" s="190">
        <v>11.385772888888413</v>
      </c>
      <c r="BY325" s="190">
        <v>-0.13178681396366088</v>
      </c>
      <c r="BZ325" s="190">
        <v>56.009160593369771</v>
      </c>
      <c r="CA325" s="247">
        <v>732.69600000000003</v>
      </c>
      <c r="CB325" s="247">
        <v>24.423200000000001</v>
      </c>
      <c r="CC325" s="247">
        <v>528.88499999999999</v>
      </c>
      <c r="CD325" s="247">
        <v>30.343</v>
      </c>
      <c r="CE325" s="190">
        <v>43.310049461168063</v>
      </c>
      <c r="CF325" s="190">
        <v>-0.76322977843931739</v>
      </c>
      <c r="CG325" s="247">
        <v>276.62700000000001</v>
      </c>
      <c r="CH325" s="247">
        <v>67.754999999999995</v>
      </c>
      <c r="CI325" s="190">
        <v>11.326402764584493</v>
      </c>
      <c r="CJ325" s="190">
        <v>-0.1911569382675804</v>
      </c>
      <c r="CK325" s="190">
        <v>54.636452225752556</v>
      </c>
      <c r="CL325" s="247">
        <v>968.09100000000001</v>
      </c>
      <c r="CM325" s="247">
        <v>32.2697</v>
      </c>
      <c r="CN325" s="247">
        <v>705.726</v>
      </c>
      <c r="CO325" s="247">
        <v>53.005000000000003</v>
      </c>
      <c r="CP325" s="190">
        <v>43.739235257842495</v>
      </c>
      <c r="CQ325" s="190">
        <v>-0.3340439817648857</v>
      </c>
      <c r="CR325" s="247">
        <v>369.15199999999999</v>
      </c>
      <c r="CS325" s="247">
        <v>130.19399999999999</v>
      </c>
      <c r="CT325" s="190">
        <v>11.439585741423068</v>
      </c>
      <c r="CU325" s="190">
        <v>-7.7973961429005811E-2</v>
      </c>
      <c r="CV325" s="190">
        <v>55.178820999265561</v>
      </c>
      <c r="CW325" s="163"/>
      <c r="CX325" s="212">
        <v>0</v>
      </c>
      <c r="CY325" s="212">
        <v>0</v>
      </c>
      <c r="CZ325" s="212">
        <v>0</v>
      </c>
      <c r="DA325" s="212">
        <v>0</v>
      </c>
      <c r="DB325" s="212">
        <v>0</v>
      </c>
      <c r="DC325" s="212">
        <v>0</v>
      </c>
      <c r="DD325" s="163"/>
      <c r="DE325" s="247">
        <v>197.88900000000001</v>
      </c>
      <c r="DF325" s="247">
        <v>110.928</v>
      </c>
      <c r="DG325" s="247">
        <v>50</v>
      </c>
      <c r="DH325" s="199">
        <v>0.56055667571214163</v>
      </c>
      <c r="DI325" s="247">
        <v>163.98599999999999</v>
      </c>
      <c r="DJ325" s="199">
        <v>0.41433834119127383</v>
      </c>
      <c r="DK325" s="247">
        <v>144.083</v>
      </c>
      <c r="DL325" s="247">
        <v>139.215</v>
      </c>
      <c r="DM325" s="199">
        <v>3.3786081633502829E-2</v>
      </c>
      <c r="DN325" s="247">
        <v>145.04900000000001</v>
      </c>
      <c r="DO325" s="247">
        <v>55.453000000000003</v>
      </c>
      <c r="DP325" s="247">
        <v>101.93600000000001</v>
      </c>
      <c r="DQ325" s="247">
        <v>157.38900000000001</v>
      </c>
      <c r="DR325" s="247">
        <v>0.9748950169034154</v>
      </c>
      <c r="DS325" s="247"/>
      <c r="DT325" s="247"/>
      <c r="DU325" s="247"/>
      <c r="DV325" s="247"/>
      <c r="DW325" s="199"/>
      <c r="DX325" s="247"/>
      <c r="DY325" s="199"/>
      <c r="DZ325" s="247"/>
      <c r="EA325" s="247"/>
      <c r="EB325" s="199"/>
      <c r="EC325" s="247"/>
      <c r="ED325" s="247"/>
      <c r="EE325" s="247"/>
      <c r="EF325" s="247"/>
      <c r="EG325" s="199"/>
    </row>
    <row r="326" spans="1:137" hidden="1">
      <c r="A326" s="157">
        <v>44197</v>
      </c>
      <c r="B326" s="247">
        <v>5895.36</v>
      </c>
      <c r="C326" s="247">
        <v>196.512</v>
      </c>
      <c r="D326" s="247">
        <v>11.858000000000004</v>
      </c>
      <c r="E326" s="247">
        <v>6.4217401193583656E-2</v>
      </c>
      <c r="F326" s="247">
        <v>4353.0680000000002</v>
      </c>
      <c r="G326" s="247"/>
      <c r="H326" s="247"/>
      <c r="I326" s="247">
        <v>512.39300000000003</v>
      </c>
      <c r="J326" s="190">
        <v>44.30333007653477</v>
      </c>
      <c r="K326" s="190">
        <v>47.484672691744024</v>
      </c>
      <c r="L326" s="190">
        <v>5.4672691744023894E-2</v>
      </c>
      <c r="M326" s="247">
        <v>312.58600000000001</v>
      </c>
      <c r="N326" s="247">
        <v>43.408000000000001</v>
      </c>
      <c r="O326" s="247">
        <v>2308.752</v>
      </c>
      <c r="P326" s="247">
        <v>1882.069</v>
      </c>
      <c r="Q326" s="247">
        <v>915.44399999999996</v>
      </c>
      <c r="R326" s="247">
        <v>287.88900000000001</v>
      </c>
      <c r="S326" s="247">
        <v>678.73599999999999</v>
      </c>
      <c r="T326" s="247">
        <v>423.92200000000003</v>
      </c>
      <c r="U326" s="247">
        <v>507.10500000000002</v>
      </c>
      <c r="V326" s="199">
        <v>0.28189946444632952</v>
      </c>
      <c r="W326" s="190">
        <v>11.748656570591109</v>
      </c>
      <c r="X326" s="190">
        <v>-2.1343429408890557E-2</v>
      </c>
      <c r="Y326" s="247">
        <v>59.233329262335133</v>
      </c>
      <c r="Z326" s="247">
        <v>1620.6780000000001</v>
      </c>
      <c r="AA326" s="247">
        <v>1587.925</v>
      </c>
      <c r="AB326" s="199">
        <v>2.0209443208336359E-2</v>
      </c>
      <c r="AC326" s="199"/>
      <c r="AD326" s="199"/>
      <c r="AE326" s="199"/>
      <c r="AF326" s="199"/>
      <c r="AH326" s="247"/>
      <c r="AI326" s="247">
        <v>687.83</v>
      </c>
      <c r="AJ326" s="247">
        <v>22.927666666666667</v>
      </c>
      <c r="AK326" s="247">
        <v>504.38</v>
      </c>
      <c r="AL326" s="247">
        <v>100.432</v>
      </c>
      <c r="AM326" s="190">
        <v>43.997499382114768</v>
      </c>
      <c r="AN326" s="190">
        <v>-0.30583069442000266</v>
      </c>
      <c r="AO326" s="247">
        <v>268.99700000000001</v>
      </c>
      <c r="AP326" s="247">
        <v>160.38200000000001</v>
      </c>
      <c r="AQ326" s="190">
        <v>11.732419347803964</v>
      </c>
      <c r="AR326" s="190">
        <v>-1.6237222787145456E-2</v>
      </c>
      <c r="AS326" s="190">
        <v>55.72991872991873</v>
      </c>
      <c r="AT326" s="247">
        <v>1208.731</v>
      </c>
      <c r="AU326" s="247">
        <v>40.291033333333331</v>
      </c>
      <c r="AV326" s="247">
        <v>893.53800000000001</v>
      </c>
      <c r="AW326" s="247">
        <v>71.099999999999994</v>
      </c>
      <c r="AX326" s="190">
        <v>44.354186332608336</v>
      </c>
      <c r="AY326" s="190">
        <v>5.0856256073565476E-2</v>
      </c>
      <c r="AZ326" s="247">
        <v>481.25900000000001</v>
      </c>
      <c r="BA326" s="247">
        <v>150.24</v>
      </c>
      <c r="BB326" s="190">
        <v>11.944568311725273</v>
      </c>
      <c r="BC326" s="190">
        <v>0.19591174113416443</v>
      </c>
      <c r="BD326" s="190">
        <v>56.298754644333613</v>
      </c>
      <c r="BE326" s="247">
        <v>1317.875</v>
      </c>
      <c r="BF326" s="247">
        <v>43.929166666666667</v>
      </c>
      <c r="BG326" s="247">
        <v>974.20899999999995</v>
      </c>
      <c r="BH326" s="247">
        <v>131.14500000000001</v>
      </c>
      <c r="BI326" s="190">
        <v>44.353629896613867</v>
      </c>
      <c r="BJ326" s="190">
        <v>5.0299820079096946E-2</v>
      </c>
      <c r="BK326" s="247">
        <v>512.98699999999997</v>
      </c>
      <c r="BL326" s="247">
        <v>211.88499999999999</v>
      </c>
      <c r="BM326" s="190">
        <v>11.677594612539124</v>
      </c>
      <c r="BN326" s="190">
        <v>-7.1061958051984675E-2</v>
      </c>
      <c r="BO326" s="190">
        <v>56.031224509152992</v>
      </c>
      <c r="BP326" s="247">
        <v>960.83399999999995</v>
      </c>
      <c r="BQ326" s="247">
        <v>32.027799999999999</v>
      </c>
      <c r="BR326" s="247">
        <v>716.11</v>
      </c>
      <c r="BS326" s="247">
        <v>83.150999999999996</v>
      </c>
      <c r="BT326" s="190">
        <v>44.71802621472596</v>
      </c>
      <c r="BU326" s="190">
        <v>0.41469613819118933</v>
      </c>
      <c r="BV326" s="247">
        <v>374.03500000000003</v>
      </c>
      <c r="BW326" s="247">
        <v>217.14699999999999</v>
      </c>
      <c r="BX326" s="190">
        <v>11.678448098214677</v>
      </c>
      <c r="BY326" s="190">
        <v>-7.020847237643224E-2</v>
      </c>
      <c r="BZ326" s="190">
        <v>56.39647431294064</v>
      </c>
      <c r="CA326" s="247">
        <v>745.37800000000004</v>
      </c>
      <c r="CB326" s="247">
        <v>24.845933333333335</v>
      </c>
      <c r="CC326" s="247">
        <v>545.471</v>
      </c>
      <c r="CD326" s="247">
        <v>64.494</v>
      </c>
      <c r="CE326" s="190">
        <v>43.908272044519691</v>
      </c>
      <c r="CF326" s="190">
        <v>-0.39505803201507916</v>
      </c>
      <c r="CG326" s="247">
        <v>281.12900000000002</v>
      </c>
      <c r="CH326" s="247">
        <v>60.877000000000002</v>
      </c>
      <c r="CI326" s="190">
        <v>11.314889894791635</v>
      </c>
      <c r="CJ326" s="190">
        <v>-0.43376667579947359</v>
      </c>
      <c r="CK326" s="190">
        <v>55.223161939311325</v>
      </c>
      <c r="CL326" s="247">
        <v>974.71199999999999</v>
      </c>
      <c r="CM326" s="247">
        <v>32.490400000000001</v>
      </c>
      <c r="CN326" s="247">
        <v>719.36</v>
      </c>
      <c r="CO326" s="247">
        <v>62.070999999999998</v>
      </c>
      <c r="CP326" s="190">
        <v>44.281387732991895</v>
      </c>
      <c r="CQ326" s="190">
        <v>-2.1942343542875165E-2</v>
      </c>
      <c r="CR326" s="247">
        <v>390.34500000000003</v>
      </c>
      <c r="CS326" s="247">
        <v>114.913</v>
      </c>
      <c r="CT326" s="190">
        <v>12.014164183882009</v>
      </c>
      <c r="CU326" s="190">
        <v>0.26550761329090022</v>
      </c>
      <c r="CV326" s="190">
        <v>56.295551916873904</v>
      </c>
      <c r="CW326" s="163"/>
      <c r="CX326" s="212">
        <v>0</v>
      </c>
      <c r="CY326" s="212">
        <v>0</v>
      </c>
      <c r="CZ326" s="212">
        <v>2.9999999999148486E-3</v>
      </c>
      <c r="DA326" s="212">
        <v>0</v>
      </c>
      <c r="DB326" s="212">
        <v>0</v>
      </c>
      <c r="DC326" s="212">
        <v>0</v>
      </c>
      <c r="DD326" s="163"/>
      <c r="DE326" s="247">
        <v>186.114</v>
      </c>
      <c r="DF326" s="247">
        <v>105.473</v>
      </c>
      <c r="DG326" s="247">
        <v>34.393999999999998</v>
      </c>
      <c r="DH326" s="199">
        <v>0.56671180029444312</v>
      </c>
      <c r="DI326" s="247">
        <v>156.81800000000001</v>
      </c>
      <c r="DJ326" s="199">
        <v>0.42129555003922331</v>
      </c>
      <c r="DK326" s="247">
        <v>142.92500000000001</v>
      </c>
      <c r="DL326" s="247">
        <v>137.88200000000001</v>
      </c>
      <c r="DM326" s="199">
        <v>3.5284239986006716E-2</v>
      </c>
      <c r="DN326" s="247">
        <v>143.15700000000001</v>
      </c>
      <c r="DO326" s="247">
        <v>67.096000000000004</v>
      </c>
      <c r="DP326" s="247">
        <v>117.91800000000001</v>
      </c>
      <c r="DQ326" s="247">
        <v>185.01400000000001</v>
      </c>
      <c r="DR326" s="247">
        <v>0.98800735033366638</v>
      </c>
      <c r="DS326" s="247"/>
      <c r="DT326" s="247"/>
      <c r="DU326" s="247"/>
      <c r="DV326" s="247"/>
      <c r="DW326" s="199"/>
      <c r="DX326" s="247"/>
      <c r="DY326" s="199"/>
      <c r="DZ326" s="247"/>
      <c r="EA326" s="247"/>
      <c r="EB326" s="199"/>
      <c r="EC326" s="247"/>
      <c r="ED326" s="247"/>
      <c r="EE326" s="247"/>
      <c r="EF326" s="247"/>
      <c r="EG326" s="199"/>
    </row>
    <row r="327" spans="1:137" hidden="1">
      <c r="A327" s="157">
        <v>44228</v>
      </c>
      <c r="B327" s="247">
        <v>4930.4989999999998</v>
      </c>
      <c r="C327" s="247">
        <v>164.34996666666666</v>
      </c>
      <c r="D327" s="247">
        <v>9.1919666666666728</v>
      </c>
      <c r="E327" s="247">
        <v>5.9242621499804526E-2</v>
      </c>
      <c r="F327" s="247">
        <v>3652.5740000000001</v>
      </c>
      <c r="G327" s="247"/>
      <c r="H327" s="247"/>
      <c r="I327" s="247">
        <v>544.178</v>
      </c>
      <c r="J327" s="190">
        <v>44.448734296467762</v>
      </c>
      <c r="K327" s="190">
        <v>47.686909580551585</v>
      </c>
      <c r="L327" s="190">
        <v>4.6909580551584895E-2</v>
      </c>
      <c r="M327" s="247">
        <v>266.09699999999998</v>
      </c>
      <c r="N327" s="247">
        <v>39.884999999999998</v>
      </c>
      <c r="O327" s="247">
        <v>1929.799</v>
      </c>
      <c r="P327" s="247">
        <v>1870.825</v>
      </c>
      <c r="Q327" s="247">
        <v>953.46400000000006</v>
      </c>
      <c r="R327" s="247">
        <v>293.65600000000001</v>
      </c>
      <c r="S327" s="247">
        <v>623.70500000000004</v>
      </c>
      <c r="T327" s="247">
        <v>435.16300000000001</v>
      </c>
      <c r="U327" s="247">
        <v>548.66700000000037</v>
      </c>
      <c r="V327" s="199">
        <v>0.31221785888861531</v>
      </c>
      <c r="W327" s="190">
        <v>11.742010291453258</v>
      </c>
      <c r="X327" s="190">
        <v>4.2010291453259185E-2</v>
      </c>
      <c r="Y327" s="247">
        <v>59.42891987200484</v>
      </c>
      <c r="Z327" s="247">
        <v>1473.7139999999999</v>
      </c>
      <c r="AA327" s="247">
        <v>1444.5419999999999</v>
      </c>
      <c r="AB327" s="199">
        <v>1.9794885574813043E-2</v>
      </c>
      <c r="AC327" s="199"/>
      <c r="AD327" s="199"/>
      <c r="AE327" s="199"/>
      <c r="AF327" s="199"/>
      <c r="AH327" s="247"/>
      <c r="AI327" s="247">
        <v>564.36400000000003</v>
      </c>
      <c r="AJ327" s="247">
        <v>18.812133333333335</v>
      </c>
      <c r="AK327" s="247">
        <v>412.46800000000002</v>
      </c>
      <c r="AL327" s="247">
        <v>115.901</v>
      </c>
      <c r="AM327" s="190">
        <v>43.851273291705347</v>
      </c>
      <c r="AN327" s="190">
        <v>-0.59746100476241537</v>
      </c>
      <c r="AO327" s="247">
        <v>218.358</v>
      </c>
      <c r="AP327" s="247">
        <v>165.256</v>
      </c>
      <c r="AQ327" s="190">
        <v>11.607296000453607</v>
      </c>
      <c r="AR327" s="190">
        <v>-0.13471429099965171</v>
      </c>
      <c r="AS327" s="190">
        <v>55.458569292158955</v>
      </c>
      <c r="AT327" s="247">
        <v>1006.599</v>
      </c>
      <c r="AU327" s="247">
        <v>33.5533</v>
      </c>
      <c r="AV327" s="247">
        <v>745.79200000000003</v>
      </c>
      <c r="AW327" s="247">
        <v>77.897000000000006</v>
      </c>
      <c r="AX327" s="190">
        <v>44.454166952281895</v>
      </c>
      <c r="AY327" s="190">
        <v>5.4326558141326586E-3</v>
      </c>
      <c r="AZ327" s="247">
        <v>403.78300000000002</v>
      </c>
      <c r="BA327" s="247">
        <v>167.119</v>
      </c>
      <c r="BB327" s="190">
        <v>12.034077125051784</v>
      </c>
      <c r="BC327" s="190">
        <v>0.29206683359852548</v>
      </c>
      <c r="BD327" s="190">
        <v>56.488244077333675</v>
      </c>
      <c r="BE327" s="247">
        <v>1148.6569999999999</v>
      </c>
      <c r="BF327" s="247">
        <v>38.288566666666661</v>
      </c>
      <c r="BG327" s="247">
        <v>852.00099999999998</v>
      </c>
      <c r="BH327" s="247">
        <v>145.74100000000001</v>
      </c>
      <c r="BI327" s="190">
        <v>44.504199251821916</v>
      </c>
      <c r="BJ327" s="190">
        <v>5.5464955354153744E-2</v>
      </c>
      <c r="BK327" s="247">
        <v>445.82600000000002</v>
      </c>
      <c r="BL327" s="247">
        <v>206.60300000000001</v>
      </c>
      <c r="BM327" s="190">
        <v>11.643841460070329</v>
      </c>
      <c r="BN327" s="190">
        <v>-9.8168831382929866E-2</v>
      </c>
      <c r="BO327" s="190">
        <v>56.148040711892243</v>
      </c>
      <c r="BP327" s="247">
        <v>834.27599999999995</v>
      </c>
      <c r="BQ327" s="247">
        <v>27.809199999999997</v>
      </c>
      <c r="BR327" s="247">
        <v>629.94100000000003</v>
      </c>
      <c r="BS327" s="247">
        <v>88.176000000000002</v>
      </c>
      <c r="BT327" s="190">
        <v>45.304503545589235</v>
      </c>
      <c r="BU327" s="190">
        <v>0.85576924912147234</v>
      </c>
      <c r="BV327" s="247">
        <v>310.46100000000001</v>
      </c>
      <c r="BW327" s="247">
        <v>228.31800000000001</v>
      </c>
      <c r="BX327" s="190">
        <v>11.163967320167428</v>
      </c>
      <c r="BY327" s="190">
        <v>-0.57804297128583038</v>
      </c>
      <c r="BZ327" s="190">
        <v>56.468470865756665</v>
      </c>
      <c r="CA327" s="247">
        <v>634.44399999999996</v>
      </c>
      <c r="CB327" s="247">
        <v>21.14813333333333</v>
      </c>
      <c r="CC327" s="247">
        <v>466.87400000000002</v>
      </c>
      <c r="CD327" s="247">
        <v>46.045000000000002</v>
      </c>
      <c r="CE327" s="190">
        <v>44.1527384607625</v>
      </c>
      <c r="CF327" s="190">
        <v>-0.29599583570526278</v>
      </c>
      <c r="CG327" s="247">
        <v>245.93100000000001</v>
      </c>
      <c r="CH327" s="247">
        <v>63.473999999999997</v>
      </c>
      <c r="CI327" s="190">
        <v>11.628969617491853</v>
      </c>
      <c r="CJ327" s="190">
        <v>-0.1130406739614056</v>
      </c>
      <c r="CK327" s="190">
        <v>55.781708078254354</v>
      </c>
      <c r="CL327" s="247">
        <v>742.15899999999999</v>
      </c>
      <c r="CM327" s="247">
        <v>24.738633333333333</v>
      </c>
      <c r="CN327" s="247">
        <v>545.49800000000005</v>
      </c>
      <c r="CO327" s="247">
        <v>70.418000000000006</v>
      </c>
      <c r="CP327" s="190">
        <v>44.100900211410227</v>
      </c>
      <c r="CQ327" s="190">
        <v>-0.34783408505753499</v>
      </c>
      <c r="CR327" s="247">
        <v>305.44</v>
      </c>
      <c r="CS327" s="247">
        <v>122.694</v>
      </c>
      <c r="CT327" s="190">
        <v>12.346680428317921</v>
      </c>
      <c r="CU327" s="190">
        <v>0.60467013686466231</v>
      </c>
      <c r="CV327" s="190">
        <v>56.447580639728145</v>
      </c>
      <c r="CW327" s="163"/>
      <c r="CX327" s="212">
        <v>0</v>
      </c>
      <c r="CY327" s="212">
        <v>0</v>
      </c>
      <c r="CZ327" s="212">
        <v>0</v>
      </c>
      <c r="DA327" s="212">
        <v>0</v>
      </c>
      <c r="DB327" s="212">
        <v>0</v>
      </c>
      <c r="DC327" s="212">
        <v>0</v>
      </c>
      <c r="DD327" s="163"/>
      <c r="DE327" s="247">
        <v>162.67500000000001</v>
      </c>
      <c r="DF327" s="247">
        <v>94.84</v>
      </c>
      <c r="DG327" s="247">
        <v>33.429000000000002</v>
      </c>
      <c r="DH327" s="199">
        <v>0.58300291993238051</v>
      </c>
      <c r="DI327" s="247">
        <v>136.767</v>
      </c>
      <c r="DJ327" s="199">
        <v>0.42036883356385429</v>
      </c>
      <c r="DK327" s="247">
        <v>140.84</v>
      </c>
      <c r="DL327" s="247">
        <v>136.03100000000001</v>
      </c>
      <c r="DM327" s="199">
        <v>3.4145129224652071E-2</v>
      </c>
      <c r="DN327" s="247">
        <v>147.84899999999999</v>
      </c>
      <c r="DO327" s="247">
        <v>55.844000000000001</v>
      </c>
      <c r="DP327" s="247">
        <v>81.667000000000002</v>
      </c>
      <c r="DQ327" s="247">
        <v>137.511</v>
      </c>
      <c r="DR327" s="247">
        <v>1.0033717534962348</v>
      </c>
      <c r="DS327" s="247"/>
      <c r="DT327" s="247">
        <v>104.256</v>
      </c>
      <c r="DU327" s="247">
        <v>49.642000000000003</v>
      </c>
      <c r="DV327" s="247">
        <v>18.617000000000001</v>
      </c>
      <c r="DW327" s="199">
        <v>0.4761548496009822</v>
      </c>
      <c r="DX327" s="247">
        <v>30.911000000000001</v>
      </c>
      <c r="DY327" s="199">
        <v>0.14824566451810928</v>
      </c>
      <c r="DZ327" s="247">
        <v>25.577999999999999</v>
      </c>
      <c r="EA327" s="247">
        <v>24.925000000000001</v>
      </c>
      <c r="EB327" s="199">
        <v>2.5529752130737271E-2</v>
      </c>
      <c r="EC327" s="247">
        <v>34.426000000000002</v>
      </c>
      <c r="ED327" s="247">
        <v>29.212</v>
      </c>
      <c r="EE327" s="247">
        <v>16.212</v>
      </c>
      <c r="EF327" s="247">
        <v>45.423999999999999</v>
      </c>
      <c r="EG327" s="199">
        <v>0.62440051411909148</v>
      </c>
    </row>
    <row r="328" spans="1:137" hidden="1">
      <c r="A328" s="157">
        <v>44256</v>
      </c>
      <c r="B328" s="247">
        <v>5646.7280000000001</v>
      </c>
      <c r="C328" s="247">
        <v>188.22426666666667</v>
      </c>
      <c r="D328" s="247">
        <v>10.240266666666656</v>
      </c>
      <c r="E328" s="247">
        <v>5.7534759678772529E-2</v>
      </c>
      <c r="F328" s="247">
        <v>4181.3</v>
      </c>
      <c r="G328" s="247"/>
      <c r="H328" s="247"/>
      <c r="I328" s="247">
        <v>415.41800000000001</v>
      </c>
      <c r="J328" s="190">
        <v>44.428915293954304</v>
      </c>
      <c r="K328" s="190">
        <v>47.566523480500571</v>
      </c>
      <c r="L328" s="190">
        <v>-3.476519499429287E-3</v>
      </c>
      <c r="M328" s="247">
        <v>295.28699999999998</v>
      </c>
      <c r="N328" s="247">
        <v>32.322000000000003</v>
      </c>
      <c r="O328" s="247">
        <v>2222.123</v>
      </c>
      <c r="P328" s="247">
        <v>1864.1</v>
      </c>
      <c r="Q328" s="247">
        <v>881.36300000000006</v>
      </c>
      <c r="R328" s="247">
        <v>283.755</v>
      </c>
      <c r="S328" s="247">
        <v>698.98199999999997</v>
      </c>
      <c r="T328" s="247">
        <v>381.178</v>
      </c>
      <c r="U328" s="247">
        <v>474.19699999999989</v>
      </c>
      <c r="V328" s="199">
        <v>0.26774438887888241</v>
      </c>
      <c r="W328" s="190">
        <v>11.805720055933277</v>
      </c>
      <c r="X328" s="190">
        <v>-3.4279944066723189E-2</v>
      </c>
      <c r="Y328" s="247">
        <v>59.372243536433849</v>
      </c>
      <c r="Z328" s="247">
        <v>1444.5419999999999</v>
      </c>
      <c r="AA328" s="247">
        <v>1756.2929999999999</v>
      </c>
      <c r="AB328" s="199">
        <v>-0.21581303970393384</v>
      </c>
      <c r="AC328" s="199"/>
      <c r="AD328" s="199"/>
      <c r="AE328" s="199"/>
      <c r="AF328" s="199"/>
      <c r="AH328" s="247"/>
      <c r="AI328" s="247">
        <v>650.30499999999995</v>
      </c>
      <c r="AJ328" s="247">
        <v>21.676833333333331</v>
      </c>
      <c r="AK328" s="247">
        <v>474.1</v>
      </c>
      <c r="AL328" s="247">
        <v>71.221999999999994</v>
      </c>
      <c r="AM328" s="190">
        <v>43.742551571954706</v>
      </c>
      <c r="AN328" s="190">
        <v>-0.12730722060621957</v>
      </c>
      <c r="AO328" s="247">
        <v>257.14400000000001</v>
      </c>
      <c r="AP328" s="247">
        <v>116.301</v>
      </c>
      <c r="AQ328" s="190">
        <v>11.862618309869985</v>
      </c>
      <c r="AR328" s="190">
        <v>5.6898253936708443E-2</v>
      </c>
      <c r="AS328" s="190">
        <v>55.605169881824693</v>
      </c>
      <c r="AT328" s="247">
        <v>1184.1030000000001</v>
      </c>
      <c r="AU328" s="247">
        <v>39.470100000000002</v>
      </c>
      <c r="AV328" s="247">
        <v>877.85900000000004</v>
      </c>
      <c r="AW328" s="247">
        <v>58.25</v>
      </c>
      <c r="AX328" s="190">
        <v>44.482228319664756</v>
      </c>
      <c r="AY328" s="190">
        <v>0.61236952710383008</v>
      </c>
      <c r="AZ328" s="247">
        <v>473.76</v>
      </c>
      <c r="BA328" s="247">
        <v>159.09100000000001</v>
      </c>
      <c r="BB328" s="190">
        <v>12.003009873296495</v>
      </c>
      <c r="BC328" s="190">
        <v>0.19728981736321849</v>
      </c>
      <c r="BD328" s="190">
        <v>56.485238192961248</v>
      </c>
      <c r="BE328" s="247">
        <v>1249.03</v>
      </c>
      <c r="BF328" s="247">
        <v>41.634333333333331</v>
      </c>
      <c r="BG328" s="247">
        <v>922.99900000000002</v>
      </c>
      <c r="BH328" s="247">
        <v>137.61600000000001</v>
      </c>
      <c r="BI328" s="190">
        <v>44.338358566247415</v>
      </c>
      <c r="BJ328" s="190">
        <v>0.46849977368648865</v>
      </c>
      <c r="BK328" s="247">
        <v>486.45699999999999</v>
      </c>
      <c r="BL328" s="247">
        <v>186.154</v>
      </c>
      <c r="BM328" s="190">
        <v>11.684034811013348</v>
      </c>
      <c r="BN328" s="190">
        <v>-0.12168524491992905</v>
      </c>
      <c r="BO328" s="190">
        <v>56.022393377260762</v>
      </c>
      <c r="BP328" s="247">
        <v>948.47500000000002</v>
      </c>
      <c r="BQ328" s="247">
        <v>31.615833333333335</v>
      </c>
      <c r="BR328" s="247">
        <v>709.80100000000004</v>
      </c>
      <c r="BS328" s="247">
        <v>86.272999999999996</v>
      </c>
      <c r="BT328" s="190">
        <v>44.901615751601256</v>
      </c>
      <c r="BU328" s="190">
        <v>1.0317569590403295</v>
      </c>
      <c r="BV328" s="247">
        <v>365.803</v>
      </c>
      <c r="BW328" s="247">
        <v>253.489</v>
      </c>
      <c r="BX328" s="190">
        <v>11.57024697540789</v>
      </c>
      <c r="BY328" s="190">
        <v>-0.23547308052538618</v>
      </c>
      <c r="BZ328" s="190">
        <v>56.471862727009146</v>
      </c>
      <c r="CA328" s="247">
        <v>653.91999999999996</v>
      </c>
      <c r="CB328" s="247">
        <v>21.797333333333331</v>
      </c>
      <c r="CC328" s="247">
        <v>479.92899999999997</v>
      </c>
      <c r="CD328" s="247">
        <v>18.042000000000002</v>
      </c>
      <c r="CE328" s="190">
        <v>44.035570100318083</v>
      </c>
      <c r="CF328" s="190">
        <v>0.16571130775715659</v>
      </c>
      <c r="CG328" s="247">
        <v>252.52</v>
      </c>
      <c r="CH328" s="247">
        <v>68.88</v>
      </c>
      <c r="CI328" s="190">
        <v>11.584903352092001</v>
      </c>
      <c r="CJ328" s="190">
        <v>-0.22081670384127605</v>
      </c>
      <c r="CK328" s="190">
        <v>55.620473452410081</v>
      </c>
      <c r="CL328" s="247">
        <v>960.89499999999998</v>
      </c>
      <c r="CM328" s="247">
        <v>32.029833333333336</v>
      </c>
      <c r="CN328" s="247">
        <v>716.61199999999997</v>
      </c>
      <c r="CO328" s="247">
        <v>44.015000000000001</v>
      </c>
      <c r="CP328" s="190">
        <v>44.74653318000405</v>
      </c>
      <c r="CQ328" s="190">
        <v>0.8766743874431242</v>
      </c>
      <c r="CR328" s="247">
        <v>386.43900000000002</v>
      </c>
      <c r="CS328" s="247">
        <v>97.447999999999993</v>
      </c>
      <c r="CT328" s="190">
        <v>12.06497067837797</v>
      </c>
      <c r="CU328" s="190">
        <v>0.25925062244469288</v>
      </c>
      <c r="CV328" s="190">
        <v>56.811503858382018</v>
      </c>
      <c r="CW328" s="163"/>
      <c r="CX328" s="212">
        <v>0</v>
      </c>
      <c r="CY328" s="212">
        <v>-52.61400000000026</v>
      </c>
      <c r="CZ328" s="212">
        <v>0</v>
      </c>
      <c r="DA328" s="212">
        <v>0</v>
      </c>
      <c r="DB328" s="212">
        <v>0</v>
      </c>
      <c r="DC328" s="212">
        <v>0</v>
      </c>
      <c r="DD328" s="163"/>
      <c r="DE328" s="247">
        <v>207.096</v>
      </c>
      <c r="DF328" s="247">
        <v>115.712</v>
      </c>
      <c r="DG328" s="247">
        <v>28.741</v>
      </c>
      <c r="DH328" s="199">
        <v>0.55873604511917174</v>
      </c>
      <c r="DI328" s="247">
        <v>172.196</v>
      </c>
      <c r="DJ328" s="199">
        <v>0.41573956039711052</v>
      </c>
      <c r="DK328" s="247">
        <v>160.68600000000001</v>
      </c>
      <c r="DL328" s="247">
        <v>155.434</v>
      </c>
      <c r="DM328" s="199">
        <v>3.2684863647113094E-2</v>
      </c>
      <c r="DN328" s="247">
        <v>156.72200000000001</v>
      </c>
      <c r="DO328" s="247">
        <v>49.784999999999997</v>
      </c>
      <c r="DP328" s="247">
        <v>78.543000000000006</v>
      </c>
      <c r="DQ328" s="247">
        <v>128.328</v>
      </c>
      <c r="DR328" s="247">
        <v>0.97447560551628221</v>
      </c>
      <c r="DS328" s="247"/>
      <c r="DT328" s="247">
        <v>161.25299999999999</v>
      </c>
      <c r="DU328" s="247">
        <v>70.174999999999997</v>
      </c>
      <c r="DV328" s="247">
        <v>20.344999999999999</v>
      </c>
      <c r="DW328" s="199">
        <v>0.43518570197143619</v>
      </c>
      <c r="DX328" s="247">
        <v>43.654000000000003</v>
      </c>
      <c r="DY328" s="199">
        <v>0.13535872200827273</v>
      </c>
      <c r="DZ328" s="247">
        <v>44.451999999999998</v>
      </c>
      <c r="EA328" s="247">
        <v>43.209000000000003</v>
      </c>
      <c r="EB328" s="199">
        <v>2.7962746333123234E-2</v>
      </c>
      <c r="EC328" s="247">
        <v>40.351999999999997</v>
      </c>
      <c r="ED328" s="247">
        <v>29.202000000000002</v>
      </c>
      <c r="EE328" s="247">
        <v>20.989000000000001</v>
      </c>
      <c r="EF328" s="247">
        <v>50.191000000000003</v>
      </c>
      <c r="EG328" s="199">
        <v>0.57054442397970895</v>
      </c>
    </row>
    <row r="329" spans="1:137" hidden="1">
      <c r="A329" s="157">
        <v>44287</v>
      </c>
      <c r="B329" s="247">
        <v>5095.6310000000003</v>
      </c>
      <c r="C329" s="247">
        <v>169.85436666666666</v>
      </c>
      <c r="D329" s="247">
        <v>9.5443666666666616</v>
      </c>
      <c r="E329" s="247">
        <v>5.9536938847649212E-2</v>
      </c>
      <c r="F329" s="247">
        <v>3731.721</v>
      </c>
      <c r="G329" s="247"/>
      <c r="H329" s="247"/>
      <c r="I329" s="247">
        <v>417.60300000000001</v>
      </c>
      <c r="J329" s="190">
        <v>43.940242140767261</v>
      </c>
      <c r="K329" s="190">
        <v>47.128455730016562</v>
      </c>
      <c r="L329" s="190">
        <v>-0.41154426998343752</v>
      </c>
      <c r="M329" s="247">
        <v>270.76600000000002</v>
      </c>
      <c r="N329" s="247">
        <v>34.402999999999999</v>
      </c>
      <c r="O329" s="247">
        <v>1991.877</v>
      </c>
      <c r="P329" s="247">
        <v>1814.8879999999999</v>
      </c>
      <c r="Q329" s="247">
        <v>945.71799999999996</v>
      </c>
      <c r="R329" s="247">
        <v>264.72399999999999</v>
      </c>
      <c r="S329" s="247">
        <v>604.44600000000003</v>
      </c>
      <c r="T329" s="247">
        <v>362.7</v>
      </c>
      <c r="U329" s="247">
        <v>475.32299999999964</v>
      </c>
      <c r="V329" s="199">
        <v>0.2792297321509869</v>
      </c>
      <c r="W329" s="190">
        <v>11.726969633397708</v>
      </c>
      <c r="X329" s="190">
        <v>-6.303036660229111E-2</v>
      </c>
      <c r="Y329" s="247">
        <v>58.85542536341427</v>
      </c>
      <c r="Z329" s="247">
        <v>1678.886</v>
      </c>
      <c r="AA329" s="247">
        <v>1642.251</v>
      </c>
      <c r="AB329" s="199">
        <v>2.1821017031531619E-2</v>
      </c>
      <c r="AC329" s="199"/>
      <c r="AD329" s="199"/>
      <c r="AE329" s="199"/>
      <c r="AF329" s="199"/>
      <c r="AH329" s="247"/>
      <c r="AI329" s="247">
        <v>602.95899999999995</v>
      </c>
      <c r="AJ329" s="247">
        <v>20.098633333333332</v>
      </c>
      <c r="AK329" s="247">
        <v>441.94799999999998</v>
      </c>
      <c r="AL329" s="247">
        <v>59.854999999999997</v>
      </c>
      <c r="AM329" s="190">
        <v>43.977915579666281</v>
      </c>
      <c r="AN329" s="190">
        <v>-0.45948186924633205</v>
      </c>
      <c r="AO329" s="247">
        <v>236.61099999999999</v>
      </c>
      <c r="AP329" s="247">
        <v>159.97</v>
      </c>
      <c r="AQ329" s="190">
        <v>11.772491993651309</v>
      </c>
      <c r="AR329" s="190">
        <v>4.5522360253601235E-2</v>
      </c>
      <c r="AS329" s="190">
        <v>55.750407573317588</v>
      </c>
      <c r="AT329" s="247">
        <v>1077.6469999999999</v>
      </c>
      <c r="AU329" s="247">
        <v>35.921566666666664</v>
      </c>
      <c r="AV329" s="247">
        <v>796.327</v>
      </c>
      <c r="AW329" s="247">
        <v>48.654000000000003</v>
      </c>
      <c r="AX329" s="190">
        <v>44.336986044595314</v>
      </c>
      <c r="AY329" s="190">
        <v>-0.100411404317299</v>
      </c>
      <c r="AZ329" s="247">
        <v>431.29199999999997</v>
      </c>
      <c r="BA329" s="247">
        <v>189.51400000000001</v>
      </c>
      <c r="BB329" s="190">
        <v>12.006491921751742</v>
      </c>
      <c r="BC329" s="190">
        <v>0.27952228835403403</v>
      </c>
      <c r="BD329" s="190">
        <v>56.343477966347052</v>
      </c>
      <c r="BE329" s="247">
        <v>1181.213</v>
      </c>
      <c r="BF329" s="247">
        <v>39.373766666666668</v>
      </c>
      <c r="BG329" s="247">
        <v>878.41499999999996</v>
      </c>
      <c r="BH329" s="247">
        <v>136.328</v>
      </c>
      <c r="BI329" s="190">
        <v>44.61930236121681</v>
      </c>
      <c r="BJ329" s="190">
        <v>0.18190491230419781</v>
      </c>
      <c r="BK329" s="247">
        <v>460.822</v>
      </c>
      <c r="BL329" s="247">
        <v>210.36500000000001</v>
      </c>
      <c r="BM329" s="190">
        <v>11.703782467683643</v>
      </c>
      <c r="BN329" s="190">
        <v>-2.3187165714064761E-2</v>
      </c>
      <c r="BO329" s="190">
        <v>56.323084828900456</v>
      </c>
      <c r="BP329" s="247">
        <v>740.68700000000001</v>
      </c>
      <c r="BQ329" s="247">
        <v>24.689566666666668</v>
      </c>
      <c r="BR329" s="247">
        <v>558.51499999999999</v>
      </c>
      <c r="BS329" s="247">
        <v>70.046000000000006</v>
      </c>
      <c r="BT329" s="190">
        <v>45.242997379459879</v>
      </c>
      <c r="BU329" s="190">
        <v>0.80559993054726675</v>
      </c>
      <c r="BV329" s="247">
        <v>283.19299999999998</v>
      </c>
      <c r="BW329" s="247">
        <v>230.583</v>
      </c>
      <c r="BX329" s="190">
        <v>11.470148659285229</v>
      </c>
      <c r="BY329" s="190">
        <v>-0.25682097411247895</v>
      </c>
      <c r="BZ329" s="190">
        <v>56.713146038745109</v>
      </c>
      <c r="CA329" s="247">
        <v>599.822</v>
      </c>
      <c r="CB329" s="247">
        <v>19.994066666666665</v>
      </c>
      <c r="CC329" s="247">
        <v>439.03699999999998</v>
      </c>
      <c r="CD329" s="247">
        <v>43.069000000000003</v>
      </c>
      <c r="CE329" s="190">
        <v>43.91672862949342</v>
      </c>
      <c r="CF329" s="190">
        <v>-0.52066881941919263</v>
      </c>
      <c r="CG329" s="247">
        <v>230.15899999999999</v>
      </c>
      <c r="CH329" s="247">
        <v>52.723999999999997</v>
      </c>
      <c r="CI329" s="190">
        <v>11.511365038294695</v>
      </c>
      <c r="CJ329" s="190">
        <v>-0.215604595103013</v>
      </c>
      <c r="CK329" s="190">
        <v>55.428093667788119</v>
      </c>
      <c r="CL329" s="247">
        <v>893.303</v>
      </c>
      <c r="CM329" s="247">
        <v>29.776766666666667</v>
      </c>
      <c r="CN329" s="247">
        <v>659.70100000000002</v>
      </c>
      <c r="CO329" s="247">
        <v>59.651000000000003</v>
      </c>
      <c r="CP329" s="190">
        <v>44.309780667925665</v>
      </c>
      <c r="CQ329" s="190">
        <v>-0.12761678098694773</v>
      </c>
      <c r="CR329" s="247">
        <v>349.8</v>
      </c>
      <c r="CS329" s="247">
        <v>102.562</v>
      </c>
      <c r="CT329" s="190">
        <v>11.74741381143912</v>
      </c>
      <c r="CU329" s="190">
        <v>2.0444178041412187E-2</v>
      </c>
      <c r="CV329" s="190">
        <v>56.057194479364782</v>
      </c>
      <c r="CW329" s="163"/>
      <c r="CX329" s="212">
        <v>0</v>
      </c>
      <c r="CY329" s="212">
        <v>0</v>
      </c>
      <c r="CZ329" s="212">
        <v>0</v>
      </c>
      <c r="DA329" s="212">
        <v>0</v>
      </c>
      <c r="DB329" s="212">
        <v>0</v>
      </c>
      <c r="DC329" s="212">
        <v>0</v>
      </c>
      <c r="DD329" s="163"/>
      <c r="DE329" s="247">
        <v>193.14599999999999</v>
      </c>
      <c r="DF329" s="247">
        <v>111.658</v>
      </c>
      <c r="DG329" s="247">
        <v>33.418999999999997</v>
      </c>
      <c r="DH329" s="199">
        <v>0.57810153976784406</v>
      </c>
      <c r="DI329" s="247">
        <v>160.03</v>
      </c>
      <c r="DJ329" s="199">
        <v>0.4142721050397109</v>
      </c>
      <c r="DK329" s="247">
        <v>150.34200000000001</v>
      </c>
      <c r="DL329" s="247">
        <v>144.334</v>
      </c>
      <c r="DM329" s="199">
        <v>3.9962219472935101E-2</v>
      </c>
      <c r="DN329" s="247">
        <v>148.155</v>
      </c>
      <c r="DO329" s="247">
        <v>66.275999999999996</v>
      </c>
      <c r="DP329" s="247">
        <v>95.834000000000003</v>
      </c>
      <c r="DQ329" s="247">
        <v>162.11000000000001</v>
      </c>
      <c r="DR329" s="247">
        <v>0.99237364480755497</v>
      </c>
      <c r="DS329" s="247"/>
      <c r="DT329" s="247">
        <v>100.709</v>
      </c>
      <c r="DU329" s="247">
        <v>46.698</v>
      </c>
      <c r="DV329" s="247">
        <v>29.785</v>
      </c>
      <c r="DW329" s="199">
        <v>0.46369242073697486</v>
      </c>
      <c r="DX329" s="247">
        <v>29.719000000000001</v>
      </c>
      <c r="DY329" s="199">
        <v>0.14754887845177692</v>
      </c>
      <c r="DZ329" s="247">
        <v>33.887999999999998</v>
      </c>
      <c r="EA329" s="247">
        <v>32.646999999999998</v>
      </c>
      <c r="EB329" s="199">
        <v>3.6620632672332398E-2</v>
      </c>
      <c r="EC329" s="247">
        <v>35.970999999999997</v>
      </c>
      <c r="ED329" s="247">
        <v>29.05</v>
      </c>
      <c r="EE329" s="247">
        <v>19.035</v>
      </c>
      <c r="EF329" s="247">
        <v>48.085000000000001</v>
      </c>
      <c r="EG329" s="199">
        <v>0.61124129918875181</v>
      </c>
    </row>
    <row r="330" spans="1:137" hidden="1">
      <c r="A330" s="157">
        <v>44317</v>
      </c>
      <c r="B330" s="247">
        <v>5205.0320000000002</v>
      </c>
      <c r="C330" s="247">
        <v>173.50106666666667</v>
      </c>
      <c r="D330" s="247">
        <v>9.9800666666666871</v>
      </c>
      <c r="E330" s="247">
        <v>6.1032324084776102E-2</v>
      </c>
      <c r="F330" s="247">
        <v>3849.6750000000002</v>
      </c>
      <c r="G330" s="247"/>
      <c r="H330" s="247"/>
      <c r="I330" s="247">
        <v>592.86</v>
      </c>
      <c r="J330" s="190">
        <v>44.376384237407187</v>
      </c>
      <c r="K330" s="190">
        <v>47.525748160626101</v>
      </c>
      <c r="L330" s="190">
        <v>-0.10425183937390159</v>
      </c>
      <c r="M330" s="247">
        <v>273.209</v>
      </c>
      <c r="N330" s="247">
        <v>48.594000000000001</v>
      </c>
      <c r="O330" s="247">
        <v>2043.058</v>
      </c>
      <c r="P330" s="247">
        <v>1720.633</v>
      </c>
      <c r="Q330" s="247">
        <v>893.077</v>
      </c>
      <c r="R330" s="247">
        <v>247.714</v>
      </c>
      <c r="S330" s="247">
        <v>579.84199999999998</v>
      </c>
      <c r="T330" s="247">
        <v>426.02699999999999</v>
      </c>
      <c r="U330" s="247">
        <v>476.1099999999999</v>
      </c>
      <c r="V330" s="199">
        <v>0.28500194546706159</v>
      </c>
      <c r="W330" s="190">
        <v>11.775478037406877</v>
      </c>
      <c r="X330" s="190">
        <v>-4.4521962593123021E-2</v>
      </c>
      <c r="Y330" s="247">
        <v>59.301226198032978</v>
      </c>
      <c r="Z330" s="247">
        <v>1752.3109999999999</v>
      </c>
      <c r="AA330" s="247">
        <v>1711.885</v>
      </c>
      <c r="AB330" s="199">
        <v>2.3070105706121762E-2</v>
      </c>
      <c r="AC330" s="199"/>
      <c r="AD330" s="199"/>
      <c r="AE330" s="199"/>
      <c r="AF330" s="199"/>
      <c r="AH330" s="247"/>
      <c r="AI330" s="247">
        <v>582.79200000000003</v>
      </c>
      <c r="AJ330" s="247">
        <v>19.426400000000001</v>
      </c>
      <c r="AK330" s="247">
        <v>419.54599999999999</v>
      </c>
      <c r="AL330" s="247">
        <v>89.891999999999996</v>
      </c>
      <c r="AM330" s="190">
        <v>43.193386319647487</v>
      </c>
      <c r="AN330" s="190">
        <v>-1.1829979177596996</v>
      </c>
      <c r="AO330" s="247">
        <v>228.67</v>
      </c>
      <c r="AP330" s="247">
        <v>140.864</v>
      </c>
      <c r="AQ330" s="190">
        <v>11.771095004735821</v>
      </c>
      <c r="AR330" s="190">
        <v>-4.8268339771766477E-3</v>
      </c>
      <c r="AS330" s="190">
        <v>54.964481324383307</v>
      </c>
      <c r="AT330" s="247">
        <v>1044.6859999999999</v>
      </c>
      <c r="AU330" s="247">
        <v>34.822866666666663</v>
      </c>
      <c r="AV330" s="247">
        <v>779.35799999999995</v>
      </c>
      <c r="AW330" s="247">
        <v>87.394999999999996</v>
      </c>
      <c r="AX330" s="190">
        <v>44.76127755134079</v>
      </c>
      <c r="AY330" s="190">
        <v>0.3848933139336026</v>
      </c>
      <c r="AZ330" s="247">
        <v>420.02499999999998</v>
      </c>
      <c r="BA330" s="247">
        <v>175.56299999999999</v>
      </c>
      <c r="BB330" s="190">
        <v>12.061758269949058</v>
      </c>
      <c r="BC330" s="190">
        <v>0.28583643123605995</v>
      </c>
      <c r="BD330" s="190">
        <v>56.823035821289849</v>
      </c>
      <c r="BE330" s="247">
        <v>1140.335</v>
      </c>
      <c r="BF330" s="247">
        <v>38.011166666666668</v>
      </c>
      <c r="BG330" s="247">
        <v>841.58299999999997</v>
      </c>
      <c r="BH330" s="247">
        <v>149.45599999999999</v>
      </c>
      <c r="BI330" s="190">
        <v>44.280829756168139</v>
      </c>
      <c r="BJ330" s="190">
        <v>-9.5554481239048528E-2</v>
      </c>
      <c r="BK330" s="247">
        <v>446.077</v>
      </c>
      <c r="BL330" s="247">
        <v>216.42599999999999</v>
      </c>
      <c r="BM330" s="190">
        <v>11.735419854691823</v>
      </c>
      <c r="BN330" s="190">
        <v>-4.0501984021174664E-2</v>
      </c>
      <c r="BO330" s="190">
        <v>56.016249610859958</v>
      </c>
      <c r="BP330" s="247">
        <v>866.67200000000003</v>
      </c>
      <c r="BQ330" s="247">
        <v>28.889066666666668</v>
      </c>
      <c r="BR330" s="247">
        <v>646.49699999999996</v>
      </c>
      <c r="BS330" s="247">
        <v>106.917</v>
      </c>
      <c r="BT330" s="190">
        <v>44.757209186404999</v>
      </c>
      <c r="BU330" s="190">
        <v>0.38082494899781238</v>
      </c>
      <c r="BV330" s="247">
        <v>334.255</v>
      </c>
      <c r="BW330" s="247">
        <v>191.988</v>
      </c>
      <c r="BX330" s="190">
        <v>11.570294182805029</v>
      </c>
      <c r="BY330" s="190">
        <v>-0.2056276559079695</v>
      </c>
      <c r="BZ330" s="190">
        <v>56.327503369210028</v>
      </c>
      <c r="CA330" s="247">
        <v>684.56399999999996</v>
      </c>
      <c r="CB330" s="247">
        <v>22.8188</v>
      </c>
      <c r="CC330" s="247">
        <v>504.54700000000003</v>
      </c>
      <c r="CD330" s="247">
        <v>89.507999999999996</v>
      </c>
      <c r="CE330" s="190">
        <v>44.222044980454719</v>
      </c>
      <c r="CF330" s="190">
        <v>-0.15433925695246842</v>
      </c>
      <c r="CG330" s="247">
        <v>263.78800000000001</v>
      </c>
      <c r="CH330" s="247">
        <v>68.519000000000005</v>
      </c>
      <c r="CI330" s="190">
        <v>11.560117096429261</v>
      </c>
      <c r="CJ330" s="190">
        <v>-0.21580474228373703</v>
      </c>
      <c r="CK330" s="190">
        <v>55.782162076883978</v>
      </c>
      <c r="CL330" s="247">
        <v>885.98299999999995</v>
      </c>
      <c r="CM330" s="247">
        <v>29.532766666666664</v>
      </c>
      <c r="CN330" s="247">
        <v>658.14400000000001</v>
      </c>
      <c r="CO330" s="247">
        <v>69.691999999999993</v>
      </c>
      <c r="CP330" s="190">
        <v>44.570426294861193</v>
      </c>
      <c r="CQ330" s="190">
        <v>0.1940420574540056</v>
      </c>
      <c r="CR330" s="247">
        <v>350.24299999999999</v>
      </c>
      <c r="CS330" s="247">
        <v>99.716999999999999</v>
      </c>
      <c r="CT330" s="190">
        <v>11.859471344258299</v>
      </c>
      <c r="CU330" s="190">
        <v>8.3549505545301272E-2</v>
      </c>
      <c r="CV330" s="190">
        <v>56.429897639119488</v>
      </c>
      <c r="CW330" s="163"/>
      <c r="CX330" s="212">
        <v>0</v>
      </c>
      <c r="CY330" s="212">
        <v>0</v>
      </c>
      <c r="CZ330" s="212">
        <v>0</v>
      </c>
      <c r="DA330" s="212">
        <v>7.7000000000055024E-2</v>
      </c>
      <c r="DB330" s="212">
        <v>0</v>
      </c>
      <c r="DC330" s="212">
        <v>0</v>
      </c>
      <c r="DD330" s="163"/>
      <c r="DE330" s="247">
        <v>159.79900000000001</v>
      </c>
      <c r="DF330" s="247">
        <v>90.957999999999998</v>
      </c>
      <c r="DG330" s="247">
        <v>38.130000000000003</v>
      </c>
      <c r="DH330" s="199">
        <v>0.56920256071690056</v>
      </c>
      <c r="DI330" s="247">
        <v>134.345</v>
      </c>
      <c r="DJ330" s="199">
        <v>0.42035619747307551</v>
      </c>
      <c r="DK330" s="247">
        <v>154.66999999999999</v>
      </c>
      <c r="DL330" s="247">
        <v>149.52600000000001</v>
      </c>
      <c r="DM330" s="199">
        <v>3.3257903924484244E-2</v>
      </c>
      <c r="DN330" s="247">
        <v>142.87200000000001</v>
      </c>
      <c r="DO330" s="247">
        <v>68.995999999999995</v>
      </c>
      <c r="DP330" s="247">
        <v>116.31100000000001</v>
      </c>
      <c r="DQ330" s="247">
        <v>185.30700000000002</v>
      </c>
      <c r="DR330" s="247">
        <v>0.98955875818997607</v>
      </c>
      <c r="DS330" s="247"/>
      <c r="DT330" s="247">
        <v>125.509</v>
      </c>
      <c r="DU330" s="247">
        <v>55.034999999999997</v>
      </c>
      <c r="DV330" s="247">
        <v>36.756</v>
      </c>
      <c r="DW330" s="199">
        <v>0.43849445059716829</v>
      </c>
      <c r="DX330" s="247">
        <v>34.223999999999997</v>
      </c>
      <c r="DY330" s="199">
        <v>0.13634082018022611</v>
      </c>
      <c r="DZ330" s="247">
        <v>41.000999999999998</v>
      </c>
      <c r="EA330" s="247">
        <v>39.835000000000001</v>
      </c>
      <c r="EB330" s="199">
        <v>2.8438330772420084E-2</v>
      </c>
      <c r="EC330" s="247">
        <v>39.619999999999997</v>
      </c>
      <c r="ED330" s="247">
        <v>24.481999999999999</v>
      </c>
      <c r="EE330" s="247">
        <v>18.745999999999999</v>
      </c>
      <c r="EF330" s="247">
        <v>43.227999999999994</v>
      </c>
      <c r="EG330" s="199">
        <v>0.57483527077739438</v>
      </c>
    </row>
    <row r="331" spans="1:137" hidden="1">
      <c r="A331" s="157">
        <v>44348</v>
      </c>
      <c r="B331" s="247">
        <v>4852.3339999999998</v>
      </c>
      <c r="C331" s="247">
        <v>161.74446666666665</v>
      </c>
      <c r="D331" s="247">
        <v>9.3344666666666569</v>
      </c>
      <c r="E331" s="247">
        <v>6.1245762526518366E-2</v>
      </c>
      <c r="F331" s="247">
        <v>3579.777</v>
      </c>
      <c r="G331" s="247"/>
      <c r="H331" s="247"/>
      <c r="I331" s="247">
        <v>390.755</v>
      </c>
      <c r="J331" s="190">
        <v>44.264599262952636</v>
      </c>
      <c r="K331" s="190">
        <v>47.407507397470994</v>
      </c>
      <c r="L331" s="190">
        <v>-5.2492602529007115E-2</v>
      </c>
      <c r="M331" s="247">
        <v>254.17400000000001</v>
      </c>
      <c r="N331" s="247">
        <v>48.244999999999997</v>
      </c>
      <c r="O331" s="247">
        <v>1908.6489999999999</v>
      </c>
      <c r="P331" s="247">
        <v>1682.1869999999999</v>
      </c>
      <c r="Q331" s="247">
        <v>831.49599999999998</v>
      </c>
      <c r="R331" s="247">
        <v>290.34699999999998</v>
      </c>
      <c r="S331" s="247">
        <v>560.34400000000005</v>
      </c>
      <c r="T331" s="247">
        <v>417.66699999999997</v>
      </c>
      <c r="U331" s="247">
        <v>562.56899999999973</v>
      </c>
      <c r="V331" s="199">
        <v>0.36594971004075338</v>
      </c>
      <c r="W331" s="190">
        <v>11.800397499430172</v>
      </c>
      <c r="X331" s="190">
        <v>3.9749943017142186E-4</v>
      </c>
      <c r="Y331" s="247">
        <v>59.207904896901169</v>
      </c>
      <c r="Z331" s="247">
        <v>1638.3679999999999</v>
      </c>
      <c r="AA331" s="247">
        <v>1598.508</v>
      </c>
      <c r="AB331" s="199">
        <v>2.4329088458758901E-2</v>
      </c>
      <c r="AC331" s="199"/>
      <c r="AD331" s="199"/>
      <c r="AE331" s="199"/>
      <c r="AF331" s="199"/>
      <c r="AH331" s="247"/>
      <c r="AI331" s="247">
        <v>535.73199999999997</v>
      </c>
      <c r="AJ331" s="247">
        <v>17.857733333333332</v>
      </c>
      <c r="AK331" s="247">
        <v>386.67899999999997</v>
      </c>
      <c r="AL331" s="247">
        <v>46.661999999999999</v>
      </c>
      <c r="AM331" s="190">
        <v>43.306615994564446</v>
      </c>
      <c r="AN331" s="190">
        <v>-0.95798326838819037</v>
      </c>
      <c r="AO331" s="247">
        <v>215.26499999999999</v>
      </c>
      <c r="AP331" s="247">
        <v>138</v>
      </c>
      <c r="AQ331" s="190">
        <v>12.05444139980438</v>
      </c>
      <c r="AR331" s="190">
        <v>0.25404390037420832</v>
      </c>
      <c r="AS331" s="190">
        <v>55.361057394368828</v>
      </c>
      <c r="AT331" s="247">
        <v>1052.0809999999999</v>
      </c>
      <c r="AU331" s="247">
        <v>35.06936666666666</v>
      </c>
      <c r="AV331" s="247">
        <v>776.97500000000002</v>
      </c>
      <c r="AW331" s="247">
        <v>66.789000000000001</v>
      </c>
      <c r="AX331" s="190">
        <v>44.310751738696936</v>
      </c>
      <c r="AY331" s="190">
        <v>4.6152475744300148E-2</v>
      </c>
      <c r="AZ331" s="247">
        <v>416.5</v>
      </c>
      <c r="BA331" s="247">
        <v>149.13399999999999</v>
      </c>
      <c r="BB331" s="190">
        <v>11.876461983440441</v>
      </c>
      <c r="BC331" s="190">
        <v>7.6064484010268885E-2</v>
      </c>
      <c r="BD331" s="190">
        <v>56.187213722137379</v>
      </c>
      <c r="BE331" s="247">
        <v>1067.029</v>
      </c>
      <c r="BF331" s="247">
        <v>35.567633333333333</v>
      </c>
      <c r="BG331" s="247">
        <v>788.99300000000005</v>
      </c>
      <c r="BH331" s="247">
        <v>118.855</v>
      </c>
      <c r="BI331" s="190">
        <v>44.365785747154014</v>
      </c>
      <c r="BJ331" s="190">
        <v>0.10118648420137788</v>
      </c>
      <c r="BK331" s="247">
        <v>417.35899999999998</v>
      </c>
      <c r="BL331" s="247">
        <v>184.364</v>
      </c>
      <c r="BM331" s="190">
        <v>11.734235901742126</v>
      </c>
      <c r="BN331" s="190">
        <v>-6.6161597688045859E-2</v>
      </c>
      <c r="BO331" s="190">
        <v>56.100021648896139</v>
      </c>
      <c r="BP331" s="247">
        <v>747.58600000000001</v>
      </c>
      <c r="BQ331" s="247">
        <v>24.919533333333334</v>
      </c>
      <c r="BR331" s="247">
        <v>559.65099999999995</v>
      </c>
      <c r="BS331" s="247">
        <v>65.837999999999994</v>
      </c>
      <c r="BT331" s="190">
        <v>44.916651729700661</v>
      </c>
      <c r="BU331" s="190">
        <v>0.65205246674802453</v>
      </c>
      <c r="BV331" s="247">
        <v>280.16899999999998</v>
      </c>
      <c r="BW331" s="247">
        <v>166.541</v>
      </c>
      <c r="BX331" s="190">
        <v>11.242947299708661</v>
      </c>
      <c r="BY331" s="190">
        <v>-0.55745019972151155</v>
      </c>
      <c r="BZ331" s="190">
        <v>56.159599029409321</v>
      </c>
      <c r="CA331" s="247">
        <v>591.10599999999999</v>
      </c>
      <c r="CB331" s="247">
        <v>19.703533333333333</v>
      </c>
      <c r="CC331" s="247">
        <v>433.01600000000002</v>
      </c>
      <c r="CD331" s="247">
        <v>40.902000000000001</v>
      </c>
      <c r="CE331" s="190">
        <v>43.953131925576805</v>
      </c>
      <c r="CF331" s="190">
        <v>-0.31146733737583077</v>
      </c>
      <c r="CG331" s="247">
        <v>230.07900000000001</v>
      </c>
      <c r="CH331" s="247">
        <v>71.150999999999996</v>
      </c>
      <c r="CI331" s="190">
        <v>11.677042696233841</v>
      </c>
      <c r="CJ331" s="190">
        <v>-0.12335480319633163</v>
      </c>
      <c r="CK331" s="190">
        <v>55.630174621810646</v>
      </c>
      <c r="CL331" s="247">
        <v>858.8</v>
      </c>
      <c r="CM331" s="247">
        <v>28.626666666666665</v>
      </c>
      <c r="CN331" s="247">
        <v>634.46299999999997</v>
      </c>
      <c r="CO331" s="247">
        <v>51.709000000000003</v>
      </c>
      <c r="CP331" s="190">
        <v>44.326711690731251</v>
      </c>
      <c r="CQ331" s="190">
        <v>6.2112427778615142E-2</v>
      </c>
      <c r="CR331" s="247">
        <v>349.27699999999999</v>
      </c>
      <c r="CS331" s="247">
        <v>122.306</v>
      </c>
      <c r="CT331" s="190">
        <v>12.201106194690265</v>
      </c>
      <c r="CU331" s="190">
        <v>0.4007086952600929</v>
      </c>
      <c r="CV331" s="190">
        <v>56.527817885421513</v>
      </c>
      <c r="CW331" s="163"/>
      <c r="CX331" s="212">
        <v>0</v>
      </c>
      <c r="CY331" s="212">
        <v>0</v>
      </c>
      <c r="CZ331" s="212">
        <v>0</v>
      </c>
      <c r="DA331" s="212">
        <v>0</v>
      </c>
      <c r="DB331" s="212">
        <v>0</v>
      </c>
      <c r="DC331" s="212">
        <v>0</v>
      </c>
      <c r="DD331" s="163"/>
      <c r="DE331" s="247">
        <v>161.30199999999999</v>
      </c>
      <c r="DF331" s="247">
        <v>90.784999999999997</v>
      </c>
      <c r="DG331" s="247">
        <v>31.402000000000001</v>
      </c>
      <c r="DH331" s="199">
        <v>0.56282625137940012</v>
      </c>
      <c r="DI331" s="247">
        <v>132.67599999999999</v>
      </c>
      <c r="DJ331" s="199">
        <v>0.41126582435431674</v>
      </c>
      <c r="DK331" s="247">
        <v>158.86600000000001</v>
      </c>
      <c r="DL331" s="247">
        <v>154.471</v>
      </c>
      <c r="DM331" s="199">
        <v>2.7664824443241587E-2</v>
      </c>
      <c r="DN331" s="247">
        <v>147.94900000000001</v>
      </c>
      <c r="DO331" s="247">
        <v>57.573</v>
      </c>
      <c r="DP331" s="247">
        <v>126.598</v>
      </c>
      <c r="DQ331" s="247">
        <v>184.17099999999999</v>
      </c>
      <c r="DR331" s="247">
        <v>0.97409207573371681</v>
      </c>
      <c r="DS331" s="247"/>
      <c r="DT331" s="247">
        <v>109.373</v>
      </c>
      <c r="DU331" s="247">
        <v>46.8</v>
      </c>
      <c r="DV331" s="247">
        <v>46.459000000000003</v>
      </c>
      <c r="DW331" s="199">
        <v>0.42789353862470625</v>
      </c>
      <c r="DX331" s="247">
        <v>29.335999999999999</v>
      </c>
      <c r="DY331" s="199">
        <v>0.13410988086639297</v>
      </c>
      <c r="DZ331" s="247">
        <v>40.290999999999997</v>
      </c>
      <c r="EA331" s="247">
        <v>39.868000000000002</v>
      </c>
      <c r="EB331" s="199">
        <v>1.0498622521158407E-2</v>
      </c>
      <c r="EC331" s="247">
        <v>41.655999999999999</v>
      </c>
      <c r="ED331" s="247">
        <v>19.998000000000001</v>
      </c>
      <c r="EE331" s="247">
        <v>17.786000000000001</v>
      </c>
      <c r="EF331" s="247">
        <v>37.784000000000006</v>
      </c>
      <c r="EG331" s="199">
        <v>0.56200341949109922</v>
      </c>
    </row>
    <row r="332" spans="1:137" hidden="1">
      <c r="A332" s="157">
        <v>44378</v>
      </c>
      <c r="B332" s="247">
        <v>4990.9750000000004</v>
      </c>
      <c r="C332" s="247">
        <v>166.36583333333334</v>
      </c>
      <c r="D332" s="247">
        <v>11.260833333333352</v>
      </c>
      <c r="E332" s="247">
        <v>7.2601356070618905E-2</v>
      </c>
      <c r="F332" s="247">
        <v>3699.4380000000001</v>
      </c>
      <c r="G332" s="247"/>
      <c r="H332" s="247"/>
      <c r="I332" s="247">
        <v>442.23</v>
      </c>
      <c r="J332" s="190">
        <v>44.473530722954933</v>
      </c>
      <c r="K332" s="190">
        <v>47.68964781430482</v>
      </c>
      <c r="L332" s="190">
        <v>-1.0352185695182925E-2</v>
      </c>
      <c r="M332" s="247">
        <v>267.52600000000001</v>
      </c>
      <c r="N332" s="247">
        <v>34.406999999999996</v>
      </c>
      <c r="O332" s="247">
        <v>1973.2449999999999</v>
      </c>
      <c r="P332" s="247">
        <v>1671.6320000000001</v>
      </c>
      <c r="Q332" s="247">
        <v>822.84</v>
      </c>
      <c r="R332" s="247">
        <v>262.887</v>
      </c>
      <c r="S332" s="247">
        <v>585.90499999999997</v>
      </c>
      <c r="T332" s="247">
        <v>398.85500000000002</v>
      </c>
      <c r="U332" s="247">
        <v>453.68399999999997</v>
      </c>
      <c r="V332" s="199">
        <v>0.28060561490793856</v>
      </c>
      <c r="W332" s="190">
        <v>11.860878886389932</v>
      </c>
      <c r="X332" s="190">
        <v>3.0878886389931637E-2</v>
      </c>
      <c r="Y332" s="247">
        <v>59.550526700694753</v>
      </c>
      <c r="Z332" s="247">
        <v>1615.9159999999999</v>
      </c>
      <c r="AA332" s="247">
        <v>1580.4179999999999</v>
      </c>
      <c r="AB332" s="199">
        <v>2.1967726045165743E-2</v>
      </c>
      <c r="AC332" s="199"/>
      <c r="AD332" s="199"/>
      <c r="AE332" s="199"/>
      <c r="AF332" s="199"/>
      <c r="AH332" s="247"/>
      <c r="AI332" s="247">
        <v>541.89</v>
      </c>
      <c r="AJ332" s="247">
        <v>18.062999999999999</v>
      </c>
      <c r="AK332" s="247">
        <v>400.077</v>
      </c>
      <c r="AL332" s="247">
        <v>50.488999999999997</v>
      </c>
      <c r="AM332" s="190">
        <v>44.29795714997509</v>
      </c>
      <c r="AN332" s="190">
        <v>-0.17601437224656991</v>
      </c>
      <c r="AO332" s="247">
        <v>219.578</v>
      </c>
      <c r="AP332" s="247">
        <v>124.53</v>
      </c>
      <c r="AQ332" s="190">
        <v>12.156230969384932</v>
      </c>
      <c r="AR332" s="190">
        <v>0.29637376709458962</v>
      </c>
      <c r="AS332" s="190">
        <v>56.454188119360026</v>
      </c>
      <c r="AT332" s="247">
        <v>1008.359</v>
      </c>
      <c r="AU332" s="247">
        <v>33.611966666666667</v>
      </c>
      <c r="AV332" s="247">
        <v>740.90700000000004</v>
      </c>
      <c r="AW332" s="247">
        <v>56.689</v>
      </c>
      <c r="AX332" s="190">
        <v>44.0859059124776</v>
      </c>
      <c r="AY332" s="190">
        <v>-0.38806560974406068</v>
      </c>
      <c r="AZ332" s="247">
        <v>399.197</v>
      </c>
      <c r="BA332" s="247">
        <v>143.44499999999999</v>
      </c>
      <c r="BB332" s="190">
        <v>11.876633222889863</v>
      </c>
      <c r="BC332" s="190">
        <v>1.6776020599520436E-2</v>
      </c>
      <c r="BD332" s="190">
        <v>55.962539135367464</v>
      </c>
      <c r="BE332" s="247">
        <v>1075.2460000000001</v>
      </c>
      <c r="BF332" s="247">
        <v>35.841533333333338</v>
      </c>
      <c r="BG332" s="247">
        <v>802.13300000000004</v>
      </c>
      <c r="BH332" s="247">
        <v>158.614</v>
      </c>
      <c r="BI332" s="190">
        <v>44.759971206589</v>
      </c>
      <c r="BJ332" s="190">
        <v>0.28599968436734002</v>
      </c>
      <c r="BK332" s="247">
        <v>424.37099999999998</v>
      </c>
      <c r="BL332" s="247">
        <v>197.27699999999999</v>
      </c>
      <c r="BM332" s="190">
        <v>11.840202149089601</v>
      </c>
      <c r="BN332" s="190">
        <v>-1.965505320074179E-2</v>
      </c>
      <c r="BO332" s="190">
        <v>56.600173355678599</v>
      </c>
      <c r="BP332" s="247">
        <v>816.91</v>
      </c>
      <c r="BQ332" s="247">
        <v>27.230333333333331</v>
      </c>
      <c r="BR332" s="247">
        <v>612.44100000000003</v>
      </c>
      <c r="BS332" s="247">
        <v>86.506</v>
      </c>
      <c r="BT332" s="190">
        <v>44.982262427929641</v>
      </c>
      <c r="BU332" s="190">
        <v>0.5082909057079803</v>
      </c>
      <c r="BV332" s="247">
        <v>308.61599999999999</v>
      </c>
      <c r="BW332" s="247">
        <v>160.28</v>
      </c>
      <c r="BX332" s="190">
        <v>11.333537354176103</v>
      </c>
      <c r="BY332" s="190">
        <v>-0.52631984811423926</v>
      </c>
      <c r="BZ332" s="190">
        <v>56.315799782105742</v>
      </c>
      <c r="CA332" s="247">
        <v>659.89099999999996</v>
      </c>
      <c r="CB332" s="247">
        <v>21.996366666666667</v>
      </c>
      <c r="CC332" s="247">
        <v>485.512</v>
      </c>
      <c r="CD332" s="247">
        <v>44.884999999999998</v>
      </c>
      <c r="CE332" s="190">
        <v>44.144745116996596</v>
      </c>
      <c r="CF332" s="190">
        <v>-0.32922640522506441</v>
      </c>
      <c r="CG332" s="247">
        <v>257.47000000000003</v>
      </c>
      <c r="CH332" s="247">
        <v>70.073999999999998</v>
      </c>
      <c r="CI332" s="190">
        <v>11.705114935648464</v>
      </c>
      <c r="CJ332" s="190">
        <v>-0.15474226664187896</v>
      </c>
      <c r="CK332" s="190">
        <v>55.849860052645056</v>
      </c>
      <c r="CL332" s="247">
        <v>888.67899999999997</v>
      </c>
      <c r="CM332" s="247">
        <v>29.622633333333333</v>
      </c>
      <c r="CN332" s="247">
        <v>658.36800000000005</v>
      </c>
      <c r="CO332" s="247">
        <v>45.046999999999997</v>
      </c>
      <c r="CP332" s="190">
        <v>44.450335835549176</v>
      </c>
      <c r="CQ332" s="190">
        <v>-2.3635686672484724E-2</v>
      </c>
      <c r="CR332" s="247">
        <v>364.01299999999998</v>
      </c>
      <c r="CS332" s="247">
        <v>127.23399999999999</v>
      </c>
      <c r="CT332" s="190">
        <v>12.28834033436145</v>
      </c>
      <c r="CU332" s="190">
        <v>0.42848313207110778</v>
      </c>
      <c r="CV332" s="190">
        <v>56.738676169910626</v>
      </c>
      <c r="CW332" s="163"/>
      <c r="CX332" s="212">
        <v>-3.2633333333308201E-2</v>
      </c>
      <c r="CY332" s="212">
        <v>-0.68900000000064665</v>
      </c>
      <c r="CZ332" s="212">
        <v>6.000000000002359E-2</v>
      </c>
      <c r="DA332" s="212">
        <v>-0.55699999999995953</v>
      </c>
      <c r="DB332" s="212">
        <v>-0.24299999999990973</v>
      </c>
      <c r="DC332" s="212">
        <v>0</v>
      </c>
      <c r="DD332" s="163"/>
      <c r="DE332" s="247">
        <v>145.989</v>
      </c>
      <c r="DF332" s="247">
        <v>87.837000000000003</v>
      </c>
      <c r="DG332" s="247">
        <v>29.959</v>
      </c>
      <c r="DH332" s="199">
        <v>0.60166861886854495</v>
      </c>
      <c r="DI332" s="247">
        <v>124.71599999999999</v>
      </c>
      <c r="DJ332" s="199">
        <v>0.42714177095534595</v>
      </c>
      <c r="DK332" s="247">
        <v>151.815</v>
      </c>
      <c r="DL332" s="247">
        <v>147.49799999999999</v>
      </c>
      <c r="DM332" s="199">
        <v>2.8435925303823772E-2</v>
      </c>
      <c r="DN332" s="247">
        <v>152.87100000000001</v>
      </c>
      <c r="DO332" s="247">
        <v>47.545999999999999</v>
      </c>
      <c r="DP332" s="247">
        <v>107.77200000000001</v>
      </c>
      <c r="DQ332" s="247">
        <v>155.31800000000001</v>
      </c>
      <c r="DR332" s="247">
        <v>1.0288103898238909</v>
      </c>
      <c r="DS332" s="247"/>
      <c r="DT332" s="247">
        <v>96.593999999999994</v>
      </c>
      <c r="DU332" s="247">
        <v>41.716999999999999</v>
      </c>
      <c r="DV332" s="247">
        <v>50.527000000000001</v>
      </c>
      <c r="DW332" s="199">
        <v>0.43187982690436261</v>
      </c>
      <c r="DX332" s="247">
        <v>24.274000000000001</v>
      </c>
      <c r="DY332" s="199">
        <v>0.12564962627078288</v>
      </c>
      <c r="DZ332" s="247">
        <v>33.274000000000001</v>
      </c>
      <c r="EA332" s="247">
        <v>32.854999999999997</v>
      </c>
      <c r="EB332" s="199">
        <v>1.2592414497806237E-2</v>
      </c>
      <c r="EC332" s="247">
        <v>36.807000000000002</v>
      </c>
      <c r="ED332" s="247">
        <v>22</v>
      </c>
      <c r="EE332" s="247">
        <v>14.55</v>
      </c>
      <c r="EF332" s="247">
        <v>36.549999999999997</v>
      </c>
      <c r="EG332" s="199">
        <v>0.55752945317514546</v>
      </c>
    </row>
    <row r="333" spans="1:137" hidden="1">
      <c r="A333" s="157">
        <v>44409</v>
      </c>
      <c r="B333" s="247">
        <v>5047.7759999999998</v>
      </c>
      <c r="C333" s="247">
        <v>168.25919999999999</v>
      </c>
      <c r="D333" s="247">
        <v>9.4162000000000035</v>
      </c>
      <c r="E333" s="247">
        <v>5.9279917906360335E-2</v>
      </c>
      <c r="F333" s="247">
        <v>3728.116</v>
      </c>
      <c r="G333" s="247"/>
      <c r="H333" s="247"/>
      <c r="I333" s="247">
        <v>344.74099999999999</v>
      </c>
      <c r="J333" s="190">
        <v>44.313963218653129</v>
      </c>
      <c r="K333" s="190">
        <v>47.489753903501267</v>
      </c>
      <c r="L333" s="190">
        <v>-5.0246096498732129E-2</v>
      </c>
      <c r="M333" s="247">
        <v>267.178</v>
      </c>
      <c r="N333" s="247">
        <v>38.771000000000001</v>
      </c>
      <c r="O333" s="247">
        <v>1989.7329999999999</v>
      </c>
      <c r="P333" s="247">
        <v>1753.3879999999999</v>
      </c>
      <c r="Q333" s="247">
        <v>872.12</v>
      </c>
      <c r="R333" s="247">
        <v>282.67</v>
      </c>
      <c r="S333" s="247">
        <v>598.59799999999996</v>
      </c>
      <c r="T333" s="247">
        <v>430.12200000000001</v>
      </c>
      <c r="U333" s="247">
        <v>515.68199999999979</v>
      </c>
      <c r="V333" s="199">
        <v>0.30919375379235747</v>
      </c>
      <c r="W333" s="190">
        <v>11.825403900648524</v>
      </c>
      <c r="X333" s="190">
        <v>3.5403900648525166E-2</v>
      </c>
      <c r="Y333" s="247">
        <v>59.315157804149791</v>
      </c>
      <c r="Z333" s="247">
        <v>1670.605</v>
      </c>
      <c r="AA333" s="247">
        <v>1629.087</v>
      </c>
      <c r="AB333" s="199">
        <v>2.4852074547843463E-2</v>
      </c>
      <c r="AC333" s="199"/>
      <c r="AD333" s="199"/>
      <c r="AE333" s="199"/>
      <c r="AF333" s="199"/>
      <c r="AH333" s="247"/>
      <c r="AI333" s="247">
        <v>523.92700000000002</v>
      </c>
      <c r="AJ333" s="247">
        <v>17.464233333333333</v>
      </c>
      <c r="AK333" s="247">
        <v>388.67</v>
      </c>
      <c r="AL333" s="247">
        <v>45.926000000000002</v>
      </c>
      <c r="AM333" s="190">
        <v>44.510399349527702</v>
      </c>
      <c r="AN333" s="190">
        <v>0.19643613087457368</v>
      </c>
      <c r="AO333" s="247">
        <v>211.99600000000001</v>
      </c>
      <c r="AP333" s="247">
        <v>112.312</v>
      </c>
      <c r="AQ333" s="190">
        <v>12.138866674174075</v>
      </c>
      <c r="AR333" s="190">
        <v>0.31346277352555063</v>
      </c>
      <c r="AS333" s="190">
        <v>56.649266023701777</v>
      </c>
      <c r="AT333" s="247">
        <v>1127.643</v>
      </c>
      <c r="AU333" s="247">
        <v>37.588100000000004</v>
      </c>
      <c r="AV333" s="247">
        <v>832.10599999999999</v>
      </c>
      <c r="AW333" s="247">
        <v>50.247999999999998</v>
      </c>
      <c r="AX333" s="190">
        <v>44.274970003804391</v>
      </c>
      <c r="AY333" s="190">
        <v>-3.8993214848737523E-2</v>
      </c>
      <c r="AZ333" s="247">
        <v>445.12099999999998</v>
      </c>
      <c r="BA333" s="247">
        <v>145.44399999999999</v>
      </c>
      <c r="BB333" s="190">
        <v>11.84207235800692</v>
      </c>
      <c r="BC333" s="190">
        <v>1.6668457358395727E-2</v>
      </c>
      <c r="BD333" s="190">
        <v>56.117042361811315</v>
      </c>
      <c r="BE333" s="247">
        <v>1095.4939999999999</v>
      </c>
      <c r="BF333" s="247">
        <v>36.516466666666666</v>
      </c>
      <c r="BG333" s="247">
        <v>811.54100000000005</v>
      </c>
      <c r="BH333" s="247">
        <v>89.272000000000006</v>
      </c>
      <c r="BI333" s="190">
        <v>44.447947683875952</v>
      </c>
      <c r="BJ333" s="190">
        <v>0.1339844652228237</v>
      </c>
      <c r="BK333" s="247">
        <v>427.19600000000003</v>
      </c>
      <c r="BL333" s="247">
        <v>211.38</v>
      </c>
      <c r="BM333" s="190">
        <v>11.698722220295137</v>
      </c>
      <c r="BN333" s="190">
        <v>-0.12668168035338745</v>
      </c>
      <c r="BO333" s="190">
        <v>56.146669904171091</v>
      </c>
      <c r="BP333" s="247">
        <v>892.79200000000003</v>
      </c>
      <c r="BQ333" s="247">
        <v>29.759733333333333</v>
      </c>
      <c r="BR333" s="247">
        <v>663.14499999999998</v>
      </c>
      <c r="BS333" s="247">
        <v>76.153000000000006</v>
      </c>
      <c r="BT333" s="190">
        <v>44.566595578813427</v>
      </c>
      <c r="BU333" s="190">
        <v>0.25263236016029822</v>
      </c>
      <c r="BV333" s="247">
        <v>341.41199999999998</v>
      </c>
      <c r="BW333" s="247">
        <v>179.71100000000001</v>
      </c>
      <c r="BX333" s="190">
        <v>11.472280217564673</v>
      </c>
      <c r="BY333" s="190">
        <v>-0.35312368308385089</v>
      </c>
      <c r="BZ333" s="190">
        <v>56.0388757963781</v>
      </c>
      <c r="CA333" s="247">
        <v>680.53200000000004</v>
      </c>
      <c r="CB333" s="247">
        <v>22.6844</v>
      </c>
      <c r="CC333" s="247">
        <v>492.36</v>
      </c>
      <c r="CD333" s="247">
        <v>43.427</v>
      </c>
      <c r="CE333" s="190">
        <v>43.409567808714357</v>
      </c>
      <c r="CF333" s="190">
        <v>-0.90439540993877188</v>
      </c>
      <c r="CG333" s="247">
        <v>261.75700000000001</v>
      </c>
      <c r="CH333" s="247">
        <v>68.778000000000006</v>
      </c>
      <c r="CI333" s="190">
        <v>11.539075311667931</v>
      </c>
      <c r="CJ333" s="190">
        <v>-0.28632858898059332</v>
      </c>
      <c r="CK333" s="190">
        <v>54.948643120382286</v>
      </c>
      <c r="CL333" s="247">
        <v>727.38800000000003</v>
      </c>
      <c r="CM333" s="247">
        <v>24.246266666666667</v>
      </c>
      <c r="CN333" s="247">
        <v>540.29399999999998</v>
      </c>
      <c r="CO333" s="247">
        <v>39.715000000000003</v>
      </c>
      <c r="CP333" s="190">
        <v>44.567191100210614</v>
      </c>
      <c r="CQ333" s="190">
        <v>0.25322788155748555</v>
      </c>
      <c r="CR333" s="247">
        <v>302.25099999999998</v>
      </c>
      <c r="CS333" s="247">
        <v>154.495</v>
      </c>
      <c r="CT333" s="190">
        <v>12.465877908351525</v>
      </c>
      <c r="CU333" s="190">
        <v>0.64047400770300023</v>
      </c>
      <c r="CV333" s="190">
        <v>57.033069008562137</v>
      </c>
      <c r="CW333" s="163"/>
      <c r="CX333" s="212">
        <v>0</v>
      </c>
      <c r="CY333" s="212">
        <v>0</v>
      </c>
      <c r="CZ333" s="212">
        <v>0</v>
      </c>
      <c r="DA333" s="212">
        <v>0</v>
      </c>
      <c r="DB333" s="212">
        <v>0</v>
      </c>
      <c r="DC333" s="212">
        <v>0</v>
      </c>
      <c r="DD333" s="163"/>
      <c r="DE333" s="247">
        <v>132.422</v>
      </c>
      <c r="DF333" s="247">
        <v>75.274000000000001</v>
      </c>
      <c r="DG333" s="247">
        <v>31.7</v>
      </c>
      <c r="DH333" s="199">
        <v>0.56844028937789792</v>
      </c>
      <c r="DI333" s="247">
        <v>104.93899999999999</v>
      </c>
      <c r="DJ333" s="199">
        <v>0.39622947848544804</v>
      </c>
      <c r="DK333" s="247">
        <v>121.67700000000001</v>
      </c>
      <c r="DL333" s="247">
        <v>117.99299999999999</v>
      </c>
      <c r="DM333" s="199">
        <v>3.0276880593703148E-2</v>
      </c>
      <c r="DN333" s="247">
        <v>124.056</v>
      </c>
      <c r="DO333" s="247">
        <v>27.061</v>
      </c>
      <c r="DP333" s="247">
        <v>101.32299999999999</v>
      </c>
      <c r="DQ333" s="247">
        <v>128.38399999999999</v>
      </c>
      <c r="DR333" s="247">
        <v>0.96466976786334602</v>
      </c>
      <c r="DS333" s="247"/>
      <c r="DT333" s="247">
        <v>115.26300000000001</v>
      </c>
      <c r="DU333" s="247">
        <v>49.597999999999999</v>
      </c>
      <c r="DV333" s="247">
        <v>57.832999999999998</v>
      </c>
      <c r="DW333" s="199">
        <v>0.43030287256101263</v>
      </c>
      <c r="DX333" s="247">
        <v>27.981999999999999</v>
      </c>
      <c r="DY333" s="199">
        <v>0.12138327130128487</v>
      </c>
      <c r="DZ333" s="247">
        <v>34.604999999999997</v>
      </c>
      <c r="EA333" s="247">
        <v>33.445</v>
      </c>
      <c r="EB333" s="199">
        <v>3.3521167461349366E-2</v>
      </c>
      <c r="EC333" s="247">
        <v>34.929000000000002</v>
      </c>
      <c r="ED333" s="247">
        <v>18.37</v>
      </c>
      <c r="EE333" s="247">
        <v>13.605</v>
      </c>
      <c r="EF333" s="247">
        <v>31.975000000000001</v>
      </c>
      <c r="EG333" s="199">
        <v>0.55168614386229753</v>
      </c>
    </row>
    <row r="334" spans="1:137" hidden="1">
      <c r="A334" s="157">
        <v>44440</v>
      </c>
      <c r="B334" s="247">
        <v>4924.5739999999996</v>
      </c>
      <c r="C334" s="247">
        <v>164.15246666666664</v>
      </c>
      <c r="D334" s="247">
        <v>10.352466666666629</v>
      </c>
      <c r="E334" s="247">
        <v>6.7311226701343596E-2</v>
      </c>
      <c r="F334" s="247">
        <v>3604.2660000000001</v>
      </c>
      <c r="G334" s="247"/>
      <c r="H334" s="247"/>
      <c r="I334" s="247">
        <v>306.923</v>
      </c>
      <c r="J334" s="190">
        <v>43.913638012140751</v>
      </c>
      <c r="K334" s="190">
        <v>47.122666854026363</v>
      </c>
      <c r="L334" s="190">
        <v>6.2666854026360852E-2</v>
      </c>
      <c r="M334" s="247">
        <v>263.38499999999999</v>
      </c>
      <c r="N334" s="247">
        <v>33.863</v>
      </c>
      <c r="O334" s="247">
        <v>1938.212</v>
      </c>
      <c r="P334" s="247">
        <v>1741.5889999999999</v>
      </c>
      <c r="Q334" s="247">
        <v>841.38400000000001</v>
      </c>
      <c r="R334" s="247">
        <v>267.363</v>
      </c>
      <c r="S334" s="247">
        <v>632.84199999999998</v>
      </c>
      <c r="T334" s="247">
        <v>435.23700000000002</v>
      </c>
      <c r="U334" s="247">
        <v>492.67900000000009</v>
      </c>
      <c r="V334" s="199">
        <v>0.29253919046259025</v>
      </c>
      <c r="W334" s="190">
        <v>11.807388821855456</v>
      </c>
      <c r="X334" s="190">
        <v>1.7388821855456982E-2</v>
      </c>
      <c r="Y334" s="247">
        <v>58.930055675881817</v>
      </c>
      <c r="Z334" s="247">
        <v>1966.548</v>
      </c>
      <c r="AA334" s="247">
        <v>1925.664</v>
      </c>
      <c r="AB334" s="199">
        <v>2.0789729007377401E-2</v>
      </c>
      <c r="AC334" s="199"/>
      <c r="AD334" s="199"/>
      <c r="AE334" s="199"/>
      <c r="AF334" s="199"/>
      <c r="AH334" s="247"/>
      <c r="AI334" s="247">
        <v>567.43600000000004</v>
      </c>
      <c r="AJ334" s="247">
        <v>18.914533333333335</v>
      </c>
      <c r="AK334" s="247">
        <v>415.15</v>
      </c>
      <c r="AL334" s="247">
        <v>42.048999999999999</v>
      </c>
      <c r="AM334" s="190">
        <v>43.897461563947296</v>
      </c>
      <c r="AN334" s="190">
        <v>-1.6176448193455428E-2</v>
      </c>
      <c r="AO334" s="247">
        <v>223.398</v>
      </c>
      <c r="AP334" s="247">
        <v>108.843</v>
      </c>
      <c r="AQ334" s="190">
        <v>11.810917883250269</v>
      </c>
      <c r="AR334" s="190">
        <v>3.5290613948131266E-3</v>
      </c>
      <c r="AS334" s="190">
        <v>55.708379447197565</v>
      </c>
      <c r="AT334" s="247">
        <v>1054.8620000000001</v>
      </c>
      <c r="AU334" s="247">
        <v>35.162066666666668</v>
      </c>
      <c r="AV334" s="247">
        <v>777.83100000000002</v>
      </c>
      <c r="AW334" s="247">
        <v>42.677</v>
      </c>
      <c r="AX334" s="190">
        <v>44.242621309706863</v>
      </c>
      <c r="AY334" s="190">
        <v>0.32898329756611133</v>
      </c>
      <c r="AZ334" s="247">
        <v>419.24900000000002</v>
      </c>
      <c r="BA334" s="247">
        <v>107.518</v>
      </c>
      <c r="BB334" s="190">
        <v>11.923332151504178</v>
      </c>
      <c r="BC334" s="190">
        <v>0.11594332964872223</v>
      </c>
      <c r="BD334" s="190">
        <v>56.165953461211039</v>
      </c>
      <c r="BE334" s="247">
        <v>1181.329</v>
      </c>
      <c r="BF334" s="247">
        <v>39.377633333333328</v>
      </c>
      <c r="BG334" s="247">
        <v>864.91499999999996</v>
      </c>
      <c r="BH334" s="247">
        <v>83.545000000000002</v>
      </c>
      <c r="BI334" s="190">
        <v>43.929252562156691</v>
      </c>
      <c r="BJ334" s="190">
        <v>1.5614550015939699E-2</v>
      </c>
      <c r="BK334" s="247">
        <v>464.28</v>
      </c>
      <c r="BL334" s="247">
        <v>241.363</v>
      </c>
      <c r="BM334" s="190">
        <v>11.790449569933525</v>
      </c>
      <c r="BN334" s="190">
        <v>-1.6939251921931131E-2</v>
      </c>
      <c r="BO334" s="190">
        <v>55.719702132090219</v>
      </c>
      <c r="BP334" s="247">
        <v>803.971</v>
      </c>
      <c r="BQ334" s="247">
        <v>26.799033333333334</v>
      </c>
      <c r="BR334" s="247">
        <v>589.21500000000003</v>
      </c>
      <c r="BS334" s="247">
        <v>57.74</v>
      </c>
      <c r="BT334" s="190">
        <v>43.972854742273043</v>
      </c>
      <c r="BU334" s="190">
        <v>5.9216730132291673E-2</v>
      </c>
      <c r="BV334" s="247">
        <v>308.351</v>
      </c>
      <c r="BW334" s="247">
        <v>179.751</v>
      </c>
      <c r="BX334" s="190">
        <v>11.506049347551093</v>
      </c>
      <c r="BY334" s="190">
        <v>-0.30133947430436336</v>
      </c>
      <c r="BZ334" s="190">
        <v>55.478904089824134</v>
      </c>
      <c r="CA334" s="247">
        <v>537.59199999999998</v>
      </c>
      <c r="CB334" s="247">
        <v>17.919733333333333</v>
      </c>
      <c r="CC334" s="247">
        <v>388.31700000000001</v>
      </c>
      <c r="CD334" s="247">
        <v>37.664999999999999</v>
      </c>
      <c r="CE334" s="190">
        <v>43.33959582731886</v>
      </c>
      <c r="CF334" s="190">
        <v>-0.57404218482189151</v>
      </c>
      <c r="CG334" s="247">
        <v>207.227</v>
      </c>
      <c r="CH334" s="247">
        <v>62.488797767141563</v>
      </c>
      <c r="CI334" s="190">
        <v>11.564178782422358</v>
      </c>
      <c r="CJ334" s="190">
        <v>-0.24321003943309805</v>
      </c>
      <c r="CK334" s="190">
        <v>54.90377460974122</v>
      </c>
      <c r="CL334" s="247">
        <v>779.38400000000001</v>
      </c>
      <c r="CM334" s="247">
        <v>25.979466666666667</v>
      </c>
      <c r="CN334" s="247">
        <v>568.83799999999997</v>
      </c>
      <c r="CO334" s="247">
        <v>43.247</v>
      </c>
      <c r="CP334" s="190">
        <v>43.791353171222397</v>
      </c>
      <c r="CQ334" s="190">
        <v>-0.12228484091835412</v>
      </c>
      <c r="CR334" s="247">
        <v>315.70699999999999</v>
      </c>
      <c r="CS334" s="247">
        <v>141.42020223285846</v>
      </c>
      <c r="CT334" s="190">
        <v>12.152174024614311</v>
      </c>
      <c r="CU334" s="190">
        <v>0.34478520275885494</v>
      </c>
      <c r="CV334" s="190">
        <v>55.943527195836708</v>
      </c>
      <c r="CW334" s="163"/>
      <c r="CX334" s="212">
        <v>-4.2632564145606011E-14</v>
      </c>
      <c r="CY334" s="212">
        <v>0</v>
      </c>
      <c r="CZ334" s="212">
        <v>0</v>
      </c>
      <c r="DA334" s="212">
        <v>0</v>
      </c>
      <c r="DB334" s="212">
        <v>0</v>
      </c>
      <c r="DC334" s="212">
        <v>0</v>
      </c>
      <c r="DD334" s="163"/>
      <c r="DE334" s="247">
        <v>168.464</v>
      </c>
      <c r="DF334" s="247">
        <v>97.932000000000002</v>
      </c>
      <c r="DG334" s="247">
        <v>36.402999999999999</v>
      </c>
      <c r="DH334" s="199">
        <v>0.58132301263177888</v>
      </c>
      <c r="DI334" s="247">
        <v>135.81200000000001</v>
      </c>
      <c r="DJ334" s="199">
        <v>0.40308908728274295</v>
      </c>
      <c r="DK334" s="247">
        <v>143.631</v>
      </c>
      <c r="DL334" s="247">
        <v>139.33099999999999</v>
      </c>
      <c r="DM334" s="199">
        <v>2.993782679226642E-2</v>
      </c>
      <c r="DN334" s="247">
        <v>141.095</v>
      </c>
      <c r="DO334" s="247">
        <v>34.600999999999999</v>
      </c>
      <c r="DP334" s="247">
        <v>103.791</v>
      </c>
      <c r="DQ334" s="247">
        <v>138.392</v>
      </c>
      <c r="DR334" s="247">
        <v>0.98441209991452183</v>
      </c>
      <c r="DS334" s="247"/>
      <c r="DT334" s="247">
        <v>83.03</v>
      </c>
      <c r="DU334" s="247">
        <v>35.537999999999997</v>
      </c>
      <c r="DV334" s="247">
        <v>39.305999999999997</v>
      </c>
      <c r="DW334" s="199">
        <v>0.42801397085390819</v>
      </c>
      <c r="DX334" s="247">
        <v>22.064</v>
      </c>
      <c r="DY334" s="199">
        <v>0.13286763820305914</v>
      </c>
      <c r="DZ334" s="247">
        <v>24.609000000000002</v>
      </c>
      <c r="EA334" s="247">
        <v>23.798999999999999</v>
      </c>
      <c r="EB334" s="199">
        <v>3.2914787272949053E-2</v>
      </c>
      <c r="EC334" s="247">
        <v>24.241</v>
      </c>
      <c r="ED334" s="247">
        <v>25</v>
      </c>
      <c r="EE334" s="247">
        <v>7.5</v>
      </c>
      <c r="EF334" s="247">
        <v>32.5</v>
      </c>
      <c r="EG334" s="199">
        <v>0.56088160905696727</v>
      </c>
    </row>
    <row r="335" spans="1:137" hidden="1">
      <c r="A335" s="157">
        <v>44470</v>
      </c>
      <c r="B335" s="247">
        <v>5908.1570000000002</v>
      </c>
      <c r="C335" s="247">
        <v>196.93856666666667</v>
      </c>
      <c r="D335" s="247">
        <v>12.945566666666679</v>
      </c>
      <c r="E335" s="247">
        <v>7.035901728145455E-2</v>
      </c>
      <c r="F335" s="247">
        <v>4284.2560000000003</v>
      </c>
      <c r="G335" s="247"/>
      <c r="H335" s="247"/>
      <c r="I335" s="247">
        <v>363.96899999999999</v>
      </c>
      <c r="J335" s="190">
        <v>43.508552667100759</v>
      </c>
      <c r="K335" s="190">
        <v>46.63016571834499</v>
      </c>
      <c r="L335" s="190">
        <v>1.0165718344993024E-2</v>
      </c>
      <c r="M335" s="247">
        <v>307.38299999999998</v>
      </c>
      <c r="N335" s="247">
        <v>47.512</v>
      </c>
      <c r="O335" s="247">
        <v>2347.58</v>
      </c>
      <c r="P335" s="247">
        <v>1960.22</v>
      </c>
      <c r="Q335" s="247">
        <v>957.16200000000003</v>
      </c>
      <c r="R335" s="247">
        <v>292.91199999999998</v>
      </c>
      <c r="S335" s="247">
        <v>710.14599999999996</v>
      </c>
      <c r="T335" s="247">
        <v>426.11700000000002</v>
      </c>
      <c r="U335" s="247">
        <v>551.84300000000007</v>
      </c>
      <c r="V335" s="199">
        <v>0.3008148295933375</v>
      </c>
      <c r="W335" s="190">
        <v>11.920367045086987</v>
      </c>
      <c r="X335" s="190">
        <v>3.0367045086986622E-2</v>
      </c>
      <c r="Y335" s="247">
        <v>58.550532763431974</v>
      </c>
      <c r="Z335" s="247">
        <v>1772.2529999999999</v>
      </c>
      <c r="AA335" s="247">
        <v>1731.222</v>
      </c>
      <c r="AB335" s="199">
        <v>2.3151886327742118E-2</v>
      </c>
      <c r="AC335" s="199"/>
      <c r="AD335" s="199"/>
      <c r="AE335" s="199"/>
      <c r="AF335" s="199"/>
      <c r="AH335" s="247"/>
      <c r="AI335" s="247">
        <v>674.43799999999999</v>
      </c>
      <c r="AJ335" s="247">
        <v>22.481266666666667</v>
      </c>
      <c r="AK335" s="247">
        <v>482.26900000000001</v>
      </c>
      <c r="AL335" s="247">
        <v>53.908000000000001</v>
      </c>
      <c r="AM335" s="190">
        <v>42.904077172401315</v>
      </c>
      <c r="AN335" s="190">
        <v>-0.60447549469944306</v>
      </c>
      <c r="AO335" s="247">
        <v>268.20100000000002</v>
      </c>
      <c r="AP335" s="247">
        <v>127.80500000000001</v>
      </c>
      <c r="AQ335" s="190">
        <v>11.929977255136871</v>
      </c>
      <c r="AR335" s="190">
        <v>9.6102100498836052E-3</v>
      </c>
      <c r="AS335" s="190">
        <v>54.834054427538184</v>
      </c>
      <c r="AT335" s="247">
        <v>1215.3240000000001</v>
      </c>
      <c r="AU335" s="247">
        <v>40.510800000000003</v>
      </c>
      <c r="AV335" s="247">
        <v>889.10299999999995</v>
      </c>
      <c r="AW335" s="247">
        <v>65.957999999999998</v>
      </c>
      <c r="AX335" s="190">
        <v>43.894615756785839</v>
      </c>
      <c r="AY335" s="190">
        <v>0.38606308968508074</v>
      </c>
      <c r="AZ335" s="247">
        <v>482.83</v>
      </c>
      <c r="BA335" s="247">
        <v>138.81299999999999</v>
      </c>
      <c r="BB335" s="190">
        <v>11.918550115031053</v>
      </c>
      <c r="BC335" s="190">
        <v>-1.8169300559343071E-3</v>
      </c>
      <c r="BD335" s="190">
        <v>55.813165871816892</v>
      </c>
      <c r="BE335" s="247">
        <v>1373.5630000000001</v>
      </c>
      <c r="BF335" s="247">
        <v>45.785433333333337</v>
      </c>
      <c r="BG335" s="247">
        <v>997.21600000000001</v>
      </c>
      <c r="BH335" s="247">
        <v>84.421000000000006</v>
      </c>
      <c r="BI335" s="190">
        <v>43.560404582825832</v>
      </c>
      <c r="BJ335" s="190">
        <v>5.1851915725073638E-2</v>
      </c>
      <c r="BK335" s="247">
        <v>540.67600000000004</v>
      </c>
      <c r="BL335" s="247">
        <v>296.88799999999998</v>
      </c>
      <c r="BM335" s="190">
        <v>11.808908655809745</v>
      </c>
      <c r="BN335" s="190">
        <v>-0.11145838927724228</v>
      </c>
      <c r="BO335" s="190">
        <v>55.369313238635577</v>
      </c>
      <c r="BP335" s="247">
        <v>979.30499999999995</v>
      </c>
      <c r="BQ335" s="247">
        <v>32.643499999999996</v>
      </c>
      <c r="BR335" s="247">
        <v>718.12400000000002</v>
      </c>
      <c r="BS335" s="247">
        <v>64.941000000000003</v>
      </c>
      <c r="BT335" s="190">
        <v>43.997978157979389</v>
      </c>
      <c r="BU335" s="190">
        <v>0.48942549087863085</v>
      </c>
      <c r="BV335" s="247">
        <v>379.02800000000002</v>
      </c>
      <c r="BW335" s="247">
        <v>186.333</v>
      </c>
      <c r="BX335" s="190">
        <v>11.611132384701397</v>
      </c>
      <c r="BY335" s="190">
        <v>-0.30923466038558978</v>
      </c>
      <c r="BZ335" s="190">
        <v>55.609110542680789</v>
      </c>
      <c r="CA335" s="247">
        <v>697.65099999999995</v>
      </c>
      <c r="CB335" s="247">
        <v>23.255033333333333</v>
      </c>
      <c r="CC335" s="247">
        <v>496.62799999999999</v>
      </c>
      <c r="CD335" s="247">
        <v>43.189</v>
      </c>
      <c r="CE335" s="190">
        <v>42.711441680725748</v>
      </c>
      <c r="CF335" s="190">
        <v>-0.7971109863750101</v>
      </c>
      <c r="CG335" s="247">
        <v>274.18299999999999</v>
      </c>
      <c r="CH335" s="247">
        <v>70.057000000000002</v>
      </c>
      <c r="CI335" s="190">
        <v>11.790264759887107</v>
      </c>
      <c r="CJ335" s="190">
        <v>-0.13010228519988054</v>
      </c>
      <c r="CK335" s="190">
        <v>54.501706440612857</v>
      </c>
      <c r="CL335" s="247">
        <v>967.87599999999998</v>
      </c>
      <c r="CM335" s="247">
        <v>32.26253333333333</v>
      </c>
      <c r="CN335" s="247">
        <v>700.91600000000005</v>
      </c>
      <c r="CO335" s="247">
        <v>51.552</v>
      </c>
      <c r="CP335" s="190">
        <v>43.450772619633099</v>
      </c>
      <c r="CQ335" s="190">
        <v>-5.7780047467659301E-2</v>
      </c>
      <c r="CR335" s="247">
        <v>402.66199999999998</v>
      </c>
      <c r="CS335" s="247">
        <v>137.26599999999999</v>
      </c>
      <c r="CT335" s="190">
        <v>12.480792994143879</v>
      </c>
      <c r="CU335" s="190">
        <v>0.56042594905689214</v>
      </c>
      <c r="CV335" s="190">
        <v>55.931565613776982</v>
      </c>
      <c r="CW335" s="163"/>
      <c r="CX335" s="212">
        <v>0</v>
      </c>
      <c r="CY335" s="212">
        <v>0</v>
      </c>
      <c r="CZ335" s="212">
        <v>0</v>
      </c>
      <c r="DA335" s="212">
        <v>0</v>
      </c>
      <c r="DB335" s="212">
        <v>0</v>
      </c>
      <c r="DC335" s="212">
        <v>0</v>
      </c>
      <c r="DD335" s="163"/>
      <c r="DE335" s="247">
        <v>196.64599999999999</v>
      </c>
      <c r="DF335" s="247">
        <v>115.60599999999999</v>
      </c>
      <c r="DG335" s="247">
        <v>44.073</v>
      </c>
      <c r="DH335" s="199">
        <v>0.58788889679932466</v>
      </c>
      <c r="DI335" s="247">
        <v>156.61500000000001</v>
      </c>
      <c r="DJ335" s="199">
        <v>0.39821557519603762</v>
      </c>
      <c r="DK335" s="247">
        <v>152.40600000000001</v>
      </c>
      <c r="DL335" s="247">
        <v>147.96199999999999</v>
      </c>
      <c r="DM335" s="199">
        <v>2.9158956996443774E-2</v>
      </c>
      <c r="DN335" s="247">
        <v>157.94399999999999</v>
      </c>
      <c r="DO335" s="247">
        <v>51.295999999999999</v>
      </c>
      <c r="DP335" s="247">
        <v>81.986000000000004</v>
      </c>
      <c r="DQ335" s="247">
        <v>133.28200000000001</v>
      </c>
      <c r="DR335" s="247">
        <v>0.98610447199536222</v>
      </c>
      <c r="DS335" s="247"/>
      <c r="DT335" s="247">
        <v>110.59399999999999</v>
      </c>
      <c r="DU335" s="247">
        <v>49.627000000000002</v>
      </c>
      <c r="DV335" s="247">
        <v>38.529000000000003</v>
      </c>
      <c r="DW335" s="199">
        <v>0.44873139591659589</v>
      </c>
      <c r="DX335" s="247">
        <v>30.632000000000001</v>
      </c>
      <c r="DY335" s="199">
        <v>0.13848852559813374</v>
      </c>
      <c r="DZ335" s="247">
        <v>38.664999999999999</v>
      </c>
      <c r="EA335" s="247">
        <v>37.585999999999999</v>
      </c>
      <c r="EB335" s="199">
        <v>2.7906375274796336E-2</v>
      </c>
      <c r="EC335" s="247">
        <v>34.064</v>
      </c>
      <c r="ED335" s="247">
        <v>22.5</v>
      </c>
      <c r="EE335" s="247">
        <v>19.552</v>
      </c>
      <c r="EF335" s="247">
        <v>42.052</v>
      </c>
      <c r="EG335" s="199">
        <v>0.58721992151472957</v>
      </c>
    </row>
    <row r="336" spans="1:137" hidden="1">
      <c r="A336" s="157">
        <v>44501</v>
      </c>
      <c r="B336" s="247">
        <v>5714.8549999999996</v>
      </c>
      <c r="C336" s="247">
        <v>190.49516666666665</v>
      </c>
      <c r="D336" s="247">
        <v>11.033166666666659</v>
      </c>
      <c r="E336" s="247">
        <v>6.1479124642914051E-2</v>
      </c>
      <c r="F336" s="247">
        <v>4175.2179999999998</v>
      </c>
      <c r="G336" s="247"/>
      <c r="H336" s="247"/>
      <c r="I336" s="247">
        <v>356.97500000000002</v>
      </c>
      <c r="J336" s="190">
        <v>43.835421896093607</v>
      </c>
      <c r="K336" s="190">
        <v>46.927783819536984</v>
      </c>
      <c r="L336" s="190">
        <v>9.7783819536985561E-2</v>
      </c>
      <c r="M336" s="247">
        <v>294.54000000000002</v>
      </c>
      <c r="N336" s="247">
        <v>42.374000000000002</v>
      </c>
      <c r="O336" s="247">
        <v>2248.2159999999999</v>
      </c>
      <c r="P336" s="247">
        <v>1959.133</v>
      </c>
      <c r="Q336" s="247">
        <v>958.40700000000004</v>
      </c>
      <c r="R336" s="247">
        <v>338.89400000000001</v>
      </c>
      <c r="S336" s="247">
        <v>661.83199999999999</v>
      </c>
      <c r="T336" s="247">
        <v>456.358</v>
      </c>
      <c r="U336" s="247">
        <v>583.29099999999994</v>
      </c>
      <c r="V336" s="199">
        <v>0.31835552887239382</v>
      </c>
      <c r="W336" s="190">
        <v>11.801958229911346</v>
      </c>
      <c r="X336" s="190">
        <v>4.1958229911346123E-2</v>
      </c>
      <c r="Y336" s="247">
        <v>58.729742049448333</v>
      </c>
      <c r="Z336" s="247">
        <v>1696.347</v>
      </c>
      <c r="AA336" s="247">
        <v>1658.356</v>
      </c>
      <c r="AB336" s="199">
        <v>2.2395771619839563E-2</v>
      </c>
      <c r="AC336" s="199"/>
      <c r="AD336" s="199"/>
      <c r="AE336" s="199"/>
      <c r="AF336" s="199"/>
      <c r="AH336" s="247"/>
      <c r="AI336" s="247">
        <v>669.08699999999999</v>
      </c>
      <c r="AJ336" s="247">
        <v>22.302900000000001</v>
      </c>
      <c r="AK336" s="247">
        <v>486.27600000000001</v>
      </c>
      <c r="AL336" s="247">
        <v>54.41</v>
      </c>
      <c r="AM336" s="190">
        <v>43.6065265055217</v>
      </c>
      <c r="AN336" s="190">
        <v>-0.22889539057190689</v>
      </c>
      <c r="AO336" s="247">
        <v>261.50700000000001</v>
      </c>
      <c r="AP336" s="247">
        <v>138.995</v>
      </c>
      <c r="AQ336" s="190">
        <v>11.725246492608584</v>
      </c>
      <c r="AR336" s="190">
        <v>-7.6711737302762373E-2</v>
      </c>
      <c r="AS336" s="190">
        <v>55.331772998130283</v>
      </c>
      <c r="AT336" s="247">
        <v>1194.7850000000001</v>
      </c>
      <c r="AU336" s="247">
        <v>39.826166666666673</v>
      </c>
      <c r="AV336" s="247">
        <v>875.721</v>
      </c>
      <c r="AW336" s="247">
        <v>49.695</v>
      </c>
      <c r="AX336" s="190">
        <v>43.977167440167051</v>
      </c>
      <c r="AY336" s="190">
        <v>0.14174554407344431</v>
      </c>
      <c r="AZ336" s="247">
        <v>470.68099999999998</v>
      </c>
      <c r="BA336" s="247">
        <v>141.85900000000001</v>
      </c>
      <c r="BB336" s="190">
        <v>11.818385734671926</v>
      </c>
      <c r="BC336" s="190">
        <v>1.6427504760580192E-2</v>
      </c>
      <c r="BD336" s="190">
        <v>55.795553174838979</v>
      </c>
      <c r="BE336" s="247">
        <v>1292.732</v>
      </c>
      <c r="BF336" s="247">
        <v>43.091066666666663</v>
      </c>
      <c r="BG336" s="247">
        <v>946.178</v>
      </c>
      <c r="BH336" s="247">
        <v>128.506</v>
      </c>
      <c r="BI336" s="190">
        <v>43.915274008843291</v>
      </c>
      <c r="BJ336" s="190">
        <v>7.9852112749684068E-2</v>
      </c>
      <c r="BK336" s="247">
        <v>505.24900000000002</v>
      </c>
      <c r="BL336" s="247">
        <v>258.80500000000001</v>
      </c>
      <c r="BM336" s="190">
        <v>11.725144886952595</v>
      </c>
      <c r="BN336" s="190">
        <v>-7.6813342958750752E-2</v>
      </c>
      <c r="BO336" s="190">
        <v>55.640418895795889</v>
      </c>
      <c r="BP336" s="247">
        <v>938.44100000000003</v>
      </c>
      <c r="BQ336" s="247">
        <v>31.281366666666667</v>
      </c>
      <c r="BR336" s="247">
        <v>689.28399999999999</v>
      </c>
      <c r="BS336" s="247">
        <v>46.292000000000002</v>
      </c>
      <c r="BT336" s="190">
        <v>44.069941530687593</v>
      </c>
      <c r="BU336" s="190">
        <v>0.23451963459398684</v>
      </c>
      <c r="BV336" s="247">
        <v>363.06799999999998</v>
      </c>
      <c r="BW336" s="247">
        <v>202.93899999999999</v>
      </c>
      <c r="BX336" s="190">
        <v>11.60652614282624</v>
      </c>
      <c r="BY336" s="190">
        <v>-0.19543208708510562</v>
      </c>
      <c r="BZ336" s="190">
        <v>55.676467673513834</v>
      </c>
      <c r="CA336" s="247">
        <v>673.07799999999997</v>
      </c>
      <c r="CB336" s="247">
        <v>22.435933333333331</v>
      </c>
      <c r="CC336" s="247">
        <v>486.32600000000002</v>
      </c>
      <c r="CD336" s="247">
        <v>26.891999999999999</v>
      </c>
      <c r="CE336" s="190">
        <v>43.352419778985499</v>
      </c>
      <c r="CF336" s="190">
        <v>-0.48300211710810714</v>
      </c>
      <c r="CG336" s="247">
        <v>261.49599999999998</v>
      </c>
      <c r="CH336" s="247">
        <v>69.152000000000001</v>
      </c>
      <c r="CI336" s="190">
        <v>11.655231637343666</v>
      </c>
      <c r="CJ336" s="190">
        <v>-0.1467265925676795</v>
      </c>
      <c r="CK336" s="190">
        <v>55.007651416329168</v>
      </c>
      <c r="CL336" s="247">
        <v>946.73199999999997</v>
      </c>
      <c r="CM336" s="247">
        <v>31.557733333333331</v>
      </c>
      <c r="CN336" s="247">
        <v>691.43299999999999</v>
      </c>
      <c r="CO336" s="247">
        <v>51.18</v>
      </c>
      <c r="CP336" s="190">
        <v>43.820194099280478</v>
      </c>
      <c r="CQ336" s="190">
        <v>-1.5227796813128691E-2</v>
      </c>
      <c r="CR336" s="247">
        <v>386.21499999999997</v>
      </c>
      <c r="CS336" s="247">
        <v>146.65700000000001</v>
      </c>
      <c r="CT336" s="190">
        <v>12.238363127051795</v>
      </c>
      <c r="CU336" s="190">
        <v>0.43640489714044861</v>
      </c>
      <c r="CV336" s="190">
        <v>56.058557226332269</v>
      </c>
      <c r="CW336" s="163"/>
      <c r="CX336" s="212">
        <v>0</v>
      </c>
      <c r="CY336" s="212">
        <v>0</v>
      </c>
      <c r="CZ336" s="212">
        <v>6.3948846218409017E-14</v>
      </c>
      <c r="DA336" s="212">
        <v>0</v>
      </c>
      <c r="DB336" s="212">
        <v>0</v>
      </c>
      <c r="DC336" s="212">
        <v>0</v>
      </c>
      <c r="DD336" s="163"/>
      <c r="DE336" s="247">
        <v>195.73500000000001</v>
      </c>
      <c r="DF336" s="247">
        <v>113.32899999999999</v>
      </c>
      <c r="DG336" s="247">
        <v>40.674999999999997</v>
      </c>
      <c r="DH336" s="199">
        <v>0.5789920044958744</v>
      </c>
      <c r="DI336" s="247">
        <v>155.13499999999999</v>
      </c>
      <c r="DJ336" s="199">
        <v>0.39628834904334936</v>
      </c>
      <c r="DK336" s="247">
        <v>151.631</v>
      </c>
      <c r="DL336" s="247">
        <v>147.03800000000001</v>
      </c>
      <c r="DM336" s="199">
        <v>3.0290639776826556E-2</v>
      </c>
      <c r="DN336" s="247">
        <v>146.739</v>
      </c>
      <c r="DO336" s="247">
        <v>43.734000000000002</v>
      </c>
      <c r="DP336" s="247">
        <v>90.81</v>
      </c>
      <c r="DQ336" s="247">
        <v>134.54400000000001</v>
      </c>
      <c r="DR336" s="247">
        <v>0.97528035353922382</v>
      </c>
      <c r="DS336" s="247"/>
      <c r="DT336" s="247">
        <v>127.90300000000001</v>
      </c>
      <c r="DU336" s="247">
        <v>57.012</v>
      </c>
      <c r="DV336" s="247">
        <v>43.222000000000001</v>
      </c>
      <c r="DW336" s="199">
        <v>0.44574404040561988</v>
      </c>
      <c r="DX336" s="247">
        <v>31.91</v>
      </c>
      <c r="DY336" s="199">
        <v>0.12474296928140856</v>
      </c>
      <c r="DZ336" s="247">
        <v>38.634999999999998</v>
      </c>
      <c r="EA336" s="247">
        <v>37.235999999999997</v>
      </c>
      <c r="EB336" s="199">
        <v>3.6210689789051398E-2</v>
      </c>
      <c r="EC336" s="247">
        <v>39.545999999999999</v>
      </c>
      <c r="ED336" s="247">
        <v>22.5</v>
      </c>
      <c r="EE336" s="247">
        <v>19.006</v>
      </c>
      <c r="EF336" s="247">
        <v>41.506</v>
      </c>
      <c r="EG336" s="199">
        <v>0.57048700968702848</v>
      </c>
    </row>
    <row r="337" spans="1:137" hidden="1">
      <c r="A337" s="157">
        <v>44531</v>
      </c>
      <c r="B337" s="247">
        <v>5947.2219999999998</v>
      </c>
      <c r="C337" s="247">
        <v>198.24073333333334</v>
      </c>
      <c r="D337" s="247">
        <v>11.80273333333335</v>
      </c>
      <c r="E337" s="247">
        <v>6.3306479008213623E-2</v>
      </c>
      <c r="F337" s="247">
        <v>4322.2449999999999</v>
      </c>
      <c r="G337" s="247"/>
      <c r="H337" s="247"/>
      <c r="I337" s="247">
        <v>372.83199999999999</v>
      </c>
      <c r="J337" s="190">
        <v>43.606023114657567</v>
      </c>
      <c r="K337" s="190">
        <v>46.706364753157018</v>
      </c>
      <c r="L337" s="190">
        <v>-3.363524684298369E-2</v>
      </c>
      <c r="M337" s="247">
        <v>307.30700000000002</v>
      </c>
      <c r="N337" s="247">
        <v>38.476999999999997</v>
      </c>
      <c r="O337" s="247">
        <v>2324.183</v>
      </c>
      <c r="P337" s="247">
        <v>2035.694</v>
      </c>
      <c r="Q337" s="247">
        <v>954.64099999999996</v>
      </c>
      <c r="R337" s="247">
        <v>341.87200000000001</v>
      </c>
      <c r="S337" s="247">
        <v>739.18100000000004</v>
      </c>
      <c r="T337" s="247">
        <v>430.197</v>
      </c>
      <c r="U337" s="247">
        <v>434.47800000000007</v>
      </c>
      <c r="V337" s="199">
        <v>0.21387969851527</v>
      </c>
      <c r="W337" s="190">
        <v>11.724043595480376</v>
      </c>
      <c r="X337" s="190">
        <v>-2.5956404519623888E-2</v>
      </c>
      <c r="Y337" s="247">
        <v>58.430408348637393</v>
      </c>
      <c r="Z337" s="247">
        <v>1673.5730000000001</v>
      </c>
      <c r="AA337" s="247">
        <v>1640.1089999999999</v>
      </c>
      <c r="AB337" s="199">
        <v>1.9995542471108321E-2</v>
      </c>
      <c r="AC337" s="199"/>
      <c r="AD337" s="199"/>
      <c r="AE337" s="199"/>
      <c r="AF337" s="199"/>
      <c r="AH337" s="247"/>
      <c r="AI337" s="247">
        <v>690.99</v>
      </c>
      <c r="AJ337" s="247">
        <v>23.033000000000001</v>
      </c>
      <c r="AK337" s="247">
        <v>489.73399999999998</v>
      </c>
      <c r="AL337" s="247">
        <v>67.918999999999997</v>
      </c>
      <c r="AM337" s="190">
        <v>42.524551730126333</v>
      </c>
      <c r="AN337" s="190">
        <v>-1.081471384531234</v>
      </c>
      <c r="AO337" s="247">
        <v>266.24700000000001</v>
      </c>
      <c r="AP337" s="247">
        <v>111.914</v>
      </c>
      <c r="AQ337" s="190">
        <v>11.559371336777668</v>
      </c>
      <c r="AR337" s="190">
        <v>-0.16467225870270852</v>
      </c>
      <c r="AS337" s="190">
        <v>54.083923066903999</v>
      </c>
      <c r="AT337" s="247">
        <v>1224.279</v>
      </c>
      <c r="AU337" s="247">
        <v>40.8093</v>
      </c>
      <c r="AV337" s="247">
        <v>896.06799999999998</v>
      </c>
      <c r="AW337" s="247">
        <v>50.962000000000003</v>
      </c>
      <c r="AX337" s="190">
        <v>43.914891948648958</v>
      </c>
      <c r="AY337" s="190">
        <v>0.30886883399139009</v>
      </c>
      <c r="AZ337" s="247">
        <v>479.96499999999997</v>
      </c>
      <c r="BA337" s="247">
        <v>152.785</v>
      </c>
      <c r="BB337" s="190">
        <v>11.761167184930885</v>
      </c>
      <c r="BC337" s="190">
        <v>3.7123589450509087E-2</v>
      </c>
      <c r="BD337" s="190">
        <v>55.676059133579841</v>
      </c>
      <c r="BE337" s="247">
        <v>1340.4090000000001</v>
      </c>
      <c r="BF337" s="247">
        <v>44.680300000000003</v>
      </c>
      <c r="BG337" s="247">
        <v>973.83100000000002</v>
      </c>
      <c r="BH337" s="247">
        <v>105.01</v>
      </c>
      <c r="BI337" s="190">
        <v>43.591068099363703</v>
      </c>
      <c r="BJ337" s="190">
        <v>-1.4955015293864449E-2</v>
      </c>
      <c r="BK337" s="247">
        <v>513.178</v>
      </c>
      <c r="BL337" s="247">
        <v>276.80700000000002</v>
      </c>
      <c r="BM337" s="190">
        <v>11.485554036118826</v>
      </c>
      <c r="BN337" s="190">
        <v>-0.23848955936155036</v>
      </c>
      <c r="BO337" s="190">
        <v>55.07662213548253</v>
      </c>
      <c r="BP337" s="247">
        <v>988.79</v>
      </c>
      <c r="BQ337" s="247">
        <v>32.959666666666664</v>
      </c>
      <c r="BR337" s="247">
        <v>722.43299999999999</v>
      </c>
      <c r="BS337" s="247">
        <v>58.676000000000002</v>
      </c>
      <c r="BT337" s="190">
        <v>43.837397222868361</v>
      </c>
      <c r="BU337" s="190">
        <v>0.23137410821079385</v>
      </c>
      <c r="BV337" s="247">
        <v>388.26600000000002</v>
      </c>
      <c r="BW337" s="247">
        <v>214.73699999999999</v>
      </c>
      <c r="BX337" s="190">
        <v>11.780034183193601</v>
      </c>
      <c r="BY337" s="190">
        <v>5.5990587713225182E-2</v>
      </c>
      <c r="BZ337" s="190">
        <v>55.617431406061961</v>
      </c>
      <c r="CA337" s="247">
        <v>686.56799999999998</v>
      </c>
      <c r="CB337" s="247">
        <v>22.8856</v>
      </c>
      <c r="CC337" s="247">
        <v>495.221</v>
      </c>
      <c r="CD337" s="247">
        <v>31.308</v>
      </c>
      <c r="CE337" s="190">
        <v>43.277956444226938</v>
      </c>
      <c r="CF337" s="190">
        <v>-0.32806667043062987</v>
      </c>
      <c r="CG337" s="247">
        <v>266.05</v>
      </c>
      <c r="CH337" s="247">
        <v>62.9</v>
      </c>
      <c r="CI337" s="190">
        <v>11.625214108434999</v>
      </c>
      <c r="CJ337" s="190">
        <v>-9.8829487045376752E-2</v>
      </c>
      <c r="CK337" s="190">
        <v>54.903170552661933</v>
      </c>
      <c r="CL337" s="247">
        <v>1016.186</v>
      </c>
      <c r="CM337" s="247">
        <v>33.872866666666667</v>
      </c>
      <c r="CN337" s="247">
        <v>744.95799999999997</v>
      </c>
      <c r="CO337" s="247">
        <v>58.957000000000001</v>
      </c>
      <c r="CP337" s="190">
        <v>43.985530208052459</v>
      </c>
      <c r="CQ337" s="190">
        <v>0.37950709339489208</v>
      </c>
      <c r="CR337" s="247">
        <v>410.47699999999998</v>
      </c>
      <c r="CS337" s="247">
        <v>135.49799999999999</v>
      </c>
      <c r="CT337" s="190">
        <v>12.118165375236423</v>
      </c>
      <c r="CU337" s="190">
        <v>0.39412177975604656</v>
      </c>
      <c r="CV337" s="190">
        <v>56.103695583288882</v>
      </c>
      <c r="CW337" s="163"/>
      <c r="CX337" s="212">
        <v>0</v>
      </c>
      <c r="CY337" s="212">
        <v>0</v>
      </c>
      <c r="CZ337" s="212">
        <v>0</v>
      </c>
      <c r="DA337" s="212">
        <v>0</v>
      </c>
      <c r="DB337" s="212">
        <v>0</v>
      </c>
      <c r="DC337" s="212">
        <v>0</v>
      </c>
      <c r="DD337" s="163"/>
      <c r="DE337" s="247">
        <v>176.93100000000001</v>
      </c>
      <c r="DF337" s="247">
        <v>102.961</v>
      </c>
      <c r="DG337" s="247">
        <v>40.095692291576526</v>
      </c>
      <c r="DH337" s="199">
        <v>0.58192741803301851</v>
      </c>
      <c r="DI337" s="247">
        <v>140.696</v>
      </c>
      <c r="DJ337" s="199">
        <v>0.39760132481023674</v>
      </c>
      <c r="DK337" s="247">
        <v>152.553</v>
      </c>
      <c r="DL337" s="247">
        <v>148.16300000000001</v>
      </c>
      <c r="DM337" s="199">
        <v>2.8776884099296574E-2</v>
      </c>
      <c r="DN337" s="247">
        <v>143.85599999999999</v>
      </c>
      <c r="DO337" s="247">
        <v>39.951000000000001</v>
      </c>
      <c r="DP337" s="247">
        <v>99.22</v>
      </c>
      <c r="DQ337" s="247">
        <v>139.17099999999999</v>
      </c>
      <c r="DR337" s="247">
        <v>0.97952874284325531</v>
      </c>
      <c r="DS337" s="247"/>
      <c r="DT337" s="247">
        <v>147.66399999999999</v>
      </c>
      <c r="DU337" s="247">
        <v>62.493000000000002</v>
      </c>
      <c r="DV337" s="247">
        <v>33.667000000000002</v>
      </c>
      <c r="DW337" s="199">
        <v>0.42321080290388996</v>
      </c>
      <c r="DX337" s="247">
        <v>41.365000000000002</v>
      </c>
      <c r="DY337" s="199">
        <v>0.14006460613284213</v>
      </c>
      <c r="DZ337" s="247">
        <v>54.527999999999999</v>
      </c>
      <c r="EA337" s="247">
        <v>53.078000000000003</v>
      </c>
      <c r="EB337" s="199">
        <v>2.6591842723004633E-2</v>
      </c>
      <c r="EC337" s="247">
        <v>46.222000000000001</v>
      </c>
      <c r="ED337" s="247">
        <v>17.5</v>
      </c>
      <c r="EE337" s="247">
        <v>23.274999999999999</v>
      </c>
      <c r="EF337" s="247">
        <v>40.774999999999999</v>
      </c>
      <c r="EG337" s="199">
        <v>0.56327540903673212</v>
      </c>
    </row>
    <row r="338" spans="1:137" hidden="1">
      <c r="A338" s="157">
        <v>44562</v>
      </c>
      <c r="B338" s="247">
        <v>5828.9740000000002</v>
      </c>
      <c r="C338" s="247">
        <v>194.29913333333334</v>
      </c>
      <c r="D338" s="247">
        <v>12.083133333333336</v>
      </c>
      <c r="E338" s="247">
        <v>6.6312142365836824E-2</v>
      </c>
      <c r="F338" s="247">
        <v>4231.0169999999998</v>
      </c>
      <c r="G338" s="247"/>
      <c r="H338" s="247"/>
      <c r="I338" s="247">
        <v>396.46199999999999</v>
      </c>
      <c r="J338" s="190">
        <v>43.551578716940575</v>
      </c>
      <c r="K338" s="190">
        <v>46.661587442318321</v>
      </c>
      <c r="L338" s="190">
        <v>-0.21841255768168111</v>
      </c>
      <c r="M338" s="247">
        <v>302.13600000000002</v>
      </c>
      <c r="N338" s="247">
        <v>34.292000000000002</v>
      </c>
      <c r="O338" s="247">
        <v>2277.355</v>
      </c>
      <c r="P338" s="247">
        <v>2113.7240000000002</v>
      </c>
      <c r="Q338" s="247">
        <v>957.23599999999999</v>
      </c>
      <c r="R338" s="247">
        <v>372.83100000000002</v>
      </c>
      <c r="S338" s="247">
        <v>783.65700000000004</v>
      </c>
      <c r="T338" s="247">
        <v>386.2</v>
      </c>
      <c r="U338" s="247">
        <v>473.86699999999996</v>
      </c>
      <c r="V338" s="199">
        <v>0.23388631218174027</v>
      </c>
      <c r="W338" s="190">
        <v>11.72087060261377</v>
      </c>
      <c r="X338" s="190">
        <v>-8.912939738623038E-2</v>
      </c>
      <c r="Y338" s="247">
        <v>58.382458044932093</v>
      </c>
      <c r="Z338" s="247">
        <v>1628.0440000000001</v>
      </c>
      <c r="AA338" s="247">
        <v>1590.136</v>
      </c>
      <c r="AB338" s="199">
        <v>2.3284382977364328E-2</v>
      </c>
      <c r="AC338" s="199"/>
      <c r="AD338" s="199"/>
      <c r="AE338" s="199"/>
      <c r="AF338" s="199"/>
      <c r="AH338" s="247"/>
      <c r="AI338" s="247">
        <v>679.95899999999995</v>
      </c>
      <c r="AJ338" s="247">
        <v>22.665299999999998</v>
      </c>
      <c r="AK338" s="247">
        <v>489.334</v>
      </c>
      <c r="AL338" s="247">
        <v>59.750999999999998</v>
      </c>
      <c r="AM338" s="190">
        <v>43.179132859481236</v>
      </c>
      <c r="AN338" s="190">
        <v>-0.37244585745933989</v>
      </c>
      <c r="AO338" s="247">
        <v>268.62099999999998</v>
      </c>
      <c r="AP338" s="247">
        <v>116.762</v>
      </c>
      <c r="AQ338" s="190">
        <v>11.851641054828306</v>
      </c>
      <c r="AR338" s="190">
        <v>0.13077045221453609</v>
      </c>
      <c r="AS338" s="190">
        <v>55.030773914309542</v>
      </c>
      <c r="AT338" s="247">
        <v>1151.328</v>
      </c>
      <c r="AU338" s="247">
        <v>38.377600000000001</v>
      </c>
      <c r="AV338" s="247">
        <v>846.01400000000001</v>
      </c>
      <c r="AW338" s="247">
        <v>43.975999999999999</v>
      </c>
      <c r="AX338" s="190">
        <v>44.088947719503039</v>
      </c>
      <c r="AY338" s="190">
        <v>0.537369002562464</v>
      </c>
      <c r="AZ338" s="247">
        <v>452.387</v>
      </c>
      <c r="BA338" s="247">
        <v>186.959</v>
      </c>
      <c r="BB338" s="190">
        <v>11.787787667806221</v>
      </c>
      <c r="BC338" s="190">
        <v>6.6917065192450664E-2</v>
      </c>
      <c r="BD338" s="190">
        <v>55.87673538730926</v>
      </c>
      <c r="BE338" s="247">
        <v>1353.3710000000001</v>
      </c>
      <c r="BF338" s="247">
        <v>45.112366666666667</v>
      </c>
      <c r="BG338" s="247">
        <v>978.03599999999994</v>
      </c>
      <c r="BH338" s="247">
        <v>126.846</v>
      </c>
      <c r="BI338" s="190">
        <v>43.359995152844263</v>
      </c>
      <c r="BJ338" s="190">
        <v>-0.19158356409631239</v>
      </c>
      <c r="BK338" s="247">
        <v>520.10500000000002</v>
      </c>
      <c r="BL338" s="247">
        <v>238.84399999999999</v>
      </c>
      <c r="BM338" s="190">
        <v>11.529100298439969</v>
      </c>
      <c r="BN338" s="190">
        <v>-0.19177030417380081</v>
      </c>
      <c r="BO338" s="190">
        <v>54.889095451284234</v>
      </c>
      <c r="BP338" s="247">
        <v>935.755</v>
      </c>
      <c r="BQ338" s="247">
        <v>31.191833333333332</v>
      </c>
      <c r="BR338" s="247">
        <v>674.47299999999996</v>
      </c>
      <c r="BS338" s="247">
        <v>60.048999999999999</v>
      </c>
      <c r="BT338" s="190">
        <v>43.246768652051017</v>
      </c>
      <c r="BU338" s="190">
        <v>-0.30481006488955842</v>
      </c>
      <c r="BV338" s="247">
        <v>366.00700000000001</v>
      </c>
      <c r="BW338" s="247">
        <v>224.04499999999999</v>
      </c>
      <c r="BX338" s="190">
        <v>11.734065006331786</v>
      </c>
      <c r="BY338" s="190">
        <v>1.3194403718015835E-2</v>
      </c>
      <c r="BZ338" s="190">
        <v>54.980833658382807</v>
      </c>
      <c r="CA338" s="247">
        <v>711.50699999999995</v>
      </c>
      <c r="CB338" s="247">
        <v>23.716899999999999</v>
      </c>
      <c r="CC338" s="247">
        <v>509.58699999999999</v>
      </c>
      <c r="CD338" s="247">
        <v>62.377000000000002</v>
      </c>
      <c r="CE338" s="190">
        <v>42.972479539906146</v>
      </c>
      <c r="CF338" s="190">
        <v>-0.57909917703442915</v>
      </c>
      <c r="CG338" s="247">
        <v>273.53300000000002</v>
      </c>
      <c r="CH338" s="247">
        <v>61.372</v>
      </c>
      <c r="CI338" s="190">
        <v>11.533252659495972</v>
      </c>
      <c r="CJ338" s="190">
        <v>-0.18761794311779845</v>
      </c>
      <c r="CK338" s="190">
        <v>54.505732199402118</v>
      </c>
      <c r="CL338" s="247">
        <v>997.05399999999997</v>
      </c>
      <c r="CM338" s="247">
        <v>33.23513333333333</v>
      </c>
      <c r="CN338" s="247">
        <v>733.57299999999998</v>
      </c>
      <c r="CO338" s="247">
        <v>43.463000000000001</v>
      </c>
      <c r="CP338" s="190">
        <v>44.14442948927541</v>
      </c>
      <c r="CQ338" s="190">
        <v>0.59285077233483463</v>
      </c>
      <c r="CR338" s="247">
        <v>396.702</v>
      </c>
      <c r="CS338" s="247">
        <v>129.25399999999999</v>
      </c>
      <c r="CT338" s="190">
        <v>11.936224116246462</v>
      </c>
      <c r="CU338" s="190">
        <v>0.21535351363269228</v>
      </c>
      <c r="CV338" s="190">
        <v>56.080653605521874</v>
      </c>
      <c r="CW338" s="163"/>
      <c r="CX338" s="212">
        <v>0</v>
      </c>
      <c r="CY338" s="212">
        <v>0</v>
      </c>
      <c r="CZ338" s="212">
        <v>0</v>
      </c>
      <c r="DA338" s="212">
        <v>0</v>
      </c>
      <c r="DB338" s="212">
        <v>0</v>
      </c>
      <c r="DC338" s="212">
        <v>0</v>
      </c>
      <c r="DD338" s="163"/>
      <c r="DE338" s="247">
        <v>136.63200000000001</v>
      </c>
      <c r="DF338" s="247">
        <v>84.79</v>
      </c>
      <c r="DG338" s="247">
        <v>35.33</v>
      </c>
      <c r="DH338" s="199">
        <v>0.62057204754376727</v>
      </c>
      <c r="DI338" s="247">
        <v>113.003</v>
      </c>
      <c r="DJ338" s="199">
        <v>0.41353050529890506</v>
      </c>
      <c r="DK338" s="247">
        <v>126.895</v>
      </c>
      <c r="DL338" s="247">
        <v>123.268</v>
      </c>
      <c r="DM338" s="199">
        <v>2.8582686473068275E-2</v>
      </c>
      <c r="DN338" s="247">
        <v>131.62700000000001</v>
      </c>
      <c r="DO338" s="247">
        <v>35.247999999999998</v>
      </c>
      <c r="DP338" s="247">
        <v>90.021000000000001</v>
      </c>
      <c r="DQ338" s="247">
        <v>125.26900000000001</v>
      </c>
      <c r="DR338" s="247">
        <v>1.0341025528426724</v>
      </c>
      <c r="DS338" s="247"/>
      <c r="DT338" s="247">
        <v>137.32400000000001</v>
      </c>
      <c r="DU338" s="247">
        <v>60.587000000000003</v>
      </c>
      <c r="DV338" s="247">
        <v>23.122</v>
      </c>
      <c r="DW338" s="199">
        <v>0.44119746002155485</v>
      </c>
      <c r="DX338" s="247">
        <v>36.453000000000003</v>
      </c>
      <c r="DY338" s="199">
        <v>0.13272625324051149</v>
      </c>
      <c r="DZ338" s="247">
        <v>40.408000000000001</v>
      </c>
      <c r="EA338" s="247">
        <v>39.381999999999998</v>
      </c>
      <c r="EB338" s="199">
        <v>2.5391011680855335E-2</v>
      </c>
      <c r="EC338" s="247">
        <v>44.859000000000002</v>
      </c>
      <c r="ED338" s="247">
        <v>22.5</v>
      </c>
      <c r="EE338" s="247">
        <v>22.856999999999999</v>
      </c>
      <c r="EF338" s="247">
        <v>45.356999999999999</v>
      </c>
      <c r="EG338" s="199">
        <v>0.57392371326206637</v>
      </c>
    </row>
    <row r="339" spans="1:137" hidden="1">
      <c r="A339" s="157">
        <v>44593</v>
      </c>
      <c r="B339" s="247">
        <v>5232.4530000000004</v>
      </c>
      <c r="C339" s="247">
        <v>174.41510000000002</v>
      </c>
      <c r="D339" s="247">
        <v>9.3581000000000358</v>
      </c>
      <c r="E339" s="247">
        <v>5.6696171625559844E-2</v>
      </c>
      <c r="F339" s="247">
        <v>3817.7840000000001</v>
      </c>
      <c r="G339" s="247"/>
      <c r="H339" s="247"/>
      <c r="I339" s="247">
        <v>347.16</v>
      </c>
      <c r="J339" s="190">
        <v>43.778136182016347</v>
      </c>
      <c r="K339" s="190">
        <v>46.899093025775855</v>
      </c>
      <c r="L339" s="190">
        <v>-9.0906974224147064E-2</v>
      </c>
      <c r="M339" s="247">
        <v>272.17099999999999</v>
      </c>
      <c r="N339" s="247">
        <v>38.716000000000001</v>
      </c>
      <c r="O339" s="247">
        <v>2064.1990000000001</v>
      </c>
      <c r="P339" s="247">
        <v>2172.3110000000001</v>
      </c>
      <c r="Q339" s="247">
        <v>1019.221</v>
      </c>
      <c r="R339" s="247">
        <v>397.32299999999998</v>
      </c>
      <c r="S339" s="247">
        <v>755.76700000000005</v>
      </c>
      <c r="T339" s="247">
        <v>393.79599999999999</v>
      </c>
      <c r="U339" s="247">
        <v>506.77399999999989</v>
      </c>
      <c r="V339" s="199">
        <v>0.24608647557243035</v>
      </c>
      <c r="W339" s="190">
        <v>11.834978737506098</v>
      </c>
      <c r="X339" s="190">
        <v>-9.5021262493901304E-2</v>
      </c>
      <c r="Y339" s="247">
        <v>58.734071763281953</v>
      </c>
      <c r="Z339" s="247">
        <v>1575.67</v>
      </c>
      <c r="AA339" s="247">
        <v>1545.96</v>
      </c>
      <c r="AB339" s="199">
        <v>1.8855471005984777E-2</v>
      </c>
      <c r="AC339" s="199"/>
      <c r="AD339" s="199"/>
      <c r="AE339" s="199"/>
      <c r="AF339" s="199"/>
      <c r="AH339" s="247"/>
      <c r="AI339" s="247">
        <v>595.94799999999998</v>
      </c>
      <c r="AJ339" s="247">
        <v>19.864933333333333</v>
      </c>
      <c r="AK339" s="247">
        <v>424.03100000000001</v>
      </c>
      <c r="AL339" s="247">
        <v>40.707000000000001</v>
      </c>
      <c r="AM339" s="190">
        <v>42.691409317591472</v>
      </c>
      <c r="AN339" s="190">
        <v>-1.0867268644248753</v>
      </c>
      <c r="AO339" s="247">
        <v>238.97200000000001</v>
      </c>
      <c r="AP339" s="247">
        <v>126.32</v>
      </c>
      <c r="AQ339" s="190">
        <v>12.029841529797903</v>
      </c>
      <c r="AR339" s="190">
        <v>0.19486279229180425</v>
      </c>
      <c r="AS339" s="190">
        <v>54.721250847389371</v>
      </c>
      <c r="AT339" s="247">
        <v>1056.55</v>
      </c>
      <c r="AU339" s="247">
        <v>35.218333333333334</v>
      </c>
      <c r="AV339" s="247">
        <v>783.30100000000004</v>
      </c>
      <c r="AW339" s="247">
        <v>49.401000000000003</v>
      </c>
      <c r="AX339" s="190">
        <v>44.48257063082675</v>
      </c>
      <c r="AY339" s="190">
        <v>0.70443444881040307</v>
      </c>
      <c r="AZ339" s="247">
        <v>421.06099999999998</v>
      </c>
      <c r="BA339" s="247">
        <v>205.63200000000001</v>
      </c>
      <c r="BB339" s="190">
        <v>11.955733282854574</v>
      </c>
      <c r="BC339" s="190">
        <v>0.12075454534847552</v>
      </c>
      <c r="BD339" s="190">
        <v>56.438303913681324</v>
      </c>
      <c r="BE339" s="247">
        <v>1175.0709999999999</v>
      </c>
      <c r="BF339" s="247">
        <v>39.169033333333331</v>
      </c>
      <c r="BG339" s="247">
        <v>851.90700000000004</v>
      </c>
      <c r="BH339" s="247">
        <v>119.05</v>
      </c>
      <c r="BI339" s="190">
        <v>43.499005592002533</v>
      </c>
      <c r="BJ339" s="190">
        <v>-0.27913059001381413</v>
      </c>
      <c r="BK339" s="247">
        <v>449.51400000000001</v>
      </c>
      <c r="BL339" s="247">
        <v>237.21</v>
      </c>
      <c r="BM339" s="190">
        <v>11.476259732390639</v>
      </c>
      <c r="BN339" s="190">
        <v>-0.35871900511545896</v>
      </c>
      <c r="BO339" s="190">
        <v>54.97526532439317</v>
      </c>
      <c r="BP339" s="247">
        <v>886.47400000000005</v>
      </c>
      <c r="BQ339" s="247">
        <v>29.549133333333334</v>
      </c>
      <c r="BR339" s="247">
        <v>650.07000000000005</v>
      </c>
      <c r="BS339" s="247">
        <v>49.290999999999997</v>
      </c>
      <c r="BT339" s="190">
        <v>43.999259989576686</v>
      </c>
      <c r="BU339" s="190">
        <v>0.221123807560339</v>
      </c>
      <c r="BV339" s="247">
        <v>350.53199999999998</v>
      </c>
      <c r="BW339" s="247">
        <v>256.30799999999999</v>
      </c>
      <c r="BX339" s="190">
        <v>11.862682943887807</v>
      </c>
      <c r="BY339" s="190">
        <v>2.7704206381708119E-2</v>
      </c>
      <c r="BZ339" s="190">
        <v>55.861942933464491</v>
      </c>
      <c r="CA339" s="247">
        <v>637.43100000000004</v>
      </c>
      <c r="CB339" s="247">
        <v>21.247700000000002</v>
      </c>
      <c r="CC339" s="247">
        <v>460.44400000000002</v>
      </c>
      <c r="CD339" s="247">
        <v>52.807000000000002</v>
      </c>
      <c r="CE339" s="190">
        <v>43.340596864601814</v>
      </c>
      <c r="CF339" s="190">
        <v>-0.437539317414533</v>
      </c>
      <c r="CG339" s="247">
        <v>248.26300000000001</v>
      </c>
      <c r="CH339" s="247">
        <v>58.886000000000003</v>
      </c>
      <c r="CI339" s="190">
        <v>11.684229351882792</v>
      </c>
      <c r="CJ339" s="190">
        <v>-0.15074938562330686</v>
      </c>
      <c r="CK339" s="190">
        <v>55.024826216484605</v>
      </c>
      <c r="CL339" s="247">
        <v>880.97900000000004</v>
      </c>
      <c r="CM339" s="247">
        <v>29.365966666666669</v>
      </c>
      <c r="CN339" s="247">
        <v>648.03099999999995</v>
      </c>
      <c r="CO339" s="247">
        <v>35.904000000000003</v>
      </c>
      <c r="CP339" s="190">
        <v>44.134831817784523</v>
      </c>
      <c r="CQ339" s="190">
        <v>0.35669563576817609</v>
      </c>
      <c r="CR339" s="247">
        <v>355.85700000000003</v>
      </c>
      <c r="CS339" s="247">
        <v>134.86500000000001</v>
      </c>
      <c r="CT339" s="190">
        <v>12.11800735318322</v>
      </c>
      <c r="CU339" s="190">
        <v>0.28302861567712156</v>
      </c>
      <c r="CV339" s="190">
        <v>56.252839170967746</v>
      </c>
      <c r="CW339" s="163"/>
      <c r="CX339" s="212">
        <v>0</v>
      </c>
      <c r="CY339" s="212">
        <v>0</v>
      </c>
      <c r="CZ339" s="212">
        <v>0</v>
      </c>
      <c r="DA339" s="212">
        <v>0</v>
      </c>
      <c r="DB339" s="212">
        <v>0</v>
      </c>
      <c r="DC339" s="212">
        <v>0</v>
      </c>
      <c r="DD339" s="163"/>
      <c r="DE339" s="247">
        <v>130.398</v>
      </c>
      <c r="DF339" s="247">
        <v>75.575000000000003</v>
      </c>
      <c r="DG339" s="247">
        <v>37.972000000000001</v>
      </c>
      <c r="DH339" s="199">
        <v>0.57957177257319903</v>
      </c>
      <c r="DI339" s="247">
        <v>101.075</v>
      </c>
      <c r="DJ339" s="199">
        <v>0.38756345956226324</v>
      </c>
      <c r="DK339" s="247">
        <v>100.227</v>
      </c>
      <c r="DL339" s="247">
        <v>97.093999999999994</v>
      </c>
      <c r="DM339" s="199">
        <v>3.1259041974717516E-2</v>
      </c>
      <c r="DN339" s="247">
        <v>104.849</v>
      </c>
      <c r="DO339" s="247">
        <v>47.545999999999999</v>
      </c>
      <c r="DP339" s="247">
        <v>89.372</v>
      </c>
      <c r="DQ339" s="247">
        <v>136.91800000000001</v>
      </c>
      <c r="DR339" s="247">
        <v>0.96713523213546226</v>
      </c>
      <c r="DS339" s="247"/>
      <c r="DT339" s="247">
        <v>143.834</v>
      </c>
      <c r="DU339" s="247">
        <v>62.356999999999999</v>
      </c>
      <c r="DV339" s="247">
        <v>17.442</v>
      </c>
      <c r="DW339" s="199">
        <v>0.43353449114951959</v>
      </c>
      <c r="DX339" s="247">
        <v>40.353000000000002</v>
      </c>
      <c r="DY339" s="199">
        <v>0.14027629072402908</v>
      </c>
      <c r="DZ339" s="247">
        <v>45.186</v>
      </c>
      <c r="EA339" s="247">
        <v>44.334000000000003</v>
      </c>
      <c r="EB339" s="199">
        <v>1.8855397689549802E-2</v>
      </c>
      <c r="EC339" s="247">
        <v>41.070999999999998</v>
      </c>
      <c r="ED339" s="247">
        <v>22.5</v>
      </c>
      <c r="EE339" s="247">
        <v>25.311</v>
      </c>
      <c r="EF339" s="247">
        <v>47.811</v>
      </c>
      <c r="EG339" s="199">
        <v>0.57381078187354873</v>
      </c>
    </row>
    <row r="340" spans="1:137" hidden="1">
      <c r="A340" s="157">
        <v>44621</v>
      </c>
      <c r="B340" s="247">
        <v>5786.1589999999997</v>
      </c>
      <c r="C340" s="247">
        <v>192.87196666666665</v>
      </c>
      <c r="D340" s="247">
        <v>11.112966666666665</v>
      </c>
      <c r="E340" s="247">
        <v>6.1141218133168973E-2</v>
      </c>
      <c r="F340" s="247">
        <v>4249.0540000000001</v>
      </c>
      <c r="G340" s="247">
        <v>4190.8760000000002</v>
      </c>
      <c r="H340" s="247">
        <v>58.177999999999997</v>
      </c>
      <c r="I340" s="247">
        <v>347.19099999999997</v>
      </c>
      <c r="J340" s="190">
        <v>44.060876999750619</v>
      </c>
      <c r="K340" s="190">
        <v>47.177732239988572</v>
      </c>
      <c r="L340" s="190">
        <v>-6.2267760011430084E-2</v>
      </c>
      <c r="M340" s="247">
        <v>300.577</v>
      </c>
      <c r="N340" s="247">
        <v>33.777000000000001</v>
      </c>
      <c r="O340" s="247">
        <v>2277.5410000000002</v>
      </c>
      <c r="P340" s="247">
        <v>2084.2530000000002</v>
      </c>
      <c r="Q340" s="247">
        <v>986.20299999999997</v>
      </c>
      <c r="R340" s="247">
        <v>390.61599999999999</v>
      </c>
      <c r="S340" s="247">
        <v>707.43399999999997</v>
      </c>
      <c r="T340" s="247">
        <v>349.46499999999997</v>
      </c>
      <c r="U340" s="247">
        <v>526.09500000000025</v>
      </c>
      <c r="V340" s="199">
        <v>0.27578562430836717</v>
      </c>
      <c r="W340" s="190">
        <v>11.808564196040933</v>
      </c>
      <c r="X340" s="190">
        <v>-2.1435803959066746E-2</v>
      </c>
      <c r="Y340" s="247">
        <v>58.986296436029505</v>
      </c>
      <c r="Z340" s="247">
        <v>1831.1089999999999</v>
      </c>
      <c r="AA340" s="247">
        <v>1787.9390000000001</v>
      </c>
      <c r="AB340" s="199">
        <v>2.3575876695488825E-2</v>
      </c>
      <c r="AC340" s="195">
        <v>161.28200000000001</v>
      </c>
      <c r="AD340" s="195">
        <v>1831.9</v>
      </c>
      <c r="AE340" s="195">
        <v>1386.18</v>
      </c>
      <c r="AF340" s="195">
        <v>445.72</v>
      </c>
      <c r="AH340" s="247"/>
      <c r="AI340" s="247">
        <v>675.52499999999998</v>
      </c>
      <c r="AJ340" s="247">
        <v>22.517499999999998</v>
      </c>
      <c r="AK340" s="247">
        <v>487.91699999999997</v>
      </c>
      <c r="AL340" s="247">
        <v>42.072000000000003</v>
      </c>
      <c r="AM340" s="190">
        <v>43.336693682691241</v>
      </c>
      <c r="AN340" s="190">
        <v>-0.72418331705937788</v>
      </c>
      <c r="AO340" s="247">
        <v>265</v>
      </c>
      <c r="AP340" s="247">
        <v>136.29300000000001</v>
      </c>
      <c r="AQ340" s="190">
        <v>11.768624403241924</v>
      </c>
      <c r="AR340" s="190">
        <v>-3.9939792799009055E-2</v>
      </c>
      <c r="AS340" s="190">
        <v>55.105318085933163</v>
      </c>
      <c r="AT340" s="247">
        <v>1201.7429999999999</v>
      </c>
      <c r="AU340" s="247">
        <v>40.058099999999996</v>
      </c>
      <c r="AV340" s="247">
        <v>886.16300000000001</v>
      </c>
      <c r="AW340" s="247">
        <v>50.613</v>
      </c>
      <c r="AX340" s="190">
        <v>44.243885755939502</v>
      </c>
      <c r="AY340" s="190">
        <v>0.18300875618888313</v>
      </c>
      <c r="AZ340" s="247">
        <v>478.31700000000001</v>
      </c>
      <c r="BA340" s="247">
        <v>205.61199999999999</v>
      </c>
      <c r="BB340" s="190">
        <v>11.94058130565354</v>
      </c>
      <c r="BC340" s="190">
        <v>0.13201710961260638</v>
      </c>
      <c r="BD340" s="190">
        <v>56.18446706159304</v>
      </c>
      <c r="BE340" s="247">
        <v>1307.652</v>
      </c>
      <c r="BF340" s="247">
        <v>43.5884</v>
      </c>
      <c r="BG340" s="247">
        <v>954.19600000000003</v>
      </c>
      <c r="BH340" s="247">
        <v>117.923</v>
      </c>
      <c r="BI340" s="190">
        <v>43.782107166126771</v>
      </c>
      <c r="BJ340" s="190">
        <v>-0.27876983362384777</v>
      </c>
      <c r="BK340" s="247">
        <v>512.55200000000002</v>
      </c>
      <c r="BL340" s="247">
        <v>209.32499999999999</v>
      </c>
      <c r="BM340" s="190">
        <v>11.758908333409806</v>
      </c>
      <c r="BN340" s="190">
        <v>-4.9655862631126979E-2</v>
      </c>
      <c r="BO340" s="190">
        <v>55.541015499536577</v>
      </c>
      <c r="BP340" s="247">
        <v>964.38900000000001</v>
      </c>
      <c r="BQ340" s="247">
        <v>32.146300000000004</v>
      </c>
      <c r="BR340" s="247">
        <v>710.46600000000001</v>
      </c>
      <c r="BS340" s="247">
        <v>38.942999999999998</v>
      </c>
      <c r="BT340" s="190">
        <v>44.202038803843671</v>
      </c>
      <c r="BU340" s="190">
        <v>0.14116180409305201</v>
      </c>
      <c r="BV340" s="247">
        <v>374.48899999999998</v>
      </c>
      <c r="BW340" s="247">
        <v>252.01900000000001</v>
      </c>
      <c r="BX340" s="190">
        <v>11.649521095740409</v>
      </c>
      <c r="BY340" s="190">
        <v>-0.15904310030052393</v>
      </c>
      <c r="BZ340" s="190">
        <v>55.851559899584082</v>
      </c>
      <c r="CA340" s="247">
        <v>669.125</v>
      </c>
      <c r="CB340" s="247">
        <v>22.304166666666667</v>
      </c>
      <c r="CC340" s="247">
        <v>491.19099999999997</v>
      </c>
      <c r="CD340" s="247">
        <v>55.829000000000001</v>
      </c>
      <c r="CE340" s="190">
        <v>44.044774892583597</v>
      </c>
      <c r="CF340" s="190">
        <v>-1.6102107167021984E-2</v>
      </c>
      <c r="CG340" s="247">
        <v>257.83800000000002</v>
      </c>
      <c r="CH340" s="247">
        <v>63.585000000000001</v>
      </c>
      <c r="CI340" s="190">
        <v>11.560082196898936</v>
      </c>
      <c r="CJ340" s="190">
        <v>-0.24848199914199753</v>
      </c>
      <c r="CK340" s="190">
        <v>55.604857089482536</v>
      </c>
      <c r="CL340" s="247">
        <v>967.72500000000002</v>
      </c>
      <c r="CM340" s="247">
        <v>32.2575</v>
      </c>
      <c r="CN340" s="247">
        <v>719.12099999999998</v>
      </c>
      <c r="CO340" s="247">
        <v>41.811</v>
      </c>
      <c r="CP340" s="190">
        <v>44.586282259939544</v>
      </c>
      <c r="CQ340" s="190">
        <v>0.52540526018892564</v>
      </c>
      <c r="CR340" s="247">
        <v>389.34500000000003</v>
      </c>
      <c r="CS340" s="247">
        <v>119.369</v>
      </c>
      <c r="CT340" s="190">
        <v>12.06990622335891</v>
      </c>
      <c r="CU340" s="190">
        <v>0.26134202731797629</v>
      </c>
      <c r="CV340" s="190">
        <v>56.65618848329845</v>
      </c>
      <c r="CW340" s="163"/>
      <c r="CX340" s="212">
        <v>0</v>
      </c>
      <c r="CY340" s="212">
        <v>0</v>
      </c>
      <c r="CZ340" s="212">
        <v>0</v>
      </c>
      <c r="DA340" s="212">
        <v>0</v>
      </c>
      <c r="DB340" s="212">
        <v>0</v>
      </c>
      <c r="DC340" s="212">
        <v>0</v>
      </c>
      <c r="DD340" s="163"/>
      <c r="DE340" s="247">
        <v>163.923</v>
      </c>
      <c r="DF340" s="247">
        <v>94.188000000000002</v>
      </c>
      <c r="DG340" s="247">
        <v>38.634</v>
      </c>
      <c r="DH340" s="199">
        <v>0.57458684870335464</v>
      </c>
      <c r="DI340" s="247">
        <v>124.42700000000001</v>
      </c>
      <c r="DJ340" s="199">
        <v>0.37952880315758009</v>
      </c>
      <c r="DK340" s="247">
        <v>155.43299999999999</v>
      </c>
      <c r="DL340" s="247">
        <v>150.79499999999999</v>
      </c>
      <c r="DM340" s="199">
        <v>2.9839223330952902E-2</v>
      </c>
      <c r="DN340" s="247">
        <v>144.66800000000001</v>
      </c>
      <c r="DO340" s="247">
        <v>52.639000000000003</v>
      </c>
      <c r="DP340" s="247">
        <v>84.414000000000001</v>
      </c>
      <c r="DQ340" s="247">
        <v>137.053</v>
      </c>
      <c r="DR340" s="247">
        <v>0.95411565186093472</v>
      </c>
      <c r="DS340" s="247"/>
      <c r="DT340" s="247">
        <v>132.45500000000001</v>
      </c>
      <c r="DU340" s="247">
        <v>56.954000000000001</v>
      </c>
      <c r="DV340" s="247">
        <v>8.593</v>
      </c>
      <c r="DW340" s="199">
        <v>0.42998754293911134</v>
      </c>
      <c r="DX340" s="247">
        <v>34.759</v>
      </c>
      <c r="DY340" s="199">
        <v>0.13121059982635611</v>
      </c>
      <c r="DZ340" s="247">
        <v>48.588000000000001</v>
      </c>
      <c r="EA340" s="247">
        <v>47.265999999999998</v>
      </c>
      <c r="EB340" s="199">
        <v>2.7208364205153601E-2</v>
      </c>
      <c r="EC340" s="247">
        <v>46.454000000000001</v>
      </c>
      <c r="ED340" s="247">
        <v>20</v>
      </c>
      <c r="EE340" s="247">
        <v>25.085999999999999</v>
      </c>
      <c r="EF340" s="247">
        <v>45.085999999999999</v>
      </c>
      <c r="EG340" s="199">
        <v>0.56119814276546742</v>
      </c>
    </row>
    <row r="341" spans="1:137" hidden="1">
      <c r="A341" s="157">
        <v>44652</v>
      </c>
      <c r="B341" s="247">
        <v>5426.7120000000004</v>
      </c>
      <c r="C341" s="247">
        <v>180.89040000000003</v>
      </c>
      <c r="D341" s="247">
        <v>11.102400000000017</v>
      </c>
      <c r="E341" s="247">
        <v>6.5389780196480451E-2</v>
      </c>
      <c r="F341" s="247">
        <v>3975.098</v>
      </c>
      <c r="G341" s="247">
        <v>3923.4650000000001</v>
      </c>
      <c r="H341" s="247">
        <v>51.633000000000003</v>
      </c>
      <c r="I341" s="247">
        <v>406.86700000000002</v>
      </c>
      <c r="J341" s="190">
        <v>43.950347834932082</v>
      </c>
      <c r="K341" s="190">
        <v>47.040030869520983</v>
      </c>
      <c r="L341" s="190">
        <v>-2.9969130479017281E-2</v>
      </c>
      <c r="M341" s="247">
        <v>279.447</v>
      </c>
      <c r="N341" s="247">
        <v>38.149000000000001</v>
      </c>
      <c r="O341" s="247">
        <v>2143.1179999999999</v>
      </c>
      <c r="P341" s="247">
        <v>2018.9760000000001</v>
      </c>
      <c r="Q341" s="247">
        <v>1006.0359999999999</v>
      </c>
      <c r="R341" s="247">
        <v>367.76900000000001</v>
      </c>
      <c r="S341" s="247">
        <v>645.17100000000005</v>
      </c>
      <c r="T341" s="247">
        <v>405.21600000000001</v>
      </c>
      <c r="U341" s="247">
        <v>609.99399999999991</v>
      </c>
      <c r="V341" s="199">
        <v>0.33623342104886</v>
      </c>
      <c r="W341" s="190">
        <v>11.847604958582654</v>
      </c>
      <c r="X341" s="190">
        <v>-3.2395041417347059E-2</v>
      </c>
      <c r="Y341" s="247">
        <v>58.88763582810364</v>
      </c>
      <c r="Z341" s="247">
        <v>1738.58</v>
      </c>
      <c r="AA341" s="247">
        <v>1700.0540000000001</v>
      </c>
      <c r="AB341" s="199">
        <v>2.2159463470188222E-2</v>
      </c>
      <c r="AC341" s="195">
        <v>126.614</v>
      </c>
      <c r="AD341" s="195">
        <v>1645.056</v>
      </c>
      <c r="AE341" s="195">
        <v>1200.615</v>
      </c>
      <c r="AF341" s="195">
        <v>444.44099999999997</v>
      </c>
      <c r="AG341" s="191">
        <v>0.96764926290576647</v>
      </c>
      <c r="AH341" s="247"/>
      <c r="AI341" s="247">
        <v>653.41899999999998</v>
      </c>
      <c r="AJ341" s="247">
        <v>21.780633333333334</v>
      </c>
      <c r="AK341" s="247">
        <v>470.70699999999999</v>
      </c>
      <c r="AL341" s="247">
        <v>61.558999999999997</v>
      </c>
      <c r="AM341" s="190">
        <v>43.222526434033902</v>
      </c>
      <c r="AN341" s="190">
        <v>-0.72782140089817915</v>
      </c>
      <c r="AO341" s="247">
        <v>261.64600000000002</v>
      </c>
      <c r="AP341" s="247">
        <v>144.52799999999999</v>
      </c>
      <c r="AQ341" s="190">
        <v>12.012781997462579</v>
      </c>
      <c r="AR341" s="190">
        <v>0.16517703887992496</v>
      </c>
      <c r="AS341" s="190">
        <v>55.235308431496478</v>
      </c>
      <c r="AT341" s="247">
        <v>1110.4860000000001</v>
      </c>
      <c r="AU341" s="247">
        <v>37.016200000000005</v>
      </c>
      <c r="AV341" s="247">
        <v>822.74599999999998</v>
      </c>
      <c r="AW341" s="247">
        <v>55.87</v>
      </c>
      <c r="AX341" s="190">
        <v>44.453293422879703</v>
      </c>
      <c r="AY341" s="190">
        <v>0.50294558794762168</v>
      </c>
      <c r="AZ341" s="247">
        <v>440.69600000000003</v>
      </c>
      <c r="BA341" s="247">
        <v>202.28299999999999</v>
      </c>
      <c r="BB341" s="190">
        <v>11.90549002869014</v>
      </c>
      <c r="BC341" s="190">
        <v>5.7885070107486669E-2</v>
      </c>
      <c r="BD341" s="190">
        <v>56.358783451569842</v>
      </c>
      <c r="BE341" s="247">
        <v>1298.8340000000001</v>
      </c>
      <c r="BF341" s="247">
        <v>43.294466666666672</v>
      </c>
      <c r="BG341" s="247">
        <v>939.15099999999995</v>
      </c>
      <c r="BH341" s="247">
        <v>121.964</v>
      </c>
      <c r="BI341" s="190">
        <v>43.384343187813059</v>
      </c>
      <c r="BJ341" s="190">
        <v>-0.56600464711902276</v>
      </c>
      <c r="BK341" s="247">
        <v>509.78</v>
      </c>
      <c r="BL341" s="247">
        <v>192.298</v>
      </c>
      <c r="BM341" s="190">
        <v>11.77471485963564</v>
      </c>
      <c r="BN341" s="190">
        <v>-7.2890098947013371E-2</v>
      </c>
      <c r="BO341" s="190">
        <v>55.159058047448696</v>
      </c>
      <c r="BP341" s="247">
        <v>881.35299999999995</v>
      </c>
      <c r="BQ341" s="247">
        <v>29.37843333333333</v>
      </c>
      <c r="BR341" s="247">
        <v>653.46</v>
      </c>
      <c r="BS341" s="247">
        <v>53.073</v>
      </c>
      <c r="BT341" s="190">
        <v>44.485694154328634</v>
      </c>
      <c r="BU341" s="190">
        <v>0.53534631939655242</v>
      </c>
      <c r="BV341" s="247">
        <v>339.642</v>
      </c>
      <c r="BW341" s="247">
        <v>275.85899999999998</v>
      </c>
      <c r="BX341" s="190">
        <v>11.560929616169686</v>
      </c>
      <c r="BY341" s="190">
        <v>-0.28667534241296799</v>
      </c>
      <c r="BZ341" s="190">
        <v>56.046623770498321</v>
      </c>
      <c r="CA341" s="247">
        <v>582.22799999999995</v>
      </c>
      <c r="CB341" s="247">
        <v>19.407599999999999</v>
      </c>
      <c r="CC341" s="247">
        <v>424.226</v>
      </c>
      <c r="CD341" s="247">
        <v>73.728999999999999</v>
      </c>
      <c r="CE341" s="190">
        <v>43.717512726972942</v>
      </c>
      <c r="CF341" s="190">
        <v>-0.23283510795913998</v>
      </c>
      <c r="CG341" s="247">
        <v>224.499</v>
      </c>
      <c r="CH341" s="247">
        <v>70.968000000000004</v>
      </c>
      <c r="CI341" s="190">
        <v>11.567581772089286</v>
      </c>
      <c r="CJ341" s="190">
        <v>-0.28002318649336821</v>
      </c>
      <c r="CK341" s="190">
        <v>55.285094499062225</v>
      </c>
      <c r="CL341" s="247">
        <v>900.39200000000005</v>
      </c>
      <c r="CM341" s="247">
        <v>30.013066666666667</v>
      </c>
      <c r="CN341" s="247">
        <v>664.80799999999999</v>
      </c>
      <c r="CO341" s="247">
        <v>40.671999999999997</v>
      </c>
      <c r="CP341" s="190">
        <v>44.301237683142453</v>
      </c>
      <c r="CQ341" s="190">
        <v>0.35088984821037172</v>
      </c>
      <c r="CR341" s="247">
        <v>366.85500000000002</v>
      </c>
      <c r="CS341" s="247">
        <v>120.1</v>
      </c>
      <c r="CT341" s="190">
        <v>12.223176127731033</v>
      </c>
      <c r="CU341" s="190">
        <v>0.37557116914837962</v>
      </c>
      <c r="CV341" s="190">
        <v>56.524413810873483</v>
      </c>
      <c r="CW341" s="163"/>
      <c r="CX341" s="212">
        <v>3.907985046680551E-14</v>
      </c>
      <c r="CY341" s="212">
        <v>0</v>
      </c>
      <c r="CZ341" s="212">
        <v>0</v>
      </c>
      <c r="DA341" s="212">
        <v>0</v>
      </c>
      <c r="DB341" s="212">
        <v>0</v>
      </c>
      <c r="DC341" s="212">
        <v>0</v>
      </c>
      <c r="DD341" s="163"/>
      <c r="DE341" s="247">
        <v>145.50800000000001</v>
      </c>
      <c r="DF341" s="247">
        <v>85.161000000000001</v>
      </c>
      <c r="DG341" s="247">
        <v>41.600999999999999</v>
      </c>
      <c r="DH341" s="199">
        <v>0.58526678945487531</v>
      </c>
      <c r="DI341" s="247">
        <v>113.55500000000001</v>
      </c>
      <c r="DJ341" s="199">
        <v>0.39020191329686338</v>
      </c>
      <c r="DK341" s="247">
        <v>131.51400000000001</v>
      </c>
      <c r="DL341" s="247">
        <v>127.923</v>
      </c>
      <c r="DM341" s="199">
        <v>2.730507778639546E-2</v>
      </c>
      <c r="DN341" s="247">
        <v>129.77099999999999</v>
      </c>
      <c r="DO341" s="247">
        <v>61.331000000000003</v>
      </c>
      <c r="DP341" s="247">
        <v>89.635000000000005</v>
      </c>
      <c r="DQ341" s="247">
        <v>150.96600000000001</v>
      </c>
      <c r="DR341" s="247">
        <v>0.97546870275173869</v>
      </c>
      <c r="DS341" s="247"/>
      <c r="DT341" s="247">
        <v>126.849</v>
      </c>
      <c r="DU341" s="247">
        <v>56.677</v>
      </c>
      <c r="DV341" s="247">
        <v>10.93</v>
      </c>
      <c r="DW341" s="199">
        <v>0.44680683332150822</v>
      </c>
      <c r="DX341" s="247">
        <v>35.585999999999999</v>
      </c>
      <c r="DY341" s="199">
        <v>0.14026913889742923</v>
      </c>
      <c r="DZ341" s="247">
        <v>43.106999999999999</v>
      </c>
      <c r="EA341" s="247">
        <v>42.014000000000003</v>
      </c>
      <c r="EB341" s="199">
        <v>2.5355510705917794E-2</v>
      </c>
      <c r="EC341" s="247">
        <v>43.417999999999999</v>
      </c>
      <c r="ED341" s="247">
        <v>22.5</v>
      </c>
      <c r="EE341" s="247">
        <v>24.748000000000001</v>
      </c>
      <c r="EF341" s="247">
        <v>47.248000000000005</v>
      </c>
      <c r="EG341" s="199">
        <v>0.58707597221893748</v>
      </c>
    </row>
    <row r="342" spans="1:137" hidden="1">
      <c r="A342" s="157">
        <v>44682</v>
      </c>
      <c r="B342" s="247">
        <v>5427.16</v>
      </c>
      <c r="C342" s="247">
        <v>180.90533333333332</v>
      </c>
      <c r="D342" s="247">
        <v>9.8283333333333189</v>
      </c>
      <c r="E342" s="247">
        <v>5.7449764336137132E-2</v>
      </c>
      <c r="F342" s="247">
        <v>3978.1350000000002</v>
      </c>
      <c r="G342" s="247">
        <v>3925.03</v>
      </c>
      <c r="H342" s="247">
        <v>53.104999999999997</v>
      </c>
      <c r="I342" s="247">
        <v>414.54300000000001</v>
      </c>
      <c r="J342" s="190">
        <v>43.980295403120607</v>
      </c>
      <c r="K342" s="190">
        <v>47.097439544807969</v>
      </c>
      <c r="L342" s="190">
        <v>-0.23256045519202928</v>
      </c>
      <c r="M342" s="247">
        <v>281.95400000000001</v>
      </c>
      <c r="N342" s="247">
        <v>49.212000000000003</v>
      </c>
      <c r="O342" s="247">
        <v>2158.7739999999999</v>
      </c>
      <c r="P342" s="247">
        <v>1967.5530000000001</v>
      </c>
      <c r="Q342" s="247">
        <v>1010.927</v>
      </c>
      <c r="R342" s="247">
        <v>337.86</v>
      </c>
      <c r="S342" s="247">
        <v>618.76599999999996</v>
      </c>
      <c r="T342" s="247">
        <v>416.82</v>
      </c>
      <c r="U342" s="247">
        <v>476.37300000000005</v>
      </c>
      <c r="V342" s="199">
        <v>0.24967138364779884</v>
      </c>
      <c r="W342" s="190">
        <v>11.933169466166467</v>
      </c>
      <c r="X342" s="190">
        <v>-6.6830533833533323E-2</v>
      </c>
      <c r="Y342" s="247">
        <v>59.030609010974437</v>
      </c>
      <c r="Z342" s="247">
        <v>1795.117</v>
      </c>
      <c r="AA342" s="247">
        <v>1757.4</v>
      </c>
      <c r="AB342" s="199">
        <v>2.1010886755570734E-2</v>
      </c>
      <c r="AC342" s="195">
        <v>167.82300000000001</v>
      </c>
      <c r="AD342" s="195">
        <v>1746.3050000000001</v>
      </c>
      <c r="AE342" s="195">
        <v>1221.104</v>
      </c>
      <c r="AF342" s="195">
        <v>525.20100000000002</v>
      </c>
      <c r="AG342" s="191">
        <v>0.9936866962558325</v>
      </c>
      <c r="AH342" s="247"/>
      <c r="AI342" s="247">
        <v>626.572</v>
      </c>
      <c r="AJ342" s="247">
        <v>20.885733333333334</v>
      </c>
      <c r="AK342" s="247">
        <v>454.66399999999999</v>
      </c>
      <c r="AL342" s="247">
        <v>53.058999999999997</v>
      </c>
      <c r="AM342" s="190">
        <v>43.538236627235172</v>
      </c>
      <c r="AN342" s="190">
        <v>-0.4420587758854353</v>
      </c>
      <c r="AO342" s="247">
        <v>253.13200000000001</v>
      </c>
      <c r="AP342" s="247">
        <v>162.52600000000001</v>
      </c>
      <c r="AQ342" s="190">
        <v>12.119852147877658</v>
      </c>
      <c r="AR342" s="190">
        <v>0.18668268171119173</v>
      </c>
      <c r="AS342" s="190">
        <v>55.65808877511283</v>
      </c>
      <c r="AT342" s="247">
        <v>1086.3119999999999</v>
      </c>
      <c r="AU342" s="247">
        <v>36.2104</v>
      </c>
      <c r="AV342" s="247">
        <v>799.49400000000003</v>
      </c>
      <c r="AW342" s="247">
        <v>69.938000000000002</v>
      </c>
      <c r="AX342" s="190">
        <v>44.158252877626317</v>
      </c>
      <c r="AY342" s="190">
        <v>0.17795747450571042</v>
      </c>
      <c r="AZ342" s="247">
        <v>430.39800000000002</v>
      </c>
      <c r="BA342" s="247">
        <v>182.137</v>
      </c>
      <c r="BB342" s="190">
        <v>11.886032741974683</v>
      </c>
      <c r="BC342" s="190">
        <v>-4.7136724191783941E-2</v>
      </c>
      <c r="BD342" s="190">
        <v>56.044285619600998</v>
      </c>
      <c r="BE342" s="247">
        <v>1132.8230000000001</v>
      </c>
      <c r="BF342" s="247">
        <v>37.760766666666669</v>
      </c>
      <c r="BG342" s="247">
        <v>825.17499999999995</v>
      </c>
      <c r="BH342" s="247">
        <v>116.23</v>
      </c>
      <c r="BI342" s="190">
        <v>43.705415585665186</v>
      </c>
      <c r="BJ342" s="190">
        <v>-0.274879817455421</v>
      </c>
      <c r="BK342" s="247">
        <v>449.68400000000003</v>
      </c>
      <c r="BL342" s="247">
        <v>217.71899999999999</v>
      </c>
      <c r="BM342" s="190">
        <v>11.908762445677745</v>
      </c>
      <c r="BN342" s="190">
        <v>-2.4407020488721898E-2</v>
      </c>
      <c r="BO342" s="190">
        <v>55.614178031342931</v>
      </c>
      <c r="BP342" s="247">
        <v>968.54300000000001</v>
      </c>
      <c r="BQ342" s="247">
        <v>32.28476666666667</v>
      </c>
      <c r="BR342" s="247">
        <v>710.08199999999999</v>
      </c>
      <c r="BS342" s="247">
        <v>50.804000000000002</v>
      </c>
      <c r="BT342" s="190">
        <v>43.988671643902229</v>
      </c>
      <c r="BU342" s="190">
        <v>8.3762407816223572E-3</v>
      </c>
      <c r="BV342" s="247">
        <v>381.16899999999998</v>
      </c>
      <c r="BW342" s="247">
        <v>235.94900000000001</v>
      </c>
      <c r="BX342" s="190">
        <v>11.806466000993243</v>
      </c>
      <c r="BY342" s="190">
        <v>-0.12670346517322351</v>
      </c>
      <c r="BZ342" s="190">
        <v>55.795137644895476</v>
      </c>
      <c r="CA342" s="247">
        <v>648.95299999999997</v>
      </c>
      <c r="CB342" s="247">
        <v>21.631766666666667</v>
      </c>
      <c r="CC342" s="247">
        <v>474.54</v>
      </c>
      <c r="CD342" s="247">
        <v>62.523000000000003</v>
      </c>
      <c r="CE342" s="190">
        <v>43.874363782893369</v>
      </c>
      <c r="CF342" s="190">
        <v>-0.10593162022723845</v>
      </c>
      <c r="CG342" s="247">
        <v>257.53800000000001</v>
      </c>
      <c r="CH342" s="247">
        <v>85.977000000000004</v>
      </c>
      <c r="CI342" s="190">
        <v>11.905546318454496</v>
      </c>
      <c r="CJ342" s="190">
        <v>-2.762314771197083E-2</v>
      </c>
      <c r="CK342" s="190">
        <v>55.779910101347866</v>
      </c>
      <c r="CL342" s="247">
        <v>963.95699999999999</v>
      </c>
      <c r="CM342" s="247">
        <v>32.131900000000002</v>
      </c>
      <c r="CN342" s="247">
        <v>714.18</v>
      </c>
      <c r="CO342" s="247">
        <v>61.988999999999997</v>
      </c>
      <c r="CP342" s="190">
        <v>44.453020207332891</v>
      </c>
      <c r="CQ342" s="190">
        <v>0.4727248042122838</v>
      </c>
      <c r="CR342" s="247">
        <v>386.85300000000001</v>
      </c>
      <c r="CS342" s="247">
        <v>126.619</v>
      </c>
      <c r="CT342" s="190">
        <v>12.039530808946871</v>
      </c>
      <c r="CU342" s="190">
        <v>0.10636134278040466</v>
      </c>
      <c r="CV342" s="190">
        <v>56.492551016279762</v>
      </c>
      <c r="CW342" s="163"/>
      <c r="CX342" s="212">
        <v>0</v>
      </c>
      <c r="CY342" s="212">
        <v>0</v>
      </c>
      <c r="CZ342" s="212">
        <v>0</v>
      </c>
      <c r="DA342" s="212">
        <v>0</v>
      </c>
      <c r="DB342" s="212">
        <v>1.1368683772161603E-13</v>
      </c>
      <c r="DC342" s="212">
        <v>0</v>
      </c>
      <c r="DD342" s="163"/>
      <c r="DE342" s="247">
        <v>97.792000000000002</v>
      </c>
      <c r="DF342" s="247">
        <v>56.819000000000003</v>
      </c>
      <c r="DG342" s="247">
        <v>31.177</v>
      </c>
      <c r="DH342" s="199">
        <v>0.58101889725130895</v>
      </c>
      <c r="DI342" s="247">
        <v>76.861000000000004</v>
      </c>
      <c r="DJ342" s="199">
        <v>0.3929820435209424</v>
      </c>
      <c r="DK342" s="247">
        <v>93.710999999999999</v>
      </c>
      <c r="DL342" s="247">
        <v>91.441999999999993</v>
      </c>
      <c r="DM342" s="199">
        <v>2.4212739166159847E-2</v>
      </c>
      <c r="DN342" s="247">
        <v>100.474</v>
      </c>
      <c r="DO342" s="247">
        <v>48.003</v>
      </c>
      <c r="DP342" s="247">
        <v>77.027000000000001</v>
      </c>
      <c r="DQ342" s="247">
        <v>125.03</v>
      </c>
      <c r="DR342" s="247">
        <v>0.97400094077225141</v>
      </c>
      <c r="DS342" s="247">
        <v>1.2192269161213098</v>
      </c>
      <c r="DT342" s="247">
        <v>145.6</v>
      </c>
      <c r="DU342" s="247">
        <v>62.212000000000003</v>
      </c>
      <c r="DV342" s="247">
        <v>11.439</v>
      </c>
      <c r="DW342" s="199">
        <v>0.42728021978021979</v>
      </c>
      <c r="DX342" s="247">
        <v>39.625999999999998</v>
      </c>
      <c r="DY342" s="199">
        <v>0.13607829670329671</v>
      </c>
      <c r="DZ342" s="247">
        <v>39.036999999999999</v>
      </c>
      <c r="EA342" s="247">
        <v>37.984000000000002</v>
      </c>
      <c r="EB342" s="199">
        <v>2.6974408894126056E-2</v>
      </c>
      <c r="EC342" s="247">
        <v>41.429000000000002</v>
      </c>
      <c r="ED342" s="247">
        <v>22.5</v>
      </c>
      <c r="EE342" s="247">
        <v>22.367999999999999</v>
      </c>
      <c r="EF342" s="247">
        <v>44.867999999999995</v>
      </c>
      <c r="EG342" s="199">
        <v>0.56335851648351654</v>
      </c>
    </row>
    <row r="343" spans="1:137" hidden="1">
      <c r="A343" s="157">
        <v>44713</v>
      </c>
      <c r="B343" s="247">
        <v>5222.4120000000003</v>
      </c>
      <c r="C343" s="247">
        <v>174.0804</v>
      </c>
      <c r="D343" s="247">
        <v>9.4034000000000049</v>
      </c>
      <c r="E343" s="247">
        <v>5.7102084686993404E-2</v>
      </c>
      <c r="F343" s="247">
        <v>3837.4740000000002</v>
      </c>
      <c r="G343" s="247">
        <v>3777.123</v>
      </c>
      <c r="H343" s="247">
        <v>60.350999999999999</v>
      </c>
      <c r="I343" s="247">
        <v>324.07299999999998</v>
      </c>
      <c r="J343" s="190">
        <v>44.088524612765141</v>
      </c>
      <c r="K343" s="190">
        <v>47.180096093529201</v>
      </c>
      <c r="L343" s="190">
        <v>0.13009609352920393</v>
      </c>
      <c r="M343" s="247">
        <v>269.09100000000001</v>
      </c>
      <c r="N343" s="247">
        <v>33.231000000000002</v>
      </c>
      <c r="O343" s="247">
        <v>2068.578</v>
      </c>
      <c r="P343" s="247">
        <v>1911.6849999999999</v>
      </c>
      <c r="Q343" s="247">
        <v>961.721</v>
      </c>
      <c r="R343" s="247">
        <v>327.58300000000003</v>
      </c>
      <c r="S343" s="247">
        <v>622.38099999999997</v>
      </c>
      <c r="T343" s="247">
        <v>403.81900000000002</v>
      </c>
      <c r="U343" s="247">
        <v>548.6719999999998</v>
      </c>
      <c r="V343" s="199">
        <v>0.31053999474766125</v>
      </c>
      <c r="W343" s="190">
        <v>11.882888596303777</v>
      </c>
      <c r="X343" s="190">
        <v>-7.7111403696223491E-2</v>
      </c>
      <c r="Y343" s="247">
        <v>59.06298468983298</v>
      </c>
      <c r="Z343" s="247">
        <v>1678.171</v>
      </c>
      <c r="AA343" s="247">
        <v>1639.7170000000001</v>
      </c>
      <c r="AB343" s="199">
        <v>2.2914232220673549E-2</v>
      </c>
      <c r="AC343" s="195">
        <v>159.13900000000001</v>
      </c>
      <c r="AD343" s="195">
        <v>1653.3910000000001</v>
      </c>
      <c r="AE343" s="195">
        <v>1151.2929999999999</v>
      </c>
      <c r="AF343" s="195">
        <v>502.09800000000001</v>
      </c>
      <c r="AG343" s="191">
        <v>1.008339243906113</v>
      </c>
      <c r="AH343" s="247"/>
      <c r="AI343" s="247">
        <v>545.16999999999996</v>
      </c>
      <c r="AJ343" s="247">
        <v>18.172333333333331</v>
      </c>
      <c r="AK343" s="247">
        <v>405.904</v>
      </c>
      <c r="AL343" s="247">
        <v>62.137999999999998</v>
      </c>
      <c r="AM343" s="190">
        <v>44.672744281600238</v>
      </c>
      <c r="AN343" s="190">
        <v>0.58421966883509668</v>
      </c>
      <c r="AO343" s="247">
        <v>226.095</v>
      </c>
      <c r="AP343" s="247">
        <v>161.68600000000001</v>
      </c>
      <c r="AQ343" s="190">
        <v>12.441715428215053</v>
      </c>
      <c r="AR343" s="190">
        <v>0.55882683191127569</v>
      </c>
      <c r="AS343" s="190">
        <v>57.114459709815293</v>
      </c>
      <c r="AT343" s="247">
        <v>1046.066</v>
      </c>
      <c r="AU343" s="247">
        <v>34.868866666666669</v>
      </c>
      <c r="AV343" s="247">
        <v>773.01499999999999</v>
      </c>
      <c r="AW343" s="247">
        <v>47.938000000000002</v>
      </c>
      <c r="AX343" s="190">
        <v>44.338406945642049</v>
      </c>
      <c r="AY343" s="190">
        <v>0.24988233287690775</v>
      </c>
      <c r="AZ343" s="247">
        <v>418.18099999999998</v>
      </c>
      <c r="BA343" s="247">
        <v>165.16399999999999</v>
      </c>
      <c r="BB343" s="190">
        <v>11.992962203149704</v>
      </c>
      <c r="BC343" s="190">
        <v>0.11007360684592626</v>
      </c>
      <c r="BD343" s="190">
        <v>56.331369148791751</v>
      </c>
      <c r="BE343" s="247">
        <v>1177.2460000000001</v>
      </c>
      <c r="BF343" s="247">
        <v>39.241533333333336</v>
      </c>
      <c r="BG343" s="247">
        <v>849.83500000000004</v>
      </c>
      <c r="BH343" s="247">
        <v>103.651</v>
      </c>
      <c r="BI343" s="190">
        <v>43.313037377064774</v>
      </c>
      <c r="BJ343" s="190">
        <v>-0.77548723570036771</v>
      </c>
      <c r="BK343" s="247">
        <v>452.01100000000002</v>
      </c>
      <c r="BL343" s="247">
        <v>183.83500000000001</v>
      </c>
      <c r="BM343" s="190">
        <v>11.518688532388303</v>
      </c>
      <c r="BN343" s="190">
        <v>-0.3642000639154741</v>
      </c>
      <c r="BO343" s="190">
        <v>54.831725909453077</v>
      </c>
      <c r="BP343" s="247">
        <v>973.60699999999997</v>
      </c>
      <c r="BQ343" s="247">
        <v>32.453566666666667</v>
      </c>
      <c r="BR343" s="247">
        <v>718.27800000000002</v>
      </c>
      <c r="BS343" s="247">
        <v>46.808999999999997</v>
      </c>
      <c r="BT343" s="190">
        <v>44.264965227242612</v>
      </c>
      <c r="BU343" s="190">
        <v>0.17644061447747106</v>
      </c>
      <c r="BV343" s="247">
        <v>380.05900000000003</v>
      </c>
      <c r="BW343" s="247">
        <v>253.77500000000001</v>
      </c>
      <c r="BX343" s="190">
        <v>11.710854585063585</v>
      </c>
      <c r="BY343" s="190">
        <v>-0.1720340112401928</v>
      </c>
      <c r="BZ343" s="190">
        <v>55.975819812306199</v>
      </c>
      <c r="CA343" s="247">
        <v>549.44899999999996</v>
      </c>
      <c r="CB343" s="247">
        <v>18.314966666666667</v>
      </c>
      <c r="CC343" s="247">
        <v>403.84899999999999</v>
      </c>
      <c r="CD343" s="247">
        <v>18.774999999999999</v>
      </c>
      <c r="CE343" s="190">
        <v>44.100435163227161</v>
      </c>
      <c r="CF343" s="190">
        <v>1.1910550462019387E-2</v>
      </c>
      <c r="CG343" s="247">
        <v>213.559</v>
      </c>
      <c r="CH343" s="247">
        <v>63.317</v>
      </c>
      <c r="CI343" s="190">
        <v>11.660354282199076</v>
      </c>
      <c r="CJ343" s="190">
        <v>-0.22253431410470093</v>
      </c>
      <c r="CK343" s="190">
        <v>55.760789445426241</v>
      </c>
      <c r="CL343" s="247">
        <v>930.87400000000002</v>
      </c>
      <c r="CM343" s="247">
        <v>31.029133333333334</v>
      </c>
      <c r="CN343" s="247">
        <v>686.59299999999996</v>
      </c>
      <c r="CO343" s="247">
        <v>44.762</v>
      </c>
      <c r="CP343" s="190">
        <v>44.254732649101811</v>
      </c>
      <c r="CQ343" s="190">
        <v>0.16620803633666981</v>
      </c>
      <c r="CR343" s="247">
        <v>378.673</v>
      </c>
      <c r="CS343" s="247">
        <v>133.94399999999999</v>
      </c>
      <c r="CT343" s="190">
        <v>12.203789127207333</v>
      </c>
      <c r="CU343" s="190">
        <v>0.32090053090355575</v>
      </c>
      <c r="CV343" s="190">
        <v>56.458521776309141</v>
      </c>
      <c r="CW343" s="163"/>
      <c r="CX343" s="212">
        <v>0</v>
      </c>
      <c r="CY343" s="212">
        <v>0</v>
      </c>
      <c r="CZ343" s="212">
        <v>0</v>
      </c>
      <c r="DA343" s="212">
        <v>0</v>
      </c>
      <c r="DB343" s="212">
        <v>0</v>
      </c>
      <c r="DC343" s="212">
        <v>0</v>
      </c>
      <c r="DD343" s="163"/>
      <c r="DE343" s="247">
        <v>147.715</v>
      </c>
      <c r="DF343" s="247">
        <v>86.796999999999997</v>
      </c>
      <c r="DG343" s="247">
        <v>38.456000000000003</v>
      </c>
      <c r="DH343" s="199">
        <v>0.58759773888907696</v>
      </c>
      <c r="DI343" s="247">
        <v>119.992</v>
      </c>
      <c r="DJ343" s="199">
        <v>0.40616051179636464</v>
      </c>
      <c r="DK343" s="247">
        <v>127.61799999999999</v>
      </c>
      <c r="DL343" s="247">
        <v>124.41</v>
      </c>
      <c r="DM343" s="199">
        <v>2.5137519785610185E-2</v>
      </c>
      <c r="DN343" s="247">
        <v>116.943</v>
      </c>
      <c r="DO343" s="247">
        <v>49.75</v>
      </c>
      <c r="DP343" s="247">
        <v>104.88200000000001</v>
      </c>
      <c r="DQ343" s="247">
        <v>154.63200000000001</v>
      </c>
      <c r="DR343" s="247">
        <v>0.99375825068544166</v>
      </c>
      <c r="DS343" s="247">
        <v>1.0635542369491298</v>
      </c>
      <c r="DT343" s="247">
        <v>152.41</v>
      </c>
      <c r="DU343" s="247">
        <v>64.715000000000003</v>
      </c>
      <c r="DV343" s="247">
        <v>22.277000000000001</v>
      </c>
      <c r="DW343" s="199">
        <v>0.42461124598123484</v>
      </c>
      <c r="DX343" s="247">
        <v>40.412999999999997</v>
      </c>
      <c r="DY343" s="199">
        <v>0.13257988320976313</v>
      </c>
      <c r="DZ343" s="247">
        <v>43.435000000000002</v>
      </c>
      <c r="EA343" s="247">
        <v>42.447000000000003</v>
      </c>
      <c r="EB343" s="199">
        <v>2.274663289973522E-2</v>
      </c>
      <c r="EC343" s="247">
        <v>43.646999999999998</v>
      </c>
      <c r="ED343" s="247">
        <v>22.5</v>
      </c>
      <c r="EE343" s="247">
        <v>23.280999999999999</v>
      </c>
      <c r="EF343" s="247">
        <v>45.780999999999999</v>
      </c>
      <c r="EG343" s="199">
        <v>0.557191129190998</v>
      </c>
    </row>
    <row r="344" spans="1:137" hidden="1">
      <c r="A344" s="157">
        <v>44743</v>
      </c>
      <c r="B344" s="247">
        <v>5440.0429999999997</v>
      </c>
      <c r="C344" s="247">
        <v>181.33476666666667</v>
      </c>
      <c r="D344" s="247">
        <v>11.114766666666668</v>
      </c>
      <c r="E344" s="247">
        <v>6.5296479066306423E-2</v>
      </c>
      <c r="F344" s="247">
        <v>3984.83</v>
      </c>
      <c r="G344" s="247">
        <v>3927.9780000000001</v>
      </c>
      <c r="H344" s="247">
        <v>56.851999999999997</v>
      </c>
      <c r="I344" s="247">
        <v>476.69799999999998</v>
      </c>
      <c r="J344" s="190">
        <v>43.949983483586436</v>
      </c>
      <c r="K344" s="190">
        <v>47.0552457030211</v>
      </c>
      <c r="L344" s="190">
        <v>9.5245703021099359E-2</v>
      </c>
      <c r="M344" s="247">
        <v>281.54599999999999</v>
      </c>
      <c r="N344" s="247">
        <v>46.932000000000002</v>
      </c>
      <c r="O344" s="247">
        <v>2157.9699999999998</v>
      </c>
      <c r="P344" s="247">
        <v>1827.1559999999999</v>
      </c>
      <c r="Q344" s="247">
        <v>883.66899999999998</v>
      </c>
      <c r="R344" s="247">
        <v>322.74099999999999</v>
      </c>
      <c r="S344" s="247">
        <v>620.74599999999998</v>
      </c>
      <c r="T344" s="247">
        <v>401.03300000000002</v>
      </c>
      <c r="U344" s="247">
        <v>544.60399999999981</v>
      </c>
      <c r="V344" s="199">
        <v>0.32347876703581924</v>
      </c>
      <c r="W344" s="190">
        <v>11.900475786680362</v>
      </c>
      <c r="X344" s="190">
        <v>-5.9524213319638974E-2</v>
      </c>
      <c r="Y344" s="247">
        <v>58.95572148970146</v>
      </c>
      <c r="Z344" s="247">
        <v>1713.297</v>
      </c>
      <c r="AA344" s="247">
        <v>1680.5129999999999</v>
      </c>
      <c r="AB344" s="199">
        <v>1.9135036132089243E-2</v>
      </c>
      <c r="AC344" s="195">
        <v>141.87</v>
      </c>
      <c r="AD344" s="195">
        <v>1684.624</v>
      </c>
      <c r="AE344" s="195">
        <v>1180.0899999999999</v>
      </c>
      <c r="AF344" s="195">
        <v>504.53399999999999</v>
      </c>
      <c r="AG344" s="191">
        <v>1.0024462768214231</v>
      </c>
      <c r="AH344" s="247"/>
      <c r="AI344" s="247">
        <v>621.38699999999994</v>
      </c>
      <c r="AJ344" s="247">
        <v>20.712899999999998</v>
      </c>
      <c r="AK344" s="247">
        <v>443.99</v>
      </c>
      <c r="AL344" s="247">
        <v>81.319999999999993</v>
      </c>
      <c r="AM344" s="190">
        <v>42.870867913232821</v>
      </c>
      <c r="AN344" s="190">
        <v>-1.0791155703536148</v>
      </c>
      <c r="AO344" s="247">
        <v>251.25899999999999</v>
      </c>
      <c r="AP344" s="247">
        <v>152.209</v>
      </c>
      <c r="AQ344" s="190">
        <v>12.130556319974509</v>
      </c>
      <c r="AR344" s="190">
        <v>0.23008053329414757</v>
      </c>
      <c r="AS344" s="190">
        <v>55.001424233207331</v>
      </c>
      <c r="AT344" s="247">
        <v>1044.4380000000001</v>
      </c>
      <c r="AU344" s="247">
        <v>34.814600000000006</v>
      </c>
      <c r="AV344" s="247">
        <v>770.68899999999996</v>
      </c>
      <c r="AW344" s="247">
        <v>66.453000000000003</v>
      </c>
      <c r="AX344" s="190">
        <v>44.273896583617208</v>
      </c>
      <c r="AY344" s="190">
        <v>0.32391310003077223</v>
      </c>
      <c r="AZ344" s="247">
        <v>414.197</v>
      </c>
      <c r="BA344" s="247">
        <v>134.45599999999999</v>
      </c>
      <c r="BB344" s="190">
        <v>11.897221280727049</v>
      </c>
      <c r="BC344" s="190">
        <v>-3.2545059533131138E-3</v>
      </c>
      <c r="BD344" s="190">
        <v>56.171117864344254</v>
      </c>
      <c r="BE344" s="247">
        <v>1158.212</v>
      </c>
      <c r="BF344" s="247">
        <v>38.607066666666668</v>
      </c>
      <c r="BG344" s="247">
        <v>845.00099999999998</v>
      </c>
      <c r="BH344" s="247">
        <v>107.56100000000001</v>
      </c>
      <c r="BI344" s="190">
        <v>43.774421263119358</v>
      </c>
      <c r="BJ344" s="190">
        <v>-0.17556222046707859</v>
      </c>
      <c r="BK344" s="247">
        <v>454.137</v>
      </c>
      <c r="BL344" s="247">
        <v>166.739</v>
      </c>
      <c r="BM344" s="190">
        <v>11.763053741456659</v>
      </c>
      <c r="BN344" s="190">
        <v>-0.13742204522370294</v>
      </c>
      <c r="BO344" s="190">
        <v>55.537475004576017</v>
      </c>
      <c r="BP344" s="247">
        <v>958.28399999999999</v>
      </c>
      <c r="BQ344" s="247">
        <v>31.942799999999998</v>
      </c>
      <c r="BR344" s="247">
        <v>712.80700000000002</v>
      </c>
      <c r="BS344" s="247">
        <v>76.784000000000006</v>
      </c>
      <c r="BT344" s="190">
        <v>44.630214007538477</v>
      </c>
      <c r="BU344" s="190">
        <v>0.68023052395204076</v>
      </c>
      <c r="BV344" s="247">
        <v>375.52300000000002</v>
      </c>
      <c r="BW344" s="247">
        <v>235.029</v>
      </c>
      <c r="BX344" s="190">
        <v>11.756107792679416</v>
      </c>
      <c r="BY344" s="190">
        <v>-0.14436799400094635</v>
      </c>
      <c r="BZ344" s="190">
        <v>56.386321800217893</v>
      </c>
      <c r="CA344" s="247">
        <v>673.45899999999995</v>
      </c>
      <c r="CB344" s="247">
        <v>22.44863333333333</v>
      </c>
      <c r="CC344" s="247">
        <v>489.27800000000002</v>
      </c>
      <c r="CD344" s="247">
        <v>65.054000000000002</v>
      </c>
      <c r="CE344" s="190">
        <v>43.59089417470107</v>
      </c>
      <c r="CF344" s="190">
        <v>-0.35908930888536617</v>
      </c>
      <c r="CG344" s="247">
        <v>259.827</v>
      </c>
      <c r="CH344" s="247">
        <v>60.697000000000003</v>
      </c>
      <c r="CI344" s="190">
        <v>11.574290342841957</v>
      </c>
      <c r="CJ344" s="190">
        <v>-0.32618544383840486</v>
      </c>
      <c r="CK344" s="190">
        <v>55.165184517543025</v>
      </c>
      <c r="CL344" s="247">
        <v>984.26300000000003</v>
      </c>
      <c r="CM344" s="247">
        <v>32.808766666666671</v>
      </c>
      <c r="CN344" s="247">
        <v>723.06500000000005</v>
      </c>
      <c r="CO344" s="247">
        <v>79.525999999999996</v>
      </c>
      <c r="CP344" s="190">
        <v>44.077548378837768</v>
      </c>
      <c r="CQ344" s="190">
        <v>0.12756489525133219</v>
      </c>
      <c r="CR344" s="247">
        <v>403.02699999999999</v>
      </c>
      <c r="CS344" s="247">
        <v>134.53899999999999</v>
      </c>
      <c r="CT344" s="190">
        <v>12.284125279523865</v>
      </c>
      <c r="CU344" s="190">
        <v>0.38364949284350303</v>
      </c>
      <c r="CV344" s="190">
        <v>56.361673658361632</v>
      </c>
      <c r="CW344" s="163"/>
      <c r="CX344" s="212">
        <v>0</v>
      </c>
      <c r="CY344" s="212">
        <v>0</v>
      </c>
      <c r="CZ344" s="212">
        <v>0</v>
      </c>
      <c r="DA344" s="212">
        <v>0</v>
      </c>
      <c r="DB344" s="212">
        <v>0</v>
      </c>
      <c r="DC344" s="212">
        <v>0</v>
      </c>
      <c r="DD344" s="163"/>
      <c r="DE344" s="247">
        <v>150.19800000000001</v>
      </c>
      <c r="DF344" s="247">
        <v>89.344999999999999</v>
      </c>
      <c r="DG344" s="247">
        <v>48.256999999999998</v>
      </c>
      <c r="DH344" s="199">
        <v>0.59484813379672163</v>
      </c>
      <c r="DI344" s="247">
        <v>116.874</v>
      </c>
      <c r="DJ344" s="199">
        <v>0.38906643230935162</v>
      </c>
      <c r="DK344" s="247">
        <v>122.014</v>
      </c>
      <c r="DL344" s="247">
        <v>118.886</v>
      </c>
      <c r="DM344" s="199">
        <v>2.5636402380054713E-2</v>
      </c>
      <c r="DN344" s="247">
        <v>111.706</v>
      </c>
      <c r="DO344" s="247">
        <v>43.588000000000001</v>
      </c>
      <c r="DP344" s="247">
        <v>111.57</v>
      </c>
      <c r="DQ344" s="247">
        <v>155.15799999999999</v>
      </c>
      <c r="DR344" s="247">
        <v>0.98391456610607331</v>
      </c>
      <c r="DS344" s="247">
        <v>1.043978985916457</v>
      </c>
      <c r="DT344" s="247">
        <v>126.48099999999999</v>
      </c>
      <c r="DU344" s="247">
        <v>53.921999999999997</v>
      </c>
      <c r="DV344" s="247">
        <v>24.177</v>
      </c>
      <c r="DW344" s="199">
        <v>0.42632490255453387</v>
      </c>
      <c r="DX344" s="247">
        <v>33.305</v>
      </c>
      <c r="DY344" s="199">
        <v>0.13166009123900033</v>
      </c>
      <c r="DZ344" s="247">
        <v>38.963000000000001</v>
      </c>
      <c r="EA344" s="247">
        <v>37.643999999999998</v>
      </c>
      <c r="EB344" s="199">
        <v>3.3852629417652658E-2</v>
      </c>
      <c r="EC344" s="247">
        <v>38.511000000000003</v>
      </c>
      <c r="ED344" s="247">
        <v>22.5</v>
      </c>
      <c r="EE344" s="247">
        <v>23.466000000000001</v>
      </c>
      <c r="EF344" s="247">
        <v>45.966000000000001</v>
      </c>
      <c r="EG344" s="199">
        <v>0.55798499379353417</v>
      </c>
    </row>
    <row r="345" spans="1:137" hidden="1">
      <c r="A345" s="157">
        <v>44774</v>
      </c>
      <c r="B345" s="247">
        <v>5251.9030000000002</v>
      </c>
      <c r="C345" s="247">
        <v>175.06343333333334</v>
      </c>
      <c r="D345" s="247">
        <v>9.525433333333325</v>
      </c>
      <c r="E345" s="247">
        <v>5.7542276295070138E-2</v>
      </c>
      <c r="F345" s="247">
        <v>3864.3020000000001</v>
      </c>
      <c r="G345" s="247">
        <v>3806.5210000000002</v>
      </c>
      <c r="H345" s="247">
        <v>57.780999999999999</v>
      </c>
      <c r="I345" s="247">
        <v>309.988</v>
      </c>
      <c r="J345" s="190">
        <v>44.147449029428003</v>
      </c>
      <c r="K345" s="190">
        <v>47.28280396648605</v>
      </c>
      <c r="L345" s="190">
        <v>-4.7196033513948521E-2</v>
      </c>
      <c r="M345" s="247">
        <v>274.44299999999998</v>
      </c>
      <c r="N345" s="247">
        <v>39.177999999999997</v>
      </c>
      <c r="O345" s="247">
        <v>2090.3690000000001</v>
      </c>
      <c r="P345" s="247">
        <v>1690.18</v>
      </c>
      <c r="Q345" s="247">
        <v>831.53899999999999</v>
      </c>
      <c r="R345" s="247">
        <v>289.274</v>
      </c>
      <c r="S345" s="247">
        <v>569.36699999999996</v>
      </c>
      <c r="T345" s="247">
        <v>412.80700000000002</v>
      </c>
      <c r="U345" s="247">
        <v>538.25700000000006</v>
      </c>
      <c r="V345" s="199">
        <v>0.34399353243051523</v>
      </c>
      <c r="W345" s="190">
        <v>11.94063751748652</v>
      </c>
      <c r="X345" s="190">
        <v>-3.9362482513480401E-2</v>
      </c>
      <c r="Y345" s="247">
        <v>59.223441483972572</v>
      </c>
      <c r="Z345" s="247">
        <v>1769.951</v>
      </c>
      <c r="AA345" s="247">
        <v>1727.1020000000001</v>
      </c>
      <c r="AB345" s="199">
        <v>2.4209144772934354E-2</v>
      </c>
      <c r="AC345" s="195">
        <v>160.63999999999999</v>
      </c>
      <c r="AD345" s="195">
        <v>1717.403</v>
      </c>
      <c r="AE345" s="195">
        <v>1217.915</v>
      </c>
      <c r="AF345" s="195">
        <v>499.488</v>
      </c>
      <c r="AG345" s="191">
        <v>0.99438423439958956</v>
      </c>
      <c r="AH345" s="247"/>
      <c r="AI345" s="247">
        <v>527.08500000000004</v>
      </c>
      <c r="AJ345" s="247">
        <v>17.569500000000001</v>
      </c>
      <c r="AK345" s="247">
        <v>390.83699999999999</v>
      </c>
      <c r="AL345" s="247">
        <v>55.832999999999998</v>
      </c>
      <c r="AM345" s="190">
        <v>44.490395287287626</v>
      </c>
      <c r="AN345" s="190">
        <v>0.34294625785962296</v>
      </c>
      <c r="AO345" s="247">
        <v>212.578</v>
      </c>
      <c r="AP345" s="247">
        <v>104.205</v>
      </c>
      <c r="AQ345" s="190">
        <v>12.09926292723185</v>
      </c>
      <c r="AR345" s="190">
        <v>0.1586254097453299</v>
      </c>
      <c r="AS345" s="190">
        <v>56.589658214519474</v>
      </c>
      <c r="AT345" s="247">
        <v>1198.817</v>
      </c>
      <c r="AU345" s="247">
        <v>39.960566666666665</v>
      </c>
      <c r="AV345" s="247">
        <v>881.38199999999995</v>
      </c>
      <c r="AW345" s="247">
        <v>44.305999999999997</v>
      </c>
      <c r="AX345" s="190">
        <v>44.11258765933416</v>
      </c>
      <c r="AY345" s="190">
        <v>-3.4861370093842936E-2</v>
      </c>
      <c r="AZ345" s="247">
        <v>481.065</v>
      </c>
      <c r="BA345" s="247">
        <v>156.44999999999999</v>
      </c>
      <c r="BB345" s="190">
        <v>12.038492947630873</v>
      </c>
      <c r="BC345" s="190">
        <v>9.7855430144353051E-2</v>
      </c>
      <c r="BD345" s="190">
        <v>56.151080606965031</v>
      </c>
      <c r="BE345" s="247">
        <v>1103.922</v>
      </c>
      <c r="BF345" s="247">
        <v>36.797400000000003</v>
      </c>
      <c r="BG345" s="247">
        <v>810.87400000000002</v>
      </c>
      <c r="BH345" s="247">
        <v>73.599999999999994</v>
      </c>
      <c r="BI345" s="190">
        <v>44.072352937979311</v>
      </c>
      <c r="BJ345" s="190">
        <v>-7.5096091448692448E-2</v>
      </c>
      <c r="BK345" s="247">
        <v>435.983</v>
      </c>
      <c r="BL345" s="247">
        <v>140.66900000000001</v>
      </c>
      <c r="BM345" s="190">
        <v>11.848201231608755</v>
      </c>
      <c r="BN345" s="190">
        <v>-9.2436285877765201E-2</v>
      </c>
      <c r="BO345" s="190">
        <v>55.920554169588065</v>
      </c>
      <c r="BP345" s="247">
        <v>863.17200000000003</v>
      </c>
      <c r="BQ345" s="247">
        <v>28.772400000000001</v>
      </c>
      <c r="BR345" s="247">
        <v>636.423</v>
      </c>
      <c r="BS345" s="247">
        <v>53.363999999999997</v>
      </c>
      <c r="BT345" s="190">
        <v>44.238436835300497</v>
      </c>
      <c r="BU345" s="190">
        <v>9.0987805872494221E-2</v>
      </c>
      <c r="BV345" s="247">
        <v>337.59100000000001</v>
      </c>
      <c r="BW345" s="247">
        <v>226.614</v>
      </c>
      <c r="BX345" s="190">
        <v>11.733153994800572</v>
      </c>
      <c r="BY345" s="190">
        <v>-0.20748352268594772</v>
      </c>
      <c r="BZ345" s="190">
        <v>55.971590830101071</v>
      </c>
      <c r="CA345" s="247">
        <v>652.25</v>
      </c>
      <c r="CB345" s="247">
        <v>21.741666666666667</v>
      </c>
      <c r="CC345" s="247">
        <v>474.613</v>
      </c>
      <c r="CD345" s="247">
        <v>42.798999999999999</v>
      </c>
      <c r="CE345" s="190">
        <v>43.659302414718283</v>
      </c>
      <c r="CF345" s="190">
        <v>-0.48814661470971998</v>
      </c>
      <c r="CG345" s="247">
        <v>255.709</v>
      </c>
      <c r="CH345" s="247">
        <v>60.173999999999999</v>
      </c>
      <c r="CI345" s="190">
        <v>11.761241855116904</v>
      </c>
      <c r="CJ345" s="190">
        <v>-0.17939566236961646</v>
      </c>
      <c r="CK345" s="190">
        <v>55.42054426983519</v>
      </c>
      <c r="CL345" s="247">
        <v>906.65700000000004</v>
      </c>
      <c r="CM345" s="247">
        <v>30.221900000000002</v>
      </c>
      <c r="CN345" s="247">
        <v>670.173</v>
      </c>
      <c r="CO345" s="247">
        <v>40.085999999999999</v>
      </c>
      <c r="CP345" s="190">
        <v>44.350156674464543</v>
      </c>
      <c r="CQ345" s="190">
        <v>0.20270764503653993</v>
      </c>
      <c r="CR345" s="247">
        <v>367.44299999999998</v>
      </c>
      <c r="CS345" s="247">
        <v>143.42699999999999</v>
      </c>
      <c r="CT345" s="190">
        <v>12.158170068724996</v>
      </c>
      <c r="CU345" s="190">
        <v>0.21753255123847559</v>
      </c>
      <c r="CV345" s="190">
        <v>56.508326743189542</v>
      </c>
      <c r="CW345" s="163"/>
      <c r="CX345" s="212">
        <v>0</v>
      </c>
      <c r="CY345" s="212">
        <v>0</v>
      </c>
      <c r="CZ345" s="212">
        <v>0</v>
      </c>
      <c r="DA345" s="212">
        <v>0</v>
      </c>
      <c r="DB345" s="212">
        <v>0</v>
      </c>
      <c r="DC345" s="212">
        <v>0</v>
      </c>
      <c r="DD345" s="163"/>
      <c r="DE345" s="247">
        <v>175.07</v>
      </c>
      <c r="DF345" s="247">
        <v>100.69799999999999</v>
      </c>
      <c r="DG345" s="247">
        <v>44.162999999999997</v>
      </c>
      <c r="DH345" s="199">
        <v>0.57518706802993091</v>
      </c>
      <c r="DI345" s="247">
        <v>140.18299999999999</v>
      </c>
      <c r="DJ345" s="199">
        <v>0.40036271205803392</v>
      </c>
      <c r="DK345" s="247">
        <v>141.404</v>
      </c>
      <c r="DL345" s="247">
        <v>138.072</v>
      </c>
      <c r="DM345" s="199">
        <v>2.3563689853186576E-2</v>
      </c>
      <c r="DN345" s="247">
        <v>163.32499999999999</v>
      </c>
      <c r="DO345" s="247">
        <v>45</v>
      </c>
      <c r="DP345" s="247">
        <v>87.822000000000003</v>
      </c>
      <c r="DQ345" s="247">
        <v>132.822</v>
      </c>
      <c r="DR345" s="247">
        <v>0.97554978008796489</v>
      </c>
      <c r="DS345" s="247">
        <v>1.0087100433005429</v>
      </c>
      <c r="DT345" s="247">
        <v>125.126</v>
      </c>
      <c r="DU345" s="247">
        <v>54.218000000000004</v>
      </c>
      <c r="DV345" s="247">
        <v>20.497</v>
      </c>
      <c r="DW345" s="199">
        <v>0.43330722631587359</v>
      </c>
      <c r="DX345" s="247">
        <v>34.869999999999997</v>
      </c>
      <c r="DY345" s="199">
        <v>0.1393395457378962</v>
      </c>
      <c r="DZ345" s="247">
        <v>48.5</v>
      </c>
      <c r="EA345" s="247">
        <v>47.22</v>
      </c>
      <c r="EB345" s="199">
        <v>2.6391752577319627E-2</v>
      </c>
      <c r="EC345" s="247">
        <v>42.558999999999997</v>
      </c>
      <c r="ED345" s="247">
        <v>20</v>
      </c>
      <c r="EE345" s="247">
        <v>28.937999999999999</v>
      </c>
      <c r="EF345" s="247">
        <v>48.938000000000002</v>
      </c>
      <c r="EG345" s="199">
        <v>0.57264677205376979</v>
      </c>
    </row>
    <row r="346" spans="1:137" hidden="1">
      <c r="A346" s="157">
        <v>44805</v>
      </c>
      <c r="B346" s="247">
        <v>5028.2870000000003</v>
      </c>
      <c r="C346" s="247">
        <v>167.60956666666667</v>
      </c>
      <c r="D346" s="247">
        <v>9.5005666666666571</v>
      </c>
      <c r="E346" s="247">
        <v>6.0088715169070994E-2</v>
      </c>
      <c r="F346" s="247">
        <v>3666.107</v>
      </c>
      <c r="G346" s="247">
        <v>3620.8719999999998</v>
      </c>
      <c r="H346" s="247">
        <v>45.234999999999999</v>
      </c>
      <c r="I346" s="247">
        <v>276.97300000000001</v>
      </c>
      <c r="J346" s="190">
        <v>43.745796530707175</v>
      </c>
      <c r="K346" s="190">
        <v>46.835500837561575</v>
      </c>
      <c r="L346" s="190">
        <v>-4.4991624384280726E-3</v>
      </c>
      <c r="M346" s="247">
        <v>258.93200000000002</v>
      </c>
      <c r="N346" s="247">
        <v>33.954000000000001</v>
      </c>
      <c r="O346" s="247">
        <v>1992.9639999999999</v>
      </c>
      <c r="P346" s="247">
        <v>1591.585</v>
      </c>
      <c r="Q346" s="247">
        <v>747.22799999999995</v>
      </c>
      <c r="R346" s="247">
        <v>270.16500000000002</v>
      </c>
      <c r="S346" s="247">
        <v>574.19200000000001</v>
      </c>
      <c r="T346" s="247">
        <v>407.85300000000001</v>
      </c>
      <c r="U346" s="247">
        <v>540.17900000000009</v>
      </c>
      <c r="V346" s="199">
        <v>0.37017349216280326</v>
      </c>
      <c r="W346" s="190">
        <v>11.890514602686759</v>
      </c>
      <c r="X346" s="190">
        <v>2.0514602686759531E-2</v>
      </c>
      <c r="Y346" s="247">
        <v>58.726015440248332</v>
      </c>
      <c r="Z346" s="247">
        <v>1702.5360000000001</v>
      </c>
      <c r="AA346" s="247">
        <v>1659.614</v>
      </c>
      <c r="AB346" s="199">
        <v>2.5210626970589768E-2</v>
      </c>
      <c r="AC346" s="195">
        <v>164.392</v>
      </c>
      <c r="AD346" s="195">
        <v>1668.6880000000001</v>
      </c>
      <c r="AE346" s="195">
        <v>1211.1869999999999</v>
      </c>
      <c r="AF346" s="195">
        <v>457.50099999999998</v>
      </c>
      <c r="AG346" s="191">
        <v>1.0054675364271453</v>
      </c>
      <c r="AH346" s="247"/>
      <c r="AI346" s="247">
        <v>450.904</v>
      </c>
      <c r="AJ346" s="247">
        <v>15.030133333333334</v>
      </c>
      <c r="AK346" s="247">
        <v>319.08699999999999</v>
      </c>
      <c r="AL346" s="247">
        <v>73.658000000000001</v>
      </c>
      <c r="AM346" s="190">
        <v>42.45963664105885</v>
      </c>
      <c r="AN346" s="190">
        <v>-1.2861598896483244</v>
      </c>
      <c r="AO346" s="247">
        <v>175.57</v>
      </c>
      <c r="AP346" s="247">
        <v>70.180000000000007</v>
      </c>
      <c r="AQ346" s="190">
        <v>11.681200432908113</v>
      </c>
      <c r="AR346" s="190">
        <v>-0.20931416977864536</v>
      </c>
      <c r="AS346" s="190">
        <v>54.140837073966964</v>
      </c>
      <c r="AT346" s="247">
        <v>1121.0160000000001</v>
      </c>
      <c r="AU346" s="247">
        <v>37.367200000000004</v>
      </c>
      <c r="AV346" s="247">
        <v>825.65599999999995</v>
      </c>
      <c r="AW346" s="247">
        <v>38.619</v>
      </c>
      <c r="AX346" s="190">
        <v>44.19148344002226</v>
      </c>
      <c r="AY346" s="190">
        <v>0.4456869093150857</v>
      </c>
      <c r="AZ346" s="247">
        <v>446.59100000000001</v>
      </c>
      <c r="BA346" s="247">
        <v>156.47200000000001</v>
      </c>
      <c r="BB346" s="190">
        <v>11.951417285747928</v>
      </c>
      <c r="BC346" s="190">
        <v>6.0902683061168972E-2</v>
      </c>
      <c r="BD346" s="190">
        <v>56.14290072577019</v>
      </c>
      <c r="BE346" s="247">
        <v>1184.202</v>
      </c>
      <c r="BF346" s="247">
        <v>39.473399999999998</v>
      </c>
      <c r="BG346" s="247">
        <v>865.13199999999995</v>
      </c>
      <c r="BH346" s="247">
        <v>62.441000000000003</v>
      </c>
      <c r="BI346" s="190">
        <v>43.8336702690926</v>
      </c>
      <c r="BJ346" s="190">
        <v>8.7873738385425781E-2</v>
      </c>
      <c r="BK346" s="247">
        <v>467.892</v>
      </c>
      <c r="BL346" s="247">
        <v>125.113</v>
      </c>
      <c r="BM346" s="190">
        <v>11.853349344115278</v>
      </c>
      <c r="BN346" s="190">
        <v>-3.7165258571480564E-2</v>
      </c>
      <c r="BO346" s="190">
        <v>55.68701961320788</v>
      </c>
      <c r="BP346" s="247">
        <v>902.87900000000002</v>
      </c>
      <c r="BQ346" s="247">
        <v>30.095966666666666</v>
      </c>
      <c r="BR346" s="247">
        <v>674</v>
      </c>
      <c r="BS346" s="247">
        <v>32.104999999999997</v>
      </c>
      <c r="BT346" s="190">
        <v>44.790054924303256</v>
      </c>
      <c r="BU346" s="190">
        <v>1.0442583935960812</v>
      </c>
      <c r="BV346" s="247">
        <v>347.74900000000002</v>
      </c>
      <c r="BW346" s="247">
        <v>205.58199999999999</v>
      </c>
      <c r="BX346" s="190">
        <v>11.554671223940307</v>
      </c>
      <c r="BY346" s="190">
        <v>-0.33584337874645165</v>
      </c>
      <c r="BZ346" s="190">
        <v>56.344726148243566</v>
      </c>
      <c r="CA346" s="247">
        <v>636.00699999999995</v>
      </c>
      <c r="CB346" s="247">
        <v>21.200233333333333</v>
      </c>
      <c r="CC346" s="247">
        <v>449.12099999999998</v>
      </c>
      <c r="CD346" s="247">
        <v>39.186999999999998</v>
      </c>
      <c r="CE346" s="190">
        <v>42.369439330070264</v>
      </c>
      <c r="CF346" s="190">
        <v>-1.3763572006369102</v>
      </c>
      <c r="CG346" s="247">
        <v>240.61600000000001</v>
      </c>
      <c r="CH346" s="247">
        <v>55.37</v>
      </c>
      <c r="CI346" s="190">
        <v>11.349686402822611</v>
      </c>
      <c r="CJ346" s="190">
        <v>-0.54082819986414776</v>
      </c>
      <c r="CK346" s="190">
        <v>53.719125732892877</v>
      </c>
      <c r="CL346" s="247">
        <v>733.279</v>
      </c>
      <c r="CM346" s="247">
        <v>24.442633333333333</v>
      </c>
      <c r="CN346" s="247">
        <v>533.11099999999999</v>
      </c>
      <c r="CO346" s="247">
        <v>30.963000000000001</v>
      </c>
      <c r="CP346" s="190">
        <v>43.621404676801056</v>
      </c>
      <c r="CQ346" s="190">
        <v>-0.1243918539061184</v>
      </c>
      <c r="CR346" s="247">
        <v>314.54599999999999</v>
      </c>
      <c r="CS346" s="247">
        <v>134.511</v>
      </c>
      <c r="CT346" s="190">
        <v>12.868744366059849</v>
      </c>
      <c r="CU346" s="190">
        <v>0.97822976337308987</v>
      </c>
      <c r="CV346" s="190">
        <v>56.490149042860907</v>
      </c>
      <c r="CW346" s="163"/>
      <c r="CX346" s="212">
        <v>0</v>
      </c>
      <c r="CY346" s="212">
        <v>0</v>
      </c>
      <c r="CZ346" s="212">
        <v>0</v>
      </c>
      <c r="DA346" s="212">
        <v>0</v>
      </c>
      <c r="DB346" s="212">
        <v>0</v>
      </c>
      <c r="DC346" s="212">
        <v>0</v>
      </c>
      <c r="DD346" s="163"/>
      <c r="DE346" s="247">
        <v>197.50800000000001</v>
      </c>
      <c r="DF346" s="247">
        <v>111.913</v>
      </c>
      <c r="DG346" s="247">
        <v>42.78</v>
      </c>
      <c r="DH346" s="199">
        <v>0.56662514936103847</v>
      </c>
      <c r="DI346" s="247">
        <v>155.143</v>
      </c>
      <c r="DJ346" s="199">
        <v>0.39275117969905016</v>
      </c>
      <c r="DK346" s="247">
        <v>169.333</v>
      </c>
      <c r="DL346" s="247">
        <v>163.34100000000001</v>
      </c>
      <c r="DM346" s="199">
        <v>3.5385896428929975E-2</v>
      </c>
      <c r="DN346" s="247">
        <v>158.88999999999999</v>
      </c>
      <c r="DO346" s="247">
        <v>64.259</v>
      </c>
      <c r="DP346" s="247">
        <v>109.251</v>
      </c>
      <c r="DQ346" s="247">
        <v>173.51</v>
      </c>
      <c r="DR346" s="247">
        <v>0.95937632906008863</v>
      </c>
      <c r="DS346" s="247">
        <v>1.0914640041767918</v>
      </c>
      <c r="DT346" s="247">
        <v>109</v>
      </c>
      <c r="DU346" s="247">
        <v>47.197000000000003</v>
      </c>
      <c r="DV346" s="247">
        <v>22.315999999999999</v>
      </c>
      <c r="DW346" s="199">
        <v>0.433</v>
      </c>
      <c r="DX346" s="247">
        <v>14.606000000000002</v>
      </c>
      <c r="DY346" s="199">
        <v>0.13400000000000001</v>
      </c>
      <c r="DZ346" s="247">
        <v>35</v>
      </c>
      <c r="EA346" s="247">
        <v>34.1</v>
      </c>
      <c r="EB346" s="199">
        <v>2.571428571428569E-2</v>
      </c>
      <c r="EC346" s="247">
        <v>34.079000000000001</v>
      </c>
      <c r="ED346" s="247">
        <v>25</v>
      </c>
      <c r="EE346" s="247">
        <v>23.698</v>
      </c>
      <c r="EF346" s="247">
        <v>48.698</v>
      </c>
      <c r="EG346" s="199">
        <v>0.56699999999999995</v>
      </c>
    </row>
    <row r="347" spans="1:137">
      <c r="A347" s="157">
        <v>44835</v>
      </c>
      <c r="B347" s="247">
        <v>5899.6940000000004</v>
      </c>
      <c r="C347" s="247">
        <v>196.65646666666669</v>
      </c>
      <c r="D347" s="247">
        <v>12.192466666666689</v>
      </c>
      <c r="E347" s="247">
        <v>6.6096727093994945E-2</v>
      </c>
      <c r="F347" s="247">
        <v>4325.8779999999997</v>
      </c>
      <c r="G347" s="247">
        <v>4287.3580000000002</v>
      </c>
      <c r="H347" s="247">
        <v>38.520000000000003</v>
      </c>
      <c r="I347" s="247">
        <v>352.20600000000002</v>
      </c>
      <c r="J347" s="190">
        <v>43.994261397286024</v>
      </c>
      <c r="K347" s="190">
        <v>46.816624726638359</v>
      </c>
      <c r="L347" s="190">
        <v>0.14662472663835757</v>
      </c>
      <c r="M347" s="247">
        <v>277.51799999999997</v>
      </c>
      <c r="N347" s="247">
        <v>26.007999999999999</v>
      </c>
      <c r="O347" s="247">
        <v>2338.085</v>
      </c>
      <c r="P347" s="247">
        <v>1640.326</v>
      </c>
      <c r="Q347" s="247">
        <v>825.22699999999998</v>
      </c>
      <c r="R347" s="247">
        <v>245.91499999999999</v>
      </c>
      <c r="S347" s="247">
        <v>569.18399999999997</v>
      </c>
      <c r="T347" s="247">
        <v>453.44900000000001</v>
      </c>
      <c r="U347" s="247">
        <v>566.05300000000011</v>
      </c>
      <c r="V347" s="199">
        <v>0.37052094556470361</v>
      </c>
      <c r="W347" s="190">
        <v>11.889184422107315</v>
      </c>
      <c r="X347" s="190">
        <v>-3.0815577892685297E-2</v>
      </c>
      <c r="Y347" s="247">
        <v>58.705809148745672</v>
      </c>
      <c r="Z347" s="247">
        <v>1830.172</v>
      </c>
      <c r="AA347" s="247">
        <v>1787.999</v>
      </c>
      <c r="AB347" s="199">
        <v>2.3043189383292938E-2</v>
      </c>
      <c r="AC347" s="195">
        <v>176.75200000000001</v>
      </c>
      <c r="AD347" s="195">
        <v>1736.104</v>
      </c>
      <c r="AE347" s="195">
        <v>1243.6289999999999</v>
      </c>
      <c r="AF347" s="195">
        <v>492.47500000000002</v>
      </c>
      <c r="AG347" s="191">
        <v>0.97097593455029896</v>
      </c>
      <c r="AH347" s="247"/>
      <c r="AI347" s="247">
        <v>684.07100000000003</v>
      </c>
      <c r="AJ347" s="247">
        <v>22.802366666666668</v>
      </c>
      <c r="AK347" s="247">
        <v>490.97399999999999</v>
      </c>
      <c r="AL347" s="247">
        <v>50.908999999999999</v>
      </c>
      <c r="AM347" s="190">
        <v>43.063424702991355</v>
      </c>
      <c r="AN347" s="190">
        <v>-0.93083669429466909</v>
      </c>
      <c r="AO347" s="247">
        <v>275.51100000000002</v>
      </c>
      <c r="AP347" s="247">
        <v>125.6514417303637</v>
      </c>
      <c r="AQ347" s="190">
        <v>12.082561605447388</v>
      </c>
      <c r="AR347" s="190">
        <v>0.1933771833400737</v>
      </c>
      <c r="AS347" s="190">
        <v>55.145986308438744</v>
      </c>
      <c r="AT347" s="247">
        <v>1213.8240000000001</v>
      </c>
      <c r="AU347" s="247">
        <v>40.460799999999999</v>
      </c>
      <c r="AV347" s="247">
        <v>901.75199999999995</v>
      </c>
      <c r="AW347" s="247">
        <v>52.795000000000002</v>
      </c>
      <c r="AX347" s="190">
        <v>44.574106295476113</v>
      </c>
      <c r="AY347" s="190">
        <v>0.579844898190089</v>
      </c>
      <c r="AZ347" s="247">
        <v>482.56200000000001</v>
      </c>
      <c r="BA347" s="247">
        <v>154.04400000000001</v>
      </c>
      <c r="BB347" s="190">
        <v>11.926654935147106</v>
      </c>
      <c r="BC347" s="190">
        <v>3.7470513039790987E-2</v>
      </c>
      <c r="BD347" s="190">
        <v>56.500761230623219</v>
      </c>
      <c r="BE347" s="247">
        <v>1344.2750000000001</v>
      </c>
      <c r="BF347" s="247">
        <v>44.80916666666667</v>
      </c>
      <c r="BG347" s="247">
        <v>981.99300000000005</v>
      </c>
      <c r="BH347" s="247">
        <v>99.025999999999996</v>
      </c>
      <c r="BI347" s="190">
        <v>43.830005021294006</v>
      </c>
      <c r="BJ347" s="190">
        <v>-0.16425637599201792</v>
      </c>
      <c r="BK347" s="247">
        <v>520.53599999999994</v>
      </c>
      <c r="BL347" s="247">
        <v>134.81299999999999</v>
      </c>
      <c r="BM347" s="190">
        <v>11.616730207732791</v>
      </c>
      <c r="BN347" s="190">
        <v>-0.27245421437452322</v>
      </c>
      <c r="BO347" s="190">
        <v>55.4467352290268</v>
      </c>
      <c r="BP347" s="247">
        <v>996.06</v>
      </c>
      <c r="BQ347" s="247">
        <v>33.201999999999998</v>
      </c>
      <c r="BR347" s="247">
        <v>734.82500000000005</v>
      </c>
      <c r="BS347" s="247">
        <v>53.628</v>
      </c>
      <c r="BT347" s="190">
        <v>44.263899765074399</v>
      </c>
      <c r="BU347" s="190">
        <v>0.26963836778837447</v>
      </c>
      <c r="BV347" s="247">
        <v>386.49400000000003</v>
      </c>
      <c r="BW347" s="247">
        <v>207.06800000000001</v>
      </c>
      <c r="BX347" s="190">
        <v>11.640684296126741</v>
      </c>
      <c r="BY347" s="190">
        <v>-0.24850012598057347</v>
      </c>
      <c r="BZ347" s="190">
        <v>55.904584061201142</v>
      </c>
      <c r="CA347" s="247">
        <v>681.37199999999996</v>
      </c>
      <c r="CB347" s="247">
        <v>22.712399999999999</v>
      </c>
      <c r="CC347" s="247">
        <v>495.26799999999997</v>
      </c>
      <c r="CD347" s="247">
        <v>45.917999999999999</v>
      </c>
      <c r="CE347" s="190">
        <v>43.61212377379757</v>
      </c>
      <c r="CF347" s="190">
        <v>-0.38213762348845393</v>
      </c>
      <c r="CG347" s="247">
        <v>264.72000000000003</v>
      </c>
      <c r="CH347" s="247">
        <v>54.355558269636319</v>
      </c>
      <c r="CI347" s="190">
        <v>11.655307233053312</v>
      </c>
      <c r="CJ347" s="190">
        <v>-0.23387718905400234</v>
      </c>
      <c r="CK347" s="190">
        <v>55.267431006850885</v>
      </c>
      <c r="CL347" s="247">
        <v>980.09199999999998</v>
      </c>
      <c r="CM347" s="247">
        <v>32.669733333333333</v>
      </c>
      <c r="CN347" s="247">
        <v>721.06600000000003</v>
      </c>
      <c r="CO347" s="247">
        <v>49.93</v>
      </c>
      <c r="CP347" s="190">
        <v>44.142753945547973</v>
      </c>
      <c r="CQ347" s="190">
        <v>0.1484925482619488</v>
      </c>
      <c r="CR347" s="247">
        <v>408.262</v>
      </c>
      <c r="CS347" s="247">
        <v>149.29499999999999</v>
      </c>
      <c r="CT347" s="190">
        <v>12.496643172273624</v>
      </c>
      <c r="CU347" s="190">
        <v>0.6074587501663089</v>
      </c>
      <c r="CV347" s="190">
        <v>56.639397117821595</v>
      </c>
      <c r="CW347" s="163"/>
      <c r="CX347" s="212">
        <v>0</v>
      </c>
      <c r="CY347" s="212">
        <v>0</v>
      </c>
      <c r="CZ347" s="212">
        <v>0</v>
      </c>
      <c r="DA347" s="212">
        <v>0</v>
      </c>
      <c r="DB347" s="212">
        <v>0</v>
      </c>
      <c r="DC347" s="212">
        <v>0</v>
      </c>
      <c r="DD347" s="163"/>
      <c r="DE347" s="247">
        <v>205.77799999999999</v>
      </c>
      <c r="DF347" s="247">
        <v>119.754</v>
      </c>
      <c r="DG347" s="247">
        <v>51.11</v>
      </c>
      <c r="DH347" s="199">
        <v>0.58195725490577233</v>
      </c>
      <c r="DI347" s="247">
        <v>169.04</v>
      </c>
      <c r="DJ347" s="199">
        <v>0.41073389769557483</v>
      </c>
      <c r="DK347" s="247">
        <v>166.04499999999999</v>
      </c>
      <c r="DL347" s="247">
        <v>160.91399999999999</v>
      </c>
      <c r="DM347" s="199">
        <v>3.0901261706164029E-2</v>
      </c>
      <c r="DN347" s="247">
        <v>163.76599999999999</v>
      </c>
      <c r="DO347" s="247">
        <v>58.808999999999997</v>
      </c>
      <c r="DP347" s="247">
        <v>115.376</v>
      </c>
      <c r="DQ347" s="247">
        <v>174.185</v>
      </c>
      <c r="DR347" s="247">
        <v>0.9926911526013471</v>
      </c>
      <c r="DS347" s="247">
        <v>0.98228230004732608</v>
      </c>
      <c r="DT347" s="247">
        <v>104.616</v>
      </c>
      <c r="DU347" s="247">
        <v>46.41</v>
      </c>
      <c r="DV347" s="247">
        <v>35.19</v>
      </c>
      <c r="DW347" s="199">
        <v>0.44362239045652668</v>
      </c>
      <c r="DX347" s="247">
        <v>25.988</v>
      </c>
      <c r="DY347" s="199">
        <v>0.12420662231398638</v>
      </c>
      <c r="DZ347" s="247">
        <v>37.698</v>
      </c>
      <c r="EA347" s="247">
        <v>36.566000000000003</v>
      </c>
      <c r="EB347" s="199">
        <v>3.002811820255713E-2</v>
      </c>
      <c r="EC347" s="247">
        <v>32.188000000000002</v>
      </c>
      <c r="ED347" s="247">
        <v>22.5</v>
      </c>
      <c r="EE347" s="247">
        <v>31.032</v>
      </c>
      <c r="EF347" s="247">
        <v>53.531999999999996</v>
      </c>
      <c r="EG347" s="199">
        <v>0.56782901277051301</v>
      </c>
    </row>
    <row r="348" spans="1:137">
      <c r="A348" s="157">
        <v>44866</v>
      </c>
      <c r="B348" s="247">
        <v>5684.4920000000002</v>
      </c>
      <c r="C348" s="247">
        <v>189.48306666666667</v>
      </c>
      <c r="D348" s="247">
        <v>10.299066666666675</v>
      </c>
      <c r="E348" s="247">
        <v>5.7477602166860153E-2</v>
      </c>
      <c r="F348" s="247">
        <v>4189.3159999999998</v>
      </c>
      <c r="G348" s="247">
        <v>4151.9979999999996</v>
      </c>
      <c r="H348" s="247">
        <v>37.317999999999998</v>
      </c>
      <c r="I348" s="247">
        <v>319.089</v>
      </c>
      <c r="J348" s="190">
        <v>44.218368149695692</v>
      </c>
      <c r="K348" s="190">
        <v>47.164594479154864</v>
      </c>
      <c r="L348" s="190">
        <v>0.1145944791548672</v>
      </c>
      <c r="M348" s="247">
        <v>279.13</v>
      </c>
      <c r="N348" s="247">
        <v>28.853000000000002</v>
      </c>
      <c r="O348" s="247">
        <v>2198.1819999999998</v>
      </c>
      <c r="P348" s="247">
        <v>1672.8910000000001</v>
      </c>
      <c r="Q348" s="247">
        <v>896.351</v>
      </c>
      <c r="R348" s="247">
        <v>247.316</v>
      </c>
      <c r="S348" s="247">
        <v>529.22400000000005</v>
      </c>
      <c r="T348" s="247">
        <v>435.06099999999998</v>
      </c>
      <c r="U348" s="247">
        <v>477.75000000000023</v>
      </c>
      <c r="V348" s="199">
        <v>0.2930618414159718</v>
      </c>
      <c r="W348" s="190">
        <v>11.600941649667199</v>
      </c>
      <c r="X348" s="190">
        <v>-2.9058350332801908E-2</v>
      </c>
      <c r="Y348" s="247">
        <v>58.765536128822063</v>
      </c>
      <c r="Z348" s="247">
        <v>1674.7840000000001</v>
      </c>
      <c r="AA348" s="247">
        <v>1633.4010000000001</v>
      </c>
      <c r="AB348" s="199">
        <v>2.4709455070026962E-2</v>
      </c>
      <c r="AC348" s="195">
        <v>185.61</v>
      </c>
      <c r="AD348" s="195">
        <v>1661.798</v>
      </c>
      <c r="AE348" s="195">
        <v>1178.251</v>
      </c>
      <c r="AF348" s="195">
        <v>483.54700000000003</v>
      </c>
      <c r="AG348" s="191">
        <v>1.0173851981234245</v>
      </c>
      <c r="AH348" s="247"/>
      <c r="AI348" s="247">
        <v>660.58399999999995</v>
      </c>
      <c r="AJ348" s="247">
        <v>22.019466666666666</v>
      </c>
      <c r="AK348" s="247">
        <v>478.49400000000003</v>
      </c>
      <c r="AL348" s="247">
        <v>54.036999999999999</v>
      </c>
      <c r="AM348" s="190">
        <v>43.460998147094088</v>
      </c>
      <c r="AN348" s="190">
        <v>-0.75737000260160414</v>
      </c>
      <c r="AO348" s="247">
        <v>253.48099999999999</v>
      </c>
      <c r="AP348" s="247">
        <v>168.75745917573644</v>
      </c>
      <c r="AQ348" s="190">
        <v>11.511677545929057</v>
      </c>
      <c r="AR348" s="190">
        <v>-8.9264103738141642E-2</v>
      </c>
      <c r="AS348" s="190">
        <v>54.972675693023149</v>
      </c>
      <c r="AT348" s="247">
        <v>1148.152</v>
      </c>
      <c r="AU348" s="247">
        <v>38.271733333333337</v>
      </c>
      <c r="AV348" s="247">
        <v>851.52200000000005</v>
      </c>
      <c r="AW348" s="247">
        <v>40.518000000000001</v>
      </c>
      <c r="AX348" s="190">
        <v>44.498742326799935</v>
      </c>
      <c r="AY348" s="190">
        <v>0.28037417710424251</v>
      </c>
      <c r="AZ348" s="247">
        <v>453.03899999999999</v>
      </c>
      <c r="BA348" s="247">
        <v>158.34100000000001</v>
      </c>
      <c r="BB348" s="190">
        <v>11.837430932489774</v>
      </c>
      <c r="BC348" s="190">
        <v>0.23648928282257486</v>
      </c>
      <c r="BD348" s="190">
        <v>56.336173259289708</v>
      </c>
      <c r="BE348" s="247">
        <v>1268.94</v>
      </c>
      <c r="BF348" s="247">
        <v>42.298000000000002</v>
      </c>
      <c r="BG348" s="247">
        <v>938.50199999999995</v>
      </c>
      <c r="BH348" s="247">
        <v>94.05</v>
      </c>
      <c r="BI348" s="190">
        <v>44.375715163837526</v>
      </c>
      <c r="BJ348" s="190">
        <v>0.15734701414183405</v>
      </c>
      <c r="BK348" s="247">
        <v>481.803</v>
      </c>
      <c r="BL348" s="247">
        <v>157.57</v>
      </c>
      <c r="BM348" s="190">
        <v>11.390680410421297</v>
      </c>
      <c r="BN348" s="190">
        <v>-0.21026123924590223</v>
      </c>
      <c r="BO348" s="190">
        <v>55.766395574258823</v>
      </c>
      <c r="BP348" s="247">
        <v>970.21699999999998</v>
      </c>
      <c r="BQ348" s="247">
        <v>32.340566666666668</v>
      </c>
      <c r="BR348" s="247">
        <v>721.24199999999996</v>
      </c>
      <c r="BS348" s="247">
        <v>51.92</v>
      </c>
      <c r="BT348" s="190">
        <v>44.602929035463198</v>
      </c>
      <c r="BU348" s="190">
        <v>0.38456088576750602</v>
      </c>
      <c r="BV348" s="247">
        <v>368.08</v>
      </c>
      <c r="BW348" s="247">
        <v>205.42</v>
      </c>
      <c r="BX348" s="190">
        <v>11.381371383927512</v>
      </c>
      <c r="BY348" s="190">
        <v>-0.21957026573968719</v>
      </c>
      <c r="BZ348" s="190">
        <v>55.984300419390706</v>
      </c>
      <c r="CA348" s="247">
        <v>686.74400000000003</v>
      </c>
      <c r="CB348" s="247">
        <v>22.891466666666666</v>
      </c>
      <c r="CC348" s="247">
        <v>500.1</v>
      </c>
      <c r="CD348" s="247">
        <v>33.774999999999999</v>
      </c>
      <c r="CE348" s="190">
        <v>43.693137471896371</v>
      </c>
      <c r="CF348" s="190">
        <v>-0.5252306777993212</v>
      </c>
      <c r="CG348" s="247">
        <v>263.35500000000002</v>
      </c>
      <c r="CH348" s="247">
        <v>55.83554082426366</v>
      </c>
      <c r="CI348" s="190">
        <v>11.5045053178477</v>
      </c>
      <c r="CJ348" s="190">
        <v>-9.6436331819498733E-2</v>
      </c>
      <c r="CK348" s="190">
        <v>55.197642789744073</v>
      </c>
      <c r="CL348" s="247">
        <v>949.85500000000002</v>
      </c>
      <c r="CM348" s="247">
        <v>31.661833333333334</v>
      </c>
      <c r="CN348" s="247">
        <v>699.45600000000002</v>
      </c>
      <c r="CO348" s="247">
        <v>44.789000000000001</v>
      </c>
      <c r="CP348" s="190">
        <v>44.182912128693324</v>
      </c>
      <c r="CQ348" s="190">
        <v>-3.5456021002367777E-2</v>
      </c>
      <c r="CR348" s="247">
        <v>378.42399999999998</v>
      </c>
      <c r="CS348" s="247">
        <v>150.42699999999999</v>
      </c>
      <c r="CT348" s="190">
        <v>11.952055840101909</v>
      </c>
      <c r="CU348" s="190">
        <v>0.35111419043471059</v>
      </c>
      <c r="CV348" s="190">
        <v>56.134967968795237</v>
      </c>
      <c r="CW348" s="163"/>
      <c r="CX348" s="212">
        <v>0</v>
      </c>
      <c r="CY348" s="212">
        <v>0</v>
      </c>
      <c r="CZ348" s="212">
        <v>0</v>
      </c>
      <c r="DA348" s="212">
        <v>0</v>
      </c>
      <c r="DB348" s="212">
        <v>0</v>
      </c>
      <c r="DC348" s="212">
        <v>0</v>
      </c>
      <c r="DD348" s="163"/>
      <c r="DE348" s="247">
        <v>180.75</v>
      </c>
      <c r="DF348" s="247">
        <v>100.676</v>
      </c>
      <c r="DG348" s="247">
        <v>43.302</v>
      </c>
      <c r="DH348" s="199">
        <v>0.55699031811894884</v>
      </c>
      <c r="DI348" s="247">
        <v>144.96899999999999</v>
      </c>
      <c r="DJ348" s="199">
        <v>0.40102074688796679</v>
      </c>
      <c r="DK348" s="247">
        <v>148.74700000000001</v>
      </c>
      <c r="DL348" s="247">
        <v>144.38200000000001</v>
      </c>
      <c r="DM348" s="199">
        <v>2.9345129649673618E-2</v>
      </c>
      <c r="DN348" s="247">
        <v>147.672</v>
      </c>
      <c r="DO348" s="247">
        <v>61.701000000000001</v>
      </c>
      <c r="DP348" s="247">
        <v>109.17</v>
      </c>
      <c r="DQ348" s="247">
        <v>170.87100000000001</v>
      </c>
      <c r="DR348" s="247">
        <v>0.95801106500691557</v>
      </c>
      <c r="DS348" s="247">
        <v>1.0260607440211358</v>
      </c>
      <c r="DT348" s="247">
        <v>128.90700000000001</v>
      </c>
      <c r="DU348" s="247">
        <v>51.070999999999998</v>
      </c>
      <c r="DV348" s="247">
        <v>36.042999999999999</v>
      </c>
      <c r="DW348" s="199">
        <v>0.39618484643968127</v>
      </c>
      <c r="DX348" s="247">
        <v>33.920999999999999</v>
      </c>
      <c r="DY348" s="199">
        <v>0.13157159812888361</v>
      </c>
      <c r="DZ348" s="247">
        <v>38.140999999999998</v>
      </c>
      <c r="EA348" s="247">
        <v>37.088999999999999</v>
      </c>
      <c r="EB348" s="199">
        <v>2.7581867281927575E-2</v>
      </c>
      <c r="EC348" s="247">
        <v>34.201000000000001</v>
      </c>
      <c r="ED348" s="247">
        <v>22.5</v>
      </c>
      <c r="EE348" s="247">
        <v>35.119</v>
      </c>
      <c r="EF348" s="247">
        <v>57.619</v>
      </c>
      <c r="EG348" s="199">
        <v>0.52775644456856485</v>
      </c>
    </row>
    <row r="349" spans="1:137">
      <c r="A349" s="157">
        <v>44896</v>
      </c>
      <c r="B349" s="247">
        <v>5622.5609999999997</v>
      </c>
      <c r="C349" s="247">
        <v>187.4187</v>
      </c>
      <c r="D349" s="247">
        <v>9.9137000000000057</v>
      </c>
      <c r="E349" s="247">
        <v>5.5850257739218589E-2</v>
      </c>
      <c r="F349" s="247">
        <v>4154.6139999999996</v>
      </c>
      <c r="G349" s="247">
        <v>4124.2849999999999</v>
      </c>
      <c r="H349" s="247">
        <v>30.329000000000001</v>
      </c>
      <c r="I349" s="247">
        <v>415.59300000000002</v>
      </c>
      <c r="J349" s="190">
        <v>44.335106368788168</v>
      </c>
      <c r="K349" s="190">
        <v>47.352894881887451</v>
      </c>
      <c r="L349" s="190">
        <v>-0.16710511811255202</v>
      </c>
      <c r="M349" s="247">
        <v>282.79500000000002</v>
      </c>
      <c r="N349" s="247">
        <v>40.283999999999999</v>
      </c>
      <c r="O349" s="247">
        <v>2195.3580000000002</v>
      </c>
      <c r="P349" s="247">
        <v>1902.38</v>
      </c>
      <c r="Q349" s="247">
        <v>1014.514</v>
      </c>
      <c r="R349" s="247">
        <v>355.26499999999999</v>
      </c>
      <c r="S349" s="247">
        <v>532.601</v>
      </c>
      <c r="T349" s="247">
        <v>403.767</v>
      </c>
      <c r="U349" s="247">
        <v>515.57799999999997</v>
      </c>
      <c r="V349" s="199">
        <v>0.28794087242658617</v>
      </c>
      <c r="W349" s="190">
        <v>11.713655040825703</v>
      </c>
      <c r="X349" s="190">
        <v>-2.6344959174297244E-2</v>
      </c>
      <c r="Y349" s="247">
        <v>59.066549922713151</v>
      </c>
      <c r="Z349" s="247">
        <v>1615.6120000000001</v>
      </c>
      <c r="AA349" s="247">
        <v>1582.664</v>
      </c>
      <c r="AB349" s="199">
        <v>2.0393510323023157E-2</v>
      </c>
      <c r="AC349" s="195">
        <v>170.4698866099904</v>
      </c>
      <c r="AD349" s="195">
        <v>1611.482</v>
      </c>
      <c r="AE349" s="195">
        <v>1083.2539999999999</v>
      </c>
      <c r="AF349" s="195">
        <v>528.22799999999995</v>
      </c>
      <c r="AG349" s="191">
        <v>1.0182085395257616</v>
      </c>
      <c r="AH349" s="247"/>
      <c r="AI349" s="247">
        <v>694.18700000000001</v>
      </c>
      <c r="AJ349" s="247">
        <v>23.139566666666667</v>
      </c>
      <c r="AK349" s="247">
        <v>503.197</v>
      </c>
      <c r="AL349" s="247">
        <v>71.575999999999993</v>
      </c>
      <c r="AM349" s="190">
        <v>43.492344281872178</v>
      </c>
      <c r="AN349" s="190">
        <v>-0.84276208691598953</v>
      </c>
      <c r="AO349" s="247">
        <v>280.113</v>
      </c>
      <c r="AP349" s="247">
        <v>140.08502413362589</v>
      </c>
      <c r="AQ349" s="190">
        <v>12.105369302507825</v>
      </c>
      <c r="AR349" s="190">
        <v>0.39171426168212164</v>
      </c>
      <c r="AS349" s="190">
        <v>55.597713584380003</v>
      </c>
      <c r="AT349" s="247">
        <v>1134.4580000000001</v>
      </c>
      <c r="AU349" s="247">
        <v>37.815266666666666</v>
      </c>
      <c r="AV349" s="247">
        <v>839.50900000000001</v>
      </c>
      <c r="AW349" s="247">
        <v>50.682000000000002</v>
      </c>
      <c r="AX349" s="190">
        <v>44.400533118017592</v>
      </c>
      <c r="AY349" s="190">
        <v>6.542674922942382E-2</v>
      </c>
      <c r="AZ349" s="247">
        <v>448.28100000000001</v>
      </c>
      <c r="BA349" s="247">
        <v>193.25399999999999</v>
      </c>
      <c r="BB349" s="190">
        <v>11.854497918829962</v>
      </c>
      <c r="BC349" s="190">
        <v>0.14084287800425876</v>
      </c>
      <c r="BD349" s="190">
        <v>56.255031036847555</v>
      </c>
      <c r="BE349" s="247">
        <v>1283.2460000000001</v>
      </c>
      <c r="BF349" s="247">
        <v>42.774866666666668</v>
      </c>
      <c r="BG349" s="247">
        <v>950.50800000000004</v>
      </c>
      <c r="BH349" s="247">
        <v>127.54</v>
      </c>
      <c r="BI349" s="190">
        <v>44.442359454071941</v>
      </c>
      <c r="BJ349" s="190">
        <v>0.10725308528377298</v>
      </c>
      <c r="BK349" s="247">
        <v>492.43099999999998</v>
      </c>
      <c r="BL349" s="247">
        <v>196.32599999999999</v>
      </c>
      <c r="BM349" s="190">
        <v>11.512157450714827</v>
      </c>
      <c r="BN349" s="190">
        <v>-0.20149759011087554</v>
      </c>
      <c r="BO349" s="190">
        <v>55.954516904786772</v>
      </c>
      <c r="BP349" s="247">
        <v>944.50800000000004</v>
      </c>
      <c r="BQ349" s="247">
        <v>31.483600000000003</v>
      </c>
      <c r="BR349" s="247">
        <v>699.78899999999999</v>
      </c>
      <c r="BS349" s="247">
        <v>62.261000000000003</v>
      </c>
      <c r="BT349" s="190">
        <v>44.454192023783804</v>
      </c>
      <c r="BU349" s="190">
        <v>0.1190856549956365</v>
      </c>
      <c r="BV349" s="247">
        <v>360.964</v>
      </c>
      <c r="BW349" s="247">
        <v>300.26799999999997</v>
      </c>
      <c r="BX349" s="190">
        <v>11.465143757384796</v>
      </c>
      <c r="BY349" s="190">
        <v>-0.24851128344090689</v>
      </c>
      <c r="BZ349" s="190">
        <v>55.919335781168598</v>
      </c>
      <c r="CA349" s="247">
        <v>616.43799999999999</v>
      </c>
      <c r="CB349" s="247">
        <v>20.547933333333333</v>
      </c>
      <c r="CC349" s="247">
        <v>453.64400000000001</v>
      </c>
      <c r="CD349" s="247">
        <v>45.451999999999998</v>
      </c>
      <c r="CE349" s="190">
        <v>44.15470817827584</v>
      </c>
      <c r="CF349" s="190">
        <v>-0.18039819051232797</v>
      </c>
      <c r="CG349" s="247">
        <v>228.84299999999999</v>
      </c>
      <c r="CH349" s="247">
        <v>64.434975866374103</v>
      </c>
      <c r="CI349" s="190">
        <v>11.137032434729852</v>
      </c>
      <c r="CJ349" s="190">
        <v>-0.57662260609585125</v>
      </c>
      <c r="CK349" s="190">
        <v>55.291740613005693</v>
      </c>
      <c r="CL349" s="247">
        <v>949.72400000000005</v>
      </c>
      <c r="CM349" s="247">
        <v>31.657466666666668</v>
      </c>
      <c r="CN349" s="247">
        <v>707.96699999999998</v>
      </c>
      <c r="CO349" s="247">
        <v>58.082000000000001</v>
      </c>
      <c r="CP349" s="190">
        <v>44.726699546394528</v>
      </c>
      <c r="CQ349" s="190">
        <v>0.39159317760636014</v>
      </c>
      <c r="CR349" s="247">
        <v>384.726</v>
      </c>
      <c r="CS349" s="247">
        <v>120.146</v>
      </c>
      <c r="CT349" s="190">
        <v>12.152772805572987</v>
      </c>
      <c r="CU349" s="190">
        <v>0.4391177647472837</v>
      </c>
      <c r="CV349" s="190">
        <v>56.879472351967514</v>
      </c>
      <c r="CW349" s="163"/>
      <c r="CX349" s="212">
        <v>0</v>
      </c>
      <c r="CY349" s="212">
        <v>0</v>
      </c>
      <c r="CZ349" s="212">
        <v>0</v>
      </c>
      <c r="DA349" s="212">
        <v>0</v>
      </c>
      <c r="DB349" s="212">
        <v>0</v>
      </c>
      <c r="DC349" s="212">
        <v>0</v>
      </c>
      <c r="DD349" s="163"/>
      <c r="DE349" s="247">
        <v>181.45500000000001</v>
      </c>
      <c r="DF349" s="247">
        <v>104.20699999999999</v>
      </c>
      <c r="DG349" s="247">
        <v>42.220999999999997</v>
      </c>
      <c r="DH349" s="199">
        <v>0.57428563555702505</v>
      </c>
      <c r="DI349" s="247">
        <v>145.91399999999999</v>
      </c>
      <c r="DJ349" s="199">
        <v>0.40206662808960891</v>
      </c>
      <c r="DK349" s="247">
        <v>138.749</v>
      </c>
      <c r="DL349" s="247">
        <v>134.93799999999999</v>
      </c>
      <c r="DM349" s="199">
        <v>2.7466864626051413E-2</v>
      </c>
      <c r="DN349" s="247">
        <v>140.154</v>
      </c>
      <c r="DO349" s="247">
        <v>87.566999999999993</v>
      </c>
      <c r="DP349" s="247">
        <v>103.07599999999999</v>
      </c>
      <c r="DQ349" s="247">
        <v>190.64299999999997</v>
      </c>
      <c r="DR349" s="247">
        <v>0.97635226364663397</v>
      </c>
      <c r="DS349" s="247">
        <v>0.95089573310306075</v>
      </c>
      <c r="DT349" s="247">
        <v>116.905</v>
      </c>
      <c r="DU349" s="247">
        <v>48.103000000000002</v>
      </c>
      <c r="DV349" s="247">
        <v>31.286000000000001</v>
      </c>
      <c r="DW349" s="199">
        <v>0.41147085240152259</v>
      </c>
      <c r="DX349" s="247">
        <v>32.247</v>
      </c>
      <c r="DY349" s="199">
        <v>0.13791967837132715</v>
      </c>
      <c r="DZ349" s="247">
        <v>27.617000000000001</v>
      </c>
      <c r="EA349" s="247">
        <v>27.03</v>
      </c>
      <c r="EB349" s="199">
        <v>2.125502407937141E-2</v>
      </c>
      <c r="EC349" s="247">
        <v>30.73</v>
      </c>
      <c r="ED349" s="247">
        <v>30</v>
      </c>
      <c r="EE349" s="247">
        <v>31.792999999999999</v>
      </c>
      <c r="EF349" s="247">
        <v>61.792999999999999</v>
      </c>
      <c r="EG349" s="199">
        <v>0.54939053077284972</v>
      </c>
    </row>
    <row r="350" spans="1:137">
      <c r="A350" s="157">
        <v>44927</v>
      </c>
      <c r="B350" s="247">
        <v>5734.3980000000001</v>
      </c>
      <c r="C350" s="247">
        <v>191.14660000000001</v>
      </c>
      <c r="D350" s="247">
        <v>12.139600000000002</v>
      </c>
      <c r="E350" s="247">
        <v>6.7816342377672312E-2</v>
      </c>
      <c r="F350" s="247">
        <v>4254.5990000000002</v>
      </c>
      <c r="G350" s="247">
        <v>4208.7830000000004</v>
      </c>
      <c r="H350" s="247">
        <v>45.816000000000003</v>
      </c>
      <c r="I350" s="247">
        <v>397.63799999999998</v>
      </c>
      <c r="J350" s="190">
        <v>44.516606625490596</v>
      </c>
      <c r="K350" s="190">
        <v>47.512317770758152</v>
      </c>
      <c r="L350" s="190">
        <v>0.1923177707581516</v>
      </c>
      <c r="M350" s="247">
        <v>286.31</v>
      </c>
      <c r="N350" s="247">
        <v>45.228000000000002</v>
      </c>
      <c r="O350" s="247">
        <v>2252.3119999999999</v>
      </c>
      <c r="P350" s="247">
        <v>1898.8920000000001</v>
      </c>
      <c r="Q350" s="247">
        <v>1015.648</v>
      </c>
      <c r="R350" s="247">
        <v>308.84699999999998</v>
      </c>
      <c r="S350" s="247">
        <v>574.39700000000005</v>
      </c>
      <c r="T350" s="247">
        <v>457.50900000000001</v>
      </c>
      <c r="U350" s="247">
        <v>527.79999999999973</v>
      </c>
      <c r="V350" s="199">
        <v>0.28863595721537916</v>
      </c>
      <c r="W350" s="190">
        <v>11.783165381963371</v>
      </c>
      <c r="X350" s="190">
        <v>-1.6834618036629223E-2</v>
      </c>
      <c r="Y350" s="247">
        <v>59.295483152721523</v>
      </c>
      <c r="Z350" s="247">
        <v>1753.308</v>
      </c>
      <c r="AA350" s="247">
        <v>1719.2149999999999</v>
      </c>
      <c r="AB350" s="199">
        <v>1.9444957759846001E-2</v>
      </c>
      <c r="AC350" s="195">
        <v>159.86355514271909</v>
      </c>
      <c r="AD350" s="195">
        <v>1667.2170000000001</v>
      </c>
      <c r="AE350" s="195">
        <v>1175.5840000000001</v>
      </c>
      <c r="AF350" s="195">
        <v>491.63299999999998</v>
      </c>
      <c r="AG350" s="191">
        <v>0.96975480088296118</v>
      </c>
      <c r="AH350" s="247"/>
      <c r="AI350" s="247">
        <v>697.71400000000006</v>
      </c>
      <c r="AJ350" s="247">
        <v>23.257133333333336</v>
      </c>
      <c r="AK350" s="247">
        <v>519.79</v>
      </c>
      <c r="AL350" s="247">
        <v>53.384895288961701</v>
      </c>
      <c r="AM350" s="190">
        <v>44.699404053810007</v>
      </c>
      <c r="AN350" s="190">
        <v>0.18279742831941093</v>
      </c>
      <c r="AO350" s="247">
        <v>282.81099999999998</v>
      </c>
      <c r="AP350" s="247">
        <v>167.24514895566551</v>
      </c>
      <c r="AQ350" s="190">
        <v>12.160183112278094</v>
      </c>
      <c r="AR350" s="190">
        <v>0.37701773031472285</v>
      </c>
      <c r="AS350" s="190">
        <v>56.859587166088104</v>
      </c>
      <c r="AT350" s="247">
        <v>1124.8889999999999</v>
      </c>
      <c r="AU350" s="247">
        <v>37.496299999999998</v>
      </c>
      <c r="AV350" s="247">
        <v>839.46900000000005</v>
      </c>
      <c r="AW350" s="247">
        <v>52.375</v>
      </c>
      <c r="AX350" s="190">
        <v>44.77609790832696</v>
      </c>
      <c r="AY350" s="190">
        <v>0.25949128283636469</v>
      </c>
      <c r="AZ350" s="247">
        <v>443.8</v>
      </c>
      <c r="BA350" s="247">
        <v>199.82499999999999</v>
      </c>
      <c r="BB350" s="190">
        <v>11.835834469000943</v>
      </c>
      <c r="BC350" s="190">
        <v>5.2669087037571671E-2</v>
      </c>
      <c r="BD350" s="190">
        <v>56.611932377327904</v>
      </c>
      <c r="BE350" s="247">
        <v>1340.192</v>
      </c>
      <c r="BF350" s="247">
        <v>44.673066666666664</v>
      </c>
      <c r="BG350" s="247">
        <v>998.15700000000004</v>
      </c>
      <c r="BH350" s="247">
        <v>134.71700000000001</v>
      </c>
      <c r="BI350" s="190">
        <v>44.687194073684971</v>
      </c>
      <c r="BJ350" s="190">
        <v>0.17058744819437521</v>
      </c>
      <c r="BK350" s="247">
        <v>518.76700000000005</v>
      </c>
      <c r="BL350" s="247">
        <v>224.012</v>
      </c>
      <c r="BM350" s="190">
        <v>11.612522683317019</v>
      </c>
      <c r="BN350" s="190">
        <v>-0.17064269864635229</v>
      </c>
      <c r="BO350" s="190">
        <v>56.299716757001988</v>
      </c>
      <c r="BP350" s="247">
        <v>934.13699999999994</v>
      </c>
      <c r="BQ350" s="247">
        <v>31.137899999999998</v>
      </c>
      <c r="BR350" s="247">
        <v>692.76300000000003</v>
      </c>
      <c r="BS350" s="247">
        <v>56.96</v>
      </c>
      <c r="BT350" s="190">
        <v>44.496449664235548</v>
      </c>
      <c r="BU350" s="190">
        <v>-2.0156961255047179E-2</v>
      </c>
      <c r="BV350" s="247">
        <v>369.17599999999999</v>
      </c>
      <c r="BW350" s="247">
        <v>237.84200000000001</v>
      </c>
      <c r="BX350" s="190">
        <v>11.856162425854023</v>
      </c>
      <c r="BY350" s="190">
        <v>7.299704389065198E-2</v>
      </c>
      <c r="BZ350" s="190">
        <v>56.352612090089572</v>
      </c>
      <c r="CA350" s="247">
        <v>692.82899999999995</v>
      </c>
      <c r="CB350" s="247">
        <v>23.094299999999997</v>
      </c>
      <c r="CC350" s="247">
        <v>503.495</v>
      </c>
      <c r="CD350" s="247">
        <v>50.358104711038251</v>
      </c>
      <c r="CE350" s="190">
        <v>43.603399973153557</v>
      </c>
      <c r="CF350" s="190">
        <v>-0.91320665233703835</v>
      </c>
      <c r="CG350" s="247">
        <v>257.99799999999999</v>
      </c>
      <c r="CH350" s="247">
        <v>65.84085104433467</v>
      </c>
      <c r="CI350" s="190">
        <v>11.171501192935054</v>
      </c>
      <c r="CJ350" s="190">
        <v>-0.61166418902831765</v>
      </c>
      <c r="CK350" s="190">
        <v>54.774901166088611</v>
      </c>
      <c r="CL350" s="247">
        <v>944.63699999999994</v>
      </c>
      <c r="CM350" s="247">
        <v>31.4879</v>
      </c>
      <c r="CN350" s="247">
        <v>700.92499999999995</v>
      </c>
      <c r="CO350" s="247">
        <v>49.843000000000004</v>
      </c>
      <c r="CP350" s="190">
        <v>44.520276042543323</v>
      </c>
      <c r="CQ350" s="190">
        <v>3.6694170527269421E-3</v>
      </c>
      <c r="CR350" s="247">
        <v>379.76</v>
      </c>
      <c r="CS350" s="247">
        <v>120.883</v>
      </c>
      <c r="CT350" s="190">
        <v>12.060505781585942</v>
      </c>
      <c r="CU350" s="190">
        <v>0.27734039962257029</v>
      </c>
      <c r="CV350" s="190">
        <v>56.580781824129261</v>
      </c>
      <c r="CW350" s="163"/>
      <c r="CX350" s="212">
        <v>0</v>
      </c>
      <c r="CY350" s="212">
        <v>0</v>
      </c>
      <c r="CZ350" s="212">
        <v>0</v>
      </c>
      <c r="DA350" s="212">
        <v>0</v>
      </c>
      <c r="DB350" s="212">
        <v>-2.1316282072803006E-13</v>
      </c>
      <c r="DC350" s="212">
        <v>0</v>
      </c>
      <c r="DD350" s="163"/>
      <c r="DE350" s="247">
        <v>204.34</v>
      </c>
      <c r="DF350" s="247">
        <v>118.623</v>
      </c>
      <c r="DG350" s="247">
        <v>50.54</v>
      </c>
      <c r="DH350" s="199">
        <v>0.58051776451013015</v>
      </c>
      <c r="DI350" s="247">
        <v>165.78100000000001</v>
      </c>
      <c r="DJ350" s="199">
        <v>0.40564989723010669</v>
      </c>
      <c r="DK350" s="247">
        <v>161.77799999999999</v>
      </c>
      <c r="DL350" s="247">
        <v>157.184</v>
      </c>
      <c r="DM350" s="199">
        <v>2.8396939015193579E-2</v>
      </c>
      <c r="DN350" s="247">
        <v>145.07599999999999</v>
      </c>
      <c r="DO350" s="247">
        <v>81.224000000000004</v>
      </c>
      <c r="DP350" s="247">
        <v>103.791</v>
      </c>
      <c r="DQ350" s="247">
        <v>185.01499999999999</v>
      </c>
      <c r="DR350" s="247">
        <v>0.98616766174023684</v>
      </c>
      <c r="DS350" s="247">
        <v>0.97585368649000781</v>
      </c>
      <c r="DT350" s="247">
        <v>135.46799999999999</v>
      </c>
      <c r="DU350" s="247">
        <v>59.707000000000001</v>
      </c>
      <c r="DV350" s="247">
        <v>28.677</v>
      </c>
      <c r="DW350" s="199">
        <v>0.44074615407328671</v>
      </c>
      <c r="DX350" s="247">
        <v>35.898000000000003</v>
      </c>
      <c r="DY350" s="199">
        <v>0.13249623527327489</v>
      </c>
      <c r="DZ350" s="247">
        <v>37.978000000000002</v>
      </c>
      <c r="EA350" s="247">
        <v>37.156999999999996</v>
      </c>
      <c r="EB350" s="199">
        <v>2.1617778713992397E-2</v>
      </c>
      <c r="EC350" s="247">
        <v>34.838999999999999</v>
      </c>
      <c r="ED350" s="247">
        <v>25</v>
      </c>
      <c r="EE350" s="247">
        <v>34.244999999999997</v>
      </c>
      <c r="EF350" s="247">
        <v>59.244999999999997</v>
      </c>
      <c r="EG350" s="199">
        <v>0.57324238934656158</v>
      </c>
    </row>
    <row r="351" spans="1:137">
      <c r="A351" s="157">
        <v>44958</v>
      </c>
      <c r="B351" s="247">
        <v>5306.9949999999999</v>
      </c>
      <c r="C351" s="247">
        <v>176.89983333333333</v>
      </c>
      <c r="D351" s="247">
        <v>11.485833333333346</v>
      </c>
      <c r="E351" s="247">
        <v>6.9436887647559065E-2</v>
      </c>
      <c r="F351" s="247">
        <v>3934.5880000000002</v>
      </c>
      <c r="G351" s="247">
        <v>3897.6219999999998</v>
      </c>
      <c r="H351" s="247">
        <v>36.966000000000001</v>
      </c>
      <c r="I351" s="247">
        <v>430.34100000000001</v>
      </c>
      <c r="J351" s="190">
        <v>44.483795443560815</v>
      </c>
      <c r="K351" s="190">
        <v>47.457184338783058</v>
      </c>
      <c r="L351" s="190">
        <v>-5.2815661216939702E-2</v>
      </c>
      <c r="M351" s="247">
        <v>262.99599999999998</v>
      </c>
      <c r="N351" s="247">
        <v>45.317999999999998</v>
      </c>
      <c r="O351" s="247">
        <v>2091.2179999999998</v>
      </c>
      <c r="P351" s="247">
        <v>1900.578</v>
      </c>
      <c r="Q351" s="247">
        <v>1004.199</v>
      </c>
      <c r="R351" s="247">
        <v>285.43400000000003</v>
      </c>
      <c r="S351" s="247">
        <v>610.94500000000005</v>
      </c>
      <c r="T351" s="247">
        <v>461.185</v>
      </c>
      <c r="U351" s="247">
        <v>552.94699999999989</v>
      </c>
      <c r="V351" s="199">
        <v>0.30569554891155315</v>
      </c>
      <c r="W351" s="190">
        <v>11.821480894555204</v>
      </c>
      <c r="X351" s="190">
        <v>-2.8519105444795301E-2</v>
      </c>
      <c r="Y351" s="247">
        <v>59.278665233338259</v>
      </c>
      <c r="Z351" s="247">
        <v>1710.3209999999999</v>
      </c>
      <c r="AA351" s="247">
        <v>1675.796</v>
      </c>
      <c r="AB351" s="199">
        <v>2.0186269127257319E-2</v>
      </c>
      <c r="AC351" s="195">
        <v>159.08886992818742</v>
      </c>
      <c r="AD351" s="195">
        <v>1663.8489999999999</v>
      </c>
      <c r="AE351" s="195">
        <v>1176.222</v>
      </c>
      <c r="AF351" s="195">
        <v>487.62700000000001</v>
      </c>
      <c r="AG351" s="191">
        <v>0.9928708506285967</v>
      </c>
      <c r="AH351" s="247"/>
      <c r="AI351" s="247"/>
      <c r="AJ351" s="247"/>
      <c r="AK351" s="247"/>
      <c r="AL351" s="247"/>
      <c r="AM351" s="190"/>
      <c r="AN351" s="190"/>
      <c r="AO351" s="247"/>
      <c r="AP351" s="247"/>
      <c r="AQ351" s="190"/>
      <c r="AR351" s="190"/>
      <c r="AS351" s="190"/>
      <c r="AT351" s="247"/>
      <c r="AU351" s="247"/>
      <c r="AV351" s="247"/>
      <c r="AW351" s="247"/>
      <c r="AX351" s="190"/>
      <c r="AY351" s="190"/>
      <c r="AZ351" s="247"/>
      <c r="BA351" s="247"/>
      <c r="BB351" s="190"/>
      <c r="BC351" s="190"/>
      <c r="BD351" s="190"/>
      <c r="BE351" s="247"/>
      <c r="BF351" s="247"/>
      <c r="BG351" s="247"/>
      <c r="BH351" s="247"/>
      <c r="BI351" s="190"/>
      <c r="BJ351" s="190"/>
      <c r="BK351" s="247"/>
      <c r="BL351" s="247"/>
      <c r="BM351" s="190"/>
      <c r="BN351" s="190"/>
      <c r="BO351" s="190"/>
      <c r="BP351" s="247"/>
      <c r="BQ351" s="247"/>
      <c r="BR351" s="247"/>
      <c r="BS351" s="247"/>
      <c r="BT351" s="190"/>
      <c r="BU351" s="190"/>
      <c r="BV351" s="247"/>
      <c r="BW351" s="247"/>
      <c r="BX351" s="190"/>
      <c r="BY351" s="190"/>
      <c r="BZ351" s="190"/>
      <c r="CA351" s="247"/>
      <c r="CB351" s="247"/>
      <c r="CC351" s="247"/>
      <c r="CD351" s="247"/>
      <c r="CE351" s="190"/>
      <c r="CF351" s="190"/>
      <c r="CG351" s="247"/>
      <c r="CH351" s="247"/>
      <c r="CI351" s="190"/>
      <c r="CJ351" s="190"/>
      <c r="CK351" s="190"/>
      <c r="CL351" s="247"/>
      <c r="CM351" s="247"/>
      <c r="CN351" s="247"/>
      <c r="CO351" s="247"/>
      <c r="CP351" s="190"/>
      <c r="CQ351" s="190"/>
      <c r="CR351" s="247"/>
      <c r="CS351" s="247"/>
      <c r="CT351" s="190"/>
      <c r="CU351" s="190"/>
      <c r="CV351" s="190"/>
      <c r="CW351" s="163"/>
      <c r="CX351" s="212"/>
      <c r="CY351" s="212"/>
      <c r="CZ351" s="212"/>
      <c r="DA351" s="212"/>
      <c r="DB351" s="212"/>
      <c r="DC351" s="212"/>
      <c r="DD351" s="163"/>
      <c r="DE351" s="247">
        <v>171.529</v>
      </c>
      <c r="DF351" s="247">
        <v>100.252</v>
      </c>
      <c r="DG351" s="247">
        <v>40.800000000000004</v>
      </c>
      <c r="DH351" s="199">
        <v>0.58446093663462151</v>
      </c>
      <c r="DI351" s="247">
        <v>137.28200000000001</v>
      </c>
      <c r="DJ351" s="199">
        <v>0.40017139958840781</v>
      </c>
      <c r="DK351" s="247">
        <v>148.48699999999999</v>
      </c>
      <c r="DL351" s="247">
        <v>143.92699999999999</v>
      </c>
      <c r="DM351" s="199">
        <v>3.0709759103490608E-2</v>
      </c>
      <c r="DN351" s="247">
        <v>152.21799999999999</v>
      </c>
      <c r="DO351" s="247">
        <v>69.995000000000005</v>
      </c>
      <c r="DP351" s="247">
        <v>98.313000000000002</v>
      </c>
      <c r="DQ351" s="247">
        <v>168.30799999999999</v>
      </c>
      <c r="DR351" s="247">
        <v>0.98463233622302937</v>
      </c>
      <c r="DS351" s="247">
        <v>1.081620314389359</v>
      </c>
      <c r="DT351" s="247"/>
      <c r="DU351" s="247"/>
      <c r="DV351" s="247"/>
      <c r="DW351" s="199"/>
      <c r="DX351" s="247"/>
      <c r="DY351" s="199"/>
      <c r="DZ351" s="247"/>
      <c r="EA351" s="247"/>
      <c r="EB351" s="199"/>
      <c r="EC351" s="247"/>
      <c r="ED351" s="247"/>
      <c r="EE351" s="247"/>
      <c r="EF351" s="247"/>
      <c r="EG351" s="199"/>
    </row>
    <row r="352" spans="1:137">
      <c r="A352" s="157">
        <v>44986</v>
      </c>
      <c r="B352" s="247">
        <v>5939.0119999999997</v>
      </c>
      <c r="C352" s="247">
        <v>197.96706666666665</v>
      </c>
      <c r="D352" s="247">
        <v>12.157066666666651</v>
      </c>
      <c r="E352" s="247">
        <v>6.5427407925658709E-2</v>
      </c>
      <c r="F352" s="247">
        <v>4402.5479999999998</v>
      </c>
      <c r="G352" s="247">
        <v>4358.7120000000004</v>
      </c>
      <c r="H352" s="247">
        <v>43.835999999999999</v>
      </c>
      <c r="I352" s="247">
        <v>324.29199999999997</v>
      </c>
      <c r="J352" s="190">
        <v>44.477579772527825</v>
      </c>
      <c r="K352" s="190">
        <v>47.464066413740198</v>
      </c>
      <c r="L352" s="190">
        <v>-0.23593358625980443</v>
      </c>
      <c r="M352" s="247">
        <v>295.613</v>
      </c>
      <c r="N352" s="247">
        <v>54.758000000000003</v>
      </c>
      <c r="O352" s="247">
        <v>2339.5810000000001</v>
      </c>
      <c r="P352" s="247">
        <v>1946.9970000000001</v>
      </c>
      <c r="Q352" s="247">
        <v>1010.0890000000001</v>
      </c>
      <c r="R352" s="247">
        <v>308.79500000000002</v>
      </c>
      <c r="S352" s="247">
        <v>628.11300000000006</v>
      </c>
      <c r="T352" s="247">
        <v>440.51600000000002</v>
      </c>
      <c r="U352" s="247">
        <v>536.40199999999982</v>
      </c>
      <c r="V352" s="199">
        <v>0.28977300658901584</v>
      </c>
      <c r="W352" s="190">
        <v>11.818031349322077</v>
      </c>
      <c r="X352" s="190">
        <v>-3.1968650677923094E-2</v>
      </c>
      <c r="Y352" s="247">
        <v>59.282097763062275</v>
      </c>
      <c r="Z352" s="247">
        <v>1853.6759999999999</v>
      </c>
      <c r="AA352" s="247">
        <v>1811.9490000000001</v>
      </c>
      <c r="AB352" s="199">
        <v>2.2510406349329583E-2</v>
      </c>
      <c r="AC352" s="195">
        <v>168.79768538699329</v>
      </c>
      <c r="AD352" s="195">
        <v>1833.386</v>
      </c>
      <c r="AE352" s="195">
        <v>1306.3</v>
      </c>
      <c r="AF352" s="195">
        <v>527.08600000000001</v>
      </c>
      <c r="AG352" s="191">
        <v>1.0118309069405373</v>
      </c>
      <c r="AH352" s="247"/>
      <c r="AI352" s="247">
        <v>716.05</v>
      </c>
      <c r="AJ352" s="247">
        <v>23.868333333333332</v>
      </c>
      <c r="AK352" s="247">
        <v>512.452</v>
      </c>
      <c r="AL352" s="247">
        <v>59.677999999999997</v>
      </c>
      <c r="AM352" s="190">
        <v>42.939906431115148</v>
      </c>
      <c r="AN352" s="190">
        <v>-1.5376733414126775</v>
      </c>
      <c r="AO352" s="247">
        <v>290.18599999999998</v>
      </c>
      <c r="AP352" s="247">
        <v>166.22</v>
      </c>
      <c r="AQ352" s="190">
        <v>12.157782277773897</v>
      </c>
      <c r="AR352" s="190">
        <v>0.33975092845182076</v>
      </c>
      <c r="AS352" s="190">
        <v>55.097688708889045</v>
      </c>
      <c r="AT352" s="247">
        <v>1254.0409999999999</v>
      </c>
      <c r="AU352" s="247">
        <v>41.801366666666667</v>
      </c>
      <c r="AV352" s="247">
        <v>941.70399999999995</v>
      </c>
      <c r="AW352" s="247">
        <v>42.98</v>
      </c>
      <c r="AX352" s="190">
        <v>45.056134528296923</v>
      </c>
      <c r="AY352" s="190">
        <v>0.57855475576909754</v>
      </c>
      <c r="AZ352" s="247">
        <v>496.09100000000001</v>
      </c>
      <c r="BA352" s="247">
        <v>210.63499999999999</v>
      </c>
      <c r="BB352" s="190">
        <v>11.86781771887841</v>
      </c>
      <c r="BC352" s="190">
        <v>4.9786369556333199E-2</v>
      </c>
      <c r="BD352" s="190">
        <v>56.923952247175336</v>
      </c>
      <c r="BE352" s="247">
        <v>1325.5350000000001</v>
      </c>
      <c r="BF352" s="247">
        <v>44.1845</v>
      </c>
      <c r="BG352" s="247">
        <v>982.27300000000002</v>
      </c>
      <c r="BH352" s="247">
        <v>103.48399999999999</v>
      </c>
      <c r="BI352" s="190">
        <v>44.462334076429521</v>
      </c>
      <c r="BJ352" s="190">
        <v>-1.5245696098304506E-2</v>
      </c>
      <c r="BK352" s="247">
        <v>510.96100000000001</v>
      </c>
      <c r="BL352" s="247">
        <v>229.345</v>
      </c>
      <c r="BM352" s="190">
        <v>11.564258959589901</v>
      </c>
      <c r="BN352" s="190">
        <v>-0.25377238973217509</v>
      </c>
      <c r="BO352" s="190">
        <v>56.02659303601942</v>
      </c>
      <c r="BP352" s="247">
        <v>993.56100000000004</v>
      </c>
      <c r="BQ352" s="247">
        <v>33.118700000000004</v>
      </c>
      <c r="BR352" s="247">
        <v>743.48099999999999</v>
      </c>
      <c r="BS352" s="247">
        <v>45.03</v>
      </c>
      <c r="BT352" s="190">
        <v>44.897957951248081</v>
      </c>
      <c r="BU352" s="190">
        <v>0.42037817872025585</v>
      </c>
      <c r="BV352" s="247">
        <v>381.024</v>
      </c>
      <c r="BW352" s="247">
        <v>224.34399999999999</v>
      </c>
      <c r="BX352" s="190">
        <v>11.504799403358222</v>
      </c>
      <c r="BY352" s="190">
        <v>-0.31323194596385484</v>
      </c>
      <c r="BZ352" s="190">
        <v>56.402757354606301</v>
      </c>
      <c r="CA352" s="247">
        <v>677.61699999999996</v>
      </c>
      <c r="CB352" s="247">
        <v>22.587233333333334</v>
      </c>
      <c r="CC352" s="247">
        <v>498.22699999999998</v>
      </c>
      <c r="CD352" s="247">
        <v>35.429000000000002</v>
      </c>
      <c r="CE352" s="190">
        <v>44.115805831317687</v>
      </c>
      <c r="CF352" s="190">
        <v>-0.36177394121013862</v>
      </c>
      <c r="CG352" s="247">
        <v>261.05599999999998</v>
      </c>
      <c r="CH352" s="247">
        <v>66.278000000000006</v>
      </c>
      <c r="CI352" s="190">
        <v>11.557679338033136</v>
      </c>
      <c r="CJ352" s="190">
        <v>-0.26035201128894059</v>
      </c>
      <c r="CK352" s="190">
        <v>55.673485169350826</v>
      </c>
      <c r="CL352" s="247">
        <v>972.20799999999997</v>
      </c>
      <c r="CM352" s="247">
        <v>32.406933333333335</v>
      </c>
      <c r="CN352" s="247">
        <v>724.41099999999994</v>
      </c>
      <c r="CO352" s="247">
        <v>37.691000000000003</v>
      </c>
      <c r="CP352" s="190">
        <v>44.707161430475779</v>
      </c>
      <c r="CQ352" s="190">
        <v>0.22958165794795349</v>
      </c>
      <c r="CR352" s="247">
        <v>400.26299999999998</v>
      </c>
      <c r="CS352" s="247">
        <v>113.267</v>
      </c>
      <c r="CT352" s="190">
        <v>12.351153251156131</v>
      </c>
      <c r="CU352" s="190">
        <v>0.53312190183405406</v>
      </c>
      <c r="CV352" s="190">
        <v>57.058314681631913</v>
      </c>
      <c r="CW352" s="163"/>
      <c r="CX352" s="212">
        <v>0</v>
      </c>
      <c r="CY352" s="212">
        <v>0</v>
      </c>
      <c r="CZ352" s="212">
        <v>0</v>
      </c>
      <c r="DA352" s="212">
        <v>0</v>
      </c>
      <c r="DB352" s="212">
        <v>0</v>
      </c>
      <c r="DC352" s="212">
        <v>0</v>
      </c>
      <c r="DD352" s="163"/>
      <c r="DE352" s="247">
        <v>191.291</v>
      </c>
      <c r="DF352" s="247">
        <v>112.018</v>
      </c>
      <c r="DG352" s="247">
        <v>41.2</v>
      </c>
      <c r="DH352" s="199">
        <v>0.58558949453973264</v>
      </c>
      <c r="DI352" s="247">
        <v>154.876</v>
      </c>
      <c r="DJ352" s="199">
        <v>0.40481779069585083</v>
      </c>
      <c r="DK352" s="247">
        <v>156.64500000000001</v>
      </c>
      <c r="DL352" s="247">
        <v>152.471</v>
      </c>
      <c r="DM352" s="199">
        <v>2.6646238309553483E-2</v>
      </c>
      <c r="DN352" s="247">
        <v>157.923</v>
      </c>
      <c r="DO352" s="247">
        <v>74.091999999999999</v>
      </c>
      <c r="DP352" s="247">
        <v>103.413</v>
      </c>
      <c r="DQ352" s="247">
        <v>177.505</v>
      </c>
      <c r="DR352" s="247">
        <v>0.99040728523558341</v>
      </c>
      <c r="DS352" s="247">
        <v>1.0114220408584933</v>
      </c>
      <c r="DT352" s="247">
        <v>136.88</v>
      </c>
      <c r="DU352" s="247">
        <v>55.722999999999999</v>
      </c>
      <c r="DV352" s="247">
        <v>23.315999999999999</v>
      </c>
      <c r="DW352" s="199">
        <v>0.407093804792519</v>
      </c>
      <c r="DX352" s="247">
        <v>33.482999999999997</v>
      </c>
      <c r="DY352" s="199">
        <v>0.12230786090005843</v>
      </c>
      <c r="DZ352" s="247">
        <v>32.131999999999998</v>
      </c>
      <c r="EA352" s="247">
        <v>31.507000000000001</v>
      </c>
      <c r="EB352" s="199">
        <v>1.94510145649196E-2</v>
      </c>
      <c r="EC352" s="247">
        <v>28.335000000000001</v>
      </c>
      <c r="ED352" s="247">
        <v>27.5</v>
      </c>
      <c r="EE352" s="247">
        <v>38.213999999999999</v>
      </c>
      <c r="EF352" s="247">
        <v>65.713999999999999</v>
      </c>
      <c r="EG352" s="199">
        <v>0.52940166569257741</v>
      </c>
    </row>
    <row r="353" spans="1:140">
      <c r="A353" s="157">
        <v>45017</v>
      </c>
      <c r="B353" s="247">
        <v>5609.607</v>
      </c>
      <c r="C353" s="247">
        <v>186.98689999999999</v>
      </c>
      <c r="D353" s="247">
        <v>13.754899999999992</v>
      </c>
      <c r="E353" s="247">
        <v>7.9401611711461983E-2</v>
      </c>
      <c r="F353" s="247">
        <v>4162.4059999999999</v>
      </c>
      <c r="G353" s="247">
        <v>4119.4179999999997</v>
      </c>
      <c r="H353" s="247">
        <v>42.988</v>
      </c>
      <c r="I353" s="247">
        <v>521.81399999999996</v>
      </c>
      <c r="J353" s="190">
        <v>44.520830068844397</v>
      </c>
      <c r="K353" s="190">
        <v>47.421878217137142</v>
      </c>
      <c r="L353" s="190">
        <v>-0.17812178286285985</v>
      </c>
      <c r="M353" s="247">
        <v>271.22899999999998</v>
      </c>
      <c r="N353" s="247">
        <v>56.021000000000001</v>
      </c>
      <c r="O353" s="247">
        <v>2236.3009999999999</v>
      </c>
      <c r="P353" s="247">
        <v>2078.5430000000001</v>
      </c>
      <c r="Q353" s="247">
        <v>1092.5619999999999</v>
      </c>
      <c r="R353" s="247">
        <v>321.03500000000003</v>
      </c>
      <c r="S353" s="247">
        <v>664.94600000000003</v>
      </c>
      <c r="T353" s="247">
        <v>461.13600000000002</v>
      </c>
      <c r="U353" s="247">
        <v>582.63600000000019</v>
      </c>
      <c r="V353" s="199">
        <v>0.297712416129845</v>
      </c>
      <c r="W353" s="190">
        <v>11.959666693228243</v>
      </c>
      <c r="X353" s="190">
        <v>1.9666693228243659E-2</v>
      </c>
      <c r="Y353" s="247">
        <v>59.381544910365385</v>
      </c>
      <c r="Z353" s="247">
        <v>1716.3910000000001</v>
      </c>
      <c r="AA353" s="247">
        <v>1676.0070000000001</v>
      </c>
      <c r="AB353" s="199">
        <v>2.3528438450213275E-2</v>
      </c>
      <c r="AC353" s="195">
        <v>163.64451513609396</v>
      </c>
      <c r="AD353" s="195">
        <v>1655.547</v>
      </c>
      <c r="AE353" s="195">
        <v>1151.039</v>
      </c>
      <c r="AF353" s="195">
        <v>504.50799999999998</v>
      </c>
      <c r="AG353" s="191">
        <v>0.98779241375483517</v>
      </c>
      <c r="AH353" s="247"/>
      <c r="AI353" s="247">
        <v>662.34199999999998</v>
      </c>
      <c r="AJ353" s="247">
        <v>22.078066666666665</v>
      </c>
      <c r="AK353" s="247">
        <v>487.24900000000002</v>
      </c>
      <c r="AL353" s="247">
        <v>81.093999999999994</v>
      </c>
      <c r="AM353" s="190">
        <v>44.138737993362952</v>
      </c>
      <c r="AN353" s="190">
        <v>-0.38209207548144519</v>
      </c>
      <c r="AO353" s="247">
        <v>266.25599999999997</v>
      </c>
      <c r="AP353" s="247">
        <v>157.38300000000001</v>
      </c>
      <c r="AQ353" s="190">
        <v>12.059751608685543</v>
      </c>
      <c r="AR353" s="190">
        <v>0.10008491545730003</v>
      </c>
      <c r="AS353" s="190">
        <v>56.198489602048497</v>
      </c>
      <c r="AT353" s="247">
        <v>1216.961</v>
      </c>
      <c r="AU353" s="247">
        <v>40.565366666666669</v>
      </c>
      <c r="AV353" s="247">
        <v>908.09699999999998</v>
      </c>
      <c r="AW353" s="247">
        <v>81.86</v>
      </c>
      <c r="AX353" s="190">
        <v>44.77203460094448</v>
      </c>
      <c r="AY353" s="190">
        <v>0.25120453210008264</v>
      </c>
      <c r="AZ353" s="247">
        <v>488.32100000000003</v>
      </c>
      <c r="BA353" s="247">
        <v>184.12</v>
      </c>
      <c r="BB353" s="190">
        <v>12.037879603372664</v>
      </c>
      <c r="BC353" s="190">
        <v>7.8212910144420889E-2</v>
      </c>
      <c r="BD353" s="190">
        <v>56.809914204317145</v>
      </c>
      <c r="BE353" s="247">
        <v>1336.471</v>
      </c>
      <c r="BF353" s="247">
        <v>44.549033333333334</v>
      </c>
      <c r="BG353" s="247">
        <v>991.31500000000005</v>
      </c>
      <c r="BH353" s="247">
        <v>164.964</v>
      </c>
      <c r="BI353" s="190">
        <v>44.504444915003766</v>
      </c>
      <c r="BJ353" s="190">
        <v>-1.6385153840630551E-2</v>
      </c>
      <c r="BK353" s="247">
        <v>524.65099999999995</v>
      </c>
      <c r="BL353" s="247">
        <v>255.80600000000001</v>
      </c>
      <c r="BM353" s="190">
        <v>11.776933431402551</v>
      </c>
      <c r="BN353" s="190">
        <v>-0.18273326182569249</v>
      </c>
      <c r="BO353" s="190">
        <v>56.281378346406314</v>
      </c>
      <c r="BP353" s="247">
        <v>880.68</v>
      </c>
      <c r="BQ353" s="247">
        <v>29.355999999999998</v>
      </c>
      <c r="BR353" s="247">
        <v>650.44299999999998</v>
      </c>
      <c r="BS353" s="247">
        <v>54.587000000000003</v>
      </c>
      <c r="BT353" s="190">
        <v>44.314143616296498</v>
      </c>
      <c r="BU353" s="190">
        <v>-0.20668645254789908</v>
      </c>
      <c r="BV353" s="247">
        <v>345.95</v>
      </c>
      <c r="BW353" s="247">
        <v>266.06400000000002</v>
      </c>
      <c r="BX353" s="190">
        <v>11.784643684425671</v>
      </c>
      <c r="BY353" s="190">
        <v>-0.17502300880257238</v>
      </c>
      <c r="BZ353" s="190">
        <v>56.098787300722165</v>
      </c>
      <c r="CA353" s="247">
        <v>635.471</v>
      </c>
      <c r="CB353" s="247">
        <v>21.182366666666667</v>
      </c>
      <c r="CC353" s="247">
        <v>470.661</v>
      </c>
      <c r="CD353" s="247">
        <v>51.146999999999998</v>
      </c>
      <c r="CE353" s="190">
        <v>44.438943712616314</v>
      </c>
      <c r="CF353" s="190">
        <v>-8.1886356228082491E-2</v>
      </c>
      <c r="CG353" s="247">
        <v>244.64400000000001</v>
      </c>
      <c r="CH353" s="247">
        <v>84.614999999999995</v>
      </c>
      <c r="CI353" s="190">
        <v>11.549417676022982</v>
      </c>
      <c r="CJ353" s="190">
        <v>-0.41024901720526152</v>
      </c>
      <c r="CK353" s="190">
        <v>55.988361388639298</v>
      </c>
      <c r="CL353" s="247">
        <v>877.68200000000002</v>
      </c>
      <c r="CM353" s="247">
        <v>29.256066666666666</v>
      </c>
      <c r="CN353" s="247">
        <v>654.64099999999996</v>
      </c>
      <c r="CO353" s="247">
        <v>88.162000000000006</v>
      </c>
      <c r="CP353" s="190">
        <v>44.752495778653312</v>
      </c>
      <c r="CQ353" s="190">
        <v>0.23166570980891521</v>
      </c>
      <c r="CR353" s="247">
        <v>366.47899999999998</v>
      </c>
      <c r="CS353" s="247">
        <v>144.57400000000001</v>
      </c>
      <c r="CT353" s="190">
        <v>12.526598471883894</v>
      </c>
      <c r="CU353" s="190">
        <v>0.56693177865565048</v>
      </c>
      <c r="CV353" s="190">
        <v>57.279094250537206</v>
      </c>
      <c r="CW353" s="163"/>
      <c r="CX353" s="212">
        <v>0</v>
      </c>
      <c r="CY353" s="212">
        <v>0</v>
      </c>
      <c r="CZ353" s="212">
        <v>0</v>
      </c>
      <c r="DA353" s="212">
        <v>0</v>
      </c>
      <c r="DB353" s="212">
        <v>-2.2737367544323206E-13</v>
      </c>
      <c r="DC353" s="212">
        <v>0</v>
      </c>
      <c r="DD353" s="163"/>
      <c r="DE353" s="247">
        <v>172.744</v>
      </c>
      <c r="DF353" s="247">
        <v>103.926</v>
      </c>
      <c r="DG353" s="247">
        <v>40</v>
      </c>
      <c r="DH353" s="199">
        <v>0.60161858009540126</v>
      </c>
      <c r="DI353" s="247">
        <v>136.571</v>
      </c>
      <c r="DJ353" s="199">
        <v>0.3952988236928634</v>
      </c>
      <c r="DK353" s="247">
        <v>155.08000000000001</v>
      </c>
      <c r="DL353" s="247">
        <v>151.18299999999999</v>
      </c>
      <c r="DM353" s="199">
        <v>2.5128965695125238E-2</v>
      </c>
      <c r="DN353" s="247">
        <v>157.303</v>
      </c>
      <c r="DO353" s="247">
        <v>66.314999999999998</v>
      </c>
      <c r="DP353" s="247">
        <v>102.794</v>
      </c>
      <c r="DQ353" s="247">
        <v>169.10899999999998</v>
      </c>
      <c r="DR353" s="247">
        <v>0.99691740378826466</v>
      </c>
      <c r="DS353" s="247">
        <v>1.1355265759202173</v>
      </c>
      <c r="DT353" s="247">
        <v>115.598</v>
      </c>
      <c r="DU353" s="247">
        <v>47.837000000000003</v>
      </c>
      <c r="DV353" s="247">
        <v>32.277000000000001</v>
      </c>
      <c r="DW353" s="199">
        <v>0.41382203844357174</v>
      </c>
      <c r="DX353" s="247">
        <v>34.139000000000003</v>
      </c>
      <c r="DY353" s="199">
        <v>0.14766258931815432</v>
      </c>
      <c r="DZ353" s="247">
        <v>32.39</v>
      </c>
      <c r="EA353" s="247">
        <v>31.613</v>
      </c>
      <c r="EB353" s="199">
        <v>2.3988885458474885E-2</v>
      </c>
      <c r="EC353" s="247">
        <v>31.01</v>
      </c>
      <c r="ED353" s="247">
        <v>27.5</v>
      </c>
      <c r="EE353" s="247">
        <v>39.104999999999997</v>
      </c>
      <c r="EF353" s="247">
        <v>66.60499999999999</v>
      </c>
      <c r="EG353" s="199">
        <v>0.56148462776172603</v>
      </c>
    </row>
    <row r="354" spans="1:140">
      <c r="A354" s="157">
        <v>45047</v>
      </c>
      <c r="B354" s="247">
        <v>5679.0959999999995</v>
      </c>
      <c r="C354" s="247">
        <v>189.30319999999998</v>
      </c>
      <c r="D354" s="247">
        <v>11.388199999999983</v>
      </c>
      <c r="E354" s="247">
        <v>6.4009217884944958E-2</v>
      </c>
      <c r="F354" s="247">
        <v>4182.7039999999997</v>
      </c>
      <c r="G354" s="247">
        <v>4145.4579999999996</v>
      </c>
      <c r="H354" s="247">
        <v>37.246000000000002</v>
      </c>
      <c r="I354" s="247">
        <v>388.76299999999998</v>
      </c>
      <c r="J354" s="190">
        <v>44.190526097815571</v>
      </c>
      <c r="K354" s="190">
        <v>47.133571962861701</v>
      </c>
      <c r="L354" s="190">
        <v>-0.39642803713829977</v>
      </c>
      <c r="M354" s="247">
        <v>278.56400000000002</v>
      </c>
      <c r="N354" s="247">
        <v>39.776000000000003</v>
      </c>
      <c r="O354" s="247">
        <v>2228.3719999999998</v>
      </c>
      <c r="P354" s="247">
        <v>1924.95</v>
      </c>
      <c r="Q354" s="247">
        <v>941.24400000000003</v>
      </c>
      <c r="R354" s="247">
        <v>317.892</v>
      </c>
      <c r="S354" s="247">
        <v>665.81399999999996</v>
      </c>
      <c r="T354" s="247">
        <v>461.27199999999999</v>
      </c>
      <c r="U354" s="247">
        <v>514.67700000000013</v>
      </c>
      <c r="V354" s="199">
        <v>0.27500113542554416</v>
      </c>
      <c r="W354" s="190">
        <v>11.771443905861075</v>
      </c>
      <c r="X354" s="190">
        <v>-8.8556094138924735E-2</v>
      </c>
      <c r="Y354" s="247">
        <v>58.905015868722778</v>
      </c>
      <c r="Z354" s="247">
        <v>1887.942</v>
      </c>
      <c r="AA354" s="247">
        <v>1841.848</v>
      </c>
      <c r="AB354" s="199">
        <v>2.4414944950639401E-2</v>
      </c>
      <c r="AC354" s="195">
        <v>189.04298792361681</v>
      </c>
      <c r="AD354" s="195">
        <v>1850.213</v>
      </c>
      <c r="AE354" s="195">
        <v>1254.7260000000001</v>
      </c>
      <c r="AF354" s="195">
        <v>595.48699999999997</v>
      </c>
      <c r="AG354" s="191">
        <v>1.0045416342716662</v>
      </c>
      <c r="AH354" s="247"/>
      <c r="AI354" s="247">
        <v>663.96299999999997</v>
      </c>
      <c r="AJ354" s="247">
        <v>22.132099999999998</v>
      </c>
      <c r="AK354" s="247">
        <v>475.25</v>
      </c>
      <c r="AL354" s="247">
        <v>49.029000000000003</v>
      </c>
      <c r="AM354" s="190">
        <v>42.946670221081604</v>
      </c>
      <c r="AN354" s="190">
        <v>-1.2438558767339671</v>
      </c>
      <c r="AO354" s="247">
        <v>260.262</v>
      </c>
      <c r="AP354" s="247">
        <v>122.002</v>
      </c>
      <c r="AQ354" s="190">
        <v>11.759480573465691</v>
      </c>
      <c r="AR354" s="190">
        <v>-1.196333239538383E-2</v>
      </c>
      <c r="AS354" s="190">
        <v>54.706150794547298</v>
      </c>
      <c r="AT354" s="247">
        <v>1155.1610000000001</v>
      </c>
      <c r="AU354" s="247">
        <v>38.505366666666667</v>
      </c>
      <c r="AV354" s="247">
        <v>856.94100000000003</v>
      </c>
      <c r="AW354" s="247">
        <v>48.722000000000001</v>
      </c>
      <c r="AX354" s="190">
        <v>44.510211130742817</v>
      </c>
      <c r="AY354" s="190">
        <v>0.31968503292724648</v>
      </c>
      <c r="AZ354" s="247">
        <v>458.12599999999998</v>
      </c>
      <c r="BA354" s="247">
        <v>157.684</v>
      </c>
      <c r="BB354" s="190">
        <v>11.897718153573397</v>
      </c>
      <c r="BC354" s="190">
        <v>0.12627424771232221</v>
      </c>
      <c r="BD354" s="190">
        <v>56.407929284316211</v>
      </c>
      <c r="BE354" s="247">
        <v>1283.471</v>
      </c>
      <c r="BF354" s="247">
        <v>42.782366666666668</v>
      </c>
      <c r="BG354" s="247">
        <v>953.07500000000005</v>
      </c>
      <c r="BH354" s="247">
        <v>174.554</v>
      </c>
      <c r="BI354" s="190">
        <v>44.554571158989958</v>
      </c>
      <c r="BJ354" s="190">
        <v>0.36404506117438729</v>
      </c>
      <c r="BK354" s="247">
        <v>505.32900000000001</v>
      </c>
      <c r="BL354" s="247">
        <v>243.405</v>
      </c>
      <c r="BM354" s="190">
        <v>11.811618649739652</v>
      </c>
      <c r="BN354" s="190">
        <v>4.0174743878576891E-2</v>
      </c>
      <c r="BO354" s="190">
        <v>56.366189808729608</v>
      </c>
      <c r="BP354" s="247">
        <v>969.71100000000001</v>
      </c>
      <c r="BQ354" s="247">
        <v>32.323700000000002</v>
      </c>
      <c r="BR354" s="247">
        <v>705.16300000000001</v>
      </c>
      <c r="BS354" s="247">
        <v>49.372</v>
      </c>
      <c r="BT354" s="190">
        <v>43.631329334203691</v>
      </c>
      <c r="BU354" s="190">
        <v>-0.55919676361187953</v>
      </c>
      <c r="BV354" s="247">
        <v>371.42</v>
      </c>
      <c r="BW354" s="247">
        <v>201.12</v>
      </c>
      <c r="BX354" s="190">
        <v>11.490639994802574</v>
      </c>
      <c r="BY354" s="190">
        <v>-0.28080391105850033</v>
      </c>
      <c r="BZ354" s="190">
        <v>55.121969329006262</v>
      </c>
      <c r="CA354" s="247">
        <v>641.69200000000001</v>
      </c>
      <c r="CB354" s="247">
        <v>21.389733333333332</v>
      </c>
      <c r="CC354" s="247">
        <v>475.36700000000002</v>
      </c>
      <c r="CD354" s="247">
        <v>33.417000000000002</v>
      </c>
      <c r="CE354" s="190">
        <v>44.448146462789005</v>
      </c>
      <c r="CF354" s="190">
        <v>0.25762036497343388</v>
      </c>
      <c r="CG354" s="247">
        <v>248.459</v>
      </c>
      <c r="CH354" s="247">
        <v>87.927999999999997</v>
      </c>
      <c r="CI354" s="190">
        <v>11.615806336996567</v>
      </c>
      <c r="CJ354" s="190">
        <v>-0.15563756886450797</v>
      </c>
      <c r="CK354" s="190">
        <v>56.063952799785568</v>
      </c>
      <c r="CL354" s="247">
        <v>965.09799999999996</v>
      </c>
      <c r="CM354" s="247">
        <v>32.169933333333333</v>
      </c>
      <c r="CN354" s="247">
        <v>716.90800000000002</v>
      </c>
      <c r="CO354" s="247">
        <v>33.668999999999997</v>
      </c>
      <c r="CP354" s="190">
        <v>44.570064387243576</v>
      </c>
      <c r="CQ354" s="190">
        <v>0.37953828942800527</v>
      </c>
      <c r="CR354" s="247">
        <v>384.77600000000001</v>
      </c>
      <c r="CS354" s="247">
        <v>129.10499999999999</v>
      </c>
      <c r="CT354" s="190">
        <v>11.960733521362599</v>
      </c>
      <c r="CU354" s="190">
        <v>0.18928961550152401</v>
      </c>
      <c r="CV354" s="190">
        <v>56.530797908606175</v>
      </c>
      <c r="CW354" s="163"/>
      <c r="CX354" s="212">
        <v>0</v>
      </c>
      <c r="CY354" s="212">
        <v>0</v>
      </c>
      <c r="CZ354" s="212">
        <v>0</v>
      </c>
      <c r="DA354" s="212">
        <v>0</v>
      </c>
      <c r="DB354" s="212">
        <v>0</v>
      </c>
      <c r="DC354" s="212">
        <v>0</v>
      </c>
      <c r="DD354" s="163"/>
      <c r="DE354" s="247">
        <v>126.63</v>
      </c>
      <c r="DF354" s="247">
        <v>76.92</v>
      </c>
      <c r="DG354" s="247">
        <v>35.300000000000004</v>
      </c>
      <c r="DH354" s="199">
        <v>0.60743899549869707</v>
      </c>
      <c r="DI354" s="247">
        <v>114.408</v>
      </c>
      <c r="DJ354" s="199">
        <v>0.45174129353233833</v>
      </c>
      <c r="DK354" s="247">
        <v>111.06100000000001</v>
      </c>
      <c r="DL354" s="247">
        <v>107.90900000000001</v>
      </c>
      <c r="DM354" s="199">
        <v>2.8380799740683083E-2</v>
      </c>
      <c r="DN354" s="247">
        <v>125.334</v>
      </c>
      <c r="DO354" s="247">
        <v>71.325999999999993</v>
      </c>
      <c r="DP354" s="247">
        <v>87.638000000000005</v>
      </c>
      <c r="DQ354" s="247">
        <v>158.964</v>
      </c>
      <c r="DR354" s="247">
        <v>1.0591802890310353</v>
      </c>
      <c r="DS354" s="247">
        <v>0.97074505279351098</v>
      </c>
      <c r="DT354" s="247">
        <v>77.099999999999994</v>
      </c>
      <c r="DU354" s="247">
        <v>36.517000000000003</v>
      </c>
      <c r="DV354" s="247">
        <v>32.32</v>
      </c>
      <c r="DW354" s="199">
        <v>0.47363164721141382</v>
      </c>
      <c r="DX354" s="247">
        <v>24.744</v>
      </c>
      <c r="DY354" s="199">
        <v>0.16046692607003893</v>
      </c>
      <c r="DZ354" s="247">
        <v>25.64</v>
      </c>
      <c r="EA354" s="247">
        <v>24.814</v>
      </c>
      <c r="EB354" s="199">
        <v>3.2215288611544435E-2</v>
      </c>
      <c r="EC354" s="247">
        <v>35.363999999999997</v>
      </c>
      <c r="ED354" s="247">
        <v>30</v>
      </c>
      <c r="EE354" s="247">
        <v>28.969000000000001</v>
      </c>
      <c r="EF354" s="247">
        <v>58.969000000000001</v>
      </c>
      <c r="EG354" s="199">
        <v>0.6340985732814528</v>
      </c>
    </row>
    <row r="355" spans="1:140">
      <c r="A355" s="157">
        <v>45078</v>
      </c>
      <c r="B355" s="247">
        <v>5236.5159999999996</v>
      </c>
      <c r="C355" s="247">
        <v>174.55053333333333</v>
      </c>
      <c r="D355" s="247">
        <v>9.5275333333333379</v>
      </c>
      <c r="E355" s="247">
        <v>5.7734578412302229E-2</v>
      </c>
      <c r="F355" s="247">
        <v>3886.6840000000002</v>
      </c>
      <c r="G355" s="247">
        <v>3843.5549999999998</v>
      </c>
      <c r="H355" s="247">
        <v>43.128999999999998</v>
      </c>
      <c r="I355" s="247">
        <v>331.209</v>
      </c>
      <c r="J355" s="190">
        <v>44.533625028549515</v>
      </c>
      <c r="K355" s="190">
        <v>47.577373963910361</v>
      </c>
      <c r="L355" s="190">
        <v>-0.10262603608963872</v>
      </c>
      <c r="M355" s="247">
        <v>265.64400000000001</v>
      </c>
      <c r="N355" s="247">
        <v>34.354999999999997</v>
      </c>
      <c r="O355" s="247">
        <v>2074.857</v>
      </c>
      <c r="P355" s="247">
        <v>1770.1659999999999</v>
      </c>
      <c r="Q355" s="247">
        <v>889.94399999999996</v>
      </c>
      <c r="R355" s="247">
        <v>279.81099999999998</v>
      </c>
      <c r="S355" s="247">
        <v>600.41099999999994</v>
      </c>
      <c r="T355" s="247">
        <v>432.86900000000003</v>
      </c>
      <c r="U355" s="247">
        <v>513.13399999999979</v>
      </c>
      <c r="V355" s="199">
        <v>0.30364737342601722</v>
      </c>
      <c r="W355" s="190">
        <v>11.886855688018523</v>
      </c>
      <c r="X355" s="190">
        <v>-8.314431198147787E-2</v>
      </c>
      <c r="Y355" s="247">
        <v>59.464229651928882</v>
      </c>
      <c r="Z355" s="247">
        <v>1761.0229999999999</v>
      </c>
      <c r="AA355" s="247">
        <v>1726.0219999999999</v>
      </c>
      <c r="AB355" s="199">
        <v>1.9875379253990424E-2</v>
      </c>
      <c r="AC355" s="195">
        <v>186.42647314596343</v>
      </c>
      <c r="AD355" s="195">
        <v>1757.9690000000001</v>
      </c>
      <c r="AE355" s="195">
        <v>1168.498</v>
      </c>
      <c r="AF355" s="195">
        <v>589.471</v>
      </c>
      <c r="AG355" s="191">
        <v>1.0185090340679319</v>
      </c>
      <c r="AH355" s="247"/>
      <c r="AI355" s="247">
        <v>639.55600000000004</v>
      </c>
      <c r="AJ355" s="247">
        <v>21.318533333333335</v>
      </c>
      <c r="AK355" s="247">
        <v>470.49400000000003</v>
      </c>
      <c r="AL355" s="247">
        <v>65.661238581738175</v>
      </c>
      <c r="AM355" s="190">
        <v>44.139434232498793</v>
      </c>
      <c r="AN355" s="190">
        <v>-0.39419079605072227</v>
      </c>
      <c r="AO355" s="247">
        <v>258.90899999999999</v>
      </c>
      <c r="AP355" s="247">
        <v>138.92599999999999</v>
      </c>
      <c r="AQ355" s="190">
        <v>12.144784819468505</v>
      </c>
      <c r="AR355" s="190">
        <v>0.25792913144998231</v>
      </c>
      <c r="AS355" s="190">
        <v>56.284219051967298</v>
      </c>
      <c r="AT355" s="247">
        <v>1059.0540000000001</v>
      </c>
      <c r="AU355" s="247">
        <v>35.3018</v>
      </c>
      <c r="AV355" s="247">
        <v>781.65</v>
      </c>
      <c r="AW355" s="247">
        <v>42.484999999999999</v>
      </c>
      <c r="AX355" s="190">
        <v>44.283860879615204</v>
      </c>
      <c r="AY355" s="190">
        <v>-0.24976414893431098</v>
      </c>
      <c r="AZ355" s="247">
        <v>419.952</v>
      </c>
      <c r="BA355" s="247">
        <v>136.53299999999999</v>
      </c>
      <c r="BB355" s="190">
        <v>11.896050626313672</v>
      </c>
      <c r="BC355" s="190">
        <v>9.1949382951490577E-3</v>
      </c>
      <c r="BD355" s="190">
        <v>56.179911505928878</v>
      </c>
      <c r="BE355" s="247">
        <v>1143.567</v>
      </c>
      <c r="BF355" s="247">
        <v>38.118900000000004</v>
      </c>
      <c r="BG355" s="247">
        <v>853.95299999999997</v>
      </c>
      <c r="BH355" s="247">
        <v>100.67100000000001</v>
      </c>
      <c r="BI355" s="190">
        <v>44.804703178738102</v>
      </c>
      <c r="BJ355" s="190">
        <v>0.27107815018858616</v>
      </c>
      <c r="BK355" s="247">
        <v>452.66500000000002</v>
      </c>
      <c r="BL355" s="247">
        <v>228.64699999999999</v>
      </c>
      <c r="BM355" s="190">
        <v>11.875080340723368</v>
      </c>
      <c r="BN355" s="190">
        <v>-1.1775347295154504E-2</v>
      </c>
      <c r="BO355" s="190">
        <v>56.679783519461466</v>
      </c>
      <c r="BP355" s="247">
        <v>875.34100000000001</v>
      </c>
      <c r="BQ355" s="247">
        <v>29.178033333333335</v>
      </c>
      <c r="BR355" s="247">
        <v>652.01900000000001</v>
      </c>
      <c r="BS355" s="247">
        <v>43.634999999999998</v>
      </c>
      <c r="BT355" s="190">
        <v>44.692456996758978</v>
      </c>
      <c r="BU355" s="190">
        <v>0.1588319682094621</v>
      </c>
      <c r="BV355" s="247">
        <v>335.49799999999999</v>
      </c>
      <c r="BW355" s="247">
        <v>191.505</v>
      </c>
      <c r="BX355" s="190">
        <v>11.498307516727765</v>
      </c>
      <c r="BY355" s="190">
        <v>-0.38854817129075769</v>
      </c>
      <c r="BZ355" s="190">
        <v>56.190764513486741</v>
      </c>
      <c r="CA355" s="247">
        <v>583.06700000000001</v>
      </c>
      <c r="CB355" s="247">
        <v>19.435566666666666</v>
      </c>
      <c r="CC355" s="247">
        <v>432.98700000000002</v>
      </c>
      <c r="CD355" s="247">
        <v>31.381761418261835</v>
      </c>
      <c r="CE355" s="190">
        <v>44.556148778785285</v>
      </c>
      <c r="CF355" s="190">
        <v>2.2523750235770024E-2</v>
      </c>
      <c r="CG355" s="247">
        <v>227.98599999999999</v>
      </c>
      <c r="CH355" s="247">
        <v>67.283000000000001</v>
      </c>
      <c r="CI355" s="190">
        <v>11.730350028384388</v>
      </c>
      <c r="CJ355" s="190">
        <v>-0.15650565963413499</v>
      </c>
      <c r="CK355" s="190">
        <v>56.286498807169671</v>
      </c>
      <c r="CL355" s="247">
        <v>935.93100000000004</v>
      </c>
      <c r="CM355" s="247">
        <v>31.197700000000001</v>
      </c>
      <c r="CN355" s="247">
        <v>695.58100000000002</v>
      </c>
      <c r="CO355" s="247">
        <v>47.375</v>
      </c>
      <c r="CP355" s="190">
        <v>44.591812857999145</v>
      </c>
      <c r="CQ355" s="190">
        <v>5.8187829449629191E-2</v>
      </c>
      <c r="CR355" s="247">
        <v>379.84699999999998</v>
      </c>
      <c r="CS355" s="247">
        <v>127.05</v>
      </c>
      <c r="CT355" s="190">
        <v>12.175480884808815</v>
      </c>
      <c r="CU355" s="190">
        <v>0.28862519679029219</v>
      </c>
      <c r="CV355" s="190">
        <v>56.767293742807958</v>
      </c>
      <c r="CW355" s="163"/>
      <c r="CX355" s="212">
        <v>0</v>
      </c>
      <c r="CY355" s="212">
        <v>0</v>
      </c>
      <c r="CZ355" s="212">
        <v>0</v>
      </c>
      <c r="DA355" s="212">
        <v>0</v>
      </c>
      <c r="DB355" s="212">
        <v>0</v>
      </c>
      <c r="DC355" s="212">
        <v>0</v>
      </c>
      <c r="DD355" s="163"/>
      <c r="DE355" s="247">
        <v>158.30500000000001</v>
      </c>
      <c r="DF355" s="247">
        <v>93.55</v>
      </c>
      <c r="DG355" s="247">
        <v>38.200000000000003</v>
      </c>
      <c r="DH355" s="199">
        <v>0.59094785382647419</v>
      </c>
      <c r="DI355" s="247">
        <v>127.999</v>
      </c>
      <c r="DJ355" s="199">
        <v>0.40427971321183787</v>
      </c>
      <c r="DK355" s="247">
        <v>139.31100000000001</v>
      </c>
      <c r="DL355" s="247">
        <v>134.81</v>
      </c>
      <c r="DM355" s="199">
        <v>3.2309006467543866E-2</v>
      </c>
      <c r="DN355" s="247">
        <v>135.23099999999999</v>
      </c>
      <c r="DO355" s="247">
        <v>71.429000000000002</v>
      </c>
      <c r="DP355" s="247">
        <v>88.07</v>
      </c>
      <c r="DQ355" s="247">
        <v>159.499</v>
      </c>
      <c r="DR355" s="247">
        <v>0.99522756703831206</v>
      </c>
      <c r="DS355" s="247">
        <v>1.0883756904350816</v>
      </c>
      <c r="DT355" s="247">
        <v>112.069</v>
      </c>
      <c r="DU355" s="247">
        <v>46.755000000000003</v>
      </c>
      <c r="DV355" s="247">
        <v>44.954000000000001</v>
      </c>
      <c r="DW355" s="199">
        <v>0.41719833316974364</v>
      </c>
      <c r="DX355" s="247">
        <v>28.808</v>
      </c>
      <c r="DY355" s="199">
        <v>0.12852796045293524</v>
      </c>
      <c r="DZ355" s="247">
        <v>29.984999999999999</v>
      </c>
      <c r="EA355" s="247">
        <v>29.262</v>
      </c>
      <c r="EB355" s="199">
        <v>2.4112056028014028E-2</v>
      </c>
      <c r="EC355" s="247">
        <v>28.622</v>
      </c>
      <c r="ED355" s="247">
        <v>27.5</v>
      </c>
      <c r="EE355" s="247">
        <v>31.030999999999999</v>
      </c>
      <c r="EF355" s="247">
        <v>58.530999999999999</v>
      </c>
      <c r="EG355" s="199">
        <v>0.54572629362267888</v>
      </c>
    </row>
    <row r="356" spans="1:140">
      <c r="A356" s="157">
        <v>45108</v>
      </c>
      <c r="B356" s="247">
        <v>5544.5829999999996</v>
      </c>
      <c r="C356" s="247">
        <v>184.81943333333331</v>
      </c>
      <c r="D356" s="247">
        <v>11.51643333333331</v>
      </c>
      <c r="E356" s="247">
        <v>6.6452590741841178E-2</v>
      </c>
      <c r="F356" s="247">
        <v>4083.654</v>
      </c>
      <c r="G356" s="247">
        <v>4050.9189999999999</v>
      </c>
      <c r="H356" s="247">
        <v>32.734999999999999</v>
      </c>
      <c r="I356" s="247">
        <v>419.84800000000001</v>
      </c>
      <c r="J356" s="190">
        <v>44.19074256801639</v>
      </c>
      <c r="K356" s="190">
        <v>47.178274723274953</v>
      </c>
      <c r="L356" s="190">
        <v>-0.17172527672504856</v>
      </c>
      <c r="M356" s="247">
        <v>276.077</v>
      </c>
      <c r="N356" s="247">
        <v>44.088999999999999</v>
      </c>
      <c r="O356" s="247">
        <v>2179.3679999999999</v>
      </c>
      <c r="P356" s="247">
        <v>1707.2349999999999</v>
      </c>
      <c r="Q356" s="247">
        <v>870.66300000000001</v>
      </c>
      <c r="R356" s="247">
        <v>253.58600000000001</v>
      </c>
      <c r="S356" s="247">
        <v>582.98599999999999</v>
      </c>
      <c r="T356" s="247">
        <v>441.33800000000002</v>
      </c>
      <c r="U356" s="247">
        <v>621.5809999999999</v>
      </c>
      <c r="V356" s="199">
        <v>0.40706238146630747</v>
      </c>
      <c r="W356" s="190">
        <v>11.791876864319644</v>
      </c>
      <c r="X356" s="190">
        <v>-0.11812313568035648</v>
      </c>
      <c r="Y356" s="247">
        <v>58.9701515875946</v>
      </c>
      <c r="Z356" s="247">
        <v>1802.6289999999999</v>
      </c>
      <c r="AA356" s="247">
        <v>1764.17</v>
      </c>
      <c r="AB356" s="199">
        <v>2.1334950231023598E-2</v>
      </c>
      <c r="AC356" s="195">
        <v>178.07162055790013</v>
      </c>
      <c r="AD356" s="195">
        <v>1765.0509999999999</v>
      </c>
      <c r="AE356" s="195">
        <v>1211.162</v>
      </c>
      <c r="AF356" s="195">
        <v>553.88900000000001</v>
      </c>
      <c r="AG356" s="191">
        <v>1.0004993849799055</v>
      </c>
      <c r="AH356" s="247"/>
      <c r="AI356" s="247">
        <v>678.31899999999996</v>
      </c>
      <c r="AJ356" s="247">
        <v>22.610633333333332</v>
      </c>
      <c r="AK356" s="247">
        <v>482.94299999999998</v>
      </c>
      <c r="AL356" s="247">
        <v>48.935000000000002</v>
      </c>
      <c r="AM356" s="190">
        <v>42.718219598743367</v>
      </c>
      <c r="AN356" s="190">
        <v>-1.4725229692730224</v>
      </c>
      <c r="AO356" s="247">
        <v>264.77300000000002</v>
      </c>
      <c r="AP356" s="247">
        <v>122.29900000000001</v>
      </c>
      <c r="AQ356" s="190">
        <v>11.710109845072894</v>
      </c>
      <c r="AR356" s="190">
        <v>-8.1767019246749229E-2</v>
      </c>
      <c r="AS356" s="190">
        <v>54.42832944381626</v>
      </c>
      <c r="AT356" s="247">
        <v>1195.702</v>
      </c>
      <c r="AU356" s="247">
        <v>39.856733333333331</v>
      </c>
      <c r="AV356" s="247">
        <v>884.22400000000005</v>
      </c>
      <c r="AW356" s="247">
        <v>80.962999999999994</v>
      </c>
      <c r="AX356" s="190">
        <v>44.370118976132851</v>
      </c>
      <c r="AY356" s="190">
        <v>0.17937640811646105</v>
      </c>
      <c r="AZ356" s="247">
        <v>478.43900000000002</v>
      </c>
      <c r="BA356" s="247">
        <v>141.62799999999999</v>
      </c>
      <c r="BB356" s="190">
        <v>12.003969216410111</v>
      </c>
      <c r="BC356" s="190">
        <v>0.21209235209046717</v>
      </c>
      <c r="BD356" s="190">
        <v>56.374088192542963</v>
      </c>
      <c r="BE356" s="247">
        <v>1281.1289999999999</v>
      </c>
      <c r="BF356" s="247">
        <v>42.704299999999996</v>
      </c>
      <c r="BG356" s="247">
        <v>950.23099999999999</v>
      </c>
      <c r="BH356" s="247">
        <v>140.60499999999999</v>
      </c>
      <c r="BI356" s="190">
        <v>44.502825242422901</v>
      </c>
      <c r="BJ356" s="190">
        <v>0.31208267440651127</v>
      </c>
      <c r="BK356" s="247">
        <v>497.31700000000001</v>
      </c>
      <c r="BL356" s="247">
        <v>224.465</v>
      </c>
      <c r="BM356" s="190">
        <v>11.645595408424914</v>
      </c>
      <c r="BN356" s="190">
        <v>-0.14628145589473007</v>
      </c>
      <c r="BO356" s="190">
        <v>56.148420650847811</v>
      </c>
      <c r="BP356" s="247">
        <v>890.226</v>
      </c>
      <c r="BQ356" s="247">
        <v>29.674199999999999</v>
      </c>
      <c r="BR356" s="247">
        <v>658.76900000000001</v>
      </c>
      <c r="BS356" s="247">
        <v>45.869</v>
      </c>
      <c r="BT356" s="190">
        <v>44.400118621563514</v>
      </c>
      <c r="BU356" s="190">
        <v>0.20937605354712474</v>
      </c>
      <c r="BV356" s="247">
        <v>349.072</v>
      </c>
      <c r="BW356" s="247">
        <v>183.57300000000001</v>
      </c>
      <c r="BX356" s="190">
        <v>11.76348477802266</v>
      </c>
      <c r="BY356" s="190">
        <v>-2.8392086296983976E-2</v>
      </c>
      <c r="BZ356" s="190">
        <v>56.163603399586172</v>
      </c>
      <c r="CA356" s="247">
        <v>566.85400000000004</v>
      </c>
      <c r="CB356" s="247">
        <v>18.895133333333334</v>
      </c>
      <c r="CC356" s="247">
        <v>415.02</v>
      </c>
      <c r="CD356" s="247">
        <v>58.761000000000003</v>
      </c>
      <c r="CE356" s="190">
        <v>43.928771782504839</v>
      </c>
      <c r="CF356" s="190">
        <v>-0.26197078551155073</v>
      </c>
      <c r="CG356" s="247">
        <v>215.39099999999999</v>
      </c>
      <c r="CH356" s="247">
        <v>74.132999999999996</v>
      </c>
      <c r="CI356" s="190">
        <v>11.399284471839309</v>
      </c>
      <c r="CJ356" s="190">
        <v>-0.39259239248033495</v>
      </c>
      <c r="CK356" s="190">
        <v>55.328056254344148</v>
      </c>
      <c r="CL356" s="247">
        <v>932.35299999999995</v>
      </c>
      <c r="CM356" s="247">
        <v>31.078433333333333</v>
      </c>
      <c r="CN356" s="247">
        <v>692.46699999999998</v>
      </c>
      <c r="CO356" s="247">
        <v>44.715000000000003</v>
      </c>
      <c r="CP356" s="190">
        <v>44.562542298893227</v>
      </c>
      <c r="CQ356" s="190">
        <v>0.37179973087683749</v>
      </c>
      <c r="CR356" s="247">
        <v>374.37599999999998</v>
      </c>
      <c r="CS356" s="247">
        <v>124.565</v>
      </c>
      <c r="CT356" s="190">
        <v>12.046167063333307</v>
      </c>
      <c r="CU356" s="190">
        <v>0.25429019901366345</v>
      </c>
      <c r="CV356" s="190">
        <v>56.608709362226534</v>
      </c>
      <c r="CW356" s="163"/>
      <c r="CX356" s="212">
        <v>0</v>
      </c>
      <c r="CY356" s="212">
        <v>0</v>
      </c>
      <c r="CZ356" s="212">
        <v>0</v>
      </c>
      <c r="DA356" s="212">
        <v>0</v>
      </c>
      <c r="DB356" s="212">
        <v>0</v>
      </c>
      <c r="DC356" s="212">
        <v>0</v>
      </c>
      <c r="DD356" s="163"/>
      <c r="DE356" s="247">
        <v>192.07400000000001</v>
      </c>
      <c r="DF356" s="247">
        <v>110.748</v>
      </c>
      <c r="DG356" s="247">
        <v>57.13</v>
      </c>
      <c r="DH356" s="199">
        <v>0.57659027249914097</v>
      </c>
      <c r="DI356" s="247">
        <v>150.435</v>
      </c>
      <c r="DJ356" s="199">
        <v>0.39160688068140403</v>
      </c>
      <c r="DK356" s="247">
        <v>164.70099999999999</v>
      </c>
      <c r="DL356" s="247">
        <v>159.345</v>
      </c>
      <c r="DM356" s="199">
        <v>3.2519535400513666E-2</v>
      </c>
      <c r="DN356" s="247">
        <v>143.608</v>
      </c>
      <c r="DO356" s="247">
        <v>47.003999999999998</v>
      </c>
      <c r="DP356" s="247">
        <v>104.93899999999999</v>
      </c>
      <c r="DQ356" s="247">
        <v>151.94299999999998</v>
      </c>
      <c r="DR356" s="247">
        <v>0.968197153180545</v>
      </c>
      <c r="DS356" s="247">
        <v>1.0948316548675507</v>
      </c>
      <c r="DT356" s="247">
        <v>85.305999999999997</v>
      </c>
      <c r="DU356" s="247">
        <v>33.807000000000002</v>
      </c>
      <c r="DV356" s="247">
        <v>33.863</v>
      </c>
      <c r="DW356" s="199">
        <v>0.39630272196562966</v>
      </c>
      <c r="DX356" s="247">
        <v>22.061</v>
      </c>
      <c r="DY356" s="199">
        <v>0.12930508991161233</v>
      </c>
      <c r="DZ356" s="247">
        <v>26.594999999999999</v>
      </c>
      <c r="EA356" s="247">
        <v>25.774000000000001</v>
      </c>
      <c r="EB356" s="199">
        <v>3.0870464373002338E-2</v>
      </c>
      <c r="EC356" s="247">
        <v>32.536999999999999</v>
      </c>
      <c r="ED356" s="247">
        <v>30</v>
      </c>
      <c r="EE356" s="247">
        <v>24.997</v>
      </c>
      <c r="EF356" s="247">
        <v>54.997</v>
      </c>
      <c r="EG356" s="199">
        <v>0.52560781187724204</v>
      </c>
    </row>
    <row r="357" spans="1:140">
      <c r="A357" s="157">
        <v>45139</v>
      </c>
      <c r="B357" s="247">
        <v>5069.87</v>
      </c>
      <c r="C357" s="247">
        <v>168.99566666666666</v>
      </c>
      <c r="D357" s="247">
        <v>7.542666666666662</v>
      </c>
      <c r="E357" s="247">
        <v>4.6717414149422209E-2</v>
      </c>
      <c r="F357" s="247">
        <v>3767.0639999999999</v>
      </c>
      <c r="G357" s="247">
        <v>3725.1239999999998</v>
      </c>
      <c r="H357" s="247">
        <v>41.94</v>
      </c>
      <c r="I357" s="247">
        <v>280.33499999999998</v>
      </c>
      <c r="J357" s="190">
        <v>44.581782175874331</v>
      </c>
      <c r="K357" s="190">
        <v>47.692252464067124</v>
      </c>
      <c r="L357" s="190">
        <v>4.2252464067125572E-2</v>
      </c>
      <c r="M357" s="247">
        <v>262.82799999999997</v>
      </c>
      <c r="N357" s="247">
        <v>36.506</v>
      </c>
      <c r="O357" s="247">
        <v>2014.153</v>
      </c>
      <c r="P357" s="247">
        <v>1353.202</v>
      </c>
      <c r="Q357" s="247">
        <v>759.92700000000002</v>
      </c>
      <c r="R357" s="247">
        <v>226.33699999999999</v>
      </c>
      <c r="S357" s="247">
        <v>366.93799999999999</v>
      </c>
      <c r="T357" s="247">
        <v>419.18099999999998</v>
      </c>
      <c r="U357" s="247">
        <v>522.62100000000009</v>
      </c>
      <c r="V357" s="199">
        <v>0.41817642079051853</v>
      </c>
      <c r="W357" s="190">
        <v>11.918370688005806</v>
      </c>
      <c r="X357" s="190">
        <v>-2.1629311994193046E-2</v>
      </c>
      <c r="Y357" s="247">
        <v>59.610623152072932</v>
      </c>
      <c r="Z357" s="247">
        <v>1740.71</v>
      </c>
      <c r="AA357" s="247">
        <v>1709.8140000000001</v>
      </c>
      <c r="AB357" s="199">
        <v>1.7749079398636163E-2</v>
      </c>
      <c r="AC357" s="195">
        <v>187.12</v>
      </c>
      <c r="AD357" s="195">
        <v>1723.7660000000001</v>
      </c>
      <c r="AE357" s="195">
        <v>1237.914</v>
      </c>
      <c r="AF357" s="195">
        <v>485.85199999999998</v>
      </c>
      <c r="AG357" s="191">
        <v>8.1599519012010013E-3</v>
      </c>
      <c r="AH357" s="247"/>
      <c r="AI357" s="247"/>
      <c r="AJ357" s="247"/>
      <c r="AK357" s="247"/>
      <c r="AL357" s="247"/>
      <c r="AM357" s="190"/>
      <c r="AN357" s="190"/>
      <c r="AO357" s="247"/>
      <c r="AP357" s="247"/>
      <c r="AQ357" s="190"/>
      <c r="AR357" s="190"/>
      <c r="AS357" s="190"/>
      <c r="AT357" s="247"/>
      <c r="AU357" s="247"/>
      <c r="AV357" s="247"/>
      <c r="AW357" s="247"/>
      <c r="AX357" s="190"/>
      <c r="AY357" s="190"/>
      <c r="AZ357" s="247"/>
      <c r="BA357" s="247"/>
      <c r="BB357" s="190"/>
      <c r="BC357" s="190"/>
      <c r="BD357" s="190"/>
      <c r="BE357" s="247"/>
      <c r="BF357" s="247"/>
      <c r="BG357" s="247"/>
      <c r="BH357" s="247"/>
      <c r="BI357" s="190"/>
      <c r="BJ357" s="190"/>
      <c r="BK357" s="247"/>
      <c r="BL357" s="247"/>
      <c r="BM357" s="190"/>
      <c r="BN357" s="190"/>
      <c r="BO357" s="190"/>
      <c r="BP357" s="247"/>
      <c r="BQ357" s="247"/>
      <c r="BR357" s="247"/>
      <c r="BS357" s="247"/>
      <c r="BT357" s="190"/>
      <c r="BU357" s="190"/>
      <c r="BV357" s="247"/>
      <c r="BW357" s="247"/>
      <c r="BX357" s="190"/>
      <c r="BY357" s="190"/>
      <c r="BZ357" s="190"/>
      <c r="CA357" s="247"/>
      <c r="CB357" s="247"/>
      <c r="CC357" s="247"/>
      <c r="CD357" s="247"/>
      <c r="CE357" s="190"/>
      <c r="CF357" s="190"/>
      <c r="CG357" s="247"/>
      <c r="CH357" s="247"/>
      <c r="CI357" s="190"/>
      <c r="CJ357" s="190"/>
      <c r="CK357" s="190"/>
      <c r="CL357" s="247"/>
      <c r="CM357" s="247"/>
      <c r="CN357" s="247"/>
      <c r="CO357" s="247"/>
      <c r="CP357" s="190"/>
      <c r="CQ357" s="190"/>
      <c r="CR357" s="247"/>
      <c r="CS357" s="247"/>
      <c r="CT357" s="190"/>
      <c r="CU357" s="190"/>
      <c r="CV357" s="190"/>
      <c r="CW357" s="163"/>
      <c r="CX357" s="212"/>
      <c r="CY357" s="212"/>
      <c r="CZ357" s="212"/>
      <c r="DA357" s="212"/>
      <c r="DB357" s="212"/>
      <c r="DC357" s="212"/>
      <c r="DD357" s="163"/>
      <c r="DE357" s="247"/>
      <c r="DF357" s="247"/>
      <c r="DG357" s="247"/>
      <c r="DH357" s="199"/>
      <c r="DI357" s="247"/>
      <c r="DJ357" s="199"/>
      <c r="DK357" s="247"/>
      <c r="DL357" s="247"/>
      <c r="DM357" s="199"/>
      <c r="DN357" s="247"/>
      <c r="DO357" s="247"/>
      <c r="DP357" s="247"/>
      <c r="DQ357" s="247"/>
      <c r="DR357" s="247"/>
      <c r="DS357" s="247"/>
      <c r="DT357" s="247"/>
      <c r="DU357" s="247"/>
      <c r="DV357" s="247"/>
      <c r="DW357" s="199"/>
      <c r="DX357" s="247"/>
      <c r="DY357" s="199"/>
      <c r="DZ357" s="247"/>
      <c r="EA357" s="247"/>
      <c r="EB357" s="199"/>
      <c r="EC357" s="247"/>
      <c r="ED357" s="247"/>
      <c r="EE357" s="247"/>
      <c r="EF357" s="247"/>
      <c r="EG357" s="199"/>
    </row>
    <row r="358" spans="1:140">
      <c r="A358" s="157">
        <v>45170</v>
      </c>
      <c r="B358" s="247">
        <v>5242.9309999999996</v>
      </c>
      <c r="C358" s="247">
        <v>174.76436666666666</v>
      </c>
      <c r="D358" s="247">
        <v>9.3083666666666716</v>
      </c>
      <c r="E358" s="247">
        <v>5.6258864390935859E-2</v>
      </c>
      <c r="F358" s="247">
        <v>3843.681</v>
      </c>
      <c r="G358" s="247">
        <v>3799.2379999999998</v>
      </c>
      <c r="H358" s="247">
        <v>44.442999999999998</v>
      </c>
      <c r="I358" s="247">
        <v>327.57400000000001</v>
      </c>
      <c r="J358" s="190">
        <v>43.987010319227927</v>
      </c>
      <c r="K358" s="190">
        <v>46.984635121080174</v>
      </c>
      <c r="L358" s="190">
        <v>-0.15536487891982631</v>
      </c>
      <c r="M358" s="247">
        <v>261.93900000000002</v>
      </c>
      <c r="N358" s="247">
        <v>43.317</v>
      </c>
      <c r="O358" s="247">
        <v>2077.0740000000001</v>
      </c>
      <c r="P358" s="247">
        <v>1184.5150000000001</v>
      </c>
      <c r="Q358" s="247">
        <v>716.34699999999998</v>
      </c>
      <c r="R358" s="247">
        <v>189.113</v>
      </c>
      <c r="S358" s="247">
        <v>279.05500000000001</v>
      </c>
      <c r="T358" s="247">
        <v>417.721</v>
      </c>
      <c r="U358" s="247">
        <v>494.59900000000016</v>
      </c>
      <c r="V358" s="199">
        <v>0.44653528186580993</v>
      </c>
      <c r="W358" s="190">
        <v>11.884997151402528</v>
      </c>
      <c r="X358" s="190">
        <v>-4.5002848597471612E-2</v>
      </c>
      <c r="Y358" s="247">
        <v>58.869632272482704</v>
      </c>
      <c r="Z358" s="247">
        <v>1765.874</v>
      </c>
      <c r="AA358" s="247">
        <v>1729.481</v>
      </c>
      <c r="AB358" s="199">
        <v>2.0609058177423773E-2</v>
      </c>
      <c r="AC358" s="195">
        <v>207.19300000000001</v>
      </c>
      <c r="AD358" s="195">
        <v>1714.076</v>
      </c>
      <c r="AE358" s="195">
        <v>1211.4280000000001</v>
      </c>
      <c r="AF358" s="195">
        <v>502.64800000000002</v>
      </c>
      <c r="AG358" s="191">
        <v>-8.9072964663965415E-3</v>
      </c>
      <c r="AH358" s="247"/>
      <c r="AI358" s="247"/>
      <c r="AJ358" s="247"/>
      <c r="AK358" s="247"/>
      <c r="AL358" s="247"/>
      <c r="AM358" s="190"/>
      <c r="AN358" s="190"/>
      <c r="AO358" s="247"/>
      <c r="AP358" s="247"/>
      <c r="AQ358" s="190"/>
      <c r="AR358" s="190"/>
      <c r="AS358" s="190"/>
      <c r="AT358" s="247"/>
      <c r="AU358" s="247"/>
      <c r="AV358" s="247"/>
      <c r="AW358" s="247"/>
      <c r="AX358" s="190"/>
      <c r="AY358" s="190"/>
      <c r="AZ358" s="247"/>
      <c r="BA358" s="247"/>
      <c r="BB358" s="190"/>
      <c r="BC358" s="190"/>
      <c r="BD358" s="190"/>
      <c r="BE358" s="247"/>
      <c r="BF358" s="247"/>
      <c r="BG358" s="247"/>
      <c r="BH358" s="247"/>
      <c r="BI358" s="190"/>
      <c r="BJ358" s="190"/>
      <c r="BK358" s="247"/>
      <c r="BL358" s="247"/>
      <c r="BM358" s="190"/>
      <c r="BN358" s="190"/>
      <c r="BO358" s="190"/>
      <c r="BP358" s="247"/>
      <c r="BQ358" s="247"/>
      <c r="BR358" s="247"/>
      <c r="BS358" s="247"/>
      <c r="BT358" s="190"/>
      <c r="BU358" s="190"/>
      <c r="BV358" s="247"/>
      <c r="BW358" s="247"/>
      <c r="BX358" s="190"/>
      <c r="BY358" s="190"/>
      <c r="BZ358" s="190"/>
      <c r="CA358" s="247"/>
      <c r="CB358" s="247"/>
      <c r="CC358" s="247"/>
      <c r="CD358" s="247"/>
      <c r="CE358" s="190"/>
      <c r="CF358" s="190"/>
      <c r="CG358" s="247"/>
      <c r="CH358" s="247"/>
      <c r="CI358" s="190"/>
      <c r="CJ358" s="190"/>
      <c r="CK358" s="190"/>
      <c r="CL358" s="247"/>
      <c r="CM358" s="247"/>
      <c r="CN358" s="247"/>
      <c r="CO358" s="247"/>
      <c r="CP358" s="190"/>
      <c r="CQ358" s="190"/>
      <c r="CR358" s="247"/>
      <c r="CS358" s="247"/>
      <c r="CT358" s="190"/>
      <c r="CU358" s="190"/>
      <c r="CV358" s="190"/>
      <c r="CW358" s="163"/>
      <c r="CX358" s="212"/>
      <c r="CY358" s="212"/>
      <c r="CZ358" s="212"/>
      <c r="DA358" s="212"/>
      <c r="DB358" s="212"/>
      <c r="DC358" s="212"/>
      <c r="DD358" s="163"/>
      <c r="DE358" s="247"/>
      <c r="DF358" s="247"/>
      <c r="DG358" s="247"/>
      <c r="DH358" s="199"/>
      <c r="DI358" s="247"/>
      <c r="DJ358" s="199"/>
      <c r="DK358" s="247"/>
      <c r="DL358" s="247"/>
      <c r="DM358" s="199"/>
      <c r="DN358" s="247"/>
      <c r="DO358" s="247"/>
      <c r="DP358" s="247"/>
      <c r="DQ358" s="247"/>
      <c r="DR358" s="247"/>
      <c r="DS358" s="247"/>
      <c r="DT358" s="247"/>
      <c r="DU358" s="247"/>
      <c r="DV358" s="247"/>
      <c r="DW358" s="199"/>
      <c r="DX358" s="247"/>
      <c r="DY358" s="199"/>
      <c r="DZ358" s="247"/>
      <c r="EA358" s="247"/>
      <c r="EB358" s="199"/>
      <c r="EC358" s="247"/>
      <c r="ED358" s="247"/>
      <c r="EE358" s="247"/>
      <c r="EF358" s="247"/>
      <c r="EG358" s="199"/>
    </row>
    <row r="359" spans="1:140">
      <c r="A359" s="157">
        <v>45200</v>
      </c>
      <c r="B359" s="247">
        <v>6041.6850000000004</v>
      </c>
      <c r="C359" s="247">
        <v>201.38950000000003</v>
      </c>
      <c r="D359" s="247">
        <v>11.615500000000026</v>
      </c>
      <c r="E359" s="247">
        <v>6.120701465954248E-2</v>
      </c>
      <c r="F359" s="247">
        <v>4442.4660000000003</v>
      </c>
      <c r="G359" s="247">
        <v>4393.6710000000003</v>
      </c>
      <c r="H359" s="247">
        <v>48.795000000000002</v>
      </c>
      <c r="I359" s="247">
        <v>291.07100000000003</v>
      </c>
      <c r="J359" s="190">
        <v>44.118149158719795</v>
      </c>
      <c r="K359" s="190">
        <v>47.057895272593655</v>
      </c>
      <c r="L359" s="190">
        <v>8.7895272593655704E-2</v>
      </c>
      <c r="M359" s="247">
        <v>296.017</v>
      </c>
      <c r="N359" s="247">
        <v>43.567999999999998</v>
      </c>
      <c r="O359" s="247">
        <v>2375.654</v>
      </c>
      <c r="P359" s="247">
        <v>1081.7139999999999</v>
      </c>
      <c r="Q359" s="247">
        <v>660.53300000000002</v>
      </c>
      <c r="R359" s="247">
        <v>177.101</v>
      </c>
      <c r="S359" s="247">
        <v>244.08</v>
      </c>
      <c r="T359" s="247">
        <v>424.89499999999998</v>
      </c>
      <c r="U359" s="247">
        <v>407.52299999999991</v>
      </c>
      <c r="V359" s="199">
        <v>0.37078354196122953</v>
      </c>
      <c r="W359" s="190">
        <v>11.796315100836933</v>
      </c>
      <c r="X359" s="190">
        <v>-3.3684899163066717E-2</v>
      </c>
      <c r="Y359" s="247">
        <v>58.85421037343059</v>
      </c>
      <c r="Z359" s="247">
        <v>1922.221</v>
      </c>
      <c r="AA359" s="247">
        <v>1885.105</v>
      </c>
      <c r="AB359" s="199">
        <v>1.9308914011448207E-2</v>
      </c>
      <c r="AC359" s="195">
        <v>179.57225473502342</v>
      </c>
      <c r="AD359" s="195">
        <v>1857.752</v>
      </c>
      <c r="AE359" s="195">
        <v>1295.769</v>
      </c>
      <c r="AF359" s="195">
        <v>561.98299999999995</v>
      </c>
      <c r="AG359" s="191">
        <v>-1.4510067078491673E-2</v>
      </c>
      <c r="AH359" s="247"/>
      <c r="AI359" s="247"/>
      <c r="AJ359" s="247"/>
      <c r="AK359" s="247"/>
      <c r="AL359" s="247"/>
      <c r="AM359" s="190"/>
      <c r="AN359" s="190"/>
      <c r="AO359" s="247"/>
      <c r="AP359" s="247"/>
      <c r="AQ359" s="190"/>
      <c r="AR359" s="190"/>
      <c r="AS359" s="190"/>
      <c r="AT359" s="247"/>
      <c r="AU359" s="247"/>
      <c r="AV359" s="247"/>
      <c r="AW359" s="247"/>
      <c r="AX359" s="190"/>
      <c r="AY359" s="190"/>
      <c r="AZ359" s="247"/>
      <c r="BA359" s="247"/>
      <c r="BB359" s="190"/>
      <c r="BC359" s="190"/>
      <c r="BD359" s="190"/>
      <c r="BE359" s="247"/>
      <c r="BF359" s="247"/>
      <c r="BG359" s="247"/>
      <c r="BH359" s="247"/>
      <c r="BI359" s="190"/>
      <c r="BJ359" s="190"/>
      <c r="BK359" s="247"/>
      <c r="BL359" s="247"/>
      <c r="BM359" s="190"/>
      <c r="BN359" s="190"/>
      <c r="BO359" s="190"/>
      <c r="BP359" s="247"/>
      <c r="BQ359" s="247"/>
      <c r="BR359" s="247"/>
      <c r="BS359" s="247"/>
      <c r="BT359" s="190"/>
      <c r="BU359" s="190"/>
      <c r="BV359" s="247"/>
      <c r="BW359" s="247"/>
      <c r="BX359" s="190"/>
      <c r="BY359" s="190"/>
      <c r="BZ359" s="190"/>
      <c r="CA359" s="247"/>
      <c r="CB359" s="247"/>
      <c r="CC359" s="247"/>
      <c r="CD359" s="247"/>
      <c r="CE359" s="190"/>
      <c r="CF359" s="190"/>
      <c r="CG359" s="247"/>
      <c r="CH359" s="247"/>
      <c r="CI359" s="190"/>
      <c r="CJ359" s="190"/>
      <c r="CK359" s="190"/>
      <c r="CL359" s="247"/>
      <c r="CM359" s="247"/>
      <c r="CN359" s="247"/>
      <c r="CO359" s="247"/>
      <c r="CP359" s="190"/>
      <c r="CQ359" s="190"/>
      <c r="CR359" s="247"/>
      <c r="CS359" s="247"/>
      <c r="CT359" s="190"/>
      <c r="CU359" s="190"/>
      <c r="CV359" s="190"/>
      <c r="CW359" s="163"/>
      <c r="CX359" s="212"/>
      <c r="CY359" s="212"/>
      <c r="CZ359" s="212"/>
      <c r="DA359" s="212"/>
      <c r="DB359" s="212"/>
      <c r="DC359" s="212"/>
      <c r="DD359" s="163"/>
      <c r="DE359" s="247"/>
      <c r="DF359" s="247"/>
      <c r="DG359" s="247"/>
      <c r="DH359" s="199"/>
      <c r="DI359" s="247"/>
      <c r="DJ359" s="199"/>
      <c r="DK359" s="247"/>
      <c r="DL359" s="247"/>
      <c r="DM359" s="199"/>
      <c r="DN359" s="247"/>
      <c r="DO359" s="247"/>
      <c r="DP359" s="247"/>
      <c r="DQ359" s="247"/>
      <c r="DR359" s="247"/>
      <c r="DS359" s="247"/>
      <c r="DT359" s="247"/>
      <c r="DU359" s="247"/>
      <c r="DV359" s="247"/>
      <c r="DW359" s="199"/>
      <c r="DX359" s="247"/>
      <c r="DY359" s="199"/>
      <c r="DZ359" s="247"/>
      <c r="EA359" s="247"/>
      <c r="EB359" s="199"/>
      <c r="EC359" s="247"/>
      <c r="ED359" s="247"/>
      <c r="EE359" s="247"/>
      <c r="EF359" s="247"/>
      <c r="EG359" s="199"/>
    </row>
    <row r="360" spans="1:140">
      <c r="A360" s="157">
        <v>45231</v>
      </c>
      <c r="B360" s="247">
        <v>6002.7079999999996</v>
      </c>
      <c r="C360" s="247">
        <v>200.09026666666665</v>
      </c>
      <c r="D360" s="247">
        <v>11.05226666666664</v>
      </c>
      <c r="E360" s="247">
        <v>5.8465846373039421E-2</v>
      </c>
      <c r="F360" s="247">
        <v>4399.8779999999997</v>
      </c>
      <c r="G360" s="247">
        <v>4349.5990000000002</v>
      </c>
      <c r="H360" s="247">
        <v>50.277999999999999</v>
      </c>
      <c r="I360" s="247">
        <v>260.05200000000002</v>
      </c>
      <c r="J360" s="190">
        <v>43.978930842546397</v>
      </c>
      <c r="K360" s="190">
        <v>47.040848896864546</v>
      </c>
      <c r="L360" s="190">
        <v>0.14084889686454716</v>
      </c>
      <c r="M360" s="247">
        <v>306.33</v>
      </c>
      <c r="N360" s="247">
        <v>44.384999999999998</v>
      </c>
      <c r="O360" s="247">
        <v>2324.6680000000001</v>
      </c>
      <c r="P360" s="247">
        <v>1162.011</v>
      </c>
      <c r="Q360" s="247">
        <v>728.71699999999998</v>
      </c>
      <c r="R360" s="247">
        <v>186.98500000000001</v>
      </c>
      <c r="S360" s="247">
        <v>246.309</v>
      </c>
      <c r="T360" s="247">
        <v>186.98500000000001</v>
      </c>
      <c r="U360" s="247">
        <v>135.4860000000001</v>
      </c>
      <c r="V360" s="199">
        <v>0.11164802927046336</v>
      </c>
      <c r="W360" s="190">
        <v>11.61809636584022</v>
      </c>
      <c r="X360" s="190">
        <v>-5.1903634159780054E-2</v>
      </c>
      <c r="Y360" s="247">
        <v>58.658945262704762</v>
      </c>
      <c r="Z360" s="247">
        <v>1752.6010000000001</v>
      </c>
      <c r="AA360" s="247">
        <v>1707.123</v>
      </c>
      <c r="AB360" s="199">
        <v>2.5948861149799676E-2</v>
      </c>
      <c r="AC360" s="195">
        <v>189.542</v>
      </c>
      <c r="AD360" s="195">
        <v>1682.96</v>
      </c>
      <c r="AE360" s="195">
        <v>1182.894</v>
      </c>
      <c r="AF360" s="195">
        <v>500.06599999999997</v>
      </c>
      <c r="AG360" s="191">
        <v>-1.4154223216487627E-2</v>
      </c>
      <c r="AH360" s="247"/>
      <c r="AI360" s="247"/>
      <c r="AJ360" s="247"/>
      <c r="AK360" s="247"/>
      <c r="AL360" s="247"/>
      <c r="AM360" s="190"/>
      <c r="AN360" s="190"/>
      <c r="AO360" s="247"/>
      <c r="AP360" s="247"/>
      <c r="AQ360" s="190"/>
      <c r="AR360" s="190"/>
      <c r="AS360" s="190"/>
      <c r="AT360" s="247"/>
      <c r="AU360" s="247"/>
      <c r="AV360" s="247"/>
      <c r="AW360" s="247"/>
      <c r="AX360" s="190"/>
      <c r="AY360" s="190"/>
      <c r="AZ360" s="247"/>
      <c r="BA360" s="247"/>
      <c r="BB360" s="190"/>
      <c r="BC360" s="190"/>
      <c r="BD360" s="190"/>
      <c r="BE360" s="247"/>
      <c r="BF360" s="247"/>
      <c r="BG360" s="247"/>
      <c r="BH360" s="247"/>
      <c r="BI360" s="190"/>
      <c r="BJ360" s="190"/>
      <c r="BK360" s="247"/>
      <c r="BL360" s="247"/>
      <c r="BM360" s="190"/>
      <c r="BN360" s="190"/>
      <c r="BO360" s="190"/>
      <c r="BP360" s="247"/>
      <c r="BQ360" s="247"/>
      <c r="BR360" s="247"/>
      <c r="BS360" s="247"/>
      <c r="BT360" s="190"/>
      <c r="BU360" s="190"/>
      <c r="BV360" s="247"/>
      <c r="BW360" s="247"/>
      <c r="BX360" s="190"/>
      <c r="BY360" s="190"/>
      <c r="BZ360" s="190"/>
      <c r="CA360" s="247"/>
      <c r="CB360" s="247"/>
      <c r="CC360" s="247"/>
      <c r="CD360" s="247"/>
      <c r="CE360" s="190"/>
      <c r="CF360" s="190"/>
      <c r="CG360" s="247"/>
      <c r="CH360" s="247"/>
      <c r="CI360" s="190"/>
      <c r="CJ360" s="190"/>
      <c r="CK360" s="190"/>
      <c r="CL360" s="247"/>
      <c r="CM360" s="247"/>
      <c r="CN360" s="247"/>
      <c r="CO360" s="247"/>
      <c r="CP360" s="190"/>
      <c r="CQ360" s="190"/>
      <c r="CR360" s="247"/>
      <c r="CS360" s="247"/>
      <c r="CT360" s="190"/>
      <c r="CU360" s="190"/>
      <c r="CV360" s="190"/>
      <c r="CW360" s="163"/>
      <c r="CX360" s="212"/>
      <c r="CY360" s="212"/>
      <c r="CZ360" s="212"/>
      <c r="DA360" s="212"/>
      <c r="DB360" s="212"/>
      <c r="DC360" s="212"/>
      <c r="DD360" s="163"/>
      <c r="DE360" s="247"/>
      <c r="DF360" s="247"/>
      <c r="DG360" s="247"/>
      <c r="DH360" s="199"/>
      <c r="DI360" s="247"/>
      <c r="DJ360" s="199"/>
      <c r="DK360" s="247"/>
      <c r="DL360" s="247"/>
      <c r="DM360" s="199"/>
      <c r="DN360" s="247"/>
      <c r="DO360" s="247"/>
      <c r="DP360" s="247"/>
      <c r="DQ360" s="247"/>
      <c r="DR360" s="247"/>
      <c r="DS360" s="247"/>
      <c r="DT360" s="247"/>
      <c r="DU360" s="247"/>
      <c r="DV360" s="247"/>
      <c r="DW360" s="199"/>
      <c r="DX360" s="247"/>
      <c r="DY360" s="199"/>
      <c r="DZ360" s="247"/>
      <c r="EA360" s="247"/>
      <c r="EB360" s="199"/>
      <c r="EC360" s="247"/>
      <c r="ED360" s="247"/>
      <c r="EE360" s="247"/>
      <c r="EF360" s="247"/>
      <c r="EG360" s="199"/>
    </row>
    <row r="361" spans="1:140">
      <c r="A361" s="157">
        <v>45261</v>
      </c>
      <c r="B361" s="247">
        <v>6128.558</v>
      </c>
      <c r="C361" s="247">
        <v>204.28526666666667</v>
      </c>
      <c r="D361" s="247">
        <v>8.9572666666666692</v>
      </c>
      <c r="E361" s="247">
        <v>4.58575660768894E-2</v>
      </c>
      <c r="F361" s="247">
        <v>4503.8559999999998</v>
      </c>
      <c r="G361" s="247">
        <v>4447.9160000000002</v>
      </c>
      <c r="H361" s="247">
        <v>55.94</v>
      </c>
      <c r="I361" s="247">
        <v>451.97899999999998</v>
      </c>
      <c r="J361" s="190">
        <v>44.093791720662509</v>
      </c>
      <c r="K361" s="190">
        <v>47.172682383033653</v>
      </c>
      <c r="L361" s="190">
        <v>-2.7317616966350045E-2</v>
      </c>
      <c r="M361" s="247">
        <v>314.48599999999999</v>
      </c>
      <c r="N361" s="247">
        <v>48.780999999999999</v>
      </c>
      <c r="O361" s="247">
        <v>2376.2370000000001</v>
      </c>
      <c r="P361" s="247">
        <v>1356.41</v>
      </c>
      <c r="Q361" s="247">
        <v>869.07500000000005</v>
      </c>
      <c r="R361" s="247">
        <v>231.904</v>
      </c>
      <c r="S361" s="247">
        <v>255.43100000000001</v>
      </c>
      <c r="T361" s="247">
        <v>467.42399999999998</v>
      </c>
      <c r="U361" s="247">
        <v>463.86400000000003</v>
      </c>
      <c r="V361" s="199">
        <v>0.3410839944998787</v>
      </c>
      <c r="W361" s="190">
        <v>11.631954857896424</v>
      </c>
      <c r="X361" s="190">
        <v>-7.8045142103576381E-2</v>
      </c>
      <c r="Y361" s="247">
        <v>58.804637240930077</v>
      </c>
      <c r="Z361" s="247">
        <v>1755.288</v>
      </c>
      <c r="AA361" s="247">
        <v>1711.1289999999999</v>
      </c>
      <c r="AB361" s="199">
        <v>2.5157694919580208E-2</v>
      </c>
      <c r="AC361" s="195">
        <v>174.59251306447996</v>
      </c>
      <c r="AD361" s="195">
        <v>1670.4359999999999</v>
      </c>
      <c r="AE361" s="195">
        <v>1144.3240000000001</v>
      </c>
      <c r="AF361" s="195">
        <v>526.11199999999997</v>
      </c>
      <c r="AG361" s="191">
        <v>-2.3781374753160001E-2</v>
      </c>
      <c r="AH361" s="247"/>
      <c r="AI361" s="247">
        <v>691.654</v>
      </c>
      <c r="AJ361" s="247">
        <v>23.055133333333334</v>
      </c>
      <c r="AK361" s="247">
        <v>495.46499999999997</v>
      </c>
      <c r="AL361" s="247">
        <v>62.966999999999999</v>
      </c>
      <c r="AM361" s="190">
        <v>42.980883505336479</v>
      </c>
      <c r="AN361" s="190">
        <v>-1.1129082153260299</v>
      </c>
      <c r="AO361" s="247">
        <v>273.411</v>
      </c>
      <c r="AP361" s="247">
        <v>150.35</v>
      </c>
      <c r="AQ361" s="190">
        <v>11.859007538451307</v>
      </c>
      <c r="AR361" s="190">
        <v>0.22705268055488226</v>
      </c>
      <c r="AS361" s="190">
        <v>54.839891043787787</v>
      </c>
      <c r="AT361" s="247">
        <v>1342.6120000000001</v>
      </c>
      <c r="AU361" s="247">
        <v>44.753733333333336</v>
      </c>
      <c r="AV361" s="247">
        <v>985.47299999999996</v>
      </c>
      <c r="AW361" s="247">
        <v>86.408000000000001</v>
      </c>
      <c r="AX361" s="190">
        <v>44.039811948649344</v>
      </c>
      <c r="AY361" s="190">
        <v>-5.3979772013164506E-2</v>
      </c>
      <c r="AZ361" s="247">
        <v>527.80999999999995</v>
      </c>
      <c r="BA361" s="247">
        <v>136.17699999999999</v>
      </c>
      <c r="BB361" s="190">
        <v>11.793652968988805</v>
      </c>
      <c r="BC361" s="190">
        <v>0.16169811109238097</v>
      </c>
      <c r="BD361" s="190">
        <v>55.833464917638153</v>
      </c>
      <c r="BE361" s="247">
        <v>1399.92</v>
      </c>
      <c r="BF361" s="247">
        <v>46.664000000000001</v>
      </c>
      <c r="BG361" s="247">
        <v>1031.2460000000001</v>
      </c>
      <c r="BH361" s="247">
        <v>101.18600000000001</v>
      </c>
      <c r="BI361" s="190">
        <v>44.198782787587866</v>
      </c>
      <c r="BJ361" s="190">
        <v>0.10499106692535776</v>
      </c>
      <c r="BK361" s="247">
        <v>536.51700000000005</v>
      </c>
      <c r="BL361" s="247">
        <v>253.602</v>
      </c>
      <c r="BM361" s="190">
        <v>8.38468626778673</v>
      </c>
      <c r="BN361" s="190">
        <v>-3.2472685901096945</v>
      </c>
      <c r="BO361" s="190">
        <v>52.583469055374593</v>
      </c>
      <c r="BP361" s="247">
        <v>1007.726</v>
      </c>
      <c r="BQ361" s="247">
        <v>33.590866666666663</v>
      </c>
      <c r="BR361" s="247">
        <v>742.39300000000003</v>
      </c>
      <c r="BS361" s="247">
        <v>67.67</v>
      </c>
      <c r="BT361" s="190">
        <v>44.202074770324479</v>
      </c>
      <c r="BU361" s="190">
        <v>0.10828304966197067</v>
      </c>
      <c r="BV361" s="247">
        <v>391.26299999999998</v>
      </c>
      <c r="BW361" s="247">
        <v>161.58600000000001</v>
      </c>
      <c r="BX361" s="190">
        <v>11.647898337444902</v>
      </c>
      <c r="BY361" s="190">
        <v>1.5943479548477413E-2</v>
      </c>
      <c r="BZ361" s="190">
        <v>55.84997310776938</v>
      </c>
      <c r="CA361" s="247">
        <v>722.03399999999999</v>
      </c>
      <c r="CB361" s="247">
        <v>24.067799999999998</v>
      </c>
      <c r="CC361" s="247">
        <v>532.51199999999994</v>
      </c>
      <c r="CD361" s="247">
        <v>57.75</v>
      </c>
      <c r="CE361" s="190">
        <v>44.250990950564656</v>
      </c>
      <c r="CF361" s="190">
        <v>0.15719922990214741</v>
      </c>
      <c r="CG361" s="247">
        <v>271.185</v>
      </c>
      <c r="CH361" s="247">
        <v>52.600999999999999</v>
      </c>
      <c r="CI361" s="190">
        <v>11.267544187669834</v>
      </c>
      <c r="CJ361" s="190">
        <v>-0.36441067022659013</v>
      </c>
      <c r="CK361" s="190">
        <v>55.51853513823449</v>
      </c>
      <c r="CL361" s="247">
        <v>964.61199999999997</v>
      </c>
      <c r="CM361" s="247">
        <v>32.153733333333335</v>
      </c>
      <c r="CN361" s="247">
        <v>716.74900000000002</v>
      </c>
      <c r="CO361" s="247">
        <v>75.989000000000004</v>
      </c>
      <c r="CP361" s="190">
        <v>44.582630114491629</v>
      </c>
      <c r="CQ361" s="190">
        <v>0.48883839382911987</v>
      </c>
      <c r="CR361" s="247">
        <v>376.05099999999999</v>
      </c>
      <c r="CS361" s="247">
        <v>114.759</v>
      </c>
      <c r="CT361" s="190">
        <v>11.695407065224151</v>
      </c>
      <c r="CU361" s="190">
        <v>6.3452207327726384E-2</v>
      </c>
      <c r="CV361" s="190">
        <v>56.278037179715781</v>
      </c>
      <c r="CW361" s="163"/>
      <c r="CX361" s="212">
        <v>0</v>
      </c>
      <c r="CY361" s="212">
        <v>1.7999999999574356E-2</v>
      </c>
      <c r="CZ361" s="212">
        <v>8.9999999999861302E-3</v>
      </c>
      <c r="DA361" s="212">
        <v>0</v>
      </c>
      <c r="DB361" s="212">
        <v>0</v>
      </c>
      <c r="DC361" s="212">
        <v>0</v>
      </c>
      <c r="DD361" s="163"/>
      <c r="DE361" s="247">
        <v>192.79599999999999</v>
      </c>
      <c r="DF361" s="247">
        <v>114.827</v>
      </c>
      <c r="DG361" s="247">
        <v>62.2</v>
      </c>
      <c r="DH361" s="199">
        <v>0.59558808274030584</v>
      </c>
      <c r="DI361" s="247">
        <v>154.91999999999999</v>
      </c>
      <c r="DJ361" s="199">
        <v>0.40177182099213676</v>
      </c>
      <c r="DK361" s="247">
        <v>163.64599999999999</v>
      </c>
      <c r="DL361" s="247">
        <v>156.14400000000001</v>
      </c>
      <c r="DM361" s="199">
        <v>4.5842855920706804E-2</v>
      </c>
      <c r="DN361" s="247">
        <v>154.37299999999999</v>
      </c>
      <c r="DO361" s="247">
        <v>92.734999999999999</v>
      </c>
      <c r="DP361" s="247">
        <v>96.989000000000004</v>
      </c>
      <c r="DQ361" s="247">
        <v>189.72399999999999</v>
      </c>
      <c r="DR361" s="247">
        <v>0.99735990373244254</v>
      </c>
      <c r="DS361" s="247">
        <v>1.0563258455977278</v>
      </c>
      <c r="DT361" s="247">
        <v>138.023</v>
      </c>
      <c r="DU361" s="247">
        <v>59.585000000000001</v>
      </c>
      <c r="DV361" s="247">
        <v>27.93</v>
      </c>
      <c r="DW361" s="199">
        <v>0.26872332872057558</v>
      </c>
      <c r="DX361" s="247">
        <v>37.090000000000003</v>
      </c>
      <c r="DY361" s="199">
        <v>0.13436166436028779</v>
      </c>
      <c r="DZ361" s="247">
        <v>32.753999999999998</v>
      </c>
      <c r="EA361" s="247">
        <v>32.029000000000003</v>
      </c>
      <c r="EB361" s="199">
        <v>2.2134701105208321E-2</v>
      </c>
      <c r="EC361" s="247">
        <v>28.198</v>
      </c>
      <c r="ED361" s="247">
        <v>27.5</v>
      </c>
      <c r="EE361" s="247">
        <v>33.363999999999997</v>
      </c>
      <c r="EF361" s="247">
        <v>60.863999999999997</v>
      </c>
      <c r="EG361" s="199">
        <v>0.40308499308086337</v>
      </c>
    </row>
    <row r="362" spans="1:140">
      <c r="A362" s="157">
        <v>45292</v>
      </c>
      <c r="B362" s="247">
        <v>5844.9470000000001</v>
      </c>
      <c r="C362" s="247">
        <v>194.83156666666667</v>
      </c>
      <c r="D362" s="247">
        <v>9.0515666666666732</v>
      </c>
      <c r="E362" s="247">
        <v>4.8721965048265092E-2</v>
      </c>
      <c r="F362" s="247">
        <v>4302.1890000000003</v>
      </c>
      <c r="G362" s="247">
        <v>4248.3969999999999</v>
      </c>
      <c r="H362" s="247">
        <v>53.792000000000002</v>
      </c>
      <c r="I362" s="247">
        <v>307.58699999999999</v>
      </c>
      <c r="J362" s="190">
        <v>44.163161787437936</v>
      </c>
      <c r="K362" s="190">
        <v>47.175332813111908</v>
      </c>
      <c r="L362" s="190">
        <v>-7.4667186888092374E-2</v>
      </c>
      <c r="M362" s="247">
        <v>293.43299999999999</v>
      </c>
      <c r="N362" s="247">
        <v>42.442999999999998</v>
      </c>
      <c r="O362" s="247">
        <v>2288.5720000000001</v>
      </c>
      <c r="P362" s="247">
        <v>1543.6310000000001</v>
      </c>
      <c r="Q362" s="247">
        <v>985.86900000000003</v>
      </c>
      <c r="R362" s="247">
        <v>277.15800000000002</v>
      </c>
      <c r="S362" s="247">
        <v>280.60399999999998</v>
      </c>
      <c r="T362" s="247">
        <v>485.13400000000001</v>
      </c>
      <c r="U362" s="247">
        <v>522.22</v>
      </c>
      <c r="V362" s="199">
        <v>0.34663418616768826</v>
      </c>
      <c r="W362" s="190">
        <v>11.74641275618068</v>
      </c>
      <c r="X362" s="190">
        <v>-5.3587243819320562E-2</v>
      </c>
      <c r="Y362" s="247">
        <v>58.92174556929259</v>
      </c>
      <c r="Z362" s="247">
        <v>1618.5650000000001</v>
      </c>
      <c r="AA362" s="247">
        <v>1588.127</v>
      </c>
      <c r="AB362" s="199">
        <v>1.880554688875646E-2</v>
      </c>
      <c r="AC362" s="195">
        <v>160.61374488179536</v>
      </c>
      <c r="AD362" s="195">
        <v>1571.498</v>
      </c>
      <c r="AE362" s="195">
        <v>1133.047</v>
      </c>
      <c r="AF362" s="195">
        <v>438.45100000000002</v>
      </c>
      <c r="AG362" s="191">
        <v>-1.0470825066257183E-2</v>
      </c>
      <c r="AH362" s="247"/>
      <c r="AI362" s="247">
        <v>624.01099999999997</v>
      </c>
      <c r="AJ362" s="247">
        <v>20.800366666666665</v>
      </c>
      <c r="AK362" s="247">
        <v>449.16800000000001</v>
      </c>
      <c r="AL362" s="247">
        <v>52.569000000000003</v>
      </c>
      <c r="AM362" s="190">
        <v>43.188469434032413</v>
      </c>
      <c r="AN362" s="190">
        <v>-0.97469235340552274</v>
      </c>
      <c r="AO362" s="247">
        <v>247.67400000000001</v>
      </c>
      <c r="AP362" s="247">
        <v>186.60400000000001</v>
      </c>
      <c r="AQ362" s="190">
        <v>11.907193943696507</v>
      </c>
      <c r="AR362" s="190">
        <v>0.16078118751582693</v>
      </c>
      <c r="AS362" s="190">
        <v>55.095663377728918</v>
      </c>
      <c r="AT362" s="247">
        <v>1230.5940000000001</v>
      </c>
      <c r="AU362" s="247">
        <v>41.019800000000004</v>
      </c>
      <c r="AV362" s="247">
        <v>909.32500000000005</v>
      </c>
      <c r="AW362" s="247">
        <v>45.713999999999999</v>
      </c>
      <c r="AX362" s="190">
        <v>44.335906074627374</v>
      </c>
      <c r="AY362" s="190">
        <v>0.17274428718943824</v>
      </c>
      <c r="AZ362" s="247">
        <v>484.96300000000002</v>
      </c>
      <c r="BA362" s="247">
        <v>167.86600000000001</v>
      </c>
      <c r="BB362" s="190">
        <v>11.82265637570149</v>
      </c>
      <c r="BC362" s="190">
        <v>7.6243619520809602E-2</v>
      </c>
      <c r="BD362" s="190">
        <v>56.158562450328866</v>
      </c>
      <c r="BE362" s="247">
        <v>1366.3230000000001</v>
      </c>
      <c r="BF362" s="247">
        <v>45.5441</v>
      </c>
      <c r="BG362" s="247">
        <v>1005.508</v>
      </c>
      <c r="BH362" s="247">
        <v>103.76600000000001</v>
      </c>
      <c r="BI362" s="190">
        <v>44.155357115411221</v>
      </c>
      <c r="BJ362" s="190">
        <v>-7.8046720267153091E-3</v>
      </c>
      <c r="BK362" s="247">
        <v>534.12599999999998</v>
      </c>
      <c r="BL362" s="247">
        <v>254.75899999999999</v>
      </c>
      <c r="BM362" s="190">
        <v>8.7045083775944629</v>
      </c>
      <c r="BN362" s="190">
        <v>-3.0419043785862172</v>
      </c>
      <c r="BO362" s="190">
        <v>52.859865493005685</v>
      </c>
      <c r="BP362" s="247">
        <v>1018.773</v>
      </c>
      <c r="BQ362" s="247">
        <v>33.959099999999999</v>
      </c>
      <c r="BR362" s="247">
        <v>752.22699999999998</v>
      </c>
      <c r="BS362" s="247">
        <v>54.076999999999998</v>
      </c>
      <c r="BT362" s="190">
        <v>44.301939686269662</v>
      </c>
      <c r="BU362" s="190">
        <v>0.13877789883172653</v>
      </c>
      <c r="BV362" s="247">
        <v>396.43900000000002</v>
      </c>
      <c r="BW362" s="247">
        <v>201.77199999999999</v>
      </c>
      <c r="BX362" s="190">
        <v>11.674013740057894</v>
      </c>
      <c r="BY362" s="190">
        <v>-7.2399016122785653E-2</v>
      </c>
      <c r="BZ362" s="190">
        <v>55.975953426327557</v>
      </c>
      <c r="CA362" s="247">
        <v>688.56600000000003</v>
      </c>
      <c r="CB362" s="247">
        <v>22.952200000000001</v>
      </c>
      <c r="CC362" s="247">
        <v>505.95800000000003</v>
      </c>
      <c r="CD362" s="247">
        <v>14.595000000000001</v>
      </c>
      <c r="CE362" s="190">
        <v>44.087974137555442</v>
      </c>
      <c r="CF362" s="190">
        <v>-7.5187649882494156E-2</v>
      </c>
      <c r="CG362" s="247">
        <v>259.77</v>
      </c>
      <c r="CH362" s="247">
        <v>49.356999999999999</v>
      </c>
      <c r="CI362" s="190">
        <v>11.317869311002866</v>
      </c>
      <c r="CJ362" s="190">
        <v>-0.42854344517781406</v>
      </c>
      <c r="CK362" s="190">
        <v>55.405843448558308</v>
      </c>
      <c r="CL362" s="247">
        <v>916.68</v>
      </c>
      <c r="CM362" s="247">
        <v>30.555999999999997</v>
      </c>
      <c r="CN362" s="247">
        <v>680.00300000000004</v>
      </c>
      <c r="CO362" s="247">
        <v>36.866</v>
      </c>
      <c r="CP362" s="190">
        <v>44.508639874329106</v>
      </c>
      <c r="CQ362" s="190">
        <v>0.34547808689116977</v>
      </c>
      <c r="CR362" s="247">
        <v>365.6</v>
      </c>
      <c r="CS362" s="247">
        <v>125.511</v>
      </c>
      <c r="CT362" s="190">
        <v>11.964916873936382</v>
      </c>
      <c r="CU362" s="190">
        <v>0.21850411775570144</v>
      </c>
      <c r="CV362" s="190">
        <v>56.473556748265487</v>
      </c>
      <c r="CW362" s="163"/>
      <c r="CX362" s="212">
        <v>0</v>
      </c>
      <c r="CY362" s="212">
        <v>0</v>
      </c>
      <c r="CZ362" s="212">
        <v>0</v>
      </c>
      <c r="DA362" s="212">
        <v>0</v>
      </c>
      <c r="DB362" s="212">
        <v>0</v>
      </c>
      <c r="DC362" s="212">
        <v>0</v>
      </c>
      <c r="DD362" s="163"/>
      <c r="DE362" s="247">
        <v>203.989</v>
      </c>
      <c r="DF362" s="247">
        <v>119.25700000000001</v>
      </c>
      <c r="DG362" s="247">
        <v>66</v>
      </c>
      <c r="DH362" s="199">
        <v>0.58462466113368861</v>
      </c>
      <c r="DI362" s="247">
        <v>166.01400000000001</v>
      </c>
      <c r="DJ362" s="199">
        <v>0.40691900053434255</v>
      </c>
      <c r="DK362" s="247">
        <v>161.90199999999999</v>
      </c>
      <c r="DL362" s="247">
        <v>154.97800000000001</v>
      </c>
      <c r="DM362" s="199">
        <v>4.2766611901026375E-2</v>
      </c>
      <c r="DN362" s="247">
        <v>157.76900000000001</v>
      </c>
      <c r="DO362" s="247">
        <v>74.296999999999997</v>
      </c>
      <c r="DP362" s="247">
        <v>89.162000000000006</v>
      </c>
      <c r="DQ362" s="247">
        <v>163.459</v>
      </c>
      <c r="DR362" s="247">
        <v>0.9915436616680311</v>
      </c>
      <c r="DS362" s="247">
        <v>0.97523100461406853</v>
      </c>
      <c r="DT362" s="247">
        <v>126.48099999999999</v>
      </c>
      <c r="DU362" s="247">
        <v>55.893999999999998</v>
      </c>
      <c r="DV362" s="247">
        <v>21.649000000000001</v>
      </c>
      <c r="DW362" s="199">
        <v>0.25992836868778707</v>
      </c>
      <c r="DX362" s="247">
        <v>32.875999999999998</v>
      </c>
      <c r="DY362" s="199">
        <v>0.12996418434389354</v>
      </c>
      <c r="DZ362" s="247">
        <v>25.731999999999999</v>
      </c>
      <c r="EA362" s="247">
        <v>25.277999999999999</v>
      </c>
      <c r="EB362" s="199">
        <v>1.7643401212498078E-2</v>
      </c>
      <c r="EC362" s="247">
        <v>27.462</v>
      </c>
      <c r="ED362" s="247">
        <v>30</v>
      </c>
      <c r="EE362" s="247">
        <v>32.134</v>
      </c>
      <c r="EF362" s="247">
        <v>62.134</v>
      </c>
      <c r="EG362" s="199">
        <v>0.38989255303168058</v>
      </c>
      <c r="EJ362" s="154">
        <v>6.2848892473118285</v>
      </c>
    </row>
    <row r="363" spans="1:140">
      <c r="A363" s="157">
        <v>45323</v>
      </c>
      <c r="B363" s="247">
        <v>5817.9740000000002</v>
      </c>
      <c r="C363" s="247">
        <v>193.93246666666667</v>
      </c>
      <c r="D363" s="247">
        <v>7.7384666666666817</v>
      </c>
      <c r="E363" s="247">
        <v>4.1561310604351753E-2</v>
      </c>
      <c r="F363" s="247">
        <v>4267.7780000000002</v>
      </c>
      <c r="G363" s="247">
        <v>4217.5649999999996</v>
      </c>
      <c r="H363" s="247">
        <v>50.213000000000001</v>
      </c>
      <c r="I363" s="247">
        <v>278.19499999999999</v>
      </c>
      <c r="J363" s="190">
        <v>44.01303271551231</v>
      </c>
      <c r="K363" s="190">
        <v>46.996689913017832</v>
      </c>
      <c r="L363" s="190">
        <v>46.996689913017832</v>
      </c>
      <c r="M363" s="247">
        <v>289.31400000000002</v>
      </c>
      <c r="N363" s="247">
        <v>48.259</v>
      </c>
      <c r="O363" s="247">
        <v>2292.36</v>
      </c>
      <c r="P363" s="247">
        <v>1686.635</v>
      </c>
      <c r="Q363" s="247">
        <v>1020.391</v>
      </c>
      <c r="R363" s="247">
        <v>262.14</v>
      </c>
      <c r="S363" s="247">
        <v>404.09800000000001</v>
      </c>
      <c r="T363" s="247">
        <v>459.16800000000001</v>
      </c>
      <c r="U363" s="247">
        <v>455.96199999999999</v>
      </c>
      <c r="V363" s="199">
        <v>0.269825385938677</v>
      </c>
      <c r="W363" s="190">
        <v>11.820403460036088</v>
      </c>
      <c r="X363" s="190">
        <v>-4.9596539963911113E-2</v>
      </c>
      <c r="Y363" s="247">
        <v>58.817093373053922</v>
      </c>
      <c r="Z363" s="247">
        <v>1651.3620000000001</v>
      </c>
      <c r="AA363" s="247">
        <v>1626.2449999999999</v>
      </c>
      <c r="AB363" s="199">
        <v>1.5209869186768369E-2</v>
      </c>
      <c r="AC363" s="195">
        <v>165.39782048060192</v>
      </c>
      <c r="AD363" s="195">
        <v>1656.2139999999999</v>
      </c>
      <c r="AE363" s="195">
        <v>1178.7059999999999</v>
      </c>
      <c r="AF363" s="195">
        <v>479.50799999999998</v>
      </c>
      <c r="AG363" s="191">
        <v>1.8428342592905711E-2</v>
      </c>
      <c r="AH363" s="247"/>
      <c r="AI363" s="247">
        <v>629.66800000000001</v>
      </c>
      <c r="AJ363" s="247">
        <v>20.988933333333332</v>
      </c>
      <c r="AK363" s="247">
        <v>446.44</v>
      </c>
      <c r="AL363" s="247">
        <v>35.353999999999999</v>
      </c>
      <c r="AM363" s="190">
        <v>42.54051341341787</v>
      </c>
      <c r="AN363" s="190">
        <v>-1.4725193020944403</v>
      </c>
      <c r="AO363" s="247">
        <v>262.678</v>
      </c>
      <c r="AP363" s="247">
        <v>155.75899999999999</v>
      </c>
      <c r="AQ363" s="190">
        <v>12.515071434470229</v>
      </c>
      <c r="AR363" s="190">
        <v>0.6946679744341413</v>
      </c>
      <c r="AS363" s="190">
        <v>55.055584847888099</v>
      </c>
      <c r="AT363" s="247">
        <v>1278.3789999999999</v>
      </c>
      <c r="AU363" s="247">
        <v>42.612633333333328</v>
      </c>
      <c r="AV363" s="247">
        <v>939.3</v>
      </c>
      <c r="AW363" s="247">
        <v>51.933</v>
      </c>
      <c r="AX363" s="190">
        <v>44.085517675118261</v>
      </c>
      <c r="AY363" s="190">
        <v>7.248495960595136E-2</v>
      </c>
      <c r="AZ363" s="247">
        <v>500.58699999999999</v>
      </c>
      <c r="BA363" s="247">
        <v>201.089</v>
      </c>
      <c r="BB363" s="190">
        <v>11.747384773998949</v>
      </c>
      <c r="BC363" s="190">
        <v>-7.3018686037139346E-2</v>
      </c>
      <c r="BD363" s="190">
        <v>55.832902449117213</v>
      </c>
      <c r="BE363" s="247">
        <v>1299.3489999999999</v>
      </c>
      <c r="BF363" s="247">
        <v>43.311633333333333</v>
      </c>
      <c r="BG363" s="247">
        <v>954.48900000000003</v>
      </c>
      <c r="BH363" s="247">
        <v>95.960999999999999</v>
      </c>
      <c r="BI363" s="190">
        <v>44.075410070735423</v>
      </c>
      <c r="BJ363" s="190">
        <v>6.2377355223112829E-2</v>
      </c>
      <c r="BK363" s="247">
        <v>500.71</v>
      </c>
      <c r="BL363" s="247">
        <v>268.029</v>
      </c>
      <c r="BM363" s="190" t="e">
        <v>#REF!</v>
      </c>
      <c r="BN363" s="190" t="e">
        <v>#REF!</v>
      </c>
      <c r="BO363" s="190" t="e">
        <v>#REF!</v>
      </c>
      <c r="BP363" s="247">
        <v>1018.521</v>
      </c>
      <c r="BQ363" s="247">
        <v>33.950699999999998</v>
      </c>
      <c r="BR363" s="247">
        <v>754.84500000000003</v>
      </c>
      <c r="BS363" s="247">
        <v>46.436999999999998</v>
      </c>
      <c r="BT363" s="190">
        <v>23.590382525249847</v>
      </c>
      <c r="BU363" s="190">
        <v>-20.422650190262463</v>
      </c>
      <c r="BV363" s="247">
        <v>400.45499999999998</v>
      </c>
      <c r="BW363" s="247">
        <v>213.47800000000001</v>
      </c>
      <c r="BX363" s="190">
        <v>11.795191262624924</v>
      </c>
      <c r="BY363" s="190">
        <v>-2.5212197411164539E-2</v>
      </c>
      <c r="BZ363" s="190">
        <v>35.385573787874769</v>
      </c>
      <c r="CA363" s="247">
        <v>674.59199999999998</v>
      </c>
      <c r="CB363" s="247">
        <v>22.4864</v>
      </c>
      <c r="CC363" s="247">
        <v>495.15800000000002</v>
      </c>
      <c r="CD363" s="247">
        <v>22.013999999999999</v>
      </c>
      <c r="CE363" s="190">
        <v>44.040664579479156</v>
      </c>
      <c r="CF363" s="190">
        <v>2.7631863966846026E-2</v>
      </c>
      <c r="CG363" s="247">
        <v>262.50700000000001</v>
      </c>
      <c r="CH363" s="247">
        <v>61.325000000000003</v>
      </c>
      <c r="CI363" s="190">
        <v>11.674034082823395</v>
      </c>
      <c r="CJ363" s="190">
        <v>-0.14636937721269305</v>
      </c>
      <c r="CK363" s="190">
        <v>55.714698662302553</v>
      </c>
      <c r="CL363" s="247">
        <v>917.44500000000005</v>
      </c>
      <c r="CM363" s="247">
        <v>30.581500000000002</v>
      </c>
      <c r="CN363" s="247">
        <v>677.54600000000005</v>
      </c>
      <c r="CO363" s="247">
        <v>26.495999999999999</v>
      </c>
      <c r="CP363" s="190">
        <v>44.310841521835094</v>
      </c>
      <c r="CQ363" s="190">
        <v>0.29780880632278439</v>
      </c>
      <c r="CR363" s="247">
        <v>365.423</v>
      </c>
      <c r="CS363" s="247">
        <v>120.711</v>
      </c>
      <c r="CT363" s="190">
        <v>11.949152265258407</v>
      </c>
      <c r="CU363" s="190">
        <v>0.12874880522231891</v>
      </c>
      <c r="CV363" s="190">
        <v>56.259993787093499</v>
      </c>
      <c r="CW363" s="163"/>
      <c r="CX363" s="212">
        <v>6.6666666668169228E-4</v>
      </c>
      <c r="CY363" s="212">
        <v>0</v>
      </c>
      <c r="CZ363" s="212">
        <v>0</v>
      </c>
      <c r="DA363" s="212">
        <v>0</v>
      </c>
      <c r="DB363" s="212">
        <v>-1.1368683772161603E-13</v>
      </c>
      <c r="DC363" s="212">
        <v>6.0000000000286491E-3</v>
      </c>
      <c r="DD363" s="163"/>
      <c r="DE363" s="247">
        <v>205.71299999999999</v>
      </c>
      <c r="DF363" s="247">
        <v>119.066</v>
      </c>
      <c r="DG363" s="247">
        <v>77.400000000000006</v>
      </c>
      <c r="DH363" s="199">
        <v>0.81334188894236148</v>
      </c>
      <c r="DI363" s="247">
        <v>167.315</v>
      </c>
      <c r="DJ363" s="199">
        <v>0.40667094447118074</v>
      </c>
      <c r="DK363" s="247">
        <v>151.613</v>
      </c>
      <c r="DL363" s="247">
        <v>149.297</v>
      </c>
      <c r="DM363" s="199">
        <v>1.5275734930381923E-2</v>
      </c>
      <c r="DN363" s="247">
        <v>145.84899999999999</v>
      </c>
      <c r="DO363" s="247">
        <v>57.800000000000004</v>
      </c>
      <c r="DP363" s="247">
        <v>96.668000000000006</v>
      </c>
      <c r="DQ363" s="247">
        <v>154.46800000000002</v>
      </c>
      <c r="DR363" s="247">
        <v>1.2200128334135423</v>
      </c>
      <c r="DS363" s="247">
        <v>0.90615306457878853</v>
      </c>
      <c r="DT363" s="247">
        <v>143.59899999999999</v>
      </c>
      <c r="DU363" s="247">
        <v>60.634999999999998</v>
      </c>
      <c r="DV363" s="247">
        <v>13.327</v>
      </c>
      <c r="DW363" s="199">
        <v>0.28306603806433195</v>
      </c>
      <c r="DX363" s="247">
        <v>40.648000000000003</v>
      </c>
      <c r="DY363" s="199">
        <v>0.14153301903216597</v>
      </c>
      <c r="DZ363" s="247">
        <v>43.198999999999998</v>
      </c>
      <c r="EA363" s="247">
        <v>42.133000000000003</v>
      </c>
      <c r="EB363" s="199">
        <v>2.4676497141137399E-2</v>
      </c>
      <c r="EC363" s="247">
        <v>32.198999999999998</v>
      </c>
      <c r="ED363" s="247">
        <v>22.5</v>
      </c>
      <c r="EE363" s="247">
        <v>43.250999999999998</v>
      </c>
      <c r="EF363" s="247">
        <v>65.751000000000005</v>
      </c>
      <c r="EG363" s="199">
        <v>0.42459905709649792</v>
      </c>
    </row>
    <row r="364" spans="1:140">
      <c r="A364" s="157">
        <v>45352</v>
      </c>
      <c r="B364" s="247">
        <v>6111.759</v>
      </c>
      <c r="C364" s="247">
        <v>203.7253</v>
      </c>
      <c r="D364" s="247">
        <v>7.3192999999999984</v>
      </c>
      <c r="E364" s="247">
        <v>3.726617313116698E-2</v>
      </c>
      <c r="F364" s="247">
        <v>4489.8410000000003</v>
      </c>
      <c r="G364" s="247">
        <v>4430.96</v>
      </c>
      <c r="H364" s="247">
        <v>58.881</v>
      </c>
      <c r="I364" s="247">
        <v>495.33699999999999</v>
      </c>
      <c r="J364" s="190">
        <v>44.077402266679691</v>
      </c>
      <c r="K364" s="190">
        <v>48.940195449460617</v>
      </c>
      <c r="L364" s="190">
        <v>1.7201954494606184</v>
      </c>
      <c r="M364" s="247">
        <v>495.33699999999999</v>
      </c>
      <c r="N364" s="247">
        <v>64.513000000000005</v>
      </c>
      <c r="O364" s="247">
        <v>2405.5709999999999</v>
      </c>
      <c r="P364" s="247">
        <v>1872.183</v>
      </c>
      <c r="Q364" s="247">
        <v>1098.6199999999999</v>
      </c>
      <c r="R364" s="247">
        <v>287.834</v>
      </c>
      <c r="S364" s="247">
        <v>485.72899999999998</v>
      </c>
      <c r="T364" s="247">
        <v>496.93700000000001</v>
      </c>
      <c r="U364" s="247">
        <v>518.24599999999987</v>
      </c>
      <c r="V364" s="199">
        <v>0.28000069156517404</v>
      </c>
      <c r="W364" s="190">
        <v>11.807914873606762</v>
      </c>
      <c r="X364" s="190">
        <v>-3.2085126393237573E-2</v>
      </c>
      <c r="Y364" s="247">
        <v>60.74811032306738</v>
      </c>
      <c r="Z364" s="247">
        <v>1828.5129999999999</v>
      </c>
      <c r="AA364" s="247">
        <v>1793.3889999999999</v>
      </c>
      <c r="AB364" s="199">
        <v>1.9209051289216988E-2</v>
      </c>
      <c r="AC364" s="195">
        <v>163.261</v>
      </c>
      <c r="AD364" s="195">
        <v>1757.133</v>
      </c>
      <c r="AE364" s="195">
        <v>1234.5509999999999</v>
      </c>
      <c r="AF364" s="195">
        <v>522.58199999999999</v>
      </c>
      <c r="AG364" s="191">
        <v>-2.0216472834393318E-2</v>
      </c>
      <c r="AH364" s="247"/>
      <c r="AI364" s="247">
        <v>661.73099999999999</v>
      </c>
      <c r="AJ364" s="247">
        <v>22.057700000000001</v>
      </c>
      <c r="AK364" s="247">
        <v>467.11099999999999</v>
      </c>
      <c r="AL364" s="247">
        <v>71.700999999999993</v>
      </c>
      <c r="AM364" s="190">
        <v>42.353554541044623</v>
      </c>
      <c r="AN364" s="190">
        <v>-1.7238477256350677</v>
      </c>
      <c r="AO364" s="247">
        <v>266.24200000000002</v>
      </c>
      <c r="AP364" s="247">
        <v>169.518</v>
      </c>
      <c r="AQ364" s="190">
        <v>12.070252111507546</v>
      </c>
      <c r="AR364" s="190">
        <v>0.262337237900784</v>
      </c>
      <c r="AS364" s="190">
        <v>54.423806652552173</v>
      </c>
      <c r="AT364" s="247">
        <v>1329.38</v>
      </c>
      <c r="AU364" s="247">
        <v>44.312666666666672</v>
      </c>
      <c r="AV364" s="247">
        <v>984.34500000000003</v>
      </c>
      <c r="AW364" s="247">
        <v>97.563999999999993</v>
      </c>
      <c r="AX364" s="190">
        <v>44.427251801591716</v>
      </c>
      <c r="AY364" s="190">
        <v>0.34984953491202475</v>
      </c>
      <c r="AZ364" s="247">
        <v>528.81799999999998</v>
      </c>
      <c r="BA364" s="247">
        <v>193.27799999999999</v>
      </c>
      <c r="BB364" s="190">
        <v>11.933788683446418</v>
      </c>
      <c r="BC364" s="190">
        <v>0.12587380983965524</v>
      </c>
      <c r="BD364" s="190">
        <v>56.361040485038131</v>
      </c>
      <c r="BE364" s="247">
        <v>1403.4970000000001</v>
      </c>
      <c r="BF364" s="247">
        <v>46.783233333333335</v>
      </c>
      <c r="BG364" s="247">
        <v>1028.511</v>
      </c>
      <c r="BH364" s="247">
        <v>88.1</v>
      </c>
      <c r="BI364" s="190">
        <v>43.96921404178277</v>
      </c>
      <c r="BJ364" s="190">
        <v>-0.10818822489692081</v>
      </c>
      <c r="BK364" s="247">
        <v>545.41499999999996</v>
      </c>
      <c r="BL364" s="247">
        <v>281.87900000000002</v>
      </c>
      <c r="BM364" s="190">
        <v>11.658343409355345</v>
      </c>
      <c r="BN364" s="190">
        <v>-0.14957146425141765</v>
      </c>
      <c r="BO364" s="190">
        <v>55.627557451138117</v>
      </c>
      <c r="BP364" s="247">
        <v>1089.165</v>
      </c>
      <c r="BQ364" s="247">
        <v>36.305500000000002</v>
      </c>
      <c r="BR364" s="247">
        <v>806.63800000000003</v>
      </c>
      <c r="BS364" s="247">
        <v>94.046999999999997</v>
      </c>
      <c r="BT364" s="190">
        <v>44.436132266461001</v>
      </c>
      <c r="BU364" s="190">
        <v>0.35872999978131048</v>
      </c>
      <c r="BV364" s="247">
        <v>425.13799999999998</v>
      </c>
      <c r="BW364" s="247">
        <v>232.00299999999999</v>
      </c>
      <c r="BX364" s="190">
        <v>11.710016388701435</v>
      </c>
      <c r="BY364" s="190">
        <v>-9.7898484905327265E-2</v>
      </c>
      <c r="BZ364" s="190">
        <v>56.146148655162435</v>
      </c>
      <c r="CA364" s="247">
        <v>692.84699999999998</v>
      </c>
      <c r="CB364" s="247">
        <v>23.094899999999999</v>
      </c>
      <c r="CC364" s="247">
        <v>506.447</v>
      </c>
      <c r="CD364" s="247">
        <v>64.975999999999999</v>
      </c>
      <c r="CE364" s="190">
        <v>43.85790802298343</v>
      </c>
      <c r="CF364" s="190">
        <v>-0.21949424369626058</v>
      </c>
      <c r="CG364" s="247">
        <v>267.86</v>
      </c>
      <c r="CH364" s="247">
        <v>73.465000000000003</v>
      </c>
      <c r="CI364" s="190">
        <v>11.598231644215824</v>
      </c>
      <c r="CJ364" s="190">
        <v>-0.20968322939093831</v>
      </c>
      <c r="CK364" s="190">
        <v>55.456139667199253</v>
      </c>
      <c r="CL364" s="247">
        <v>935.13900000000001</v>
      </c>
      <c r="CM364" s="247">
        <v>31.171299999999999</v>
      </c>
      <c r="CN364" s="247">
        <v>696.78899999999999</v>
      </c>
      <c r="CO364" s="247">
        <v>78.948999999999998</v>
      </c>
      <c r="CP364" s="190">
        <v>44.707086326203914</v>
      </c>
      <c r="CQ364" s="190">
        <v>0.62968405952422302</v>
      </c>
      <c r="CR364" s="247">
        <v>372.09800000000001</v>
      </c>
      <c r="CS364" s="247">
        <v>148.477</v>
      </c>
      <c r="CT364" s="190">
        <v>11.937198641057641</v>
      </c>
      <c r="CU364" s="190">
        <v>0.12928376745087888</v>
      </c>
      <c r="CV364" s="190">
        <v>56.644284967261555</v>
      </c>
      <c r="CW364" s="163"/>
      <c r="CX364" s="212">
        <v>0</v>
      </c>
      <c r="CY364" s="212">
        <v>0</v>
      </c>
      <c r="CZ364" s="212">
        <v>0</v>
      </c>
      <c r="DA364" s="212">
        <v>0</v>
      </c>
      <c r="DB364" s="212">
        <v>0</v>
      </c>
      <c r="DC364" s="212">
        <v>0</v>
      </c>
      <c r="DD364" s="163"/>
      <c r="DE364" s="247">
        <v>190.64099999999999</v>
      </c>
      <c r="DF364" s="247">
        <v>109.93899999999999</v>
      </c>
      <c r="DG364" s="247">
        <v>24.474</v>
      </c>
      <c r="DH364" s="199">
        <v>0.57668077695773734</v>
      </c>
      <c r="DI364" s="247">
        <v>150.16499999999999</v>
      </c>
      <c r="DJ364" s="199">
        <v>0.39384235290414971</v>
      </c>
      <c r="DK364" s="247">
        <v>159.78800000000001</v>
      </c>
      <c r="DL364" s="247">
        <v>154.75700000000001</v>
      </c>
      <c r="DM364" s="199">
        <v>3.1485468245425197E-2</v>
      </c>
      <c r="DN364" s="247">
        <v>166.35400000000001</v>
      </c>
      <c r="DO364" s="247">
        <v>58.930999999999997</v>
      </c>
      <c r="DP364" s="247">
        <v>88.369</v>
      </c>
      <c r="DQ364" s="247">
        <v>147.30000000000001</v>
      </c>
      <c r="DR364" s="247">
        <v>0.97052312986188705</v>
      </c>
      <c r="DS364" s="247">
        <v>1.064082842206906</v>
      </c>
      <c r="DT364" s="247">
        <v>132.16800000000001</v>
      </c>
      <c r="DU364" s="247">
        <v>53.34</v>
      </c>
      <c r="DV364" s="247">
        <v>20.41</v>
      </c>
      <c r="DW364" s="199">
        <v>0.40357726529871074</v>
      </c>
      <c r="DX364" s="247">
        <v>36.933999999999997</v>
      </c>
      <c r="DY364" s="199">
        <v>0.13972368500696083</v>
      </c>
      <c r="DZ364" s="247">
        <v>40.686</v>
      </c>
      <c r="EA364" s="247">
        <v>39.524000000000001</v>
      </c>
      <c r="EB364" s="199">
        <v>2.8560192695275988E-2</v>
      </c>
      <c r="EC364" s="247">
        <v>34.128999999999998</v>
      </c>
      <c r="ED364" s="247">
        <v>22.5</v>
      </c>
      <c r="EE364" s="247">
        <v>49.067999999999998</v>
      </c>
      <c r="EF364" s="247">
        <v>71.567999999999998</v>
      </c>
      <c r="EG364" s="199">
        <v>0.5433009503056716</v>
      </c>
    </row>
    <row r="365" spans="1:140">
      <c r="A365" s="157">
        <v>45383</v>
      </c>
      <c r="B365" s="247">
        <v>5332.0510000000004</v>
      </c>
      <c r="C365" s="247">
        <v>177.73503333333335</v>
      </c>
      <c r="D365" s="247">
        <v>11.701033333333356</v>
      </c>
      <c r="E365" s="247">
        <v>7.0473718234417948E-2</v>
      </c>
      <c r="F365" s="247">
        <v>3943.2860000000001</v>
      </c>
      <c r="G365" s="247">
        <v>3889.1770000000001</v>
      </c>
      <c r="H365" s="247">
        <v>54.109000000000002</v>
      </c>
      <c r="I365" s="247">
        <v>287.06599999999997</v>
      </c>
      <c r="J365" s="190">
        <v>44.372636345751381</v>
      </c>
      <c r="K365" s="190">
        <v>47.32452484044132</v>
      </c>
      <c r="L365" s="190">
        <v>-0.1354751595586805</v>
      </c>
      <c r="M365" s="247">
        <v>262.327</v>
      </c>
      <c r="N365" s="247">
        <v>48.366999999999997</v>
      </c>
      <c r="O365" s="247">
        <v>2097.7559999999999</v>
      </c>
      <c r="P365" s="247">
        <v>1856.452</v>
      </c>
      <c r="Q365" s="247">
        <v>1047.69</v>
      </c>
      <c r="R365" s="247">
        <v>283.01900000000001</v>
      </c>
      <c r="S365" s="247">
        <v>525.74300000000005</v>
      </c>
      <c r="T365" s="247">
        <v>454.91500000000002</v>
      </c>
      <c r="U365" s="247">
        <v>556.66300000000024</v>
      </c>
      <c r="V365" s="199">
        <v>0.31724040066016856</v>
      </c>
      <c r="W365" s="190">
        <v>11.802715315363637</v>
      </c>
      <c r="X365" s="190">
        <v>-8.7284684636363963E-2</v>
      </c>
      <c r="Y365" s="247">
        <v>59.127240155804955</v>
      </c>
      <c r="Z365" s="247">
        <v>1762.84</v>
      </c>
      <c r="AA365" s="247">
        <v>1718.2840000000001</v>
      </c>
      <c r="AB365" s="199">
        <v>2.5275124231353845E-2</v>
      </c>
      <c r="AC365" s="195">
        <v>169.94861621024057</v>
      </c>
      <c r="AD365" s="195">
        <v>1761.336</v>
      </c>
      <c r="AE365" s="195">
        <v>1254.24</v>
      </c>
      <c r="AF365" s="195">
        <v>507.096</v>
      </c>
      <c r="AG365" s="191">
        <v>2.5055229519683531E-2</v>
      </c>
      <c r="AH365" s="247"/>
      <c r="AI365" s="247">
        <v>568.95899999999995</v>
      </c>
      <c r="AJ365" s="247">
        <v>18.965299999999999</v>
      </c>
      <c r="AK365" s="247">
        <v>418.73599999999999</v>
      </c>
      <c r="AL365" s="247">
        <v>30.908000000000001</v>
      </c>
      <c r="AM365" s="190">
        <v>44.158120356651359</v>
      </c>
      <c r="AN365" s="190">
        <v>-0.2145159891000219</v>
      </c>
      <c r="AO365" s="247">
        <v>234.29900000000001</v>
      </c>
      <c r="AP365" s="247">
        <v>165.22399999999999</v>
      </c>
      <c r="AQ365" s="190">
        <v>12.35408878319879</v>
      </c>
      <c r="AR365" s="190">
        <v>0.55137346783515362</v>
      </c>
      <c r="AS365" s="190">
        <v>56.51220913985015</v>
      </c>
      <c r="AT365" s="247">
        <v>1229.973</v>
      </c>
      <c r="AU365" s="247">
        <v>40.999099999999999</v>
      </c>
      <c r="AV365" s="247">
        <v>907.12300000000005</v>
      </c>
      <c r="AW365" s="247">
        <v>49.817999999999998</v>
      </c>
      <c r="AX365" s="190">
        <v>44.250873799668774</v>
      </c>
      <c r="AY365" s="190">
        <v>-0.12176254608260706</v>
      </c>
      <c r="AZ365" s="247">
        <v>484.34100000000001</v>
      </c>
      <c r="BA365" s="247">
        <v>192.91900000000001</v>
      </c>
      <c r="BB365" s="190">
        <v>11.813454441682866</v>
      </c>
      <c r="BC365" s="190">
        <v>1.0739126319229797E-2</v>
      </c>
      <c r="BD365" s="190">
        <v>56.064328241351639</v>
      </c>
      <c r="BE365" s="247">
        <v>1261.4960000000001</v>
      </c>
      <c r="BF365" s="247">
        <v>42.049866666666667</v>
      </c>
      <c r="BG365" s="247">
        <v>935.94399999999996</v>
      </c>
      <c r="BH365" s="247">
        <v>78.965999999999994</v>
      </c>
      <c r="BI365" s="190">
        <v>44.515908096418855</v>
      </c>
      <c r="BJ365" s="190">
        <v>0.14327175066747344</v>
      </c>
      <c r="BK365" s="247">
        <v>499.1</v>
      </c>
      <c r="BL365" s="247">
        <v>271.24200000000002</v>
      </c>
      <c r="BM365" s="190">
        <v>11.869240964695885</v>
      </c>
      <c r="BN365" s="190">
        <v>6.6525649332248804E-2</v>
      </c>
      <c r="BO365" s="190">
        <v>56.385149061114738</v>
      </c>
      <c r="BP365" s="247">
        <v>941.40599999999995</v>
      </c>
      <c r="BQ365" s="247">
        <v>31.380199999999999</v>
      </c>
      <c r="BR365" s="247">
        <v>691.74199999999996</v>
      </c>
      <c r="BS365" s="247">
        <v>66.113</v>
      </c>
      <c r="BT365" s="190">
        <v>44.087800587631691</v>
      </c>
      <c r="BU365" s="190">
        <v>-0.28483575811969075</v>
      </c>
      <c r="BV365" s="247">
        <v>365.82400000000001</v>
      </c>
      <c r="BW365" s="247">
        <v>213.38900000000001</v>
      </c>
      <c r="BX365" s="190">
        <v>11.657796954767656</v>
      </c>
      <c r="BY365" s="190">
        <v>-0.14491836059598029</v>
      </c>
      <c r="BZ365" s="190">
        <v>55.745597542399345</v>
      </c>
      <c r="CA365" s="247">
        <v>622.64400000000001</v>
      </c>
      <c r="CB365" s="247">
        <v>20.754799999999999</v>
      </c>
      <c r="CC365" s="247">
        <v>463.59899999999999</v>
      </c>
      <c r="CD365" s="247">
        <v>25.023</v>
      </c>
      <c r="CE365" s="190">
        <v>44.67390675891842</v>
      </c>
      <c r="CF365" s="190">
        <v>0.30127041316703895</v>
      </c>
      <c r="CG365" s="247">
        <v>235.59299999999999</v>
      </c>
      <c r="CH365" s="247">
        <v>77.617999999999995</v>
      </c>
      <c r="CI365" s="190">
        <v>11.351253685894347</v>
      </c>
      <c r="CJ365" s="190">
        <v>-0.45146162946928925</v>
      </c>
      <c r="CK365" s="190">
        <v>56.025160444812769</v>
      </c>
      <c r="CL365" s="247">
        <v>707.57299999999998</v>
      </c>
      <c r="CM365" s="247">
        <v>23.585766666666665</v>
      </c>
      <c r="CN365" s="247">
        <v>526.14200000000005</v>
      </c>
      <c r="CO365" s="247">
        <v>36.238</v>
      </c>
      <c r="CP365" s="190">
        <v>44.615212847296327</v>
      </c>
      <c r="CQ365" s="190">
        <v>0.2425765015449457</v>
      </c>
      <c r="CR365" s="247">
        <v>278.59899999999999</v>
      </c>
      <c r="CS365" s="247">
        <v>127.298</v>
      </c>
      <c r="CT365" s="190">
        <v>11.812166377179457</v>
      </c>
      <c r="CU365" s="190">
        <v>9.4510618158203386E-3</v>
      </c>
      <c r="CV365" s="190">
        <v>56.427379224475786</v>
      </c>
      <c r="CW365" s="163"/>
      <c r="CX365" s="212">
        <v>0</v>
      </c>
      <c r="CY365" s="212">
        <v>0</v>
      </c>
      <c r="CZ365" s="212">
        <v>0</v>
      </c>
      <c r="DA365" s="212">
        <v>0</v>
      </c>
      <c r="DB365" s="212">
        <v>1.1368683772161603E-13</v>
      </c>
      <c r="DC365" s="212">
        <v>0</v>
      </c>
      <c r="DD365" s="163"/>
      <c r="DE365" s="247">
        <v>188.51499999999999</v>
      </c>
      <c r="DF365" s="247">
        <v>108.408</v>
      </c>
      <c r="DG365" s="247">
        <v>24.954999999999998</v>
      </c>
      <c r="DH365" s="199">
        <v>0.57506299233482749</v>
      </c>
      <c r="DI365" s="247">
        <v>152.9</v>
      </c>
      <c r="DJ365" s="199">
        <v>0.40553802084714746</v>
      </c>
      <c r="DK365" s="247">
        <v>153.71299999999999</v>
      </c>
      <c r="DL365" s="247">
        <v>148.64400000000001</v>
      </c>
      <c r="DM365" s="199">
        <v>3.2977041629530301E-2</v>
      </c>
      <c r="DN365" s="247">
        <v>147.023</v>
      </c>
      <c r="DO365" s="247">
        <v>49.27</v>
      </c>
      <c r="DP365" s="247">
        <v>88.93</v>
      </c>
      <c r="DQ365" s="247">
        <v>138.20000000000002</v>
      </c>
      <c r="DR365" s="247">
        <v>0.9806010131819749</v>
      </c>
      <c r="DS365" s="247">
        <v>1.0053172007848266</v>
      </c>
      <c r="DT365" s="247">
        <v>87.783000000000001</v>
      </c>
      <c r="DU365" s="247">
        <v>39.420999999999999</v>
      </c>
      <c r="DV365" s="247">
        <v>14.874000000000001</v>
      </c>
      <c r="DW365" s="199">
        <v>0.44907328298189853</v>
      </c>
      <c r="DX365" s="247">
        <v>25.623000000000001</v>
      </c>
      <c r="DY365" s="199">
        <v>0.14594511465773555</v>
      </c>
      <c r="DZ365" s="247">
        <v>28.858000000000001</v>
      </c>
      <c r="EA365" s="247">
        <v>27.968</v>
      </c>
      <c r="EB365" s="199">
        <v>3.084066809896735E-2</v>
      </c>
      <c r="EC365" s="247">
        <v>31.507999999999999</v>
      </c>
      <c r="ED365" s="247">
        <v>27.5</v>
      </c>
      <c r="EE365" s="247">
        <v>45.743000000000002</v>
      </c>
      <c r="EF365" s="247">
        <v>73.242999999999995</v>
      </c>
      <c r="EG365" s="199">
        <v>0.59501839763963404</v>
      </c>
      <c r="EJ365" s="154">
        <v>5.9245011111111117</v>
      </c>
    </row>
    <row r="366" spans="1:140">
      <c r="A366" s="157">
        <v>45413</v>
      </c>
      <c r="B366" s="247">
        <v>5759.6170000000002</v>
      </c>
      <c r="C366" s="247">
        <f t="shared" ref="C366" si="3709">B366/30</f>
        <v>191.98723333333334</v>
      </c>
      <c r="D366" s="247">
        <f>C366-'NOPA Crush'!G763</f>
        <v>191.98723333333334</v>
      </c>
      <c r="E366" s="247">
        <v>7.0473718234417948E-2</v>
      </c>
      <c r="F366" s="247">
        <v>4231.9750000000004</v>
      </c>
      <c r="G366" s="247">
        <v>4175.3540000000003</v>
      </c>
      <c r="H366" s="247">
        <v>56.621000000000002</v>
      </c>
      <c r="I366" s="247">
        <v>309.44600000000003</v>
      </c>
      <c r="J366" s="190">
        <f t="shared" ref="J366" si="3710">F366*2/C366</f>
        <v>44.086004329801796</v>
      </c>
      <c r="K366" s="190">
        <f t="shared" ref="K366" si="3711">(F366+M366)*2/C366</f>
        <v>47.054107938079909</v>
      </c>
      <c r="L366" s="190">
        <f>K366-'NOPA Crush'!J763</f>
        <v>47.054107938079909</v>
      </c>
      <c r="M366" s="247">
        <v>284.91899999999998</v>
      </c>
      <c r="N366" s="247">
        <v>49.362000000000002</v>
      </c>
      <c r="O366" s="247">
        <v>2271.018</v>
      </c>
      <c r="P366" s="247">
        <v>1732.5640000000001</v>
      </c>
      <c r="Q366" s="247">
        <v>956.26300000000003</v>
      </c>
      <c r="R366" s="247">
        <v>257.09100000000001</v>
      </c>
      <c r="S366" s="247">
        <v>519.21</v>
      </c>
      <c r="T366" s="247">
        <v>454.27499999999998</v>
      </c>
      <c r="U366" s="247">
        <f>(P366+T366)-'NOPA Crush'!Q763</f>
        <v>2186.8389999999999</v>
      </c>
      <c r="V366" s="199">
        <v>0.26879486364237648</v>
      </c>
      <c r="W366" s="190">
        <f t="shared" ref="W366" si="3712">O366/C366</f>
        <v>11.829005296706361</v>
      </c>
      <c r="X366" s="190">
        <f>W366-'NOPA Crush'!O763</f>
        <v>11.829005296706361</v>
      </c>
      <c r="Y366" s="247">
        <f t="shared" ref="Y366" si="3713">K366+W366</f>
        <v>58.883113234786272</v>
      </c>
      <c r="Z366" s="247">
        <v>1816.6179999999999</v>
      </c>
      <c r="AA366" s="247">
        <v>1779.877</v>
      </c>
      <c r="AB366" s="199">
        <f t="shared" ref="AB366" si="3714">(Z366-AA366)/Z366</f>
        <v>2.0224945475603558E-2</v>
      </c>
      <c r="AC366" s="195">
        <f>FORECAST(AF366,AC342:AC365,AF342:AF365)</f>
        <v>174.70591101926883</v>
      </c>
      <c r="AD366" s="195">
        <v>1780.915</v>
      </c>
      <c r="AE366" s="195">
        <v>1249.8710000000001</v>
      </c>
      <c r="AF366" s="195">
        <v>531.04399999999998</v>
      </c>
      <c r="AG366" s="191">
        <f t="shared" ref="AG366" si="3715">AD366/AA366-1</f>
        <v>5.8318636624887787E-4</v>
      </c>
      <c r="AH366" s="247"/>
      <c r="AI366" s="247">
        <v>567.87199999999996</v>
      </c>
      <c r="AJ366" s="247">
        <f t="shared" ref="AJ366" si="3716">AI366/30</f>
        <v>18.929066666666664</v>
      </c>
      <c r="AK366" s="247">
        <v>408.678</v>
      </c>
      <c r="AL366" s="247">
        <v>24.58</v>
      </c>
      <c r="AM366" s="190">
        <f t="shared" ref="AM366" si="3717">AK366*2/AJ366</f>
        <v>43.179941958751272</v>
      </c>
      <c r="AN366" s="190">
        <f t="shared" ref="AN366" si="3718">AM366-J366</f>
        <v>-0.90606237105052401</v>
      </c>
      <c r="AO366" s="247">
        <v>227.74299999999999</v>
      </c>
      <c r="AP366" s="247">
        <v>126.31399999999999</v>
      </c>
      <c r="AQ366" s="190">
        <f t="shared" ref="AQ366" si="3719">AO366/AJ366</f>
        <v>12.031390876817312</v>
      </c>
      <c r="AR366" s="190">
        <f t="shared" ref="AR366" si="3720">AQ366-W366</f>
        <v>0.20238558011095087</v>
      </c>
      <c r="AS366" s="190">
        <f t="shared" ref="AS366" si="3721">AM366+AQ366</f>
        <v>55.211332835568584</v>
      </c>
      <c r="AT366" s="247">
        <v>1301.5129999999999</v>
      </c>
      <c r="AU366" s="247">
        <f t="shared" ref="AU366" si="3722">AT366/30</f>
        <v>43.383766666666666</v>
      </c>
      <c r="AV366" s="247">
        <v>959.6</v>
      </c>
      <c r="AW366" s="247">
        <v>86.177999999999997</v>
      </c>
      <c r="AX366" s="190">
        <f t="shared" ref="AX366" si="3723">AV366*2/AU366</f>
        <v>44.23774484004386</v>
      </c>
      <c r="AY366" s="190">
        <f t="shared" ref="AY366" si="3724">AX366-J366</f>
        <v>0.15174051024206392</v>
      </c>
      <c r="AZ366" s="247">
        <v>513.26700000000005</v>
      </c>
      <c r="BA366" s="247">
        <v>173.476</v>
      </c>
      <c r="BB366" s="190">
        <f t="shared" ref="BB366" si="3725">AZ366/AU366</f>
        <v>11.830853783250726</v>
      </c>
      <c r="BC366" s="190">
        <f t="shared" ref="BC366" si="3726">BB366-W366</f>
        <v>1.848486544364647E-3</v>
      </c>
      <c r="BD366" s="190">
        <f t="shared" ref="BD366" si="3727">AX366+BB366</f>
        <v>56.068598623294584</v>
      </c>
      <c r="BE366" s="247">
        <v>1367.8869999999999</v>
      </c>
      <c r="BF366" s="247">
        <f t="shared" ref="BF366" si="3728">BE366/30</f>
        <v>45.596233333333331</v>
      </c>
      <c r="BG366" s="247">
        <v>995.21799999999996</v>
      </c>
      <c r="BH366" s="247">
        <v>82.519000000000005</v>
      </c>
      <c r="BI366" s="190">
        <f t="shared" ref="BI366" si="3729">BG366*2/BF366</f>
        <v>43.653518163415548</v>
      </c>
      <c r="BJ366" s="190">
        <f t="shared" ref="BJ366" si="3730">BI366-J366</f>
        <v>-0.43248616638624782</v>
      </c>
      <c r="BK366" s="247">
        <v>535.99900000000002</v>
      </c>
      <c r="BL366" s="247">
        <v>266.81200000000001</v>
      </c>
      <c r="BM366" s="190">
        <f t="shared" ref="BM366" si="3731">BK366/BF366</f>
        <v>11.75533505326098</v>
      </c>
      <c r="BN366" s="190">
        <f t="shared" ref="BN366" si="3732">BM366-W366</f>
        <v>-7.3670243445381089E-2</v>
      </c>
      <c r="BO366" s="190">
        <f t="shared" ref="BO366" si="3733">BM366+BI366</f>
        <v>55.408853216676526</v>
      </c>
      <c r="BP366" s="247">
        <v>1081.8520000000001</v>
      </c>
      <c r="BQ366" s="247">
        <f t="shared" ref="BQ366" si="3734">BP366/30</f>
        <v>36.061733333333336</v>
      </c>
      <c r="BR366" s="247">
        <v>805.85699999999997</v>
      </c>
      <c r="BS366" s="247">
        <v>55.662999999999997</v>
      </c>
      <c r="BT366" s="190">
        <f t="shared" ref="BT366" si="3735">BR366*2/BQ366</f>
        <v>44.693192784225566</v>
      </c>
      <c r="BU366" s="190">
        <f t="shared" ref="BU366" si="3736">BT366-J366</f>
        <v>0.60718845442377045</v>
      </c>
      <c r="BV366" s="247">
        <v>427.65100000000001</v>
      </c>
      <c r="BW366" s="247">
        <v>204.52699999999999</v>
      </c>
      <c r="BX366" s="190">
        <f t="shared" ref="BX366" si="3737">BV366/BQ366</f>
        <v>11.858858697862553</v>
      </c>
      <c r="BY366" s="190">
        <f t="shared" ref="BY366" si="3738">BX366-W366</f>
        <v>2.985340115619195E-2</v>
      </c>
      <c r="BZ366" s="190">
        <f t="shared" ref="BZ366" si="3739">BT366+BX366</f>
        <v>56.552051482088117</v>
      </c>
      <c r="CA366" s="247">
        <v>614.553</v>
      </c>
      <c r="CB366" s="247">
        <f t="shared" ref="CB366" si="3740">CA366/30</f>
        <v>20.485099999999999</v>
      </c>
      <c r="CC366" s="247">
        <v>448.37400000000002</v>
      </c>
      <c r="CD366" s="247">
        <v>25.789000000000001</v>
      </c>
      <c r="CE366" s="190">
        <f t="shared" ref="CE366" si="3741">CC366*2/CB366</f>
        <v>43.77562228156075</v>
      </c>
      <c r="CF366" s="190">
        <f t="shared" ref="CF366" si="3742">CE366-J366</f>
        <v>-0.31038204824104554</v>
      </c>
      <c r="CG366" s="247">
        <v>243.43299999999999</v>
      </c>
      <c r="CH366" s="247">
        <v>59.688000000000002</v>
      </c>
      <c r="CI366" s="190">
        <f t="shared" ref="CI366" si="3743">CG366/CB366</f>
        <v>11.883417703599202</v>
      </c>
      <c r="CJ366" s="190">
        <f t="shared" ref="CJ366" si="3744">CI366-W366</f>
        <v>5.4412406892840437E-2</v>
      </c>
      <c r="CK366" s="190">
        <f t="shared" ref="CK366" si="3745">CI366+CE366</f>
        <v>55.65903998515995</v>
      </c>
      <c r="CL366" s="247">
        <v>825.94</v>
      </c>
      <c r="CM366" s="247">
        <f t="shared" ref="CM366" si="3746">CL366/30</f>
        <v>27.531333333333336</v>
      </c>
      <c r="CN366" s="247">
        <v>614.24800000000005</v>
      </c>
      <c r="CO366" s="247">
        <v>34.716999999999999</v>
      </c>
      <c r="CP366" s="190">
        <f t="shared" ref="CP366" si="3747">CN366*2/CM366</f>
        <v>44.621740077971765</v>
      </c>
      <c r="CQ366" s="190">
        <f t="shared" ref="CQ366" si="3748">CP366-J366</f>
        <v>0.53573574816996938</v>
      </c>
      <c r="CR366" s="247">
        <v>322.92500000000001</v>
      </c>
      <c r="CS366" s="247">
        <v>125.446</v>
      </c>
      <c r="CT366" s="190">
        <f t="shared" ref="CT366" si="3749">CR366/CM366</f>
        <v>11.729362907717267</v>
      </c>
      <c r="CU366" s="190">
        <f t="shared" ref="CU366" si="3750">CT366-W366</f>
        <v>-9.9642388989094499E-2</v>
      </c>
      <c r="CV366" s="190">
        <f t="shared" ref="CV366" si="3751">CP366+CT366</f>
        <v>56.351102985689032</v>
      </c>
      <c r="CW366" s="163"/>
      <c r="CX366" s="212">
        <f t="shared" ref="CX366" si="3752">C366-AJ366-AU366-BF366-BQ366-CB366-CM366</f>
        <v>0</v>
      </c>
      <c r="CY366" s="212">
        <f t="shared" ref="CY366" si="3753">F366-AK366-AV366-BG366-BR366-CC366-CN366</f>
        <v>0</v>
      </c>
      <c r="CZ366" s="212">
        <f t="shared" ref="CZ366" si="3754">I366-AL366-AW366-BH366-BS366-CD366-CO366</f>
        <v>0</v>
      </c>
      <c r="DA366" s="212">
        <f t="shared" ref="DA366" si="3755">O366-AO366-AZ366-BK366-BV366-CG366-CR366</f>
        <v>0</v>
      </c>
      <c r="DB366" s="212">
        <f t="shared" ref="DB366" si="3756">Q366-AP366-BA366-BL366-BW366-CH366-CS366</f>
        <v>0</v>
      </c>
      <c r="DC366" s="212">
        <f t="shared" ref="DC366" si="3757">P366-Q366-R366-S366</f>
        <v>0</v>
      </c>
      <c r="DD366" s="163"/>
      <c r="DE366" s="247">
        <v>143.46899999999999</v>
      </c>
      <c r="DF366" s="247">
        <v>83.245999999999995</v>
      </c>
      <c r="DG366" s="247">
        <v>24.891999999999999</v>
      </c>
      <c r="DH366" s="199">
        <f t="shared" ref="DH366" si="3758">DF366/DE366</f>
        <v>0.58023684559033661</v>
      </c>
      <c r="DI366" s="247">
        <v>116.521</v>
      </c>
      <c r="DJ366" s="199">
        <f t="shared" ref="DJ366" si="3759">DI366/DE366/2</f>
        <v>0.406084241194962</v>
      </c>
      <c r="DK366" s="247">
        <v>119.536</v>
      </c>
      <c r="DL366" s="247">
        <v>115.154</v>
      </c>
      <c r="DM366" s="199">
        <f t="shared" ref="DM366" si="3760">1-DL366/DK366</f>
        <v>3.6658412528443374E-2</v>
      </c>
      <c r="DN366" s="247">
        <v>117.529</v>
      </c>
      <c r="DO366" s="247">
        <v>51.295999999999999</v>
      </c>
      <c r="DP366" s="247">
        <v>94.71</v>
      </c>
      <c r="DQ366" s="247">
        <f t="shared" ref="DQ366" si="3761">DP366+DO366</f>
        <v>146.006</v>
      </c>
      <c r="DR366" s="247">
        <f t="shared" ref="DR366" si="3762">DJ366+DH366</f>
        <v>0.98632108678529862</v>
      </c>
      <c r="DS366" s="247">
        <f>DK366/DI366</f>
        <v>1.0258751641335038</v>
      </c>
      <c r="DT366" s="247">
        <v>99.61</v>
      </c>
      <c r="DU366" s="247">
        <v>45.679000000000002</v>
      </c>
      <c r="DV366" s="247">
        <v>26.065999999999999</v>
      </c>
      <c r="DW366" s="199">
        <f t="shared" ref="DW366" si="3763">DU366/DT366</f>
        <v>0.45857845597831548</v>
      </c>
      <c r="DX366" s="247">
        <v>28.123000000000001</v>
      </c>
      <c r="DY366" s="199">
        <f t="shared" ref="DY366" si="3764">DX366/DT366/2</f>
        <v>0.141165545627949</v>
      </c>
      <c r="DZ366" s="247">
        <v>31.696000000000002</v>
      </c>
      <c r="EA366" s="247">
        <v>30.853999999999999</v>
      </c>
      <c r="EB366" s="199">
        <f t="shared" ref="EB366" si="3765">1-EA366/DZ366</f>
        <v>2.6564866229177309E-2</v>
      </c>
      <c r="EC366" s="247">
        <v>35.612000000000002</v>
      </c>
      <c r="ED366" s="247">
        <f t="shared" ref="ED366" si="3766">MROUND(FORECAST(DZ366,ED351:ED365,DZ351:DZ365),2.5)</f>
        <v>27.5</v>
      </c>
      <c r="EE366" s="247">
        <v>41.66</v>
      </c>
      <c r="EF366" s="247">
        <f t="shared" ref="EF366" si="3767">EE366+ED366</f>
        <v>69.16</v>
      </c>
      <c r="EG366" s="199">
        <f t="shared" ref="EG366" si="3768">DY366+DW366</f>
        <v>0.59974400160626451</v>
      </c>
      <c r="EJ366" s="154">
        <f>C366/(A367-A366)</f>
        <v>6.1931365591397851</v>
      </c>
    </row>
    <row r="367" spans="1:140">
      <c r="A367" s="157">
        <v>45444</v>
      </c>
      <c r="B367" s="247">
        <v>5510.4610000000002</v>
      </c>
      <c r="C367" s="247">
        <v>183.68203333333335</v>
      </c>
      <c r="D367" s="247">
        <v>8.0830333333333613</v>
      </c>
      <c r="E367" s="247">
        <v>4.6031203670484189E-2</v>
      </c>
      <c r="F367" s="247">
        <v>4055.2370000000001</v>
      </c>
      <c r="G367" s="247">
        <v>3995.5680000000002</v>
      </c>
      <c r="H367" s="247">
        <v>59.668999999999997</v>
      </c>
      <c r="I367" s="247">
        <v>432.64800000000002</v>
      </c>
      <c r="J367" s="190">
        <v>44.15496634492105</v>
      </c>
      <c r="K367" s="190">
        <v>47.201197867111297</v>
      </c>
      <c r="L367" s="190">
        <v>0.11119786711129365</v>
      </c>
      <c r="M367" s="247">
        <v>279.76900000000001</v>
      </c>
      <c r="N367" s="247">
        <v>60.280999999999999</v>
      </c>
      <c r="O367" s="247">
        <v>2183.6149999999998</v>
      </c>
      <c r="P367" s="247">
        <v>1680.77</v>
      </c>
      <c r="Q367" s="247">
        <v>955.76700000000005</v>
      </c>
      <c r="R367" s="247">
        <v>241.77500000000001</v>
      </c>
      <c r="S367" s="247">
        <v>483.22800000000001</v>
      </c>
      <c r="T367" s="247">
        <v>444.21899999999999</v>
      </c>
      <c r="U367" s="247">
        <v>502.72</v>
      </c>
      <c r="V367" s="199">
        <v>0.30988695462959592</v>
      </c>
      <c r="W367" s="190">
        <v>11.888016265789739</v>
      </c>
      <c r="X367" s="190">
        <v>-1.9837342102615452E-3</v>
      </c>
      <c r="Y367" s="247">
        <v>59.089214132901034</v>
      </c>
      <c r="Z367" s="247">
        <v>1750.9580000000001</v>
      </c>
      <c r="AA367" s="247">
        <v>1709.114</v>
      </c>
      <c r="AB367" s="199">
        <v>2.3897774818128163E-2</v>
      </c>
      <c r="AC367" s="195">
        <v>174.65150978909085</v>
      </c>
      <c r="AD367" s="195">
        <v>1720.893</v>
      </c>
      <c r="AE367" s="195">
        <v>1192.5039999999999</v>
      </c>
      <c r="AF367" s="195">
        <v>528.38900000000001</v>
      </c>
      <c r="AG367" s="191">
        <v>6.8918749714763639E-3</v>
      </c>
      <c r="AH367" s="247"/>
      <c r="AI367" s="247">
        <v>609.36099999999999</v>
      </c>
      <c r="AJ367" s="247">
        <v>20.312033333333332</v>
      </c>
      <c r="AK367" s="247">
        <v>445.52100000000002</v>
      </c>
      <c r="AL367" s="247">
        <v>45.511000000000003</v>
      </c>
      <c r="AM367" s="190">
        <v>43.867690909001404</v>
      </c>
      <c r="AN367" s="190">
        <v>-0.28727543591964633</v>
      </c>
      <c r="AO367" s="247">
        <v>249.27799999999999</v>
      </c>
      <c r="AP367" s="247">
        <v>127.905</v>
      </c>
      <c r="AQ367" s="190">
        <v>12.27242964351181</v>
      </c>
      <c r="AR367" s="190">
        <v>0.38441337772207085</v>
      </c>
      <c r="AS367" s="190">
        <v>56.14012055251321</v>
      </c>
      <c r="AT367" s="247">
        <v>1045.894</v>
      </c>
      <c r="AU367" s="247">
        <v>34.86313333333333</v>
      </c>
      <c r="AV367" s="247">
        <v>773.79700000000003</v>
      </c>
      <c r="AW367" s="247">
        <v>78.426000000000002</v>
      </c>
      <c r="AX367" s="190">
        <v>44.390559655184944</v>
      </c>
      <c r="AY367" s="190">
        <v>0.2355933102638943</v>
      </c>
      <c r="AZ367" s="247">
        <v>417.75</v>
      </c>
      <c r="BA367" s="247">
        <v>149.37</v>
      </c>
      <c r="BB367" s="190">
        <v>11.982571847625096</v>
      </c>
      <c r="BC367" s="190">
        <v>9.4555581835356506E-2</v>
      </c>
      <c r="BD367" s="190">
        <v>56.37313150281004</v>
      </c>
      <c r="BE367" s="247">
        <v>1264.8610000000001</v>
      </c>
      <c r="BF367" s="247">
        <v>42.162033333333333</v>
      </c>
      <c r="BG367" s="247">
        <v>930.76099999999997</v>
      </c>
      <c r="BH367" s="247">
        <v>98.373000000000005</v>
      </c>
      <c r="BI367" s="190">
        <v>44.151618241055736</v>
      </c>
      <c r="BJ367" s="190">
        <v>-3.3481038653135897E-3</v>
      </c>
      <c r="BK367" s="247">
        <v>498.73500000000001</v>
      </c>
      <c r="BL367" s="247">
        <v>268.06700000000001</v>
      </c>
      <c r="BM367" s="190">
        <v>11.829007298035121</v>
      </c>
      <c r="BN367" s="190">
        <v>-5.9008967754618169E-2</v>
      </c>
      <c r="BO367" s="190">
        <v>55.980625539090859</v>
      </c>
      <c r="BP367" s="247">
        <v>1069.796</v>
      </c>
      <c r="BQ367" s="247">
        <v>35.659866666666666</v>
      </c>
      <c r="BR367" s="247">
        <v>787.28399999999999</v>
      </c>
      <c r="BS367" s="247">
        <v>67.090999999999994</v>
      </c>
      <c r="BT367" s="190">
        <v>44.155184726807725</v>
      </c>
      <c r="BU367" s="190">
        <v>2.18381886675445E-4</v>
      </c>
      <c r="BV367" s="247">
        <v>422.22199999999998</v>
      </c>
      <c r="BW367" s="247">
        <v>199.256</v>
      </c>
      <c r="BX367" s="190">
        <v>11.840257394867805</v>
      </c>
      <c r="BY367" s="190">
        <v>-4.7758870921933649E-2</v>
      </c>
      <c r="BZ367" s="190">
        <v>55.995442121675531</v>
      </c>
      <c r="CA367" s="247">
        <v>675.59699999999998</v>
      </c>
      <c r="CB367" s="247">
        <v>22.5199</v>
      </c>
      <c r="CC367" s="247">
        <v>490.69400000000002</v>
      </c>
      <c r="CD367" s="247">
        <v>85.436999999999998</v>
      </c>
      <c r="CE367" s="190">
        <v>43.578701504003128</v>
      </c>
      <c r="CF367" s="190">
        <v>-0.57626484091792207</v>
      </c>
      <c r="CG367" s="247">
        <v>263.61799999999999</v>
      </c>
      <c r="CH367" s="247">
        <v>74.381</v>
      </c>
      <c r="CI367" s="190">
        <v>11.70600224690163</v>
      </c>
      <c r="CJ367" s="190">
        <v>-0.18201401888810942</v>
      </c>
      <c r="CK367" s="190">
        <v>55.284703750904754</v>
      </c>
      <c r="CL367" s="247">
        <v>844.952</v>
      </c>
      <c r="CM367" s="247">
        <v>28.165066666666668</v>
      </c>
      <c r="CN367" s="247">
        <v>627.17999999999995</v>
      </c>
      <c r="CO367" s="247">
        <v>57.81</v>
      </c>
      <c r="CP367" s="190">
        <v>44.536020981073477</v>
      </c>
      <c r="CQ367" s="190">
        <v>0.38105463615242741</v>
      </c>
      <c r="CR367" s="247">
        <v>332.012</v>
      </c>
      <c r="CS367" s="247">
        <v>136.78800000000001</v>
      </c>
      <c r="CT367" s="190">
        <v>11.788077902650091</v>
      </c>
      <c r="CU367" s="190">
        <v>-9.993836313964799E-2</v>
      </c>
      <c r="CV367" s="190">
        <v>56.324098883723565</v>
      </c>
      <c r="CW367" s="163"/>
      <c r="CX367" s="212">
        <v>0</v>
      </c>
      <c r="CY367" s="212">
        <v>0</v>
      </c>
      <c r="CZ367" s="212">
        <v>0</v>
      </c>
      <c r="DA367" s="212">
        <v>0</v>
      </c>
      <c r="DB367" s="212">
        <v>0</v>
      </c>
      <c r="DC367" s="212">
        <v>0</v>
      </c>
      <c r="DD367" s="163"/>
      <c r="DE367" s="247">
        <v>198.005</v>
      </c>
      <c r="DF367" s="247">
        <v>116.489</v>
      </c>
      <c r="DG367" s="247">
        <v>30.902000000000001</v>
      </c>
      <c r="DH367" s="199">
        <v>0.58831342642862561</v>
      </c>
      <c r="DI367" s="247">
        <v>160.27000000000001</v>
      </c>
      <c r="DJ367" s="199">
        <v>0.40471200222216613</v>
      </c>
      <c r="DK367" s="247">
        <v>151.43600000000001</v>
      </c>
      <c r="DL367" s="247">
        <v>147.37799999999999</v>
      </c>
      <c r="DM367" s="199">
        <v>2.679679864761364E-2</v>
      </c>
      <c r="DN367" s="247">
        <v>148.011</v>
      </c>
      <c r="DO367" s="247">
        <v>54.66</v>
      </c>
      <c r="DP367" s="247">
        <v>91.941000000000003</v>
      </c>
      <c r="DQ367" s="247">
        <v>146.601</v>
      </c>
      <c r="DR367" s="247">
        <v>0.9930254286507918</v>
      </c>
      <c r="DS367" s="247">
        <v>0.94488051413240159</v>
      </c>
      <c r="DT367" s="247">
        <v>76.152000000000001</v>
      </c>
      <c r="DU367" s="247">
        <v>33.677</v>
      </c>
      <c r="DV367" s="247">
        <v>28.965</v>
      </c>
      <c r="DW367" s="199">
        <v>0.4422339531463389</v>
      </c>
      <c r="DX367" s="247">
        <v>19.614000000000001</v>
      </c>
      <c r="DY367" s="199">
        <v>0.12878190986448157</v>
      </c>
      <c r="DZ367" s="247">
        <v>30.94</v>
      </c>
      <c r="EA367" s="247">
        <v>30.125</v>
      </c>
      <c r="EB367" s="199">
        <v>2.6341305753070476E-2</v>
      </c>
      <c r="EC367" s="247">
        <v>33.526000000000003</v>
      </c>
      <c r="ED367" s="247">
        <v>27.5</v>
      </c>
      <c r="EE367" s="247">
        <v>36.372999999999998</v>
      </c>
      <c r="EF367" s="247">
        <v>63.872999999999998</v>
      </c>
      <c r="EG367" s="199">
        <v>0.57101586301082041</v>
      </c>
    </row>
    <row r="368" spans="1:140">
      <c r="A368" s="157">
        <v>45474</v>
      </c>
      <c r="B368" s="247">
        <v>5803.6540000000005</v>
      </c>
      <c r="C368" s="247">
        <v>193.45513333333335</v>
      </c>
      <c r="D368" s="247">
        <v>10.57413333333335</v>
      </c>
      <c r="E368" s="247">
        <v>5.7819747996420423E-2</v>
      </c>
      <c r="F368" s="247">
        <v>4270.7160000000003</v>
      </c>
      <c r="G368" s="247">
        <v>4218.8900000000003</v>
      </c>
      <c r="H368" s="247">
        <v>51.826000000000001</v>
      </c>
      <c r="I368" s="247">
        <v>396.92899999999997</v>
      </c>
      <c r="J368" s="190">
        <v>44.152004926551442</v>
      </c>
      <c r="K368" s="190">
        <v>47.068515800562885</v>
      </c>
      <c r="L368" s="190">
        <v>5.8515800562886966E-2</v>
      </c>
      <c r="M368" s="247">
        <v>282.10700000000003</v>
      </c>
      <c r="N368" s="247">
        <v>33.709000000000003</v>
      </c>
      <c r="O368" s="247">
        <v>2304.7849999999999</v>
      </c>
      <c r="P368" s="247">
        <v>1500.059</v>
      </c>
      <c r="Q368" s="247">
        <v>807.19799999999998</v>
      </c>
      <c r="R368" s="247">
        <v>279.79500000000002</v>
      </c>
      <c r="S368" s="247">
        <v>413.06599999999997</v>
      </c>
      <c r="T368" s="247">
        <v>508.976</v>
      </c>
      <c r="U368" s="247">
        <v>509.88099999999986</v>
      </c>
      <c r="V368" s="199">
        <v>0.34011249011108924</v>
      </c>
      <c r="W368" s="190">
        <v>11.913796032637368</v>
      </c>
      <c r="X368" s="190">
        <v>-2.6203967362631531E-2</v>
      </c>
      <c r="Y368" s="247">
        <v>58.982311833200257</v>
      </c>
      <c r="Z368" s="247">
        <v>1887.452</v>
      </c>
      <c r="AA368" s="247">
        <v>1853.7380000000001</v>
      </c>
      <c r="AB368" s="199">
        <v>1.786217609772325E-2</v>
      </c>
      <c r="AC368" s="195">
        <v>175.14819562361157</v>
      </c>
      <c r="AD368" s="195">
        <v>1789.7860000000001</v>
      </c>
      <c r="AE368" s="195">
        <v>1260.9269999999999</v>
      </c>
      <c r="AF368" s="195">
        <v>528.85900000000004</v>
      </c>
      <c r="AG368" s="191">
        <v>-3.4498942137454192E-2</v>
      </c>
      <c r="AH368" s="247"/>
      <c r="AI368" s="247"/>
      <c r="AJ368" s="247"/>
      <c r="AK368" s="247"/>
      <c r="AL368" s="247"/>
      <c r="AM368" s="190"/>
      <c r="AN368" s="190"/>
      <c r="AO368" s="247"/>
      <c r="AP368" s="247"/>
      <c r="AQ368" s="190"/>
      <c r="AR368" s="190"/>
      <c r="AS368" s="190"/>
      <c r="AT368" s="247"/>
      <c r="AU368" s="247"/>
      <c r="AV368" s="247"/>
      <c r="AW368" s="247"/>
      <c r="AX368" s="190"/>
      <c r="AY368" s="190"/>
      <c r="AZ368" s="247"/>
      <c r="BA368" s="247"/>
      <c r="BB368" s="190"/>
      <c r="BC368" s="190"/>
      <c r="BD368" s="190"/>
      <c r="BE368" s="247"/>
      <c r="BF368" s="247"/>
      <c r="BG368" s="247"/>
      <c r="BH368" s="247"/>
      <c r="BI368" s="190"/>
      <c r="BJ368" s="190"/>
      <c r="BK368" s="247"/>
      <c r="BL368" s="247"/>
      <c r="BM368" s="190"/>
      <c r="BN368" s="190"/>
      <c r="BO368" s="190"/>
      <c r="BP368" s="247"/>
      <c r="BQ368" s="247"/>
      <c r="BR368" s="247"/>
      <c r="BS368" s="247"/>
      <c r="BT368" s="190"/>
      <c r="BU368" s="190"/>
      <c r="BV368" s="247"/>
      <c r="BW368" s="247"/>
      <c r="BX368" s="190"/>
      <c r="BY368" s="190"/>
      <c r="BZ368" s="190"/>
      <c r="CA368" s="247"/>
      <c r="CB368" s="247"/>
      <c r="CC368" s="247"/>
      <c r="CD368" s="247"/>
      <c r="CE368" s="190"/>
      <c r="CF368" s="190"/>
      <c r="CG368" s="247"/>
      <c r="CH368" s="247"/>
      <c r="CI368" s="190"/>
      <c r="CJ368" s="190"/>
      <c r="CK368" s="190"/>
      <c r="CL368" s="247"/>
      <c r="CM368" s="247"/>
      <c r="CN368" s="247"/>
      <c r="CO368" s="247"/>
      <c r="CP368" s="190"/>
      <c r="CQ368" s="190"/>
      <c r="CR368" s="247"/>
      <c r="CS368" s="247"/>
      <c r="CT368" s="190"/>
      <c r="CU368" s="190"/>
      <c r="CV368" s="190"/>
      <c r="CW368" s="163"/>
      <c r="CX368" s="212"/>
      <c r="CY368" s="212"/>
      <c r="CZ368" s="212"/>
      <c r="DA368" s="212"/>
      <c r="DB368" s="212"/>
      <c r="DC368" s="212"/>
      <c r="DD368" s="163"/>
      <c r="DE368" s="247">
        <v>230.51599999999999</v>
      </c>
      <c r="DF368" s="247">
        <v>130.988</v>
      </c>
      <c r="DG368" s="247">
        <v>27.428000000000001</v>
      </c>
      <c r="DH368" s="199">
        <v>0.56823821339950376</v>
      </c>
      <c r="DI368" s="247">
        <v>183.16200000000001</v>
      </c>
      <c r="DJ368" s="199">
        <v>0.39728695621995874</v>
      </c>
      <c r="DK368" s="247">
        <v>182.64599999999999</v>
      </c>
      <c r="DL368" s="247">
        <v>176.702</v>
      </c>
      <c r="DM368" s="199">
        <v>3.2543827951337478E-2</v>
      </c>
      <c r="DN368" s="247">
        <v>178.904</v>
      </c>
      <c r="DO368" s="247">
        <v>41.914000000000001</v>
      </c>
      <c r="DP368" s="247">
        <v>92.944999999999993</v>
      </c>
      <c r="DQ368" s="247">
        <v>134.85899999999998</v>
      </c>
      <c r="DR368" s="247">
        <v>0.96552516961946244</v>
      </c>
      <c r="DS368" s="247">
        <v>0.9971828217643397</v>
      </c>
      <c r="DT368" s="247">
        <v>84.691000000000003</v>
      </c>
      <c r="DU368" s="247">
        <v>35.274999999999999</v>
      </c>
      <c r="DV368" s="247">
        <v>29.86</v>
      </c>
      <c r="DW368" s="199">
        <v>0.41651415144466353</v>
      </c>
      <c r="DX368" s="247">
        <v>22.231000000000002</v>
      </c>
      <c r="DY368" s="199">
        <v>0.13124771227166995</v>
      </c>
      <c r="DZ368" s="247">
        <v>34.067</v>
      </c>
      <c r="EA368" s="247">
        <v>32.847999999999999</v>
      </c>
      <c r="EB368" s="199">
        <v>3.5782428743358685E-2</v>
      </c>
      <c r="EC368" s="247">
        <v>36.671999999999997</v>
      </c>
      <c r="ED368" s="247">
        <v>25</v>
      </c>
      <c r="EE368" s="247">
        <v>33.121000000000002</v>
      </c>
      <c r="EF368" s="247">
        <v>58.121000000000002</v>
      </c>
      <c r="EG368" s="199">
        <v>0.54776186371633351</v>
      </c>
    </row>
    <row r="369" spans="1:145" ht="11.25" customHeight="1">
      <c r="A369" s="157">
        <v>45505</v>
      </c>
      <c r="B369" s="247">
        <v>5026.6480000000001</v>
      </c>
      <c r="C369" s="247">
        <v>167.55493333333334</v>
      </c>
      <c r="D369" s="247">
        <v>9.5469333333333282</v>
      </c>
      <c r="E369" s="247">
        <v>6.0420569422645176E-2</v>
      </c>
      <c r="F369" s="247">
        <v>3705.1210000000001</v>
      </c>
      <c r="G369" s="247">
        <v>3647.4090000000001</v>
      </c>
      <c r="H369" s="247">
        <v>57.712000000000003</v>
      </c>
      <c r="I369" s="247">
        <v>318.49299999999999</v>
      </c>
      <c r="J369" s="190">
        <v>44.225746461657948</v>
      </c>
      <c r="K369" s="190">
        <v>47.304856039253195</v>
      </c>
      <c r="L369" s="190">
        <v>8.4856039253196514E-2</v>
      </c>
      <c r="M369" s="247">
        <v>257.95999999999998</v>
      </c>
      <c r="N369" s="247">
        <v>35.048999999999999</v>
      </c>
      <c r="O369" s="247">
        <v>1991.846</v>
      </c>
      <c r="P369" s="247">
        <v>1207.7180000000001</v>
      </c>
      <c r="Q369" s="247">
        <v>677.58299999999997</v>
      </c>
      <c r="R369" s="247">
        <v>206.78200000000001</v>
      </c>
      <c r="S369" s="247">
        <v>323.35300000000001</v>
      </c>
      <c r="T369" s="247">
        <v>421.71300000000002</v>
      </c>
      <c r="U369" s="247">
        <v>491.03999999999996</v>
      </c>
      <c r="V369" s="199">
        <v>0.43134564486191462</v>
      </c>
      <c r="W369" s="190">
        <v>11.88771921168938</v>
      </c>
      <c r="X369" s="190">
        <v>-3.2280788310620423E-2</v>
      </c>
      <c r="Y369" s="247">
        <v>59.192575250942575</v>
      </c>
      <c r="Z369" s="247">
        <v>1713.0060000000001</v>
      </c>
      <c r="AA369" s="247">
        <v>1676.395</v>
      </c>
      <c r="AB369" s="199">
        <v>2.1372371141724023E-2</v>
      </c>
      <c r="AC369" s="195">
        <v>178.01359933767964</v>
      </c>
      <c r="AD369" s="195">
        <v>1794.2719999999999</v>
      </c>
      <c r="AE369" s="195">
        <v>1251.4100000000001</v>
      </c>
      <c r="AF369" s="195">
        <v>542.86199999999997</v>
      </c>
      <c r="AG369" s="191">
        <v>7.0315766868786822E-2</v>
      </c>
      <c r="AH369" s="247"/>
      <c r="AI369" s="247">
        <v>491.50599999999997</v>
      </c>
      <c r="AJ369" s="247">
        <v>16.383533333333332</v>
      </c>
      <c r="AK369" s="247">
        <v>359.97899999999998</v>
      </c>
      <c r="AL369" s="247">
        <v>39.274999999999999</v>
      </c>
      <c r="AM369" s="190">
        <v>43.944000683613226</v>
      </c>
      <c r="AN369" s="190">
        <v>-0.28174577804472278</v>
      </c>
      <c r="AO369" s="247">
        <v>201.20500000000001</v>
      </c>
      <c r="AP369" s="247">
        <v>78.259</v>
      </c>
      <c r="AQ369" s="190">
        <v>12.280928411860691</v>
      </c>
      <c r="AR369" s="190">
        <v>0.39320920017131122</v>
      </c>
      <c r="AS369" s="190">
        <v>56.224929095473918</v>
      </c>
      <c r="AT369" s="247">
        <v>1103.7470000000001</v>
      </c>
      <c r="AU369" s="247">
        <v>36.791566666666668</v>
      </c>
      <c r="AV369" s="247">
        <v>811.37</v>
      </c>
      <c r="AW369" s="247">
        <v>59.674999999999997</v>
      </c>
      <c r="AX369" s="190">
        <v>44.106303346690865</v>
      </c>
      <c r="AY369" s="190">
        <v>-0.11944311496708337</v>
      </c>
      <c r="AZ369" s="247">
        <v>439.59399999999999</v>
      </c>
      <c r="BA369" s="247">
        <v>93.915000000000006</v>
      </c>
      <c r="BB369" s="190">
        <v>11.948227265849873</v>
      </c>
      <c r="BC369" s="190">
        <v>6.050805416049343E-2</v>
      </c>
      <c r="BD369" s="190">
        <v>56.054530612540738</v>
      </c>
      <c r="BE369" s="247">
        <v>1043.663</v>
      </c>
      <c r="BF369" s="247">
        <v>34.788766666666668</v>
      </c>
      <c r="BG369" s="247">
        <v>767.20600000000002</v>
      </c>
      <c r="BH369" s="247">
        <v>70.549000000000007</v>
      </c>
      <c r="BI369" s="190">
        <v>44.106536305301617</v>
      </c>
      <c r="BJ369" s="190">
        <v>-0.11921015635633125</v>
      </c>
      <c r="BK369" s="247">
        <v>404.3</v>
      </c>
      <c r="BL369" s="247">
        <v>172.13399999999999</v>
      </c>
      <c r="BM369" s="190">
        <v>11.621567498320818</v>
      </c>
      <c r="BN369" s="190">
        <v>-0.26615171336856136</v>
      </c>
      <c r="BO369" s="190">
        <v>55.728103803622432</v>
      </c>
      <c r="BP369" s="247">
        <v>992.12099999999998</v>
      </c>
      <c r="BQ369" s="247">
        <v>33.070700000000002</v>
      </c>
      <c r="BR369" s="247">
        <v>737.51499999999999</v>
      </c>
      <c r="BS369" s="247">
        <v>58.807000000000002</v>
      </c>
      <c r="BT369" s="190">
        <v>44.602321692616115</v>
      </c>
      <c r="BU369" s="190">
        <v>0.37657523095816714</v>
      </c>
      <c r="BV369" s="247">
        <v>388.08199999999999</v>
      </c>
      <c r="BW369" s="247">
        <v>149.01300000000001</v>
      </c>
      <c r="BX369" s="190">
        <v>11.73491943019047</v>
      </c>
      <c r="BY369" s="190">
        <v>-0.15279978149890994</v>
      </c>
      <c r="BZ369" s="190">
        <v>56.337241122806589</v>
      </c>
      <c r="CA369" s="247">
        <v>621.99199999999996</v>
      </c>
      <c r="CB369" s="247">
        <v>20.733066666666666</v>
      </c>
      <c r="CC369" s="247">
        <v>447.32499999999999</v>
      </c>
      <c r="CD369" s="247">
        <v>48.712000000000003</v>
      </c>
      <c r="CE369" s="190">
        <v>43.150876538604997</v>
      </c>
      <c r="CF369" s="190">
        <v>-1.074869923052951</v>
      </c>
      <c r="CG369" s="247">
        <v>245.90799999999999</v>
      </c>
      <c r="CH369" s="247">
        <v>65.540999999999997</v>
      </c>
      <c r="CI369" s="190">
        <v>11.860667018225314</v>
      </c>
      <c r="CJ369" s="190">
        <v>-2.705219346406551E-2</v>
      </c>
      <c r="CK369" s="190">
        <v>55.011543556830311</v>
      </c>
      <c r="CL369" s="247">
        <v>773.61900000000003</v>
      </c>
      <c r="CM369" s="247">
        <v>25.787300000000002</v>
      </c>
      <c r="CN369" s="247">
        <v>581.726</v>
      </c>
      <c r="CO369" s="247">
        <v>41.475000000000001</v>
      </c>
      <c r="CP369" s="190">
        <v>45.117247637402905</v>
      </c>
      <c r="CQ369" s="190">
        <v>0.89150117574495624</v>
      </c>
      <c r="CR369" s="247">
        <v>312.75700000000001</v>
      </c>
      <c r="CS369" s="247">
        <v>118.721</v>
      </c>
      <c r="CT369" s="190">
        <v>12.128334490233565</v>
      </c>
      <c r="CU369" s="190">
        <v>0.24061527854418507</v>
      </c>
      <c r="CV369" s="190">
        <v>57.245582127636467</v>
      </c>
      <c r="CW369" s="163"/>
      <c r="CX369" s="212">
        <v>0</v>
      </c>
      <c r="CY369" s="212">
        <v>0</v>
      </c>
      <c r="CZ369" s="212">
        <v>0</v>
      </c>
      <c r="DA369" s="212">
        <v>0</v>
      </c>
      <c r="DB369" s="212">
        <v>0</v>
      </c>
      <c r="DC369" s="212">
        <v>0</v>
      </c>
      <c r="DD369" s="163"/>
      <c r="DE369" s="197">
        <v>198.572</v>
      </c>
      <c r="DF369" s="197">
        <v>116.938</v>
      </c>
      <c r="DG369" s="197">
        <v>28.245999999999999</v>
      </c>
      <c r="DH369" s="191">
        <v>0.58889470821666701</v>
      </c>
      <c r="DI369" s="197">
        <v>163.47</v>
      </c>
      <c r="DJ369" s="191">
        <v>0.41161392341317005</v>
      </c>
      <c r="DK369" s="197">
        <v>160.40600000000001</v>
      </c>
      <c r="DL369" s="197">
        <v>155.96</v>
      </c>
      <c r="DM369" s="191">
        <v>2.7717167686994282E-2</v>
      </c>
      <c r="DN369" s="197">
        <v>158.88399999999999</v>
      </c>
      <c r="DO369" s="197">
        <v>28.298999999999999</v>
      </c>
      <c r="DP369" s="197">
        <v>95.099000000000004</v>
      </c>
      <c r="DQ369" s="195">
        <v>123.398</v>
      </c>
      <c r="DR369" s="191">
        <v>1.0005086316298371</v>
      </c>
      <c r="DS369" s="199">
        <v>0.98125649966354689</v>
      </c>
      <c r="DT369" s="200">
        <v>101.955</v>
      </c>
      <c r="DU369" s="202">
        <v>44.537999999999997</v>
      </c>
      <c r="DV369" s="200">
        <v>37.354999999999997</v>
      </c>
      <c r="DW369" s="191">
        <v>0.43683978225687803</v>
      </c>
      <c r="DX369" s="197">
        <v>25.858000000000001</v>
      </c>
      <c r="DY369" s="191">
        <v>0.12681084792310335</v>
      </c>
      <c r="DZ369" s="197">
        <v>34.264000000000003</v>
      </c>
      <c r="EA369" s="197">
        <v>33.29</v>
      </c>
      <c r="EB369" s="191">
        <v>2.8426336679897357E-2</v>
      </c>
      <c r="EC369" s="197">
        <v>33.607999999999997</v>
      </c>
      <c r="ED369" s="198">
        <v>25</v>
      </c>
      <c r="EE369" s="197">
        <v>33.942999999999998</v>
      </c>
      <c r="EF369" s="205">
        <v>58.942999999999998</v>
      </c>
      <c r="EG369" s="191">
        <v>0.5636506301799814</v>
      </c>
      <c r="EJ369" s="154">
        <v>10.809995698924732</v>
      </c>
      <c r="EK369" s="154">
        <v>13.150998361184108</v>
      </c>
      <c r="EL369" s="154">
        <v>0.82199049851842632</v>
      </c>
      <c r="EM369" s="154">
        <v>6.4055483870967747</v>
      </c>
      <c r="EN369" s="154">
        <v>6.5777419354838716E-3</v>
      </c>
      <c r="EO369" s="154">
        <v>17.22212182795699</v>
      </c>
    </row>
    <row r="370" spans="1:145" ht="11.25" customHeight="1">
      <c r="A370" s="157">
        <v>45536</v>
      </c>
      <c r="B370" s="247">
        <v>5595.0950000000003</v>
      </c>
      <c r="C370" s="247">
        <v>186.50316666666669</v>
      </c>
      <c r="D370" s="247">
        <v>8.8718939033211086</v>
      </c>
      <c r="E370" s="247">
        <v>4.9945562880366001E-2</v>
      </c>
      <c r="F370" s="247">
        <v>4092.4569999999999</v>
      </c>
      <c r="G370" s="247">
        <v>4024.6770000000001</v>
      </c>
      <c r="H370" s="247">
        <v>67.78</v>
      </c>
      <c r="I370" s="247">
        <v>413.41399999999999</v>
      </c>
      <c r="J370" s="190">
        <v>43.886193174557349</v>
      </c>
      <c r="K370" s="190">
        <v>46.850496729724867</v>
      </c>
      <c r="L370" s="190">
        <v>46.850496729724867</v>
      </c>
      <c r="M370" s="247">
        <v>276.42599999999999</v>
      </c>
      <c r="N370" s="247">
        <v>39.875999999999998</v>
      </c>
      <c r="O370" s="247">
        <v>2221.3490000000002</v>
      </c>
      <c r="P370" s="247">
        <v>1070.1020000000001</v>
      </c>
      <c r="Q370" s="247">
        <v>697.58</v>
      </c>
      <c r="R370" s="247">
        <v>139.965</v>
      </c>
      <c r="S370" s="247">
        <v>232.55699999999999</v>
      </c>
      <c r="T370" s="247">
        <v>430.75599999999997</v>
      </c>
      <c r="U370" s="247">
        <v>426.6180959098499</v>
      </c>
      <c r="V370" s="199">
        <v>0.39713484323707271</v>
      </c>
      <c r="W370" s="190">
        <v>11.910516264692555</v>
      </c>
      <c r="X370" s="190">
        <v>11.910516264692555</v>
      </c>
      <c r="Y370" s="247">
        <v>58.76101299441742</v>
      </c>
      <c r="Z370" s="247">
        <v>1805.653</v>
      </c>
      <c r="AA370" s="247">
        <v>1760.8589999999999</v>
      </c>
      <c r="AB370" s="199">
        <v>2.4807645765825493E-2</v>
      </c>
      <c r="AC370" s="195">
        <v>189.68799999999999</v>
      </c>
      <c r="AD370" s="195">
        <v>1773.2180000000001</v>
      </c>
      <c r="AE370" s="195">
        <v>1265.943</v>
      </c>
      <c r="AF370" s="195">
        <v>507.27499999999998</v>
      </c>
      <c r="AG370" s="191">
        <v>7.0187334704256976E-3</v>
      </c>
      <c r="AH370" s="247"/>
      <c r="AI370" s="247">
        <v>509.42200000000003</v>
      </c>
      <c r="AJ370" s="247">
        <v>16.980733333333333</v>
      </c>
      <c r="AK370" s="247">
        <v>368.209</v>
      </c>
      <c r="AL370" s="247">
        <v>55.048000000000002</v>
      </c>
      <c r="AM370" s="190">
        <v>43.367856119288135</v>
      </c>
      <c r="AN370" s="190">
        <v>-0.51833705526921392</v>
      </c>
      <c r="AO370" s="247">
        <v>207.85400000000001</v>
      </c>
      <c r="AP370" s="247">
        <v>88.614000000000004</v>
      </c>
      <c r="AQ370" s="190">
        <v>12.240578538029375</v>
      </c>
      <c r="AR370" s="190">
        <v>0.3300622733368197</v>
      </c>
      <c r="AS370" s="190">
        <v>55.60843465731751</v>
      </c>
      <c r="AT370" s="247">
        <v>1371.9059999999999</v>
      </c>
      <c r="AU370" s="247">
        <v>45.730199999999996</v>
      </c>
      <c r="AV370" s="247">
        <v>1004.917</v>
      </c>
      <c r="AW370" s="247">
        <v>70.721999999999994</v>
      </c>
      <c r="AX370" s="190">
        <v>43.949818719358326</v>
      </c>
      <c r="AY370" s="190">
        <v>6.3625544800977707E-2</v>
      </c>
      <c r="AZ370" s="247">
        <v>540.71199999999999</v>
      </c>
      <c r="BA370" s="247">
        <v>100.61</v>
      </c>
      <c r="BB370" s="190">
        <v>11.8239587843482</v>
      </c>
      <c r="BC370" s="190">
        <v>-8.6557480344355398E-2</v>
      </c>
      <c r="BD370" s="190">
        <v>55.773777503706526</v>
      </c>
      <c r="BE370" s="247">
        <v>1333.691</v>
      </c>
      <c r="BF370" s="247">
        <v>44.456366666666668</v>
      </c>
      <c r="BG370" s="247">
        <v>958.67600000000004</v>
      </c>
      <c r="BH370" s="247">
        <v>76.989999999999995</v>
      </c>
      <c r="BI370" s="190">
        <v>43.128850685803535</v>
      </c>
      <c r="BJ370" s="190">
        <v>-0.75734248875381383</v>
      </c>
      <c r="BK370" s="247">
        <v>522.91999999999996</v>
      </c>
      <c r="BL370" s="247">
        <v>214.911</v>
      </c>
      <c r="BM370" s="190">
        <v>11.762544697384925</v>
      </c>
      <c r="BN370" s="190">
        <v>-0.14797156730763028</v>
      </c>
      <c r="BO370" s="190">
        <v>54.89139538318846</v>
      </c>
      <c r="BP370" s="247">
        <v>1020.638</v>
      </c>
      <c r="BQ370" s="247">
        <v>34.021266666666669</v>
      </c>
      <c r="BR370" s="247">
        <v>756.91099999999994</v>
      </c>
      <c r="BS370" s="247">
        <v>74.67</v>
      </c>
      <c r="BT370" s="190">
        <v>44.496344443377566</v>
      </c>
      <c r="BU370" s="190">
        <v>0.61015126882021775</v>
      </c>
      <c r="BV370" s="247">
        <v>398.95299999999997</v>
      </c>
      <c r="BW370" s="247">
        <v>121.93899999999999</v>
      </c>
      <c r="BX370" s="190">
        <v>11.726576905817732</v>
      </c>
      <c r="BY370" s="190">
        <v>-0.18393935887482371</v>
      </c>
      <c r="BZ370" s="190">
        <v>56.222921349195296</v>
      </c>
      <c r="CA370" s="247">
        <v>592.32000000000005</v>
      </c>
      <c r="CB370" s="247">
        <v>19.744000000000003</v>
      </c>
      <c r="CC370" s="247">
        <v>436.78899999999999</v>
      </c>
      <c r="CD370" s="247">
        <v>60.866999999999997</v>
      </c>
      <c r="CE370" s="190">
        <v>44.245239059967574</v>
      </c>
      <c r="CF370" s="190">
        <v>0.3590458854102252</v>
      </c>
      <c r="CG370" s="247">
        <v>230.50899999999999</v>
      </c>
      <c r="CH370" s="247">
        <v>61.44</v>
      </c>
      <c r="CI370" s="190">
        <v>11.674888573743919</v>
      </c>
      <c r="CJ370" s="190">
        <v>-0.23562769094863611</v>
      </c>
      <c r="CK370" s="190">
        <v>55.920127633711495</v>
      </c>
      <c r="CL370" s="247">
        <v>767.11800000000005</v>
      </c>
      <c r="CM370" s="247">
        <v>25.570600000000002</v>
      </c>
      <c r="CN370" s="247">
        <v>566.95500000000004</v>
      </c>
      <c r="CO370" s="247">
        <v>75.117000000000004</v>
      </c>
      <c r="CP370" s="190">
        <v>44.344286015971463</v>
      </c>
      <c r="CQ370" s="190">
        <v>0.4580928414141141</v>
      </c>
      <c r="CR370" s="247">
        <v>320.40100000000001</v>
      </c>
      <c r="CS370" s="247">
        <v>110.066</v>
      </c>
      <c r="CT370" s="190">
        <v>12.530054046443961</v>
      </c>
      <c r="CU370" s="190">
        <v>0.61953778175140606</v>
      </c>
      <c r="CV370" s="190">
        <v>56.874340062415428</v>
      </c>
      <c r="CW370" s="163"/>
      <c r="CX370" s="212">
        <v>2.8421709430404007E-14</v>
      </c>
      <c r="CY370" s="212">
        <v>0</v>
      </c>
      <c r="CZ370" s="212">
        <v>0</v>
      </c>
      <c r="DA370" s="212">
        <v>0</v>
      </c>
      <c r="DB370" s="212">
        <v>0</v>
      </c>
      <c r="DC370" s="212">
        <v>0</v>
      </c>
      <c r="DD370" s="163"/>
      <c r="DE370" s="197">
        <v>204.90700000000001</v>
      </c>
      <c r="DF370" s="197">
        <v>118.259</v>
      </c>
      <c r="DG370" s="197">
        <v>33.741999999999997</v>
      </c>
      <c r="DH370" s="191">
        <v>0.57713499294802029</v>
      </c>
      <c r="DI370" s="197">
        <v>161.45099999999999</v>
      </c>
      <c r="DJ370" s="191">
        <v>0.39396165089528418</v>
      </c>
      <c r="DK370" s="197">
        <v>175.17500000000001</v>
      </c>
      <c r="DL370" s="197">
        <v>168.864</v>
      </c>
      <c r="DM370" s="191">
        <v>3.6026830312544611E-2</v>
      </c>
      <c r="DN370" s="197">
        <v>178.62</v>
      </c>
      <c r="DO370" s="197">
        <v>32.204999999999998</v>
      </c>
      <c r="DP370" s="197">
        <v>88.879000000000005</v>
      </c>
      <c r="DQ370" s="195">
        <v>121.084</v>
      </c>
      <c r="DR370" s="191">
        <v>0.97109664384330441</v>
      </c>
      <c r="DS370" s="199">
        <v>1.0850041188967552</v>
      </c>
      <c r="DT370" s="200">
        <v>80.552000000000007</v>
      </c>
      <c r="DU370" s="202">
        <v>33.954999999999998</v>
      </c>
      <c r="DV370" s="200">
        <v>34.509</v>
      </c>
      <c r="DW370" s="191">
        <v>0.42152895024332104</v>
      </c>
      <c r="DX370" s="197">
        <v>21.925999999999998</v>
      </c>
      <c r="DY370" s="191">
        <v>0.13609842089581883</v>
      </c>
      <c r="DZ370" s="197">
        <v>25.888999999999999</v>
      </c>
      <c r="EA370" s="197">
        <v>25.163</v>
      </c>
      <c r="EB370" s="191">
        <v>2.8042798099578992E-2</v>
      </c>
      <c r="EC370" s="197">
        <v>32.182000000000002</v>
      </c>
      <c r="ED370" s="198">
        <v>30</v>
      </c>
      <c r="EE370" s="197">
        <v>27.492999999999999</v>
      </c>
      <c r="EF370" s="205">
        <v>57.492999999999995</v>
      </c>
      <c r="EG370" s="191">
        <v>0.55762737113913985</v>
      </c>
      <c r="EJ370" s="154">
        <v>12.433544444444445</v>
      </c>
      <c r="EK370" s="154">
        <v>13.43471976275363</v>
      </c>
      <c r="EL370" s="154">
        <v>0.92547851120163738</v>
      </c>
      <c r="EM370" s="154">
        <v>6.830233333333334</v>
      </c>
      <c r="EN370" s="154">
        <v>5.3701333333333332E-3</v>
      </c>
      <c r="EO370" s="154">
        <v>19.269147911111112</v>
      </c>
    </row>
    <row r="371" spans="1:145" ht="11.25" customHeight="1">
      <c r="A371" s="157">
        <v>45566</v>
      </c>
      <c r="B371" s="247">
        <v>6473.5039999999999</v>
      </c>
      <c r="C371" s="247">
        <v>215.78346666666667</v>
      </c>
      <c r="D371" s="247">
        <v>15.824466666666666</v>
      </c>
      <c r="E371" s="247">
        <v>7.9138556737464505E-2</v>
      </c>
      <c r="F371" s="247">
        <v>4771.5140000000001</v>
      </c>
      <c r="G371" s="247">
        <v>4702.5050000000001</v>
      </c>
      <c r="H371" s="247">
        <v>69.009</v>
      </c>
      <c r="I371" s="247">
        <v>303.43</v>
      </c>
      <c r="J371" s="190">
        <v>44.225019402166126</v>
      </c>
      <c r="K371" s="190">
        <v>47.165328081978473</v>
      </c>
      <c r="L371" s="190">
        <v>36.589328081978479</v>
      </c>
      <c r="M371" s="247">
        <v>317.23500000000001</v>
      </c>
      <c r="N371" s="247">
        <v>37.78</v>
      </c>
      <c r="O371" s="247">
        <v>2569.453</v>
      </c>
      <c r="P371" s="247">
        <v>1036.135</v>
      </c>
      <c r="Q371" s="247">
        <v>698.75199999999995</v>
      </c>
      <c r="R371" s="247">
        <v>193.92493478101096</v>
      </c>
      <c r="S371" s="247">
        <v>318.51515561056874</v>
      </c>
      <c r="T371" s="247">
        <v>449.43599999999998</v>
      </c>
      <c r="U371" s="247">
        <v>419.01</v>
      </c>
      <c r="V371" s="199">
        <v>0.39286079277228403</v>
      </c>
      <c r="W371" s="190">
        <v>11.90755269480022</v>
      </c>
      <c r="X371" s="190">
        <v>11.90755269480022</v>
      </c>
      <c r="Y371" s="247">
        <v>59.072880776778689</v>
      </c>
      <c r="Z371" s="247">
        <v>1955.277</v>
      </c>
      <c r="AA371" s="247">
        <v>1911.694</v>
      </c>
      <c r="AB371" s="199">
        <v>2.2289936413101612E-2</v>
      </c>
      <c r="AC371" s="195">
        <v>201.928</v>
      </c>
      <c r="AD371" s="195">
        <v>1894.2840000000001</v>
      </c>
      <c r="AE371" s="195">
        <v>1329.143</v>
      </c>
      <c r="AF371" s="195">
        <v>565.14099999999996</v>
      </c>
      <c r="AG371" s="191">
        <v>-9.10710605358378E-3</v>
      </c>
      <c r="AH371" s="247"/>
      <c r="AI371" s="247">
        <v>660.72699999999998</v>
      </c>
      <c r="AJ371" s="247">
        <v>22.024233333333331</v>
      </c>
      <c r="AK371" s="247">
        <v>484.238</v>
      </c>
      <c r="AL371" s="247">
        <v>26.56</v>
      </c>
      <c r="AM371" s="190">
        <v>43.973199218436669</v>
      </c>
      <c r="AN371" s="190">
        <v>-0.25182018372945691</v>
      </c>
      <c r="AO371" s="247">
        <v>265.47000000000003</v>
      </c>
      <c r="AP371" s="247">
        <v>95.176000000000002</v>
      </c>
      <c r="AQ371" s="190">
        <v>12.053541023751112</v>
      </c>
      <c r="AR371" s="190">
        <v>0.14598832895089231</v>
      </c>
      <c r="AS371" s="190">
        <v>56.026740242187785</v>
      </c>
      <c r="AT371" s="247">
        <v>1382.796</v>
      </c>
      <c r="AU371" s="247">
        <v>46.093200000000003</v>
      </c>
      <c r="AV371" s="247">
        <v>1035.951</v>
      </c>
      <c r="AW371" s="247">
        <v>60.703000000000003</v>
      </c>
      <c r="AX371" s="190">
        <v>44.950274660904427</v>
      </c>
      <c r="AY371" s="190">
        <v>0.72525525873830077</v>
      </c>
      <c r="AZ371" s="247">
        <v>547.96500000000003</v>
      </c>
      <c r="BA371" s="247">
        <v>100.658</v>
      </c>
      <c r="BB371" s="190">
        <v>11.888196089661816</v>
      </c>
      <c r="BC371" s="190">
        <v>-1.9356605138403538E-2</v>
      </c>
      <c r="BD371" s="190">
        <v>56.838470750566245</v>
      </c>
      <c r="BE371" s="247">
        <v>1466.606</v>
      </c>
      <c r="BF371" s="247">
        <v>48.88686666666667</v>
      </c>
      <c r="BG371" s="247">
        <v>1056.44</v>
      </c>
      <c r="BH371" s="247">
        <v>76.521000000000001</v>
      </c>
      <c r="BI371" s="190">
        <v>43.219787727583274</v>
      </c>
      <c r="BJ371" s="190">
        <v>-1.005231674582852</v>
      </c>
      <c r="BK371" s="247">
        <v>567.02300000000002</v>
      </c>
      <c r="BL371" s="247">
        <v>215.23599999999999</v>
      </c>
      <c r="BM371" s="190">
        <v>11.598677490750754</v>
      </c>
      <c r="BN371" s="190">
        <v>-0.30887520404946578</v>
      </c>
      <c r="BO371" s="190">
        <v>54.818465218334026</v>
      </c>
      <c r="BP371" s="247">
        <v>1203.817</v>
      </c>
      <c r="BQ371" s="247">
        <v>40.127233333333336</v>
      </c>
      <c r="BR371" s="247">
        <v>900.41499999999996</v>
      </c>
      <c r="BS371" s="247">
        <v>56.912999999999997</v>
      </c>
      <c r="BT371" s="190">
        <v>44.878000559885756</v>
      </c>
      <c r="BU371" s="190">
        <v>0.65298115771962983</v>
      </c>
      <c r="BV371" s="247">
        <v>463.875</v>
      </c>
      <c r="BW371" s="247">
        <v>103.818</v>
      </c>
      <c r="BX371" s="190">
        <v>11.560104235112146</v>
      </c>
      <c r="BY371" s="190">
        <v>-0.34744845968807425</v>
      </c>
      <c r="BZ371" s="190">
        <v>56.438104794997898</v>
      </c>
      <c r="CA371" s="247">
        <v>669.12699999999995</v>
      </c>
      <c r="CB371" s="247">
        <v>22.304233333333332</v>
      </c>
      <c r="CC371" s="247">
        <v>478.565</v>
      </c>
      <c r="CD371" s="247">
        <v>39.051000000000002</v>
      </c>
      <c r="CE371" s="190">
        <v>42.912481487071965</v>
      </c>
      <c r="CF371" s="190">
        <v>-1.3125379150941612</v>
      </c>
      <c r="CG371" s="247">
        <v>261.88499999999999</v>
      </c>
      <c r="CH371" s="247">
        <v>58.762</v>
      </c>
      <c r="CI371" s="190">
        <v>11.741493020009655</v>
      </c>
      <c r="CJ371" s="190">
        <v>-0.16605967479056538</v>
      </c>
      <c r="CK371" s="190">
        <v>54.653974507081621</v>
      </c>
      <c r="CL371" s="247">
        <v>1090.4290000000001</v>
      </c>
      <c r="CM371" s="247">
        <v>36.347633333333334</v>
      </c>
      <c r="CN371" s="247">
        <v>815.90499999999997</v>
      </c>
      <c r="CO371" s="247">
        <v>43.682000000000002</v>
      </c>
      <c r="CP371" s="190">
        <v>44.894532335438619</v>
      </c>
      <c r="CQ371" s="190">
        <v>0.66951293327249317</v>
      </c>
      <c r="CR371" s="247">
        <v>463.23500000000001</v>
      </c>
      <c r="CS371" s="247">
        <v>125.102</v>
      </c>
      <c r="CT371" s="190">
        <v>12.744571173363878</v>
      </c>
      <c r="CU371" s="190">
        <v>0.83701847856365852</v>
      </c>
      <c r="CV371" s="190">
        <v>57.639103508802499</v>
      </c>
      <c r="CW371" s="163"/>
      <c r="CX371" s="212">
        <v>6.666666666887977E-5</v>
      </c>
      <c r="CY371" s="212">
        <v>0</v>
      </c>
      <c r="CZ371" s="212">
        <v>0</v>
      </c>
      <c r="DA371" s="212">
        <v>0</v>
      </c>
      <c r="DB371" s="212">
        <v>0</v>
      </c>
      <c r="DC371" s="212">
        <v>-175.05709039157966</v>
      </c>
      <c r="DD371" s="163"/>
      <c r="DE371" s="197">
        <v>218.185</v>
      </c>
      <c r="DF371" s="197">
        <v>127.369</v>
      </c>
      <c r="DG371" s="197">
        <v>30.684000000000001</v>
      </c>
      <c r="DH371" s="191">
        <v>0.58376607007814474</v>
      </c>
      <c r="DI371" s="197">
        <v>171.28800000000001</v>
      </c>
      <c r="DJ371" s="191">
        <v>0.39252927561473067</v>
      </c>
      <c r="DK371" s="197">
        <v>186.52500000000001</v>
      </c>
      <c r="DL371" s="197">
        <v>181.685</v>
      </c>
      <c r="DM371" s="191">
        <v>2.594826430773356E-2</v>
      </c>
      <c r="DN371" s="197">
        <v>172.91499999999999</v>
      </c>
      <c r="DO371" s="197">
        <v>27.056000000000001</v>
      </c>
      <c r="DP371" s="197">
        <v>96.375</v>
      </c>
      <c r="DQ371" s="195">
        <v>123.431</v>
      </c>
      <c r="DR371" s="191">
        <v>0.97629534569287535</v>
      </c>
      <c r="DS371" s="199">
        <v>1.0889554434636401</v>
      </c>
      <c r="DT371" s="200">
        <v>110.813</v>
      </c>
      <c r="DU371" s="202">
        <v>50.395000000000003</v>
      </c>
      <c r="DV371" s="200">
        <v>31.166</v>
      </c>
      <c r="DW371" s="191">
        <v>0.4547751617589994</v>
      </c>
      <c r="DX371" s="197">
        <v>27.809000000000001</v>
      </c>
      <c r="DY371" s="191">
        <v>0.1254771552074215</v>
      </c>
      <c r="DZ371" s="197">
        <v>39.776000000000003</v>
      </c>
      <c r="EA371" s="197">
        <v>38.664999999999999</v>
      </c>
      <c r="EB371" s="191">
        <v>2.7931415929203673E-2</v>
      </c>
      <c r="EC371" s="197">
        <v>36.58</v>
      </c>
      <c r="ED371" s="198">
        <v>22.5</v>
      </c>
      <c r="EE371" s="197">
        <v>31.161000000000001</v>
      </c>
      <c r="EF371" s="205">
        <v>53.661000000000001</v>
      </c>
      <c r="EG371" s="191">
        <v>0.58025231696642088</v>
      </c>
      <c r="EJ371" s="154">
        <v>-9.4712490307100328E-3</v>
      </c>
      <c r="EK371" s="154">
        <v>14.384822674438992</v>
      </c>
      <c r="EL371" s="154">
        <v>-6.5841958883093511E-4</v>
      </c>
      <c r="EM371" s="154">
        <v>-4.7883290172497034E-3</v>
      </c>
      <c r="EN371" s="154">
        <v>-4.8638458499758587E-6</v>
      </c>
      <c r="EO371" s="154">
        <v>-1.4264441893809711E-2</v>
      </c>
    </row>
    <row r="372" spans="1:145" ht="11.25" customHeight="1">
      <c r="A372" s="157">
        <v>45597</v>
      </c>
      <c r="B372" s="247">
        <v>6301.2250000000004</v>
      </c>
      <c r="C372" s="247">
        <v>210.04083333333335</v>
      </c>
      <c r="D372" s="247">
        <v>16.855833333333351</v>
      </c>
      <c r="E372" s="247">
        <v>8.7252288393681487E-2</v>
      </c>
      <c r="F372" s="247">
        <v>4662.6260000000002</v>
      </c>
      <c r="G372" s="247">
        <v>4588.0280000000002</v>
      </c>
      <c r="H372" s="247">
        <v>74.594999999999999</v>
      </c>
      <c r="I372" s="247">
        <v>463.01900000000001</v>
      </c>
      <c r="J372" s="190">
        <v>44.397329090772033</v>
      </c>
      <c r="K372" s="190">
        <v>47.369941558982582</v>
      </c>
      <c r="L372" s="190">
        <v>55.395941558982592</v>
      </c>
      <c r="M372" s="247">
        <v>312.185</v>
      </c>
      <c r="N372" s="247">
        <v>50.741999999999997</v>
      </c>
      <c r="O372" s="247">
        <v>2489.9409999999998</v>
      </c>
      <c r="P372" s="247">
        <v>1147.492</v>
      </c>
      <c r="Q372" s="247">
        <v>701.41600000000005</v>
      </c>
      <c r="R372" s="247">
        <v>189.874</v>
      </c>
      <c r="S372" s="247">
        <v>256.202</v>
      </c>
      <c r="T372" s="247">
        <v>465.274</v>
      </c>
      <c r="U372" s="247">
        <v>528.46100000000001</v>
      </c>
      <c r="V372" s="199">
        <v>0.48737301773947372</v>
      </c>
      <c r="W372" s="190">
        <v>11.854556852040673</v>
      </c>
      <c r="X372" s="190">
        <v>-107.51644314795942</v>
      </c>
      <c r="Y372" s="247">
        <v>59.224498411023255</v>
      </c>
      <c r="Z372" s="247">
        <v>1822.2090000000001</v>
      </c>
      <c r="AA372" s="247">
        <v>1782.0540000000001</v>
      </c>
      <c r="AB372" s="199">
        <v>2.2036440386366204E-2</v>
      </c>
      <c r="AC372" s="195">
        <v>186.40687134852152</v>
      </c>
      <c r="AD372" s="195">
        <v>1767.165</v>
      </c>
      <c r="AE372" s="195">
        <v>1179.82</v>
      </c>
      <c r="AF372" s="195">
        <v>587.34500000000003</v>
      </c>
      <c r="AG372" s="191">
        <v>-8.3549656744409395E-3</v>
      </c>
      <c r="AH372" s="247"/>
      <c r="AI372" s="247">
        <v>668.24</v>
      </c>
      <c r="AJ372" s="247">
        <v>22.274666666666668</v>
      </c>
      <c r="AK372" s="247">
        <v>494.06400000000002</v>
      </c>
      <c r="AL372" s="247">
        <v>73.876999999999995</v>
      </c>
      <c r="AM372" s="190">
        <v>44.361067879803663</v>
      </c>
      <c r="AN372" s="190">
        <v>-3.6261210968369539E-2</v>
      </c>
      <c r="AO372" s="247">
        <v>264.98399999999998</v>
      </c>
      <c r="AP372" s="247">
        <v>91.668000000000006</v>
      </c>
      <c r="AQ372" s="190">
        <v>11.896204956303123</v>
      </c>
      <c r="AR372" s="190">
        <v>4.1648104262449692E-2</v>
      </c>
      <c r="AS372" s="190">
        <v>56.257272836106786</v>
      </c>
      <c r="AT372" s="247">
        <v>1278.085</v>
      </c>
      <c r="AU372" s="247">
        <v>42.602833333333336</v>
      </c>
      <c r="AV372" s="247">
        <v>950.24</v>
      </c>
      <c r="AW372" s="247">
        <v>64.042000000000002</v>
      </c>
      <c r="AX372" s="190">
        <v>44.609239604564635</v>
      </c>
      <c r="AY372" s="190">
        <v>0.21191051379260273</v>
      </c>
      <c r="AZ372" s="247">
        <v>502.48200000000003</v>
      </c>
      <c r="BA372" s="247">
        <v>103.84699999999999</v>
      </c>
      <c r="BB372" s="190">
        <v>11.794567653951027</v>
      </c>
      <c r="BC372" s="190">
        <v>-5.9989198089645868E-2</v>
      </c>
      <c r="BD372" s="190">
        <v>56.403807258515663</v>
      </c>
      <c r="BE372" s="247">
        <v>1405.2840000000001</v>
      </c>
      <c r="BF372" s="247">
        <v>46.842800000000004</v>
      </c>
      <c r="BG372" s="247">
        <v>1029.9680000000001</v>
      </c>
      <c r="BH372" s="247">
        <v>114.245</v>
      </c>
      <c r="BI372" s="190">
        <v>43.975509576711893</v>
      </c>
      <c r="BJ372" s="190">
        <v>-0.42181951406013951</v>
      </c>
      <c r="BK372" s="247">
        <v>553.73400000000004</v>
      </c>
      <c r="BL372" s="247">
        <v>222.999</v>
      </c>
      <c r="BM372" s="190">
        <v>11.821112316086998</v>
      </c>
      <c r="BN372" s="190">
        <v>-3.3444535953675469E-2</v>
      </c>
      <c r="BO372" s="190">
        <v>55.796621892798889</v>
      </c>
      <c r="BP372" s="247">
        <v>1179.4269999999999</v>
      </c>
      <c r="BQ372" s="247">
        <v>39.314233333333327</v>
      </c>
      <c r="BR372" s="247">
        <v>886.87400000000002</v>
      </c>
      <c r="BS372" s="247">
        <v>88.787000000000006</v>
      </c>
      <c r="BT372" s="190">
        <v>45.117196740451092</v>
      </c>
      <c r="BU372" s="190">
        <v>0.7198676496790597</v>
      </c>
      <c r="BV372" s="247">
        <v>466.00299999999999</v>
      </c>
      <c r="BW372" s="247">
        <v>111.221</v>
      </c>
      <c r="BX372" s="190">
        <v>11.853289775458762</v>
      </c>
      <c r="BY372" s="190">
        <v>-1.267076581910942E-3</v>
      </c>
      <c r="BZ372" s="190">
        <v>56.970486515909855</v>
      </c>
      <c r="CA372" s="247">
        <v>672.447</v>
      </c>
      <c r="CB372" s="247">
        <v>22.414899999999999</v>
      </c>
      <c r="CC372" s="247">
        <v>481.54199999999997</v>
      </c>
      <c r="CD372" s="247">
        <v>47.241999999999997</v>
      </c>
      <c r="CE372" s="190">
        <v>42.966241205626616</v>
      </c>
      <c r="CF372" s="190">
        <v>-1.4310878851454163</v>
      </c>
      <c r="CG372" s="247">
        <v>258.95100000000002</v>
      </c>
      <c r="CH372" s="247">
        <v>57.095999999999997</v>
      </c>
      <c r="CI372" s="190">
        <v>11.552627939450991</v>
      </c>
      <c r="CJ372" s="190">
        <v>-0.30192891258968224</v>
      </c>
      <c r="CK372" s="190">
        <v>54.518869145077609</v>
      </c>
      <c r="CL372" s="247">
        <v>1097.742</v>
      </c>
      <c r="CM372" s="247">
        <v>36.5914</v>
      </c>
      <c r="CN372" s="247">
        <v>819.93799999999999</v>
      </c>
      <c r="CO372" s="247">
        <v>74.825999999999993</v>
      </c>
      <c r="CP372" s="190">
        <v>44.81588569991856</v>
      </c>
      <c r="CQ372" s="190">
        <v>0.41855660914652759</v>
      </c>
      <c r="CR372" s="247">
        <v>443.78699999999998</v>
      </c>
      <c r="CS372" s="247">
        <v>114.58499999999999</v>
      </c>
      <c r="CT372" s="190">
        <v>12.128177659231403</v>
      </c>
      <c r="CU372" s="190">
        <v>0.27362080719072956</v>
      </c>
      <c r="CV372" s="190">
        <v>56.944063359149965</v>
      </c>
      <c r="CW372" s="163"/>
      <c r="CX372" s="212">
        <v>0</v>
      </c>
      <c r="CY372" s="212">
        <v>0</v>
      </c>
      <c r="CZ372" s="212">
        <v>0</v>
      </c>
      <c r="DA372" s="212">
        <v>0</v>
      </c>
      <c r="DB372" s="212">
        <v>0</v>
      </c>
      <c r="DC372" s="212">
        <v>0</v>
      </c>
      <c r="DD372" s="163"/>
      <c r="DE372" s="197">
        <v>211.01300000000001</v>
      </c>
      <c r="DF372" s="197">
        <v>124.015</v>
      </c>
      <c r="DG372" s="197">
        <v>41.133000000000003</v>
      </c>
      <c r="DH372" s="191">
        <v>0.58771260538450232</v>
      </c>
      <c r="DI372" s="197">
        <v>167.654</v>
      </c>
      <c r="DJ372" s="191">
        <v>0.39725988446209476</v>
      </c>
      <c r="DK372" s="197">
        <v>174.47399999999999</v>
      </c>
      <c r="DL372" s="197">
        <v>169.374</v>
      </c>
      <c r="DM372" s="191">
        <v>2.9230716324495365E-2</v>
      </c>
      <c r="DN372" s="197">
        <v>178.899</v>
      </c>
      <c r="DO372" s="197">
        <v>39.905000000000001</v>
      </c>
      <c r="DP372" s="197">
        <v>94.981999999999999</v>
      </c>
      <c r="DQ372" s="195">
        <v>134.887</v>
      </c>
      <c r="DR372" s="191">
        <v>0.98497248984659702</v>
      </c>
      <c r="DS372" s="199">
        <v>1.040679017500328</v>
      </c>
      <c r="DT372" s="200">
        <v>126.075</v>
      </c>
      <c r="DU372" s="202">
        <v>61.73</v>
      </c>
      <c r="DV372" s="200">
        <v>44.359000000000002</v>
      </c>
      <c r="DW372" s="191">
        <v>0.48962918897481655</v>
      </c>
      <c r="DX372" s="197">
        <v>29.658999999999999</v>
      </c>
      <c r="DY372" s="191">
        <v>0.1176244299028356</v>
      </c>
      <c r="DZ372" s="197">
        <v>42.228999999999999</v>
      </c>
      <c r="EA372" s="197">
        <v>41.006999999999998</v>
      </c>
      <c r="EB372" s="191">
        <v>2.8937460039309526E-2</v>
      </c>
      <c r="EC372" s="197">
        <v>35.627000000000002</v>
      </c>
      <c r="ED372" s="198">
        <v>22.5</v>
      </c>
      <c r="EE372" s="197">
        <v>36.366</v>
      </c>
      <c r="EF372" s="205">
        <v>58.866</v>
      </c>
      <c r="EG372" s="191">
        <v>0.60725361887765217</v>
      </c>
      <c r="EJ372" s="154">
        <v>-9.2129233648412558E-3</v>
      </c>
      <c r="EK372" s="154">
        <v>13.774645865351918</v>
      </c>
      <c r="EL372" s="154">
        <v>-6.6883195799719258E-4</v>
      </c>
      <c r="EM372" s="154">
        <v>-4.6277825295523833E-3</v>
      </c>
      <c r="EN372" s="154">
        <v>-5.5299690769129546E-6</v>
      </c>
      <c r="EO372" s="154">
        <v>-1.3846235863470552E-2</v>
      </c>
    </row>
    <row r="373" spans="1:145" ht="11.25" customHeight="1">
      <c r="A373" s="157">
        <v>45627</v>
      </c>
      <c r="B373" s="247">
        <v>6531.0429999999997</v>
      </c>
      <c r="C373" s="247">
        <v>217.70143333333331</v>
      </c>
      <c r="D373" s="247">
        <v>11.097433333333299</v>
      </c>
      <c r="E373" s="247">
        <v>5.3713545397636508E-2</v>
      </c>
      <c r="F373" s="247">
        <v>4826.2610000000004</v>
      </c>
      <c r="G373" s="247">
        <v>4744.3220000000001</v>
      </c>
      <c r="H373" s="247">
        <v>81.938999999999993</v>
      </c>
      <c r="I373" s="247">
        <v>414.19200000000001</v>
      </c>
      <c r="J373" s="190">
        <v>44.338348407750502</v>
      </c>
      <c r="K373" s="190">
        <v>47.424069937986943</v>
      </c>
      <c r="L373" s="190">
        <v>41.570769937986945</v>
      </c>
      <c r="M373" s="247">
        <v>335.88299999999998</v>
      </c>
      <c r="N373" s="247">
        <v>41.143000000000001</v>
      </c>
      <c r="O373" s="247">
        <v>2572.6219999999998</v>
      </c>
      <c r="P373" s="247">
        <v>1194.933</v>
      </c>
      <c r="Q373" s="247">
        <v>651.97900000000004</v>
      </c>
      <c r="R373" s="247">
        <v>258.50799999999998</v>
      </c>
      <c r="S373" s="247">
        <v>284.44600000000003</v>
      </c>
      <c r="T373" s="247">
        <v>501.38600000000002</v>
      </c>
      <c r="U373" s="247">
        <v>460.17699999999991</v>
      </c>
      <c r="V373" s="199">
        <v>0.37226871993670629</v>
      </c>
      <c r="W373" s="190">
        <v>11.817202857185292</v>
      </c>
      <c r="X373" s="190">
        <v>-93.405797142814663</v>
      </c>
      <c r="Y373" s="247">
        <v>59.241272795172236</v>
      </c>
      <c r="Z373" s="247">
        <v>1969.6120000000001</v>
      </c>
      <c r="AA373" s="247">
        <v>1917.7349999999999</v>
      </c>
      <c r="AB373" s="199">
        <v>2.633869005672192E-2</v>
      </c>
      <c r="AC373" s="195">
        <v>200.96940761115718</v>
      </c>
      <c r="AD373" s="195">
        <v>1904.7639999999999</v>
      </c>
      <c r="AE373" s="195">
        <v>1225.68</v>
      </c>
      <c r="AF373" s="195">
        <v>679.06600000000003</v>
      </c>
      <c r="AG373" s="191">
        <v>-6.7637082287177464E-3</v>
      </c>
      <c r="AH373" s="247"/>
      <c r="AI373" s="247">
        <v>660.04300000000001</v>
      </c>
      <c r="AJ373" s="247">
        <v>22.001433333333335</v>
      </c>
      <c r="AK373" s="247">
        <v>481.54500000000002</v>
      </c>
      <c r="AL373" s="247">
        <v>56.058</v>
      </c>
      <c r="AM373" s="190">
        <v>43.773966241593349</v>
      </c>
      <c r="AN373" s="190">
        <v>-0.5643821661571522</v>
      </c>
      <c r="AO373" s="247">
        <v>262.928</v>
      </c>
      <c r="AP373" s="247">
        <v>88.064999999999998</v>
      </c>
      <c r="AQ373" s="190">
        <v>11.950494134473056</v>
      </c>
      <c r="AR373" s="190">
        <v>0.13329127728776413</v>
      </c>
      <c r="AS373" s="190">
        <v>55.724460376066403</v>
      </c>
      <c r="AT373" s="247">
        <v>552.17100000000005</v>
      </c>
      <c r="AU373" s="247">
        <v>18.405700000000003</v>
      </c>
      <c r="AV373" s="247">
        <v>1043.739</v>
      </c>
      <c r="AW373" s="247">
        <v>79.686000000000007</v>
      </c>
      <c r="AX373" s="190">
        <v>113.41475738494051</v>
      </c>
      <c r="AY373" s="190">
        <v>69.076408977190013</v>
      </c>
      <c r="AZ373" s="247">
        <v>552.17100000000005</v>
      </c>
      <c r="BA373" s="247">
        <v>95.873999999999995</v>
      </c>
      <c r="BB373" s="190">
        <v>29.999999999999996</v>
      </c>
      <c r="BC373" s="190">
        <v>18.182797142814707</v>
      </c>
      <c r="BD373" s="190">
        <v>143.41475738494051</v>
      </c>
      <c r="BE373" s="247">
        <v>1380.453</v>
      </c>
      <c r="BF373" s="247">
        <v>46.015099999999997</v>
      </c>
      <c r="BG373" s="247">
        <v>1007.686</v>
      </c>
      <c r="BH373" s="247">
        <v>95.61</v>
      </c>
      <c r="BI373" s="190">
        <v>43.798057594137582</v>
      </c>
      <c r="BJ373" s="190">
        <v>-0.54029081361291986</v>
      </c>
      <c r="BK373" s="247">
        <v>536.19100000000003</v>
      </c>
      <c r="BL373" s="247">
        <v>211.29400000000001</v>
      </c>
      <c r="BM373" s="190">
        <v>11.652501026836845</v>
      </c>
      <c r="BN373" s="190">
        <v>-0.16470183034844688</v>
      </c>
      <c r="BO373" s="190">
        <v>55.450558620974427</v>
      </c>
      <c r="BP373" s="247">
        <v>1204.9359999999999</v>
      </c>
      <c r="BQ373" s="247">
        <v>40.164533333333331</v>
      </c>
      <c r="BR373" s="247">
        <v>902.99300000000005</v>
      </c>
      <c r="BS373" s="247">
        <v>86.42</v>
      </c>
      <c r="BT373" s="190">
        <v>44.964695220327059</v>
      </c>
      <c r="BU373" s="190">
        <v>0.626346812576557</v>
      </c>
      <c r="BV373" s="247">
        <v>474.20699999999999</v>
      </c>
      <c r="BW373" s="247">
        <v>118.718</v>
      </c>
      <c r="BX373" s="190">
        <v>11.806610475577127</v>
      </c>
      <c r="BY373" s="190">
        <v>-1.0592381608164558E-2</v>
      </c>
      <c r="BZ373" s="190">
        <v>56.771305695904189</v>
      </c>
      <c r="CA373" s="247">
        <v>667.51</v>
      </c>
      <c r="CB373" s="247">
        <v>22.250333333333334</v>
      </c>
      <c r="CC373" s="247">
        <v>490.33499999999998</v>
      </c>
      <c r="CD373" s="247">
        <v>39.406999999999996</v>
      </c>
      <c r="CE373" s="190">
        <v>44.074395889200161</v>
      </c>
      <c r="CF373" s="190">
        <v>-0.26395251855034019</v>
      </c>
      <c r="CG373" s="247">
        <v>257.61200000000002</v>
      </c>
      <c r="CH373" s="247">
        <v>43.954999999999998</v>
      </c>
      <c r="CI373" s="190">
        <v>11.57789396413537</v>
      </c>
      <c r="CJ373" s="190">
        <v>-0.23930889304992142</v>
      </c>
      <c r="CK373" s="190">
        <v>55.652289853335532</v>
      </c>
      <c r="CL373" s="247">
        <v>1203.202</v>
      </c>
      <c r="CM373" s="247">
        <v>40.106733333333331</v>
      </c>
      <c r="CN373" s="247">
        <v>899.96299999999997</v>
      </c>
      <c r="CO373" s="247">
        <v>57.000999999999998</v>
      </c>
      <c r="CP373" s="190">
        <v>44.878399470745563</v>
      </c>
      <c r="CQ373" s="190">
        <v>0.54005106299506167</v>
      </c>
      <c r="CR373" s="247">
        <v>489.51299999999998</v>
      </c>
      <c r="CS373" s="247">
        <v>94.072999999999993</v>
      </c>
      <c r="CT373" s="190">
        <v>12.205257305090916</v>
      </c>
      <c r="CU373" s="190">
        <v>0.38805444790562404</v>
      </c>
      <c r="CV373" s="190">
        <v>57.083656775836481</v>
      </c>
      <c r="CW373" s="163"/>
      <c r="CX373" s="212">
        <v>28.757600000000004</v>
      </c>
      <c r="CY373" s="212">
        <v>0</v>
      </c>
      <c r="CZ373" s="212">
        <v>9.9999999999695888E-3</v>
      </c>
      <c r="DA373" s="212">
        <v>0</v>
      </c>
      <c r="DB373" s="212">
        <v>0</v>
      </c>
      <c r="DC373" s="212">
        <v>0</v>
      </c>
      <c r="DD373" s="163"/>
      <c r="DE373" s="197">
        <v>225.03899999999999</v>
      </c>
      <c r="DF373" s="197">
        <v>133.066</v>
      </c>
      <c r="DG373" s="197">
        <v>37.511000000000003</v>
      </c>
      <c r="DH373" s="191">
        <v>0.59130195210607939</v>
      </c>
      <c r="DI373" s="197">
        <v>175.47800000000001</v>
      </c>
      <c r="DJ373" s="191">
        <v>0.38988353129901931</v>
      </c>
      <c r="DK373" s="197">
        <v>178.60499999999999</v>
      </c>
      <c r="DL373" s="197">
        <v>173.29300000000001</v>
      </c>
      <c r="DM373" s="191">
        <v>2.9741608577587342E-2</v>
      </c>
      <c r="DN373" s="197">
        <v>178.70400000000001</v>
      </c>
      <c r="DO373" s="197">
        <v>28.161999999999999</v>
      </c>
      <c r="DP373" s="197">
        <v>97.581999999999994</v>
      </c>
      <c r="DQ373" s="195">
        <v>125.744</v>
      </c>
      <c r="DR373" s="191">
        <v>0.9811854834050987</v>
      </c>
      <c r="DS373" s="199">
        <v>1.0178198976509876</v>
      </c>
      <c r="DT373" s="200">
        <v>105.944</v>
      </c>
      <c r="DU373" s="202">
        <v>48.55</v>
      </c>
      <c r="DV373" s="200">
        <v>41.65</v>
      </c>
      <c r="DW373" s="191">
        <v>0.45826096805859695</v>
      </c>
      <c r="DX373" s="197">
        <v>28.571000000000002</v>
      </c>
      <c r="DY373" s="191">
        <v>0.13484010420599563</v>
      </c>
      <c r="DZ373" s="197">
        <v>31.076000000000001</v>
      </c>
      <c r="EA373" s="197">
        <v>30.306999999999999</v>
      </c>
      <c r="EB373" s="191">
        <v>2.4745784528253378E-2</v>
      </c>
      <c r="EC373" s="197">
        <v>32.417000000000002</v>
      </c>
      <c r="ED373" s="198">
        <v>27.5</v>
      </c>
      <c r="EE373" s="197">
        <v>35.115000000000002</v>
      </c>
      <c r="EF373" s="205">
        <v>62.615000000000002</v>
      </c>
      <c r="EG373" s="191">
        <v>0.59310107226459263</v>
      </c>
    </row>
    <row r="374" spans="1:145" ht="11.25" customHeight="1">
      <c r="A374" s="157">
        <v>45658</v>
      </c>
      <c r="B374" s="247">
        <v>6376.6350000000002</v>
      </c>
      <c r="C374" s="247">
        <v>212.55450000000002</v>
      </c>
      <c r="D374" s="247">
        <v>12.171500000000009</v>
      </c>
      <c r="E374" s="247">
        <v>6.0741180639076298E-2</v>
      </c>
      <c r="F374" s="247">
        <v>4712.3649999999998</v>
      </c>
      <c r="G374" s="247">
        <v>4634.4219999999996</v>
      </c>
      <c r="H374" s="247">
        <v>77.942999999999998</v>
      </c>
      <c r="I374" s="247">
        <v>426.33</v>
      </c>
      <c r="J374" s="190">
        <v>44.340298605769341</v>
      </c>
      <c r="K374" s="190">
        <v>47.47971931904523</v>
      </c>
      <c r="L374" s="190">
        <v>41.556332222271038</v>
      </c>
      <c r="M374" s="247">
        <v>333.649</v>
      </c>
      <c r="N374" s="247">
        <v>35.651000000000003</v>
      </c>
      <c r="O374" s="247">
        <v>2526.6570000000002</v>
      </c>
      <c r="P374" s="247">
        <v>1611.741</v>
      </c>
      <c r="Q374" s="247">
        <v>1053.5989999999999</v>
      </c>
      <c r="R374" s="247">
        <v>332.03399999999999</v>
      </c>
      <c r="S374" s="247">
        <v>226.108</v>
      </c>
      <c r="T374" s="247">
        <v>478.48700000000002</v>
      </c>
      <c r="U374" s="247">
        <v>815.92000000000007</v>
      </c>
      <c r="V374" s="199">
        <v>0.64028476632023024</v>
      </c>
      <c r="W374" s="190">
        <v>11.887101896219557</v>
      </c>
      <c r="X374" s="190">
        <v>11.887101896219557</v>
      </c>
      <c r="Y374" s="247">
        <v>59.366821215264785</v>
      </c>
      <c r="Z374" s="247">
        <v>1766.3440000000001</v>
      </c>
      <c r="AA374" s="247">
        <v>1717.6210000000001</v>
      </c>
      <c r="AB374" s="199">
        <v>2.7584094604448484E-2</v>
      </c>
      <c r="AC374" s="195">
        <v>178.09</v>
      </c>
      <c r="AD374" s="195">
        <v>1753.5150000000001</v>
      </c>
      <c r="AE374" s="195">
        <v>1208.9780000000001</v>
      </c>
      <c r="AF374" s="195">
        <v>544.53700000000003</v>
      </c>
      <c r="AG374" s="191">
        <v>2.0897508821794863E-2</v>
      </c>
      <c r="AH374" s="247"/>
      <c r="AI374" s="247">
        <v>582.101</v>
      </c>
      <c r="AJ374" s="247">
        <v>19.403366666666667</v>
      </c>
      <c r="AK374" s="247">
        <v>422.31400000000002</v>
      </c>
      <c r="AL374" s="247">
        <v>84.135000000000005</v>
      </c>
      <c r="AM374" s="190">
        <v>43.529971602866169</v>
      </c>
      <c r="AN374" s="190">
        <v>-0.81032700290317194</v>
      </c>
      <c r="AO374" s="247">
        <v>239.285</v>
      </c>
      <c r="AP374" s="247">
        <v>115.75700000000001</v>
      </c>
      <c r="AQ374" s="190">
        <v>12.332138237178771</v>
      </c>
      <c r="AR374" s="190">
        <v>0.44503634095921463</v>
      </c>
      <c r="AS374" s="190">
        <v>55.862109840044937</v>
      </c>
      <c r="AT374" s="247">
        <v>1397.9680000000001</v>
      </c>
      <c r="AU374" s="247">
        <v>46.598933333333335</v>
      </c>
      <c r="AV374" s="247">
        <v>1042.7539999999999</v>
      </c>
      <c r="AW374" s="247">
        <v>75.043000000000006</v>
      </c>
      <c r="AX374" s="190">
        <v>44.754414979455888</v>
      </c>
      <c r="AY374" s="190">
        <v>0.41411637368654652</v>
      </c>
      <c r="AZ374" s="247">
        <v>553.33500000000004</v>
      </c>
      <c r="BA374" s="247">
        <v>217.83099999999999</v>
      </c>
      <c r="BB374" s="190">
        <v>11.874413434356152</v>
      </c>
      <c r="BC374" s="190">
        <v>-1.2688461863405109E-2</v>
      </c>
      <c r="BD374" s="190">
        <v>56.628828413812037</v>
      </c>
      <c r="BE374" s="247">
        <v>1412.991</v>
      </c>
      <c r="BF374" s="247">
        <v>47.099699999999999</v>
      </c>
      <c r="BG374" s="247">
        <v>1032.9649999999999</v>
      </c>
      <c r="BH374" s="247">
        <v>112.053</v>
      </c>
      <c r="BI374" s="190">
        <v>43.862912077996249</v>
      </c>
      <c r="BJ374" s="190">
        <v>-0.47738652777309198</v>
      </c>
      <c r="BK374" s="247">
        <v>560</v>
      </c>
      <c r="BL374" s="247">
        <v>352.59800000000001</v>
      </c>
      <c r="BM374" s="190">
        <v>11.889672333369427</v>
      </c>
      <c r="BN374" s="190">
        <v>2.5704371498704859E-3</v>
      </c>
      <c r="BO374" s="190">
        <v>55.752584411365675</v>
      </c>
      <c r="BP374" s="247">
        <v>1223.4949999999999</v>
      </c>
      <c r="BQ374" s="247">
        <v>40.783166666666666</v>
      </c>
      <c r="BR374" s="247">
        <v>918.24800000000005</v>
      </c>
      <c r="BS374" s="247">
        <v>78.84</v>
      </c>
      <c r="BT374" s="190">
        <v>45.030735720211368</v>
      </c>
      <c r="BU374" s="190">
        <v>0.69043711444202671</v>
      </c>
      <c r="BV374" s="247">
        <v>482.44499999999999</v>
      </c>
      <c r="BW374" s="247">
        <v>155.36500000000001</v>
      </c>
      <c r="BX374" s="190">
        <v>11.829512993514481</v>
      </c>
      <c r="BY374" s="190">
        <v>-5.7588902705075995E-2</v>
      </c>
      <c r="BZ374" s="190">
        <v>56.860248713725852</v>
      </c>
      <c r="CA374" s="247">
        <v>651.976</v>
      </c>
      <c r="CB374" s="247">
        <v>21.732533333333333</v>
      </c>
      <c r="CC374" s="247">
        <v>466.04399999999998</v>
      </c>
      <c r="CD374" s="247">
        <v>29.308999999999997</v>
      </c>
      <c r="CE374" s="190">
        <v>42.889063401106789</v>
      </c>
      <c r="CF374" s="190">
        <v>-1.4512352046625523</v>
      </c>
      <c r="CG374" s="247">
        <v>251.57499999999999</v>
      </c>
      <c r="CH374" s="247">
        <v>118.08499999999999</v>
      </c>
      <c r="CI374" s="190">
        <v>11.57596291888045</v>
      </c>
      <c r="CJ374" s="190">
        <v>-0.31113897733910711</v>
      </c>
      <c r="CK374" s="190">
        <v>54.465026319987238</v>
      </c>
      <c r="CL374" s="247">
        <v>1108.104</v>
      </c>
      <c r="CM374" s="247">
        <v>36.936799999999998</v>
      </c>
      <c r="CN374" s="247">
        <v>830.04</v>
      </c>
      <c r="CO374" s="247">
        <v>46.95</v>
      </c>
      <c r="CP374" s="190">
        <v>44.943795889194519</v>
      </c>
      <c r="CQ374" s="190">
        <v>0.6034972834251775</v>
      </c>
      <c r="CR374" s="247">
        <v>440.017</v>
      </c>
      <c r="CS374" s="247">
        <v>93.962999999999994</v>
      </c>
      <c r="CT374" s="190">
        <v>11.912699530008014</v>
      </c>
      <c r="CU374" s="190">
        <v>2.5597633788457586E-2</v>
      </c>
      <c r="CV374" s="190">
        <v>56.856495419202531</v>
      </c>
      <c r="CW374" s="163"/>
      <c r="CX374" s="212">
        <v>0</v>
      </c>
      <c r="CY374" s="212">
        <v>0</v>
      </c>
      <c r="CZ374" s="212">
        <v>0</v>
      </c>
      <c r="DA374" s="212">
        <v>0</v>
      </c>
      <c r="DB374" s="212">
        <v>-1.5631940186722204E-13</v>
      </c>
      <c r="DC374" s="212">
        <v>0</v>
      </c>
      <c r="DD374" s="163"/>
      <c r="DE374" s="197">
        <v>205.923</v>
      </c>
      <c r="DF374" s="197">
        <v>124.14400000000001</v>
      </c>
      <c r="DG374" s="197">
        <v>33.527000000000001</v>
      </c>
      <c r="DH374" s="191">
        <v>0.60286611986033611</v>
      </c>
      <c r="DI374" s="197">
        <v>162.04500000000002</v>
      </c>
      <c r="DJ374" s="191">
        <v>0.39346017686222523</v>
      </c>
      <c r="DK374" s="197">
        <v>162.04500000000002</v>
      </c>
      <c r="DL374" s="197">
        <v>156.98099999999999</v>
      </c>
      <c r="DM374" s="191">
        <v>3.1250578542997398E-2</v>
      </c>
      <c r="DN374" s="197">
        <v>159.65100000000001</v>
      </c>
      <c r="DO374" s="197">
        <v>34.773000000000003</v>
      </c>
      <c r="DP374" s="197">
        <v>112.83699999999999</v>
      </c>
      <c r="DQ374" s="195">
        <v>147.60999999999999</v>
      </c>
      <c r="DR374" s="191">
        <v>0.99632629672256134</v>
      </c>
      <c r="DS374" s="199">
        <v>1</v>
      </c>
      <c r="DT374" s="200">
        <v>116.06300000000002</v>
      </c>
      <c r="DU374" s="202">
        <v>52.166999999999994</v>
      </c>
      <c r="DV374" s="200">
        <v>34.978999999999999</v>
      </c>
      <c r="DW374" s="191">
        <v>0.44947140776991795</v>
      </c>
      <c r="DX374" s="197">
        <v>30.431000000000001</v>
      </c>
      <c r="DY374" s="191">
        <v>0.13109690426750986</v>
      </c>
      <c r="DZ374" s="197">
        <v>34.765000000000001</v>
      </c>
      <c r="EA374" s="197">
        <v>33.798999999999999</v>
      </c>
      <c r="EB374" s="191">
        <v>2.7786566949518199E-2</v>
      </c>
      <c r="EC374" s="197">
        <v>35.513999999999996</v>
      </c>
      <c r="ED374" s="198">
        <v>25</v>
      </c>
      <c r="EE374" s="197">
        <v>35.230000000000004</v>
      </c>
      <c r="EF374" s="205">
        <v>60.230000000000004</v>
      </c>
      <c r="EG374" s="191">
        <v>0.58056831203742787</v>
      </c>
    </row>
    <row r="375" spans="1:145">
      <c r="A375" s="157">
        <v>45689</v>
      </c>
      <c r="B375" s="186">
        <v>5687.3040000000001</v>
      </c>
      <c r="C375" s="187">
        <v>189.57679999999999</v>
      </c>
      <c r="D375" s="247">
        <v>11.706799999999987</v>
      </c>
      <c r="E375" s="188">
        <v>6.581660763478947E-2</v>
      </c>
      <c r="F375" s="189">
        <v>4206.7359999999999</v>
      </c>
      <c r="G375" s="189">
        <v>4131.9759999999997</v>
      </c>
      <c r="H375" s="189">
        <v>74.760000000000005</v>
      </c>
      <c r="I375" s="189">
        <v>435.851</v>
      </c>
      <c r="J375" s="190">
        <v>44.38028281941672</v>
      </c>
      <c r="K375" s="190">
        <v>47.521795915955956</v>
      </c>
      <c r="L375" s="190">
        <v>-8.2040840440456009E-3</v>
      </c>
      <c r="M375" s="189">
        <v>297.779</v>
      </c>
      <c r="N375" s="189">
        <v>35.880000000000003</v>
      </c>
      <c r="O375" s="189">
        <v>2245.19</v>
      </c>
      <c r="P375" s="189">
        <v>1476.9169999999999</v>
      </c>
      <c r="Q375" s="189">
        <v>833.30399999999997</v>
      </c>
      <c r="R375" s="211">
        <v>347.86900000000003</v>
      </c>
      <c r="S375" s="211">
        <v>295.74400000000003</v>
      </c>
      <c r="T375" s="189">
        <v>446.69900000000001</v>
      </c>
      <c r="U375" s="189">
        <v>425.59899999999993</v>
      </c>
      <c r="V375" s="191">
        <v>0.28410825778345639</v>
      </c>
      <c r="W375" s="190">
        <v>11.843168573369738</v>
      </c>
      <c r="X375" s="190">
        <v>-7.6831426630262101E-2</v>
      </c>
      <c r="Y375" s="190">
        <v>59.364964489325693</v>
      </c>
      <c r="Z375" s="211">
        <v>1657.5160000000001</v>
      </c>
      <c r="AA375" s="211">
        <v>1612.586</v>
      </c>
      <c r="AB375" s="191">
        <v>2.7106827324743812E-2</v>
      </c>
      <c r="AC375" s="211">
        <v>173.505</v>
      </c>
      <c r="AD375" s="211">
        <v>1635.5219999999999</v>
      </c>
      <c r="AE375" s="211">
        <v>1083.1890000000001</v>
      </c>
      <c r="AF375" s="211">
        <v>552.33299999999997</v>
      </c>
      <c r="AG375" s="191">
        <v>1.4223117402730745E-2</v>
      </c>
      <c r="AI375" s="211">
        <v>512.11400000000003</v>
      </c>
      <c r="AJ375" s="247">
        <v>17.070466666666668</v>
      </c>
      <c r="AK375" s="211">
        <v>368.75</v>
      </c>
      <c r="AL375" s="211">
        <v>78.953000000000003</v>
      </c>
      <c r="AM375" s="190">
        <v>43.20327114665875</v>
      </c>
      <c r="AN375" s="190">
        <v>-1.1770116727579705</v>
      </c>
      <c r="AO375" s="211">
        <v>205.197</v>
      </c>
      <c r="AP375" s="211">
        <v>122.93300000000001</v>
      </c>
      <c r="AQ375" s="190">
        <v>12.020585260313133</v>
      </c>
      <c r="AR375" s="190">
        <v>0.17741668694339552</v>
      </c>
      <c r="AS375" s="190">
        <v>55.223856406971883</v>
      </c>
      <c r="AT375" s="211">
        <v>1291.777</v>
      </c>
      <c r="AU375" s="247">
        <v>43.059233333333331</v>
      </c>
      <c r="AV375" s="211">
        <v>966.56299999999999</v>
      </c>
      <c r="AW375" s="211">
        <v>65.789000000000001</v>
      </c>
      <c r="AX375" s="190">
        <v>44.894575456909358</v>
      </c>
      <c r="AY375" s="190">
        <v>0.51429263749263754</v>
      </c>
      <c r="AZ375" s="249">
        <v>516.39400000000001</v>
      </c>
      <c r="BA375" s="211">
        <v>126.245</v>
      </c>
      <c r="BB375" s="190">
        <v>11.992642692972549</v>
      </c>
      <c r="BC375" s="190">
        <v>0.14947411960281087</v>
      </c>
      <c r="BD375" s="247">
        <v>56.887218149881903</v>
      </c>
      <c r="BE375" s="211">
        <v>1272.385</v>
      </c>
      <c r="BF375" s="247">
        <v>42.412833333333332</v>
      </c>
      <c r="BG375" s="211">
        <v>934.18899999999996</v>
      </c>
      <c r="BH375" s="211">
        <v>114.764</v>
      </c>
      <c r="BI375" s="190">
        <v>44.05218546273337</v>
      </c>
      <c r="BJ375" s="190">
        <v>-0.32809735668335094</v>
      </c>
      <c r="BK375" s="211">
        <v>493.81599999999997</v>
      </c>
      <c r="BL375" s="211">
        <v>221.495</v>
      </c>
      <c r="BM375" s="190">
        <v>11.643079728226912</v>
      </c>
      <c r="BN375" s="190">
        <v>-0.20008884514282599</v>
      </c>
      <c r="BO375" s="247">
        <v>55.695265190960285</v>
      </c>
      <c r="BP375" s="211">
        <v>1066.893</v>
      </c>
      <c r="BQ375" s="247">
        <v>35.563099999999999</v>
      </c>
      <c r="BR375" s="211">
        <v>799.46</v>
      </c>
      <c r="BS375" s="211">
        <v>84.882999999999996</v>
      </c>
      <c r="BT375" s="190">
        <v>44.960085031957284</v>
      </c>
      <c r="BU375" s="190">
        <v>0.57980221254056374</v>
      </c>
      <c r="BV375" s="211">
        <v>416.48599999999999</v>
      </c>
      <c r="BW375" s="211">
        <v>184.92099999999999</v>
      </c>
      <c r="BX375" s="190">
        <v>11.711183783191004</v>
      </c>
      <c r="BY375" s="190">
        <v>-0.1319847901787341</v>
      </c>
      <c r="BZ375" s="194">
        <v>56.671268815148288</v>
      </c>
      <c r="CA375" s="211">
        <v>541.40200000000004</v>
      </c>
      <c r="CB375" s="247">
        <v>18.046733333333336</v>
      </c>
      <c r="CC375" s="211">
        <v>391.37099999999998</v>
      </c>
      <c r="CD375" s="211">
        <v>45.158999999999999</v>
      </c>
      <c r="CE375" s="190">
        <v>43.37305735848777</v>
      </c>
      <c r="CF375" s="190">
        <v>-1.0072254609289502</v>
      </c>
      <c r="CG375" s="211">
        <v>209.16499999999999</v>
      </c>
      <c r="CH375" s="211">
        <v>45.59</v>
      </c>
      <c r="CI375" s="190">
        <v>11.590186220220833</v>
      </c>
      <c r="CJ375" s="190">
        <v>-0.25298235314890505</v>
      </c>
      <c r="CK375" s="194">
        <v>54.9632435787086</v>
      </c>
      <c r="CL375" s="211">
        <v>1002.7329999999999</v>
      </c>
      <c r="CM375" s="247">
        <v>33.424433333333333</v>
      </c>
      <c r="CN375" s="211">
        <v>746.40300000000002</v>
      </c>
      <c r="CO375" s="211">
        <v>46.302999999999997</v>
      </c>
      <c r="CP375" s="190">
        <v>44.662118430329912</v>
      </c>
      <c r="CQ375" s="190">
        <v>0.2818356109131912</v>
      </c>
      <c r="CR375" s="211">
        <v>404.13200000000001</v>
      </c>
      <c r="CS375" s="211">
        <v>132.12</v>
      </c>
      <c r="CT375" s="190">
        <v>12.090915527862352</v>
      </c>
      <c r="CU375" s="190">
        <v>0.24774695449261408</v>
      </c>
      <c r="CV375" s="247">
        <v>56.753033958192262</v>
      </c>
      <c r="CW375" s="163"/>
      <c r="CX375" s="238">
        <v>0</v>
      </c>
      <c r="CY375" s="238">
        <v>0</v>
      </c>
      <c r="CZ375" s="238">
        <v>0</v>
      </c>
      <c r="DA375" s="238">
        <v>0</v>
      </c>
      <c r="DB375" s="238">
        <v>0</v>
      </c>
      <c r="DC375" s="238">
        <v>0</v>
      </c>
      <c r="DD375" s="163"/>
      <c r="DE375" s="200">
        <v>170.85599999999999</v>
      </c>
      <c r="DF375" s="200">
        <v>103.32599999999999</v>
      </c>
      <c r="DG375" s="200">
        <v>31.920999999999999</v>
      </c>
      <c r="DH375" s="191">
        <v>0.60475488130355382</v>
      </c>
      <c r="DI375" s="197">
        <v>131.958</v>
      </c>
      <c r="DJ375" s="191">
        <v>0.38616729877791828</v>
      </c>
      <c r="DK375" s="197">
        <v>132.62200000000001</v>
      </c>
      <c r="DL375" s="197">
        <v>129.19499999999999</v>
      </c>
      <c r="DM375" s="191">
        <v>2.5840358311592482E-2</v>
      </c>
      <c r="DN375" s="200">
        <v>140.98500000000001</v>
      </c>
      <c r="DO375" s="200">
        <v>54.387999999999998</v>
      </c>
      <c r="DP375" s="200">
        <v>104.871</v>
      </c>
      <c r="DQ375" s="200">
        <v>159.25899999999999</v>
      </c>
      <c r="DR375" s="191">
        <v>0.99092218008147204</v>
      </c>
      <c r="DS375" s="199">
        <v>1.0050319040906956</v>
      </c>
      <c r="DT375" s="200">
        <v>116.922</v>
      </c>
      <c r="DU375" s="202">
        <v>54.219000000000001</v>
      </c>
      <c r="DV375" s="200">
        <v>45.627000000000002</v>
      </c>
      <c r="DW375" s="191">
        <v>0.46371940267870893</v>
      </c>
      <c r="DX375" s="197">
        <v>29.39</v>
      </c>
      <c r="DY375" s="191">
        <v>0.12568207865072442</v>
      </c>
      <c r="DZ375" s="197">
        <v>32.542999999999999</v>
      </c>
      <c r="EA375" s="197">
        <v>31.785</v>
      </c>
      <c r="EB375" s="191">
        <v>2.3292259472083021E-2</v>
      </c>
      <c r="EC375" s="200">
        <v>32.698</v>
      </c>
      <c r="ED375" s="206">
        <v>27.5</v>
      </c>
      <c r="EE375" s="202">
        <v>36.363999999999997</v>
      </c>
      <c r="EF375" s="205">
        <v>63.863999999999997</v>
      </c>
      <c r="EG375" s="191">
        <v>0.58940148132943337</v>
      </c>
      <c r="EJ375" s="202">
        <v>13.5412</v>
      </c>
      <c r="EK375" s="202">
        <v>13.62248555080185</v>
      </c>
      <c r="EL375" s="203">
        <v>0.99403298682177244</v>
      </c>
      <c r="EM375" s="202">
        <v>6.1019999999999994</v>
      </c>
      <c r="EN375" s="202">
        <v>8.3515714285714287E-3</v>
      </c>
      <c r="EO375" s="202">
        <v>19.651551571428573</v>
      </c>
    </row>
    <row r="376" spans="1:145">
      <c r="A376" s="157">
        <v>45717</v>
      </c>
      <c r="B376" s="186">
        <v>6202.6419999999998</v>
      </c>
      <c r="C376" s="187">
        <v>206.75473333333332</v>
      </c>
      <c r="D376" s="247">
        <v>12.203733333333332</v>
      </c>
      <c r="E376" s="188">
        <v>6.2727682372916815E-2</v>
      </c>
      <c r="F376" s="249">
        <v>4608.7610000000004</v>
      </c>
      <c r="G376" s="249">
        <v>4523.8519999999999</v>
      </c>
      <c r="H376" s="249">
        <v>84.909000000000006</v>
      </c>
      <c r="I376" s="249">
        <v>312.45699999999999</v>
      </c>
      <c r="J376" s="190">
        <v>44.581915254822064</v>
      </c>
      <c r="K376" s="190">
        <v>47.604404703673055</v>
      </c>
      <c r="L376" s="190">
        <v>4.4404703673052381E-2</v>
      </c>
      <c r="M376" s="249">
        <v>312.45699999999999</v>
      </c>
      <c r="N376" s="249">
        <v>35.880000000000003</v>
      </c>
      <c r="O376" s="249">
        <v>2475.2069999999999</v>
      </c>
      <c r="P376" s="249">
        <v>1551.6890000000001</v>
      </c>
      <c r="Q376" s="249">
        <v>831.81399999999996</v>
      </c>
      <c r="R376" s="249">
        <v>365.44900000000001</v>
      </c>
      <c r="S376" s="210">
        <v>576.41332381852772</v>
      </c>
      <c r="T376" s="249">
        <v>527.98</v>
      </c>
      <c r="U376" s="189">
        <v>573.73656905975304</v>
      </c>
      <c r="V376" s="191">
        <v>0.38098427078931674</v>
      </c>
      <c r="W376" s="190">
        <v>11.971706572779793</v>
      </c>
      <c r="X376" s="190">
        <v>-8.8293427220207832E-2</v>
      </c>
      <c r="Y376" s="190">
        <v>59.576111276452849</v>
      </c>
      <c r="Z376" s="249">
        <v>1929.8579999999999</v>
      </c>
      <c r="AA376" s="249">
        <v>1876.913</v>
      </c>
      <c r="AB376" s="191">
        <v>2.7434660995783077E-2</v>
      </c>
      <c r="AC376" s="344">
        <v>185.68805841437438</v>
      </c>
      <c r="AD376" s="249">
        <v>1793.221</v>
      </c>
      <c r="AE376" s="249">
        <v>1211.4860000000001</v>
      </c>
      <c r="AF376" s="249">
        <v>581.73500000000001</v>
      </c>
      <c r="AG376" s="191">
        <v>-4.4590239398416442E-2</v>
      </c>
      <c r="AI376" s="249">
        <v>607.55100000000004</v>
      </c>
      <c r="AJ376" s="247">
        <v>20.251700000000003</v>
      </c>
      <c r="AK376" s="249">
        <v>444.65300000000002</v>
      </c>
      <c r="AL376" s="249">
        <v>47.462000000000003</v>
      </c>
      <c r="AM376" s="190">
        <v>43.912659184167254</v>
      </c>
      <c r="AN376" s="190">
        <v>-0.66925607065481074</v>
      </c>
      <c r="AO376" s="249">
        <v>248.25299999999999</v>
      </c>
      <c r="AP376" s="249">
        <v>129.505</v>
      </c>
      <c r="AQ376" s="190">
        <v>12.258378308981465</v>
      </c>
      <c r="AR376" s="190">
        <v>0.28667173620167219</v>
      </c>
      <c r="AS376" s="190">
        <v>56.171037493148717</v>
      </c>
      <c r="AT376" s="249">
        <v>1408.9259999999999</v>
      </c>
      <c r="AU376" s="247">
        <v>46.964199999999998</v>
      </c>
      <c r="AV376" s="249">
        <v>1060.7059999999999</v>
      </c>
      <c r="AW376" s="249">
        <v>62.676000000000002</v>
      </c>
      <c r="AX376" s="190">
        <v>45.170832250948592</v>
      </c>
      <c r="AY376" s="190">
        <v>0.58891699612652815</v>
      </c>
      <c r="AZ376" s="249">
        <v>567.77300000000002</v>
      </c>
      <c r="BA376" s="249">
        <v>128.85599999999999</v>
      </c>
      <c r="BB376" s="190">
        <v>12.089485182330371</v>
      </c>
      <c r="BC376" s="190">
        <v>0.11777860955057839</v>
      </c>
      <c r="BD376" s="247">
        <v>57.260317433278964</v>
      </c>
      <c r="BE376" s="249">
        <v>1333.008</v>
      </c>
      <c r="BF376" s="247">
        <v>44.433599999999998</v>
      </c>
      <c r="BG376" s="249">
        <v>977.476</v>
      </c>
      <c r="BH376" s="249">
        <v>92.137</v>
      </c>
      <c r="BI376" s="190">
        <v>43.997155305894637</v>
      </c>
      <c r="BJ376" s="190">
        <v>-0.58475994892742733</v>
      </c>
      <c r="BK376" s="249">
        <v>526.29399999999998</v>
      </c>
      <c r="BL376" s="249">
        <v>204.452</v>
      </c>
      <c r="BM376" s="190">
        <v>11.844505059234454</v>
      </c>
      <c r="BN376" s="190">
        <v>-0.12720151354533904</v>
      </c>
      <c r="BO376" s="247">
        <v>55.841660365129087</v>
      </c>
      <c r="BP376" s="249">
        <v>1139.6759999999999</v>
      </c>
      <c r="BQ376" s="247">
        <v>37.989199999999997</v>
      </c>
      <c r="BR376" s="249">
        <v>856.15499999999997</v>
      </c>
      <c r="BS376" s="249">
        <v>76.822000000000003</v>
      </c>
      <c r="BT376" s="190">
        <v>45.073599865224857</v>
      </c>
      <c r="BU376" s="190">
        <v>0.49168461040279254</v>
      </c>
      <c r="BV376" s="249">
        <v>447.61799999999999</v>
      </c>
      <c r="BW376" s="249">
        <v>174.60300000000001</v>
      </c>
      <c r="BX376" s="190">
        <v>11.782769839849221</v>
      </c>
      <c r="BY376" s="190">
        <v>-0.18893673293057134</v>
      </c>
      <c r="BZ376" s="194">
        <v>56.85636970507408</v>
      </c>
      <c r="CA376" s="249">
        <v>602.14700000000005</v>
      </c>
      <c r="CB376" s="247">
        <v>20.071566666666669</v>
      </c>
      <c r="CC376" s="249">
        <v>436.53300000000002</v>
      </c>
      <c r="CD376" s="249">
        <v>32.61</v>
      </c>
      <c r="CE376" s="190">
        <v>43.497650905841923</v>
      </c>
      <c r="CF376" s="190">
        <v>-1.0842643489801418</v>
      </c>
      <c r="CG376" s="249">
        <v>234.042</v>
      </c>
      <c r="CH376" s="249">
        <v>44.435000000000002</v>
      </c>
      <c r="CI376" s="190">
        <v>11.660375290419115</v>
      </c>
      <c r="CJ376" s="190">
        <v>-0.31133128236067797</v>
      </c>
      <c r="CK376" s="194">
        <v>55.158026196261034</v>
      </c>
      <c r="CL376" s="249">
        <v>1111.3340000000001</v>
      </c>
      <c r="CM376" s="247">
        <v>37.044466666666672</v>
      </c>
      <c r="CN376" s="249">
        <v>833.23800000000006</v>
      </c>
      <c r="CO376" s="249">
        <v>65.534999999999997</v>
      </c>
      <c r="CP376" s="190">
        <v>44.985827842934704</v>
      </c>
      <c r="CQ376" s="190">
        <v>0.40391258811263953</v>
      </c>
      <c r="CR376" s="249">
        <v>451.22699999999998</v>
      </c>
      <c r="CS376" s="249">
        <v>149.96299999999999</v>
      </c>
      <c r="CT376" s="190">
        <v>12.180685554477769</v>
      </c>
      <c r="CU376" s="190">
        <v>0.20897898169797635</v>
      </c>
      <c r="CV376" s="247">
        <v>57.166513397412473</v>
      </c>
      <c r="CX376" s="238">
        <v>0</v>
      </c>
      <c r="CY376" s="238">
        <v>0</v>
      </c>
      <c r="CZ376" s="238">
        <v>-64.784999999999982</v>
      </c>
      <c r="DA376" s="238">
        <v>0</v>
      </c>
      <c r="DB376" s="238">
        <v>0</v>
      </c>
      <c r="DC376" s="238">
        <v>-221.98732381852761</v>
      </c>
      <c r="DE376" s="202">
        <v>200.953</v>
      </c>
      <c r="DF376" s="202">
        <v>120.325</v>
      </c>
      <c r="DG376" s="202">
        <v>31.77</v>
      </c>
      <c r="DH376" s="191">
        <v>0.59877185212462614</v>
      </c>
      <c r="DI376" s="154">
        <v>159.84100000000001</v>
      </c>
      <c r="DJ376" s="191">
        <v>0.39770742412404891</v>
      </c>
      <c r="DK376" s="154">
        <v>178.08799999999999</v>
      </c>
      <c r="DL376" s="154">
        <v>172.517</v>
      </c>
      <c r="DM376" s="191">
        <v>3.1282287408472165E-2</v>
      </c>
      <c r="DN376" s="202">
        <v>159.773</v>
      </c>
      <c r="DO376" s="202">
        <v>34.86</v>
      </c>
      <c r="DP376" s="202">
        <v>113.39</v>
      </c>
      <c r="DQ376" s="200">
        <v>148.25</v>
      </c>
      <c r="DR376" s="191">
        <v>0.99647927624867505</v>
      </c>
      <c r="DS376" s="199">
        <v>1.1141571937112504</v>
      </c>
      <c r="EC376" s="202"/>
      <c r="ED376" s="202"/>
      <c r="EE376" s="202"/>
      <c r="EF376" s="347"/>
    </row>
    <row r="377" spans="1:145">
      <c r="A377" s="157">
        <v>45748</v>
      </c>
      <c r="B377" s="186">
        <v>6071.54</v>
      </c>
      <c r="C377" s="187">
        <v>202.38466666666667</v>
      </c>
      <c r="D377" s="247">
        <v>12.158666666666676</v>
      </c>
      <c r="E377" s="188">
        <v>6.3916954920287816E-2</v>
      </c>
      <c r="F377" s="249">
        <v>4508.9380000000001</v>
      </c>
      <c r="G377" s="249">
        <v>4433.335</v>
      </c>
      <c r="H377" s="249">
        <v>75.602999999999994</v>
      </c>
      <c r="I377" s="249">
        <v>390.34300000000002</v>
      </c>
      <c r="J377" s="190">
        <v>44.558098933713687</v>
      </c>
      <c r="K377" s="190">
        <v>47.57120269322116</v>
      </c>
      <c r="L377" s="190">
        <v>47.57120269322116</v>
      </c>
      <c r="M377" s="249">
        <v>304.90300000000002</v>
      </c>
      <c r="N377" s="249">
        <v>38.58</v>
      </c>
      <c r="O377" s="249">
        <v>2402.8789999999999</v>
      </c>
      <c r="P377" s="249">
        <v>1527.39</v>
      </c>
      <c r="Q377" s="249">
        <v>869.56299999999999</v>
      </c>
      <c r="R377" s="249">
        <v>368.63900000000001</v>
      </c>
      <c r="S377" s="249">
        <v>289.18799999999999</v>
      </c>
      <c r="T377" s="249">
        <v>448.45</v>
      </c>
      <c r="U377" s="189">
        <v>545.09235008601013</v>
      </c>
      <c r="V377" s="191">
        <v>0.38098427078931674</v>
      </c>
      <c r="W377" s="190">
        <v>11.872831275096598</v>
      </c>
      <c r="X377" s="190">
        <v>11.872831275096598</v>
      </c>
      <c r="Y377" s="190">
        <v>59.444033968317754</v>
      </c>
      <c r="Z377" s="249">
        <v>1793.5640000000001</v>
      </c>
      <c r="AA377" s="249">
        <v>1745.6289999999999</v>
      </c>
      <c r="AB377" s="191">
        <v>2.6726116269059911E-2</v>
      </c>
      <c r="AC377" s="249">
        <v>260.024</v>
      </c>
      <c r="AD377" s="249">
        <v>1816.163</v>
      </c>
      <c r="AE377" s="249">
        <v>1151.5930000000001</v>
      </c>
      <c r="AF377" s="249">
        <v>664.57</v>
      </c>
      <c r="AG377" s="191">
        <v>4.0406065664582824E-2</v>
      </c>
      <c r="AI377" s="249">
        <v>628.92700000000002</v>
      </c>
      <c r="AJ377" s="247">
        <v>20.964233333333333</v>
      </c>
      <c r="AK377" s="249">
        <v>458.74099999999999</v>
      </c>
      <c r="AL377" s="249">
        <v>30.356999999999999</v>
      </c>
      <c r="AM377" s="190">
        <v>43.764157048433283</v>
      </c>
      <c r="AN377" s="190">
        <v>-0.79394188528040388</v>
      </c>
      <c r="AO377" s="249">
        <v>252.23400000000001</v>
      </c>
      <c r="AP377" s="249">
        <v>91.926000000000002</v>
      </c>
      <c r="AQ377" s="190">
        <v>12.031634832023432</v>
      </c>
      <c r="AR377" s="190">
        <v>0.15880355692683423</v>
      </c>
      <c r="AS377" s="190">
        <v>55.795791880456719</v>
      </c>
      <c r="AT377" s="249">
        <v>1331.35</v>
      </c>
      <c r="AU377" s="247">
        <v>44.37833333333333</v>
      </c>
      <c r="AV377" s="249">
        <v>1004.092</v>
      </c>
      <c r="AW377" s="249">
        <v>56.816000000000003</v>
      </c>
      <c r="AX377" s="190">
        <v>45.251451534157063</v>
      </c>
      <c r="AY377" s="190">
        <v>0.69335260044337588</v>
      </c>
      <c r="AZ377" s="249">
        <v>530.49300000000005</v>
      </c>
      <c r="BA377" s="249">
        <v>114.687</v>
      </c>
      <c r="BB377" s="190">
        <v>11.953873887407521</v>
      </c>
      <c r="BC377" s="190">
        <v>8.1042612310923801E-2</v>
      </c>
      <c r="BD377" s="247">
        <v>57.205325421564581</v>
      </c>
      <c r="BE377" s="249">
        <v>1351.86</v>
      </c>
      <c r="BF377" s="247">
        <v>45.061999999999998</v>
      </c>
      <c r="BG377" s="249">
        <v>993.84400000000005</v>
      </c>
      <c r="BH377" s="249">
        <v>118.495</v>
      </c>
      <c r="BI377" s="190">
        <v>44.110070569437667</v>
      </c>
      <c r="BJ377" s="190">
        <v>-0.44802836427601989</v>
      </c>
      <c r="BK377" s="249">
        <v>536.63199999999995</v>
      </c>
      <c r="BL377" s="249">
        <v>224.26300000000001</v>
      </c>
      <c r="BM377" s="190">
        <v>11.908747947272646</v>
      </c>
      <c r="BN377" s="190">
        <v>3.5916672176048436E-2</v>
      </c>
      <c r="BO377" s="247">
        <v>56.018818516710311</v>
      </c>
      <c r="BP377" s="249">
        <v>1041.654</v>
      </c>
      <c r="BQ377" s="247">
        <v>34.721800000000002</v>
      </c>
      <c r="BR377" s="249">
        <v>778.13800000000003</v>
      </c>
      <c r="BS377" s="249">
        <v>76.466999999999999</v>
      </c>
      <c r="BT377" s="190">
        <v>44.821293826932937</v>
      </c>
      <c r="BU377" s="190">
        <v>0.26319489321925005</v>
      </c>
      <c r="BV377" s="249">
        <v>409.36200000000002</v>
      </c>
      <c r="BW377" s="249">
        <v>228.05500000000001</v>
      </c>
      <c r="BX377" s="190">
        <v>11.789768963590598</v>
      </c>
      <c r="BY377" s="190">
        <v>-8.3062311505999631E-2</v>
      </c>
      <c r="BZ377" s="194">
        <v>56.611062790523533</v>
      </c>
      <c r="CA377" s="249">
        <v>635.74400000000003</v>
      </c>
      <c r="CB377" s="247">
        <v>21.191466666666667</v>
      </c>
      <c r="CC377" s="249">
        <v>468.15100000000001</v>
      </c>
      <c r="CD377" s="249">
        <v>56.496000000000002</v>
      </c>
      <c r="CE377" s="190">
        <v>44.182973020586907</v>
      </c>
      <c r="CF377" s="190">
        <v>-0.37512591312678012</v>
      </c>
      <c r="CG377" s="249">
        <v>245.07400000000001</v>
      </c>
      <c r="CH377" s="249">
        <v>60.808</v>
      </c>
      <c r="CI377" s="190">
        <v>11.564749333064881</v>
      </c>
      <c r="CJ377" s="190">
        <v>-0.30808194203171624</v>
      </c>
      <c r="CK377" s="194">
        <v>55.747722353651788</v>
      </c>
      <c r="CL377" s="249">
        <v>1082.0050000000001</v>
      </c>
      <c r="CM377" s="247">
        <v>36.066833333333335</v>
      </c>
      <c r="CN377" s="249">
        <v>805.97199999999998</v>
      </c>
      <c r="CO377" s="249">
        <v>51.712000000000003</v>
      </c>
      <c r="CP377" s="190">
        <v>44.693250031192086</v>
      </c>
      <c r="CQ377" s="190">
        <v>0.13515109747839915</v>
      </c>
      <c r="CR377" s="249">
        <v>429.084</v>
      </c>
      <c r="CS377" s="249">
        <v>149.82400000000001</v>
      </c>
      <c r="CT377" s="190">
        <v>11.896913600214416</v>
      </c>
      <c r="CU377" s="190">
        <v>2.4082325117818826E-2</v>
      </c>
      <c r="CV377" s="247">
        <v>56.590163631406504</v>
      </c>
      <c r="CX377" s="238">
        <v>0</v>
      </c>
      <c r="CY377" s="238">
        <v>0</v>
      </c>
      <c r="CZ377" s="238">
        <v>0</v>
      </c>
      <c r="DA377" s="238">
        <v>0</v>
      </c>
      <c r="DB377" s="238">
        <v>0</v>
      </c>
      <c r="DC377" s="238">
        <v>0</v>
      </c>
      <c r="DE377" s="202">
        <v>161.02199999999999</v>
      </c>
      <c r="DF377" s="202">
        <v>98.076999999999998</v>
      </c>
      <c r="DG377" s="202">
        <v>31.501999999999999</v>
      </c>
      <c r="DH377" s="191">
        <v>0.60909068326067251</v>
      </c>
      <c r="DI377" s="154">
        <v>128.62899999999999</v>
      </c>
      <c r="DJ377" s="191">
        <v>0.39941436573884315</v>
      </c>
      <c r="DK377" s="154">
        <v>138.79499999999999</v>
      </c>
      <c r="DL377" s="154">
        <v>134.54599999999999</v>
      </c>
      <c r="DM377" s="191">
        <v>3.0613494722432355E-2</v>
      </c>
      <c r="DN377" s="202">
        <v>144.84299999999999</v>
      </c>
      <c r="DO377" s="202">
        <v>28.856000000000002</v>
      </c>
      <c r="DP377" s="202">
        <v>102.425</v>
      </c>
      <c r="DQ377" s="200">
        <v>131.28100000000001</v>
      </c>
      <c r="DR377" s="191">
        <v>1.0085050489995155</v>
      </c>
      <c r="DS377" s="199">
        <v>1.0790334994441377</v>
      </c>
      <c r="EC377" s="202"/>
      <c r="ED377" s="202"/>
      <c r="EE377" s="202"/>
      <c r="EF377" s="347"/>
    </row>
    <row r="378" spans="1:145">
      <c r="A378" s="157">
        <v>45778</v>
      </c>
    </row>
    <row r="379" spans="1:145">
      <c r="A379" s="157">
        <v>45809</v>
      </c>
      <c r="B379" s="186">
        <v>5914.1180000000004</v>
      </c>
      <c r="C379" s="187">
        <v>197.13726666666668</v>
      </c>
      <c r="D379" s="247">
        <v>11.428266666666673</v>
      </c>
      <c r="E379" s="188">
        <v>6.1538571995254365E-2</v>
      </c>
      <c r="F379" s="249">
        <v>4391.8450000000003</v>
      </c>
      <c r="G379" s="249">
        <v>4314.8680000000004</v>
      </c>
      <c r="H379" s="249">
        <v>76.977000000000004</v>
      </c>
      <c r="I379" s="249">
        <v>411.88099999999997</v>
      </c>
      <c r="J379" s="190">
        <v>44.556212777628041</v>
      </c>
      <c r="K379" s="190">
        <v>47.570934499446921</v>
      </c>
      <c r="L379" s="190">
        <v>47.570934499446921</v>
      </c>
      <c r="M379" s="249">
        <v>297.15699999999998</v>
      </c>
      <c r="N379" s="249">
        <v>53.156999999999996</v>
      </c>
      <c r="O379" s="249">
        <v>2351.509</v>
      </c>
      <c r="P379" s="249">
        <v>1443.7460000000001</v>
      </c>
      <c r="Q379" s="249">
        <v>849.67700000000002</v>
      </c>
      <c r="R379" s="249">
        <v>388.44099999999997</v>
      </c>
      <c r="S379" s="249">
        <v>205.62799999999999</v>
      </c>
      <c r="T379" s="249">
        <v>450.82299999999998</v>
      </c>
      <c r="U379" s="189">
        <v>522.67140487595248</v>
      </c>
      <c r="V379" s="191">
        <v>0.38098427078931674</v>
      </c>
      <c r="W379" s="190">
        <v>11.92828245902432</v>
      </c>
      <c r="X379" s="190">
        <v>11.92828245902432</v>
      </c>
      <c r="Y379" s="190">
        <v>59.499216958471237</v>
      </c>
      <c r="Z379" s="249">
        <v>1854.6510000000001</v>
      </c>
      <c r="AA379" s="249">
        <v>1803.1</v>
      </c>
      <c r="AB379" s="191">
        <v>2.7795525950704555E-2</v>
      </c>
      <c r="AC379" s="344">
        <v>200.26658307003711</v>
      </c>
      <c r="AD379" s="249">
        <v>1781.4570000000001</v>
      </c>
      <c r="AE379" s="249">
        <v>1160.316</v>
      </c>
      <c r="AF379" s="249">
        <v>621.14099999999996</v>
      </c>
      <c r="AG379" s="191">
        <v>-1.2003216682380247E-2</v>
      </c>
      <c r="AI379" s="249">
        <v>636.10199999999998</v>
      </c>
      <c r="AJ379" s="247">
        <v>21.203399999999998</v>
      </c>
      <c r="AK379" s="249">
        <v>460.32600000000002</v>
      </c>
      <c r="AL379" s="249">
        <v>57.149000000000001</v>
      </c>
      <c r="AM379" s="190">
        <v>43.420017544356099</v>
      </c>
      <c r="AN379" s="190">
        <v>-1.1361952332719412</v>
      </c>
      <c r="AO379" s="249">
        <v>261.42599999999999</v>
      </c>
      <c r="AP379" s="249">
        <v>130.9</v>
      </c>
      <c r="AQ379" s="190">
        <v>12.329437731684541</v>
      </c>
      <c r="AR379" s="190">
        <v>0.40115527266022077</v>
      </c>
      <c r="AS379" s="190">
        <v>55.749455276040642</v>
      </c>
      <c r="AT379" s="249">
        <v>1264.5650000000001</v>
      </c>
      <c r="AU379" s="247">
        <v>42.152166666666666</v>
      </c>
      <c r="AV379" s="249">
        <v>945.33399999999995</v>
      </c>
      <c r="AW379" s="249">
        <v>75.287000000000006</v>
      </c>
      <c r="AX379" s="190">
        <v>44.853400181089938</v>
      </c>
      <c r="AY379" s="190">
        <v>0.29718740346189776</v>
      </c>
      <c r="AZ379" s="249">
        <v>501.65199999999999</v>
      </c>
      <c r="BA379" s="249">
        <v>105.65900000000001</v>
      </c>
      <c r="BB379" s="190">
        <v>11.900977806597526</v>
      </c>
      <c r="BC379" s="190">
        <v>-2.7304652426794362E-2</v>
      </c>
      <c r="BD379" s="247">
        <v>56.754377987687462</v>
      </c>
      <c r="BE379" s="249">
        <v>1263.143</v>
      </c>
      <c r="BF379" s="247">
        <v>42.10476666666667</v>
      </c>
      <c r="BG379" s="249">
        <v>926.23699999999997</v>
      </c>
      <c r="BH379" s="249">
        <v>103.82299999999999</v>
      </c>
      <c r="BI379" s="190">
        <v>43.99677629532048</v>
      </c>
      <c r="BJ379" s="190">
        <v>-0.55943648230756082</v>
      </c>
      <c r="BK379" s="249">
        <v>498.26499999999999</v>
      </c>
      <c r="BL379" s="249">
        <v>196.185</v>
      </c>
      <c r="BM379" s="190">
        <v>11.833933291796731</v>
      </c>
      <c r="BN379" s="190">
        <v>-9.4349167227589348E-2</v>
      </c>
      <c r="BO379" s="247">
        <v>55.830709587117212</v>
      </c>
      <c r="BP379" s="249">
        <v>1196.451</v>
      </c>
      <c r="BQ379" s="247">
        <v>39.881700000000002</v>
      </c>
      <c r="BR379" s="249">
        <v>897.33600000000001</v>
      </c>
      <c r="BS379" s="249">
        <v>72.772999999999996</v>
      </c>
      <c r="BT379" s="190">
        <v>44.999887166294315</v>
      </c>
      <c r="BU379" s="190">
        <v>0.44367438866627396</v>
      </c>
      <c r="BV379" s="249">
        <v>469.76100000000002</v>
      </c>
      <c r="BW379" s="249">
        <v>228.173</v>
      </c>
      <c r="BX379" s="190">
        <v>11.77886098135235</v>
      </c>
      <c r="BY379" s="190">
        <v>-0.14942147767196978</v>
      </c>
      <c r="BZ379" s="194">
        <v>56.778748147646667</v>
      </c>
      <c r="CA379" s="249">
        <v>484.68900000000002</v>
      </c>
      <c r="CB379" s="247">
        <v>16.156300000000002</v>
      </c>
      <c r="CC379" s="249">
        <v>363.57400000000001</v>
      </c>
      <c r="CD379" s="249">
        <v>47.662999999999997</v>
      </c>
      <c r="CE379" s="190">
        <v>45.007087018686207</v>
      </c>
      <c r="CF379" s="190">
        <v>0.45087424105816609</v>
      </c>
      <c r="CG379" s="249">
        <v>192.27699999999999</v>
      </c>
      <c r="CH379" s="249">
        <v>56.045999999999999</v>
      </c>
      <c r="CI379" s="190">
        <v>11.901054077975772</v>
      </c>
      <c r="CJ379" s="190">
        <v>-2.72283810485483E-2</v>
      </c>
      <c r="CK379" s="194">
        <v>56.908141096661979</v>
      </c>
      <c r="CL379" s="249">
        <v>1069.1679999999999</v>
      </c>
      <c r="CM379" s="247">
        <v>35.638933333333327</v>
      </c>
      <c r="CN379" s="249">
        <v>799.03800000000001</v>
      </c>
      <c r="CO379" s="249">
        <v>55.186</v>
      </c>
      <c r="CP379" s="190">
        <v>44.840735974140649</v>
      </c>
      <c r="CQ379" s="190">
        <v>0.28452319651260893</v>
      </c>
      <c r="CR379" s="249">
        <v>428.12799999999999</v>
      </c>
      <c r="CS379" s="249">
        <v>132.714</v>
      </c>
      <c r="CT379" s="190">
        <v>12.012929679900635</v>
      </c>
      <c r="CU379" s="190">
        <v>8.4647220876314933E-2</v>
      </c>
      <c r="CV379" s="247">
        <v>56.853665654041286</v>
      </c>
      <c r="CX379" s="238">
        <v>0</v>
      </c>
      <c r="CY379" s="238">
        <v>0</v>
      </c>
      <c r="CZ379" s="238">
        <v>0</v>
      </c>
      <c r="DA379" s="238">
        <v>0</v>
      </c>
      <c r="DB379" s="238">
        <v>0</v>
      </c>
      <c r="DC379" s="238">
        <v>0</v>
      </c>
      <c r="DE379" s="202">
        <v>166.48599999999999</v>
      </c>
      <c r="DF379" s="202">
        <v>99.164000000000001</v>
      </c>
      <c r="DG379" s="202">
        <v>33.542999999999999</v>
      </c>
      <c r="DH379" s="191">
        <v>0.59562966255420879</v>
      </c>
      <c r="DI379" s="154">
        <v>131.83799999999999</v>
      </c>
      <c r="DJ379" s="191">
        <v>0.39594320243143566</v>
      </c>
      <c r="DK379" s="154">
        <v>155.12799999999999</v>
      </c>
      <c r="DL379" s="154">
        <v>150.55000000000001</v>
      </c>
      <c r="DM379" s="191">
        <v>2.9511113403124956E-2</v>
      </c>
      <c r="DN379" s="202">
        <v>134.274</v>
      </c>
      <c r="DO379" s="202">
        <v>31.509</v>
      </c>
      <c r="DP379" s="202">
        <v>99.433999999999997</v>
      </c>
      <c r="DQ379" s="200">
        <v>130.94299999999998</v>
      </c>
      <c r="DR379" s="191">
        <v>0.99157286498564445</v>
      </c>
      <c r="DS379" s="199">
        <v>1.1766561992748676</v>
      </c>
      <c r="EC379" s="202"/>
      <c r="ED379" s="202"/>
      <c r="EE379" s="202"/>
      <c r="EF379" s="347"/>
    </row>
    <row r="562" spans="11:11">
      <c r="K562" s="154" t="s">
        <v>438</v>
      </c>
    </row>
    <row r="563" spans="11:11" s="161" customFormat="1"/>
  </sheetData>
  <mergeCells count="5">
    <mergeCell ref="EK3:EK4"/>
    <mergeCell ref="EJ3:EJ4"/>
    <mergeCell ref="EL3:EL4"/>
    <mergeCell ref="EM3:EM4"/>
    <mergeCell ref="EN3:E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JG411"/>
  <sheetViews>
    <sheetView workbookViewId="0">
      <pane xSplit="1" ySplit="1" topLeftCell="B374" activePane="bottomRight" state="frozen"/>
      <selection activeCell="P115" sqref="P115"/>
      <selection pane="topRight" activeCell="P115" sqref="P115"/>
      <selection pane="bottomLeft" activeCell="P115" sqref="P115"/>
      <selection pane="bottomRight" activeCell="D378" sqref="D378"/>
    </sheetView>
  </sheetViews>
  <sheetFormatPr defaultColWidth="9.140625" defaultRowHeight="14.25"/>
  <cols>
    <col min="1" max="1" width="10.140625" style="38" bestFit="1" customWidth="1"/>
    <col min="2" max="16384" width="9.140625" style="38"/>
  </cols>
  <sheetData>
    <row r="1" spans="1:267" ht="141" thickBot="1">
      <c r="A1" s="26" t="s">
        <v>0</v>
      </c>
      <c r="B1" s="27" t="s">
        <v>100</v>
      </c>
      <c r="C1" s="28" t="s">
        <v>101</v>
      </c>
      <c r="D1" s="27" t="s">
        <v>102</v>
      </c>
      <c r="E1" s="27" t="s">
        <v>103</v>
      </c>
      <c r="F1" s="28" t="s">
        <v>104</v>
      </c>
      <c r="G1" s="28" t="s">
        <v>105</v>
      </c>
      <c r="H1" s="28" t="s">
        <v>106</v>
      </c>
      <c r="I1" s="28" t="s">
        <v>107</v>
      </c>
      <c r="J1" s="28" t="s">
        <v>108</v>
      </c>
      <c r="K1" s="27" t="s">
        <v>109</v>
      </c>
      <c r="L1" s="27" t="s">
        <v>110</v>
      </c>
      <c r="M1" s="27" t="s">
        <v>111</v>
      </c>
      <c r="N1" s="27" t="s">
        <v>112</v>
      </c>
      <c r="O1" s="29" t="s">
        <v>113</v>
      </c>
      <c r="P1" s="27" t="s">
        <v>114</v>
      </c>
      <c r="Q1" s="27" t="s">
        <v>115</v>
      </c>
      <c r="R1" s="27" t="s">
        <v>116</v>
      </c>
      <c r="S1" s="27"/>
      <c r="T1" s="27" t="s">
        <v>117</v>
      </c>
      <c r="U1" s="27" t="s">
        <v>118</v>
      </c>
      <c r="V1" s="27" t="s">
        <v>119</v>
      </c>
      <c r="W1" s="27" t="s">
        <v>120</v>
      </c>
      <c r="X1" s="27" t="s">
        <v>121</v>
      </c>
      <c r="Y1" s="27" t="s">
        <v>122</v>
      </c>
      <c r="Z1" s="27" t="s">
        <v>123</v>
      </c>
      <c r="AA1" s="27" t="s">
        <v>124</v>
      </c>
      <c r="AB1" s="27" t="s">
        <v>125</v>
      </c>
      <c r="AC1" s="27" t="s">
        <v>126</v>
      </c>
      <c r="AD1" s="27" t="s">
        <v>127</v>
      </c>
      <c r="AE1" s="27" t="s">
        <v>128</v>
      </c>
      <c r="AF1" s="27" t="s">
        <v>129</v>
      </c>
      <c r="AG1" s="27" t="s">
        <v>130</v>
      </c>
      <c r="AH1" s="27" t="s">
        <v>131</v>
      </c>
      <c r="AI1" s="29" t="s">
        <v>132</v>
      </c>
      <c r="AJ1" s="29" t="s">
        <v>133</v>
      </c>
      <c r="AK1" s="29" t="s">
        <v>134</v>
      </c>
      <c r="AL1" s="27" t="s">
        <v>135</v>
      </c>
      <c r="AM1" s="27" t="s">
        <v>136</v>
      </c>
      <c r="AN1" s="27" t="s">
        <v>137</v>
      </c>
      <c r="AO1" s="27" t="s">
        <v>138</v>
      </c>
      <c r="AP1" s="27" t="s">
        <v>139</v>
      </c>
      <c r="AQ1" s="27" t="s">
        <v>140</v>
      </c>
      <c r="AR1" s="27" t="s">
        <v>141</v>
      </c>
      <c r="AS1" s="29" t="s">
        <v>142</v>
      </c>
      <c r="AT1" s="29" t="s">
        <v>143</v>
      </c>
      <c r="AU1" s="29" t="s">
        <v>144</v>
      </c>
      <c r="AV1" s="29" t="s">
        <v>145</v>
      </c>
      <c r="AW1" s="28" t="s">
        <v>146</v>
      </c>
      <c r="AX1" s="28" t="s">
        <v>147</v>
      </c>
      <c r="AY1" s="27" t="s">
        <v>148</v>
      </c>
      <c r="AZ1" s="27" t="s">
        <v>149</v>
      </c>
      <c r="BA1" s="27" t="s">
        <v>150</v>
      </c>
      <c r="BB1" s="27" t="s">
        <v>151</v>
      </c>
      <c r="BC1" s="28"/>
      <c r="BD1" s="30" t="s">
        <v>152</v>
      </c>
      <c r="BE1" s="31" t="s">
        <v>153</v>
      </c>
      <c r="BF1" s="31" t="s">
        <v>154</v>
      </c>
      <c r="BG1" s="31" t="s">
        <v>155</v>
      </c>
      <c r="BH1" s="31" t="s">
        <v>156</v>
      </c>
      <c r="BI1" s="31" t="s">
        <v>157</v>
      </c>
      <c r="BJ1" s="31" t="s">
        <v>158</v>
      </c>
      <c r="BK1" s="31" t="s">
        <v>159</v>
      </c>
      <c r="BL1" s="31" t="s">
        <v>160</v>
      </c>
      <c r="BM1" s="31" t="s">
        <v>161</v>
      </c>
      <c r="BN1" s="30" t="s">
        <v>162</v>
      </c>
      <c r="BO1" s="31" t="s">
        <v>163</v>
      </c>
      <c r="BP1" s="31" t="s">
        <v>164</v>
      </c>
      <c r="BQ1" s="30" t="s">
        <v>165</v>
      </c>
      <c r="BR1" s="30" t="s">
        <v>166</v>
      </c>
      <c r="BS1" s="30" t="s">
        <v>167</v>
      </c>
      <c r="BT1" s="31" t="s">
        <v>168</v>
      </c>
      <c r="BU1" s="31" t="s">
        <v>169</v>
      </c>
      <c r="BV1" s="28" t="s">
        <v>170</v>
      </c>
      <c r="BW1" s="28" t="s">
        <v>171</v>
      </c>
      <c r="BX1" s="27" t="s">
        <v>172</v>
      </c>
      <c r="BY1" s="28" t="s">
        <v>173</v>
      </c>
      <c r="BZ1" s="28" t="s">
        <v>174</v>
      </c>
      <c r="CA1" s="28" t="s">
        <v>175</v>
      </c>
      <c r="CB1" s="31" t="s">
        <v>176</v>
      </c>
      <c r="CC1" s="31" t="s">
        <v>177</v>
      </c>
      <c r="CD1" s="31" t="s">
        <v>178</v>
      </c>
      <c r="CE1" s="31" t="s">
        <v>179</v>
      </c>
      <c r="CF1" s="31" t="s">
        <v>180</v>
      </c>
      <c r="CG1" s="31" t="s">
        <v>181</v>
      </c>
      <c r="CH1" s="30" t="s">
        <v>182</v>
      </c>
      <c r="CI1" s="30" t="s">
        <v>183</v>
      </c>
      <c r="CJ1" s="30" t="s">
        <v>184</v>
      </c>
      <c r="CK1" s="32" t="s">
        <v>185</v>
      </c>
      <c r="CL1" s="32" t="s">
        <v>186</v>
      </c>
      <c r="CM1" s="31"/>
      <c r="CN1" s="30" t="s">
        <v>187</v>
      </c>
      <c r="CO1" s="31" t="s">
        <v>188</v>
      </c>
      <c r="CP1" s="31" t="s">
        <v>189</v>
      </c>
      <c r="CQ1" s="31" t="s">
        <v>190</v>
      </c>
      <c r="CR1" s="30" t="s">
        <v>191</v>
      </c>
      <c r="CS1" s="30" t="s">
        <v>192</v>
      </c>
      <c r="CT1" s="30" t="s">
        <v>193</v>
      </c>
      <c r="CU1" s="30" t="s">
        <v>194</v>
      </c>
      <c r="CV1" s="30" t="s">
        <v>195</v>
      </c>
      <c r="CW1" s="31" t="s">
        <v>196</v>
      </c>
      <c r="CX1" s="31" t="s">
        <v>197</v>
      </c>
      <c r="CY1" s="31" t="s">
        <v>198</v>
      </c>
      <c r="CZ1" s="31" t="s">
        <v>199</v>
      </c>
      <c r="DA1" s="30" t="s">
        <v>200</v>
      </c>
      <c r="DB1" s="30" t="s">
        <v>201</v>
      </c>
      <c r="DC1" s="30" t="s">
        <v>202</v>
      </c>
      <c r="DD1" s="31"/>
      <c r="DE1" s="31"/>
      <c r="DF1" s="30" t="s">
        <v>203</v>
      </c>
      <c r="DG1" s="31" t="s">
        <v>204</v>
      </c>
      <c r="DH1" s="31" t="s">
        <v>205</v>
      </c>
      <c r="DI1" s="31" t="s">
        <v>32</v>
      </c>
      <c r="DJ1" s="31" t="s">
        <v>206</v>
      </c>
      <c r="DK1" s="31" t="s">
        <v>37</v>
      </c>
      <c r="DL1" s="31" t="s">
        <v>207</v>
      </c>
      <c r="DM1" s="31" t="s">
        <v>208</v>
      </c>
      <c r="DN1" s="31" t="s">
        <v>209</v>
      </c>
      <c r="DO1" s="31" t="s">
        <v>210</v>
      </c>
      <c r="DP1" s="31" t="s">
        <v>211</v>
      </c>
      <c r="DQ1" s="31" t="s">
        <v>212</v>
      </c>
      <c r="DR1" s="31" t="s">
        <v>213</v>
      </c>
      <c r="DS1" s="31" t="s">
        <v>214</v>
      </c>
      <c r="DT1" s="31" t="s">
        <v>215</v>
      </c>
      <c r="DU1" s="31"/>
      <c r="DV1" s="31"/>
      <c r="DW1" s="31"/>
      <c r="DX1" s="30" t="s">
        <v>216</v>
      </c>
      <c r="DY1" s="31" t="s">
        <v>204</v>
      </c>
      <c r="DZ1" s="31" t="s">
        <v>205</v>
      </c>
      <c r="EA1" s="31" t="s">
        <v>32</v>
      </c>
      <c r="EB1" s="31" t="s">
        <v>206</v>
      </c>
      <c r="EC1" s="31" t="s">
        <v>37</v>
      </c>
      <c r="ED1" s="31" t="s">
        <v>207</v>
      </c>
      <c r="EE1" s="31" t="s">
        <v>208</v>
      </c>
      <c r="EF1" s="31" t="s">
        <v>209</v>
      </c>
      <c r="EG1" s="31" t="s">
        <v>210</v>
      </c>
      <c r="EH1" s="31" t="s">
        <v>211</v>
      </c>
      <c r="EI1" s="31" t="s">
        <v>212</v>
      </c>
      <c r="EJ1" s="31" t="s">
        <v>213</v>
      </c>
      <c r="EK1" s="31" t="s">
        <v>214</v>
      </c>
      <c r="EL1" s="31" t="s">
        <v>215</v>
      </c>
      <c r="EM1" s="31"/>
      <c r="EN1" s="30" t="s">
        <v>217</v>
      </c>
      <c r="EO1" s="31" t="s">
        <v>204</v>
      </c>
      <c r="EP1" s="31" t="s">
        <v>205</v>
      </c>
      <c r="EQ1" s="31" t="s">
        <v>32</v>
      </c>
      <c r="ER1" s="31" t="s">
        <v>206</v>
      </c>
      <c r="ES1" s="31" t="s">
        <v>37</v>
      </c>
      <c r="ET1" s="31" t="s">
        <v>207</v>
      </c>
      <c r="EU1" s="31" t="s">
        <v>208</v>
      </c>
      <c r="EV1" s="31" t="s">
        <v>209</v>
      </c>
      <c r="EW1" s="31" t="s">
        <v>210</v>
      </c>
      <c r="EX1" s="31" t="s">
        <v>211</v>
      </c>
      <c r="EY1" s="31" t="s">
        <v>212</v>
      </c>
      <c r="EZ1" s="31" t="s">
        <v>213</v>
      </c>
      <c r="FA1" s="31" t="s">
        <v>214</v>
      </c>
      <c r="FB1" s="31" t="s">
        <v>215</v>
      </c>
      <c r="FC1" s="31"/>
      <c r="FD1" s="30" t="s">
        <v>218</v>
      </c>
      <c r="FE1" s="31" t="s">
        <v>204</v>
      </c>
      <c r="FF1" s="31" t="s">
        <v>205</v>
      </c>
      <c r="FG1" s="31" t="s">
        <v>32</v>
      </c>
      <c r="FH1" s="31" t="s">
        <v>206</v>
      </c>
      <c r="FI1" s="31" t="s">
        <v>37</v>
      </c>
      <c r="FJ1" s="31" t="s">
        <v>207</v>
      </c>
      <c r="FK1" s="31" t="s">
        <v>208</v>
      </c>
      <c r="FL1" s="31" t="s">
        <v>209</v>
      </c>
      <c r="FM1" s="31" t="s">
        <v>210</v>
      </c>
      <c r="FN1" s="31" t="s">
        <v>211</v>
      </c>
      <c r="FO1" s="31" t="s">
        <v>212</v>
      </c>
      <c r="FP1" s="31" t="s">
        <v>213</v>
      </c>
      <c r="FQ1" s="31" t="s">
        <v>214</v>
      </c>
      <c r="FR1" s="31" t="s">
        <v>215</v>
      </c>
      <c r="FS1" s="31"/>
      <c r="FT1" s="30" t="s">
        <v>219</v>
      </c>
      <c r="FU1" s="31" t="s">
        <v>204</v>
      </c>
      <c r="FV1" s="31" t="s">
        <v>205</v>
      </c>
      <c r="FW1" s="31" t="s">
        <v>32</v>
      </c>
      <c r="FX1" s="31" t="s">
        <v>206</v>
      </c>
      <c r="FY1" s="31" t="s">
        <v>37</v>
      </c>
      <c r="FZ1" s="31" t="s">
        <v>207</v>
      </c>
      <c r="GA1" s="31" t="s">
        <v>208</v>
      </c>
      <c r="GB1" s="31" t="s">
        <v>209</v>
      </c>
      <c r="GC1" s="31" t="s">
        <v>210</v>
      </c>
      <c r="GD1" s="31" t="s">
        <v>211</v>
      </c>
      <c r="GE1" s="31" t="s">
        <v>212</v>
      </c>
      <c r="GF1" s="31" t="s">
        <v>213</v>
      </c>
      <c r="GG1" s="31" t="s">
        <v>214</v>
      </c>
      <c r="GH1" s="31" t="s">
        <v>215</v>
      </c>
      <c r="GI1" s="31"/>
      <c r="GJ1" s="30" t="s">
        <v>220</v>
      </c>
      <c r="GK1" s="31" t="s">
        <v>204</v>
      </c>
      <c r="GL1" s="31" t="s">
        <v>205</v>
      </c>
      <c r="GM1" s="31" t="s">
        <v>32</v>
      </c>
      <c r="GN1" s="31" t="s">
        <v>206</v>
      </c>
      <c r="GO1" s="31" t="s">
        <v>37</v>
      </c>
      <c r="GP1" s="31" t="s">
        <v>207</v>
      </c>
      <c r="GQ1" s="31" t="s">
        <v>208</v>
      </c>
      <c r="GR1" s="31" t="s">
        <v>209</v>
      </c>
      <c r="GS1" s="31" t="s">
        <v>210</v>
      </c>
      <c r="GT1" s="31" t="s">
        <v>211</v>
      </c>
      <c r="GU1" s="31" t="s">
        <v>212</v>
      </c>
      <c r="GV1" s="31" t="s">
        <v>213</v>
      </c>
      <c r="GW1" s="31" t="s">
        <v>214</v>
      </c>
      <c r="GX1" s="31" t="s">
        <v>215</v>
      </c>
      <c r="GY1" s="33">
        <v>0.96378992066690616</v>
      </c>
      <c r="GZ1" s="30" t="s">
        <v>221</v>
      </c>
      <c r="HA1" s="30" t="s">
        <v>222</v>
      </c>
      <c r="HB1" s="34" t="s">
        <v>223</v>
      </c>
      <c r="HC1" s="35" t="s">
        <v>224</v>
      </c>
      <c r="HD1" s="35" t="s">
        <v>225</v>
      </c>
      <c r="HE1" s="35" t="s">
        <v>224</v>
      </c>
      <c r="HF1" s="30" t="s">
        <v>226</v>
      </c>
      <c r="HG1" s="31" t="s">
        <v>227</v>
      </c>
      <c r="HH1" s="31" t="s">
        <v>228</v>
      </c>
      <c r="HI1" s="31" t="s">
        <v>229</v>
      </c>
      <c r="HJ1" s="31" t="s">
        <v>230</v>
      </c>
      <c r="HK1" s="31" t="s">
        <v>231</v>
      </c>
      <c r="HL1" s="31" t="s">
        <v>232</v>
      </c>
      <c r="HM1" s="32" t="s">
        <v>233</v>
      </c>
      <c r="HN1" s="32" t="s">
        <v>234</v>
      </c>
      <c r="HO1" s="32" t="s">
        <v>235</v>
      </c>
      <c r="HP1" s="31" t="s">
        <v>236</v>
      </c>
      <c r="HQ1" s="31" t="s">
        <v>237</v>
      </c>
      <c r="HR1" s="31" t="s">
        <v>238</v>
      </c>
      <c r="HS1" s="31" t="s">
        <v>239</v>
      </c>
      <c r="HT1" s="31" t="s">
        <v>240</v>
      </c>
      <c r="HU1" s="31"/>
      <c r="HV1" s="31" t="s">
        <v>241</v>
      </c>
      <c r="HW1" s="31" t="s">
        <v>226</v>
      </c>
      <c r="HX1" s="31" t="s">
        <v>227</v>
      </c>
      <c r="HY1" s="31" t="s">
        <v>232</v>
      </c>
      <c r="HZ1" s="31" t="s">
        <v>236</v>
      </c>
      <c r="IA1" s="31" t="s">
        <v>242</v>
      </c>
      <c r="IB1" s="31" t="s">
        <v>243</v>
      </c>
      <c r="IC1" s="31" t="s">
        <v>244</v>
      </c>
      <c r="ID1" s="31" t="s">
        <v>245</v>
      </c>
      <c r="IE1" s="31" t="s">
        <v>246</v>
      </c>
      <c r="IF1" s="31" t="s">
        <v>247</v>
      </c>
      <c r="IG1" s="31" t="s">
        <v>239</v>
      </c>
      <c r="IH1" s="36" t="s">
        <v>248</v>
      </c>
      <c r="II1" s="36" t="s">
        <v>249</v>
      </c>
      <c r="IJ1" s="36" t="s">
        <v>250</v>
      </c>
      <c r="IK1" s="36" t="s">
        <v>251</v>
      </c>
      <c r="IL1" s="37" t="s">
        <v>252</v>
      </c>
      <c r="IM1" s="30"/>
      <c r="IN1" s="30" t="s">
        <v>253</v>
      </c>
      <c r="IO1" s="30" t="s">
        <v>254</v>
      </c>
      <c r="IP1" s="30" t="s">
        <v>255</v>
      </c>
      <c r="IQ1" s="30" t="s">
        <v>227</v>
      </c>
      <c r="IR1" s="30" t="s">
        <v>228</v>
      </c>
      <c r="IS1" s="30" t="s">
        <v>229</v>
      </c>
      <c r="IT1" s="30" t="s">
        <v>230</v>
      </c>
      <c r="IU1" s="30" t="s">
        <v>231</v>
      </c>
      <c r="IV1" s="30" t="s">
        <v>232</v>
      </c>
      <c r="IW1" s="31" t="s">
        <v>256</v>
      </c>
      <c r="IX1" s="31" t="s">
        <v>240</v>
      </c>
      <c r="IY1" s="31" t="s">
        <v>257</v>
      </c>
      <c r="IZ1" s="31" t="s">
        <v>258</v>
      </c>
      <c r="JA1" s="31" t="s">
        <v>259</v>
      </c>
      <c r="JB1" s="31" t="s">
        <v>260</v>
      </c>
      <c r="JC1" s="31" t="s">
        <v>258</v>
      </c>
      <c r="JD1" s="31" t="s">
        <v>259</v>
      </c>
      <c r="JE1" s="31" t="s">
        <v>261</v>
      </c>
      <c r="JF1" s="31" t="s">
        <v>262</v>
      </c>
      <c r="JG1" s="31" t="s">
        <v>263</v>
      </c>
    </row>
    <row r="2" spans="1:267">
      <c r="A2" s="39">
        <v>29099</v>
      </c>
      <c r="B2" s="40">
        <v>2276.3000000000002</v>
      </c>
      <c r="C2" s="41">
        <v>1176.2</v>
      </c>
      <c r="D2" s="41">
        <v>174.6</v>
      </c>
      <c r="E2" s="41">
        <v>349.6</v>
      </c>
      <c r="F2" s="41">
        <v>5.4</v>
      </c>
      <c r="G2" s="41">
        <v>7.5</v>
      </c>
      <c r="H2" s="41">
        <v>8.3000000000000007</v>
      </c>
      <c r="I2" s="41" t="s">
        <v>264</v>
      </c>
      <c r="J2" s="41" t="s">
        <v>264</v>
      </c>
      <c r="K2" s="40">
        <v>848.9</v>
      </c>
      <c r="L2" s="40">
        <v>775.8</v>
      </c>
      <c r="M2" s="40">
        <v>429.5</v>
      </c>
      <c r="N2" s="40">
        <v>346.3</v>
      </c>
      <c r="O2" s="41">
        <v>53.5</v>
      </c>
      <c r="P2" s="42">
        <v>86.4</v>
      </c>
      <c r="Q2" s="40">
        <v>30.4</v>
      </c>
      <c r="R2" s="40">
        <v>56</v>
      </c>
      <c r="S2" s="40"/>
      <c r="T2" s="40">
        <v>4.5</v>
      </c>
      <c r="U2" s="42">
        <v>46.699999999999996</v>
      </c>
      <c r="V2" s="40">
        <v>39.299999999999997</v>
      </c>
      <c r="W2" s="40">
        <v>7.4</v>
      </c>
      <c r="X2" s="40">
        <v>5.8</v>
      </c>
      <c r="Y2" s="41" t="s">
        <v>264</v>
      </c>
      <c r="Z2" s="41"/>
      <c r="AA2" s="41" t="s">
        <v>264</v>
      </c>
      <c r="AB2" s="41" t="s">
        <v>264</v>
      </c>
      <c r="AC2" s="41" t="s">
        <v>264</v>
      </c>
      <c r="AD2" s="41" t="s">
        <v>264</v>
      </c>
      <c r="AE2" s="41"/>
      <c r="AF2" s="42"/>
      <c r="AG2" s="41" t="s">
        <v>264</v>
      </c>
      <c r="AH2" s="41" t="s">
        <v>264</v>
      </c>
      <c r="AI2" s="40">
        <v>60.3</v>
      </c>
      <c r="AJ2" s="40"/>
      <c r="AK2" s="40"/>
      <c r="AL2" s="42">
        <v>70.2</v>
      </c>
      <c r="AM2" s="40">
        <v>48.4</v>
      </c>
      <c r="AN2" s="40">
        <v>21.8</v>
      </c>
      <c r="AO2" s="40">
        <v>1765.8</v>
      </c>
      <c r="AP2" s="40">
        <v>224.3</v>
      </c>
      <c r="AQ2" s="40">
        <v>55.9</v>
      </c>
      <c r="AR2" s="40">
        <v>43.1</v>
      </c>
      <c r="AS2" s="41">
        <v>79.3</v>
      </c>
      <c r="AT2" s="41">
        <v>51.5</v>
      </c>
      <c r="AU2" s="41">
        <v>47.6</v>
      </c>
      <c r="AV2" s="41">
        <v>21.2</v>
      </c>
      <c r="AW2" s="41">
        <v>3.7</v>
      </c>
      <c r="AX2" s="41">
        <v>0.9</v>
      </c>
      <c r="AY2" s="41">
        <v>4.5999999999999996</v>
      </c>
      <c r="AZ2" s="41">
        <v>4.0999999999999996</v>
      </c>
      <c r="BA2" s="41" t="s">
        <v>264</v>
      </c>
      <c r="BB2" s="41" t="s">
        <v>264</v>
      </c>
      <c r="BC2" s="41"/>
      <c r="BD2" s="43">
        <v>67.7</v>
      </c>
      <c r="BE2" s="43">
        <v>49.1</v>
      </c>
      <c r="BF2" s="43"/>
      <c r="BG2" s="43"/>
      <c r="BH2" s="43"/>
      <c r="BI2" s="43"/>
      <c r="BJ2" s="43"/>
      <c r="BK2" s="43"/>
      <c r="BL2" s="43"/>
      <c r="BM2" s="43">
        <v>462</v>
      </c>
      <c r="BN2" s="43"/>
      <c r="BO2" s="43"/>
      <c r="BP2" s="43"/>
      <c r="BQ2" s="43"/>
      <c r="BR2" s="43"/>
      <c r="BS2" s="44">
        <v>375.7</v>
      </c>
      <c r="BT2" s="43"/>
      <c r="BU2" s="43">
        <v>43.9</v>
      </c>
      <c r="BV2" s="41" t="s">
        <v>264</v>
      </c>
      <c r="BW2" s="41" t="s">
        <v>264</v>
      </c>
      <c r="BX2" s="41">
        <v>371.4</v>
      </c>
      <c r="BY2" s="41" t="s">
        <v>264</v>
      </c>
      <c r="BZ2" s="41" t="s">
        <v>264</v>
      </c>
      <c r="CA2" s="40"/>
      <c r="CB2" s="43"/>
      <c r="CC2" s="43"/>
      <c r="CD2" s="43"/>
      <c r="CE2" s="43"/>
      <c r="CF2" s="43">
        <v>90.8</v>
      </c>
      <c r="CG2" s="43">
        <v>150</v>
      </c>
      <c r="CH2" s="43">
        <v>15.7</v>
      </c>
      <c r="CI2" s="43"/>
      <c r="CJ2" s="43"/>
      <c r="CK2" s="43"/>
      <c r="CL2" s="43"/>
      <c r="CM2" s="43"/>
      <c r="CN2" s="43">
        <v>47.2</v>
      </c>
      <c r="CO2" s="43">
        <v>157</v>
      </c>
      <c r="CP2" s="43">
        <v>113.3</v>
      </c>
      <c r="CQ2" s="43">
        <v>43.7</v>
      </c>
      <c r="CR2" s="43">
        <v>41.9</v>
      </c>
      <c r="CS2" s="43">
        <v>62.9</v>
      </c>
      <c r="CT2" s="43">
        <v>47</v>
      </c>
      <c r="CU2" s="43">
        <v>15.9</v>
      </c>
      <c r="CV2" s="43">
        <v>73.8</v>
      </c>
      <c r="CW2" s="43">
        <v>73.8</v>
      </c>
      <c r="CX2" s="43"/>
      <c r="CY2" s="43" t="s">
        <v>264</v>
      </c>
      <c r="CZ2" s="43">
        <v>23.1</v>
      </c>
      <c r="DA2" s="43">
        <v>41.2</v>
      </c>
      <c r="DB2" s="43">
        <v>36.200000000000003</v>
      </c>
      <c r="DC2" s="43">
        <v>5</v>
      </c>
      <c r="DD2" s="43"/>
      <c r="DE2" s="43"/>
      <c r="DF2" s="44"/>
      <c r="DG2" s="43">
        <v>56.8</v>
      </c>
      <c r="DH2" s="43"/>
      <c r="DI2" s="43">
        <v>630.9</v>
      </c>
      <c r="DJ2" s="43">
        <v>105.3</v>
      </c>
      <c r="DK2" s="43">
        <v>410.2</v>
      </c>
      <c r="DL2" s="43">
        <v>89.9</v>
      </c>
      <c r="DM2" s="43">
        <v>157.80000000000001</v>
      </c>
      <c r="DN2" s="43"/>
      <c r="DO2" s="43">
        <v>121.5</v>
      </c>
      <c r="DP2" s="43">
        <v>103.5</v>
      </c>
      <c r="DQ2" s="43">
        <v>28</v>
      </c>
      <c r="DR2" s="43">
        <v>139.30000000000001</v>
      </c>
      <c r="DS2" s="43">
        <v>433.1</v>
      </c>
      <c r="DT2" s="43">
        <v>2276.3000000000002</v>
      </c>
      <c r="DU2" s="43">
        <v>-56.800000000000182</v>
      </c>
      <c r="DV2" s="43">
        <v>0</v>
      </c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5"/>
      <c r="GZ2" s="43">
        <v>693</v>
      </c>
      <c r="HA2" s="43"/>
      <c r="HB2" s="45"/>
      <c r="HC2" s="45"/>
      <c r="HD2" s="45"/>
      <c r="HE2" s="45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4"/>
      <c r="II2" s="44"/>
      <c r="IJ2" s="44"/>
      <c r="IK2" s="44"/>
      <c r="IL2" s="44"/>
      <c r="IM2" s="43"/>
      <c r="IN2" s="43">
        <v>56.7</v>
      </c>
      <c r="IO2" s="46"/>
      <c r="IP2" s="46"/>
      <c r="IQ2" s="46"/>
      <c r="IR2" s="46"/>
      <c r="IS2" s="46"/>
      <c r="IT2" s="46"/>
      <c r="IU2" s="46"/>
      <c r="IV2" s="46"/>
      <c r="IW2" s="47"/>
      <c r="IX2" s="47"/>
      <c r="IY2" s="48">
        <f>((AO2+AQ2)*2)/(B2/30)</f>
        <v>48.017396652462324</v>
      </c>
      <c r="IZ2" s="48">
        <f>IY2-'NOPA Crush'!J2</f>
        <v>0.71739665246232676</v>
      </c>
      <c r="JB2" s="63">
        <f t="shared" ref="JB2:JB65" si="0">K2/(B2/30)</f>
        <v>11.187892632781265</v>
      </c>
      <c r="JC2" s="64">
        <f>JB2-'NOPA Crush'!O2</f>
        <v>-1.2107367218733955E-2</v>
      </c>
      <c r="JD2" s="65"/>
      <c r="JE2" s="67">
        <f>L2</f>
        <v>775.8</v>
      </c>
      <c r="JF2" s="68">
        <f>'NOPA Crush'!Q2/'Census Crush'!JE2</f>
        <v>0.27764887857695286</v>
      </c>
    </row>
    <row r="3" spans="1:267">
      <c r="A3" s="39">
        <v>29129</v>
      </c>
      <c r="B3" s="40">
        <v>2874.3</v>
      </c>
      <c r="C3" s="41">
        <v>4995.8999999999996</v>
      </c>
      <c r="D3" s="41">
        <v>304.3</v>
      </c>
      <c r="E3" s="41">
        <v>1157.4000000000001</v>
      </c>
      <c r="F3" s="41">
        <v>5.6</v>
      </c>
      <c r="G3" s="41">
        <v>70</v>
      </c>
      <c r="H3" s="41">
        <v>14.9</v>
      </c>
      <c r="I3" s="41" t="s">
        <v>264</v>
      </c>
      <c r="J3" s="41" t="s">
        <v>264</v>
      </c>
      <c r="K3" s="40">
        <v>1020.3</v>
      </c>
      <c r="L3" s="40">
        <v>819.8</v>
      </c>
      <c r="M3" s="40">
        <v>487</v>
      </c>
      <c r="N3" s="40">
        <v>332.8</v>
      </c>
      <c r="O3" s="41">
        <v>98.6</v>
      </c>
      <c r="P3" s="42">
        <v>93.1</v>
      </c>
      <c r="Q3" s="40">
        <v>48.1</v>
      </c>
      <c r="R3" s="40">
        <v>45</v>
      </c>
      <c r="S3" s="40"/>
      <c r="T3" s="40">
        <v>4.5</v>
      </c>
      <c r="U3" s="42">
        <v>38.4</v>
      </c>
      <c r="V3" s="40">
        <v>32.1</v>
      </c>
      <c r="W3" s="40">
        <v>6.3</v>
      </c>
      <c r="X3" s="40">
        <v>53.7</v>
      </c>
      <c r="Y3" s="41" t="s">
        <v>264</v>
      </c>
      <c r="Z3" s="41"/>
      <c r="AA3" s="41" t="s">
        <v>264</v>
      </c>
      <c r="AB3" s="41" t="s">
        <v>264</v>
      </c>
      <c r="AC3" s="41" t="s">
        <v>264</v>
      </c>
      <c r="AD3" s="41" t="s">
        <v>264</v>
      </c>
      <c r="AE3" s="41"/>
      <c r="AF3" s="42"/>
      <c r="AG3" s="41" t="s">
        <v>264</v>
      </c>
      <c r="AH3" s="41" t="s">
        <v>264</v>
      </c>
      <c r="AI3" s="40">
        <v>61.8</v>
      </c>
      <c r="AJ3" s="40"/>
      <c r="AK3" s="40"/>
      <c r="AL3" s="42">
        <v>68.900000000000006</v>
      </c>
      <c r="AM3" s="40">
        <v>46.8</v>
      </c>
      <c r="AN3" s="40">
        <v>22.1</v>
      </c>
      <c r="AO3" s="40">
        <v>2213.9</v>
      </c>
      <c r="AP3" s="40">
        <v>204.1</v>
      </c>
      <c r="AQ3" s="40">
        <v>71.900000000000006</v>
      </c>
      <c r="AR3" s="40">
        <v>30.2</v>
      </c>
      <c r="AS3" s="41">
        <v>145.9</v>
      </c>
      <c r="AT3" s="41">
        <v>31.8</v>
      </c>
      <c r="AU3" s="41">
        <v>76.7</v>
      </c>
      <c r="AV3" s="41">
        <v>15.8</v>
      </c>
      <c r="AW3" s="41">
        <v>3.2</v>
      </c>
      <c r="AX3" s="41">
        <v>0.9</v>
      </c>
      <c r="AY3" s="41">
        <v>42.8</v>
      </c>
      <c r="AZ3" s="41">
        <v>6.2</v>
      </c>
      <c r="BA3" s="41" t="s">
        <v>264</v>
      </c>
      <c r="BB3" s="41" t="s">
        <v>264</v>
      </c>
      <c r="BC3" s="41"/>
      <c r="BD3" s="43">
        <v>81.3</v>
      </c>
      <c r="BE3" s="43">
        <v>41.4</v>
      </c>
      <c r="BF3" s="43"/>
      <c r="BG3" s="43"/>
      <c r="BH3" s="43"/>
      <c r="BI3" s="43"/>
      <c r="BJ3" s="43"/>
      <c r="BK3" s="43"/>
      <c r="BL3" s="43"/>
      <c r="BM3" s="43">
        <v>533.1</v>
      </c>
      <c r="BN3" s="43"/>
      <c r="BO3" s="43"/>
      <c r="BP3" s="43"/>
      <c r="BQ3" s="43"/>
      <c r="BR3" s="43"/>
      <c r="BS3" s="44">
        <v>403.2</v>
      </c>
      <c r="BT3" s="43"/>
      <c r="BU3" s="43">
        <v>44.7</v>
      </c>
      <c r="BV3" s="41" t="s">
        <v>264</v>
      </c>
      <c r="BW3" s="41" t="s">
        <v>264</v>
      </c>
      <c r="BX3" s="41">
        <v>418.1</v>
      </c>
      <c r="BY3" s="41" t="s">
        <v>264</v>
      </c>
      <c r="BZ3" s="41" t="s">
        <v>264</v>
      </c>
      <c r="CA3" s="40"/>
      <c r="CB3" s="43"/>
      <c r="CC3" s="43"/>
      <c r="CD3" s="43"/>
      <c r="CE3" s="43"/>
      <c r="CF3" s="43">
        <v>110.5</v>
      </c>
      <c r="CG3" s="43">
        <v>133.80000000000001</v>
      </c>
      <c r="CH3" s="43">
        <v>16.3</v>
      </c>
      <c r="CI3" s="43"/>
      <c r="CJ3" s="43"/>
      <c r="CK3" s="43"/>
      <c r="CL3" s="43"/>
      <c r="CM3" s="43"/>
      <c r="CN3" s="43">
        <v>38.700000000000003</v>
      </c>
      <c r="CO3" s="43">
        <v>211.60000000000002</v>
      </c>
      <c r="CP3" s="43">
        <v>163.4</v>
      </c>
      <c r="CQ3" s="43">
        <v>48.2</v>
      </c>
      <c r="CR3" s="43">
        <v>11.5</v>
      </c>
      <c r="CS3" s="43">
        <v>46.4</v>
      </c>
      <c r="CT3" s="43">
        <v>28.7</v>
      </c>
      <c r="CU3" s="43">
        <v>17.7</v>
      </c>
      <c r="CV3" s="43">
        <v>67.599999999999994</v>
      </c>
      <c r="CW3" s="43">
        <v>67.599999999999994</v>
      </c>
      <c r="CX3" s="43"/>
      <c r="CY3" s="43">
        <v>17.3</v>
      </c>
      <c r="CZ3" s="43">
        <v>25.5</v>
      </c>
      <c r="DA3" s="43">
        <v>38.200000000000003</v>
      </c>
      <c r="DB3" s="43">
        <v>31.3</v>
      </c>
      <c r="DC3" s="43">
        <v>6.9</v>
      </c>
      <c r="DD3" s="43"/>
      <c r="DE3" s="43"/>
      <c r="DF3" s="44"/>
      <c r="DG3" s="43">
        <v>113</v>
      </c>
      <c r="DH3" s="43"/>
      <c r="DI3" s="43">
        <v>692.3</v>
      </c>
      <c r="DJ3" s="43">
        <v>179.8</v>
      </c>
      <c r="DK3" s="43">
        <v>469.8</v>
      </c>
      <c r="DL3" s="43">
        <v>116.3</v>
      </c>
      <c r="DM3" s="43">
        <v>169.3</v>
      </c>
      <c r="DN3" s="43"/>
      <c r="DO3" s="43">
        <v>143.6</v>
      </c>
      <c r="DP3" s="43">
        <v>139.5</v>
      </c>
      <c r="DQ3" s="43">
        <v>31.5</v>
      </c>
      <c r="DR3" s="43">
        <v>152.5</v>
      </c>
      <c r="DS3" s="43">
        <v>666.7</v>
      </c>
      <c r="DT3" s="43">
        <v>2874.3</v>
      </c>
      <c r="DU3" s="43">
        <v>-113.00000000000091</v>
      </c>
      <c r="DV3" s="43">
        <v>0</v>
      </c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5"/>
      <c r="GZ3" s="43">
        <v>805.9</v>
      </c>
      <c r="HA3" s="43"/>
      <c r="HB3" s="45"/>
      <c r="HC3" s="45"/>
      <c r="HD3" s="45"/>
      <c r="HE3" s="45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4"/>
      <c r="II3" s="44"/>
      <c r="IJ3" s="44"/>
      <c r="IK3" s="44"/>
      <c r="IL3" s="44"/>
      <c r="IM3" s="43"/>
      <c r="IN3" s="43">
        <v>69.599999999999994</v>
      </c>
      <c r="IO3" s="46"/>
      <c r="IP3" s="46"/>
      <c r="IQ3" s="46"/>
      <c r="IR3" s="46"/>
      <c r="IS3" s="46"/>
      <c r="IT3" s="46"/>
      <c r="IU3" s="46"/>
      <c r="IV3" s="46"/>
      <c r="IW3" s="47"/>
      <c r="IX3" s="47"/>
      <c r="IY3" s="48">
        <f>((AO3+AQ3)*2)/(B3/30)</f>
        <v>47.715269804822043</v>
      </c>
      <c r="IZ3" s="48">
        <f>IY3-'NOPA Crush'!J3</f>
        <v>0.41526980482204578</v>
      </c>
      <c r="JB3" s="63">
        <f t="shared" si="0"/>
        <v>10.649201544723931</v>
      </c>
      <c r="JC3" s="64">
        <f>JB3-'NOPA Crush'!O3</f>
        <v>-5.0798455276067855E-2</v>
      </c>
      <c r="JD3" s="65"/>
      <c r="JE3" s="67">
        <f t="shared" ref="JE3:JE66" si="1">L3</f>
        <v>819.8</v>
      </c>
      <c r="JF3" s="68">
        <f>'NOPA Crush'!Q3/'Census Crush'!JE3</f>
        <v>0.27152964137594537</v>
      </c>
    </row>
    <row r="4" spans="1:267">
      <c r="A4" s="39">
        <v>29160</v>
      </c>
      <c r="B4" s="40">
        <v>3042.3</v>
      </c>
      <c r="C4" s="41">
        <v>5535.6</v>
      </c>
      <c r="D4" s="41">
        <v>394.3</v>
      </c>
      <c r="E4" s="41">
        <v>2577.1999999999998</v>
      </c>
      <c r="F4" s="41">
        <v>5.9</v>
      </c>
      <c r="G4" s="41">
        <v>51</v>
      </c>
      <c r="H4" s="41">
        <v>28.9</v>
      </c>
      <c r="I4" s="41" t="s">
        <v>264</v>
      </c>
      <c r="J4" s="41" t="s">
        <v>264</v>
      </c>
      <c r="K4" s="40">
        <v>1067.9000000000001</v>
      </c>
      <c r="L4" s="40">
        <v>867.3</v>
      </c>
      <c r="M4" s="40">
        <v>518.79999999999995</v>
      </c>
      <c r="N4" s="40">
        <v>348.5</v>
      </c>
      <c r="O4" s="41">
        <v>126.5</v>
      </c>
      <c r="P4" s="42">
        <v>129</v>
      </c>
      <c r="Q4" s="40">
        <v>70.3</v>
      </c>
      <c r="R4" s="40">
        <v>58.7</v>
      </c>
      <c r="S4" s="40"/>
      <c r="T4" s="40">
        <v>6.1</v>
      </c>
      <c r="U4" s="42">
        <v>33.9</v>
      </c>
      <c r="V4" s="40">
        <v>27.7</v>
      </c>
      <c r="W4" s="40">
        <v>6.2</v>
      </c>
      <c r="X4" s="40">
        <v>39</v>
      </c>
      <c r="Y4" s="41" t="s">
        <v>264</v>
      </c>
      <c r="Z4" s="41"/>
      <c r="AA4" s="41" t="s">
        <v>264</v>
      </c>
      <c r="AB4" s="41" t="s">
        <v>264</v>
      </c>
      <c r="AC4" s="41" t="s">
        <v>264</v>
      </c>
      <c r="AD4" s="41" t="s">
        <v>264</v>
      </c>
      <c r="AE4" s="41"/>
      <c r="AF4" s="42"/>
      <c r="AG4" s="41" t="s">
        <v>264</v>
      </c>
      <c r="AH4" s="41" t="s">
        <v>264</v>
      </c>
      <c r="AI4" s="40">
        <v>63.3</v>
      </c>
      <c r="AJ4" s="40"/>
      <c r="AK4" s="40"/>
      <c r="AL4" s="42">
        <v>62.7</v>
      </c>
      <c r="AM4" s="40">
        <v>40.6</v>
      </c>
      <c r="AN4" s="40">
        <v>22.1</v>
      </c>
      <c r="AO4" s="40">
        <v>2359.4</v>
      </c>
      <c r="AP4" s="40">
        <v>164.2</v>
      </c>
      <c r="AQ4" s="40">
        <v>73.900000000000006</v>
      </c>
      <c r="AR4" s="40">
        <v>30.9</v>
      </c>
      <c r="AS4" s="41">
        <v>183.4</v>
      </c>
      <c r="AT4" s="41">
        <v>26.7</v>
      </c>
      <c r="AU4" s="41">
        <v>99.1</v>
      </c>
      <c r="AV4" s="41">
        <v>22.3</v>
      </c>
      <c r="AW4" s="41">
        <v>4.2</v>
      </c>
      <c r="AX4" s="41">
        <v>1.2</v>
      </c>
      <c r="AY4" s="41">
        <v>31.2</v>
      </c>
      <c r="AZ4" s="41">
        <v>1.7</v>
      </c>
      <c r="BA4" s="41" t="s">
        <v>264</v>
      </c>
      <c r="BB4" s="41" t="s">
        <v>264</v>
      </c>
      <c r="BC4" s="41"/>
      <c r="BD4" s="43">
        <v>69.400000000000006</v>
      </c>
      <c r="BE4" s="43">
        <v>46.6</v>
      </c>
      <c r="BF4" s="43"/>
      <c r="BG4" s="43"/>
      <c r="BH4" s="43"/>
      <c r="BI4" s="43"/>
      <c r="BJ4" s="43"/>
      <c r="BK4" s="43"/>
      <c r="BL4" s="43"/>
      <c r="BM4" s="43">
        <v>510.6</v>
      </c>
      <c r="BN4" s="43"/>
      <c r="BO4" s="43"/>
      <c r="BP4" s="43"/>
      <c r="BQ4" s="43"/>
      <c r="BR4" s="43"/>
      <c r="BS4" s="44">
        <v>404.5</v>
      </c>
      <c r="BT4" s="43"/>
      <c r="BU4" s="43">
        <v>52</v>
      </c>
      <c r="BV4" s="41" t="s">
        <v>264</v>
      </c>
      <c r="BW4" s="41" t="s">
        <v>264</v>
      </c>
      <c r="BX4" s="41">
        <v>418.1</v>
      </c>
      <c r="BY4" s="41" t="s">
        <v>264</v>
      </c>
      <c r="BZ4" s="41" t="s">
        <v>264</v>
      </c>
      <c r="CA4" s="40"/>
      <c r="CB4" s="43"/>
      <c r="CC4" s="43"/>
      <c r="CD4" s="43"/>
      <c r="CE4" s="43"/>
      <c r="CF4" s="43">
        <v>108.6</v>
      </c>
      <c r="CG4" s="43">
        <v>128.69999999999999</v>
      </c>
      <c r="CH4" s="43">
        <v>14.4</v>
      </c>
      <c r="CI4" s="43"/>
      <c r="CJ4" s="43"/>
      <c r="CK4" s="43"/>
      <c r="CL4" s="43"/>
      <c r="CM4" s="43"/>
      <c r="CN4" s="43">
        <v>51.5</v>
      </c>
      <c r="CO4" s="43">
        <v>191.5</v>
      </c>
      <c r="CP4" s="43">
        <v>137.30000000000001</v>
      </c>
      <c r="CQ4" s="43">
        <v>54.2</v>
      </c>
      <c r="CR4" s="43">
        <v>15.7</v>
      </c>
      <c r="CS4" s="43">
        <v>43.6</v>
      </c>
      <c r="CT4" s="43">
        <v>27</v>
      </c>
      <c r="CU4" s="43">
        <v>16.600000000000001</v>
      </c>
      <c r="CV4" s="43">
        <v>66.2</v>
      </c>
      <c r="CW4" s="43">
        <v>66.2</v>
      </c>
      <c r="CX4" s="43"/>
      <c r="CY4" s="43">
        <v>14.3</v>
      </c>
      <c r="CZ4" s="43">
        <v>26.5</v>
      </c>
      <c r="DA4" s="43">
        <v>39.4</v>
      </c>
      <c r="DB4" s="43">
        <v>29.7</v>
      </c>
      <c r="DC4" s="43">
        <v>9.6999999999999993</v>
      </c>
      <c r="DD4" s="43"/>
      <c r="DE4" s="43"/>
      <c r="DF4" s="44"/>
      <c r="DG4" s="43">
        <v>162</v>
      </c>
      <c r="DH4" s="43"/>
      <c r="DI4" s="43">
        <v>699.6</v>
      </c>
      <c r="DJ4" s="43">
        <v>176.5</v>
      </c>
      <c r="DK4" s="43">
        <v>466.5</v>
      </c>
      <c r="DL4" s="43">
        <v>116.2</v>
      </c>
      <c r="DM4" s="43">
        <v>159.69999999999999</v>
      </c>
      <c r="DN4" s="43">
        <v>106.7</v>
      </c>
      <c r="DO4" s="43">
        <v>159.19999999999999</v>
      </c>
      <c r="DP4" s="43">
        <v>146.5</v>
      </c>
      <c r="DQ4" s="43">
        <v>62.4</v>
      </c>
      <c r="DR4" s="43">
        <v>177.6</v>
      </c>
      <c r="DS4" s="43">
        <v>609.4</v>
      </c>
      <c r="DT4" s="43">
        <v>3042.3</v>
      </c>
      <c r="DU4" s="43">
        <v>-162</v>
      </c>
      <c r="DV4" s="43">
        <v>0</v>
      </c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5"/>
      <c r="GZ4" s="43">
        <v>797.6</v>
      </c>
      <c r="HA4" s="43"/>
      <c r="HB4" s="45"/>
      <c r="HC4" s="45"/>
      <c r="HD4" s="45"/>
      <c r="HE4" s="45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4"/>
      <c r="II4" s="44"/>
      <c r="IJ4" s="44"/>
      <c r="IK4" s="44"/>
      <c r="IL4" s="44"/>
      <c r="IM4" s="43"/>
      <c r="IN4" s="43">
        <v>97</v>
      </c>
      <c r="IO4" s="46"/>
      <c r="IP4" s="46"/>
      <c r="IQ4" s="46"/>
      <c r="IR4" s="46"/>
      <c r="IS4" s="46"/>
      <c r="IT4" s="46"/>
      <c r="IU4" s="46"/>
      <c r="IV4" s="46"/>
      <c r="IW4" s="47"/>
      <c r="IX4" s="47"/>
      <c r="IY4" s="48">
        <f t="shared" ref="IY4:IY67" si="2">((AO4+AQ4)*2)/(B4/30)</f>
        <v>47.989350162705847</v>
      </c>
      <c r="IZ4" s="48">
        <f>IY4-'NOPA Crush'!J4</f>
        <v>0.38935016270584555</v>
      </c>
      <c r="JB4" s="63">
        <f t="shared" si="0"/>
        <v>10.530519672616112</v>
      </c>
      <c r="JC4" s="64">
        <f>JB4-'NOPA Crush'!O4</f>
        <v>3.0519672616112103E-2</v>
      </c>
      <c r="JD4" s="65"/>
      <c r="JE4" s="67">
        <f t="shared" si="1"/>
        <v>867.3</v>
      </c>
      <c r="JF4" s="68">
        <f>'NOPA Crush'!Q4/'Census Crush'!JE4</f>
        <v>0.2839847803528191</v>
      </c>
    </row>
    <row r="5" spans="1:267">
      <c r="A5" s="39">
        <v>29190</v>
      </c>
      <c r="B5" s="40">
        <v>3131.8</v>
      </c>
      <c r="C5" s="41">
        <v>4898.8999999999996</v>
      </c>
      <c r="D5" s="41">
        <v>379.1</v>
      </c>
      <c r="E5" s="41">
        <v>3237.6</v>
      </c>
      <c r="F5" s="41">
        <v>10.199999999999999</v>
      </c>
      <c r="G5" s="41">
        <v>67.2</v>
      </c>
      <c r="H5" s="41">
        <v>22.6</v>
      </c>
      <c r="I5" s="41" t="s">
        <v>264</v>
      </c>
      <c r="J5" s="41" t="s">
        <v>264</v>
      </c>
      <c r="K5" s="40">
        <v>1102</v>
      </c>
      <c r="L5" s="40">
        <v>1030.0999999999999</v>
      </c>
      <c r="M5" s="40">
        <v>656.6</v>
      </c>
      <c r="N5" s="40">
        <v>373.5</v>
      </c>
      <c r="O5" s="41">
        <v>119.9</v>
      </c>
      <c r="P5" s="42">
        <v>144.30000000000001</v>
      </c>
      <c r="Q5" s="40">
        <v>72.7</v>
      </c>
      <c r="R5" s="40">
        <v>71.599999999999994</v>
      </c>
      <c r="S5" s="40"/>
      <c r="T5" s="40">
        <v>7.7</v>
      </c>
      <c r="U5" s="42">
        <v>29.900000000000002</v>
      </c>
      <c r="V5" s="40">
        <v>22.6</v>
      </c>
      <c r="W5" s="40">
        <v>7.3</v>
      </c>
      <c r="X5" s="40">
        <v>50.5</v>
      </c>
      <c r="Y5" s="41" t="s">
        <v>264</v>
      </c>
      <c r="Z5" s="41"/>
      <c r="AA5" s="41" t="s">
        <v>264</v>
      </c>
      <c r="AB5" s="41" t="s">
        <v>264</v>
      </c>
      <c r="AC5" s="41" t="s">
        <v>264</v>
      </c>
      <c r="AD5" s="41" t="s">
        <v>264</v>
      </c>
      <c r="AE5" s="41"/>
      <c r="AF5" s="42"/>
      <c r="AG5" s="41" t="s">
        <v>264</v>
      </c>
      <c r="AH5" s="41" t="s">
        <v>264</v>
      </c>
      <c r="AI5" s="40">
        <v>63</v>
      </c>
      <c r="AJ5" s="40"/>
      <c r="AK5" s="40"/>
      <c r="AL5" s="42">
        <v>65.2</v>
      </c>
      <c r="AM5" s="40">
        <v>42.5</v>
      </c>
      <c r="AN5" s="40">
        <v>22.7</v>
      </c>
      <c r="AO5" s="40">
        <v>2431.1</v>
      </c>
      <c r="AP5" s="40">
        <v>207.7</v>
      </c>
      <c r="AQ5" s="40">
        <v>74.900000000000006</v>
      </c>
      <c r="AR5" s="40">
        <v>32.799999999999997</v>
      </c>
      <c r="AS5" s="41">
        <v>173</v>
      </c>
      <c r="AT5" s="41">
        <v>27.6</v>
      </c>
      <c r="AU5" s="41">
        <v>96.2</v>
      </c>
      <c r="AV5" s="41">
        <v>20.7</v>
      </c>
      <c r="AW5" s="41">
        <v>5.7</v>
      </c>
      <c r="AX5" s="41">
        <v>1.2</v>
      </c>
      <c r="AY5" s="41">
        <v>41</v>
      </c>
      <c r="AZ5" s="41">
        <v>4.5999999999999996</v>
      </c>
      <c r="BA5" s="41" t="s">
        <v>264</v>
      </c>
      <c r="BB5" s="41" t="s">
        <v>264</v>
      </c>
      <c r="BC5" s="41"/>
      <c r="BD5" s="43">
        <v>72.400000000000006</v>
      </c>
      <c r="BE5" s="43">
        <v>56.6</v>
      </c>
      <c r="BF5" s="43"/>
      <c r="BG5" s="43"/>
      <c r="BH5" s="43"/>
      <c r="BI5" s="43"/>
      <c r="BJ5" s="43"/>
      <c r="BK5" s="43"/>
      <c r="BL5" s="43"/>
      <c r="BM5" s="43">
        <v>497.2</v>
      </c>
      <c r="BN5" s="43"/>
      <c r="BO5" s="43"/>
      <c r="BP5" s="43"/>
      <c r="BQ5" s="43"/>
      <c r="BR5" s="43"/>
      <c r="BS5" s="44">
        <v>390.4</v>
      </c>
      <c r="BT5" s="43"/>
      <c r="BU5" s="43">
        <v>49.9</v>
      </c>
      <c r="BV5" s="41" t="s">
        <v>264</v>
      </c>
      <c r="BW5" s="41" t="s">
        <v>264</v>
      </c>
      <c r="BX5" s="41">
        <v>466.3</v>
      </c>
      <c r="BY5" s="41" t="s">
        <v>264</v>
      </c>
      <c r="BZ5" s="41" t="s">
        <v>264</v>
      </c>
      <c r="CA5" s="40"/>
      <c r="CB5" s="43"/>
      <c r="CC5" s="43"/>
      <c r="CD5" s="43"/>
      <c r="CE5" s="43"/>
      <c r="CF5" s="43">
        <v>97.5</v>
      </c>
      <c r="CG5" s="43">
        <v>125.5</v>
      </c>
      <c r="CH5" s="43">
        <v>14.5</v>
      </c>
      <c r="CI5" s="43"/>
      <c r="CJ5" s="43"/>
      <c r="CK5" s="43"/>
      <c r="CL5" s="43"/>
      <c r="CM5" s="43"/>
      <c r="CN5" s="43">
        <v>40.299999999999997</v>
      </c>
      <c r="CO5" s="43">
        <v>217.4</v>
      </c>
      <c r="CP5" s="43">
        <v>177.3</v>
      </c>
      <c r="CQ5" s="43">
        <v>40.1</v>
      </c>
      <c r="CR5" s="43">
        <v>12.2</v>
      </c>
      <c r="CS5" s="43">
        <v>35.599999999999994</v>
      </c>
      <c r="CT5" s="43">
        <v>18.7</v>
      </c>
      <c r="CU5" s="43">
        <v>16.899999999999999</v>
      </c>
      <c r="CV5" s="43">
        <v>81.5</v>
      </c>
      <c r="CW5" s="43">
        <v>81.5</v>
      </c>
      <c r="CX5" s="43"/>
      <c r="CY5" s="43">
        <v>13.6</v>
      </c>
      <c r="CZ5" s="43">
        <v>22.9</v>
      </c>
      <c r="DA5" s="43">
        <v>43.8</v>
      </c>
      <c r="DB5" s="43">
        <v>35.5</v>
      </c>
      <c r="DC5" s="43">
        <v>8.3000000000000007</v>
      </c>
      <c r="DD5" s="43"/>
      <c r="DE5" s="43"/>
      <c r="DF5" s="44"/>
      <c r="DG5" s="43">
        <v>161.4</v>
      </c>
      <c r="DH5" s="43"/>
      <c r="DI5" s="43">
        <v>700.4</v>
      </c>
      <c r="DJ5" s="43">
        <v>166.8</v>
      </c>
      <c r="DK5" s="43">
        <v>529.6</v>
      </c>
      <c r="DL5" s="43">
        <v>113.4</v>
      </c>
      <c r="DM5" s="43">
        <v>168.5</v>
      </c>
      <c r="DN5" s="43"/>
      <c r="DO5" s="43">
        <v>161.4</v>
      </c>
      <c r="DP5" s="43">
        <v>159.69999999999999</v>
      </c>
      <c r="DQ5" s="43">
        <v>67.099999999999994</v>
      </c>
      <c r="DR5" s="43">
        <v>148.6</v>
      </c>
      <c r="DS5" s="43">
        <v>754.9</v>
      </c>
      <c r="DT5" s="43">
        <v>3131.8</v>
      </c>
      <c r="DU5" s="43">
        <v>-161.39999999999964</v>
      </c>
      <c r="DV5" s="43">
        <v>0</v>
      </c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5"/>
      <c r="GZ5" s="43">
        <v>760.3</v>
      </c>
      <c r="HA5" s="43"/>
      <c r="HB5" s="45"/>
      <c r="HC5" s="45"/>
      <c r="HD5" s="45"/>
      <c r="HE5" s="45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4"/>
      <c r="II5" s="44"/>
      <c r="IJ5" s="44"/>
      <c r="IK5" s="44"/>
      <c r="IL5" s="44"/>
      <c r="IM5" s="43"/>
      <c r="IN5" s="43">
        <v>103</v>
      </c>
      <c r="IO5" s="46"/>
      <c r="IP5" s="46"/>
      <c r="IQ5" s="46"/>
      <c r="IR5" s="46"/>
      <c r="IS5" s="46"/>
      <c r="IT5" s="46"/>
      <c r="IU5" s="46"/>
      <c r="IV5" s="46"/>
      <c r="IW5" s="47"/>
      <c r="IX5" s="47"/>
      <c r="IY5" s="48">
        <f t="shared" si="2"/>
        <v>48.010728654447917</v>
      </c>
      <c r="IZ5" s="48">
        <f>IY5-'NOPA Crush'!J5</f>
        <v>0.41072865444791518</v>
      </c>
      <c r="JB5" s="63">
        <f t="shared" si="0"/>
        <v>10.556229644294016</v>
      </c>
      <c r="JC5" s="64">
        <f>JB5-'NOPA Crush'!O5</f>
        <v>5.6229644294015557E-2</v>
      </c>
      <c r="JD5" s="65"/>
      <c r="JE5" s="67">
        <f t="shared" si="1"/>
        <v>1030.0999999999999</v>
      </c>
      <c r="JF5" s="68">
        <f>'NOPA Crush'!Q5/'Census Crush'!JE5</f>
        <v>0.34249102028929235</v>
      </c>
    </row>
    <row r="6" spans="1:267">
      <c r="A6" s="39">
        <v>29221</v>
      </c>
      <c r="B6" s="49">
        <v>3198.7</v>
      </c>
      <c r="C6" s="50">
        <v>4363.2</v>
      </c>
      <c r="D6" s="50">
        <v>441.8</v>
      </c>
      <c r="E6" s="50">
        <v>3246.3</v>
      </c>
      <c r="F6" s="50">
        <v>7.6</v>
      </c>
      <c r="G6" s="50">
        <v>52.4</v>
      </c>
      <c r="H6" s="50">
        <v>30.8</v>
      </c>
      <c r="I6" s="50" t="s">
        <v>264</v>
      </c>
      <c r="J6" s="50" t="s">
        <v>264</v>
      </c>
      <c r="K6" s="49">
        <v>1115.3</v>
      </c>
      <c r="L6" s="49">
        <v>1155.0999999999999</v>
      </c>
      <c r="M6" s="49">
        <v>767</v>
      </c>
      <c r="N6" s="49">
        <v>388.1</v>
      </c>
      <c r="O6" s="50">
        <v>142.80000000000001</v>
      </c>
      <c r="P6" s="51">
        <v>173.2</v>
      </c>
      <c r="Q6" s="49">
        <v>78.5</v>
      </c>
      <c r="R6" s="49">
        <v>94.7</v>
      </c>
      <c r="S6" s="49"/>
      <c r="T6" s="49">
        <v>6.2</v>
      </c>
      <c r="U6" s="51">
        <v>22.6</v>
      </c>
      <c r="V6" s="49">
        <v>15.7</v>
      </c>
      <c r="W6" s="49">
        <v>6.9</v>
      </c>
      <c r="X6" s="49">
        <v>40</v>
      </c>
      <c r="Y6" s="49">
        <v>11.8</v>
      </c>
      <c r="Z6" s="49">
        <v>94.7</v>
      </c>
      <c r="AA6" s="49">
        <v>74.400000000000006</v>
      </c>
      <c r="AB6" s="49">
        <v>20.3</v>
      </c>
      <c r="AC6" s="49" t="s">
        <v>264</v>
      </c>
      <c r="AD6" s="49" t="s">
        <v>264</v>
      </c>
      <c r="AE6" s="49"/>
      <c r="AF6" s="51"/>
      <c r="AG6" s="50" t="s">
        <v>264</v>
      </c>
      <c r="AH6" s="50" t="s">
        <v>264</v>
      </c>
      <c r="AI6" s="49">
        <v>62.3</v>
      </c>
      <c r="AJ6" s="49"/>
      <c r="AK6" s="49"/>
      <c r="AL6" s="51">
        <v>67</v>
      </c>
      <c r="AM6" s="49">
        <v>44.6</v>
      </c>
      <c r="AN6" s="49">
        <v>22.4</v>
      </c>
      <c r="AO6" s="49">
        <v>2476.6</v>
      </c>
      <c r="AP6" s="49">
        <v>158.69999999999999</v>
      </c>
      <c r="AQ6" s="49">
        <v>78.5</v>
      </c>
      <c r="AR6" s="49">
        <v>25.6</v>
      </c>
      <c r="AS6" s="50">
        <v>201</v>
      </c>
      <c r="AT6" s="50">
        <v>28.5</v>
      </c>
      <c r="AU6" s="50">
        <v>115.3</v>
      </c>
      <c r="AV6" s="50">
        <v>28.9</v>
      </c>
      <c r="AW6" s="50">
        <v>4.4000000000000004</v>
      </c>
      <c r="AX6" s="50">
        <v>0.8</v>
      </c>
      <c r="AY6" s="50">
        <v>32.200000000000003</v>
      </c>
      <c r="AZ6" s="50" t="s">
        <v>264</v>
      </c>
      <c r="BA6" s="50" t="s">
        <v>264</v>
      </c>
      <c r="BB6" s="50" t="s">
        <v>264</v>
      </c>
      <c r="BC6" s="50"/>
      <c r="BD6" s="52">
        <v>73.8</v>
      </c>
      <c r="BE6" s="52">
        <v>62.8</v>
      </c>
      <c r="BF6" s="52"/>
      <c r="BG6" s="52"/>
      <c r="BH6" s="52"/>
      <c r="BI6" s="52"/>
      <c r="BJ6" s="52"/>
      <c r="BK6" s="52"/>
      <c r="BL6" s="52"/>
      <c r="BM6" s="52">
        <v>531.5</v>
      </c>
      <c r="BN6" s="52"/>
      <c r="BO6" s="52"/>
      <c r="BP6" s="52"/>
      <c r="BQ6" s="52"/>
      <c r="BR6" s="52"/>
      <c r="BS6" s="53">
        <v>420.2</v>
      </c>
      <c r="BT6" s="52"/>
      <c r="BU6" s="52">
        <v>54.4</v>
      </c>
      <c r="BV6" s="50" t="s">
        <v>264</v>
      </c>
      <c r="BW6" s="50" t="s">
        <v>264</v>
      </c>
      <c r="BX6" s="50">
        <v>502.9</v>
      </c>
      <c r="BY6" s="50" t="s">
        <v>264</v>
      </c>
      <c r="BZ6" s="50" t="s">
        <v>264</v>
      </c>
      <c r="CA6" s="49"/>
      <c r="CB6" s="52"/>
      <c r="CC6" s="52"/>
      <c r="CD6" s="52"/>
      <c r="CE6" s="52"/>
      <c r="CF6" s="52">
        <v>112.4</v>
      </c>
      <c r="CG6" s="52">
        <v>137.5</v>
      </c>
      <c r="CH6" s="52">
        <v>15.4</v>
      </c>
      <c r="CI6" s="52"/>
      <c r="CJ6" s="52"/>
      <c r="CK6" s="52"/>
      <c r="CL6" s="52"/>
      <c r="CM6" s="52"/>
      <c r="CN6" s="52">
        <v>50.2</v>
      </c>
      <c r="CO6" s="52">
        <v>281.10000000000002</v>
      </c>
      <c r="CP6" s="52">
        <v>229.8</v>
      </c>
      <c r="CQ6" s="52">
        <v>51.3</v>
      </c>
      <c r="CR6" s="52" t="s">
        <v>264</v>
      </c>
      <c r="CS6" s="52">
        <v>41.8</v>
      </c>
      <c r="CT6" s="52">
        <v>25.6</v>
      </c>
      <c r="CU6" s="52">
        <v>16.2</v>
      </c>
      <c r="CV6" s="52">
        <v>89</v>
      </c>
      <c r="CW6" s="52">
        <v>89</v>
      </c>
      <c r="CX6" s="52"/>
      <c r="CY6" s="52">
        <v>14.4</v>
      </c>
      <c r="CZ6" s="52">
        <v>19.7</v>
      </c>
      <c r="DA6" s="52">
        <v>32.1</v>
      </c>
      <c r="DB6" s="52">
        <v>24.6</v>
      </c>
      <c r="DC6" s="52">
        <v>7.5</v>
      </c>
      <c r="DD6" s="52"/>
      <c r="DE6" s="52"/>
      <c r="DF6" s="53"/>
      <c r="DG6" s="53">
        <v>163.80000000000001</v>
      </c>
      <c r="DH6" s="53"/>
      <c r="DI6" s="53">
        <v>731.1</v>
      </c>
      <c r="DJ6" s="53">
        <v>190.9</v>
      </c>
      <c r="DK6" s="53">
        <v>521.1</v>
      </c>
      <c r="DL6" s="53">
        <v>120.4</v>
      </c>
      <c r="DM6" s="53">
        <v>174.9</v>
      </c>
      <c r="DN6" s="53">
        <v>135.69999999999999</v>
      </c>
      <c r="DO6" s="53">
        <v>155.1</v>
      </c>
      <c r="DP6" s="53">
        <v>156.4</v>
      </c>
      <c r="DQ6" s="53">
        <v>70.599999999999994</v>
      </c>
      <c r="DR6" s="53">
        <v>124.4</v>
      </c>
      <c r="DS6" s="53">
        <v>654.29999999999995</v>
      </c>
      <c r="DT6" s="53">
        <v>3198.7</v>
      </c>
      <c r="DU6" s="53">
        <v>-163.80000000000018</v>
      </c>
      <c r="DV6" s="53">
        <v>0</v>
      </c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17"/>
      <c r="GZ6" s="52">
        <v>801.9</v>
      </c>
      <c r="HA6" s="52"/>
      <c r="HB6" s="17"/>
      <c r="HC6" s="17"/>
      <c r="HD6" s="17"/>
      <c r="HE6" s="17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3"/>
      <c r="II6" s="53"/>
      <c r="IJ6" s="53"/>
      <c r="IK6" s="53"/>
      <c r="IL6" s="53"/>
      <c r="IM6" s="52"/>
      <c r="IN6" s="52">
        <v>126</v>
      </c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48">
        <f t="shared" si="2"/>
        <v>47.927595585706698</v>
      </c>
      <c r="IZ6" s="48">
        <f>IY6-'NOPA Crush'!J6</f>
        <v>0.42759558570669753</v>
      </c>
      <c r="JB6" s="63">
        <f t="shared" si="0"/>
        <v>10.460186950948824</v>
      </c>
      <c r="JC6" s="64">
        <f>JB6-'NOPA Crush'!O6</f>
        <v>-0.13981304905117575</v>
      </c>
      <c r="JD6" s="65"/>
      <c r="JE6" s="67">
        <f t="shared" si="1"/>
        <v>1155.0999999999999</v>
      </c>
      <c r="JF6" s="68">
        <f>'NOPA Crush'!Q6/'Census Crush'!JE6</f>
        <v>0.30880443251666523</v>
      </c>
    </row>
    <row r="7" spans="1:267">
      <c r="A7" s="39">
        <v>29252</v>
      </c>
      <c r="B7" s="49">
        <v>3000.6</v>
      </c>
      <c r="C7" s="50">
        <v>3931.4</v>
      </c>
      <c r="D7" s="50">
        <v>388</v>
      </c>
      <c r="E7" s="50">
        <v>2968.2</v>
      </c>
      <c r="F7" s="50">
        <v>17.3</v>
      </c>
      <c r="G7" s="50">
        <v>59.8</v>
      </c>
      <c r="H7" s="50">
        <v>23.4</v>
      </c>
      <c r="I7" s="50" t="s">
        <v>264</v>
      </c>
      <c r="J7" s="50" t="s">
        <v>264</v>
      </c>
      <c r="K7" s="49">
        <v>1064.9000000000001</v>
      </c>
      <c r="L7" s="49">
        <v>1204.5999999999999</v>
      </c>
      <c r="M7" s="49">
        <v>801</v>
      </c>
      <c r="N7" s="49">
        <v>403.6</v>
      </c>
      <c r="O7" s="50">
        <v>125.7</v>
      </c>
      <c r="P7" s="51">
        <v>198.9</v>
      </c>
      <c r="Q7" s="49">
        <v>92</v>
      </c>
      <c r="R7" s="49">
        <v>106.9</v>
      </c>
      <c r="S7" s="49"/>
      <c r="T7" s="49">
        <v>15.1</v>
      </c>
      <c r="U7" s="51">
        <v>20.100000000000001</v>
      </c>
      <c r="V7" s="49">
        <v>14.3</v>
      </c>
      <c r="W7" s="49">
        <v>5.8</v>
      </c>
      <c r="X7" s="49">
        <v>46.3</v>
      </c>
      <c r="Y7" s="49">
        <v>12.4</v>
      </c>
      <c r="Z7" s="49">
        <v>118.7</v>
      </c>
      <c r="AA7" s="49">
        <v>99</v>
      </c>
      <c r="AB7" s="49">
        <v>19.7</v>
      </c>
      <c r="AC7" s="49" t="s">
        <v>264</v>
      </c>
      <c r="AD7" s="49" t="s">
        <v>264</v>
      </c>
      <c r="AE7" s="49"/>
      <c r="AF7" s="51"/>
      <c r="AG7" s="50" t="s">
        <v>264</v>
      </c>
      <c r="AH7" s="50" t="s">
        <v>264</v>
      </c>
      <c r="AI7" s="49">
        <v>60</v>
      </c>
      <c r="AJ7" s="49"/>
      <c r="AK7" s="49"/>
      <c r="AL7" s="51">
        <v>66.099999999999994</v>
      </c>
      <c r="AM7" s="49">
        <v>37.299999999999997</v>
      </c>
      <c r="AN7" s="49">
        <v>28.8</v>
      </c>
      <c r="AO7" s="49">
        <v>2318.9</v>
      </c>
      <c r="AP7" s="49">
        <v>160.6</v>
      </c>
      <c r="AQ7" s="49">
        <v>81.099999999999994</v>
      </c>
      <c r="AR7" s="49">
        <v>30.8</v>
      </c>
      <c r="AS7" s="50">
        <v>178</v>
      </c>
      <c r="AT7" s="50">
        <v>22.9</v>
      </c>
      <c r="AU7" s="50">
        <v>103.6</v>
      </c>
      <c r="AV7" s="50">
        <v>35.9</v>
      </c>
      <c r="AW7" s="50">
        <v>9.3000000000000007</v>
      </c>
      <c r="AX7" s="50">
        <v>1.5</v>
      </c>
      <c r="AY7" s="50">
        <v>36.200000000000003</v>
      </c>
      <c r="AZ7" s="50" t="s">
        <v>264</v>
      </c>
      <c r="BA7" s="50" t="s">
        <v>264</v>
      </c>
      <c r="BB7" s="50" t="s">
        <v>264</v>
      </c>
      <c r="BC7" s="50"/>
      <c r="BD7" s="52">
        <v>70.2</v>
      </c>
      <c r="BE7" s="52">
        <v>59.2</v>
      </c>
      <c r="BF7" s="52"/>
      <c r="BG7" s="52"/>
      <c r="BH7" s="52"/>
      <c r="BI7" s="52"/>
      <c r="BJ7" s="52"/>
      <c r="BK7" s="52"/>
      <c r="BL7" s="52"/>
      <c r="BM7" s="52">
        <v>480.6</v>
      </c>
      <c r="BN7" s="52"/>
      <c r="BO7" s="52"/>
      <c r="BP7" s="52"/>
      <c r="BQ7" s="52"/>
      <c r="BR7" s="52"/>
      <c r="BS7" s="53">
        <v>440</v>
      </c>
      <c r="BT7" s="52"/>
      <c r="BU7" s="52">
        <v>61.3</v>
      </c>
      <c r="BV7" s="50" t="s">
        <v>264</v>
      </c>
      <c r="BW7" s="50" t="s">
        <v>264</v>
      </c>
      <c r="BX7" s="50">
        <v>423.2</v>
      </c>
      <c r="BY7" s="50" t="s">
        <v>264</v>
      </c>
      <c r="BZ7" s="50" t="s">
        <v>264</v>
      </c>
      <c r="CA7" s="49"/>
      <c r="CB7" s="52"/>
      <c r="CC7" s="52"/>
      <c r="CD7" s="52"/>
      <c r="CE7" s="52"/>
      <c r="CF7" s="52">
        <v>106.1</v>
      </c>
      <c r="CG7" s="52">
        <v>134.5</v>
      </c>
      <c r="CH7" s="52">
        <v>14</v>
      </c>
      <c r="CI7" s="52"/>
      <c r="CJ7" s="52"/>
      <c r="CK7" s="52"/>
      <c r="CL7" s="52"/>
      <c r="CM7" s="52"/>
      <c r="CN7" s="52">
        <v>37.5</v>
      </c>
      <c r="CO7" s="52">
        <v>190</v>
      </c>
      <c r="CP7" s="52">
        <v>149.4</v>
      </c>
      <c r="CQ7" s="52">
        <v>40.6</v>
      </c>
      <c r="CR7" s="52" t="s">
        <v>264</v>
      </c>
      <c r="CS7" s="52">
        <v>36.299999999999997</v>
      </c>
      <c r="CT7" s="52">
        <v>21.9</v>
      </c>
      <c r="CU7" s="52">
        <v>14.4</v>
      </c>
      <c r="CV7" s="52">
        <v>85.5</v>
      </c>
      <c r="CW7" s="52">
        <v>85.5</v>
      </c>
      <c r="CX7" s="52"/>
      <c r="CY7" s="52">
        <v>14</v>
      </c>
      <c r="CZ7" s="52">
        <v>36</v>
      </c>
      <c r="DA7" s="52">
        <v>35.299999999999997</v>
      </c>
      <c r="DB7" s="52">
        <v>26.3</v>
      </c>
      <c r="DC7" s="52">
        <v>9</v>
      </c>
      <c r="DD7" s="52"/>
      <c r="DE7" s="52"/>
      <c r="DF7" s="53"/>
      <c r="DG7" s="53">
        <v>152.9</v>
      </c>
      <c r="DH7" s="53"/>
      <c r="DI7" s="53">
        <v>661</v>
      </c>
      <c r="DJ7" s="53">
        <v>171.7</v>
      </c>
      <c r="DK7" s="53">
        <v>480.8</v>
      </c>
      <c r="DL7" s="53">
        <v>116.4</v>
      </c>
      <c r="DM7" s="53">
        <v>165.1</v>
      </c>
      <c r="DN7" s="53">
        <v>107.9</v>
      </c>
      <c r="DO7" s="53">
        <v>145.80000000000001</v>
      </c>
      <c r="DP7" s="53">
        <v>144.6</v>
      </c>
      <c r="DQ7" s="53">
        <v>68.099999999999994</v>
      </c>
      <c r="DR7" s="53">
        <v>161.30000000000001</v>
      </c>
      <c r="DS7" s="53">
        <v>625</v>
      </c>
      <c r="DT7" s="53">
        <v>3000.6</v>
      </c>
      <c r="DU7" s="53">
        <v>-152.89999999999964</v>
      </c>
      <c r="DV7" s="53">
        <v>0</v>
      </c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17"/>
      <c r="GZ7" s="52">
        <v>760.5</v>
      </c>
      <c r="HA7" s="52"/>
      <c r="HB7" s="17"/>
      <c r="HC7" s="17"/>
      <c r="HD7" s="17"/>
      <c r="HE7" s="17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3"/>
      <c r="II7" s="53"/>
      <c r="IJ7" s="53"/>
      <c r="IK7" s="53"/>
      <c r="IL7" s="53"/>
      <c r="IM7" s="52"/>
      <c r="IN7" s="52">
        <v>113.3</v>
      </c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48">
        <f t="shared" si="2"/>
        <v>47.990401919616076</v>
      </c>
      <c r="IZ7" s="48">
        <f>IY7-'NOPA Crush'!J7</f>
        <v>0.39040191961607462</v>
      </c>
      <c r="JB7" s="63">
        <f t="shared" si="0"/>
        <v>10.646870625874826</v>
      </c>
      <c r="JC7" s="64">
        <f>JB7-'NOPA Crush'!O7</f>
        <v>-5.3129374125173712E-2</v>
      </c>
      <c r="JD7" s="65"/>
      <c r="JE7" s="67">
        <f t="shared" si="1"/>
        <v>1204.5999999999999</v>
      </c>
      <c r="JF7" s="68">
        <f>'NOPA Crush'!Q7/'Census Crush'!JE7</f>
        <v>0.3252531960816869</v>
      </c>
    </row>
    <row r="8" spans="1:267">
      <c r="A8" s="39">
        <v>29281</v>
      </c>
      <c r="B8" s="49">
        <v>3067.4</v>
      </c>
      <c r="C8" s="50">
        <v>3559.1</v>
      </c>
      <c r="D8" s="50">
        <v>454.3</v>
      </c>
      <c r="E8" s="50">
        <v>2543</v>
      </c>
      <c r="F8" s="50">
        <v>26.4</v>
      </c>
      <c r="G8" s="50">
        <v>49.1</v>
      </c>
      <c r="H8" s="50">
        <v>17.399999999999999</v>
      </c>
      <c r="I8" s="50" t="s">
        <v>264</v>
      </c>
      <c r="J8" s="50" t="s">
        <v>264</v>
      </c>
      <c r="K8" s="49">
        <v>1098.0999999999999</v>
      </c>
      <c r="L8" s="49">
        <v>1175.9000000000001</v>
      </c>
      <c r="M8" s="49">
        <v>788.2</v>
      </c>
      <c r="N8" s="49">
        <v>387.7</v>
      </c>
      <c r="O8" s="50">
        <v>145.1</v>
      </c>
      <c r="P8" s="51">
        <v>202.8</v>
      </c>
      <c r="Q8" s="49">
        <v>86.5</v>
      </c>
      <c r="R8" s="49">
        <v>116.3</v>
      </c>
      <c r="S8" s="49"/>
      <c r="T8" s="49">
        <v>16.7</v>
      </c>
      <c r="U8" s="51">
        <v>26.5</v>
      </c>
      <c r="V8" s="49">
        <v>21.6</v>
      </c>
      <c r="W8" s="49">
        <v>4.9000000000000004</v>
      </c>
      <c r="X8" s="49">
        <v>37.799999999999997</v>
      </c>
      <c r="Y8" s="49">
        <v>18.100000000000001</v>
      </c>
      <c r="Z8" s="49">
        <v>94.9</v>
      </c>
      <c r="AA8" s="49">
        <v>72.2</v>
      </c>
      <c r="AB8" s="49">
        <v>22.7</v>
      </c>
      <c r="AC8" s="49" t="s">
        <v>264</v>
      </c>
      <c r="AD8" s="49" t="s">
        <v>264</v>
      </c>
      <c r="AE8" s="49"/>
      <c r="AF8" s="51"/>
      <c r="AG8" s="50" t="s">
        <v>264</v>
      </c>
      <c r="AH8" s="50" t="s">
        <v>264</v>
      </c>
      <c r="AI8" s="49">
        <v>70.7</v>
      </c>
      <c r="AJ8" s="49"/>
      <c r="AK8" s="49"/>
      <c r="AL8" s="51">
        <v>72.099999999999994</v>
      </c>
      <c r="AM8" s="49">
        <v>49.2</v>
      </c>
      <c r="AN8" s="49">
        <v>22.9</v>
      </c>
      <c r="AO8" s="49">
        <v>2378.6</v>
      </c>
      <c r="AP8" s="49">
        <v>219.1</v>
      </c>
      <c r="AQ8" s="49">
        <v>75.8</v>
      </c>
      <c r="AR8" s="49">
        <v>32</v>
      </c>
      <c r="AS8" s="50">
        <v>204</v>
      </c>
      <c r="AT8" s="50">
        <v>41.1</v>
      </c>
      <c r="AU8" s="50">
        <v>118</v>
      </c>
      <c r="AV8" s="50">
        <v>46.6</v>
      </c>
      <c r="AW8" s="50">
        <v>14.2</v>
      </c>
      <c r="AX8" s="50">
        <v>2.2000000000000002</v>
      </c>
      <c r="AY8" s="50">
        <v>30.5</v>
      </c>
      <c r="AZ8" s="50">
        <v>6.2</v>
      </c>
      <c r="BA8" s="50" t="s">
        <v>264</v>
      </c>
      <c r="BB8" s="50" t="s">
        <v>264</v>
      </c>
      <c r="BC8" s="50"/>
      <c r="BD8" s="52">
        <v>82.9</v>
      </c>
      <c r="BE8" s="52">
        <v>52.9</v>
      </c>
      <c r="BF8" s="52"/>
      <c r="BG8" s="52"/>
      <c r="BH8" s="52"/>
      <c r="BI8" s="52"/>
      <c r="BJ8" s="52"/>
      <c r="BK8" s="52"/>
      <c r="BL8" s="52"/>
      <c r="BM8" s="52">
        <v>501</v>
      </c>
      <c r="BN8" s="52"/>
      <c r="BO8" s="52"/>
      <c r="BP8" s="52"/>
      <c r="BQ8" s="52"/>
      <c r="BR8" s="52"/>
      <c r="BS8" s="53">
        <v>399.3</v>
      </c>
      <c r="BT8" s="52"/>
      <c r="BU8" s="52">
        <v>62.5</v>
      </c>
      <c r="BV8" s="50" t="s">
        <v>264</v>
      </c>
      <c r="BW8" s="50" t="s">
        <v>264</v>
      </c>
      <c r="BX8" s="50">
        <v>446.9</v>
      </c>
      <c r="BY8" s="50" t="s">
        <v>264</v>
      </c>
      <c r="BZ8" s="50" t="s">
        <v>264</v>
      </c>
      <c r="CA8" s="49"/>
      <c r="CB8" s="52"/>
      <c r="CC8" s="52"/>
      <c r="CD8" s="52"/>
      <c r="CE8" s="52"/>
      <c r="CF8" s="52">
        <v>118.1</v>
      </c>
      <c r="CG8" s="52">
        <v>140.19999999999999</v>
      </c>
      <c r="CH8" s="52">
        <v>13.5</v>
      </c>
      <c r="CI8" s="52"/>
      <c r="CJ8" s="52"/>
      <c r="CK8" s="52"/>
      <c r="CL8" s="52"/>
      <c r="CM8" s="52"/>
      <c r="CN8" s="52">
        <v>50.5</v>
      </c>
      <c r="CO8" s="52">
        <v>192.8</v>
      </c>
      <c r="CP8" s="52">
        <v>146.4</v>
      </c>
      <c r="CQ8" s="52">
        <v>46.4</v>
      </c>
      <c r="CR8" s="52">
        <v>29.3</v>
      </c>
      <c r="CS8" s="52">
        <v>48.2</v>
      </c>
      <c r="CT8" s="52">
        <v>34.200000000000003</v>
      </c>
      <c r="CU8" s="52">
        <v>14</v>
      </c>
      <c r="CV8" s="52">
        <v>79.7</v>
      </c>
      <c r="CW8" s="52">
        <v>79.7</v>
      </c>
      <c r="CX8" s="52"/>
      <c r="CY8" s="52">
        <v>16.2</v>
      </c>
      <c r="CZ8" s="52">
        <v>33.700000000000003</v>
      </c>
      <c r="DA8" s="52">
        <v>41.7</v>
      </c>
      <c r="DB8" s="52">
        <v>29.1</v>
      </c>
      <c r="DC8" s="52">
        <v>12.6</v>
      </c>
      <c r="DD8" s="52"/>
      <c r="DE8" s="52"/>
      <c r="DF8" s="53"/>
      <c r="DG8" s="53">
        <v>146.80000000000001</v>
      </c>
      <c r="DH8" s="53"/>
      <c r="DI8" s="53">
        <v>718.1</v>
      </c>
      <c r="DJ8" s="53">
        <v>184.6</v>
      </c>
      <c r="DK8" s="53">
        <v>507.7</v>
      </c>
      <c r="DL8" s="53">
        <v>118.9</v>
      </c>
      <c r="DM8" s="53">
        <v>167.7</v>
      </c>
      <c r="DN8" s="53">
        <v>88</v>
      </c>
      <c r="DO8" s="53">
        <v>152.30000000000001</v>
      </c>
      <c r="DP8" s="53">
        <v>158.4</v>
      </c>
      <c r="DQ8" s="53">
        <v>65.8</v>
      </c>
      <c r="DR8" s="53">
        <v>164.7</v>
      </c>
      <c r="DS8" s="53">
        <v>594.4</v>
      </c>
      <c r="DT8" s="53">
        <v>3067.4</v>
      </c>
      <c r="DU8" s="53">
        <v>-146.79999999999973</v>
      </c>
      <c r="DV8" s="53">
        <v>0</v>
      </c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17"/>
      <c r="GZ8" s="52">
        <v>767.7</v>
      </c>
      <c r="HA8" s="52"/>
      <c r="HB8" s="17"/>
      <c r="HC8" s="17"/>
      <c r="HD8" s="17"/>
      <c r="HE8" s="17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3"/>
      <c r="II8" s="53"/>
      <c r="IJ8" s="53"/>
      <c r="IK8" s="53"/>
      <c r="IL8" s="53"/>
      <c r="IM8" s="52"/>
      <c r="IN8" s="52">
        <v>131</v>
      </c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48">
        <f t="shared" si="2"/>
        <v>48.00938905913803</v>
      </c>
      <c r="IZ8" s="48">
        <f>IY8-'NOPA Crush'!J8</f>
        <v>0.4093890591380287</v>
      </c>
      <c r="JB8" s="63">
        <f t="shared" si="0"/>
        <v>10.739714416117884</v>
      </c>
      <c r="JC8" s="64">
        <f>JB8-'NOPA Crush'!O8</f>
        <v>-6.0285583882116356E-2</v>
      </c>
      <c r="JD8" s="65"/>
      <c r="JE8" s="67">
        <f t="shared" si="1"/>
        <v>1175.9000000000001</v>
      </c>
      <c r="JF8" s="68">
        <f>'NOPA Crush'!Q8/'Census Crush'!JE8</f>
        <v>0.38055957139212515</v>
      </c>
    </row>
    <row r="9" spans="1:267">
      <c r="A9" s="39">
        <v>29312</v>
      </c>
      <c r="B9" s="49">
        <v>2759.2</v>
      </c>
      <c r="C9" s="50">
        <v>2873.5</v>
      </c>
      <c r="D9" s="50">
        <v>373.6</v>
      </c>
      <c r="E9" s="50">
        <v>2140.1999999999998</v>
      </c>
      <c r="F9" s="50">
        <v>29.8</v>
      </c>
      <c r="G9" s="50">
        <v>40.6</v>
      </c>
      <c r="H9" s="50">
        <v>16.3</v>
      </c>
      <c r="I9" s="50" t="s">
        <v>264</v>
      </c>
      <c r="J9" s="50" t="s">
        <v>264</v>
      </c>
      <c r="K9" s="49">
        <v>993.7</v>
      </c>
      <c r="L9" s="49">
        <v>1183.7</v>
      </c>
      <c r="M9" s="49">
        <v>801.7</v>
      </c>
      <c r="N9" s="49">
        <v>382</v>
      </c>
      <c r="O9" s="50">
        <v>119.8</v>
      </c>
      <c r="P9" s="51">
        <v>188.7</v>
      </c>
      <c r="Q9" s="49">
        <v>76.900000000000006</v>
      </c>
      <c r="R9" s="49">
        <v>111.8</v>
      </c>
      <c r="S9" s="49"/>
      <c r="T9" s="49">
        <v>25.9</v>
      </c>
      <c r="U9" s="51">
        <v>30.299999999999997</v>
      </c>
      <c r="V9" s="49">
        <v>21.2</v>
      </c>
      <c r="W9" s="49">
        <v>9.1</v>
      </c>
      <c r="X9" s="49">
        <v>31.4</v>
      </c>
      <c r="Y9" s="49">
        <v>21</v>
      </c>
      <c r="Z9" s="49">
        <v>81.3</v>
      </c>
      <c r="AA9" s="49">
        <v>50.8</v>
      </c>
      <c r="AB9" s="49">
        <v>30.5</v>
      </c>
      <c r="AC9" s="49" t="s">
        <v>264</v>
      </c>
      <c r="AD9" s="49" t="s">
        <v>264</v>
      </c>
      <c r="AE9" s="49"/>
      <c r="AF9" s="51"/>
      <c r="AG9" s="50" t="s">
        <v>264</v>
      </c>
      <c r="AH9" s="50" t="s">
        <v>264</v>
      </c>
      <c r="AI9" s="49">
        <v>64.3</v>
      </c>
      <c r="AJ9" s="49"/>
      <c r="AK9" s="49"/>
      <c r="AL9" s="51">
        <v>62.9</v>
      </c>
      <c r="AM9" s="49">
        <v>38.5</v>
      </c>
      <c r="AN9" s="49">
        <v>24.4</v>
      </c>
      <c r="AO9" s="49">
        <v>2129.4</v>
      </c>
      <c r="AP9" s="49">
        <v>193.9</v>
      </c>
      <c r="AQ9" s="49">
        <v>73.8</v>
      </c>
      <c r="AR9" s="49">
        <v>32.200000000000003</v>
      </c>
      <c r="AS9" s="50">
        <v>168.9</v>
      </c>
      <c r="AT9" s="50">
        <v>39.799999999999997</v>
      </c>
      <c r="AU9" s="50">
        <v>96.8</v>
      </c>
      <c r="AV9" s="50">
        <v>48</v>
      </c>
      <c r="AW9" s="50">
        <v>16.3</v>
      </c>
      <c r="AX9" s="50">
        <v>3.8</v>
      </c>
      <c r="AY9" s="50">
        <v>25</v>
      </c>
      <c r="AZ9" s="50">
        <v>4</v>
      </c>
      <c r="BA9" s="50" t="s">
        <v>264</v>
      </c>
      <c r="BB9" s="50" t="s">
        <v>264</v>
      </c>
      <c r="BC9" s="50"/>
      <c r="BD9" s="52">
        <v>84.6</v>
      </c>
      <c r="BE9" s="52">
        <v>50</v>
      </c>
      <c r="BF9" s="52"/>
      <c r="BG9" s="52"/>
      <c r="BH9" s="52"/>
      <c r="BI9" s="52"/>
      <c r="BJ9" s="52"/>
      <c r="BK9" s="52"/>
      <c r="BL9" s="52"/>
      <c r="BM9" s="52">
        <v>504.7</v>
      </c>
      <c r="BN9" s="52"/>
      <c r="BO9" s="52"/>
      <c r="BP9" s="52"/>
      <c r="BQ9" s="52"/>
      <c r="BR9" s="52"/>
      <c r="BS9" s="53">
        <v>343</v>
      </c>
      <c r="BT9" s="52"/>
      <c r="BU9" s="52">
        <v>57.9</v>
      </c>
      <c r="BV9" s="50" t="s">
        <v>264</v>
      </c>
      <c r="BW9" s="50" t="s">
        <v>264</v>
      </c>
      <c r="BX9" s="50">
        <v>440.4</v>
      </c>
      <c r="BY9" s="50" t="s">
        <v>264</v>
      </c>
      <c r="BZ9" s="50" t="s">
        <v>264</v>
      </c>
      <c r="CA9" s="49"/>
      <c r="CB9" s="52"/>
      <c r="CC9" s="52"/>
      <c r="CD9" s="52"/>
      <c r="CE9" s="52"/>
      <c r="CF9" s="52">
        <v>118.7</v>
      </c>
      <c r="CG9" s="52">
        <v>137.1</v>
      </c>
      <c r="CH9" s="52">
        <v>14.1</v>
      </c>
      <c r="CI9" s="52"/>
      <c r="CJ9" s="52"/>
      <c r="CK9" s="52"/>
      <c r="CL9" s="52"/>
      <c r="CM9" s="52"/>
      <c r="CN9" s="52">
        <v>47.5</v>
      </c>
      <c r="CO9" s="52">
        <v>178.70000000000002</v>
      </c>
      <c r="CP9" s="52">
        <v>140.30000000000001</v>
      </c>
      <c r="CQ9" s="52">
        <v>38.4</v>
      </c>
      <c r="CR9" s="52">
        <v>30.7</v>
      </c>
      <c r="CS9" s="52">
        <v>65.599999999999994</v>
      </c>
      <c r="CT9" s="52">
        <v>51.8</v>
      </c>
      <c r="CU9" s="52">
        <v>13.8</v>
      </c>
      <c r="CV9" s="52">
        <v>76.5</v>
      </c>
      <c r="CW9" s="52">
        <v>76.5</v>
      </c>
      <c r="CX9" s="52"/>
      <c r="CY9" s="52">
        <v>10.1</v>
      </c>
      <c r="CZ9" s="52">
        <v>47.3</v>
      </c>
      <c r="DA9" s="52">
        <v>45.5</v>
      </c>
      <c r="DB9" s="52">
        <v>31</v>
      </c>
      <c r="DC9" s="52">
        <v>14.5</v>
      </c>
      <c r="DD9" s="52"/>
      <c r="DE9" s="52"/>
      <c r="DF9" s="53"/>
      <c r="DG9" s="53">
        <v>150.4</v>
      </c>
      <c r="DH9" s="53"/>
      <c r="DI9" s="53">
        <v>608.20000000000005</v>
      </c>
      <c r="DJ9" s="53">
        <v>151</v>
      </c>
      <c r="DK9" s="53">
        <v>478.1</v>
      </c>
      <c r="DL9" s="53">
        <v>94.2</v>
      </c>
      <c r="DM9" s="53">
        <v>140.19999999999999</v>
      </c>
      <c r="DN9" s="53"/>
      <c r="DO9" s="53">
        <v>136.6</v>
      </c>
      <c r="DP9" s="53">
        <v>147.4</v>
      </c>
      <c r="DQ9" s="53">
        <v>56.7</v>
      </c>
      <c r="DR9" s="53">
        <v>163.69999999999999</v>
      </c>
      <c r="DS9" s="53">
        <v>632.70000000000005</v>
      </c>
      <c r="DT9" s="53">
        <v>2759.2</v>
      </c>
      <c r="DU9" s="53">
        <v>-150.39999999999964</v>
      </c>
      <c r="DV9" s="53">
        <v>0</v>
      </c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17"/>
      <c r="GZ9" s="52">
        <v>687.1</v>
      </c>
      <c r="HA9" s="52"/>
      <c r="HB9" s="17"/>
      <c r="HC9" s="17"/>
      <c r="HD9" s="17"/>
      <c r="HE9" s="17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3"/>
      <c r="II9" s="53"/>
      <c r="IJ9" s="53"/>
      <c r="IK9" s="53"/>
      <c r="IL9" s="53"/>
      <c r="IM9" s="52"/>
      <c r="IN9" s="52">
        <v>113.9</v>
      </c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48">
        <f t="shared" si="2"/>
        <v>47.909538996810674</v>
      </c>
      <c r="IZ9" s="48">
        <f>IY9-'NOPA Crush'!J9</f>
        <v>0.30953899681067298</v>
      </c>
      <c r="JB9" s="63">
        <f t="shared" si="0"/>
        <v>10.804218614091042</v>
      </c>
      <c r="JC9" s="64">
        <f>JB9-'NOPA Crush'!O9</f>
        <v>4.218614091040962E-3</v>
      </c>
      <c r="JD9" s="65"/>
      <c r="JE9" s="67">
        <f t="shared" si="1"/>
        <v>1183.7</v>
      </c>
      <c r="JF9" s="68">
        <f>'NOPA Crush'!Q9/'Census Crush'!JE9</f>
        <v>0.36884345695699927</v>
      </c>
    </row>
    <row r="10" spans="1:267">
      <c r="A10" s="39">
        <v>29342</v>
      </c>
      <c r="B10" s="49">
        <v>2814.9</v>
      </c>
      <c r="C10" s="50">
        <v>2392.4</v>
      </c>
      <c r="D10" s="50">
        <v>388.4</v>
      </c>
      <c r="E10" s="50">
        <v>1720</v>
      </c>
      <c r="F10" s="50">
        <v>37.4</v>
      </c>
      <c r="G10" s="50">
        <v>60.3</v>
      </c>
      <c r="H10" s="50">
        <v>8.1999999999999993</v>
      </c>
      <c r="I10" s="50" t="s">
        <v>264</v>
      </c>
      <c r="J10" s="50" t="s">
        <v>264</v>
      </c>
      <c r="K10" s="49">
        <v>1009.8</v>
      </c>
      <c r="L10" s="49">
        <v>1144.8000000000002</v>
      </c>
      <c r="M10" s="49">
        <v>773.7</v>
      </c>
      <c r="N10" s="49">
        <v>371.1</v>
      </c>
      <c r="O10" s="50">
        <v>125.5</v>
      </c>
      <c r="P10" s="51">
        <v>165.9</v>
      </c>
      <c r="Q10" s="49">
        <v>74.5</v>
      </c>
      <c r="R10" s="49">
        <v>91.4</v>
      </c>
      <c r="S10" s="49"/>
      <c r="T10" s="49">
        <v>30.7</v>
      </c>
      <c r="U10" s="51">
        <v>35.6</v>
      </c>
      <c r="V10" s="49">
        <v>27.1</v>
      </c>
      <c r="W10" s="49">
        <v>8.5</v>
      </c>
      <c r="X10" s="49">
        <v>47.3</v>
      </c>
      <c r="Y10" s="49">
        <v>13.7</v>
      </c>
      <c r="Z10" s="49">
        <v>81.400000000000006</v>
      </c>
      <c r="AA10" s="49">
        <v>48.8</v>
      </c>
      <c r="AB10" s="49">
        <v>32.6</v>
      </c>
      <c r="AC10" s="49" t="s">
        <v>264</v>
      </c>
      <c r="AD10" s="49" t="s">
        <v>264</v>
      </c>
      <c r="AE10" s="49"/>
      <c r="AF10" s="51"/>
      <c r="AG10" s="50" t="s">
        <v>264</v>
      </c>
      <c r="AH10" s="50" t="s">
        <v>264</v>
      </c>
      <c r="AI10" s="49">
        <v>68.3</v>
      </c>
      <c r="AJ10" s="49"/>
      <c r="AK10" s="49"/>
      <c r="AL10" s="51">
        <v>65.400000000000006</v>
      </c>
      <c r="AM10" s="49">
        <v>45</v>
      </c>
      <c r="AN10" s="49">
        <v>20.399999999999999</v>
      </c>
      <c r="AO10" s="49">
        <v>2167.1</v>
      </c>
      <c r="AP10" s="49">
        <v>265</v>
      </c>
      <c r="AQ10" s="49">
        <v>80</v>
      </c>
      <c r="AR10" s="49">
        <v>34</v>
      </c>
      <c r="AS10" s="50">
        <v>181.6</v>
      </c>
      <c r="AT10" s="50">
        <v>68.900000000000006</v>
      </c>
      <c r="AU10" s="50">
        <v>101.8</v>
      </c>
      <c r="AV10" s="50">
        <v>55.9</v>
      </c>
      <c r="AW10" s="50">
        <v>20.100000000000001</v>
      </c>
      <c r="AX10" s="50">
        <v>6.9</v>
      </c>
      <c r="AY10" s="50">
        <v>37.200000000000003</v>
      </c>
      <c r="AZ10" s="50">
        <v>9</v>
      </c>
      <c r="BA10" s="50" t="s">
        <v>264</v>
      </c>
      <c r="BB10" s="50" t="s">
        <v>264</v>
      </c>
      <c r="BC10" s="50"/>
      <c r="BD10" s="52">
        <v>89.9</v>
      </c>
      <c r="BE10" s="52">
        <v>57.2</v>
      </c>
      <c r="BF10" s="52"/>
      <c r="BG10" s="52"/>
      <c r="BH10" s="52"/>
      <c r="BI10" s="52"/>
      <c r="BJ10" s="52"/>
      <c r="BK10" s="52"/>
      <c r="BL10" s="52"/>
      <c r="BM10" s="52">
        <v>489.2</v>
      </c>
      <c r="BN10" s="52"/>
      <c r="BO10" s="52"/>
      <c r="BP10" s="52"/>
      <c r="BQ10" s="52"/>
      <c r="BR10" s="52"/>
      <c r="BS10" s="53">
        <v>417.1</v>
      </c>
      <c r="BT10" s="52"/>
      <c r="BU10" s="52">
        <v>51.7</v>
      </c>
      <c r="BV10" s="50" t="s">
        <v>264</v>
      </c>
      <c r="BW10" s="50" t="s">
        <v>264</v>
      </c>
      <c r="BX10" s="50">
        <v>439.3</v>
      </c>
      <c r="BY10" s="50" t="s">
        <v>264</v>
      </c>
      <c r="BZ10" s="50" t="s">
        <v>264</v>
      </c>
      <c r="CA10" s="49"/>
      <c r="CB10" s="52"/>
      <c r="CC10" s="52"/>
      <c r="CD10" s="52"/>
      <c r="CE10" s="52"/>
      <c r="CF10" s="52">
        <v>123.4</v>
      </c>
      <c r="CG10" s="52">
        <v>154.6</v>
      </c>
      <c r="CH10" s="52">
        <v>14</v>
      </c>
      <c r="CI10" s="52"/>
      <c r="CJ10" s="52"/>
      <c r="CK10" s="52"/>
      <c r="CL10" s="52"/>
      <c r="CM10" s="52"/>
      <c r="CN10" s="52">
        <v>58.3</v>
      </c>
      <c r="CO10" s="52">
        <v>189.5</v>
      </c>
      <c r="CP10" s="52">
        <v>151.80000000000001</v>
      </c>
      <c r="CQ10" s="52">
        <v>37.700000000000003</v>
      </c>
      <c r="CR10" s="52">
        <v>14.8</v>
      </c>
      <c r="CS10" s="52">
        <v>53.5</v>
      </c>
      <c r="CT10" s="52">
        <v>40.700000000000003</v>
      </c>
      <c r="CU10" s="52">
        <v>12.8</v>
      </c>
      <c r="CV10" s="52">
        <v>54.2</v>
      </c>
      <c r="CW10" s="52">
        <v>54.2</v>
      </c>
      <c r="CX10" s="52"/>
      <c r="CY10" s="52">
        <v>16.3</v>
      </c>
      <c r="CZ10" s="52">
        <v>43.2</v>
      </c>
      <c r="DA10" s="52">
        <v>35</v>
      </c>
      <c r="DB10" s="52">
        <v>21.2</v>
      </c>
      <c r="DC10" s="52">
        <v>13.8</v>
      </c>
      <c r="DD10" s="52"/>
      <c r="DE10" s="52"/>
      <c r="DF10" s="53"/>
      <c r="DG10" s="53">
        <v>147.4</v>
      </c>
      <c r="DH10" s="53"/>
      <c r="DI10" s="53">
        <v>669</v>
      </c>
      <c r="DJ10" s="53">
        <v>152.1</v>
      </c>
      <c r="DK10" s="53">
        <v>454.8</v>
      </c>
      <c r="DL10" s="53">
        <v>102.2</v>
      </c>
      <c r="DM10" s="53">
        <v>148.19999999999999</v>
      </c>
      <c r="DN10" s="53"/>
      <c r="DO10" s="53">
        <v>140.1</v>
      </c>
      <c r="DP10" s="53">
        <v>121</v>
      </c>
      <c r="DQ10" s="53">
        <v>68.900000000000006</v>
      </c>
      <c r="DR10" s="53">
        <v>149.69999999999999</v>
      </c>
      <c r="DS10" s="53">
        <v>661.5</v>
      </c>
      <c r="DT10" s="53">
        <v>2814.9</v>
      </c>
      <c r="DU10" s="53">
        <v>-147.40000000000009</v>
      </c>
      <c r="DV10" s="53">
        <v>0</v>
      </c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17"/>
      <c r="GZ10" s="52">
        <v>712.8</v>
      </c>
      <c r="HA10" s="52"/>
      <c r="HB10" s="17"/>
      <c r="HC10" s="17"/>
      <c r="HD10" s="17"/>
      <c r="HE10" s="17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3"/>
      <c r="II10" s="53"/>
      <c r="IJ10" s="53"/>
      <c r="IK10" s="53"/>
      <c r="IL10" s="53"/>
      <c r="IM10" s="52"/>
      <c r="IN10" s="52">
        <v>119.6</v>
      </c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48">
        <f t="shared" si="2"/>
        <v>47.897261003943299</v>
      </c>
      <c r="IZ10" s="48">
        <f>IY10-'NOPA Crush'!J10</f>
        <v>0.29726100394329791</v>
      </c>
      <c r="JB10" s="63">
        <f t="shared" si="0"/>
        <v>10.762016412661195</v>
      </c>
      <c r="JC10" s="64">
        <f>JB10-'NOPA Crush'!O10</f>
        <v>-0.13798358733880534</v>
      </c>
      <c r="JD10" s="65"/>
      <c r="JE10" s="67">
        <f t="shared" si="1"/>
        <v>1144.8000000000002</v>
      </c>
      <c r="JF10" s="68">
        <f>'NOPA Crush'!Q10/'Census Crush'!JE10</f>
        <v>0.42068483577917537</v>
      </c>
    </row>
    <row r="11" spans="1:267">
      <c r="A11" s="39">
        <v>29373</v>
      </c>
      <c r="B11" s="49">
        <v>2479.9</v>
      </c>
      <c r="C11" s="50">
        <v>2272.1</v>
      </c>
      <c r="D11" s="50">
        <v>358.8</v>
      </c>
      <c r="E11" s="50">
        <v>1342</v>
      </c>
      <c r="F11" s="50">
        <v>26.7</v>
      </c>
      <c r="G11" s="50">
        <v>52.8</v>
      </c>
      <c r="H11" s="50">
        <v>17</v>
      </c>
      <c r="I11" s="50" t="s">
        <v>264</v>
      </c>
      <c r="J11" s="50" t="s">
        <v>264</v>
      </c>
      <c r="K11" s="49">
        <v>901.6</v>
      </c>
      <c r="L11" s="49">
        <v>1225.9000000000001</v>
      </c>
      <c r="M11" s="49">
        <v>848.3</v>
      </c>
      <c r="N11" s="49">
        <v>377.6</v>
      </c>
      <c r="O11" s="50">
        <v>116.8</v>
      </c>
      <c r="P11" s="51">
        <v>167.1</v>
      </c>
      <c r="Q11" s="49">
        <v>62.8</v>
      </c>
      <c r="R11" s="49">
        <v>104.3</v>
      </c>
      <c r="S11" s="49"/>
      <c r="T11" s="49">
        <v>22.9</v>
      </c>
      <c r="U11" s="51">
        <v>41.3</v>
      </c>
      <c r="V11" s="49">
        <v>31.5</v>
      </c>
      <c r="W11" s="49">
        <v>9.8000000000000007</v>
      </c>
      <c r="X11" s="49">
        <v>41.1</v>
      </c>
      <c r="Y11" s="49">
        <v>13.7</v>
      </c>
      <c r="Z11" s="49">
        <v>102.60000000000001</v>
      </c>
      <c r="AA11" s="49">
        <v>69.400000000000006</v>
      </c>
      <c r="AB11" s="49">
        <v>33.200000000000003</v>
      </c>
      <c r="AC11" s="49" t="s">
        <v>264</v>
      </c>
      <c r="AD11" s="49" t="s">
        <v>264</v>
      </c>
      <c r="AE11" s="49"/>
      <c r="AF11" s="51"/>
      <c r="AG11" s="50" t="s">
        <v>264</v>
      </c>
      <c r="AH11" s="50" t="s">
        <v>264</v>
      </c>
      <c r="AI11" s="49">
        <v>65.099999999999994</v>
      </c>
      <c r="AJ11" s="49"/>
      <c r="AK11" s="49"/>
      <c r="AL11" s="51">
        <v>59.9</v>
      </c>
      <c r="AM11" s="49">
        <v>36.4</v>
      </c>
      <c r="AN11" s="49">
        <v>23.5</v>
      </c>
      <c r="AO11" s="49">
        <v>1922</v>
      </c>
      <c r="AP11" s="49">
        <v>262</v>
      </c>
      <c r="AQ11" s="49">
        <v>65.7</v>
      </c>
      <c r="AR11" s="49">
        <v>40.1</v>
      </c>
      <c r="AS11" s="50">
        <v>167.8</v>
      </c>
      <c r="AT11" s="50">
        <v>90.2</v>
      </c>
      <c r="AU11" s="50">
        <v>93.8</v>
      </c>
      <c r="AV11" s="50">
        <v>58.7</v>
      </c>
      <c r="AW11" s="50">
        <v>29.2</v>
      </c>
      <c r="AX11" s="50">
        <v>11.7</v>
      </c>
      <c r="AY11" s="50">
        <v>32.799999999999997</v>
      </c>
      <c r="AZ11" s="50">
        <v>7.5</v>
      </c>
      <c r="BA11" s="50" t="s">
        <v>264</v>
      </c>
      <c r="BB11" s="50" t="s">
        <v>264</v>
      </c>
      <c r="BC11" s="50"/>
      <c r="BD11" s="52">
        <v>89.8</v>
      </c>
      <c r="BE11" s="52">
        <v>61.7</v>
      </c>
      <c r="BF11" s="52"/>
      <c r="BG11" s="52"/>
      <c r="BH11" s="52"/>
      <c r="BI11" s="52"/>
      <c r="BJ11" s="52"/>
      <c r="BK11" s="52"/>
      <c r="BL11" s="52"/>
      <c r="BM11" s="52">
        <v>459.7</v>
      </c>
      <c r="BN11" s="52"/>
      <c r="BO11" s="52"/>
      <c r="BP11" s="52"/>
      <c r="BQ11" s="52"/>
      <c r="BR11" s="52"/>
      <c r="BS11" s="53">
        <v>427.5</v>
      </c>
      <c r="BT11" s="52"/>
      <c r="BU11" s="52">
        <v>59.1</v>
      </c>
      <c r="BV11" s="50" t="s">
        <v>264</v>
      </c>
      <c r="BW11" s="50" t="s">
        <v>264</v>
      </c>
      <c r="BX11" s="50">
        <v>420.9</v>
      </c>
      <c r="BY11" s="50" t="s">
        <v>264</v>
      </c>
      <c r="BZ11" s="50" t="s">
        <v>264</v>
      </c>
      <c r="CA11" s="49"/>
      <c r="CB11" s="52"/>
      <c r="CC11" s="52"/>
      <c r="CD11" s="52"/>
      <c r="CE11" s="52"/>
      <c r="CF11" s="52">
        <v>115.1</v>
      </c>
      <c r="CG11" s="52">
        <v>165.3</v>
      </c>
      <c r="CH11" s="52">
        <v>11.5</v>
      </c>
      <c r="CI11" s="52"/>
      <c r="CJ11" s="52"/>
      <c r="CK11" s="52"/>
      <c r="CL11" s="52"/>
      <c r="CM11" s="52"/>
      <c r="CN11" s="52">
        <v>47.6</v>
      </c>
      <c r="CO11" s="52">
        <v>176.5</v>
      </c>
      <c r="CP11" s="52">
        <v>134.6</v>
      </c>
      <c r="CQ11" s="52">
        <v>41.9</v>
      </c>
      <c r="CR11" s="52">
        <v>19.3</v>
      </c>
      <c r="CS11" s="52">
        <v>42.9</v>
      </c>
      <c r="CT11" s="52">
        <v>31.7</v>
      </c>
      <c r="CU11" s="52">
        <v>11.2</v>
      </c>
      <c r="CV11" s="52">
        <v>54.8</v>
      </c>
      <c r="CW11" s="52">
        <v>54.8</v>
      </c>
      <c r="CX11" s="52"/>
      <c r="CY11" s="52">
        <v>12.8</v>
      </c>
      <c r="CZ11" s="52">
        <v>40.1</v>
      </c>
      <c r="DA11" s="52">
        <v>20.100000000000001</v>
      </c>
      <c r="DB11" s="52">
        <v>7.9</v>
      </c>
      <c r="DC11" s="52">
        <v>12.2</v>
      </c>
      <c r="DD11" s="52"/>
      <c r="DE11" s="52"/>
      <c r="DF11" s="53"/>
      <c r="DG11" s="53">
        <v>123.2</v>
      </c>
      <c r="DH11" s="53"/>
      <c r="DI11" s="53">
        <v>561.9</v>
      </c>
      <c r="DJ11" s="53">
        <v>118.1</v>
      </c>
      <c r="DK11" s="53">
        <v>447.4</v>
      </c>
      <c r="DL11" s="53">
        <v>93.1</v>
      </c>
      <c r="DM11" s="53">
        <v>130.5</v>
      </c>
      <c r="DN11" s="53"/>
      <c r="DO11" s="53">
        <v>137.1</v>
      </c>
      <c r="DP11" s="53">
        <v>143</v>
      </c>
      <c r="DQ11" s="53">
        <v>67.900000000000006</v>
      </c>
      <c r="DR11" s="53">
        <v>132.6</v>
      </c>
      <c r="DS11" s="53">
        <v>525.1</v>
      </c>
      <c r="DT11" s="53">
        <v>2479.9</v>
      </c>
      <c r="DU11" s="53">
        <v>-123.20000000000027</v>
      </c>
      <c r="DV11" s="53">
        <v>0</v>
      </c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17"/>
      <c r="GZ11" s="52">
        <v>699</v>
      </c>
      <c r="HA11" s="52"/>
      <c r="HB11" s="17"/>
      <c r="HC11" s="17"/>
      <c r="HD11" s="17"/>
      <c r="HE11" s="17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3"/>
      <c r="II11" s="53"/>
      <c r="IJ11" s="53"/>
      <c r="IK11" s="53"/>
      <c r="IL11" s="53"/>
      <c r="IM11" s="52"/>
      <c r="IN11" s="52">
        <v>110</v>
      </c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48">
        <f t="shared" si="2"/>
        <v>48.091455300616957</v>
      </c>
      <c r="IZ11" s="48">
        <f>IY11-'NOPA Crush'!J11</f>
        <v>0.29145530061695979</v>
      </c>
      <c r="JB11" s="63">
        <f t="shared" si="0"/>
        <v>10.906891406911567</v>
      </c>
      <c r="JC11" s="64">
        <f>JB11-'NOPA Crush'!O11</f>
        <v>0.10689140691156673</v>
      </c>
      <c r="JD11" s="65"/>
      <c r="JE11" s="67">
        <f t="shared" si="1"/>
        <v>1225.9000000000001</v>
      </c>
      <c r="JF11" s="68">
        <f>'NOPA Crush'!Q11/'Census Crush'!JE11</f>
        <v>0.42540174565625249</v>
      </c>
    </row>
    <row r="12" spans="1:267">
      <c r="A12" s="39">
        <v>29403</v>
      </c>
      <c r="B12" s="49">
        <v>2545.6999999999998</v>
      </c>
      <c r="C12" s="50">
        <v>2218.1</v>
      </c>
      <c r="D12" s="50">
        <v>315.39999999999998</v>
      </c>
      <c r="E12" s="50">
        <v>1058.4000000000001</v>
      </c>
      <c r="F12" s="50">
        <v>27.3</v>
      </c>
      <c r="G12" s="50">
        <v>45.1</v>
      </c>
      <c r="H12" s="50">
        <v>18.899999999999999</v>
      </c>
      <c r="I12" s="50" t="s">
        <v>264</v>
      </c>
      <c r="J12" s="50" t="s">
        <v>264</v>
      </c>
      <c r="K12" s="49">
        <v>927.8</v>
      </c>
      <c r="L12" s="49">
        <v>1305.0999999999999</v>
      </c>
      <c r="M12" s="49">
        <v>920.9</v>
      </c>
      <c r="N12" s="49">
        <v>384.2</v>
      </c>
      <c r="O12" s="50">
        <v>104.2</v>
      </c>
      <c r="P12" s="51">
        <v>144.6</v>
      </c>
      <c r="Q12" s="49">
        <v>44.4</v>
      </c>
      <c r="R12" s="49">
        <v>100.2</v>
      </c>
      <c r="S12" s="49"/>
      <c r="T12" s="49">
        <v>23.5</v>
      </c>
      <c r="U12" s="51">
        <v>44.099999999999994</v>
      </c>
      <c r="V12" s="49">
        <v>35.299999999999997</v>
      </c>
      <c r="W12" s="49">
        <v>8.8000000000000007</v>
      </c>
      <c r="X12" s="49">
        <v>34.200000000000003</v>
      </c>
      <c r="Y12" s="49">
        <v>12.9</v>
      </c>
      <c r="Z12" s="49">
        <v>119.2</v>
      </c>
      <c r="AA12" s="49">
        <v>82.4</v>
      </c>
      <c r="AB12" s="49">
        <v>36.799999999999997</v>
      </c>
      <c r="AC12" s="49" t="s">
        <v>264</v>
      </c>
      <c r="AD12" s="49" t="s">
        <v>264</v>
      </c>
      <c r="AE12" s="49"/>
      <c r="AF12" s="51"/>
      <c r="AG12" s="50" t="s">
        <v>264</v>
      </c>
      <c r="AH12" s="50" t="s">
        <v>264</v>
      </c>
      <c r="AI12" s="49">
        <v>66.2</v>
      </c>
      <c r="AJ12" s="49"/>
      <c r="AK12" s="49"/>
      <c r="AL12" s="51">
        <v>71.599999999999994</v>
      </c>
      <c r="AM12" s="49">
        <v>48.2</v>
      </c>
      <c r="AN12" s="49">
        <v>23.4</v>
      </c>
      <c r="AO12" s="49">
        <v>1989.5</v>
      </c>
      <c r="AP12" s="49">
        <v>232.4</v>
      </c>
      <c r="AQ12" s="49">
        <v>68.900000000000006</v>
      </c>
      <c r="AR12" s="49">
        <v>35.4</v>
      </c>
      <c r="AS12" s="50">
        <v>148.5</v>
      </c>
      <c r="AT12" s="50">
        <v>72.3</v>
      </c>
      <c r="AU12" s="50">
        <v>85.7</v>
      </c>
      <c r="AV12" s="50">
        <v>47.2</v>
      </c>
      <c r="AW12" s="50">
        <v>29.3</v>
      </c>
      <c r="AX12" s="50">
        <v>7.2</v>
      </c>
      <c r="AY12" s="50">
        <v>28.7</v>
      </c>
      <c r="AZ12" s="50">
        <v>3.3</v>
      </c>
      <c r="BA12" s="50" t="s">
        <v>264</v>
      </c>
      <c r="BB12" s="50" t="s">
        <v>264</v>
      </c>
      <c r="BC12" s="50"/>
      <c r="BD12" s="52">
        <v>88.3</v>
      </c>
      <c r="BE12" s="52">
        <v>53.8</v>
      </c>
      <c r="BF12" s="52"/>
      <c r="BG12" s="52"/>
      <c r="BH12" s="52"/>
      <c r="BI12" s="52"/>
      <c r="BJ12" s="52"/>
      <c r="BK12" s="52"/>
      <c r="BL12" s="52"/>
      <c r="BM12" s="52">
        <v>470.5</v>
      </c>
      <c r="BN12" s="52"/>
      <c r="BO12" s="52"/>
      <c r="BP12" s="52"/>
      <c r="BQ12" s="52"/>
      <c r="BR12" s="52"/>
      <c r="BS12" s="53">
        <v>455.7</v>
      </c>
      <c r="BT12" s="52"/>
      <c r="BU12" s="52">
        <v>57.1</v>
      </c>
      <c r="BV12" s="50" t="s">
        <v>264</v>
      </c>
      <c r="BW12" s="50" t="s">
        <v>264</v>
      </c>
      <c r="BX12" s="50">
        <v>410.5</v>
      </c>
      <c r="BY12" s="50" t="s">
        <v>264</v>
      </c>
      <c r="BZ12" s="50" t="s">
        <v>264</v>
      </c>
      <c r="CA12" s="49"/>
      <c r="CB12" s="52"/>
      <c r="CC12" s="52"/>
      <c r="CD12" s="52"/>
      <c r="CE12" s="52"/>
      <c r="CF12" s="52">
        <v>113.3</v>
      </c>
      <c r="CG12" s="52">
        <v>170.1</v>
      </c>
      <c r="CH12" s="52">
        <v>11.2</v>
      </c>
      <c r="CI12" s="52"/>
      <c r="CJ12" s="52"/>
      <c r="CK12" s="52"/>
      <c r="CL12" s="52"/>
      <c r="CM12" s="52"/>
      <c r="CN12" s="52">
        <v>46.4</v>
      </c>
      <c r="CO12" s="52">
        <v>152.10000000000002</v>
      </c>
      <c r="CP12" s="52">
        <v>119.4</v>
      </c>
      <c r="CQ12" s="52">
        <v>32.700000000000003</v>
      </c>
      <c r="CR12" s="52">
        <v>14.5</v>
      </c>
      <c r="CS12" s="52">
        <v>45.3</v>
      </c>
      <c r="CT12" s="52">
        <v>29.6</v>
      </c>
      <c r="CU12" s="52">
        <v>15.7</v>
      </c>
      <c r="CV12" s="52">
        <v>48.8</v>
      </c>
      <c r="CW12" s="52">
        <v>48.8</v>
      </c>
      <c r="CX12" s="52"/>
      <c r="CY12" s="52">
        <v>19.2</v>
      </c>
      <c r="CZ12" s="52">
        <v>32.200000000000003</v>
      </c>
      <c r="DA12" s="52">
        <v>17.700000000000003</v>
      </c>
      <c r="DB12" s="52">
        <v>7.4</v>
      </c>
      <c r="DC12" s="52">
        <v>10.3</v>
      </c>
      <c r="DD12" s="52"/>
      <c r="DE12" s="52"/>
      <c r="DF12" s="53"/>
      <c r="DG12" s="53"/>
      <c r="DH12" s="53"/>
      <c r="DI12" s="53">
        <v>549.70000000000005</v>
      </c>
      <c r="DJ12" s="53">
        <v>134.1</v>
      </c>
      <c r="DK12" s="53">
        <v>458.6</v>
      </c>
      <c r="DL12" s="53">
        <v>104.1</v>
      </c>
      <c r="DM12" s="53">
        <v>130.4</v>
      </c>
      <c r="DN12" s="53"/>
      <c r="DO12" s="53">
        <v>147.69999999999999</v>
      </c>
      <c r="DP12" s="53">
        <v>149.6</v>
      </c>
      <c r="DQ12" s="53">
        <v>61.5</v>
      </c>
      <c r="DR12" s="53"/>
      <c r="DS12" s="53">
        <v>809.9</v>
      </c>
      <c r="DT12" s="53">
        <v>2545.6</v>
      </c>
      <c r="DU12" s="53">
        <v>0</v>
      </c>
      <c r="DV12" s="53">
        <v>-9.9999999999909051E-2</v>
      </c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2"/>
      <c r="GM12" s="52"/>
      <c r="GN12" s="52"/>
      <c r="GO12" s="52"/>
      <c r="GP12" s="52"/>
      <c r="GQ12" s="52"/>
      <c r="GR12" s="52"/>
      <c r="GS12" s="52"/>
      <c r="GT12" s="52"/>
      <c r="GU12" s="52"/>
      <c r="GV12" s="52"/>
      <c r="GW12" s="52"/>
      <c r="GX12" s="52"/>
      <c r="GY12" s="17"/>
      <c r="GZ12" s="52">
        <v>720.3</v>
      </c>
      <c r="HA12" s="52"/>
      <c r="HB12" s="17"/>
      <c r="HC12" s="17"/>
      <c r="HD12" s="17"/>
      <c r="HE12" s="17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3"/>
      <c r="II12" s="53"/>
      <c r="IJ12" s="53"/>
      <c r="IK12" s="53"/>
      <c r="IL12" s="53"/>
      <c r="IM12" s="52"/>
      <c r="IN12" s="52">
        <v>115.1</v>
      </c>
      <c r="IO12" s="54"/>
      <c r="IP12" s="54"/>
      <c r="IQ12" s="54"/>
      <c r="IR12" s="54"/>
      <c r="IS12" s="54"/>
      <c r="IT12" s="54"/>
      <c r="IU12" s="54"/>
      <c r="IV12" s="54"/>
      <c r="IW12" s="54"/>
      <c r="IX12" s="54"/>
      <c r="IY12" s="48">
        <f t="shared" si="2"/>
        <v>48.514750363357827</v>
      </c>
      <c r="IZ12" s="48">
        <f>IY12-'NOPA Crush'!J12</f>
        <v>0.51475036335782676</v>
      </c>
      <c r="JB12" s="63">
        <f t="shared" si="0"/>
        <v>10.933731390187376</v>
      </c>
      <c r="JC12" s="64">
        <f>JB12-'NOPA Crush'!O12</f>
        <v>-6.6268609812624391E-2</v>
      </c>
      <c r="JD12" s="65"/>
      <c r="JE12" s="67">
        <f t="shared" si="1"/>
        <v>1305.0999999999999</v>
      </c>
      <c r="JF12" s="68">
        <f>'NOPA Crush'!Q12/'Census Crush'!JE12</f>
        <v>0.42816642402881006</v>
      </c>
    </row>
    <row r="13" spans="1:267">
      <c r="A13" s="39">
        <v>29434</v>
      </c>
      <c r="B13" s="49">
        <v>2510.8000000000002</v>
      </c>
      <c r="C13" s="50">
        <v>1705.8</v>
      </c>
      <c r="D13" s="50">
        <v>330.3</v>
      </c>
      <c r="E13" s="50">
        <v>811.9</v>
      </c>
      <c r="F13" s="50">
        <v>24.9</v>
      </c>
      <c r="G13" s="50">
        <v>47.3</v>
      </c>
      <c r="H13" s="50">
        <v>13.6</v>
      </c>
      <c r="I13" s="50" t="s">
        <v>264</v>
      </c>
      <c r="J13" s="50" t="s">
        <v>264</v>
      </c>
      <c r="K13" s="49">
        <v>913.8</v>
      </c>
      <c r="L13" s="49">
        <v>1263</v>
      </c>
      <c r="M13" s="49">
        <v>893.5</v>
      </c>
      <c r="N13" s="49">
        <v>369.5</v>
      </c>
      <c r="O13" s="50">
        <v>104.9</v>
      </c>
      <c r="P13" s="51">
        <v>139.80000000000001</v>
      </c>
      <c r="Q13" s="49">
        <v>40.799999999999997</v>
      </c>
      <c r="R13" s="49">
        <v>99</v>
      </c>
      <c r="S13" s="49"/>
      <c r="T13" s="49">
        <v>21.2</v>
      </c>
      <c r="U13" s="51">
        <v>44.1</v>
      </c>
      <c r="V13" s="49">
        <v>36</v>
      </c>
      <c r="W13" s="49">
        <v>8.1</v>
      </c>
      <c r="X13" s="49">
        <v>36.1</v>
      </c>
      <c r="Y13" s="49">
        <v>5.0999999999999996</v>
      </c>
      <c r="Z13" s="49">
        <v>156.1</v>
      </c>
      <c r="AA13" s="49">
        <v>116.6</v>
      </c>
      <c r="AB13" s="49">
        <v>39.5</v>
      </c>
      <c r="AC13" s="49" t="s">
        <v>264</v>
      </c>
      <c r="AD13" s="49" t="s">
        <v>264</v>
      </c>
      <c r="AE13" s="49"/>
      <c r="AF13" s="51"/>
      <c r="AG13" s="50" t="s">
        <v>264</v>
      </c>
      <c r="AH13" s="50" t="s">
        <v>264</v>
      </c>
      <c r="AI13" s="49">
        <v>69.900000000000006</v>
      </c>
      <c r="AJ13" s="49"/>
      <c r="AK13" s="49"/>
      <c r="AL13" s="51">
        <v>62.3</v>
      </c>
      <c r="AM13" s="49">
        <v>39.1</v>
      </c>
      <c r="AN13" s="49">
        <v>23.2</v>
      </c>
      <c r="AO13" s="49">
        <v>1944.9</v>
      </c>
      <c r="AP13" s="49">
        <v>225.1</v>
      </c>
      <c r="AQ13" s="49">
        <v>66.5</v>
      </c>
      <c r="AR13" s="49">
        <v>37</v>
      </c>
      <c r="AS13" s="50">
        <v>152.30000000000001</v>
      </c>
      <c r="AT13" s="50">
        <v>69.3</v>
      </c>
      <c r="AU13" s="50">
        <v>91.1</v>
      </c>
      <c r="AV13" s="50">
        <v>41.7</v>
      </c>
      <c r="AW13" s="50">
        <v>13.9</v>
      </c>
      <c r="AX13" s="50">
        <v>4.0999999999999996</v>
      </c>
      <c r="AY13" s="50">
        <v>28.6</v>
      </c>
      <c r="AZ13" s="50">
        <v>7.8</v>
      </c>
      <c r="BA13" s="50" t="s">
        <v>264</v>
      </c>
      <c r="BB13" s="50" t="s">
        <v>264</v>
      </c>
      <c r="BC13" s="50"/>
      <c r="BD13" s="52">
        <v>87.9</v>
      </c>
      <c r="BE13" s="52">
        <v>52.2</v>
      </c>
      <c r="BF13" s="52"/>
      <c r="BG13" s="52"/>
      <c r="BH13" s="52"/>
      <c r="BI13" s="52"/>
      <c r="BJ13" s="52"/>
      <c r="BK13" s="52"/>
      <c r="BL13" s="52"/>
      <c r="BM13" s="52">
        <v>431.9</v>
      </c>
      <c r="BN13" s="52"/>
      <c r="BO13" s="52"/>
      <c r="BP13" s="52"/>
      <c r="BQ13" s="52"/>
      <c r="BR13" s="52"/>
      <c r="BS13" s="53">
        <v>402.8</v>
      </c>
      <c r="BT13" s="52"/>
      <c r="BU13" s="52">
        <v>55</v>
      </c>
      <c r="BV13" s="50" t="s">
        <v>264</v>
      </c>
      <c r="BW13" s="50" t="s">
        <v>264</v>
      </c>
      <c r="BX13" s="50">
        <v>375.4</v>
      </c>
      <c r="BY13" s="50" t="s">
        <v>264</v>
      </c>
      <c r="BZ13" s="50" t="s">
        <v>264</v>
      </c>
      <c r="CA13" s="49"/>
      <c r="CB13" s="52"/>
      <c r="CC13" s="52"/>
      <c r="CD13" s="52"/>
      <c r="CE13" s="52"/>
      <c r="CF13" s="52">
        <v>118.9</v>
      </c>
      <c r="CG13" s="52">
        <v>170.5</v>
      </c>
      <c r="CH13" s="52">
        <v>11.5</v>
      </c>
      <c r="CI13" s="52"/>
      <c r="CJ13" s="52"/>
      <c r="CK13" s="52"/>
      <c r="CL13" s="52"/>
      <c r="CM13" s="52"/>
      <c r="CN13" s="52">
        <v>52.4</v>
      </c>
      <c r="CO13" s="52">
        <v>176.2</v>
      </c>
      <c r="CP13" s="52">
        <v>128.6</v>
      </c>
      <c r="CQ13" s="52">
        <v>47.6</v>
      </c>
      <c r="CR13" s="52">
        <v>19.3</v>
      </c>
      <c r="CS13" s="52">
        <v>35.5</v>
      </c>
      <c r="CT13" s="52">
        <v>23.1</v>
      </c>
      <c r="CU13" s="52">
        <v>12.4</v>
      </c>
      <c r="CV13" s="52">
        <v>41.9</v>
      </c>
      <c r="CW13" s="52">
        <v>41.9</v>
      </c>
      <c r="CX13" s="52"/>
      <c r="CY13" s="52" t="s">
        <v>264</v>
      </c>
      <c r="CZ13" s="52">
        <v>34.1</v>
      </c>
      <c r="DA13" s="52">
        <v>17.7</v>
      </c>
      <c r="DB13" s="52">
        <v>9.5</v>
      </c>
      <c r="DC13" s="52">
        <v>8.1999999999999993</v>
      </c>
      <c r="DD13" s="52"/>
      <c r="DE13" s="52"/>
      <c r="DF13" s="53"/>
      <c r="DG13" s="53">
        <v>121.1</v>
      </c>
      <c r="DH13" s="53"/>
      <c r="DI13" s="53">
        <v>561.6</v>
      </c>
      <c r="DJ13" s="53">
        <v>102.8</v>
      </c>
      <c r="DK13" s="53">
        <v>456.8</v>
      </c>
      <c r="DL13" s="53">
        <v>101.1</v>
      </c>
      <c r="DM13" s="53">
        <v>135.1</v>
      </c>
      <c r="DN13" s="53"/>
      <c r="DO13" s="53">
        <v>139.19999999999999</v>
      </c>
      <c r="DP13" s="53">
        <v>146.1</v>
      </c>
      <c r="DQ13" s="53">
        <v>59.6</v>
      </c>
      <c r="DR13" s="53">
        <v>125.5</v>
      </c>
      <c r="DS13" s="53">
        <v>561.9</v>
      </c>
      <c r="DT13" s="53">
        <v>2510.8000000000002</v>
      </c>
      <c r="DU13" s="53">
        <v>-121.10000000000036</v>
      </c>
      <c r="DV13" s="53">
        <v>0</v>
      </c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17"/>
      <c r="GZ13" s="52">
        <v>760.7</v>
      </c>
      <c r="HA13" s="52"/>
      <c r="HB13" s="17"/>
      <c r="HC13" s="17"/>
      <c r="HD13" s="17"/>
      <c r="HE13" s="17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3"/>
      <c r="II13" s="53"/>
      <c r="IJ13" s="53"/>
      <c r="IK13" s="53"/>
      <c r="IL13" s="53"/>
      <c r="IM13" s="52"/>
      <c r="IN13" s="52">
        <v>107.5</v>
      </c>
      <c r="IO13" s="54"/>
      <c r="IP13" s="54"/>
      <c r="IQ13" s="54"/>
      <c r="IR13" s="54"/>
      <c r="IS13" s="54"/>
      <c r="IT13" s="54"/>
      <c r="IU13" s="54"/>
      <c r="IV13" s="54"/>
      <c r="IW13" s="54"/>
      <c r="IX13" s="54"/>
      <c r="IY13" s="48">
        <f t="shared" si="2"/>
        <v>48.065955074079973</v>
      </c>
      <c r="IZ13" s="48">
        <f>IY13-'NOPA Crush'!J13</f>
        <v>6.5955074079973031E-2</v>
      </c>
      <c r="JB13" s="63">
        <f t="shared" si="0"/>
        <v>10.918432372152301</v>
      </c>
      <c r="JC13" s="64">
        <f>JB13-'NOPA Crush'!O13</f>
        <v>-0.18156762784769853</v>
      </c>
      <c r="JD13" s="65"/>
      <c r="JE13" s="67">
        <f t="shared" si="1"/>
        <v>1263</v>
      </c>
      <c r="JF13" s="68">
        <f>'NOPA Crush'!Q13/'Census Crush'!JE13</f>
        <v>0.45771971496437058</v>
      </c>
    </row>
    <row r="14" spans="1:267">
      <c r="A14" s="39">
        <v>29465</v>
      </c>
      <c r="B14" s="49">
        <v>2448.1</v>
      </c>
      <c r="C14" s="50">
        <v>2411.6999999999998</v>
      </c>
      <c r="D14" s="50">
        <v>306.10000000000002</v>
      </c>
      <c r="E14" s="50">
        <v>610</v>
      </c>
      <c r="F14" s="50">
        <v>7.5</v>
      </c>
      <c r="G14" s="50">
        <v>43.3</v>
      </c>
      <c r="H14" s="50">
        <v>18.600000000000001</v>
      </c>
      <c r="I14" s="50" t="s">
        <v>264</v>
      </c>
      <c r="J14" s="50" t="s">
        <v>264</v>
      </c>
      <c r="K14" s="49">
        <v>890.1</v>
      </c>
      <c r="L14" s="49">
        <v>1210.0999999999999</v>
      </c>
      <c r="M14" s="49">
        <v>843.1</v>
      </c>
      <c r="N14" s="49">
        <v>367</v>
      </c>
      <c r="O14" s="50">
        <v>93.1</v>
      </c>
      <c r="P14" s="51">
        <v>121.9</v>
      </c>
      <c r="Q14" s="49">
        <v>35.1</v>
      </c>
      <c r="R14" s="49">
        <v>86.8</v>
      </c>
      <c r="S14" s="49"/>
      <c r="T14" s="49">
        <v>5.9</v>
      </c>
      <c r="U14" s="51">
        <v>28.1</v>
      </c>
      <c r="V14" s="49">
        <v>21.5</v>
      </c>
      <c r="W14" s="49">
        <v>6.6</v>
      </c>
      <c r="X14" s="49">
        <v>33.6</v>
      </c>
      <c r="Y14" s="49">
        <v>5.0999999999999996</v>
      </c>
      <c r="Z14" s="49">
        <v>108.7</v>
      </c>
      <c r="AA14" s="49">
        <v>70.5</v>
      </c>
      <c r="AB14" s="49">
        <v>38.200000000000003</v>
      </c>
      <c r="AC14" s="49" t="s">
        <v>264</v>
      </c>
      <c r="AD14" s="49" t="s">
        <v>264</v>
      </c>
      <c r="AE14" s="49"/>
      <c r="AF14" s="51"/>
      <c r="AG14" s="50" t="s">
        <v>264</v>
      </c>
      <c r="AH14" s="50" t="s">
        <v>264</v>
      </c>
      <c r="AI14" s="49">
        <v>76.2</v>
      </c>
      <c r="AJ14" s="49"/>
      <c r="AK14" s="49"/>
      <c r="AL14" s="51">
        <v>65.8</v>
      </c>
      <c r="AM14" s="49">
        <v>39.6</v>
      </c>
      <c r="AN14" s="49">
        <v>26.2</v>
      </c>
      <c r="AO14" s="49">
        <v>1896</v>
      </c>
      <c r="AP14" s="49">
        <v>189.7</v>
      </c>
      <c r="AQ14" s="49">
        <v>66.400000000000006</v>
      </c>
      <c r="AR14" s="49">
        <v>35.9</v>
      </c>
      <c r="AS14" s="50">
        <v>144</v>
      </c>
      <c r="AT14" s="50">
        <v>52.5</v>
      </c>
      <c r="AU14" s="50">
        <v>84.5</v>
      </c>
      <c r="AV14" s="50">
        <v>31</v>
      </c>
      <c r="AW14" s="50">
        <v>4.3</v>
      </c>
      <c r="AX14" s="50">
        <v>1.1000000000000001</v>
      </c>
      <c r="AY14" s="50">
        <v>27.1</v>
      </c>
      <c r="AZ14" s="50">
        <v>4</v>
      </c>
      <c r="BA14" s="50" t="s">
        <v>264</v>
      </c>
      <c r="BB14" s="50" t="s">
        <v>264</v>
      </c>
      <c r="BC14" s="50"/>
      <c r="BD14" s="52">
        <v>91.9</v>
      </c>
      <c r="BE14" s="52">
        <v>46</v>
      </c>
      <c r="BF14" s="52"/>
      <c r="BG14" s="52"/>
      <c r="BH14" s="52"/>
      <c r="BI14" s="52"/>
      <c r="BJ14" s="52"/>
      <c r="BK14" s="52"/>
      <c r="BL14" s="52"/>
      <c r="BM14" s="52">
        <v>455.6</v>
      </c>
      <c r="BN14" s="52"/>
      <c r="BO14" s="52"/>
      <c r="BP14" s="52"/>
      <c r="BQ14" s="52"/>
      <c r="BR14" s="52"/>
      <c r="BS14" s="53">
        <v>430.5</v>
      </c>
      <c r="BT14" s="52"/>
      <c r="BU14" s="52">
        <v>43.5</v>
      </c>
      <c r="BV14" s="50" t="s">
        <v>264</v>
      </c>
      <c r="BW14" s="50" t="s">
        <v>264</v>
      </c>
      <c r="BX14" s="50">
        <v>411.7</v>
      </c>
      <c r="BY14" s="50" t="s">
        <v>264</v>
      </c>
      <c r="BZ14" s="50" t="s">
        <v>264</v>
      </c>
      <c r="CA14" s="49"/>
      <c r="CB14" s="52"/>
      <c r="CC14" s="52"/>
      <c r="CD14" s="52"/>
      <c r="CE14" s="52"/>
      <c r="CF14" s="52">
        <v>110.1</v>
      </c>
      <c r="CG14" s="52">
        <v>155.19999999999999</v>
      </c>
      <c r="CH14" s="52">
        <v>14.3</v>
      </c>
      <c r="CI14" s="52"/>
      <c r="CJ14" s="52"/>
      <c r="CK14" s="52"/>
      <c r="CL14" s="52"/>
      <c r="CM14" s="52"/>
      <c r="CN14" s="52">
        <v>57.2</v>
      </c>
      <c r="CO14" s="52">
        <v>152.4</v>
      </c>
      <c r="CP14" s="52">
        <v>117.4</v>
      </c>
      <c r="CQ14" s="52">
        <v>35</v>
      </c>
      <c r="CR14" s="52" t="s">
        <v>264</v>
      </c>
      <c r="CS14" s="52">
        <v>42.5</v>
      </c>
      <c r="CT14" s="52">
        <v>29.7</v>
      </c>
      <c r="CU14" s="52">
        <v>12.8</v>
      </c>
      <c r="CV14" s="52">
        <v>42</v>
      </c>
      <c r="CW14" s="52">
        <v>42</v>
      </c>
      <c r="CX14" s="52"/>
      <c r="CY14" s="52">
        <v>17.8</v>
      </c>
      <c r="CZ14" s="52">
        <v>43.3</v>
      </c>
      <c r="DA14" s="52">
        <v>31.4</v>
      </c>
      <c r="DB14" s="52">
        <v>20.8</v>
      </c>
      <c r="DC14" s="52">
        <v>10.6</v>
      </c>
      <c r="DD14" s="52"/>
      <c r="DE14" s="52"/>
      <c r="DF14" s="53"/>
      <c r="DG14" s="53"/>
      <c r="DH14" s="53"/>
      <c r="DI14" s="53">
        <v>620.20000000000005</v>
      </c>
      <c r="DJ14" s="53">
        <v>129.69999999999999</v>
      </c>
      <c r="DK14" s="53">
        <v>438.3</v>
      </c>
      <c r="DL14" s="53"/>
      <c r="DM14" s="53">
        <v>143.19999999999999</v>
      </c>
      <c r="DN14" s="53"/>
      <c r="DO14" s="53">
        <v>154.80000000000001</v>
      </c>
      <c r="DP14" s="53">
        <v>129.19999999999999</v>
      </c>
      <c r="DQ14" s="53">
        <v>48.3</v>
      </c>
      <c r="DR14" s="53">
        <v>143.69999999999999</v>
      </c>
      <c r="DS14" s="53">
        <v>640.70000000000005</v>
      </c>
      <c r="DT14" s="53">
        <v>2448.1</v>
      </c>
      <c r="DU14" s="53">
        <v>0</v>
      </c>
      <c r="DV14" s="53">
        <v>0</v>
      </c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17"/>
      <c r="GZ14" s="52">
        <v>764.5</v>
      </c>
      <c r="HA14" s="52"/>
      <c r="HB14" s="17"/>
      <c r="HC14" s="17"/>
      <c r="HD14" s="17"/>
      <c r="HE14" s="17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3"/>
      <c r="II14" s="53"/>
      <c r="IJ14" s="53"/>
      <c r="IK14" s="53"/>
      <c r="IL14" s="53"/>
      <c r="IM14" s="52"/>
      <c r="IN14" s="52">
        <v>94.8</v>
      </c>
      <c r="IO14" s="54"/>
      <c r="IP14" s="54"/>
      <c r="IQ14" s="54"/>
      <c r="IR14" s="54"/>
      <c r="IS14" s="54"/>
      <c r="IT14" s="54"/>
      <c r="IU14" s="54"/>
      <c r="IV14" s="54"/>
      <c r="IW14" s="54"/>
      <c r="IX14" s="54"/>
      <c r="IY14" s="48">
        <f t="shared" si="2"/>
        <v>48.096074506760353</v>
      </c>
      <c r="IZ14" s="48">
        <f>IY14-'NOPA Crush'!J14</f>
        <v>9.6074506760352563E-2</v>
      </c>
      <c r="JB14" s="63">
        <f t="shared" si="0"/>
        <v>10.907642661655979</v>
      </c>
      <c r="JC14" s="64">
        <f>JB14-'NOPA Crush'!O14</f>
        <v>-9.2357338344021045E-2</v>
      </c>
      <c r="JD14" s="65"/>
      <c r="JE14" s="67">
        <f t="shared" si="1"/>
        <v>1210.0999999999999</v>
      </c>
      <c r="JF14" s="68">
        <f>'NOPA Crush'!Q14/'Census Crush'!JE14</f>
        <v>0.44963226179654581</v>
      </c>
    </row>
    <row r="15" spans="1:267">
      <c r="A15" s="39">
        <v>29495</v>
      </c>
      <c r="B15" s="49">
        <v>2932.9</v>
      </c>
      <c r="C15" s="50">
        <v>4981.2</v>
      </c>
      <c r="D15" s="50">
        <v>364.9</v>
      </c>
      <c r="E15" s="50">
        <v>1171.9000000000001</v>
      </c>
      <c r="F15" s="50">
        <v>2.7</v>
      </c>
      <c r="G15" s="50">
        <v>43.4</v>
      </c>
      <c r="H15" s="50">
        <v>22.9</v>
      </c>
      <c r="I15" s="50" t="s">
        <v>264</v>
      </c>
      <c r="J15" s="50" t="s">
        <v>264</v>
      </c>
      <c r="K15" s="49">
        <v>1080.2</v>
      </c>
      <c r="L15" s="49">
        <v>1427.6999999999998</v>
      </c>
      <c r="M15" s="49">
        <v>1066.5999999999999</v>
      </c>
      <c r="N15" s="49">
        <v>361.1</v>
      </c>
      <c r="O15" s="50">
        <v>116.4</v>
      </c>
      <c r="P15" s="51">
        <v>122.5</v>
      </c>
      <c r="Q15" s="49">
        <v>52</v>
      </c>
      <c r="R15" s="49">
        <v>70.5</v>
      </c>
      <c r="S15" s="49"/>
      <c r="T15" s="49">
        <v>5.9</v>
      </c>
      <c r="U15" s="51">
        <v>22.4</v>
      </c>
      <c r="V15" s="49">
        <v>14.7</v>
      </c>
      <c r="W15" s="49">
        <v>7.7</v>
      </c>
      <c r="X15" s="49">
        <v>33.700000000000003</v>
      </c>
      <c r="Y15" s="49">
        <v>8.3000000000000007</v>
      </c>
      <c r="Z15" s="49">
        <v>125.4</v>
      </c>
      <c r="AA15" s="49">
        <v>90.2</v>
      </c>
      <c r="AB15" s="49">
        <v>35.200000000000003</v>
      </c>
      <c r="AC15" s="49" t="s">
        <v>264</v>
      </c>
      <c r="AD15" s="49" t="s">
        <v>264</v>
      </c>
      <c r="AE15" s="49"/>
      <c r="AF15" s="51"/>
      <c r="AG15" s="50" t="s">
        <v>264</v>
      </c>
      <c r="AH15" s="50" t="s">
        <v>264</v>
      </c>
      <c r="AI15" s="49">
        <v>80.599999999999994</v>
      </c>
      <c r="AJ15" s="49"/>
      <c r="AK15" s="49"/>
      <c r="AL15" s="51">
        <v>72</v>
      </c>
      <c r="AM15" s="49">
        <v>42.7</v>
      </c>
      <c r="AN15" s="49">
        <v>29.3</v>
      </c>
      <c r="AO15" s="49">
        <v>2252.8000000000002</v>
      </c>
      <c r="AP15" s="49">
        <v>211.1</v>
      </c>
      <c r="AQ15" s="49">
        <v>72.8</v>
      </c>
      <c r="AR15" s="49">
        <v>31.3</v>
      </c>
      <c r="AS15" s="50">
        <v>170.3</v>
      </c>
      <c r="AT15" s="50">
        <v>58.1</v>
      </c>
      <c r="AU15" s="50">
        <v>101</v>
      </c>
      <c r="AV15" s="50">
        <v>22.4</v>
      </c>
      <c r="AW15" s="50">
        <v>4.3</v>
      </c>
      <c r="AX15" s="50">
        <v>1.1000000000000001</v>
      </c>
      <c r="AY15" s="50">
        <v>25.4</v>
      </c>
      <c r="AZ15" s="50">
        <v>3.3</v>
      </c>
      <c r="BA15" s="50" t="s">
        <v>264</v>
      </c>
      <c r="BB15" s="50" t="s">
        <v>264</v>
      </c>
      <c r="BC15" s="50"/>
      <c r="BD15" s="52">
        <v>99.6</v>
      </c>
      <c r="BE15" s="52">
        <v>47</v>
      </c>
      <c r="BF15" s="52"/>
      <c r="BG15" s="52"/>
      <c r="BH15" s="52"/>
      <c r="BI15" s="52"/>
      <c r="BJ15" s="52"/>
      <c r="BK15" s="52"/>
      <c r="BL15" s="52"/>
      <c r="BM15" s="52">
        <v>558.1</v>
      </c>
      <c r="BN15" s="52"/>
      <c r="BO15" s="52"/>
      <c r="BP15" s="52"/>
      <c r="BQ15" s="52"/>
      <c r="BR15" s="52"/>
      <c r="BS15" s="53">
        <v>439.5</v>
      </c>
      <c r="BT15" s="52"/>
      <c r="BU15" s="52">
        <v>44.6</v>
      </c>
      <c r="BV15" s="50" t="s">
        <v>264</v>
      </c>
      <c r="BW15" s="50" t="s">
        <v>264</v>
      </c>
      <c r="BX15" s="50">
        <v>463.8</v>
      </c>
      <c r="BY15" s="50" t="s">
        <v>264</v>
      </c>
      <c r="BZ15" s="50" t="s">
        <v>264</v>
      </c>
      <c r="CA15" s="49"/>
      <c r="CB15" s="52"/>
      <c r="CC15" s="52"/>
      <c r="CD15" s="52"/>
      <c r="CE15" s="52"/>
      <c r="CF15" s="52">
        <v>110</v>
      </c>
      <c r="CG15" s="52">
        <v>146.30000000000001</v>
      </c>
      <c r="CH15" s="52">
        <v>19.399999999999999</v>
      </c>
      <c r="CI15" s="52"/>
      <c r="CJ15" s="52"/>
      <c r="CK15" s="52"/>
      <c r="CL15" s="52"/>
      <c r="CM15" s="52"/>
      <c r="CN15" s="52">
        <v>71.8</v>
      </c>
      <c r="CO15" s="52">
        <v>184.3</v>
      </c>
      <c r="CP15" s="52">
        <v>147.80000000000001</v>
      </c>
      <c r="CQ15" s="52">
        <v>36.5</v>
      </c>
      <c r="CR15" s="52">
        <v>17.100000000000001</v>
      </c>
      <c r="CS15" s="52">
        <v>43.8</v>
      </c>
      <c r="CT15" s="52">
        <v>30.2</v>
      </c>
      <c r="CU15" s="52">
        <v>13.6</v>
      </c>
      <c r="CV15" s="52">
        <v>45.3</v>
      </c>
      <c r="CW15" s="52">
        <v>45.3</v>
      </c>
      <c r="CX15" s="52"/>
      <c r="CY15" s="52">
        <v>18.600000000000001</v>
      </c>
      <c r="CZ15" s="52">
        <v>42.2</v>
      </c>
      <c r="DA15" s="52">
        <v>31.4</v>
      </c>
      <c r="DB15" s="52">
        <v>20.399999999999999</v>
      </c>
      <c r="DC15" s="52">
        <v>11</v>
      </c>
      <c r="DD15" s="52"/>
      <c r="DE15" s="52"/>
      <c r="DF15" s="53"/>
      <c r="DG15" s="53">
        <v>254.2</v>
      </c>
      <c r="DH15" s="53"/>
      <c r="DI15" s="53">
        <v>758.7</v>
      </c>
      <c r="DJ15" s="53">
        <v>178.2</v>
      </c>
      <c r="DK15" s="53">
        <v>496.7</v>
      </c>
      <c r="DL15" s="53">
        <v>100.4</v>
      </c>
      <c r="DM15" s="53">
        <v>143.6</v>
      </c>
      <c r="DN15" s="53"/>
      <c r="DO15" s="53">
        <v>165.1</v>
      </c>
      <c r="DP15" s="53">
        <v>157.6</v>
      </c>
      <c r="DQ15" s="53"/>
      <c r="DR15" s="53">
        <v>154.4</v>
      </c>
      <c r="DS15" s="53">
        <v>524</v>
      </c>
      <c r="DT15" s="53">
        <v>2932.9</v>
      </c>
      <c r="DU15" s="53">
        <v>-254.20000000000027</v>
      </c>
      <c r="DV15" s="53">
        <v>0</v>
      </c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17"/>
      <c r="GZ15" s="52">
        <v>784.1</v>
      </c>
      <c r="HA15" s="52"/>
      <c r="HB15" s="17"/>
      <c r="HC15" s="17"/>
      <c r="HD15" s="17"/>
      <c r="HE15" s="17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3"/>
      <c r="II15" s="53"/>
      <c r="IJ15" s="53"/>
      <c r="IK15" s="53"/>
      <c r="IL15" s="53"/>
      <c r="IM15" s="52"/>
      <c r="IN15" s="52">
        <v>94.1</v>
      </c>
      <c r="IO15" s="54"/>
      <c r="IP15" s="54"/>
      <c r="IQ15" s="54"/>
      <c r="IR15" s="54"/>
      <c r="IS15" s="54"/>
      <c r="IT15" s="54"/>
      <c r="IU15" s="54"/>
      <c r="IV15" s="54"/>
      <c r="IW15" s="54"/>
      <c r="IX15" s="54"/>
      <c r="IY15" s="48">
        <f t="shared" si="2"/>
        <v>47.576119199427197</v>
      </c>
      <c r="IZ15" s="48">
        <f>IY15-'NOPA Crush'!J15</f>
        <v>0.17611919942719823</v>
      </c>
      <c r="JB15" s="63">
        <f t="shared" si="0"/>
        <v>11.049132258174502</v>
      </c>
      <c r="JC15" s="64">
        <f>JB15-'NOPA Crush'!O15</f>
        <v>0.24913225817450169</v>
      </c>
      <c r="JD15" s="65"/>
      <c r="JE15" s="67">
        <f t="shared" si="1"/>
        <v>1427.6999999999998</v>
      </c>
      <c r="JF15" s="68">
        <f>'NOPA Crush'!Q15/'Census Crush'!JE15</f>
        <v>0.46606429922252579</v>
      </c>
    </row>
    <row r="16" spans="1:267">
      <c r="A16" s="39">
        <v>29526</v>
      </c>
      <c r="B16" s="49">
        <v>2954.5</v>
      </c>
      <c r="C16" s="50">
        <v>5159.2</v>
      </c>
      <c r="D16" s="50">
        <v>426</v>
      </c>
      <c r="E16" s="50">
        <v>1658.7</v>
      </c>
      <c r="F16" s="50">
        <v>8.1999999999999993</v>
      </c>
      <c r="G16" s="50" t="s">
        <v>264</v>
      </c>
      <c r="H16" s="50" t="s">
        <v>264</v>
      </c>
      <c r="I16" s="50" t="s">
        <v>264</v>
      </c>
      <c r="J16" s="50" t="s">
        <v>264</v>
      </c>
      <c r="K16" s="49">
        <v>1077.5999999999999</v>
      </c>
      <c r="L16" s="49">
        <v>1677.1999999999998</v>
      </c>
      <c r="M16" s="49">
        <v>1295.5999999999999</v>
      </c>
      <c r="N16" s="49">
        <v>381.6</v>
      </c>
      <c r="O16" s="50">
        <v>130.5</v>
      </c>
      <c r="P16" s="51">
        <v>152.80000000000001</v>
      </c>
      <c r="Q16" s="49">
        <v>81.900000000000006</v>
      </c>
      <c r="R16" s="49">
        <v>70.900000000000006</v>
      </c>
      <c r="S16" s="49"/>
      <c r="T16" s="49">
        <v>6.3</v>
      </c>
      <c r="U16" s="51">
        <v>15.4</v>
      </c>
      <c r="V16" s="49">
        <v>11.8</v>
      </c>
      <c r="W16" s="49">
        <v>3.6</v>
      </c>
      <c r="X16" s="50" t="s">
        <v>264</v>
      </c>
      <c r="Y16" s="49">
        <v>13.4</v>
      </c>
      <c r="Z16" s="49">
        <v>137.30000000000001</v>
      </c>
      <c r="AA16" s="49">
        <v>102.1</v>
      </c>
      <c r="AB16" s="49">
        <v>35.200000000000003</v>
      </c>
      <c r="AC16" s="49" t="s">
        <v>264</v>
      </c>
      <c r="AD16" s="49" t="s">
        <v>264</v>
      </c>
      <c r="AE16" s="49"/>
      <c r="AF16" s="51"/>
      <c r="AG16" s="50" t="s">
        <v>264</v>
      </c>
      <c r="AH16" s="50" t="s">
        <v>264</v>
      </c>
      <c r="AI16" s="49">
        <v>68</v>
      </c>
      <c r="AJ16" s="49"/>
      <c r="AK16" s="49"/>
      <c r="AL16" s="51">
        <v>79.300000000000011</v>
      </c>
      <c r="AM16" s="49">
        <v>46.2</v>
      </c>
      <c r="AN16" s="49">
        <v>33.1</v>
      </c>
      <c r="AO16" s="49">
        <v>2291.1</v>
      </c>
      <c r="AP16" s="49">
        <v>350</v>
      </c>
      <c r="AQ16" s="49">
        <v>75.400000000000006</v>
      </c>
      <c r="AR16" s="49">
        <v>31.4</v>
      </c>
      <c r="AS16" s="50">
        <v>202.1</v>
      </c>
      <c r="AT16" s="50">
        <v>67</v>
      </c>
      <c r="AU16" s="50">
        <v>103.5</v>
      </c>
      <c r="AV16" s="50">
        <v>29.8</v>
      </c>
      <c r="AW16" s="50">
        <v>4.8</v>
      </c>
      <c r="AX16" s="50">
        <v>1.1000000000000001</v>
      </c>
      <c r="AY16" s="50" t="s">
        <v>264</v>
      </c>
      <c r="AZ16" s="50" t="s">
        <v>264</v>
      </c>
      <c r="BA16" s="50" t="s">
        <v>264</v>
      </c>
      <c r="BB16" s="50" t="s">
        <v>264</v>
      </c>
      <c r="BC16" s="50"/>
      <c r="BD16" s="52">
        <v>87.8</v>
      </c>
      <c r="BE16" s="52">
        <v>50.8</v>
      </c>
      <c r="BF16" s="52"/>
      <c r="BG16" s="52"/>
      <c r="BH16" s="52"/>
      <c r="BI16" s="52"/>
      <c r="BJ16" s="52"/>
      <c r="BK16" s="52"/>
      <c r="BL16" s="52"/>
      <c r="BM16" s="52">
        <v>491.7</v>
      </c>
      <c r="BN16" s="52"/>
      <c r="BO16" s="52"/>
      <c r="BP16" s="52"/>
      <c r="BQ16" s="52"/>
      <c r="BR16" s="52"/>
      <c r="BS16" s="53">
        <v>412.1</v>
      </c>
      <c r="BT16" s="52"/>
      <c r="BU16" s="52">
        <v>48.7</v>
      </c>
      <c r="BV16" s="50" t="s">
        <v>264</v>
      </c>
      <c r="BW16" s="50" t="s">
        <v>264</v>
      </c>
      <c r="BX16" s="50">
        <v>416.9</v>
      </c>
      <c r="BY16" s="50" t="s">
        <v>264</v>
      </c>
      <c r="BZ16" s="50" t="s">
        <v>264</v>
      </c>
      <c r="CA16" s="49"/>
      <c r="CB16" s="52"/>
      <c r="CC16" s="52"/>
      <c r="CD16" s="52"/>
      <c r="CE16" s="52"/>
      <c r="CF16" s="52">
        <v>109.7</v>
      </c>
      <c r="CG16" s="52">
        <v>137.4</v>
      </c>
      <c r="CH16" s="52">
        <v>21.4</v>
      </c>
      <c r="CI16" s="52"/>
      <c r="CJ16" s="52"/>
      <c r="CK16" s="52"/>
      <c r="CL16" s="52"/>
      <c r="CM16" s="52"/>
      <c r="CN16" s="52">
        <v>63</v>
      </c>
      <c r="CO16" s="52">
        <v>210.79999999999998</v>
      </c>
      <c r="CP16" s="52">
        <v>174.2</v>
      </c>
      <c r="CQ16" s="52">
        <v>36.6</v>
      </c>
      <c r="CR16" s="52">
        <v>29.5</v>
      </c>
      <c r="CS16" s="52">
        <v>34.5</v>
      </c>
      <c r="CT16" s="52">
        <v>22.1</v>
      </c>
      <c r="CU16" s="52">
        <v>12.4</v>
      </c>
      <c r="CV16" s="52">
        <v>54.9</v>
      </c>
      <c r="CW16" s="52">
        <v>54.9</v>
      </c>
      <c r="CX16" s="52"/>
      <c r="CY16" s="52">
        <v>14.6</v>
      </c>
      <c r="CZ16" s="52">
        <v>38.9</v>
      </c>
      <c r="DA16" s="52">
        <v>33.9</v>
      </c>
      <c r="DB16" s="52">
        <v>23</v>
      </c>
      <c r="DC16" s="52">
        <v>10.9</v>
      </c>
      <c r="DD16" s="52"/>
      <c r="DE16" s="52"/>
      <c r="DF16" s="53"/>
      <c r="DG16" s="53"/>
      <c r="DH16" s="53"/>
      <c r="DI16" s="53">
        <v>789</v>
      </c>
      <c r="DJ16" s="53">
        <v>124.4</v>
      </c>
      <c r="DK16" s="53">
        <v>487.1</v>
      </c>
      <c r="DL16" s="53"/>
      <c r="DM16" s="53">
        <v>138.30000000000001</v>
      </c>
      <c r="DN16" s="53"/>
      <c r="DO16" s="53">
        <v>165.1</v>
      </c>
      <c r="DP16" s="53">
        <v>145.6</v>
      </c>
      <c r="DQ16" s="53">
        <v>52.1</v>
      </c>
      <c r="DR16" s="53">
        <v>152.5</v>
      </c>
      <c r="DS16" s="53">
        <v>900.4</v>
      </c>
      <c r="DT16" s="53">
        <v>2954.5</v>
      </c>
      <c r="DU16" s="53">
        <v>0</v>
      </c>
      <c r="DV16" s="53">
        <v>0</v>
      </c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17"/>
      <c r="GZ16" s="52">
        <v>760.5</v>
      </c>
      <c r="HA16" s="52"/>
      <c r="HB16" s="17"/>
      <c r="HC16" s="17"/>
      <c r="HD16" s="17"/>
      <c r="HE16" s="17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3"/>
      <c r="II16" s="53"/>
      <c r="IJ16" s="53"/>
      <c r="IK16" s="53"/>
      <c r="IL16" s="53"/>
      <c r="IM16" s="52"/>
      <c r="IN16" s="52">
        <v>119.8</v>
      </c>
      <c r="IO16" s="54"/>
      <c r="IP16" s="54"/>
      <c r="IQ16" s="54"/>
      <c r="IR16" s="54"/>
      <c r="IS16" s="54"/>
      <c r="IT16" s="54"/>
      <c r="IU16" s="54"/>
      <c r="IV16" s="54"/>
      <c r="IW16" s="54"/>
      <c r="IX16" s="54"/>
      <c r="IY16" s="48">
        <f t="shared" si="2"/>
        <v>48.058893213741747</v>
      </c>
      <c r="IZ16" s="48">
        <f>IY16-'NOPA Crush'!J16</f>
        <v>0.45889321374174585</v>
      </c>
      <c r="JB16" s="63">
        <f t="shared" si="0"/>
        <v>10.941952953122355</v>
      </c>
      <c r="JC16" s="64">
        <f>JB16-'NOPA Crush'!O16</f>
        <v>4.1952953122354586E-2</v>
      </c>
      <c r="JD16" s="65"/>
      <c r="JE16" s="67">
        <f t="shared" si="1"/>
        <v>1677.1999999999998</v>
      </c>
      <c r="JF16" s="68">
        <f>'NOPA Crush'!Q16/'Census Crush'!JE16</f>
        <v>0.47513713331743385</v>
      </c>
    </row>
    <row r="17" spans="1:266">
      <c r="A17" s="39">
        <v>29556</v>
      </c>
      <c r="B17" s="49">
        <v>2824</v>
      </c>
      <c r="C17" s="50">
        <v>4162.3</v>
      </c>
      <c r="D17" s="50">
        <v>400.4</v>
      </c>
      <c r="E17" s="50">
        <v>1904.5</v>
      </c>
      <c r="F17" s="50">
        <v>7.8</v>
      </c>
      <c r="G17" s="50" t="s">
        <v>264</v>
      </c>
      <c r="H17" s="50" t="s">
        <v>264</v>
      </c>
      <c r="I17" s="50" t="s">
        <v>264</v>
      </c>
      <c r="J17" s="50" t="s">
        <v>264</v>
      </c>
      <c r="K17" s="49">
        <v>1024.3</v>
      </c>
      <c r="L17" s="49">
        <v>1737.8</v>
      </c>
      <c r="M17" s="49">
        <v>1369.6</v>
      </c>
      <c r="N17" s="49">
        <v>368.2</v>
      </c>
      <c r="O17" s="50">
        <v>122.3</v>
      </c>
      <c r="P17" s="51">
        <v>170.10000000000002</v>
      </c>
      <c r="Q17" s="49">
        <v>90.4</v>
      </c>
      <c r="R17" s="49">
        <v>79.7</v>
      </c>
      <c r="S17" s="49"/>
      <c r="T17" s="49">
        <v>5.8</v>
      </c>
      <c r="U17" s="51">
        <v>11.8</v>
      </c>
      <c r="V17" s="49">
        <v>7.5</v>
      </c>
      <c r="W17" s="49">
        <v>4.3</v>
      </c>
      <c r="X17" s="50" t="s">
        <v>264</v>
      </c>
      <c r="Y17" s="49">
        <v>13.8</v>
      </c>
      <c r="Z17" s="49">
        <v>115.6</v>
      </c>
      <c r="AA17" s="49">
        <v>86.7</v>
      </c>
      <c r="AB17" s="49">
        <v>28.9</v>
      </c>
      <c r="AC17" s="49" t="s">
        <v>264</v>
      </c>
      <c r="AD17" s="49" t="s">
        <v>264</v>
      </c>
      <c r="AE17" s="49"/>
      <c r="AF17" s="51"/>
      <c r="AG17" s="50" t="s">
        <v>264</v>
      </c>
      <c r="AH17" s="50" t="s">
        <v>264</v>
      </c>
      <c r="AI17" s="49">
        <v>59</v>
      </c>
      <c r="AJ17" s="49"/>
      <c r="AK17" s="49"/>
      <c r="AL17" s="51">
        <v>76.400000000000006</v>
      </c>
      <c r="AM17" s="49">
        <v>45.4</v>
      </c>
      <c r="AN17" s="49">
        <v>31</v>
      </c>
      <c r="AO17" s="49">
        <v>2179.3000000000002</v>
      </c>
      <c r="AP17" s="49">
        <v>221.8</v>
      </c>
      <c r="AQ17" s="49">
        <v>69.2</v>
      </c>
      <c r="AR17" s="49">
        <v>27.9</v>
      </c>
      <c r="AS17" s="50">
        <v>191.1</v>
      </c>
      <c r="AT17" s="50">
        <v>56.8</v>
      </c>
      <c r="AU17" s="50">
        <v>102.9</v>
      </c>
      <c r="AV17" s="50">
        <v>29.1</v>
      </c>
      <c r="AW17" s="50">
        <v>4</v>
      </c>
      <c r="AX17" s="50">
        <v>1</v>
      </c>
      <c r="AY17" s="50" t="s">
        <v>264</v>
      </c>
      <c r="AZ17" s="50" t="s">
        <v>264</v>
      </c>
      <c r="BA17" s="50" t="s">
        <v>264</v>
      </c>
      <c r="BB17" s="50" t="s">
        <v>264</v>
      </c>
      <c r="BC17" s="50"/>
      <c r="BD17" s="52">
        <v>96</v>
      </c>
      <c r="BE17" s="52">
        <v>55.9</v>
      </c>
      <c r="BF17" s="52"/>
      <c r="BG17" s="52"/>
      <c r="BH17" s="52"/>
      <c r="BI17" s="52"/>
      <c r="BJ17" s="52"/>
      <c r="BK17" s="52"/>
      <c r="BL17" s="52"/>
      <c r="BM17" s="52">
        <v>541.79999999999995</v>
      </c>
      <c r="BN17" s="52"/>
      <c r="BO17" s="52"/>
      <c r="BP17" s="52"/>
      <c r="BQ17" s="52"/>
      <c r="BR17" s="52"/>
      <c r="BS17" s="53">
        <v>413</v>
      </c>
      <c r="BT17" s="52"/>
      <c r="BU17" s="52">
        <v>49.4</v>
      </c>
      <c r="BV17" s="50" t="s">
        <v>264</v>
      </c>
      <c r="BW17" s="50" t="s">
        <v>264</v>
      </c>
      <c r="BX17" s="50">
        <v>441.4</v>
      </c>
      <c r="BY17" s="50" t="s">
        <v>264</v>
      </c>
      <c r="BZ17" s="50" t="s">
        <v>264</v>
      </c>
      <c r="CA17" s="49"/>
      <c r="CB17" s="52"/>
      <c r="CC17" s="52"/>
      <c r="CD17" s="52"/>
      <c r="CE17" s="52"/>
      <c r="CF17" s="52">
        <v>112</v>
      </c>
      <c r="CG17" s="52">
        <v>127.6</v>
      </c>
      <c r="CH17" s="52">
        <v>10.9</v>
      </c>
      <c r="CI17" s="52"/>
      <c r="CJ17" s="52"/>
      <c r="CK17" s="52"/>
      <c r="CL17" s="52"/>
      <c r="CM17" s="52"/>
      <c r="CN17" s="52">
        <v>62.5</v>
      </c>
      <c r="CO17" s="52">
        <v>234.6</v>
      </c>
      <c r="CP17" s="52">
        <v>185</v>
      </c>
      <c r="CQ17" s="52">
        <v>49.6</v>
      </c>
      <c r="CR17" s="52" t="s">
        <v>264</v>
      </c>
      <c r="CS17" s="52">
        <v>45.6</v>
      </c>
      <c r="CT17" s="52">
        <v>33.1</v>
      </c>
      <c r="CU17" s="52">
        <v>12.5</v>
      </c>
      <c r="CV17" s="52">
        <v>86.2</v>
      </c>
      <c r="CW17" s="52">
        <v>86.2</v>
      </c>
      <c r="CX17" s="52"/>
      <c r="CY17" s="52">
        <v>16.100000000000001</v>
      </c>
      <c r="CZ17" s="52">
        <v>52.5</v>
      </c>
      <c r="DA17" s="52">
        <v>38.5</v>
      </c>
      <c r="DB17" s="52">
        <v>25.6</v>
      </c>
      <c r="DC17" s="52">
        <v>12.9</v>
      </c>
      <c r="DD17" s="52"/>
      <c r="DE17" s="52"/>
      <c r="DF17" s="53"/>
      <c r="DG17" s="53">
        <v>120</v>
      </c>
      <c r="DH17" s="53"/>
      <c r="DI17" s="53">
        <v>658.1</v>
      </c>
      <c r="DJ17" s="53">
        <v>171.3</v>
      </c>
      <c r="DK17" s="53">
        <v>474.3</v>
      </c>
      <c r="DL17" s="53">
        <v>103.7</v>
      </c>
      <c r="DM17" s="53">
        <v>162.4</v>
      </c>
      <c r="DN17" s="53"/>
      <c r="DO17" s="53">
        <v>161.80000000000001</v>
      </c>
      <c r="DP17" s="53">
        <v>153</v>
      </c>
      <c r="DQ17" s="53">
        <v>55.7</v>
      </c>
      <c r="DR17" s="53">
        <v>116.7</v>
      </c>
      <c r="DS17" s="53">
        <v>647</v>
      </c>
      <c r="DT17" s="53">
        <v>2824</v>
      </c>
      <c r="DU17" s="53">
        <v>-120</v>
      </c>
      <c r="DV17" s="53">
        <v>0</v>
      </c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17"/>
      <c r="GZ17" s="52">
        <v>763.1</v>
      </c>
      <c r="HA17" s="52"/>
      <c r="HB17" s="17"/>
      <c r="HC17" s="17"/>
      <c r="HD17" s="17"/>
      <c r="HE17" s="17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3"/>
      <c r="II17" s="53"/>
      <c r="IJ17" s="53"/>
      <c r="IK17" s="53"/>
      <c r="IL17" s="53"/>
      <c r="IM17" s="52"/>
      <c r="IN17" s="52">
        <v>125.1</v>
      </c>
      <c r="IO17" s="54"/>
      <c r="IP17" s="54"/>
      <c r="IQ17" s="54"/>
      <c r="IR17" s="54"/>
      <c r="IS17" s="54"/>
      <c r="IT17" s="54"/>
      <c r="IU17" s="54"/>
      <c r="IV17" s="54"/>
      <c r="IW17" s="54"/>
      <c r="IX17" s="54"/>
      <c r="IY17" s="48">
        <f t="shared" si="2"/>
        <v>47.772662889518408</v>
      </c>
      <c r="IZ17" s="48">
        <f>IY17-'NOPA Crush'!J17</f>
        <v>0.17266288951840636</v>
      </c>
      <c r="JB17" s="63">
        <f t="shared" si="0"/>
        <v>10.881373937677052</v>
      </c>
      <c r="JC17" s="64">
        <f>JB17-'NOPA Crush'!O17</f>
        <v>-1.8626062322947945E-2</v>
      </c>
      <c r="JD17" s="65"/>
      <c r="JE17" s="67">
        <f t="shared" si="1"/>
        <v>1737.8</v>
      </c>
      <c r="JF17" s="68">
        <f>'NOPA Crush'!Q17/'Census Crush'!JE17</f>
        <v>0.46455288295546093</v>
      </c>
    </row>
    <row r="18" spans="1:266">
      <c r="A18" s="39">
        <v>29587</v>
      </c>
      <c r="B18" s="49">
        <v>2764.6</v>
      </c>
      <c r="C18" s="50">
        <v>3776.6</v>
      </c>
      <c r="D18" s="50">
        <v>439.8</v>
      </c>
      <c r="E18" s="50">
        <v>1754.9</v>
      </c>
      <c r="F18" s="50">
        <v>10.7</v>
      </c>
      <c r="G18" s="50" t="s">
        <v>264</v>
      </c>
      <c r="H18" s="50" t="s">
        <v>264</v>
      </c>
      <c r="I18" s="50" t="s">
        <v>264</v>
      </c>
      <c r="J18" s="50" t="s">
        <v>264</v>
      </c>
      <c r="K18" s="49">
        <v>1010.6</v>
      </c>
      <c r="L18" s="49">
        <v>1900.1000000000001</v>
      </c>
      <c r="M18" s="49">
        <v>1544.4</v>
      </c>
      <c r="N18" s="49">
        <v>355.7</v>
      </c>
      <c r="O18" s="50">
        <v>131.69999999999999</v>
      </c>
      <c r="P18" s="51">
        <v>183.5</v>
      </c>
      <c r="Q18" s="49">
        <v>88.8</v>
      </c>
      <c r="R18" s="49">
        <v>94.7</v>
      </c>
      <c r="S18" s="49"/>
      <c r="T18" s="49">
        <v>6.1</v>
      </c>
      <c r="U18" s="51">
        <v>12.5</v>
      </c>
      <c r="V18" s="49">
        <v>8</v>
      </c>
      <c r="W18" s="49">
        <v>4.5</v>
      </c>
      <c r="X18" s="50" t="s">
        <v>264</v>
      </c>
      <c r="Y18" s="49">
        <v>8.1</v>
      </c>
      <c r="Z18" s="49">
        <v>131.70000000000002</v>
      </c>
      <c r="AA18" s="49">
        <v>105.9</v>
      </c>
      <c r="AB18" s="49">
        <v>25.8</v>
      </c>
      <c r="AC18" s="49" t="s">
        <v>264</v>
      </c>
      <c r="AD18" s="49" t="s">
        <v>264</v>
      </c>
      <c r="AE18" s="49"/>
      <c r="AF18" s="51"/>
      <c r="AG18" s="50" t="s">
        <v>264</v>
      </c>
      <c r="AH18" s="50" t="s">
        <v>264</v>
      </c>
      <c r="AI18" s="49">
        <v>65.8</v>
      </c>
      <c r="AJ18" s="49"/>
      <c r="AK18" s="49"/>
      <c r="AL18" s="51">
        <v>72.400000000000006</v>
      </c>
      <c r="AM18" s="49">
        <v>43.4</v>
      </c>
      <c r="AN18" s="49">
        <v>29</v>
      </c>
      <c r="AO18" s="49">
        <v>2133.1</v>
      </c>
      <c r="AP18" s="49">
        <v>209.7</v>
      </c>
      <c r="AQ18" s="49">
        <v>74.7</v>
      </c>
      <c r="AR18" s="49">
        <v>32.9</v>
      </c>
      <c r="AS18" s="50">
        <v>204.9</v>
      </c>
      <c r="AT18" s="50">
        <v>74.5</v>
      </c>
      <c r="AU18" s="50">
        <v>109.2</v>
      </c>
      <c r="AV18" s="50">
        <v>41.1</v>
      </c>
      <c r="AW18" s="50">
        <v>4.5</v>
      </c>
      <c r="AX18" s="50">
        <v>2.1</v>
      </c>
      <c r="AY18" s="50" t="s">
        <v>264</v>
      </c>
      <c r="AZ18" s="50" t="s">
        <v>264</v>
      </c>
      <c r="BA18" s="50" t="s">
        <v>264</v>
      </c>
      <c r="BB18" s="50" t="s">
        <v>264</v>
      </c>
      <c r="BC18" s="50"/>
      <c r="BD18" s="52">
        <v>97.1</v>
      </c>
      <c r="BE18" s="52">
        <v>68.099999999999994</v>
      </c>
      <c r="BF18" s="52"/>
      <c r="BG18" s="52"/>
      <c r="BH18" s="52"/>
      <c r="BI18" s="52"/>
      <c r="BJ18" s="52"/>
      <c r="BK18" s="52"/>
      <c r="BL18" s="52"/>
      <c r="BM18" s="52">
        <v>533.29999999999995</v>
      </c>
      <c r="BN18" s="52"/>
      <c r="BO18" s="52"/>
      <c r="BP18" s="52"/>
      <c r="BQ18" s="52"/>
      <c r="BR18" s="52"/>
      <c r="BS18" s="53">
        <v>436</v>
      </c>
      <c r="BT18" s="52"/>
      <c r="BU18" s="52">
        <v>50.4</v>
      </c>
      <c r="BV18" s="50" t="s">
        <v>264</v>
      </c>
      <c r="BW18" s="50" t="s">
        <v>264</v>
      </c>
      <c r="BX18" s="50">
        <v>427.9</v>
      </c>
      <c r="BY18" s="50" t="s">
        <v>264</v>
      </c>
      <c r="BZ18" s="50" t="s">
        <v>264</v>
      </c>
      <c r="CA18" s="49"/>
      <c r="CB18" s="52"/>
      <c r="CC18" s="52"/>
      <c r="CD18" s="52"/>
      <c r="CE18" s="52"/>
      <c r="CF18" s="52">
        <v>119.2</v>
      </c>
      <c r="CG18" s="52">
        <v>127.2</v>
      </c>
      <c r="CH18" s="52">
        <v>11.3</v>
      </c>
      <c r="CI18" s="52"/>
      <c r="CJ18" s="52"/>
      <c r="CK18" s="52"/>
      <c r="CL18" s="52"/>
      <c r="CM18" s="52"/>
      <c r="CN18" s="52">
        <v>65.5</v>
      </c>
      <c r="CO18" s="52">
        <v>251.5</v>
      </c>
      <c r="CP18" s="52">
        <v>204.1</v>
      </c>
      <c r="CQ18" s="52">
        <v>47.4</v>
      </c>
      <c r="CR18" s="52" t="s">
        <v>264</v>
      </c>
      <c r="CS18" s="52">
        <v>50.6</v>
      </c>
      <c r="CT18" s="52">
        <v>37.1</v>
      </c>
      <c r="CU18" s="52">
        <v>13.5</v>
      </c>
      <c r="CV18" s="52">
        <v>80.5</v>
      </c>
      <c r="CW18" s="52">
        <v>80.5</v>
      </c>
      <c r="CX18" s="52"/>
      <c r="CY18" s="52">
        <v>17.2</v>
      </c>
      <c r="CZ18" s="52">
        <v>46.8</v>
      </c>
      <c r="DA18" s="52">
        <v>33.1</v>
      </c>
      <c r="DB18" s="52">
        <v>22.7</v>
      </c>
      <c r="DC18" s="52">
        <v>10.4</v>
      </c>
      <c r="DD18" s="52"/>
      <c r="DE18" s="52"/>
      <c r="DF18" s="53"/>
      <c r="DG18" s="53">
        <v>65.400000000000006</v>
      </c>
      <c r="DH18" s="53"/>
      <c r="DI18" s="53">
        <v>666</v>
      </c>
      <c r="DJ18" s="53">
        <v>182.2</v>
      </c>
      <c r="DK18" s="53">
        <v>435.7</v>
      </c>
      <c r="DL18" s="53"/>
      <c r="DM18" s="53">
        <v>162.30000000000001</v>
      </c>
      <c r="DN18" s="53"/>
      <c r="DO18" s="53">
        <v>146.6</v>
      </c>
      <c r="DP18" s="53">
        <v>147.6</v>
      </c>
      <c r="DQ18" s="53">
        <v>46.5</v>
      </c>
      <c r="DR18" s="53">
        <v>129.5</v>
      </c>
      <c r="DS18" s="53">
        <v>782.8</v>
      </c>
      <c r="DT18" s="53">
        <v>2764.6</v>
      </c>
      <c r="DU18" s="53">
        <v>-65.400000000000091</v>
      </c>
      <c r="DV18" s="53">
        <v>0</v>
      </c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17"/>
      <c r="GZ18" s="52">
        <v>741.6</v>
      </c>
      <c r="HA18" s="52"/>
      <c r="HB18" s="17"/>
      <c r="HC18" s="17"/>
      <c r="HD18" s="17"/>
      <c r="HE18" s="17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3"/>
      <c r="II18" s="53"/>
      <c r="IJ18" s="53"/>
      <c r="IK18" s="53"/>
      <c r="IL18" s="53"/>
      <c r="IM18" s="52"/>
      <c r="IN18" s="52">
        <v>131.30000000000001</v>
      </c>
      <c r="IO18" s="54"/>
      <c r="IP18" s="54"/>
      <c r="IQ18" s="54"/>
      <c r="IR18" s="54"/>
      <c r="IS18" s="54"/>
      <c r="IT18" s="54"/>
      <c r="IU18" s="54"/>
      <c r="IV18" s="54"/>
      <c r="IW18" s="54"/>
      <c r="IX18" s="54"/>
      <c r="IY18" s="48">
        <f t="shared" si="2"/>
        <v>47.915792519713513</v>
      </c>
      <c r="IZ18" s="48">
        <f>IY18-'NOPA Crush'!J18</f>
        <v>0.91579251971351283</v>
      </c>
      <c r="JB18" s="63">
        <f t="shared" si="0"/>
        <v>10.966505100195327</v>
      </c>
      <c r="JC18" s="64">
        <f>JB18-'NOPA Crush'!O18</f>
        <v>6.650510019532696E-2</v>
      </c>
      <c r="JD18" s="65"/>
      <c r="JE18" s="67">
        <f t="shared" si="1"/>
        <v>1900.1000000000001</v>
      </c>
      <c r="JF18" s="68">
        <f>'NOPA Crush'!Q18/'Census Crush'!JE18</f>
        <v>0.49776327561707273</v>
      </c>
    </row>
    <row r="19" spans="1:266">
      <c r="A19" s="39">
        <v>29618</v>
      </c>
      <c r="B19" s="49">
        <v>2388</v>
      </c>
      <c r="C19" s="50">
        <v>3162.3</v>
      </c>
      <c r="D19" s="50">
        <v>378.2</v>
      </c>
      <c r="E19" s="50">
        <v>1653.3</v>
      </c>
      <c r="F19" s="50">
        <v>7.8</v>
      </c>
      <c r="G19" s="50">
        <v>72.8</v>
      </c>
      <c r="H19" s="50">
        <v>64.5</v>
      </c>
      <c r="I19" s="50" t="s">
        <v>264</v>
      </c>
      <c r="J19" s="50" t="s">
        <v>264</v>
      </c>
      <c r="K19" s="49">
        <v>887.8</v>
      </c>
      <c r="L19" s="49">
        <v>1976.3</v>
      </c>
      <c r="M19" s="49">
        <v>1641.3</v>
      </c>
      <c r="N19" s="49">
        <v>335</v>
      </c>
      <c r="O19" s="50">
        <v>118.9</v>
      </c>
      <c r="P19" s="51">
        <v>200.10000000000002</v>
      </c>
      <c r="Q19" s="49">
        <v>99.7</v>
      </c>
      <c r="R19" s="49">
        <v>100.4</v>
      </c>
      <c r="S19" s="49"/>
      <c r="T19" s="49">
        <v>6</v>
      </c>
      <c r="U19" s="51">
        <v>11.7</v>
      </c>
      <c r="V19" s="49">
        <v>7.6</v>
      </c>
      <c r="W19" s="49">
        <v>4.0999999999999996</v>
      </c>
      <c r="X19" s="50">
        <v>55.3</v>
      </c>
      <c r="Y19" s="49">
        <v>7.6</v>
      </c>
      <c r="Z19" s="49">
        <v>130.6</v>
      </c>
      <c r="AA19" s="49">
        <v>106.1</v>
      </c>
      <c r="AB19" s="49">
        <v>24.5</v>
      </c>
      <c r="AC19" s="49" t="s">
        <v>264</v>
      </c>
      <c r="AD19" s="49" t="s">
        <v>264</v>
      </c>
      <c r="AE19" s="49"/>
      <c r="AF19" s="51"/>
      <c r="AG19" s="50" t="s">
        <v>264</v>
      </c>
      <c r="AH19" s="50" t="s">
        <v>264</v>
      </c>
      <c r="AI19" s="49">
        <v>63.6</v>
      </c>
      <c r="AJ19" s="49"/>
      <c r="AK19" s="49"/>
      <c r="AL19" s="51">
        <v>80.400000000000006</v>
      </c>
      <c r="AM19" s="49">
        <v>43.3</v>
      </c>
      <c r="AN19" s="49">
        <v>37.1</v>
      </c>
      <c r="AO19" s="49">
        <v>1837.5</v>
      </c>
      <c r="AP19" s="49">
        <v>214.4</v>
      </c>
      <c r="AQ19" s="49">
        <v>67.8</v>
      </c>
      <c r="AR19" s="49">
        <v>33.799999999999997</v>
      </c>
      <c r="AS19" s="50">
        <v>176.3</v>
      </c>
      <c r="AT19" s="50">
        <v>86.1</v>
      </c>
      <c r="AU19" s="50">
        <v>98.3</v>
      </c>
      <c r="AV19" s="50">
        <v>43.3</v>
      </c>
      <c r="AW19" s="50">
        <v>4.5</v>
      </c>
      <c r="AX19" s="50">
        <v>1.3</v>
      </c>
      <c r="AY19" s="50">
        <v>38.799999999999997</v>
      </c>
      <c r="AZ19" s="50">
        <v>5.6</v>
      </c>
      <c r="BA19" s="50" t="s">
        <v>264</v>
      </c>
      <c r="BB19" s="50" t="s">
        <v>264</v>
      </c>
      <c r="BC19" s="50"/>
      <c r="BD19" s="52">
        <v>87.4</v>
      </c>
      <c r="BE19" s="52">
        <v>53.8</v>
      </c>
      <c r="BF19" s="52"/>
      <c r="BG19" s="52"/>
      <c r="BH19" s="52"/>
      <c r="BI19" s="52"/>
      <c r="BJ19" s="52"/>
      <c r="BK19" s="52"/>
      <c r="BL19" s="52"/>
      <c r="BM19" s="52">
        <v>480.6</v>
      </c>
      <c r="BN19" s="52"/>
      <c r="BO19" s="52"/>
      <c r="BP19" s="52"/>
      <c r="BQ19" s="52"/>
      <c r="BR19" s="52"/>
      <c r="BS19" s="53">
        <v>436.9</v>
      </c>
      <c r="BT19" s="52"/>
      <c r="BU19" s="52">
        <v>46.9</v>
      </c>
      <c r="BV19" s="50" t="s">
        <v>264</v>
      </c>
      <c r="BW19" s="50" t="s">
        <v>264</v>
      </c>
      <c r="BX19" s="50">
        <v>384.6</v>
      </c>
      <c r="BY19" s="50" t="s">
        <v>264</v>
      </c>
      <c r="BZ19" s="50" t="s">
        <v>264</v>
      </c>
      <c r="CA19" s="49"/>
      <c r="CB19" s="52"/>
      <c r="CC19" s="52"/>
      <c r="CD19" s="52"/>
      <c r="CE19" s="52"/>
      <c r="CF19" s="52">
        <v>113.5</v>
      </c>
      <c r="CG19" s="52">
        <v>133.6</v>
      </c>
      <c r="CH19" s="52">
        <v>13.6</v>
      </c>
      <c r="CI19" s="52"/>
      <c r="CJ19" s="52"/>
      <c r="CK19" s="52"/>
      <c r="CL19" s="52"/>
      <c r="CM19" s="52"/>
      <c r="CN19" s="52">
        <v>66</v>
      </c>
      <c r="CO19" s="52">
        <v>299</v>
      </c>
      <c r="CP19" s="52">
        <v>248.4</v>
      </c>
      <c r="CQ19" s="52">
        <v>50.6</v>
      </c>
      <c r="CR19" s="52" t="s">
        <v>264</v>
      </c>
      <c r="CS19" s="52">
        <v>53.3</v>
      </c>
      <c r="CT19" s="52">
        <v>39.9</v>
      </c>
      <c r="CU19" s="52">
        <v>13.4</v>
      </c>
      <c r="CV19" s="52">
        <v>100.3</v>
      </c>
      <c r="CW19" s="52">
        <v>100.3</v>
      </c>
      <c r="CX19" s="52"/>
      <c r="CY19" s="52" t="s">
        <v>264</v>
      </c>
      <c r="CZ19" s="52">
        <v>38</v>
      </c>
      <c r="DA19" s="52">
        <v>22.4</v>
      </c>
      <c r="DB19" s="52">
        <v>11.2</v>
      </c>
      <c r="DC19" s="52">
        <v>11.2</v>
      </c>
      <c r="DD19" s="52"/>
      <c r="DE19" s="52"/>
      <c r="DF19" s="53"/>
      <c r="DG19" s="53"/>
      <c r="DH19" s="53"/>
      <c r="DI19" s="53">
        <v>558.20000000000005</v>
      </c>
      <c r="DJ19" s="53">
        <v>155.80000000000001</v>
      </c>
      <c r="DK19" s="53">
        <v>401.9</v>
      </c>
      <c r="DL19" s="53"/>
      <c r="DM19" s="53">
        <v>145.80000000000001</v>
      </c>
      <c r="DN19" s="53">
        <v>77.5</v>
      </c>
      <c r="DO19" s="53">
        <v>135.69999999999999</v>
      </c>
      <c r="DP19" s="53">
        <v>140.6</v>
      </c>
      <c r="DQ19" s="53">
        <v>55.2</v>
      </c>
      <c r="DR19" s="53"/>
      <c r="DS19" s="53">
        <v>717.3</v>
      </c>
      <c r="DT19" s="53">
        <v>2388</v>
      </c>
      <c r="DU19" s="53">
        <v>0</v>
      </c>
      <c r="DV19" s="53">
        <v>0</v>
      </c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  <c r="GG19" s="52"/>
      <c r="GH19" s="52"/>
      <c r="GI19" s="52"/>
      <c r="GJ19" s="52"/>
      <c r="GK19" s="52"/>
      <c r="GL19" s="52"/>
      <c r="GM19" s="52"/>
      <c r="GN19" s="52"/>
      <c r="GO19" s="52"/>
      <c r="GP19" s="52"/>
      <c r="GQ19" s="52"/>
      <c r="GR19" s="52"/>
      <c r="GS19" s="52"/>
      <c r="GT19" s="52"/>
      <c r="GU19" s="52"/>
      <c r="GV19" s="52"/>
      <c r="GW19" s="52"/>
      <c r="GX19" s="52"/>
      <c r="GY19" s="17"/>
      <c r="GZ19" s="52">
        <v>706.3</v>
      </c>
      <c r="HA19" s="52"/>
      <c r="HB19" s="17"/>
      <c r="HC19" s="17"/>
      <c r="HD19" s="17"/>
      <c r="HE19" s="17"/>
      <c r="HF19" s="52"/>
      <c r="HG19" s="52"/>
      <c r="HH19" s="52"/>
      <c r="HI19" s="52"/>
      <c r="HJ19" s="52"/>
      <c r="HK19" s="52"/>
      <c r="HL19" s="52"/>
      <c r="HM19" s="52"/>
      <c r="HN19" s="52"/>
      <c r="HO19" s="52"/>
      <c r="HP19" s="52"/>
      <c r="HQ19" s="52"/>
      <c r="HR19" s="52"/>
      <c r="HS19" s="52"/>
      <c r="HT19" s="52"/>
      <c r="HU19" s="52"/>
      <c r="HV19" s="52"/>
      <c r="HW19" s="52"/>
      <c r="HX19" s="52"/>
      <c r="HY19" s="52"/>
      <c r="HZ19" s="52"/>
      <c r="IA19" s="52"/>
      <c r="IB19" s="52"/>
      <c r="IC19" s="52"/>
      <c r="ID19" s="52"/>
      <c r="IE19" s="52"/>
      <c r="IF19" s="52"/>
      <c r="IG19" s="52"/>
      <c r="IH19" s="53"/>
      <c r="II19" s="53"/>
      <c r="IJ19" s="53"/>
      <c r="IK19" s="53"/>
      <c r="IL19" s="53"/>
      <c r="IM19" s="52"/>
      <c r="IN19" s="52">
        <v>99.6</v>
      </c>
      <c r="IO19" s="54"/>
      <c r="IP19" s="54"/>
      <c r="IQ19" s="54"/>
      <c r="IR19" s="54"/>
      <c r="IS19" s="54"/>
      <c r="IT19" s="54"/>
      <c r="IU19" s="54"/>
      <c r="IV19" s="54"/>
      <c r="IW19" s="54"/>
      <c r="IX19" s="54"/>
      <c r="IY19" s="48">
        <f t="shared" si="2"/>
        <v>47.871859296482413</v>
      </c>
      <c r="IZ19" s="48">
        <f>IY19-'NOPA Crush'!J19</f>
        <v>0.47185929648241398</v>
      </c>
      <c r="JB19" s="63">
        <f t="shared" si="0"/>
        <v>11.153266331658292</v>
      </c>
      <c r="JC19" s="64">
        <f>JB19-'NOPA Crush'!O19</f>
        <v>5.3266331658292643E-2</v>
      </c>
      <c r="JD19" s="65"/>
      <c r="JE19" s="67">
        <f t="shared" si="1"/>
        <v>1976.3</v>
      </c>
      <c r="JF19" s="68">
        <f>'NOPA Crush'!Q19/'Census Crush'!JE19</f>
        <v>0.50518645954561558</v>
      </c>
    </row>
    <row r="20" spans="1:266">
      <c r="A20" s="39">
        <v>29646</v>
      </c>
      <c r="B20" s="49">
        <v>2661</v>
      </c>
      <c r="C20" s="50">
        <v>2917</v>
      </c>
      <c r="D20" s="50">
        <v>371.6</v>
      </c>
      <c r="E20" s="50">
        <v>1344.6</v>
      </c>
      <c r="F20" s="50">
        <v>13.2</v>
      </c>
      <c r="G20" s="50">
        <v>88.2</v>
      </c>
      <c r="H20" s="50">
        <v>44.3</v>
      </c>
      <c r="I20" s="50" t="s">
        <v>264</v>
      </c>
      <c r="J20" s="50" t="s">
        <v>264</v>
      </c>
      <c r="K20" s="49">
        <v>991.3</v>
      </c>
      <c r="L20" s="49">
        <v>2016.6</v>
      </c>
      <c r="M20" s="49">
        <v>1662.5</v>
      </c>
      <c r="N20" s="49">
        <v>354.1</v>
      </c>
      <c r="O20" s="50">
        <v>115.4</v>
      </c>
      <c r="P20" s="51">
        <v>202.39999999999998</v>
      </c>
      <c r="Q20" s="49">
        <v>101.1</v>
      </c>
      <c r="R20" s="49">
        <v>101.3</v>
      </c>
      <c r="S20" s="49"/>
      <c r="T20" s="49">
        <v>10.5</v>
      </c>
      <c r="U20" s="51">
        <v>12.3</v>
      </c>
      <c r="V20" s="49">
        <v>7.5</v>
      </c>
      <c r="W20" s="49">
        <v>4.8</v>
      </c>
      <c r="X20" s="49">
        <v>71.8</v>
      </c>
      <c r="Y20" s="49">
        <v>11.1</v>
      </c>
      <c r="Z20" s="49">
        <v>129.4</v>
      </c>
      <c r="AA20" s="49">
        <v>104.7</v>
      </c>
      <c r="AB20" s="49">
        <v>24.7</v>
      </c>
      <c r="AC20" s="49" t="s">
        <v>264</v>
      </c>
      <c r="AD20" s="49" t="s">
        <v>264</v>
      </c>
      <c r="AE20" s="49"/>
      <c r="AF20" s="51"/>
      <c r="AG20" s="50" t="s">
        <v>264</v>
      </c>
      <c r="AH20" s="50" t="s">
        <v>264</v>
      </c>
      <c r="AI20" s="49">
        <v>76.2</v>
      </c>
      <c r="AJ20" s="49"/>
      <c r="AK20" s="49"/>
      <c r="AL20" s="51">
        <v>77</v>
      </c>
      <c r="AM20" s="49">
        <v>46.3</v>
      </c>
      <c r="AN20" s="49">
        <v>30.7</v>
      </c>
      <c r="AO20" s="49">
        <v>2073.8000000000002</v>
      </c>
      <c r="AP20" s="49">
        <v>232.2</v>
      </c>
      <c r="AQ20" s="49">
        <v>67.3</v>
      </c>
      <c r="AR20" s="49">
        <v>39.200000000000003</v>
      </c>
      <c r="AS20" s="50">
        <v>173.4</v>
      </c>
      <c r="AT20" s="50">
        <v>106.1</v>
      </c>
      <c r="AU20" s="50">
        <v>92.6</v>
      </c>
      <c r="AV20" s="50">
        <v>53.2</v>
      </c>
      <c r="AW20" s="50">
        <v>7.4</v>
      </c>
      <c r="AX20" s="50">
        <v>2</v>
      </c>
      <c r="AY20" s="50">
        <v>52.6</v>
      </c>
      <c r="AZ20" s="50">
        <v>4.5</v>
      </c>
      <c r="BA20" s="50" t="s">
        <v>264</v>
      </c>
      <c r="BB20" s="50" t="s">
        <v>264</v>
      </c>
      <c r="BC20" s="50"/>
      <c r="BD20" s="52">
        <v>100.4</v>
      </c>
      <c r="BE20" s="52">
        <v>51.1</v>
      </c>
      <c r="BF20" s="52"/>
      <c r="BG20" s="52"/>
      <c r="BH20" s="52"/>
      <c r="BI20" s="52"/>
      <c r="BJ20" s="52"/>
      <c r="BK20" s="52"/>
      <c r="BL20" s="52"/>
      <c r="BM20" s="52">
        <v>517.5</v>
      </c>
      <c r="BN20" s="52"/>
      <c r="BO20" s="52"/>
      <c r="BP20" s="52"/>
      <c r="BQ20" s="52"/>
      <c r="BR20" s="52"/>
      <c r="BS20" s="53">
        <v>443.6</v>
      </c>
      <c r="BT20" s="52"/>
      <c r="BU20" s="52">
        <v>42.2</v>
      </c>
      <c r="BV20" s="50" t="s">
        <v>264</v>
      </c>
      <c r="BW20" s="50" t="s">
        <v>264</v>
      </c>
      <c r="BX20" s="50">
        <v>413.2</v>
      </c>
      <c r="BY20" s="50" t="s">
        <v>264</v>
      </c>
      <c r="BZ20" s="50" t="s">
        <v>264</v>
      </c>
      <c r="CA20" s="49"/>
      <c r="CB20" s="52"/>
      <c r="CC20" s="52"/>
      <c r="CD20" s="52"/>
      <c r="CE20" s="52"/>
      <c r="CF20" s="52">
        <v>128.80000000000001</v>
      </c>
      <c r="CG20" s="52">
        <v>148</v>
      </c>
      <c r="CH20" s="52">
        <v>14</v>
      </c>
      <c r="CI20" s="52"/>
      <c r="CJ20" s="52"/>
      <c r="CK20" s="52"/>
      <c r="CL20" s="52"/>
      <c r="CM20" s="52"/>
      <c r="CN20" s="52">
        <v>61.8</v>
      </c>
      <c r="CO20" s="52">
        <v>266.39999999999998</v>
      </c>
      <c r="CP20" s="52">
        <v>221.7</v>
      </c>
      <c r="CQ20" s="52">
        <v>44.7</v>
      </c>
      <c r="CR20" s="52" t="s">
        <v>264</v>
      </c>
      <c r="CS20" s="52">
        <v>34.700000000000003</v>
      </c>
      <c r="CT20" s="52">
        <v>23.1</v>
      </c>
      <c r="CU20" s="52">
        <v>11.6</v>
      </c>
      <c r="CV20" s="52">
        <v>86.6</v>
      </c>
      <c r="CW20" s="52">
        <v>86.6</v>
      </c>
      <c r="CX20" s="52"/>
      <c r="CY20" s="52" t="s">
        <v>264</v>
      </c>
      <c r="CZ20" s="52">
        <v>43.4</v>
      </c>
      <c r="DA20" s="52">
        <v>33.5</v>
      </c>
      <c r="DB20" s="52">
        <v>22.5</v>
      </c>
      <c r="DC20" s="52">
        <v>11</v>
      </c>
      <c r="DD20" s="52"/>
      <c r="DE20" s="52"/>
      <c r="DF20" s="53"/>
      <c r="DG20" s="53">
        <v>59.6</v>
      </c>
      <c r="DH20" s="53"/>
      <c r="DI20" s="53">
        <v>635.20000000000005</v>
      </c>
      <c r="DJ20" s="53">
        <v>166.8</v>
      </c>
      <c r="DK20" s="53">
        <v>433.5</v>
      </c>
      <c r="DL20" s="53"/>
      <c r="DM20" s="53">
        <v>156.69999999999999</v>
      </c>
      <c r="DN20" s="53">
        <v>61.1</v>
      </c>
      <c r="DO20" s="53">
        <v>158.69999999999999</v>
      </c>
      <c r="DP20" s="53">
        <v>149.19999999999999</v>
      </c>
      <c r="DQ20" s="53">
        <v>56.6</v>
      </c>
      <c r="DR20" s="53"/>
      <c r="DS20" s="53">
        <v>783.6</v>
      </c>
      <c r="DT20" s="53">
        <v>2661</v>
      </c>
      <c r="DU20" s="53">
        <v>-59.599999999999909</v>
      </c>
      <c r="DV20" s="53">
        <v>0</v>
      </c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2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17"/>
      <c r="GZ20" s="52">
        <v>833.9</v>
      </c>
      <c r="HA20" s="52"/>
      <c r="HB20" s="17"/>
      <c r="HC20" s="17"/>
      <c r="HD20" s="17"/>
      <c r="HE20" s="17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3"/>
      <c r="II20" s="53"/>
      <c r="IJ20" s="53"/>
      <c r="IK20" s="53"/>
      <c r="IL20" s="53"/>
      <c r="IM20" s="52"/>
      <c r="IN20" s="52">
        <v>102.1</v>
      </c>
      <c r="IO20" s="54"/>
      <c r="IP20" s="54"/>
      <c r="IQ20" s="54"/>
      <c r="IR20" s="54"/>
      <c r="IS20" s="54"/>
      <c r="IT20" s="54"/>
      <c r="IU20" s="54"/>
      <c r="IV20" s="54"/>
      <c r="IW20" s="54"/>
      <c r="IX20" s="54"/>
      <c r="IY20" s="48">
        <f t="shared" si="2"/>
        <v>48.277339346110494</v>
      </c>
      <c r="IZ20" s="48">
        <f>IY20-'NOPA Crush'!J20</f>
        <v>0.77733934611049449</v>
      </c>
      <c r="JB20" s="63">
        <f t="shared" si="0"/>
        <v>11.175873731679818</v>
      </c>
      <c r="JC20" s="64">
        <f>JB20-'NOPA Crush'!O20</f>
        <v>7.587373167981859E-2</v>
      </c>
      <c r="JD20" s="65"/>
      <c r="JE20" s="67">
        <f t="shared" si="1"/>
        <v>2016.6</v>
      </c>
      <c r="JF20" s="68">
        <f>'NOPA Crush'!Q20/'Census Crush'!JE20</f>
        <v>0.50114053357135779</v>
      </c>
    </row>
    <row r="21" spans="1:266">
      <c r="A21" s="39">
        <v>29677</v>
      </c>
      <c r="B21" s="49">
        <v>2561.3000000000002</v>
      </c>
      <c r="C21" s="50">
        <v>2533.1999999999998</v>
      </c>
      <c r="D21" s="50">
        <v>314.10000000000002</v>
      </c>
      <c r="E21" s="50">
        <v>1050.5999999999999</v>
      </c>
      <c r="F21" s="50">
        <v>21.3</v>
      </c>
      <c r="G21" s="50">
        <v>82.1</v>
      </c>
      <c r="H21" s="50">
        <v>24.3</v>
      </c>
      <c r="I21" s="50" t="s">
        <v>264</v>
      </c>
      <c r="J21" s="50" t="s">
        <v>264</v>
      </c>
      <c r="K21" s="49">
        <v>954.2</v>
      </c>
      <c r="L21" s="49">
        <v>2118.5</v>
      </c>
      <c r="M21" s="49">
        <v>1779</v>
      </c>
      <c r="N21" s="49">
        <v>339.5</v>
      </c>
      <c r="O21" s="50">
        <v>100.8</v>
      </c>
      <c r="P21" s="51">
        <v>165.9</v>
      </c>
      <c r="Q21" s="49">
        <v>56</v>
      </c>
      <c r="R21" s="49">
        <v>109.9</v>
      </c>
      <c r="S21" s="49"/>
      <c r="T21" s="49">
        <v>17.3</v>
      </c>
      <c r="U21" s="51">
        <v>19.899999999999999</v>
      </c>
      <c r="V21" s="49">
        <v>14.5</v>
      </c>
      <c r="W21" s="49">
        <v>5.4</v>
      </c>
      <c r="X21" s="49">
        <v>63.6</v>
      </c>
      <c r="Y21" s="49">
        <v>19.7</v>
      </c>
      <c r="Z21" s="49">
        <v>130</v>
      </c>
      <c r="AA21" s="49">
        <v>105.3</v>
      </c>
      <c r="AB21" s="49">
        <v>24.7</v>
      </c>
      <c r="AC21" s="49" t="s">
        <v>264</v>
      </c>
      <c r="AD21" s="49" t="s">
        <v>264</v>
      </c>
      <c r="AE21" s="49"/>
      <c r="AF21" s="51"/>
      <c r="AG21" s="50" t="s">
        <v>264</v>
      </c>
      <c r="AH21" s="50" t="s">
        <v>264</v>
      </c>
      <c r="AI21" s="49">
        <v>69.599999999999994</v>
      </c>
      <c r="AJ21" s="49"/>
      <c r="AK21" s="49"/>
      <c r="AL21" s="51">
        <v>82.1</v>
      </c>
      <c r="AM21" s="49">
        <v>52.5</v>
      </c>
      <c r="AN21" s="49">
        <v>29.6</v>
      </c>
      <c r="AO21" s="49">
        <v>1975.5</v>
      </c>
      <c r="AP21" s="49">
        <v>184.4</v>
      </c>
      <c r="AQ21" s="49">
        <v>70.5</v>
      </c>
      <c r="AR21" s="49">
        <v>27.4</v>
      </c>
      <c r="AS21" s="50">
        <v>145.5</v>
      </c>
      <c r="AT21" s="50">
        <v>123</v>
      </c>
      <c r="AU21" s="50">
        <v>78.8</v>
      </c>
      <c r="AV21" s="50">
        <v>47.3</v>
      </c>
      <c r="AW21" s="50">
        <v>11.6</v>
      </c>
      <c r="AX21" s="50">
        <v>1.2</v>
      </c>
      <c r="AY21" s="50">
        <v>45.1</v>
      </c>
      <c r="AZ21" s="50">
        <v>6.1</v>
      </c>
      <c r="BA21" s="50" t="s">
        <v>264</v>
      </c>
      <c r="BB21" s="50" t="s">
        <v>264</v>
      </c>
      <c r="BC21" s="50"/>
      <c r="BD21" s="52">
        <v>91.2</v>
      </c>
      <c r="BE21" s="52">
        <v>47.5</v>
      </c>
      <c r="BF21" s="52"/>
      <c r="BG21" s="52"/>
      <c r="BH21" s="52"/>
      <c r="BI21" s="52"/>
      <c r="BJ21" s="52"/>
      <c r="BK21" s="52"/>
      <c r="BL21" s="52"/>
      <c r="BM21" s="52">
        <v>514.29999999999995</v>
      </c>
      <c r="BN21" s="52"/>
      <c r="BO21" s="52"/>
      <c r="BP21" s="52"/>
      <c r="BQ21" s="52"/>
      <c r="BR21" s="52"/>
      <c r="BS21" s="53">
        <v>449.2</v>
      </c>
      <c r="BT21" s="52"/>
      <c r="BU21" s="52">
        <v>40.5</v>
      </c>
      <c r="BV21" s="50" t="s">
        <v>264</v>
      </c>
      <c r="BW21" s="50" t="s">
        <v>264</v>
      </c>
      <c r="BX21" s="50">
        <v>405.5</v>
      </c>
      <c r="BY21" s="50" t="s">
        <v>264</v>
      </c>
      <c r="BZ21" s="50" t="s">
        <v>264</v>
      </c>
      <c r="CA21" s="49"/>
      <c r="CB21" s="52"/>
      <c r="CC21" s="52"/>
      <c r="CD21" s="52"/>
      <c r="CE21" s="52"/>
      <c r="CF21" s="52">
        <v>120.5</v>
      </c>
      <c r="CG21" s="52">
        <v>168.7</v>
      </c>
      <c r="CH21" s="52">
        <v>16.7</v>
      </c>
      <c r="CI21" s="52"/>
      <c r="CJ21" s="52"/>
      <c r="CK21" s="52"/>
      <c r="CL21" s="52"/>
      <c r="CM21" s="52"/>
      <c r="CN21" s="52">
        <v>53.5</v>
      </c>
      <c r="CO21" s="52">
        <v>253.70000000000002</v>
      </c>
      <c r="CP21" s="52">
        <v>219.8</v>
      </c>
      <c r="CQ21" s="52">
        <v>33.9</v>
      </c>
      <c r="CR21" s="52" t="s">
        <v>264</v>
      </c>
      <c r="CS21" s="52">
        <v>42.1</v>
      </c>
      <c r="CT21" s="52">
        <v>30.1</v>
      </c>
      <c r="CU21" s="52">
        <v>12</v>
      </c>
      <c r="CV21" s="52">
        <v>73.2</v>
      </c>
      <c r="CW21" s="52">
        <v>73.2</v>
      </c>
      <c r="CX21" s="52"/>
      <c r="CY21" s="52" t="s">
        <v>264</v>
      </c>
      <c r="CZ21" s="52">
        <v>33.299999999999997</v>
      </c>
      <c r="DA21" s="52">
        <v>32.1</v>
      </c>
      <c r="DB21" s="52">
        <v>21.5</v>
      </c>
      <c r="DC21" s="52">
        <v>10.6</v>
      </c>
      <c r="DD21" s="52"/>
      <c r="DE21" s="52"/>
      <c r="DF21" s="53"/>
      <c r="DG21" s="53">
        <v>82.2</v>
      </c>
      <c r="DH21" s="53"/>
      <c r="DI21" s="53">
        <v>617.4</v>
      </c>
      <c r="DJ21" s="53">
        <v>138.1</v>
      </c>
      <c r="DK21" s="53">
        <v>405.3</v>
      </c>
      <c r="DL21" s="53">
        <v>89.6</v>
      </c>
      <c r="DM21" s="53">
        <v>169.8</v>
      </c>
      <c r="DN21" s="53"/>
      <c r="DO21" s="53">
        <v>92.9</v>
      </c>
      <c r="DP21" s="53">
        <v>140.6</v>
      </c>
      <c r="DQ21" s="53">
        <v>44</v>
      </c>
      <c r="DR21" s="53">
        <v>153.69999999999999</v>
      </c>
      <c r="DS21" s="53">
        <v>627.70000000000005</v>
      </c>
      <c r="DT21" s="53">
        <v>2561.3000000000002</v>
      </c>
      <c r="DU21" s="53">
        <v>-82.200000000000273</v>
      </c>
      <c r="DV21" s="53">
        <v>0</v>
      </c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  <c r="FK21" s="52"/>
      <c r="FL21" s="52"/>
      <c r="FM21" s="52"/>
      <c r="FN21" s="52"/>
      <c r="FO21" s="52"/>
      <c r="FP21" s="52"/>
      <c r="FQ21" s="52"/>
      <c r="FR21" s="52"/>
      <c r="FS21" s="52"/>
      <c r="FT21" s="52"/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  <c r="GG21" s="52"/>
      <c r="GH21" s="52"/>
      <c r="GI21" s="52"/>
      <c r="GJ21" s="52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17"/>
      <c r="GZ21" s="52">
        <v>741.2</v>
      </c>
      <c r="HA21" s="52"/>
      <c r="HB21" s="17"/>
      <c r="HC21" s="17"/>
      <c r="HD21" s="17"/>
      <c r="HE21" s="17"/>
      <c r="HF21" s="52"/>
      <c r="HG21" s="52"/>
      <c r="HH21" s="52"/>
      <c r="HI21" s="52"/>
      <c r="HJ21" s="52"/>
      <c r="HK21" s="52"/>
      <c r="HL21" s="52"/>
      <c r="HM21" s="52"/>
      <c r="HN21" s="52"/>
      <c r="HO21" s="52"/>
      <c r="HP21" s="52"/>
      <c r="HQ21" s="52"/>
      <c r="HR21" s="52"/>
      <c r="HS21" s="52"/>
      <c r="HT21" s="52"/>
      <c r="HU21" s="52"/>
      <c r="HV21" s="52"/>
      <c r="HW21" s="52"/>
      <c r="HX21" s="52"/>
      <c r="HY21" s="52"/>
      <c r="HZ21" s="52"/>
      <c r="IA21" s="52"/>
      <c r="IB21" s="52"/>
      <c r="IC21" s="52"/>
      <c r="ID21" s="52"/>
      <c r="IE21" s="52"/>
      <c r="IF21" s="52"/>
      <c r="IG21" s="52"/>
      <c r="IH21" s="53"/>
      <c r="II21" s="53"/>
      <c r="IJ21" s="53"/>
      <c r="IK21" s="53"/>
      <c r="IL21" s="53"/>
      <c r="IM21" s="52"/>
      <c r="IN21" s="52">
        <v>113</v>
      </c>
      <c r="IY21" s="48">
        <f t="shared" si="2"/>
        <v>47.928786163276456</v>
      </c>
      <c r="IZ21" s="48">
        <f>IY21-'NOPA Crush'!J21</f>
        <v>0.42878616327645602</v>
      </c>
      <c r="JB21" s="63">
        <f t="shared" si="0"/>
        <v>11.176355756842227</v>
      </c>
      <c r="JC21" s="64">
        <f>JB21-'NOPA Crush'!O21</f>
        <v>-2.3644243157772138E-2</v>
      </c>
      <c r="JD21" s="65"/>
      <c r="JE21" s="67">
        <f t="shared" si="1"/>
        <v>2118.5</v>
      </c>
      <c r="JF21" s="68">
        <f>'NOPA Crush'!Q21/'Census Crush'!JE21</f>
        <v>0.50153410431909373</v>
      </c>
    </row>
    <row r="22" spans="1:266">
      <c r="A22" s="39">
        <v>29707</v>
      </c>
      <c r="B22" s="49">
        <v>2468.6</v>
      </c>
      <c r="C22" s="50">
        <v>2035</v>
      </c>
      <c r="D22" s="50">
        <v>278.2</v>
      </c>
      <c r="E22" s="50">
        <v>744</v>
      </c>
      <c r="F22" s="50">
        <v>23</v>
      </c>
      <c r="G22" s="50">
        <v>84</v>
      </c>
      <c r="H22" s="50">
        <v>19.399999999999999</v>
      </c>
      <c r="I22" s="50" t="s">
        <v>264</v>
      </c>
      <c r="J22" s="50" t="s">
        <v>264</v>
      </c>
      <c r="K22" s="49">
        <v>914.9</v>
      </c>
      <c r="L22" s="49">
        <v>2166.2999999999997</v>
      </c>
      <c r="M22" s="49">
        <v>1832.1</v>
      </c>
      <c r="N22" s="49">
        <v>334.2</v>
      </c>
      <c r="O22" s="50">
        <v>88.7</v>
      </c>
      <c r="P22" s="51">
        <v>160.1</v>
      </c>
      <c r="Q22" s="49">
        <v>63.6</v>
      </c>
      <c r="R22" s="49">
        <v>96.5</v>
      </c>
      <c r="S22" s="49"/>
      <c r="T22" s="49">
        <v>19.100000000000001</v>
      </c>
      <c r="U22" s="51">
        <v>33.6</v>
      </c>
      <c r="V22" s="49">
        <v>26.5</v>
      </c>
      <c r="W22" s="49">
        <v>7.1</v>
      </c>
      <c r="X22" s="49">
        <v>64.5</v>
      </c>
      <c r="Y22" s="49">
        <v>19.899999999999999</v>
      </c>
      <c r="Z22" s="49">
        <v>112.69999999999999</v>
      </c>
      <c r="AA22" s="49">
        <v>82.6</v>
      </c>
      <c r="AB22" s="49">
        <v>30.1</v>
      </c>
      <c r="AC22" s="49" t="s">
        <v>264</v>
      </c>
      <c r="AD22" s="49" t="s">
        <v>264</v>
      </c>
      <c r="AE22" s="49"/>
      <c r="AF22" s="51"/>
      <c r="AG22" s="50" t="s">
        <v>264</v>
      </c>
      <c r="AH22" s="50" t="s">
        <v>264</v>
      </c>
      <c r="AI22" s="49">
        <v>74.3</v>
      </c>
      <c r="AJ22" s="49"/>
      <c r="AK22" s="49"/>
      <c r="AL22" s="51">
        <v>71.400000000000006</v>
      </c>
      <c r="AM22" s="49">
        <v>44.1</v>
      </c>
      <c r="AN22" s="49">
        <v>27.3</v>
      </c>
      <c r="AO22" s="49">
        <v>1896.1</v>
      </c>
      <c r="AP22" s="49">
        <v>254</v>
      </c>
      <c r="AQ22" s="49">
        <v>67.099999999999994</v>
      </c>
      <c r="AR22" s="49">
        <v>33.6</v>
      </c>
      <c r="AS22" s="50">
        <v>130.80000000000001</v>
      </c>
      <c r="AT22" s="50">
        <v>141.5</v>
      </c>
      <c r="AU22" s="50">
        <v>71.3</v>
      </c>
      <c r="AV22" s="50">
        <v>51.7</v>
      </c>
      <c r="AW22" s="50">
        <v>14.8</v>
      </c>
      <c r="AX22" s="50">
        <v>3</v>
      </c>
      <c r="AY22" s="50">
        <v>46.3</v>
      </c>
      <c r="AZ22" s="50">
        <v>8.8000000000000007</v>
      </c>
      <c r="BA22" s="50" t="s">
        <v>264</v>
      </c>
      <c r="BB22" s="50" t="s">
        <v>264</v>
      </c>
      <c r="BC22" s="50"/>
      <c r="BD22" s="52">
        <v>90.5</v>
      </c>
      <c r="BE22" s="52">
        <v>39.799999999999997</v>
      </c>
      <c r="BF22" s="52"/>
      <c r="BG22" s="52"/>
      <c r="BH22" s="52"/>
      <c r="BI22" s="52"/>
      <c r="BJ22" s="52"/>
      <c r="BK22" s="52"/>
      <c r="BL22" s="52"/>
      <c r="BM22" s="52">
        <v>479.3</v>
      </c>
      <c r="BN22" s="52"/>
      <c r="BO22" s="52"/>
      <c r="BP22" s="52"/>
      <c r="BQ22" s="52"/>
      <c r="BR22" s="52"/>
      <c r="BS22" s="53">
        <v>437.5</v>
      </c>
      <c r="BT22" s="52"/>
      <c r="BU22" s="52">
        <v>40.1</v>
      </c>
      <c r="BV22" s="50" t="s">
        <v>264</v>
      </c>
      <c r="BW22" s="50" t="s">
        <v>264</v>
      </c>
      <c r="BX22" s="50">
        <v>386.6</v>
      </c>
      <c r="BY22" s="50" t="s">
        <v>264</v>
      </c>
      <c r="BZ22" s="50" t="s">
        <v>264</v>
      </c>
      <c r="CA22" s="49"/>
      <c r="CB22" s="52"/>
      <c r="CC22" s="52"/>
      <c r="CD22" s="52"/>
      <c r="CE22" s="52"/>
      <c r="CF22" s="52">
        <v>112.9</v>
      </c>
      <c r="CG22" s="52">
        <v>156.4</v>
      </c>
      <c r="CH22" s="52">
        <v>15.5</v>
      </c>
      <c r="CI22" s="52"/>
      <c r="CJ22" s="52"/>
      <c r="CK22" s="52"/>
      <c r="CL22" s="52"/>
      <c r="CM22" s="52"/>
      <c r="CN22" s="52">
        <v>63.7</v>
      </c>
      <c r="CO22" s="52">
        <v>239.20000000000002</v>
      </c>
      <c r="CP22" s="52">
        <v>199.8</v>
      </c>
      <c r="CQ22" s="52">
        <v>39.4</v>
      </c>
      <c r="CR22" s="52">
        <v>23.3</v>
      </c>
      <c r="CS22" s="52">
        <v>56.3</v>
      </c>
      <c r="CT22" s="52">
        <v>42.1</v>
      </c>
      <c r="CU22" s="52">
        <v>14.2</v>
      </c>
      <c r="CV22" s="52">
        <v>68.099999999999994</v>
      </c>
      <c r="CW22" s="52">
        <v>68.099999999999994</v>
      </c>
      <c r="CX22" s="52"/>
      <c r="CY22" s="52">
        <v>9.6</v>
      </c>
      <c r="CZ22" s="52">
        <v>24.3</v>
      </c>
      <c r="DA22" s="52">
        <v>25.2</v>
      </c>
      <c r="DB22" s="52">
        <v>16.2</v>
      </c>
      <c r="DC22" s="52">
        <v>9</v>
      </c>
      <c r="DD22" s="52"/>
      <c r="DE22" s="52"/>
      <c r="DF22" s="53"/>
      <c r="DG22" s="53"/>
      <c r="DH22" s="53"/>
      <c r="DI22" s="53">
        <v>517.1</v>
      </c>
      <c r="DJ22" s="53">
        <v>176.2</v>
      </c>
      <c r="DK22" s="53">
        <v>426.7</v>
      </c>
      <c r="DL22" s="53">
        <v>112.8</v>
      </c>
      <c r="DM22" s="53">
        <v>184.1</v>
      </c>
      <c r="DN22" s="53"/>
      <c r="DO22" s="53">
        <v>102.8</v>
      </c>
      <c r="DP22" s="53">
        <v>117.9</v>
      </c>
      <c r="DQ22" s="53">
        <v>52.4</v>
      </c>
      <c r="DR22" s="53">
        <v>96.2</v>
      </c>
      <c r="DS22" s="53">
        <v>682.4</v>
      </c>
      <c r="DT22" s="53">
        <v>2468.6</v>
      </c>
      <c r="DU22" s="53">
        <v>0</v>
      </c>
      <c r="DV22" s="53">
        <v>0</v>
      </c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2"/>
      <c r="GG22" s="52"/>
      <c r="GH22" s="52"/>
      <c r="GI22" s="52"/>
      <c r="GJ22" s="52"/>
      <c r="GK22" s="52"/>
      <c r="GL22" s="52"/>
      <c r="GM22" s="52"/>
      <c r="GN22" s="52"/>
      <c r="GO22" s="52"/>
      <c r="GP22" s="52"/>
      <c r="GQ22" s="52"/>
      <c r="GR22" s="52"/>
      <c r="GS22" s="52"/>
      <c r="GT22" s="52"/>
      <c r="GU22" s="52"/>
      <c r="GV22" s="52"/>
      <c r="GW22" s="52"/>
      <c r="GX22" s="52"/>
      <c r="GY22" s="17"/>
      <c r="GZ22" s="52">
        <v>754.9</v>
      </c>
      <c r="HA22" s="52"/>
      <c r="HB22" s="17"/>
      <c r="HC22" s="17"/>
      <c r="HD22" s="17"/>
      <c r="HE22" s="17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3"/>
      <c r="II22" s="53"/>
      <c r="IJ22" s="53"/>
      <c r="IK22" s="53"/>
      <c r="IL22" s="53"/>
      <c r="IM22" s="52"/>
      <c r="IN22" s="52">
        <v>82.9</v>
      </c>
      <c r="IY22" s="48">
        <f t="shared" si="2"/>
        <v>47.716114396824111</v>
      </c>
      <c r="IZ22" s="48">
        <f>IY22-'NOPA Crush'!J22</f>
        <v>0.41611439682411344</v>
      </c>
      <c r="JB22" s="63">
        <f t="shared" si="0"/>
        <v>11.118447703151585</v>
      </c>
      <c r="JC22" s="64">
        <f>JB22-'NOPA Crush'!O22</f>
        <v>1.844770315158506E-2</v>
      </c>
      <c r="JD22" s="65"/>
      <c r="JE22" s="67">
        <f t="shared" si="1"/>
        <v>2166.2999999999997</v>
      </c>
      <c r="JF22" s="68">
        <f>'NOPA Crush'!Q22/'Census Crush'!JE22</f>
        <v>0.54521534413516137</v>
      </c>
    </row>
    <row r="23" spans="1:266">
      <c r="A23" s="39">
        <v>29738</v>
      </c>
      <c r="B23" s="49">
        <v>2203.1</v>
      </c>
      <c r="C23" s="50">
        <v>1474.7</v>
      </c>
      <c r="D23" s="50">
        <v>248</v>
      </c>
      <c r="E23" s="50">
        <v>606</v>
      </c>
      <c r="F23" s="50">
        <v>22.3</v>
      </c>
      <c r="G23" s="50">
        <v>83.2</v>
      </c>
      <c r="H23" s="50">
        <v>18.600000000000001</v>
      </c>
      <c r="I23" s="50" t="s">
        <v>264</v>
      </c>
      <c r="J23" s="50" t="s">
        <v>264</v>
      </c>
      <c r="K23" s="49">
        <v>830.7</v>
      </c>
      <c r="L23" s="49">
        <v>2138.6</v>
      </c>
      <c r="M23" s="49">
        <v>1796.3</v>
      </c>
      <c r="N23" s="49">
        <v>342.3</v>
      </c>
      <c r="O23" s="50">
        <v>77.400000000000006</v>
      </c>
      <c r="P23" s="51">
        <v>121.69999999999999</v>
      </c>
      <c r="Q23" s="49">
        <v>46.6</v>
      </c>
      <c r="R23" s="49">
        <v>75.099999999999994</v>
      </c>
      <c r="S23" s="49"/>
      <c r="T23" s="49">
        <v>19.5</v>
      </c>
      <c r="U23" s="51">
        <v>31.4</v>
      </c>
      <c r="V23" s="49">
        <v>22.7</v>
      </c>
      <c r="W23" s="49">
        <v>8.6999999999999993</v>
      </c>
      <c r="X23" s="49">
        <v>64.3</v>
      </c>
      <c r="Y23" s="49">
        <v>14.6</v>
      </c>
      <c r="Z23" s="49">
        <v>109.9</v>
      </c>
      <c r="AA23" s="49">
        <v>81.8</v>
      </c>
      <c r="AB23" s="49">
        <v>28.1</v>
      </c>
      <c r="AC23" s="49" t="s">
        <v>264</v>
      </c>
      <c r="AD23" s="49" t="s">
        <v>264</v>
      </c>
      <c r="AE23" s="49"/>
      <c r="AF23" s="51"/>
      <c r="AG23" s="50" t="s">
        <v>264</v>
      </c>
      <c r="AH23" s="50" t="s">
        <v>264</v>
      </c>
      <c r="AI23" s="49">
        <v>76.099999999999994</v>
      </c>
      <c r="AJ23" s="49"/>
      <c r="AK23" s="49"/>
      <c r="AL23" s="51">
        <v>72.599999999999994</v>
      </c>
      <c r="AM23" s="49">
        <v>47</v>
      </c>
      <c r="AN23" s="49">
        <v>25.6</v>
      </c>
      <c r="AO23" s="49">
        <v>1708.5</v>
      </c>
      <c r="AP23" s="49">
        <v>209.7</v>
      </c>
      <c r="AQ23" s="49">
        <v>56.8</v>
      </c>
      <c r="AR23" s="49">
        <v>31.3</v>
      </c>
      <c r="AS23" s="50">
        <v>114.2</v>
      </c>
      <c r="AT23" s="50">
        <v>150.5</v>
      </c>
      <c r="AU23" s="50">
        <v>61.2</v>
      </c>
      <c r="AV23" s="50">
        <v>55.1</v>
      </c>
      <c r="AW23" s="50">
        <v>12.6</v>
      </c>
      <c r="AX23" s="50">
        <v>8</v>
      </c>
      <c r="AY23" s="50">
        <v>48.1</v>
      </c>
      <c r="AZ23" s="50">
        <v>10</v>
      </c>
      <c r="BA23" s="50" t="s">
        <v>264</v>
      </c>
      <c r="BB23" s="50" t="s">
        <v>264</v>
      </c>
      <c r="BC23" s="50"/>
      <c r="BD23" s="52">
        <v>93.7</v>
      </c>
      <c r="BE23" s="52">
        <v>40.6</v>
      </c>
      <c r="BF23" s="52"/>
      <c r="BG23" s="52"/>
      <c r="BH23" s="52"/>
      <c r="BI23" s="52"/>
      <c r="BJ23" s="52"/>
      <c r="BK23" s="52"/>
      <c r="BL23" s="52"/>
      <c r="BM23" s="52">
        <v>498.7</v>
      </c>
      <c r="BN23" s="52"/>
      <c r="BO23" s="52"/>
      <c r="BP23" s="52"/>
      <c r="BQ23" s="52"/>
      <c r="BR23" s="52"/>
      <c r="BS23" s="53">
        <v>431.9</v>
      </c>
      <c r="BT23" s="52"/>
      <c r="BU23" s="52">
        <v>40.700000000000003</v>
      </c>
      <c r="BV23" s="50" t="s">
        <v>264</v>
      </c>
      <c r="BW23" s="50" t="s">
        <v>264</v>
      </c>
      <c r="BX23" s="50">
        <v>395.2</v>
      </c>
      <c r="BY23" s="50" t="s">
        <v>264</v>
      </c>
      <c r="BZ23" s="50" t="s">
        <v>264</v>
      </c>
      <c r="CA23" s="49"/>
      <c r="CB23" s="52"/>
      <c r="CC23" s="52"/>
      <c r="CD23" s="52"/>
      <c r="CE23" s="52"/>
      <c r="CF23" s="52">
        <v>104.8</v>
      </c>
      <c r="CG23" s="52">
        <v>142</v>
      </c>
      <c r="CH23" s="52">
        <v>19.3</v>
      </c>
      <c r="CI23" s="52"/>
      <c r="CJ23" s="52"/>
      <c r="CK23" s="52"/>
      <c r="CL23" s="52"/>
      <c r="CM23" s="52"/>
      <c r="CN23" s="52">
        <v>58.1</v>
      </c>
      <c r="CO23" s="52">
        <v>235.2</v>
      </c>
      <c r="CP23" s="52">
        <v>197.2</v>
      </c>
      <c r="CQ23" s="52">
        <v>38</v>
      </c>
      <c r="CR23" s="52">
        <v>22.7</v>
      </c>
      <c r="CS23" s="52">
        <v>67.099999999999994</v>
      </c>
      <c r="CT23" s="52">
        <v>55.4</v>
      </c>
      <c r="CU23" s="52">
        <v>11.7</v>
      </c>
      <c r="CV23" s="52">
        <v>61.9</v>
      </c>
      <c r="CW23" s="52">
        <v>61.9</v>
      </c>
      <c r="CX23" s="52"/>
      <c r="CY23" s="52">
        <v>9</v>
      </c>
      <c r="CZ23" s="52">
        <v>16.399999999999999</v>
      </c>
      <c r="DA23" s="52">
        <v>19.8</v>
      </c>
      <c r="DB23" s="52">
        <v>11.4</v>
      </c>
      <c r="DC23" s="52">
        <v>8.4</v>
      </c>
      <c r="DD23" s="52"/>
      <c r="DE23" s="52"/>
      <c r="DF23" s="53"/>
      <c r="DG23" s="53"/>
      <c r="DH23" s="53"/>
      <c r="DI23" s="53">
        <v>500.1</v>
      </c>
      <c r="DJ23" s="53">
        <v>140.80000000000001</v>
      </c>
      <c r="DK23" s="53">
        <v>360.7</v>
      </c>
      <c r="DL23" s="53">
        <v>108.4</v>
      </c>
      <c r="DM23" s="53">
        <v>174.7</v>
      </c>
      <c r="DN23" s="53"/>
      <c r="DO23" s="53">
        <v>141.19999999999999</v>
      </c>
      <c r="DP23" s="53">
        <v>130.6</v>
      </c>
      <c r="DQ23" s="53">
        <v>38.1</v>
      </c>
      <c r="DR23" s="53">
        <v>89.3</v>
      </c>
      <c r="DS23" s="53">
        <v>519.20000000000005</v>
      </c>
      <c r="DT23" s="53">
        <v>2203.1</v>
      </c>
      <c r="DU23" s="53">
        <v>0</v>
      </c>
      <c r="DV23" s="53">
        <v>0</v>
      </c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7"/>
      <c r="GZ23" s="52">
        <v>812.9</v>
      </c>
      <c r="HA23" s="52"/>
      <c r="HB23" s="17"/>
      <c r="HC23" s="17"/>
      <c r="HD23" s="17"/>
      <c r="HE23" s="17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3"/>
      <c r="II23" s="53"/>
      <c r="IJ23" s="53"/>
      <c r="IK23" s="53"/>
      <c r="IL23" s="53"/>
      <c r="IM23" s="52"/>
      <c r="IN23" s="52">
        <v>79.099999999999994</v>
      </c>
      <c r="IY23" s="48">
        <f t="shared" si="2"/>
        <v>48.076800871499252</v>
      </c>
      <c r="IZ23" s="48">
        <f>IY23-'NOPA Crush'!J23</f>
        <v>0.47680087149925043</v>
      </c>
      <c r="JB23" s="63">
        <f t="shared" si="0"/>
        <v>11.311787935182243</v>
      </c>
      <c r="JC23" s="64">
        <f>JB23-'NOPA Crush'!O23</f>
        <v>0.11178793518224417</v>
      </c>
      <c r="JD23" s="65"/>
      <c r="JE23" s="67">
        <f t="shared" si="1"/>
        <v>2138.6</v>
      </c>
      <c r="JF23" s="68">
        <f>'NOPA Crush'!Q23/'Census Crush'!JE23</f>
        <v>0.53184326194706821</v>
      </c>
    </row>
    <row r="24" spans="1:266">
      <c r="A24" s="39">
        <v>29768</v>
      </c>
      <c r="B24" s="49">
        <v>2169.9</v>
      </c>
      <c r="C24" s="50">
        <v>1315.7</v>
      </c>
      <c r="D24" s="50">
        <v>218.2</v>
      </c>
      <c r="E24" s="50">
        <v>397.5</v>
      </c>
      <c r="F24" s="50">
        <v>16</v>
      </c>
      <c r="G24" s="50">
        <v>89.4</v>
      </c>
      <c r="H24" s="50">
        <v>7.8</v>
      </c>
      <c r="I24" s="50" t="s">
        <v>264</v>
      </c>
      <c r="J24" s="50" t="s">
        <v>264</v>
      </c>
      <c r="K24" s="49">
        <v>815.8</v>
      </c>
      <c r="L24" s="49">
        <v>2024.4</v>
      </c>
      <c r="M24" s="49">
        <v>1696.8</v>
      </c>
      <c r="N24" s="49">
        <v>327.60000000000002</v>
      </c>
      <c r="O24" s="50">
        <v>69.599999999999994</v>
      </c>
      <c r="P24" s="51">
        <v>113</v>
      </c>
      <c r="Q24" s="49">
        <v>37.299999999999997</v>
      </c>
      <c r="R24" s="49">
        <v>75.7</v>
      </c>
      <c r="S24" s="49"/>
      <c r="T24" s="49">
        <v>13.6</v>
      </c>
      <c r="U24" s="51">
        <v>37.799999999999997</v>
      </c>
      <c r="V24" s="49">
        <v>31.4</v>
      </c>
      <c r="W24" s="49">
        <v>6.4</v>
      </c>
      <c r="X24" s="49">
        <v>70.3</v>
      </c>
      <c r="Y24" s="49">
        <v>15</v>
      </c>
      <c r="Z24" s="49">
        <v>109.6</v>
      </c>
      <c r="AA24" s="49">
        <v>81.099999999999994</v>
      </c>
      <c r="AB24" s="49">
        <v>28.5</v>
      </c>
      <c r="AC24" s="49" t="s">
        <v>264</v>
      </c>
      <c r="AD24" s="49" t="s">
        <v>264</v>
      </c>
      <c r="AE24" s="49"/>
      <c r="AF24" s="51"/>
      <c r="AG24" s="50" t="s">
        <v>264</v>
      </c>
      <c r="AH24" s="50" t="s">
        <v>264</v>
      </c>
      <c r="AI24" s="49">
        <v>76.2</v>
      </c>
      <c r="AJ24" s="49"/>
      <c r="AK24" s="49"/>
      <c r="AL24" s="51">
        <v>68.400000000000006</v>
      </c>
      <c r="AM24" s="49">
        <v>45.6</v>
      </c>
      <c r="AN24" s="49">
        <v>22.8</v>
      </c>
      <c r="AO24" s="49">
        <v>1681.1</v>
      </c>
      <c r="AP24" s="49">
        <v>156.1</v>
      </c>
      <c r="AQ24" s="49">
        <v>53.2</v>
      </c>
      <c r="AR24" s="49">
        <v>32.700000000000003</v>
      </c>
      <c r="AS24" s="50">
        <v>104.2</v>
      </c>
      <c r="AT24" s="50">
        <v>150.30000000000001</v>
      </c>
      <c r="AU24" s="50">
        <v>57.1</v>
      </c>
      <c r="AV24" s="50">
        <v>55.7</v>
      </c>
      <c r="AW24" s="50">
        <v>9</v>
      </c>
      <c r="AX24" s="50">
        <v>3.4</v>
      </c>
      <c r="AY24" s="50">
        <v>50.5</v>
      </c>
      <c r="AZ24" s="50">
        <v>9.6999999999999993</v>
      </c>
      <c r="BA24" s="50" t="s">
        <v>264</v>
      </c>
      <c r="BB24" s="50" t="s">
        <v>264</v>
      </c>
      <c r="BC24" s="50"/>
      <c r="BD24" s="52">
        <v>89.8</v>
      </c>
      <c r="BE24" s="52">
        <v>37.799999999999997</v>
      </c>
      <c r="BF24" s="52"/>
      <c r="BG24" s="52"/>
      <c r="BH24" s="52"/>
      <c r="BI24" s="52"/>
      <c r="BJ24" s="52"/>
      <c r="BK24" s="52"/>
      <c r="BL24" s="52"/>
      <c r="BM24" s="52">
        <v>502.1</v>
      </c>
      <c r="BN24" s="52"/>
      <c r="BO24" s="52"/>
      <c r="BP24" s="52"/>
      <c r="BQ24" s="52"/>
      <c r="BR24" s="52"/>
      <c r="BS24" s="53">
        <v>419</v>
      </c>
      <c r="BT24" s="52"/>
      <c r="BU24" s="52">
        <v>42.6</v>
      </c>
      <c r="BV24" s="50" t="s">
        <v>264</v>
      </c>
      <c r="BW24" s="50" t="s">
        <v>264</v>
      </c>
      <c r="BX24" s="50">
        <v>394.9</v>
      </c>
      <c r="BY24" s="50" t="s">
        <v>264</v>
      </c>
      <c r="BZ24" s="50" t="s">
        <v>264</v>
      </c>
      <c r="CA24" s="49"/>
      <c r="CB24" s="52"/>
      <c r="CC24" s="52"/>
      <c r="CD24" s="52"/>
      <c r="CE24" s="52"/>
      <c r="CF24" s="52">
        <v>99.5</v>
      </c>
      <c r="CG24" s="52">
        <v>145.30000000000001</v>
      </c>
      <c r="CH24" s="52">
        <v>17.600000000000001</v>
      </c>
      <c r="CI24" s="52"/>
      <c r="CJ24" s="52"/>
      <c r="CK24" s="52"/>
      <c r="CL24" s="52"/>
      <c r="CM24" s="52"/>
      <c r="CN24" s="52">
        <v>57</v>
      </c>
      <c r="CO24" s="52">
        <v>220.79999999999998</v>
      </c>
      <c r="CP24" s="52">
        <v>180.7</v>
      </c>
      <c r="CQ24" s="52">
        <v>40.1</v>
      </c>
      <c r="CR24" s="52">
        <v>24.2</v>
      </c>
      <c r="CS24" s="52">
        <v>57.400000000000006</v>
      </c>
      <c r="CT24" s="52">
        <v>45.2</v>
      </c>
      <c r="CU24" s="52">
        <v>12.2</v>
      </c>
      <c r="CV24" s="52">
        <v>60</v>
      </c>
      <c r="CW24" s="52">
        <v>60</v>
      </c>
      <c r="CX24" s="52"/>
      <c r="CY24" s="52">
        <v>9.5</v>
      </c>
      <c r="CZ24" s="52">
        <v>12.2</v>
      </c>
      <c r="DA24" s="52">
        <v>17</v>
      </c>
      <c r="DB24" s="52">
        <v>10.8</v>
      </c>
      <c r="DC24" s="52">
        <v>6.2</v>
      </c>
      <c r="DD24" s="52"/>
      <c r="DE24" s="52"/>
      <c r="DF24" s="53"/>
      <c r="DG24" s="53"/>
      <c r="DH24" s="53"/>
      <c r="DI24" s="53">
        <v>473.2</v>
      </c>
      <c r="DJ24" s="53">
        <v>142.5</v>
      </c>
      <c r="DK24" s="53">
        <v>412.3</v>
      </c>
      <c r="DL24" s="53">
        <v>94.2</v>
      </c>
      <c r="DM24" s="53">
        <v>171.4</v>
      </c>
      <c r="DN24" s="53"/>
      <c r="DO24" s="53">
        <v>85.7</v>
      </c>
      <c r="DP24" s="53">
        <v>141.5</v>
      </c>
      <c r="DQ24" s="53">
        <v>49.4</v>
      </c>
      <c r="DR24" s="53">
        <v>113.6</v>
      </c>
      <c r="DS24" s="53">
        <v>486.1</v>
      </c>
      <c r="DT24" s="53">
        <v>2169.9</v>
      </c>
      <c r="DU24" s="53">
        <v>0</v>
      </c>
      <c r="DV24" s="53">
        <v>0</v>
      </c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  <c r="FX24" s="52"/>
      <c r="FY24" s="52"/>
      <c r="FZ24" s="52"/>
      <c r="GA24" s="52"/>
      <c r="GB24" s="52"/>
      <c r="GC24" s="52"/>
      <c r="GD24" s="52"/>
      <c r="GE24" s="52"/>
      <c r="GF24" s="52"/>
      <c r="GG24" s="52"/>
      <c r="GH24" s="52"/>
      <c r="GI24" s="52"/>
      <c r="GJ24" s="52"/>
      <c r="GK24" s="52"/>
      <c r="GL24" s="52"/>
      <c r="GM24" s="52"/>
      <c r="GN24" s="52"/>
      <c r="GO24" s="52"/>
      <c r="GP24" s="52"/>
      <c r="GQ24" s="52"/>
      <c r="GR24" s="52"/>
      <c r="GS24" s="52"/>
      <c r="GT24" s="52"/>
      <c r="GU24" s="52"/>
      <c r="GV24" s="52"/>
      <c r="GW24" s="52"/>
      <c r="GX24" s="52"/>
      <c r="GY24" s="17"/>
      <c r="GZ24" s="52">
        <v>765.4</v>
      </c>
      <c r="HA24" s="52"/>
      <c r="HB24" s="17"/>
      <c r="HC24" s="17"/>
      <c r="HD24" s="17"/>
      <c r="HE24" s="17"/>
      <c r="HF24" s="52"/>
      <c r="HG24" s="52"/>
      <c r="HH24" s="52"/>
      <c r="HI24" s="52"/>
      <c r="HJ24" s="52"/>
      <c r="HK24" s="52"/>
      <c r="HL24" s="52"/>
      <c r="HM24" s="52"/>
      <c r="HN24" s="52"/>
      <c r="HO24" s="52"/>
      <c r="HP24" s="52"/>
      <c r="HQ24" s="52"/>
      <c r="HR24" s="52"/>
      <c r="HS24" s="52"/>
      <c r="HT24" s="52"/>
      <c r="HU24" s="52"/>
      <c r="HV24" s="52"/>
      <c r="HW24" s="52"/>
      <c r="HX24" s="52"/>
      <c r="HY24" s="52"/>
      <c r="HZ24" s="52"/>
      <c r="IA24" s="52"/>
      <c r="IB24" s="52"/>
      <c r="IC24" s="52"/>
      <c r="ID24" s="52"/>
      <c r="IE24" s="52"/>
      <c r="IF24" s="52"/>
      <c r="IG24" s="52"/>
      <c r="IH24" s="53"/>
      <c r="II24" s="53"/>
      <c r="IJ24" s="53"/>
      <c r="IK24" s="53"/>
      <c r="IL24" s="53"/>
      <c r="IM24" s="52"/>
      <c r="IN24" s="52">
        <v>73.7</v>
      </c>
      <c r="IY24" s="48">
        <f t="shared" si="2"/>
        <v>47.955205309000412</v>
      </c>
      <c r="IZ24" s="48">
        <f>IY24-'NOPA Crush'!J24</f>
        <v>0.45520530900041223</v>
      </c>
      <c r="JB24" s="63">
        <f t="shared" si="0"/>
        <v>11.278860776994332</v>
      </c>
      <c r="JC24" s="64">
        <f>JB24-'NOPA Crush'!O24</f>
        <v>7.8860776994332582E-2</v>
      </c>
      <c r="JD24" s="65"/>
      <c r="JE24" s="67">
        <f t="shared" si="1"/>
        <v>2024.4</v>
      </c>
      <c r="JF24" s="68">
        <f>'NOPA Crush'!Q24/'Census Crush'!JE24</f>
        <v>0.55048409405255883</v>
      </c>
    </row>
    <row r="25" spans="1:266">
      <c r="A25" s="39">
        <v>29799</v>
      </c>
      <c r="B25" s="49">
        <v>2239.1</v>
      </c>
      <c r="C25" s="50">
        <v>1002.4</v>
      </c>
      <c r="D25" s="50">
        <v>195.6</v>
      </c>
      <c r="E25" s="50">
        <v>352.5</v>
      </c>
      <c r="F25" s="50">
        <v>11.3</v>
      </c>
      <c r="G25" s="50" t="s">
        <v>264</v>
      </c>
      <c r="H25" s="50">
        <v>11</v>
      </c>
      <c r="I25" s="50" t="s">
        <v>264</v>
      </c>
      <c r="J25" s="50" t="s">
        <v>264</v>
      </c>
      <c r="K25" s="49">
        <v>827.2</v>
      </c>
      <c r="L25" s="49">
        <v>1783.1999999999998</v>
      </c>
      <c r="M25" s="49">
        <v>1452.3</v>
      </c>
      <c r="N25" s="49">
        <v>330.9</v>
      </c>
      <c r="O25" s="50">
        <v>62.1</v>
      </c>
      <c r="P25" s="51">
        <v>109.4</v>
      </c>
      <c r="Q25" s="49">
        <v>41.4</v>
      </c>
      <c r="R25" s="49">
        <v>68</v>
      </c>
      <c r="S25" s="49"/>
      <c r="T25" s="49">
        <v>9.8000000000000007</v>
      </c>
      <c r="U25" s="51">
        <v>28.1</v>
      </c>
      <c r="V25" s="49">
        <v>23.8</v>
      </c>
      <c r="W25" s="49">
        <v>4.3</v>
      </c>
      <c r="X25" s="50" t="s">
        <v>264</v>
      </c>
      <c r="Y25" s="49">
        <v>7.4</v>
      </c>
      <c r="Z25" s="49">
        <v>89</v>
      </c>
      <c r="AA25" s="49">
        <v>61.9</v>
      </c>
      <c r="AB25" s="49">
        <v>27.1</v>
      </c>
      <c r="AC25" s="49" t="s">
        <v>264</v>
      </c>
      <c r="AD25" s="49" t="s">
        <v>264</v>
      </c>
      <c r="AE25" s="49"/>
      <c r="AF25" s="51"/>
      <c r="AG25" s="50" t="s">
        <v>264</v>
      </c>
      <c r="AH25" s="50" t="s">
        <v>264</v>
      </c>
      <c r="AI25" s="49">
        <v>76.400000000000006</v>
      </c>
      <c r="AJ25" s="49"/>
      <c r="AK25" s="49"/>
      <c r="AL25" s="51">
        <v>77.8</v>
      </c>
      <c r="AM25" s="49">
        <v>53</v>
      </c>
      <c r="AN25" s="49">
        <v>24.8</v>
      </c>
      <c r="AO25" s="49">
        <v>1726.3</v>
      </c>
      <c r="AP25" s="49">
        <v>199.7</v>
      </c>
      <c r="AQ25" s="49">
        <v>61.5</v>
      </c>
      <c r="AR25" s="49">
        <v>34.1</v>
      </c>
      <c r="AS25" s="50">
        <v>88.3</v>
      </c>
      <c r="AT25" s="50">
        <v>129.9</v>
      </c>
      <c r="AU25" s="50">
        <v>47.3</v>
      </c>
      <c r="AV25" s="50">
        <v>40.299999999999997</v>
      </c>
      <c r="AW25" s="50">
        <v>6.4</v>
      </c>
      <c r="AX25" s="50">
        <v>5.0999999999999996</v>
      </c>
      <c r="AY25" s="50" t="s">
        <v>264</v>
      </c>
      <c r="AZ25" s="50">
        <v>6.1</v>
      </c>
      <c r="BA25" s="50" t="s">
        <v>264</v>
      </c>
      <c r="BB25" s="50" t="s">
        <v>264</v>
      </c>
      <c r="BC25" s="50"/>
      <c r="BD25" s="52">
        <v>92.2</v>
      </c>
      <c r="BE25" s="52">
        <v>36.5</v>
      </c>
      <c r="BF25" s="52"/>
      <c r="BG25" s="52"/>
      <c r="BH25" s="52"/>
      <c r="BI25" s="52"/>
      <c r="BJ25" s="52"/>
      <c r="BK25" s="52"/>
      <c r="BL25" s="52"/>
      <c r="BM25" s="52">
        <v>474.6</v>
      </c>
      <c r="BN25" s="52"/>
      <c r="BO25" s="52"/>
      <c r="BP25" s="52"/>
      <c r="BQ25" s="52"/>
      <c r="BR25" s="52"/>
      <c r="BS25" s="53">
        <v>426.6</v>
      </c>
      <c r="BT25" s="52"/>
      <c r="BU25" s="52">
        <v>39.5</v>
      </c>
      <c r="BV25" s="50" t="s">
        <v>264</v>
      </c>
      <c r="BW25" s="50" t="s">
        <v>264</v>
      </c>
      <c r="BX25" s="50">
        <v>380.9</v>
      </c>
      <c r="BY25" s="50" t="s">
        <v>264</v>
      </c>
      <c r="BZ25" s="50" t="s">
        <v>264</v>
      </c>
      <c r="CA25" s="49"/>
      <c r="CB25" s="52"/>
      <c r="CC25" s="52"/>
      <c r="CD25" s="52"/>
      <c r="CE25" s="52"/>
      <c r="CF25" s="52">
        <v>104.6</v>
      </c>
      <c r="CG25" s="52">
        <v>142.5</v>
      </c>
      <c r="CH25" s="52">
        <v>15.3</v>
      </c>
      <c r="CI25" s="52"/>
      <c r="CJ25" s="52"/>
      <c r="CK25" s="52"/>
      <c r="CL25" s="52"/>
      <c r="CM25" s="52"/>
      <c r="CN25" s="52">
        <v>58.5</v>
      </c>
      <c r="CO25" s="52">
        <v>229.5</v>
      </c>
      <c r="CP25" s="52">
        <v>183.6</v>
      </c>
      <c r="CQ25" s="52">
        <v>45.9</v>
      </c>
      <c r="CR25" s="52">
        <v>30.9</v>
      </c>
      <c r="CS25" s="52">
        <v>65.7</v>
      </c>
      <c r="CT25" s="52">
        <v>54</v>
      </c>
      <c r="CU25" s="52">
        <v>11.7</v>
      </c>
      <c r="CV25" s="52">
        <v>62.5</v>
      </c>
      <c r="CW25" s="52">
        <v>62.5</v>
      </c>
      <c r="CX25" s="52"/>
      <c r="CY25" s="52">
        <v>9.8000000000000007</v>
      </c>
      <c r="CZ25" s="52">
        <v>27.5</v>
      </c>
      <c r="DA25" s="52">
        <v>15</v>
      </c>
      <c r="DB25" s="52">
        <v>12.4</v>
      </c>
      <c r="DC25" s="52">
        <v>2.6</v>
      </c>
      <c r="DD25" s="52"/>
      <c r="DE25" s="52"/>
      <c r="DF25" s="53"/>
      <c r="DG25" s="53"/>
      <c r="DH25" s="53"/>
      <c r="DI25" s="53">
        <v>341.9</v>
      </c>
      <c r="DJ25" s="53">
        <v>123.5</v>
      </c>
      <c r="DK25" s="53">
        <v>440</v>
      </c>
      <c r="DL25" s="53">
        <v>87.1</v>
      </c>
      <c r="DM25" s="53">
        <v>176.4</v>
      </c>
      <c r="DN25" s="53"/>
      <c r="DO25" s="53">
        <v>101.7</v>
      </c>
      <c r="DP25" s="53">
        <v>143.5</v>
      </c>
      <c r="DQ25" s="53">
        <v>40.5</v>
      </c>
      <c r="DR25" s="53">
        <v>132.4</v>
      </c>
      <c r="DS25" s="53">
        <v>652.1</v>
      </c>
      <c r="DT25" s="53">
        <v>2239.1</v>
      </c>
      <c r="DU25" s="53">
        <v>0</v>
      </c>
      <c r="DV25" s="53">
        <v>0</v>
      </c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  <c r="GX25" s="52"/>
      <c r="GY25" s="17"/>
      <c r="GZ25" s="52">
        <v>813.3</v>
      </c>
      <c r="HA25" s="52"/>
      <c r="HB25" s="17"/>
      <c r="HC25" s="17"/>
      <c r="HD25" s="17"/>
      <c r="HE25" s="17"/>
      <c r="HF25" s="52"/>
      <c r="HG25" s="52"/>
      <c r="HH25" s="52"/>
      <c r="HI25" s="52"/>
      <c r="HJ25" s="52"/>
      <c r="HK25" s="52"/>
      <c r="HL25" s="52"/>
      <c r="HM25" s="52"/>
      <c r="HN25" s="52"/>
      <c r="HO25" s="52"/>
      <c r="HP25" s="52"/>
      <c r="HQ25" s="52"/>
      <c r="HR25" s="52"/>
      <c r="HS25" s="52"/>
      <c r="HT25" s="52"/>
      <c r="HU25" s="52"/>
      <c r="HV25" s="52"/>
      <c r="HW25" s="52"/>
      <c r="HX25" s="52"/>
      <c r="HY25" s="52"/>
      <c r="HZ25" s="52"/>
      <c r="IA25" s="52"/>
      <c r="IB25" s="52"/>
      <c r="IC25" s="52"/>
      <c r="ID25" s="52"/>
      <c r="IE25" s="52"/>
      <c r="IF25" s="52"/>
      <c r="IG25" s="52"/>
      <c r="IH25" s="53"/>
      <c r="II25" s="53"/>
      <c r="IJ25" s="53"/>
      <c r="IK25" s="53"/>
      <c r="IL25" s="53"/>
      <c r="IM25" s="52"/>
      <c r="IN25" s="52">
        <v>56.9</v>
      </c>
      <c r="IY25" s="48">
        <f t="shared" si="2"/>
        <v>47.906748247063547</v>
      </c>
      <c r="IZ25" s="48">
        <f>IY25-'NOPA Crush'!J25</f>
        <v>0.206748247063544</v>
      </c>
      <c r="JB25" s="63">
        <f t="shared" si="0"/>
        <v>11.083024429458264</v>
      </c>
      <c r="JC25" s="64">
        <f>JB25-'NOPA Crush'!O25</f>
        <v>-0.21697557054173622</v>
      </c>
      <c r="JD25" s="65"/>
      <c r="JE25" s="67">
        <f t="shared" si="1"/>
        <v>1783.1999999999998</v>
      </c>
      <c r="JF25" s="68">
        <f>'NOPA Crush'!Q25/'Census Crush'!JE25</f>
        <v>0.57716464782413646</v>
      </c>
    </row>
    <row r="26" spans="1:266">
      <c r="A26" s="39">
        <v>29830</v>
      </c>
      <c r="B26" s="49">
        <v>2263</v>
      </c>
      <c r="C26" s="50">
        <v>946</v>
      </c>
      <c r="D26" s="50">
        <v>191.5</v>
      </c>
      <c r="E26" s="50">
        <v>482.8</v>
      </c>
      <c r="F26" s="50">
        <v>6.3</v>
      </c>
      <c r="G26" s="50">
        <v>26.5</v>
      </c>
      <c r="H26" s="50">
        <v>7.2</v>
      </c>
      <c r="I26" s="50" t="s">
        <v>264</v>
      </c>
      <c r="J26" s="50" t="s">
        <v>264</v>
      </c>
      <c r="K26" s="49">
        <v>855.6</v>
      </c>
      <c r="L26" s="49">
        <v>1736.2</v>
      </c>
      <c r="M26" s="49">
        <v>1422.9</v>
      </c>
      <c r="N26" s="49">
        <v>313.3</v>
      </c>
      <c r="O26" s="50">
        <v>60.9</v>
      </c>
      <c r="P26" s="51">
        <v>80</v>
      </c>
      <c r="Q26" s="49">
        <v>30.1</v>
      </c>
      <c r="R26" s="49">
        <v>49.9</v>
      </c>
      <c r="S26" s="49"/>
      <c r="T26" s="49">
        <v>5.5</v>
      </c>
      <c r="U26" s="51">
        <v>22</v>
      </c>
      <c r="V26" s="49">
        <v>17</v>
      </c>
      <c r="W26" s="49">
        <v>5</v>
      </c>
      <c r="X26" s="49">
        <v>20</v>
      </c>
      <c r="Y26" s="49">
        <v>4.2</v>
      </c>
      <c r="Z26" s="49">
        <v>89.8</v>
      </c>
      <c r="AA26" s="49">
        <v>66.3</v>
      </c>
      <c r="AB26" s="49">
        <v>23.5</v>
      </c>
      <c r="AC26" s="49" t="s">
        <v>264</v>
      </c>
      <c r="AD26" s="49" t="s">
        <v>264</v>
      </c>
      <c r="AE26" s="49"/>
      <c r="AF26" s="51"/>
      <c r="AG26" s="50" t="s">
        <v>264</v>
      </c>
      <c r="AH26" s="50" t="s">
        <v>264</v>
      </c>
      <c r="AI26" s="49">
        <v>77.8</v>
      </c>
      <c r="AJ26" s="49"/>
      <c r="AK26" s="49"/>
      <c r="AL26" s="51">
        <v>75.7</v>
      </c>
      <c r="AM26" s="49">
        <v>45.7</v>
      </c>
      <c r="AN26" s="49">
        <v>30</v>
      </c>
      <c r="AO26" s="49">
        <v>1762.9</v>
      </c>
      <c r="AP26" s="49">
        <v>135.4</v>
      </c>
      <c r="AQ26" s="49">
        <v>57.7</v>
      </c>
      <c r="AR26" s="49">
        <v>27.3</v>
      </c>
      <c r="AS26" s="50">
        <v>88.7</v>
      </c>
      <c r="AT26" s="50">
        <v>107.7</v>
      </c>
      <c r="AU26" s="50">
        <v>48.8</v>
      </c>
      <c r="AV26" s="50">
        <v>28.6</v>
      </c>
      <c r="AW26" s="50">
        <v>7.5</v>
      </c>
      <c r="AX26" s="50">
        <v>2.1</v>
      </c>
      <c r="AY26" s="50">
        <v>14.6</v>
      </c>
      <c r="AZ26" s="50">
        <v>3</v>
      </c>
      <c r="BA26" s="50" t="s">
        <v>264</v>
      </c>
      <c r="BB26" s="50" t="s">
        <v>264</v>
      </c>
      <c r="BC26" s="50"/>
      <c r="BD26" s="52">
        <v>96.5</v>
      </c>
      <c r="BE26" s="52">
        <v>36.200000000000003</v>
      </c>
      <c r="BF26" s="52"/>
      <c r="BG26" s="52"/>
      <c r="BH26" s="52"/>
      <c r="BI26" s="52"/>
      <c r="BJ26" s="52"/>
      <c r="BK26" s="52"/>
      <c r="BL26" s="52"/>
      <c r="BM26" s="52">
        <v>518</v>
      </c>
      <c r="BN26" s="52"/>
      <c r="BO26" s="52"/>
      <c r="BP26" s="52"/>
      <c r="BQ26" s="52"/>
      <c r="BR26" s="52"/>
      <c r="BS26" s="53">
        <v>422.1</v>
      </c>
      <c r="BT26" s="52"/>
      <c r="BU26" s="52">
        <v>35.6</v>
      </c>
      <c r="BV26" s="50" t="s">
        <v>264</v>
      </c>
      <c r="BW26" s="50" t="s">
        <v>264</v>
      </c>
      <c r="BX26" s="50">
        <v>403.8</v>
      </c>
      <c r="BY26" s="50" t="s">
        <v>264</v>
      </c>
      <c r="BZ26" s="50" t="s">
        <v>264</v>
      </c>
      <c r="CA26" s="49"/>
      <c r="CB26" s="52"/>
      <c r="CC26" s="52"/>
      <c r="CD26" s="52"/>
      <c r="CE26" s="52"/>
      <c r="CF26" s="52">
        <v>100.1</v>
      </c>
      <c r="CG26" s="52">
        <v>137.19999999999999</v>
      </c>
      <c r="CH26" s="52">
        <v>16.3</v>
      </c>
      <c r="CI26" s="52"/>
      <c r="CJ26" s="52"/>
      <c r="CK26" s="52"/>
      <c r="CL26" s="52"/>
      <c r="CM26" s="52"/>
      <c r="CN26" s="52">
        <v>56.5</v>
      </c>
      <c r="CO26" s="52">
        <v>204.3</v>
      </c>
      <c r="CP26" s="52">
        <v>162.1</v>
      </c>
      <c r="CQ26" s="52">
        <v>42.2</v>
      </c>
      <c r="CR26" s="52">
        <v>38.799999999999997</v>
      </c>
      <c r="CS26" s="52">
        <v>71.400000000000006</v>
      </c>
      <c r="CT26" s="52">
        <v>48.7</v>
      </c>
      <c r="CU26" s="52">
        <v>22.7</v>
      </c>
      <c r="CV26" s="52">
        <v>58.1</v>
      </c>
      <c r="CW26" s="52">
        <v>58.1</v>
      </c>
      <c r="CX26" s="52"/>
      <c r="CY26" s="52">
        <v>10.199999999999999</v>
      </c>
      <c r="CZ26" s="52">
        <v>30.8</v>
      </c>
      <c r="DA26" s="52">
        <v>24.700000000000003</v>
      </c>
      <c r="DB26" s="52">
        <v>18.600000000000001</v>
      </c>
      <c r="DC26" s="52">
        <v>6.1</v>
      </c>
      <c r="DD26" s="52"/>
      <c r="DE26" s="52"/>
      <c r="DF26" s="53"/>
      <c r="DG26" s="53"/>
      <c r="DH26" s="53"/>
      <c r="DI26" s="53">
        <v>542</v>
      </c>
      <c r="DJ26" s="53">
        <v>126.6</v>
      </c>
      <c r="DK26" s="53">
        <v>394.5</v>
      </c>
      <c r="DL26" s="53"/>
      <c r="DM26" s="53">
        <v>172.5</v>
      </c>
      <c r="DN26" s="53"/>
      <c r="DO26" s="53">
        <v>97.8</v>
      </c>
      <c r="DP26" s="53">
        <v>140.9</v>
      </c>
      <c r="DQ26" s="53">
        <v>55.6</v>
      </c>
      <c r="DR26" s="53">
        <v>114.5</v>
      </c>
      <c r="DS26" s="53">
        <v>618.6</v>
      </c>
      <c r="DT26" s="53">
        <v>2263</v>
      </c>
      <c r="DU26" s="53">
        <v>0</v>
      </c>
      <c r="DV26" s="53">
        <v>0</v>
      </c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  <c r="GX26" s="52"/>
      <c r="GY26" s="17"/>
      <c r="GZ26" s="52">
        <v>812.1</v>
      </c>
      <c r="HA26" s="52"/>
      <c r="HB26" s="17"/>
      <c r="HC26" s="17"/>
      <c r="HD26" s="17"/>
      <c r="HE26" s="17"/>
      <c r="HF26" s="52"/>
      <c r="HG26" s="52"/>
      <c r="HH26" s="52"/>
      <c r="HI26" s="52"/>
      <c r="HJ26" s="52"/>
      <c r="HK26" s="52"/>
      <c r="HL26" s="52"/>
      <c r="HM26" s="52"/>
      <c r="HN26" s="52"/>
      <c r="HO26" s="52"/>
      <c r="HP26" s="52"/>
      <c r="HQ26" s="52"/>
      <c r="HR26" s="52"/>
      <c r="HS26" s="52"/>
      <c r="HT26" s="52"/>
      <c r="HU26" s="52"/>
      <c r="HV26" s="52"/>
      <c r="HW26" s="52"/>
      <c r="HX26" s="52"/>
      <c r="HY26" s="52"/>
      <c r="HZ26" s="52"/>
      <c r="IA26" s="52"/>
      <c r="IB26" s="52"/>
      <c r="IC26" s="52"/>
      <c r="ID26" s="52"/>
      <c r="IE26" s="52"/>
      <c r="IF26" s="52"/>
      <c r="IG26" s="52"/>
      <c r="IH26" s="53"/>
      <c r="II26" s="53"/>
      <c r="IJ26" s="53"/>
      <c r="IK26" s="53"/>
      <c r="IL26" s="53"/>
      <c r="IM26" s="52"/>
      <c r="IN26" s="52">
        <v>53.1</v>
      </c>
      <c r="IY26" s="48">
        <f t="shared" si="2"/>
        <v>48.270437472381793</v>
      </c>
      <c r="IZ26" s="48">
        <f>IY26-'NOPA Crush'!J26</f>
        <v>0.47043747238179634</v>
      </c>
      <c r="JB26" s="63">
        <f t="shared" si="0"/>
        <v>11.342465753424657</v>
      </c>
      <c r="JC26" s="64">
        <f>JB26-'NOPA Crush'!O26</f>
        <v>0.14246575342465739</v>
      </c>
      <c r="JD26" s="65"/>
      <c r="JE26" s="67">
        <f t="shared" si="1"/>
        <v>1736.2</v>
      </c>
      <c r="JF26" s="68">
        <f>'NOPA Crush'!Q26/'Census Crush'!JE26</f>
        <v>0.60315631839649808</v>
      </c>
    </row>
    <row r="27" spans="1:266">
      <c r="A27" s="39">
        <v>29860</v>
      </c>
      <c r="B27" s="49">
        <v>3133.8</v>
      </c>
      <c r="C27" s="50">
        <v>3173.2</v>
      </c>
      <c r="D27" s="50">
        <v>323.5</v>
      </c>
      <c r="E27" s="50">
        <v>1257.5</v>
      </c>
      <c r="F27" s="50">
        <v>12.1</v>
      </c>
      <c r="G27" s="50">
        <v>65.8</v>
      </c>
      <c r="H27" s="50" t="s">
        <v>264</v>
      </c>
      <c r="I27" s="50" t="s">
        <v>264</v>
      </c>
      <c r="J27" s="50" t="s">
        <v>264</v>
      </c>
      <c r="K27" s="49">
        <v>1125.3</v>
      </c>
      <c r="L27" s="49">
        <v>1790.2</v>
      </c>
      <c r="M27" s="49">
        <v>1494.7</v>
      </c>
      <c r="N27" s="49">
        <v>295.5</v>
      </c>
      <c r="O27" s="50">
        <v>106.4</v>
      </c>
      <c r="P27" s="51">
        <v>102.6</v>
      </c>
      <c r="Q27" s="49">
        <v>49.1</v>
      </c>
      <c r="R27" s="49">
        <v>53.5</v>
      </c>
      <c r="S27" s="49"/>
      <c r="T27" s="49">
        <v>9.6999999999999993</v>
      </c>
      <c r="U27" s="51">
        <v>21</v>
      </c>
      <c r="V27" s="49">
        <v>15.5</v>
      </c>
      <c r="W27" s="49">
        <v>5.5</v>
      </c>
      <c r="X27" s="49">
        <v>50.3</v>
      </c>
      <c r="Y27" s="49">
        <v>7.4</v>
      </c>
      <c r="Z27" s="49">
        <v>97.7</v>
      </c>
      <c r="AA27" s="49">
        <v>76.900000000000006</v>
      </c>
      <c r="AB27" s="49">
        <v>20.8</v>
      </c>
      <c r="AC27" s="49" t="s">
        <v>264</v>
      </c>
      <c r="AD27" s="49" t="s">
        <v>264</v>
      </c>
      <c r="AE27" s="49"/>
      <c r="AF27" s="51"/>
      <c r="AG27" s="50" t="s">
        <v>264</v>
      </c>
      <c r="AH27" s="50" t="s">
        <v>264</v>
      </c>
      <c r="AI27" s="49">
        <v>81.400000000000006</v>
      </c>
      <c r="AJ27" s="49"/>
      <c r="AK27" s="49"/>
      <c r="AL27" s="51">
        <v>89.1</v>
      </c>
      <c r="AM27" s="49">
        <v>58.5</v>
      </c>
      <c r="AN27" s="49">
        <v>30.6</v>
      </c>
      <c r="AO27" s="49">
        <v>2411.4</v>
      </c>
      <c r="AP27" s="49">
        <v>263.5</v>
      </c>
      <c r="AQ27" s="49">
        <v>90.3</v>
      </c>
      <c r="AR27" s="49">
        <v>45.7</v>
      </c>
      <c r="AS27" s="50">
        <v>144.80000000000001</v>
      </c>
      <c r="AT27" s="50">
        <v>77.900000000000006</v>
      </c>
      <c r="AU27" s="50">
        <v>81</v>
      </c>
      <c r="AV27" s="50">
        <v>27</v>
      </c>
      <c r="AW27" s="50">
        <v>14.7</v>
      </c>
      <c r="AX27" s="50">
        <v>5.7</v>
      </c>
      <c r="AY27" s="50">
        <v>37.1</v>
      </c>
      <c r="AZ27" s="50">
        <v>4.8</v>
      </c>
      <c r="BA27" s="50" t="s">
        <v>264</v>
      </c>
      <c r="BB27" s="50" t="s">
        <v>264</v>
      </c>
      <c r="BC27" s="50"/>
      <c r="BD27" s="52">
        <v>103.6</v>
      </c>
      <c r="BE27" s="52">
        <v>40.200000000000003</v>
      </c>
      <c r="BF27" s="52"/>
      <c r="BG27" s="52"/>
      <c r="BH27" s="52"/>
      <c r="BI27" s="52"/>
      <c r="BJ27" s="52"/>
      <c r="BK27" s="52"/>
      <c r="BL27" s="52"/>
      <c r="BM27" s="52">
        <v>541.9</v>
      </c>
      <c r="BN27" s="52"/>
      <c r="BO27" s="52"/>
      <c r="BP27" s="52"/>
      <c r="BQ27" s="52"/>
      <c r="BR27" s="52"/>
      <c r="BS27" s="53">
        <v>408.7</v>
      </c>
      <c r="BT27" s="52"/>
      <c r="BU27" s="52">
        <v>36.700000000000003</v>
      </c>
      <c r="BV27" s="50" t="s">
        <v>264</v>
      </c>
      <c r="BW27" s="50" t="s">
        <v>264</v>
      </c>
      <c r="BX27" s="50">
        <v>430.6</v>
      </c>
      <c r="BY27" s="50" t="s">
        <v>264</v>
      </c>
      <c r="BZ27" s="50" t="s">
        <v>264</v>
      </c>
      <c r="CA27" s="49"/>
      <c r="CB27" s="52"/>
      <c r="CC27" s="52"/>
      <c r="CD27" s="52"/>
      <c r="CE27" s="52"/>
      <c r="CF27" s="52">
        <v>101.1</v>
      </c>
      <c r="CG27" s="52">
        <v>135.69999999999999</v>
      </c>
      <c r="CH27" s="53">
        <v>17.3</v>
      </c>
      <c r="CI27" s="53"/>
      <c r="CJ27" s="53"/>
      <c r="CK27" s="52"/>
      <c r="CL27" s="52"/>
      <c r="CM27" s="52"/>
      <c r="CN27" s="52">
        <v>59.9</v>
      </c>
      <c r="CO27" s="52">
        <v>145.1</v>
      </c>
      <c r="CP27" s="52">
        <v>134.1</v>
      </c>
      <c r="CQ27" s="52">
        <v>11</v>
      </c>
      <c r="CR27" s="52" t="s">
        <v>264</v>
      </c>
      <c r="CS27" s="52">
        <v>72.099999999999994</v>
      </c>
      <c r="CT27" s="52">
        <v>52.5</v>
      </c>
      <c r="CU27" s="52">
        <v>19.600000000000001</v>
      </c>
      <c r="CV27" s="52">
        <v>44.4</v>
      </c>
      <c r="CW27" s="52">
        <v>44.4</v>
      </c>
      <c r="CX27" s="52"/>
      <c r="CY27" s="52">
        <v>13.8</v>
      </c>
      <c r="CZ27" s="52">
        <v>34.9</v>
      </c>
      <c r="DA27" s="52">
        <v>36.5</v>
      </c>
      <c r="DB27" s="52">
        <v>26.6</v>
      </c>
      <c r="DC27" s="52">
        <v>9.9</v>
      </c>
      <c r="DD27" s="52"/>
      <c r="DE27" s="52"/>
      <c r="DF27" s="53"/>
      <c r="DG27" s="53">
        <v>168.4</v>
      </c>
      <c r="DH27" s="53"/>
      <c r="DI27" s="53">
        <v>781.3</v>
      </c>
      <c r="DJ27" s="53">
        <v>179.6</v>
      </c>
      <c r="DK27" s="53">
        <v>499</v>
      </c>
      <c r="DL27" s="53"/>
      <c r="DM27" s="53">
        <v>198.6</v>
      </c>
      <c r="DN27" s="53"/>
      <c r="DO27" s="53">
        <v>155.69999999999999</v>
      </c>
      <c r="DP27" s="53">
        <v>158.9</v>
      </c>
      <c r="DQ27" s="53">
        <v>67.5</v>
      </c>
      <c r="DR27" s="53">
        <v>165.5</v>
      </c>
      <c r="DS27" s="53">
        <v>759.3</v>
      </c>
      <c r="DT27" s="53">
        <v>3133.8</v>
      </c>
      <c r="DU27" s="53">
        <v>-168.39999999999964</v>
      </c>
      <c r="DV27" s="53">
        <v>0</v>
      </c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  <c r="FE27" s="52"/>
      <c r="FF27" s="52"/>
      <c r="FG27" s="52"/>
      <c r="FH27" s="52"/>
      <c r="FI27" s="52"/>
      <c r="FJ27" s="52"/>
      <c r="FK27" s="52"/>
      <c r="FL27" s="52"/>
      <c r="FM27" s="52"/>
      <c r="FN27" s="52"/>
      <c r="FO27" s="52"/>
      <c r="FP27" s="52"/>
      <c r="FQ27" s="52"/>
      <c r="FR27" s="52"/>
      <c r="FS27" s="52"/>
      <c r="FT27" s="52"/>
      <c r="FU27" s="52"/>
      <c r="FV27" s="52"/>
      <c r="FW27" s="52"/>
      <c r="FX27" s="52"/>
      <c r="FY27" s="52"/>
      <c r="FZ27" s="52"/>
      <c r="GA27" s="52"/>
      <c r="GB27" s="52"/>
      <c r="GC27" s="52"/>
      <c r="GD27" s="52"/>
      <c r="GE27" s="52"/>
      <c r="GF27" s="52"/>
      <c r="GG27" s="52"/>
      <c r="GH27" s="52"/>
      <c r="GI27" s="52"/>
      <c r="GJ27" s="52"/>
      <c r="GK27" s="52"/>
      <c r="GL27" s="52"/>
      <c r="GM27" s="52"/>
      <c r="GN27" s="52"/>
      <c r="GO27" s="52"/>
      <c r="GP27" s="52"/>
      <c r="GQ27" s="52"/>
      <c r="GR27" s="52"/>
      <c r="GS27" s="52"/>
      <c r="GT27" s="52"/>
      <c r="GU27" s="52"/>
      <c r="GV27" s="52"/>
      <c r="GW27" s="52"/>
      <c r="GX27" s="52"/>
      <c r="GY27" s="17"/>
      <c r="GZ27" s="52">
        <v>833.6</v>
      </c>
      <c r="HA27" s="52"/>
      <c r="HB27" s="17"/>
      <c r="HC27" s="17"/>
      <c r="HD27" s="17"/>
      <c r="HE27" s="17"/>
      <c r="HF27" s="52"/>
      <c r="HG27" s="52"/>
      <c r="HH27" s="52"/>
      <c r="HI27" s="52"/>
      <c r="HJ27" s="52"/>
      <c r="HK27" s="52"/>
      <c r="HL27" s="52"/>
      <c r="HM27" s="52"/>
      <c r="HN27" s="52"/>
      <c r="HO27" s="52"/>
      <c r="HP27" s="52"/>
      <c r="HQ27" s="52"/>
      <c r="HR27" s="52"/>
      <c r="HS27" s="52"/>
      <c r="HT27" s="52"/>
      <c r="HU27" s="52"/>
      <c r="HV27" s="52"/>
      <c r="HW27" s="52"/>
      <c r="HX27" s="52"/>
      <c r="HY27" s="52"/>
      <c r="HZ27" s="52"/>
      <c r="IA27" s="52"/>
      <c r="IB27" s="52"/>
      <c r="IC27" s="52"/>
      <c r="ID27" s="52"/>
      <c r="IE27" s="52"/>
      <c r="IF27" s="52"/>
      <c r="IG27" s="52"/>
      <c r="IH27" s="53"/>
      <c r="II27" s="53"/>
      <c r="IJ27" s="53"/>
      <c r="IK27" s="53"/>
      <c r="IL27" s="53"/>
      <c r="IM27" s="52"/>
      <c r="IN27" s="52">
        <v>84.7</v>
      </c>
      <c r="IY27" s="48">
        <f t="shared" si="2"/>
        <v>47.897759908098799</v>
      </c>
      <c r="IZ27" s="48">
        <f>IY27-'NOPA Crush'!J27</f>
        <v>0.59775990809880142</v>
      </c>
      <c r="JB27" s="63">
        <f t="shared" si="0"/>
        <v>10.772544514646754</v>
      </c>
      <c r="JC27" s="64">
        <f>JB27-'NOPA Crush'!O27</f>
        <v>7.2544514646754266E-2</v>
      </c>
      <c r="JD27" s="65"/>
      <c r="JE27" s="67">
        <f t="shared" si="1"/>
        <v>1790.2</v>
      </c>
      <c r="JF27" s="68">
        <f>'NOPA Crush'!Q27/'Census Crush'!JE27</f>
        <v>0.60144117975645184</v>
      </c>
    </row>
    <row r="28" spans="1:266">
      <c r="A28" s="39">
        <v>29891</v>
      </c>
      <c r="B28" s="49">
        <v>2926.7</v>
      </c>
      <c r="C28" s="50">
        <v>4054.9</v>
      </c>
      <c r="D28" s="50">
        <v>455.5</v>
      </c>
      <c r="E28" s="50">
        <v>2258.9</v>
      </c>
      <c r="F28" s="50">
        <v>15.7</v>
      </c>
      <c r="G28" s="50">
        <v>57.8</v>
      </c>
      <c r="H28" s="50">
        <v>54.8</v>
      </c>
      <c r="I28" s="50" t="s">
        <v>264</v>
      </c>
      <c r="J28" s="50" t="s">
        <v>264</v>
      </c>
      <c r="K28" s="49">
        <v>1017.8</v>
      </c>
      <c r="L28" s="49">
        <v>1884.4</v>
      </c>
      <c r="M28" s="49">
        <v>1570.8</v>
      </c>
      <c r="N28" s="49">
        <v>313.60000000000002</v>
      </c>
      <c r="O28" s="50">
        <v>148.80000000000001</v>
      </c>
      <c r="P28" s="51">
        <v>127.2</v>
      </c>
      <c r="Q28" s="49">
        <v>56.3</v>
      </c>
      <c r="R28" s="49">
        <v>70.900000000000006</v>
      </c>
      <c r="S28" s="49"/>
      <c r="T28" s="49">
        <v>12</v>
      </c>
      <c r="U28" s="51">
        <v>18.5</v>
      </c>
      <c r="V28" s="49">
        <v>12.3</v>
      </c>
      <c r="W28" s="49">
        <v>6.2</v>
      </c>
      <c r="X28" s="49">
        <v>44.1</v>
      </c>
      <c r="Y28" s="49">
        <v>5.8</v>
      </c>
      <c r="Z28" s="49">
        <v>69.400000000000006</v>
      </c>
      <c r="AA28" s="49">
        <v>50.1</v>
      </c>
      <c r="AB28" s="49">
        <v>19.3</v>
      </c>
      <c r="AC28" s="49" t="s">
        <v>264</v>
      </c>
      <c r="AD28" s="49" t="s">
        <v>264</v>
      </c>
      <c r="AE28" s="49"/>
      <c r="AF28" s="51"/>
      <c r="AG28" s="50" t="s">
        <v>264</v>
      </c>
      <c r="AH28" s="50" t="s">
        <v>264</v>
      </c>
      <c r="AI28" s="49">
        <v>69.2</v>
      </c>
      <c r="AJ28" s="49"/>
      <c r="AK28" s="49"/>
      <c r="AL28" s="51">
        <v>69</v>
      </c>
      <c r="AM28" s="49">
        <v>41.1</v>
      </c>
      <c r="AN28" s="49">
        <v>27.9</v>
      </c>
      <c r="AO28" s="49">
        <v>2253</v>
      </c>
      <c r="AP28" s="49">
        <v>279.8</v>
      </c>
      <c r="AQ28" s="49">
        <v>72.7</v>
      </c>
      <c r="AR28" s="49">
        <v>34.9</v>
      </c>
      <c r="AS28" s="50">
        <v>213.3</v>
      </c>
      <c r="AT28" s="50">
        <v>80.900000000000006</v>
      </c>
      <c r="AU28" s="50">
        <v>118.6</v>
      </c>
      <c r="AV28" s="50">
        <v>61.5</v>
      </c>
      <c r="AW28" s="50">
        <v>18.600000000000001</v>
      </c>
      <c r="AX28" s="50">
        <v>5.0999999999999996</v>
      </c>
      <c r="AY28" s="50">
        <v>32.1</v>
      </c>
      <c r="AZ28" s="50">
        <v>3.8</v>
      </c>
      <c r="BA28" s="50" t="s">
        <v>264</v>
      </c>
      <c r="BB28" s="50" t="s">
        <v>264</v>
      </c>
      <c r="BC28" s="50"/>
      <c r="BD28" s="52">
        <v>92.3</v>
      </c>
      <c r="BE28" s="52">
        <v>48.3</v>
      </c>
      <c r="BF28" s="52"/>
      <c r="BG28" s="52"/>
      <c r="BH28" s="52"/>
      <c r="BI28" s="52"/>
      <c r="BJ28" s="52"/>
      <c r="BK28" s="52"/>
      <c r="BL28" s="52"/>
      <c r="BM28" s="52">
        <v>513.9</v>
      </c>
      <c r="BN28" s="52"/>
      <c r="BO28" s="52"/>
      <c r="BP28" s="52"/>
      <c r="BQ28" s="52"/>
      <c r="BR28" s="52"/>
      <c r="BS28" s="53">
        <v>435.4</v>
      </c>
      <c r="BT28" s="52"/>
      <c r="BU28" s="52">
        <v>39.1</v>
      </c>
      <c r="BV28" s="50" t="s">
        <v>264</v>
      </c>
      <c r="BW28" s="50" t="s">
        <v>264</v>
      </c>
      <c r="BX28" s="50">
        <v>408.1</v>
      </c>
      <c r="BY28" s="50" t="s">
        <v>264</v>
      </c>
      <c r="BZ28" s="50" t="s">
        <v>264</v>
      </c>
      <c r="CA28" s="49"/>
      <c r="CB28" s="52"/>
      <c r="CC28" s="52"/>
      <c r="CD28" s="52"/>
      <c r="CE28" s="52"/>
      <c r="CF28" s="52">
        <v>102.5</v>
      </c>
      <c r="CG28" s="52">
        <v>132.5</v>
      </c>
      <c r="CH28" s="52">
        <v>17.2</v>
      </c>
      <c r="CI28" s="52"/>
      <c r="CJ28" s="52"/>
      <c r="CK28" s="52"/>
      <c r="CL28" s="52"/>
      <c r="CM28" s="52"/>
      <c r="CN28" s="52">
        <v>52.4</v>
      </c>
      <c r="CO28" s="52">
        <v>146.5</v>
      </c>
      <c r="CP28" s="52">
        <v>133.4</v>
      </c>
      <c r="CQ28" s="52">
        <v>13.1</v>
      </c>
      <c r="CR28" s="52">
        <v>30.8</v>
      </c>
      <c r="CS28" s="52">
        <v>64.300000000000011</v>
      </c>
      <c r="CT28" s="52">
        <v>32.200000000000003</v>
      </c>
      <c r="CU28" s="52">
        <v>32.1</v>
      </c>
      <c r="CV28" s="52">
        <v>52</v>
      </c>
      <c r="CW28" s="52">
        <v>52</v>
      </c>
      <c r="CX28" s="52"/>
      <c r="CY28" s="52">
        <v>13.2</v>
      </c>
      <c r="CZ28" s="52">
        <v>38.5</v>
      </c>
      <c r="DA28" s="52">
        <v>38.1</v>
      </c>
      <c r="DB28" s="52">
        <v>25.6</v>
      </c>
      <c r="DC28" s="52">
        <v>12.5</v>
      </c>
      <c r="DD28" s="52"/>
      <c r="DE28" s="52"/>
      <c r="DF28" s="53"/>
      <c r="DG28" s="53">
        <v>164.9</v>
      </c>
      <c r="DH28" s="53">
        <v>122.8</v>
      </c>
      <c r="DI28" s="53">
        <v>669.1</v>
      </c>
      <c r="DJ28" s="53">
        <v>164.5</v>
      </c>
      <c r="DK28" s="53">
        <v>447.4</v>
      </c>
      <c r="DL28" s="53">
        <v>125.4</v>
      </c>
      <c r="DM28" s="53">
        <v>172</v>
      </c>
      <c r="DN28" s="53">
        <v>88.4</v>
      </c>
      <c r="DO28" s="53">
        <v>143.5</v>
      </c>
      <c r="DP28" s="53">
        <v>152.30000000000001</v>
      </c>
      <c r="DQ28" s="53">
        <v>62</v>
      </c>
      <c r="DR28" s="53">
        <v>156.1</v>
      </c>
      <c r="DS28" s="53">
        <v>458.3</v>
      </c>
      <c r="DT28" s="53">
        <v>2926.7</v>
      </c>
      <c r="DU28" s="53">
        <v>-287.69999999999936</v>
      </c>
      <c r="DV28" s="53">
        <v>0</v>
      </c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2"/>
      <c r="FJ28" s="52"/>
      <c r="FK28" s="52"/>
      <c r="FL28" s="52"/>
      <c r="FM28" s="52"/>
      <c r="FN28" s="52"/>
      <c r="FO28" s="52"/>
      <c r="FP28" s="52"/>
      <c r="FQ28" s="52"/>
      <c r="FR28" s="52"/>
      <c r="FS28" s="52"/>
      <c r="FT28" s="52"/>
      <c r="FU28" s="52"/>
      <c r="FV28" s="52"/>
      <c r="FW28" s="52"/>
      <c r="FX28" s="52"/>
      <c r="FY28" s="52"/>
      <c r="FZ28" s="52"/>
      <c r="GA28" s="52"/>
      <c r="GB28" s="52"/>
      <c r="GC28" s="52"/>
      <c r="GD28" s="52"/>
      <c r="GE28" s="52"/>
      <c r="GF28" s="52"/>
      <c r="GG28" s="52"/>
      <c r="GH28" s="52"/>
      <c r="GI28" s="52"/>
      <c r="GJ28" s="52"/>
      <c r="GK28" s="52"/>
      <c r="GL28" s="52"/>
      <c r="GM28" s="52"/>
      <c r="GN28" s="52"/>
      <c r="GO28" s="52"/>
      <c r="GP28" s="52"/>
      <c r="GQ28" s="52"/>
      <c r="GR28" s="52"/>
      <c r="GS28" s="52"/>
      <c r="GT28" s="52"/>
      <c r="GU28" s="52"/>
      <c r="GV28" s="52"/>
      <c r="GW28" s="52"/>
      <c r="GX28" s="52"/>
      <c r="GY28" s="17"/>
      <c r="GZ28" s="52">
        <v>840.9</v>
      </c>
      <c r="HA28" s="52"/>
      <c r="HB28" s="17"/>
      <c r="HC28" s="17"/>
      <c r="HD28" s="17"/>
      <c r="HE28" s="17"/>
      <c r="HF28" s="52"/>
      <c r="HG28" s="52"/>
      <c r="HH28" s="52"/>
      <c r="HI28" s="52"/>
      <c r="HJ28" s="52"/>
      <c r="HK28" s="52"/>
      <c r="HL28" s="52"/>
      <c r="HM28" s="52"/>
      <c r="HN28" s="52"/>
      <c r="HO28" s="52"/>
      <c r="HP28" s="52"/>
      <c r="HQ28" s="52"/>
      <c r="HR28" s="52"/>
      <c r="HS28" s="52"/>
      <c r="HT28" s="52"/>
      <c r="HU28" s="52"/>
      <c r="HV28" s="52"/>
      <c r="HW28" s="52"/>
      <c r="HX28" s="52"/>
      <c r="HY28" s="52"/>
      <c r="HZ28" s="52"/>
      <c r="IA28" s="52"/>
      <c r="IB28" s="52"/>
      <c r="IC28" s="52"/>
      <c r="ID28" s="52"/>
      <c r="IE28" s="52"/>
      <c r="IF28" s="52"/>
      <c r="IG28" s="52"/>
      <c r="IH28" s="53"/>
      <c r="II28" s="53"/>
      <c r="IJ28" s="53"/>
      <c r="IK28" s="53"/>
      <c r="IL28" s="53"/>
      <c r="IM28" s="52"/>
      <c r="IN28" s="52">
        <v>129.30000000000001</v>
      </c>
      <c r="IY28" s="48">
        <f t="shared" si="2"/>
        <v>47.678955820548744</v>
      </c>
      <c r="IZ28" s="48">
        <f>IY28-'NOPA Crush'!J28</f>
        <v>0.27895582054874524</v>
      </c>
      <c r="JB28" s="63">
        <f t="shared" si="0"/>
        <v>10.432910786893089</v>
      </c>
      <c r="JC28" s="64">
        <f>JB28-'NOPA Crush'!O28</f>
        <v>3.2910786893088684E-2</v>
      </c>
      <c r="JD28" s="65"/>
      <c r="JE28" s="67">
        <f t="shared" si="1"/>
        <v>1884.4</v>
      </c>
      <c r="JF28" s="68">
        <f>'NOPA Crush'!Q28/'Census Crush'!JE28</f>
        <v>0.64349395032901713</v>
      </c>
    </row>
    <row r="29" spans="1:266">
      <c r="A29" s="39">
        <v>29921</v>
      </c>
      <c r="B29" s="49">
        <v>3074.6</v>
      </c>
      <c r="C29" s="50">
        <v>3436.1</v>
      </c>
      <c r="D29" s="50">
        <v>473.3</v>
      </c>
      <c r="E29" s="50">
        <v>3002</v>
      </c>
      <c r="F29" s="50">
        <v>16.399999999999999</v>
      </c>
      <c r="G29" s="50" t="s">
        <v>264</v>
      </c>
      <c r="H29" s="50" t="s">
        <v>264</v>
      </c>
      <c r="I29" s="50" t="s">
        <v>264</v>
      </c>
      <c r="J29" s="50" t="s">
        <v>264</v>
      </c>
      <c r="K29" s="49">
        <v>1069.5999999999999</v>
      </c>
      <c r="L29" s="49">
        <v>2023.8000000000002</v>
      </c>
      <c r="M29" s="49">
        <v>1680.2</v>
      </c>
      <c r="N29" s="49">
        <v>343.6</v>
      </c>
      <c r="O29" s="50">
        <v>157.80000000000001</v>
      </c>
      <c r="P29" s="51">
        <v>133.1</v>
      </c>
      <c r="Q29" s="49">
        <v>56.4</v>
      </c>
      <c r="R29" s="49">
        <v>76.7</v>
      </c>
      <c r="S29" s="49"/>
      <c r="T29" s="49">
        <v>12.7</v>
      </c>
      <c r="U29" s="51">
        <v>18.100000000000001</v>
      </c>
      <c r="V29" s="49">
        <v>12.9</v>
      </c>
      <c r="W29" s="49">
        <v>5.2</v>
      </c>
      <c r="X29" s="50" t="s">
        <v>264</v>
      </c>
      <c r="Y29" s="49">
        <v>10.3</v>
      </c>
      <c r="Z29" s="49">
        <v>71</v>
      </c>
      <c r="AA29" s="49">
        <v>56.3</v>
      </c>
      <c r="AB29" s="49">
        <v>14.7</v>
      </c>
      <c r="AC29" s="49" t="s">
        <v>264</v>
      </c>
      <c r="AD29" s="49" t="s">
        <v>264</v>
      </c>
      <c r="AE29" s="49"/>
      <c r="AF29" s="51"/>
      <c r="AG29" s="50" t="s">
        <v>264</v>
      </c>
      <c r="AH29" s="50" t="s">
        <v>264</v>
      </c>
      <c r="AI29" s="49">
        <v>66.5</v>
      </c>
      <c r="AJ29" s="49"/>
      <c r="AK29" s="49"/>
      <c r="AL29" s="51">
        <v>65.3</v>
      </c>
      <c r="AM29" s="49">
        <v>43</v>
      </c>
      <c r="AN29" s="49">
        <v>22.3</v>
      </c>
      <c r="AO29" s="49">
        <v>2375.6999999999998</v>
      </c>
      <c r="AP29" s="49">
        <v>250.1</v>
      </c>
      <c r="AQ29" s="49">
        <v>74.900000000000006</v>
      </c>
      <c r="AR29" s="49">
        <v>29.3</v>
      </c>
      <c r="AS29" s="50">
        <v>213.1</v>
      </c>
      <c r="AT29" s="50">
        <v>64.5</v>
      </c>
      <c r="AU29" s="50">
        <v>120.3</v>
      </c>
      <c r="AV29" s="50">
        <v>67.400000000000006</v>
      </c>
      <c r="AW29" s="50">
        <v>19.3</v>
      </c>
      <c r="AX29" s="50">
        <v>3.2</v>
      </c>
      <c r="AY29" s="50" t="s">
        <v>264</v>
      </c>
      <c r="AZ29" s="50" t="s">
        <v>264</v>
      </c>
      <c r="BA29" s="50" t="s">
        <v>264</v>
      </c>
      <c r="BB29" s="50" t="s">
        <v>264</v>
      </c>
      <c r="BC29" s="50"/>
      <c r="BD29" s="52">
        <v>95.5</v>
      </c>
      <c r="BE29" s="52">
        <v>53.9</v>
      </c>
      <c r="BF29" s="52"/>
      <c r="BG29" s="52"/>
      <c r="BH29" s="52"/>
      <c r="BI29" s="52"/>
      <c r="BJ29" s="52"/>
      <c r="BK29" s="52"/>
      <c r="BL29" s="52"/>
      <c r="BM29" s="52">
        <v>549.4</v>
      </c>
      <c r="BN29" s="52"/>
      <c r="BO29" s="52"/>
      <c r="BP29" s="52"/>
      <c r="BQ29" s="52"/>
      <c r="BR29" s="52"/>
      <c r="BS29" s="53">
        <v>451.1</v>
      </c>
      <c r="BT29" s="52"/>
      <c r="BU29" s="52">
        <v>37</v>
      </c>
      <c r="BV29" s="50" t="s">
        <v>264</v>
      </c>
      <c r="BW29" s="50" t="s">
        <v>264</v>
      </c>
      <c r="BX29" s="50">
        <v>443.8</v>
      </c>
      <c r="BY29" s="50" t="s">
        <v>264</v>
      </c>
      <c r="BZ29" s="50" t="s">
        <v>264</v>
      </c>
      <c r="CA29" s="49"/>
      <c r="CB29" s="52"/>
      <c r="CC29" s="52"/>
      <c r="CD29" s="52"/>
      <c r="CE29" s="52"/>
      <c r="CF29" s="52">
        <v>85.6</v>
      </c>
      <c r="CG29" s="52">
        <v>145.6</v>
      </c>
      <c r="CH29" s="52">
        <v>14.6</v>
      </c>
      <c r="CI29" s="52"/>
      <c r="CJ29" s="52"/>
      <c r="CK29" s="52"/>
      <c r="CL29" s="52"/>
      <c r="CM29" s="52"/>
      <c r="CN29" s="52">
        <v>47.5</v>
      </c>
      <c r="CO29" s="52">
        <v>150.9</v>
      </c>
      <c r="CP29" s="52">
        <v>132.4</v>
      </c>
      <c r="CQ29" s="52">
        <v>18.5</v>
      </c>
      <c r="CR29" s="52" t="s">
        <v>264</v>
      </c>
      <c r="CS29" s="52">
        <v>56.2</v>
      </c>
      <c r="CT29" s="52">
        <v>36.9</v>
      </c>
      <c r="CU29" s="52">
        <v>19.3</v>
      </c>
      <c r="CV29" s="52">
        <v>57.8</v>
      </c>
      <c r="CW29" s="52">
        <v>57.8</v>
      </c>
      <c r="CX29" s="52"/>
      <c r="CY29" s="52">
        <v>9.1999999999999993</v>
      </c>
      <c r="CZ29" s="52">
        <v>39.5</v>
      </c>
      <c r="DA29" s="52">
        <v>34.6</v>
      </c>
      <c r="DB29" s="52">
        <v>22.3</v>
      </c>
      <c r="DC29" s="52">
        <v>12.3</v>
      </c>
      <c r="DD29" s="52"/>
      <c r="DE29" s="52"/>
      <c r="DF29" s="53"/>
      <c r="DG29" s="53">
        <v>152.69999999999999</v>
      </c>
      <c r="DH29" s="53">
        <v>125</v>
      </c>
      <c r="DI29" s="53">
        <v>749.9</v>
      </c>
      <c r="DJ29" s="53">
        <v>179</v>
      </c>
      <c r="DK29" s="53">
        <v>466.8</v>
      </c>
      <c r="DL29" s="53">
        <v>131.80000000000001</v>
      </c>
      <c r="DM29" s="53">
        <v>171.4</v>
      </c>
      <c r="DN29" s="53"/>
      <c r="DO29" s="53">
        <v>170.5</v>
      </c>
      <c r="DP29" s="53">
        <v>158.69999999999999</v>
      </c>
      <c r="DQ29" s="53">
        <v>78.7</v>
      </c>
      <c r="DR29" s="53">
        <v>147.19999999999999</v>
      </c>
      <c r="DS29" s="53">
        <v>542.9</v>
      </c>
      <c r="DT29" s="53">
        <v>3074.6</v>
      </c>
      <c r="DU29" s="53">
        <v>-277.69999999999982</v>
      </c>
      <c r="DV29" s="53">
        <v>0</v>
      </c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2"/>
      <c r="FF29" s="52"/>
      <c r="FG29" s="52"/>
      <c r="FH29" s="52"/>
      <c r="FI29" s="52"/>
      <c r="FJ29" s="52"/>
      <c r="FK29" s="52"/>
      <c r="FL29" s="52"/>
      <c r="FM29" s="52"/>
      <c r="FN29" s="52"/>
      <c r="FO29" s="52"/>
      <c r="FP29" s="52"/>
      <c r="FQ29" s="52"/>
      <c r="FR29" s="52"/>
      <c r="FS29" s="52"/>
      <c r="FT29" s="52"/>
      <c r="FU29" s="52"/>
      <c r="FV29" s="52"/>
      <c r="FW29" s="52"/>
      <c r="FX29" s="52"/>
      <c r="FY29" s="52"/>
      <c r="FZ29" s="52"/>
      <c r="GA29" s="52"/>
      <c r="GB29" s="52"/>
      <c r="GC29" s="52"/>
      <c r="GD29" s="52"/>
      <c r="GE29" s="52"/>
      <c r="GF29" s="52"/>
      <c r="GG29" s="52"/>
      <c r="GH29" s="52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2"/>
      <c r="GU29" s="52"/>
      <c r="GV29" s="52"/>
      <c r="GW29" s="52"/>
      <c r="GX29" s="52"/>
      <c r="GY29" s="17"/>
      <c r="GZ29" s="52">
        <v>805.2</v>
      </c>
      <c r="HA29" s="52"/>
      <c r="HB29" s="17"/>
      <c r="HC29" s="17"/>
      <c r="HD29" s="17"/>
      <c r="HE29" s="17"/>
      <c r="HF29" s="52"/>
      <c r="HG29" s="52"/>
      <c r="HH29" s="52"/>
      <c r="HI29" s="52"/>
      <c r="HJ29" s="52"/>
      <c r="HK29" s="52"/>
      <c r="HL29" s="52"/>
      <c r="HM29" s="52"/>
      <c r="HN29" s="52"/>
      <c r="HO29" s="52"/>
      <c r="HP29" s="52"/>
      <c r="HQ29" s="52"/>
      <c r="HR29" s="52"/>
      <c r="HS29" s="52"/>
      <c r="HT29" s="52"/>
      <c r="HU29" s="52"/>
      <c r="HV29" s="52"/>
      <c r="HW29" s="52"/>
      <c r="HX29" s="52"/>
      <c r="HY29" s="52"/>
      <c r="HZ29" s="52"/>
      <c r="IA29" s="52"/>
      <c r="IB29" s="52"/>
      <c r="IC29" s="52"/>
      <c r="ID29" s="52"/>
      <c r="IE29" s="52"/>
      <c r="IF29" s="52"/>
      <c r="IG29" s="52"/>
      <c r="IH29" s="53"/>
      <c r="II29" s="53"/>
      <c r="IJ29" s="53"/>
      <c r="IK29" s="53"/>
      <c r="IL29" s="53"/>
      <c r="IM29" s="52"/>
      <c r="IN29" s="52">
        <v>144.6</v>
      </c>
      <c r="IY29" s="48">
        <f t="shared" si="2"/>
        <v>47.822806218695114</v>
      </c>
      <c r="IZ29" s="48">
        <f>IY29-'NOPA Crush'!J29</f>
        <v>0.3228062186951135</v>
      </c>
      <c r="JB29" s="63">
        <f t="shared" si="0"/>
        <v>10.436479542054251</v>
      </c>
      <c r="JC29" s="64">
        <f>JB29-'NOPA Crush'!O29</f>
        <v>3.6479542054250302E-2</v>
      </c>
      <c r="JD29" s="65"/>
      <c r="JE29" s="67">
        <f t="shared" si="1"/>
        <v>2023.8000000000002</v>
      </c>
      <c r="JF29" s="68">
        <f>'NOPA Crush'!Q29/'Census Crush'!JE29</f>
        <v>0.63123826465065713</v>
      </c>
    </row>
    <row r="30" spans="1:266">
      <c r="A30" s="39">
        <v>29952</v>
      </c>
      <c r="B30" s="49">
        <v>2847.2</v>
      </c>
      <c r="C30" s="50">
        <v>2993.3</v>
      </c>
      <c r="D30" s="50">
        <v>478.8</v>
      </c>
      <c r="E30" s="50">
        <v>2897.4</v>
      </c>
      <c r="F30" s="50">
        <v>14.3</v>
      </c>
      <c r="G30" s="50">
        <v>67.599999999999994</v>
      </c>
      <c r="H30" s="50">
        <v>18.7</v>
      </c>
      <c r="I30" s="50" t="s">
        <v>264</v>
      </c>
      <c r="J30" s="50" t="s">
        <v>264</v>
      </c>
      <c r="K30" s="49">
        <v>995.6</v>
      </c>
      <c r="L30" s="49">
        <v>2160</v>
      </c>
      <c r="M30" s="49">
        <v>1822.9</v>
      </c>
      <c r="N30" s="49">
        <v>337.1</v>
      </c>
      <c r="O30" s="50">
        <v>154.1</v>
      </c>
      <c r="P30" s="51">
        <v>165.7</v>
      </c>
      <c r="Q30" s="49">
        <v>63.7</v>
      </c>
      <c r="R30" s="49">
        <v>102</v>
      </c>
      <c r="S30" s="49"/>
      <c r="T30" s="49">
        <v>11.3</v>
      </c>
      <c r="U30" s="51">
        <v>12.2</v>
      </c>
      <c r="V30" s="49">
        <v>7.5</v>
      </c>
      <c r="W30" s="49">
        <v>4.7</v>
      </c>
      <c r="X30" s="49">
        <v>51.5</v>
      </c>
      <c r="Y30" s="49">
        <v>9.8000000000000007</v>
      </c>
      <c r="Z30" s="49">
        <v>45.099999999999994</v>
      </c>
      <c r="AA30" s="49">
        <v>32.4</v>
      </c>
      <c r="AB30" s="49">
        <v>12.7</v>
      </c>
      <c r="AC30" s="49" t="s">
        <v>264</v>
      </c>
      <c r="AD30" s="49" t="s">
        <v>264</v>
      </c>
      <c r="AE30" s="49"/>
      <c r="AF30" s="51"/>
      <c r="AG30" s="50" t="s">
        <v>264</v>
      </c>
      <c r="AH30" s="50" t="s">
        <v>264</v>
      </c>
      <c r="AI30" s="49">
        <v>56.7</v>
      </c>
      <c r="AJ30" s="49"/>
      <c r="AK30" s="49"/>
      <c r="AL30" s="51">
        <v>54.5</v>
      </c>
      <c r="AM30" s="49">
        <v>33.4</v>
      </c>
      <c r="AN30" s="49">
        <v>21.1</v>
      </c>
      <c r="AO30" s="49">
        <v>2196.5</v>
      </c>
      <c r="AP30" s="49">
        <v>286.10000000000002</v>
      </c>
      <c r="AQ30" s="49">
        <v>69</v>
      </c>
      <c r="AR30" s="49">
        <v>29.6</v>
      </c>
      <c r="AS30" s="50">
        <v>226.9</v>
      </c>
      <c r="AT30" s="50">
        <v>53.1</v>
      </c>
      <c r="AU30" s="50">
        <v>122.8</v>
      </c>
      <c r="AV30" s="50">
        <v>71</v>
      </c>
      <c r="AW30" s="50">
        <v>8.1</v>
      </c>
      <c r="AX30" s="50">
        <v>1.1000000000000001</v>
      </c>
      <c r="AY30" s="50">
        <v>37.5</v>
      </c>
      <c r="AZ30" s="50" t="s">
        <v>264</v>
      </c>
      <c r="BA30" s="50" t="s">
        <v>264</v>
      </c>
      <c r="BB30" s="50" t="s">
        <v>264</v>
      </c>
      <c r="BC30" s="50"/>
      <c r="BD30" s="52">
        <v>95.2</v>
      </c>
      <c r="BE30" s="52">
        <v>60.4</v>
      </c>
      <c r="BF30" s="52"/>
      <c r="BG30" s="52"/>
      <c r="BH30" s="52"/>
      <c r="BI30" s="52"/>
      <c r="BJ30" s="52"/>
      <c r="BK30" s="52"/>
      <c r="BL30" s="52"/>
      <c r="BM30" s="52">
        <v>506.6</v>
      </c>
      <c r="BN30" s="52"/>
      <c r="BO30" s="52"/>
      <c r="BP30" s="52"/>
      <c r="BQ30" s="52"/>
      <c r="BR30" s="52"/>
      <c r="BS30" s="53">
        <v>436.6</v>
      </c>
      <c r="BT30" s="52"/>
      <c r="BU30" s="52">
        <v>35.299999999999997</v>
      </c>
      <c r="BV30" s="50" t="s">
        <v>264</v>
      </c>
      <c r="BW30" s="50" t="s">
        <v>264</v>
      </c>
      <c r="BX30" s="50">
        <v>411.2</v>
      </c>
      <c r="BY30" s="50" t="s">
        <v>264</v>
      </c>
      <c r="BZ30" s="50" t="s">
        <v>264</v>
      </c>
      <c r="CA30" s="49"/>
      <c r="CB30" s="52"/>
      <c r="CC30" s="52"/>
      <c r="CD30" s="52"/>
      <c r="CE30" s="52"/>
      <c r="CF30" s="52">
        <v>91.1</v>
      </c>
      <c r="CG30" s="52">
        <v>141</v>
      </c>
      <c r="CH30" s="52">
        <v>16.399999999999999</v>
      </c>
      <c r="CI30" s="52"/>
      <c r="CJ30" s="52"/>
      <c r="CK30" s="52"/>
      <c r="CL30" s="52"/>
      <c r="CM30" s="52"/>
      <c r="CN30" s="52">
        <v>56.7</v>
      </c>
      <c r="CO30" s="52">
        <v>127</v>
      </c>
      <c r="CP30" s="52">
        <v>108.7</v>
      </c>
      <c r="CQ30" s="52">
        <v>18.3</v>
      </c>
      <c r="CR30" s="52" t="s">
        <v>264</v>
      </c>
      <c r="CS30" s="52">
        <v>62.7</v>
      </c>
      <c r="CT30" s="52">
        <v>41</v>
      </c>
      <c r="CU30" s="52">
        <v>21.7</v>
      </c>
      <c r="CV30" s="52">
        <v>59.7</v>
      </c>
      <c r="CW30" s="52">
        <v>59.7</v>
      </c>
      <c r="CX30" s="52"/>
      <c r="CY30" s="52">
        <v>10.9</v>
      </c>
      <c r="CZ30" s="52">
        <v>28.5</v>
      </c>
      <c r="DA30" s="52">
        <v>37.9</v>
      </c>
      <c r="DB30" s="52">
        <v>25.3</v>
      </c>
      <c r="DC30" s="52">
        <v>12.6</v>
      </c>
      <c r="DD30" s="52"/>
      <c r="DE30" s="52"/>
      <c r="DF30" s="53"/>
      <c r="DG30" s="53">
        <v>163.6</v>
      </c>
      <c r="DH30" s="53"/>
      <c r="DI30" s="53">
        <v>654.9</v>
      </c>
      <c r="DJ30" s="53">
        <v>175.2</v>
      </c>
      <c r="DK30" s="53">
        <v>420</v>
      </c>
      <c r="DL30" s="53">
        <v>117.4</v>
      </c>
      <c r="DM30" s="53">
        <v>165.1</v>
      </c>
      <c r="DN30" s="53"/>
      <c r="DO30" s="53">
        <v>164.3</v>
      </c>
      <c r="DP30" s="53">
        <v>159.9</v>
      </c>
      <c r="DQ30" s="53">
        <v>77.2</v>
      </c>
      <c r="DR30" s="53">
        <v>142.80000000000001</v>
      </c>
      <c r="DS30" s="53">
        <v>606.79999999999995</v>
      </c>
      <c r="DT30" s="53">
        <v>2847.2</v>
      </c>
      <c r="DU30" s="53">
        <v>-163.59999999999945</v>
      </c>
      <c r="DV30" s="53">
        <v>0</v>
      </c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  <c r="FY30" s="52"/>
      <c r="FZ30" s="52"/>
      <c r="GA30" s="52"/>
      <c r="GB30" s="52"/>
      <c r="GC30" s="52"/>
      <c r="GD30" s="52"/>
      <c r="GE30" s="52"/>
      <c r="GF30" s="52"/>
      <c r="GG30" s="52"/>
      <c r="GH30" s="52"/>
      <c r="GI30" s="52"/>
      <c r="GJ30" s="52"/>
      <c r="GK30" s="52"/>
      <c r="GL30" s="52"/>
      <c r="GM30" s="52"/>
      <c r="GN30" s="52"/>
      <c r="GO30" s="52"/>
      <c r="GP30" s="52"/>
      <c r="GQ30" s="52"/>
      <c r="GR30" s="52"/>
      <c r="GS30" s="52"/>
      <c r="GT30" s="52"/>
      <c r="GU30" s="52"/>
      <c r="GV30" s="52"/>
      <c r="GW30" s="52"/>
      <c r="GX30" s="52"/>
      <c r="GY30" s="17"/>
      <c r="GZ30" s="52">
        <v>768.7</v>
      </c>
      <c r="HA30" s="52"/>
      <c r="HB30" s="17"/>
      <c r="HC30" s="17"/>
      <c r="HD30" s="17"/>
      <c r="HE30" s="17"/>
      <c r="HF30" s="52"/>
      <c r="HG30" s="52"/>
      <c r="HH30" s="52"/>
      <c r="HI30" s="52"/>
      <c r="HJ30" s="52"/>
      <c r="HK30" s="52"/>
      <c r="HL30" s="52"/>
      <c r="HM30" s="52"/>
      <c r="HN30" s="52"/>
      <c r="HO30" s="52"/>
      <c r="HP30" s="52"/>
      <c r="HQ30" s="52"/>
      <c r="HR30" s="52"/>
      <c r="HS30" s="52"/>
      <c r="HT30" s="52"/>
      <c r="HU30" s="52"/>
      <c r="HV30" s="52"/>
      <c r="HW30" s="52"/>
      <c r="HX30" s="52"/>
      <c r="HY30" s="52"/>
      <c r="HZ30" s="52"/>
      <c r="IA30" s="52"/>
      <c r="IB30" s="52"/>
      <c r="IC30" s="52"/>
      <c r="ID30" s="52"/>
      <c r="IE30" s="52"/>
      <c r="IF30" s="52"/>
      <c r="IG30" s="52"/>
      <c r="IH30" s="53"/>
      <c r="II30" s="53"/>
      <c r="IJ30" s="53"/>
      <c r="IK30" s="53"/>
      <c r="IL30" s="53"/>
      <c r="IM30" s="52"/>
      <c r="IN30" s="52">
        <v>110.2</v>
      </c>
      <c r="IY30" s="48">
        <f t="shared" si="2"/>
        <v>47.741640910368083</v>
      </c>
      <c r="IZ30" s="48">
        <f>IY30-'NOPA Crush'!J30</f>
        <v>0.24164091036808344</v>
      </c>
      <c r="JB30" s="63">
        <f t="shared" si="0"/>
        <v>10.490306265805001</v>
      </c>
      <c r="JC30" s="64">
        <f>JB30-'NOPA Crush'!O30</f>
        <v>-0.10969373419499817</v>
      </c>
      <c r="JD30" s="65"/>
      <c r="JE30" s="67">
        <f t="shared" si="1"/>
        <v>2160</v>
      </c>
      <c r="JF30" s="68">
        <f>'NOPA Crush'!Q30/'Census Crush'!JE30</f>
        <v>0.65143518518518517</v>
      </c>
    </row>
    <row r="31" spans="1:266">
      <c r="A31" s="39">
        <v>29983</v>
      </c>
      <c r="B31" s="49">
        <v>2601.6999999999998</v>
      </c>
      <c r="C31" s="50">
        <v>2538.5</v>
      </c>
      <c r="D31" s="50">
        <v>446.7</v>
      </c>
      <c r="E31" s="50">
        <v>2569.1</v>
      </c>
      <c r="F31" s="50">
        <v>14.7</v>
      </c>
      <c r="G31" s="50" t="s">
        <v>264</v>
      </c>
      <c r="H31" s="50" t="s">
        <v>264</v>
      </c>
      <c r="I31" s="50" t="s">
        <v>264</v>
      </c>
      <c r="J31" s="50" t="s">
        <v>264</v>
      </c>
      <c r="K31" s="49">
        <v>917.7</v>
      </c>
      <c r="L31" s="49">
        <v>2140.6</v>
      </c>
      <c r="M31" s="49">
        <v>1792.5</v>
      </c>
      <c r="N31" s="49">
        <v>348.1</v>
      </c>
      <c r="O31" s="50">
        <v>145.6</v>
      </c>
      <c r="P31" s="51">
        <v>148.30000000000001</v>
      </c>
      <c r="Q31" s="49">
        <v>69</v>
      </c>
      <c r="R31" s="49">
        <v>79.3</v>
      </c>
      <c r="S31" s="49"/>
      <c r="T31" s="49">
        <v>11.1</v>
      </c>
      <c r="U31" s="51">
        <v>12.8</v>
      </c>
      <c r="V31" s="49">
        <v>8.6</v>
      </c>
      <c r="W31" s="49">
        <v>4.2</v>
      </c>
      <c r="X31" s="50" t="s">
        <v>264</v>
      </c>
      <c r="Y31" s="49">
        <v>8.8000000000000007</v>
      </c>
      <c r="Z31" s="49">
        <v>44.8</v>
      </c>
      <c r="AA31" s="49">
        <v>32</v>
      </c>
      <c r="AB31" s="49">
        <v>12.8</v>
      </c>
      <c r="AC31" s="49" t="s">
        <v>264</v>
      </c>
      <c r="AD31" s="49" t="s">
        <v>264</v>
      </c>
      <c r="AE31" s="49"/>
      <c r="AF31" s="51"/>
      <c r="AG31" s="50" t="s">
        <v>264</v>
      </c>
      <c r="AH31" s="50" t="s">
        <v>264</v>
      </c>
      <c r="AI31" s="49">
        <v>64.900000000000006</v>
      </c>
      <c r="AJ31" s="49"/>
      <c r="AK31" s="49"/>
      <c r="AL31" s="51">
        <v>50</v>
      </c>
      <c r="AM31" s="49">
        <v>29.5</v>
      </c>
      <c r="AN31" s="49">
        <v>20.5</v>
      </c>
      <c r="AO31" s="49">
        <v>2013</v>
      </c>
      <c r="AP31" s="49">
        <v>297.2</v>
      </c>
      <c r="AQ31" s="49">
        <v>64.400000000000006</v>
      </c>
      <c r="AR31" s="49">
        <v>27.7</v>
      </c>
      <c r="AS31" s="50">
        <v>206.5</v>
      </c>
      <c r="AT31" s="50">
        <v>81.3</v>
      </c>
      <c r="AU31" s="50">
        <v>114.1</v>
      </c>
      <c r="AV31" s="50">
        <v>82.5</v>
      </c>
      <c r="AW31" s="50">
        <v>8.9</v>
      </c>
      <c r="AX31" s="50">
        <v>2.2999999999999998</v>
      </c>
      <c r="AY31" s="50" t="s">
        <v>264</v>
      </c>
      <c r="AZ31" s="50" t="s">
        <v>264</v>
      </c>
      <c r="BA31" s="50" t="s">
        <v>264</v>
      </c>
      <c r="BB31" s="50" t="s">
        <v>264</v>
      </c>
      <c r="BC31" s="50"/>
      <c r="BD31" s="52">
        <v>94.1</v>
      </c>
      <c r="BE31" s="52">
        <v>50.7</v>
      </c>
      <c r="BF31" s="52"/>
      <c r="BG31" s="52"/>
      <c r="BH31" s="52"/>
      <c r="BI31" s="52"/>
      <c r="BJ31" s="52"/>
      <c r="BK31" s="52"/>
      <c r="BL31" s="52"/>
      <c r="BM31" s="52">
        <v>478.2</v>
      </c>
      <c r="BN31" s="52"/>
      <c r="BO31" s="52"/>
      <c r="BP31" s="52"/>
      <c r="BQ31" s="52"/>
      <c r="BR31" s="52"/>
      <c r="BS31" s="53">
        <v>391</v>
      </c>
      <c r="BT31" s="52"/>
      <c r="BU31" s="52">
        <v>32.5</v>
      </c>
      <c r="BV31" s="50" t="s">
        <v>264</v>
      </c>
      <c r="BW31" s="50" t="s">
        <v>264</v>
      </c>
      <c r="BX31" s="50">
        <v>399.1</v>
      </c>
      <c r="BY31" s="50" t="s">
        <v>264</v>
      </c>
      <c r="BZ31" s="50" t="s">
        <v>264</v>
      </c>
      <c r="CA31" s="49"/>
      <c r="CB31" s="52"/>
      <c r="CC31" s="52"/>
      <c r="CD31" s="52"/>
      <c r="CE31" s="52"/>
      <c r="CF31" s="52">
        <v>106.1</v>
      </c>
      <c r="CG31" s="52">
        <v>141</v>
      </c>
      <c r="CH31" s="52">
        <v>17.100000000000001</v>
      </c>
      <c r="CI31" s="52"/>
      <c r="CJ31" s="52"/>
      <c r="CK31" s="52"/>
      <c r="CL31" s="52"/>
      <c r="CM31" s="52"/>
      <c r="CN31" s="52">
        <v>48.9</v>
      </c>
      <c r="CO31" s="8">
        <v>140.1</v>
      </c>
      <c r="CP31" s="52" t="s">
        <v>264</v>
      </c>
      <c r="CQ31" s="52" t="s">
        <v>264</v>
      </c>
      <c r="CR31" s="52" t="s">
        <v>264</v>
      </c>
      <c r="CS31" s="52">
        <v>57</v>
      </c>
      <c r="CT31" s="52">
        <v>35.9</v>
      </c>
      <c r="CU31" s="52">
        <v>21.1</v>
      </c>
      <c r="CV31" s="52">
        <v>62.6</v>
      </c>
      <c r="CW31" s="52">
        <v>62.6</v>
      </c>
      <c r="CX31" s="52"/>
      <c r="CY31" s="52" t="s">
        <v>264</v>
      </c>
      <c r="CZ31" s="52">
        <v>24.1</v>
      </c>
      <c r="DA31" s="52">
        <v>25.8</v>
      </c>
      <c r="DB31" s="52">
        <v>14.9</v>
      </c>
      <c r="DC31" s="52">
        <v>10.9</v>
      </c>
      <c r="DD31" s="52"/>
      <c r="DE31" s="52"/>
      <c r="DF31" s="53"/>
      <c r="DG31" s="53">
        <v>141.6</v>
      </c>
      <c r="DH31" s="53">
        <v>114.5</v>
      </c>
      <c r="DI31" s="53">
        <v>577.70000000000005</v>
      </c>
      <c r="DJ31" s="53">
        <v>120.5</v>
      </c>
      <c r="DK31" s="53">
        <v>434.5</v>
      </c>
      <c r="DL31" s="53">
        <v>111.9</v>
      </c>
      <c r="DM31" s="53">
        <v>153.6</v>
      </c>
      <c r="DN31" s="53"/>
      <c r="DO31" s="53">
        <v>130.30000000000001</v>
      </c>
      <c r="DP31" s="53">
        <v>145.30000000000001</v>
      </c>
      <c r="DQ31" s="53">
        <v>67</v>
      </c>
      <c r="DR31" s="53">
        <v>148.30000000000001</v>
      </c>
      <c r="DS31" s="53">
        <v>456.5</v>
      </c>
      <c r="DT31" s="53">
        <v>2601.6999999999998</v>
      </c>
      <c r="DU31" s="53">
        <v>-256.09999999999991</v>
      </c>
      <c r="DV31" s="53">
        <v>0</v>
      </c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FY31" s="52"/>
      <c r="FZ31" s="52"/>
      <c r="GA31" s="52"/>
      <c r="GB31" s="52"/>
      <c r="GC31" s="52"/>
      <c r="GD31" s="52"/>
      <c r="GE31" s="52"/>
      <c r="GF31" s="52"/>
      <c r="GG31" s="52"/>
      <c r="GH31" s="52"/>
      <c r="GI31" s="52"/>
      <c r="GJ31" s="52"/>
      <c r="GK31" s="52"/>
      <c r="GL31" s="52"/>
      <c r="GM31" s="52"/>
      <c r="GN31" s="52"/>
      <c r="GO31" s="52"/>
      <c r="GP31" s="52"/>
      <c r="GQ31" s="52"/>
      <c r="GR31" s="52"/>
      <c r="GS31" s="52"/>
      <c r="GT31" s="52"/>
      <c r="GU31" s="52"/>
      <c r="GV31" s="52"/>
      <c r="GW31" s="52"/>
      <c r="GX31" s="52"/>
      <c r="GY31" s="17"/>
      <c r="GZ31" s="52">
        <v>767.6</v>
      </c>
      <c r="HA31" s="52"/>
      <c r="HB31" s="17"/>
      <c r="HC31" s="17"/>
      <c r="HD31" s="17"/>
      <c r="HE31" s="17"/>
      <c r="HF31" s="52"/>
      <c r="HG31" s="52"/>
      <c r="HH31" s="52"/>
      <c r="HI31" s="52"/>
      <c r="HJ31" s="52"/>
      <c r="HK31" s="52"/>
      <c r="HL31" s="52"/>
      <c r="HM31" s="52"/>
      <c r="HN31" s="52"/>
      <c r="HO31" s="52"/>
      <c r="HP31" s="52"/>
      <c r="HQ31" s="52"/>
      <c r="HR31" s="52"/>
      <c r="HS31" s="52"/>
      <c r="HT31" s="52"/>
      <c r="HU31" s="52"/>
      <c r="HV31" s="52"/>
      <c r="HW31" s="52"/>
      <c r="HX31" s="52"/>
      <c r="HY31" s="52"/>
      <c r="HZ31" s="52"/>
      <c r="IA31" s="52"/>
      <c r="IB31" s="52"/>
      <c r="IC31" s="52"/>
      <c r="ID31" s="52"/>
      <c r="IE31" s="52"/>
      <c r="IF31" s="52"/>
      <c r="IG31" s="52"/>
      <c r="IH31" s="53"/>
      <c r="II31" s="53"/>
      <c r="IJ31" s="53"/>
      <c r="IK31" s="53"/>
      <c r="IL31" s="53"/>
      <c r="IM31" s="52"/>
      <c r="IN31" s="52">
        <v>121.2</v>
      </c>
      <c r="IY31" s="48">
        <f t="shared" si="2"/>
        <v>47.908675097051933</v>
      </c>
      <c r="IZ31" s="48">
        <f>IY31-'NOPA Crush'!J31</f>
        <v>0.60867509705193612</v>
      </c>
      <c r="JB31" s="63">
        <f t="shared" si="0"/>
        <v>10.581927201445209</v>
      </c>
      <c r="JC31" s="64">
        <f>JB31-'NOPA Crush'!O31</f>
        <v>8.1927201445209263E-2</v>
      </c>
      <c r="JD31" s="65"/>
      <c r="JE31" s="67">
        <f t="shared" si="1"/>
        <v>2140.6</v>
      </c>
      <c r="JF31" s="68">
        <f>'NOPA Crush'!Q31/'Census Crush'!JE31</f>
        <v>0.62856208539661784</v>
      </c>
    </row>
    <row r="32" spans="1:266">
      <c r="A32" s="39">
        <v>30011</v>
      </c>
      <c r="B32" s="49">
        <v>2553.5</v>
      </c>
      <c r="C32" s="50">
        <v>2376.4</v>
      </c>
      <c r="D32" s="50">
        <v>482.3</v>
      </c>
      <c r="E32" s="50">
        <v>2165</v>
      </c>
      <c r="F32" s="50">
        <v>21.5</v>
      </c>
      <c r="G32" s="50" t="s">
        <v>264</v>
      </c>
      <c r="H32" s="50" t="s">
        <v>264</v>
      </c>
      <c r="I32" s="50" t="s">
        <v>264</v>
      </c>
      <c r="J32" s="50" t="s">
        <v>264</v>
      </c>
      <c r="K32" s="49">
        <v>912.1</v>
      </c>
      <c r="L32" s="49">
        <v>2141.4</v>
      </c>
      <c r="M32" s="49">
        <v>1779.5</v>
      </c>
      <c r="N32" s="49">
        <v>361.9</v>
      </c>
      <c r="O32" s="50">
        <v>155.9</v>
      </c>
      <c r="P32" s="51">
        <v>152</v>
      </c>
      <c r="Q32" s="49">
        <v>69.5</v>
      </c>
      <c r="R32" s="49">
        <v>82.5</v>
      </c>
      <c r="S32" s="49"/>
      <c r="T32" s="49">
        <v>19.399999999999999</v>
      </c>
      <c r="U32" s="51">
        <v>16.600000000000001</v>
      </c>
      <c r="V32" s="49">
        <v>11.1</v>
      </c>
      <c r="W32" s="49">
        <v>5.5</v>
      </c>
      <c r="X32" s="50" t="s">
        <v>264</v>
      </c>
      <c r="Y32" s="49">
        <v>5.6</v>
      </c>
      <c r="Z32" s="49">
        <v>30.9</v>
      </c>
      <c r="AA32" s="49">
        <v>20.9</v>
      </c>
      <c r="AB32" s="49">
        <v>10</v>
      </c>
      <c r="AC32" s="49" t="s">
        <v>264</v>
      </c>
      <c r="AD32" s="49" t="s">
        <v>264</v>
      </c>
      <c r="AE32" s="49"/>
      <c r="AF32" s="51"/>
      <c r="AG32" s="50" t="s">
        <v>264</v>
      </c>
      <c r="AH32" s="50" t="s">
        <v>264</v>
      </c>
      <c r="AI32" s="49">
        <v>76.400000000000006</v>
      </c>
      <c r="AJ32" s="49"/>
      <c r="AK32" s="49"/>
      <c r="AL32" s="51">
        <v>55.3</v>
      </c>
      <c r="AM32" s="49">
        <v>33.5</v>
      </c>
      <c r="AN32" s="49">
        <v>21.8</v>
      </c>
      <c r="AO32" s="49">
        <v>1986.1</v>
      </c>
      <c r="AP32" s="49">
        <v>163.69999999999999</v>
      </c>
      <c r="AQ32" s="49">
        <v>63.8</v>
      </c>
      <c r="AR32" s="49">
        <v>26.6</v>
      </c>
      <c r="AS32" s="50">
        <v>220.3</v>
      </c>
      <c r="AT32" s="50">
        <v>111.9</v>
      </c>
      <c r="AU32" s="50">
        <v>124.4</v>
      </c>
      <c r="AV32" s="50">
        <v>97.1</v>
      </c>
      <c r="AW32" s="50">
        <v>11.6</v>
      </c>
      <c r="AX32" s="50">
        <v>2.6</v>
      </c>
      <c r="AY32" s="50" t="s">
        <v>264</v>
      </c>
      <c r="AZ32" s="50" t="s">
        <v>264</v>
      </c>
      <c r="BA32" s="50" t="s">
        <v>264</v>
      </c>
      <c r="BB32" s="50" t="s">
        <v>264</v>
      </c>
      <c r="BC32" s="50"/>
      <c r="BD32" s="52">
        <v>99.2</v>
      </c>
      <c r="BE32" s="52">
        <v>50.6</v>
      </c>
      <c r="BF32" s="52"/>
      <c r="BG32" s="52"/>
      <c r="BH32" s="52"/>
      <c r="BI32" s="52"/>
      <c r="BJ32" s="52"/>
      <c r="BK32" s="52"/>
      <c r="BL32" s="52"/>
      <c r="BM32" s="52">
        <v>510.1</v>
      </c>
      <c r="BN32" s="52"/>
      <c r="BO32" s="52"/>
      <c r="BP32" s="52"/>
      <c r="BQ32" s="52"/>
      <c r="BR32" s="52"/>
      <c r="BS32" s="53">
        <v>371.9</v>
      </c>
      <c r="BT32" s="52"/>
      <c r="BU32" s="52">
        <v>34</v>
      </c>
      <c r="BV32" s="50" t="s">
        <v>264</v>
      </c>
      <c r="BW32" s="50" t="s">
        <v>264</v>
      </c>
      <c r="BX32" s="50">
        <v>440.8</v>
      </c>
      <c r="BY32" s="50" t="s">
        <v>264</v>
      </c>
      <c r="BZ32" s="50" t="s">
        <v>264</v>
      </c>
      <c r="CA32" s="49"/>
      <c r="CB32" s="52"/>
      <c r="CC32" s="52"/>
      <c r="CD32" s="52"/>
      <c r="CE32" s="52"/>
      <c r="CF32" s="52">
        <v>122.2</v>
      </c>
      <c r="CG32" s="52">
        <v>154.80000000000001</v>
      </c>
      <c r="CH32" s="52">
        <v>18</v>
      </c>
      <c r="CI32" s="52"/>
      <c r="CJ32" s="52"/>
      <c r="CK32" s="52"/>
      <c r="CL32" s="52"/>
      <c r="CM32" s="52"/>
      <c r="CN32" s="52">
        <v>56.5</v>
      </c>
      <c r="CO32" s="8">
        <v>116.8</v>
      </c>
      <c r="CP32" s="52" t="s">
        <v>264</v>
      </c>
      <c r="CQ32" s="52" t="s">
        <v>264</v>
      </c>
      <c r="CR32" s="52" t="s">
        <v>264</v>
      </c>
      <c r="CS32" s="52">
        <v>64.599999999999994</v>
      </c>
      <c r="CT32" s="52">
        <v>41.6</v>
      </c>
      <c r="CU32" s="52">
        <v>23</v>
      </c>
      <c r="CV32" s="52">
        <v>64.099999999999994</v>
      </c>
      <c r="CW32" s="52">
        <v>64.099999999999994</v>
      </c>
      <c r="CX32" s="52"/>
      <c r="CY32" s="52">
        <v>14.6</v>
      </c>
      <c r="CZ32" s="52">
        <v>28.6</v>
      </c>
      <c r="DA32" s="52">
        <v>18.5</v>
      </c>
      <c r="DB32" s="52">
        <v>11.2</v>
      </c>
      <c r="DC32" s="52">
        <v>7.3</v>
      </c>
      <c r="DD32" s="52"/>
      <c r="DE32" s="52"/>
      <c r="DF32" s="53"/>
      <c r="DG32" s="53">
        <v>124.6</v>
      </c>
      <c r="DH32" s="53">
        <v>122.6</v>
      </c>
      <c r="DI32" s="53">
        <v>579.5</v>
      </c>
      <c r="DJ32" s="53">
        <v>123.5</v>
      </c>
      <c r="DK32" s="53">
        <v>406.1</v>
      </c>
      <c r="DL32" s="53">
        <v>121.9</v>
      </c>
      <c r="DM32" s="53">
        <v>167.6</v>
      </c>
      <c r="DN32" s="53"/>
      <c r="DO32" s="53">
        <v>122.5</v>
      </c>
      <c r="DP32" s="53">
        <v>151.69999999999999</v>
      </c>
      <c r="DQ32" s="53">
        <v>54.1</v>
      </c>
      <c r="DR32" s="53">
        <v>101.3</v>
      </c>
      <c r="DS32" s="53">
        <v>478.1</v>
      </c>
      <c r="DT32" s="53">
        <v>2553.5</v>
      </c>
      <c r="DU32" s="53">
        <v>-247.20000000000027</v>
      </c>
      <c r="DV32" s="53">
        <v>0</v>
      </c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52"/>
      <c r="FV32" s="52"/>
      <c r="FW32" s="52"/>
      <c r="FX32" s="52"/>
      <c r="FY32" s="52"/>
      <c r="FZ32" s="52"/>
      <c r="GA32" s="52"/>
      <c r="GB32" s="52"/>
      <c r="GC32" s="52"/>
      <c r="GD32" s="52"/>
      <c r="GE32" s="52"/>
      <c r="GF32" s="52"/>
      <c r="GG32" s="52"/>
      <c r="GH32" s="52"/>
      <c r="GI32" s="52"/>
      <c r="GJ32" s="52"/>
      <c r="GK32" s="52"/>
      <c r="GL32" s="52"/>
      <c r="GM32" s="52"/>
      <c r="GN32" s="52"/>
      <c r="GO32" s="52"/>
      <c r="GP32" s="52"/>
      <c r="GQ32" s="52"/>
      <c r="GR32" s="52"/>
      <c r="GS32" s="52"/>
      <c r="GT32" s="52"/>
      <c r="GU32" s="52"/>
      <c r="GV32" s="52"/>
      <c r="GW32" s="52"/>
      <c r="GX32" s="52"/>
      <c r="GY32" s="17"/>
      <c r="GZ32" s="52">
        <v>866.4</v>
      </c>
      <c r="HA32" s="52"/>
      <c r="HB32" s="17"/>
      <c r="HC32" s="17"/>
      <c r="HD32" s="17"/>
      <c r="HE32" s="17"/>
      <c r="HF32" s="52"/>
      <c r="HG32" s="52"/>
      <c r="HH32" s="52"/>
      <c r="HI32" s="52"/>
      <c r="HJ32" s="52"/>
      <c r="HK32" s="52"/>
      <c r="HL32" s="52"/>
      <c r="HM32" s="52"/>
      <c r="HN32" s="52"/>
      <c r="HO32" s="52"/>
      <c r="HP32" s="52"/>
      <c r="HQ32" s="52"/>
      <c r="HR32" s="52"/>
      <c r="HS32" s="52"/>
      <c r="HT32" s="52"/>
      <c r="HU32" s="52"/>
      <c r="HV32" s="52"/>
      <c r="HW32" s="52"/>
      <c r="HX32" s="52"/>
      <c r="HY32" s="52"/>
      <c r="HZ32" s="52"/>
      <c r="IA32" s="52"/>
      <c r="IB32" s="52"/>
      <c r="IC32" s="52"/>
      <c r="ID32" s="52"/>
      <c r="IE32" s="52"/>
      <c r="IF32" s="52"/>
      <c r="IG32" s="52"/>
      <c r="IH32" s="53"/>
      <c r="II32" s="53"/>
      <c r="IJ32" s="53"/>
      <c r="IK32" s="53"/>
      <c r="IL32" s="53"/>
      <c r="IM32" s="52"/>
      <c r="IN32" s="52">
        <v>135.69999999999999</v>
      </c>
      <c r="IY32" s="48">
        <f t="shared" si="2"/>
        <v>48.166829841394168</v>
      </c>
      <c r="IZ32" s="48">
        <f>IY32-'NOPA Crush'!J32</f>
        <v>0.46682984139416561</v>
      </c>
      <c r="JB32" s="63">
        <f t="shared" si="0"/>
        <v>10.715880164480126</v>
      </c>
      <c r="JC32" s="64">
        <f>JB32-'NOPA Crush'!O32</f>
        <v>1.5880164480126524E-2</v>
      </c>
      <c r="JD32" s="65"/>
      <c r="JE32" s="67">
        <f t="shared" si="1"/>
        <v>2141.4</v>
      </c>
      <c r="JF32" s="68">
        <f>'NOPA Crush'!Q32/'Census Crush'!JE32</f>
        <v>0.61324367236387411</v>
      </c>
    </row>
    <row r="33" spans="1:266">
      <c r="A33" s="39">
        <v>30042</v>
      </c>
      <c r="B33" s="49">
        <v>2429.1</v>
      </c>
      <c r="C33" s="50">
        <v>2167.1</v>
      </c>
      <c r="D33" s="50">
        <v>424.1</v>
      </c>
      <c r="E33" s="50">
        <v>1779.2</v>
      </c>
      <c r="F33" s="50">
        <v>31.1</v>
      </c>
      <c r="G33" s="50">
        <v>37</v>
      </c>
      <c r="H33" s="50" t="s">
        <v>264</v>
      </c>
      <c r="I33" s="50" t="s">
        <v>264</v>
      </c>
      <c r="J33" s="50" t="s">
        <v>264</v>
      </c>
      <c r="K33" s="49">
        <v>866.8</v>
      </c>
      <c r="L33" s="49">
        <v>2111.6</v>
      </c>
      <c r="M33" s="49">
        <v>1727.4</v>
      </c>
      <c r="N33" s="49">
        <v>384.2</v>
      </c>
      <c r="O33" s="50">
        <v>138.4</v>
      </c>
      <c r="P33" s="51">
        <v>160.10000000000002</v>
      </c>
      <c r="Q33" s="49">
        <v>66.2</v>
      </c>
      <c r="R33" s="49">
        <v>93.9</v>
      </c>
      <c r="S33" s="49"/>
      <c r="T33" s="49">
        <v>26.3</v>
      </c>
      <c r="U33" s="51">
        <v>34.699999999999996</v>
      </c>
      <c r="V33" s="49">
        <v>28.9</v>
      </c>
      <c r="W33" s="49">
        <v>5.8</v>
      </c>
      <c r="X33" s="49">
        <v>28.5</v>
      </c>
      <c r="Y33" s="49">
        <v>13.2</v>
      </c>
      <c r="Z33" s="49">
        <v>41.2</v>
      </c>
      <c r="AA33" s="49">
        <v>27.2</v>
      </c>
      <c r="AB33" s="49">
        <v>14</v>
      </c>
      <c r="AC33" s="49" t="s">
        <v>264</v>
      </c>
      <c r="AD33" s="49" t="s">
        <v>264</v>
      </c>
      <c r="AE33" s="49"/>
      <c r="AF33" s="51"/>
      <c r="AG33" s="50" t="s">
        <v>264</v>
      </c>
      <c r="AH33" s="50" t="s">
        <v>264</v>
      </c>
      <c r="AI33" s="49">
        <v>71.599999999999994</v>
      </c>
      <c r="AJ33" s="49"/>
      <c r="AK33" s="49"/>
      <c r="AL33" s="51">
        <v>64.3</v>
      </c>
      <c r="AM33" s="49">
        <v>40.9</v>
      </c>
      <c r="AN33" s="49">
        <v>23.4</v>
      </c>
      <c r="AO33" s="49">
        <v>1863.5</v>
      </c>
      <c r="AP33" s="49">
        <v>144.30000000000001</v>
      </c>
      <c r="AQ33" s="49">
        <v>67</v>
      </c>
      <c r="AR33" s="49">
        <v>27.9</v>
      </c>
      <c r="AS33" s="50">
        <v>195.3</v>
      </c>
      <c r="AT33" s="50">
        <v>151.4</v>
      </c>
      <c r="AU33" s="50">
        <v>110.4</v>
      </c>
      <c r="AV33" s="50">
        <v>99.8</v>
      </c>
      <c r="AW33" s="50">
        <v>17</v>
      </c>
      <c r="AX33" s="50">
        <v>6</v>
      </c>
      <c r="AY33" s="50">
        <v>21.9</v>
      </c>
      <c r="AZ33" s="50">
        <v>4.0999999999999996</v>
      </c>
      <c r="BA33" s="50" t="s">
        <v>264</v>
      </c>
      <c r="BB33" s="50" t="s">
        <v>264</v>
      </c>
      <c r="BC33" s="50"/>
      <c r="BD33" s="52">
        <v>85.7</v>
      </c>
      <c r="BE33" s="52">
        <v>38.799999999999997</v>
      </c>
      <c r="BF33" s="52"/>
      <c r="BG33" s="52"/>
      <c r="BH33" s="52"/>
      <c r="BI33" s="52"/>
      <c r="BJ33" s="52"/>
      <c r="BK33" s="52"/>
      <c r="BL33" s="52"/>
      <c r="BM33" s="52">
        <v>498.7</v>
      </c>
      <c r="BN33" s="52"/>
      <c r="BO33" s="52"/>
      <c r="BP33" s="52"/>
      <c r="BQ33" s="52"/>
      <c r="BR33" s="52"/>
      <c r="BS33" s="53">
        <v>345.4</v>
      </c>
      <c r="BT33" s="52"/>
      <c r="BU33" s="52">
        <v>32.700000000000003</v>
      </c>
      <c r="BV33" s="50" t="s">
        <v>264</v>
      </c>
      <c r="BW33" s="50" t="s">
        <v>264</v>
      </c>
      <c r="BX33" s="50">
        <v>425.7</v>
      </c>
      <c r="BY33" s="50" t="s">
        <v>264</v>
      </c>
      <c r="BZ33" s="50" t="s">
        <v>264</v>
      </c>
      <c r="CA33" s="49"/>
      <c r="CB33" s="52"/>
      <c r="CC33" s="52"/>
      <c r="CD33" s="52"/>
      <c r="CE33" s="52"/>
      <c r="CF33" s="52">
        <v>104.5</v>
      </c>
      <c r="CG33" s="52">
        <v>174.6</v>
      </c>
      <c r="CH33" s="52">
        <v>18.100000000000001</v>
      </c>
      <c r="CI33" s="52"/>
      <c r="CJ33" s="52"/>
      <c r="CK33" s="52"/>
      <c r="CL33" s="52"/>
      <c r="CM33" s="52"/>
      <c r="CN33" s="52">
        <v>56.7</v>
      </c>
      <c r="CO33" s="8">
        <v>108.9</v>
      </c>
      <c r="CP33" s="52" t="s">
        <v>264</v>
      </c>
      <c r="CQ33" s="52" t="s">
        <v>264</v>
      </c>
      <c r="CR33" s="52" t="s">
        <v>264</v>
      </c>
      <c r="CS33" s="52">
        <v>66.7</v>
      </c>
      <c r="CT33" s="52">
        <v>46</v>
      </c>
      <c r="CU33" s="52">
        <v>20.7</v>
      </c>
      <c r="CV33" s="52">
        <v>53.4</v>
      </c>
      <c r="CW33" s="52">
        <v>53.4</v>
      </c>
      <c r="CX33" s="52"/>
      <c r="CY33" s="52">
        <v>13.3</v>
      </c>
      <c r="CZ33" s="52">
        <v>27.7</v>
      </c>
      <c r="DA33" s="52">
        <v>15.399999999999999</v>
      </c>
      <c r="DB33" s="52">
        <v>9.6999999999999993</v>
      </c>
      <c r="DC33" s="52">
        <v>5.7</v>
      </c>
      <c r="DD33" s="52"/>
      <c r="DE33" s="52"/>
      <c r="DF33" s="53"/>
      <c r="DG33" s="53">
        <v>111.9</v>
      </c>
      <c r="DH33" s="53">
        <v>123.1</v>
      </c>
      <c r="DI33" s="53">
        <v>553.1</v>
      </c>
      <c r="DJ33" s="53">
        <v>129.1</v>
      </c>
      <c r="DK33" s="53">
        <v>374</v>
      </c>
      <c r="DL33" s="53">
        <v>101.6</v>
      </c>
      <c r="DM33" s="53">
        <v>174</v>
      </c>
      <c r="DN33" s="53"/>
      <c r="DO33" s="53">
        <v>115.5</v>
      </c>
      <c r="DP33" s="53">
        <v>149.80000000000001</v>
      </c>
      <c r="DQ33" s="53">
        <v>49.2</v>
      </c>
      <c r="DR33" s="53">
        <v>102.3</v>
      </c>
      <c r="DS33" s="53">
        <v>445.5</v>
      </c>
      <c r="DT33" s="53">
        <v>2429.1</v>
      </c>
      <c r="DU33" s="53">
        <v>-235</v>
      </c>
      <c r="DV33" s="53">
        <v>0</v>
      </c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2"/>
      <c r="FQ33" s="52"/>
      <c r="FR33" s="52"/>
      <c r="FS33" s="52"/>
      <c r="FT33" s="52"/>
      <c r="FU33" s="52"/>
      <c r="FV33" s="52"/>
      <c r="FW33" s="52"/>
      <c r="FX33" s="52"/>
      <c r="FY33" s="52"/>
      <c r="FZ33" s="52"/>
      <c r="GA33" s="52"/>
      <c r="GB33" s="52"/>
      <c r="GC33" s="52"/>
      <c r="GD33" s="52"/>
      <c r="GE33" s="52"/>
      <c r="GF33" s="52"/>
      <c r="GG33" s="52"/>
      <c r="GH33" s="52"/>
      <c r="GI33" s="52"/>
      <c r="GJ33" s="52"/>
      <c r="GK33" s="52"/>
      <c r="GL33" s="52"/>
      <c r="GM33" s="52"/>
      <c r="GN33" s="52"/>
      <c r="GO33" s="52"/>
      <c r="GP33" s="52"/>
      <c r="GQ33" s="52"/>
      <c r="GR33" s="52"/>
      <c r="GS33" s="52"/>
      <c r="GT33" s="52"/>
      <c r="GU33" s="52"/>
      <c r="GV33" s="52"/>
      <c r="GW33" s="52"/>
      <c r="GX33" s="52"/>
      <c r="GY33" s="17"/>
      <c r="GZ33" s="52">
        <v>754.5</v>
      </c>
      <c r="HA33" s="52"/>
      <c r="HB33" s="17"/>
      <c r="HC33" s="17"/>
      <c r="HD33" s="17"/>
      <c r="HE33" s="17"/>
      <c r="HF33" s="52"/>
      <c r="HG33" s="52"/>
      <c r="HH33" s="52"/>
      <c r="HI33" s="52"/>
      <c r="HJ33" s="52"/>
      <c r="HK33" s="52"/>
      <c r="HL33" s="52"/>
      <c r="HM33" s="52"/>
      <c r="HN33" s="52"/>
      <c r="HO33" s="52"/>
      <c r="HP33" s="52"/>
      <c r="HQ33" s="52"/>
      <c r="HR33" s="52"/>
      <c r="HS33" s="52"/>
      <c r="HT33" s="52"/>
      <c r="HU33" s="52"/>
      <c r="HV33" s="52"/>
      <c r="HW33" s="52"/>
      <c r="HX33" s="52"/>
      <c r="HY33" s="52"/>
      <c r="HZ33" s="52"/>
      <c r="IA33" s="52"/>
      <c r="IB33" s="52"/>
      <c r="IC33" s="52"/>
      <c r="ID33" s="52"/>
      <c r="IE33" s="52"/>
      <c r="IF33" s="52"/>
      <c r="IG33" s="52"/>
      <c r="IH33" s="53"/>
      <c r="II33" s="53"/>
      <c r="IJ33" s="53"/>
      <c r="IK33" s="53"/>
      <c r="IL33" s="53"/>
      <c r="IM33" s="52"/>
      <c r="IN33" s="52">
        <v>124.9</v>
      </c>
      <c r="IY33" s="48">
        <f t="shared" si="2"/>
        <v>47.684327528714341</v>
      </c>
      <c r="IZ33" s="48">
        <f>IY33-'NOPA Crush'!J33</f>
        <v>0.28432752871434275</v>
      </c>
      <c r="JB33" s="63">
        <f t="shared" si="0"/>
        <v>10.70519945658886</v>
      </c>
      <c r="JC33" s="64">
        <f>JB33-'NOPA Crush'!O33</f>
        <v>0.10519945658885987</v>
      </c>
      <c r="JD33" s="65"/>
      <c r="JE33" s="67">
        <f t="shared" si="1"/>
        <v>2111.6</v>
      </c>
      <c r="JF33" s="68">
        <f>'NOPA Crush'!Q33/'Census Crush'!JE33</f>
        <v>0.5995453684409926</v>
      </c>
    </row>
    <row r="34" spans="1:266">
      <c r="A34" s="39">
        <v>30072</v>
      </c>
      <c r="B34" s="49">
        <v>2597.3000000000002</v>
      </c>
      <c r="C34" s="50">
        <v>1823.8</v>
      </c>
      <c r="D34" s="50">
        <v>426.7</v>
      </c>
      <c r="E34" s="50">
        <v>1449.8</v>
      </c>
      <c r="F34" s="50">
        <v>27.7</v>
      </c>
      <c r="G34" s="50" t="s">
        <v>264</v>
      </c>
      <c r="H34" s="50">
        <v>8</v>
      </c>
      <c r="I34" s="50" t="s">
        <v>264</v>
      </c>
      <c r="J34" s="50" t="s">
        <v>264</v>
      </c>
      <c r="K34" s="49">
        <v>930.2</v>
      </c>
      <c r="L34" s="49">
        <v>2017.6999999999998</v>
      </c>
      <c r="M34" s="49">
        <v>1647.1</v>
      </c>
      <c r="N34" s="49">
        <v>370.6</v>
      </c>
      <c r="O34" s="50">
        <v>140.1</v>
      </c>
      <c r="P34" s="51">
        <v>147.80000000000001</v>
      </c>
      <c r="Q34" s="49">
        <v>58.9</v>
      </c>
      <c r="R34" s="49">
        <v>88.9</v>
      </c>
      <c r="S34" s="49"/>
      <c r="T34" s="49">
        <v>22.3</v>
      </c>
      <c r="U34" s="51">
        <v>46.4</v>
      </c>
      <c r="V34" s="49">
        <v>39.5</v>
      </c>
      <c r="W34" s="49">
        <v>6.9</v>
      </c>
      <c r="X34" s="50" t="s">
        <v>264</v>
      </c>
      <c r="Y34" s="49">
        <v>10.8</v>
      </c>
      <c r="Z34" s="49">
        <v>29.4</v>
      </c>
      <c r="AA34" s="49">
        <v>14.4</v>
      </c>
      <c r="AB34" s="49">
        <v>15</v>
      </c>
      <c r="AC34" s="49" t="s">
        <v>264</v>
      </c>
      <c r="AD34" s="49" t="s">
        <v>264</v>
      </c>
      <c r="AE34" s="49"/>
      <c r="AF34" s="51"/>
      <c r="AG34" s="50" t="s">
        <v>264</v>
      </c>
      <c r="AH34" s="50" t="s">
        <v>264</v>
      </c>
      <c r="AI34" s="49">
        <v>77.099999999999994</v>
      </c>
      <c r="AJ34" s="49"/>
      <c r="AK34" s="49"/>
      <c r="AL34" s="51">
        <v>70.900000000000006</v>
      </c>
      <c r="AM34" s="49">
        <v>45.2</v>
      </c>
      <c r="AN34" s="49">
        <v>25.7</v>
      </c>
      <c r="AO34" s="49">
        <v>1990.5</v>
      </c>
      <c r="AP34" s="49">
        <v>273.2</v>
      </c>
      <c r="AQ34" s="49">
        <v>75.599999999999994</v>
      </c>
      <c r="AR34" s="49">
        <v>36.1</v>
      </c>
      <c r="AS34" s="50">
        <v>195.9</v>
      </c>
      <c r="AT34" s="50">
        <v>189.2</v>
      </c>
      <c r="AU34" s="50">
        <v>110.6</v>
      </c>
      <c r="AV34" s="50">
        <v>115.5</v>
      </c>
      <c r="AW34" s="50">
        <v>15.5</v>
      </c>
      <c r="AX34" s="50">
        <v>5.5</v>
      </c>
      <c r="AY34" s="50" t="s">
        <v>264</v>
      </c>
      <c r="AZ34" s="50" t="s">
        <v>264</v>
      </c>
      <c r="BA34" s="50" t="s">
        <v>264</v>
      </c>
      <c r="BB34" s="50" t="s">
        <v>264</v>
      </c>
      <c r="BC34" s="50"/>
      <c r="BD34" s="52">
        <v>89.1</v>
      </c>
      <c r="BE34" s="52">
        <v>38.700000000000003</v>
      </c>
      <c r="BF34" s="52"/>
      <c r="BG34" s="52"/>
      <c r="BH34" s="52"/>
      <c r="BI34" s="52"/>
      <c r="BJ34" s="52"/>
      <c r="BK34" s="52"/>
      <c r="BL34" s="52"/>
      <c r="BM34" s="52">
        <v>473.6</v>
      </c>
      <c r="BN34" s="52"/>
      <c r="BO34" s="52"/>
      <c r="BP34" s="52"/>
      <c r="BQ34" s="52"/>
      <c r="BR34" s="52"/>
      <c r="BS34" s="53">
        <v>349.2</v>
      </c>
      <c r="BT34" s="52"/>
      <c r="BU34" s="52">
        <v>31.8</v>
      </c>
      <c r="BV34" s="50" t="s">
        <v>264</v>
      </c>
      <c r="BW34" s="50" t="s">
        <v>264</v>
      </c>
      <c r="BX34" s="50">
        <v>400.5</v>
      </c>
      <c r="BY34" s="50" t="s">
        <v>264</v>
      </c>
      <c r="BZ34" s="50" t="s">
        <v>264</v>
      </c>
      <c r="CA34" s="49"/>
      <c r="CB34" s="52"/>
      <c r="CC34" s="52"/>
      <c r="CD34" s="52"/>
      <c r="CE34" s="52"/>
      <c r="CF34" s="52">
        <v>104</v>
      </c>
      <c r="CG34" s="52">
        <v>181.9</v>
      </c>
      <c r="CH34" s="52">
        <v>20</v>
      </c>
      <c r="CI34" s="52"/>
      <c r="CJ34" s="52"/>
      <c r="CK34" s="52"/>
      <c r="CL34" s="52"/>
      <c r="CM34" s="52"/>
      <c r="CN34" s="52">
        <v>52.7</v>
      </c>
      <c r="CO34" s="8">
        <v>130</v>
      </c>
      <c r="CP34" s="52" t="s">
        <v>264</v>
      </c>
      <c r="CQ34" s="52" t="s">
        <v>264</v>
      </c>
      <c r="CR34" s="52" t="s">
        <v>264</v>
      </c>
      <c r="CS34" s="52">
        <v>50.4</v>
      </c>
      <c r="CT34" s="52">
        <v>32.4</v>
      </c>
      <c r="CU34" s="52">
        <v>18</v>
      </c>
      <c r="CV34" s="52">
        <v>48.6</v>
      </c>
      <c r="CW34" s="52">
        <v>48.6</v>
      </c>
      <c r="CX34" s="52"/>
      <c r="CY34" s="52">
        <v>14.8</v>
      </c>
      <c r="CZ34" s="52">
        <v>25.5</v>
      </c>
      <c r="DA34" s="52">
        <v>14.6</v>
      </c>
      <c r="DB34" s="52">
        <v>9.6999999999999993</v>
      </c>
      <c r="DC34" s="52">
        <v>4.9000000000000004</v>
      </c>
      <c r="DD34" s="52"/>
      <c r="DE34" s="52"/>
      <c r="DF34" s="53"/>
      <c r="DG34" s="53">
        <v>134.9</v>
      </c>
      <c r="DH34" s="53">
        <v>113.3</v>
      </c>
      <c r="DI34" s="53">
        <v>608.1</v>
      </c>
      <c r="DJ34" s="53">
        <v>129.30000000000001</v>
      </c>
      <c r="DK34" s="53">
        <v>391.3</v>
      </c>
      <c r="DL34" s="53"/>
      <c r="DM34" s="53">
        <v>198.4</v>
      </c>
      <c r="DN34" s="53"/>
      <c r="DO34" s="53">
        <v>165.7</v>
      </c>
      <c r="DP34" s="53">
        <v>161</v>
      </c>
      <c r="DQ34" s="53">
        <v>57.1</v>
      </c>
      <c r="DR34" s="53">
        <v>112.8</v>
      </c>
      <c r="DS34" s="53">
        <v>525.4</v>
      </c>
      <c r="DT34" s="53">
        <v>2597.3000000000002</v>
      </c>
      <c r="DU34" s="53">
        <v>-248.20000000000027</v>
      </c>
      <c r="DV34" s="53">
        <v>0</v>
      </c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2"/>
      <c r="FF34" s="52"/>
      <c r="FG34" s="52"/>
      <c r="FH34" s="52"/>
      <c r="FI34" s="52"/>
      <c r="FJ34" s="52"/>
      <c r="FK34" s="52"/>
      <c r="FL34" s="52"/>
      <c r="FM34" s="52"/>
      <c r="FN34" s="52"/>
      <c r="FO34" s="52"/>
      <c r="FP34" s="52"/>
      <c r="FQ34" s="52"/>
      <c r="FR34" s="52"/>
      <c r="FS34" s="52"/>
      <c r="FT34" s="52"/>
      <c r="FU34" s="52"/>
      <c r="FV34" s="52"/>
      <c r="FW34" s="52"/>
      <c r="FX34" s="52"/>
      <c r="FY34" s="52"/>
      <c r="FZ34" s="52"/>
      <c r="GA34" s="52"/>
      <c r="GB34" s="52"/>
      <c r="GC34" s="52"/>
      <c r="GD34" s="52"/>
      <c r="GE34" s="52"/>
      <c r="GF34" s="52"/>
      <c r="GG34" s="52"/>
      <c r="GH34" s="52"/>
      <c r="GI34" s="52"/>
      <c r="GJ34" s="52"/>
      <c r="GK34" s="52"/>
      <c r="GL34" s="52"/>
      <c r="GM34" s="52"/>
      <c r="GN34" s="52"/>
      <c r="GO34" s="52"/>
      <c r="GP34" s="52"/>
      <c r="GQ34" s="52"/>
      <c r="GR34" s="52"/>
      <c r="GS34" s="52"/>
      <c r="GT34" s="52"/>
      <c r="GU34" s="52"/>
      <c r="GV34" s="52"/>
      <c r="GW34" s="52"/>
      <c r="GX34" s="52"/>
      <c r="GY34" s="17"/>
      <c r="GZ34" s="52">
        <v>817.3</v>
      </c>
      <c r="HA34" s="52"/>
      <c r="HB34" s="17"/>
      <c r="HC34" s="17"/>
      <c r="HD34" s="17"/>
      <c r="HE34" s="17"/>
      <c r="HF34" s="52"/>
      <c r="HG34" s="52"/>
      <c r="HH34" s="52"/>
      <c r="HI34" s="52"/>
      <c r="HJ34" s="52"/>
      <c r="HK34" s="52"/>
      <c r="HL34" s="52"/>
      <c r="HM34" s="52"/>
      <c r="HN34" s="52"/>
      <c r="HO34" s="52"/>
      <c r="HP34" s="52"/>
      <c r="HQ34" s="52"/>
      <c r="HR34" s="52"/>
      <c r="HS34" s="52"/>
      <c r="HT34" s="52"/>
      <c r="HU34" s="52"/>
      <c r="HV34" s="52"/>
      <c r="HW34" s="52"/>
      <c r="HX34" s="52"/>
      <c r="HY34" s="52"/>
      <c r="HZ34" s="52"/>
      <c r="IA34" s="52"/>
      <c r="IB34" s="52"/>
      <c r="IC34" s="52"/>
      <c r="ID34" s="52"/>
      <c r="IE34" s="52"/>
      <c r="IF34" s="52"/>
      <c r="IG34" s="52"/>
      <c r="IH34" s="53"/>
      <c r="II34" s="53"/>
      <c r="IJ34" s="53"/>
      <c r="IK34" s="53"/>
      <c r="IL34" s="53"/>
      <c r="IM34" s="52"/>
      <c r="IN34" s="52">
        <v>128.9</v>
      </c>
      <c r="IY34" s="48">
        <f t="shared" si="2"/>
        <v>47.728795287413853</v>
      </c>
      <c r="IZ34" s="48">
        <f>IY34-'NOPA Crush'!J34</f>
        <v>-7.1204712586144581E-2</v>
      </c>
      <c r="JB34" s="63">
        <f t="shared" si="0"/>
        <v>10.744234397258692</v>
      </c>
      <c r="JC34" s="64">
        <f>JB34-'NOPA Crush'!O34</f>
        <v>4.4234397258692937E-2</v>
      </c>
      <c r="JD34" s="65"/>
      <c r="JE34" s="67">
        <f t="shared" si="1"/>
        <v>2017.6999999999998</v>
      </c>
      <c r="JF34" s="68">
        <f>'NOPA Crush'!Q34/'Census Crush'!JE34</f>
        <v>0.60266640233929725</v>
      </c>
    </row>
    <row r="35" spans="1:266">
      <c r="A35" s="39">
        <v>30103</v>
      </c>
      <c r="B35" s="49">
        <v>2313</v>
      </c>
      <c r="C35" s="50">
        <v>1536</v>
      </c>
      <c r="D35" s="50">
        <v>357.1</v>
      </c>
      <c r="E35" s="50">
        <v>1086.7</v>
      </c>
      <c r="F35" s="50">
        <v>22.5</v>
      </c>
      <c r="G35" s="50" t="s">
        <v>264</v>
      </c>
      <c r="H35" s="50" t="s">
        <v>264</v>
      </c>
      <c r="I35" s="50" t="s">
        <v>264</v>
      </c>
      <c r="J35" s="50" t="s">
        <v>264</v>
      </c>
      <c r="K35" s="49">
        <v>828.4</v>
      </c>
      <c r="L35" s="49">
        <v>1889.3999999999999</v>
      </c>
      <c r="M35" s="49">
        <v>1532.1</v>
      </c>
      <c r="N35" s="49">
        <v>357.3</v>
      </c>
      <c r="O35" s="50">
        <v>117.5</v>
      </c>
      <c r="P35" s="51">
        <v>144.5</v>
      </c>
      <c r="Q35" s="49">
        <v>52.5</v>
      </c>
      <c r="R35" s="49">
        <v>92</v>
      </c>
      <c r="S35" s="49"/>
      <c r="T35" s="49">
        <v>19</v>
      </c>
      <c r="U35" s="51">
        <v>50.9</v>
      </c>
      <c r="V35" s="49">
        <v>46.5</v>
      </c>
      <c r="W35" s="49">
        <v>4.4000000000000004</v>
      </c>
      <c r="X35" s="50" t="s">
        <v>264</v>
      </c>
      <c r="Y35" s="49">
        <v>7.1</v>
      </c>
      <c r="Z35" s="49">
        <v>27.799999999999997</v>
      </c>
      <c r="AA35" s="49">
        <v>13.1</v>
      </c>
      <c r="AB35" s="49">
        <v>14.7</v>
      </c>
      <c r="AC35" s="49" t="s">
        <v>264</v>
      </c>
      <c r="AD35" s="49" t="s">
        <v>264</v>
      </c>
      <c r="AE35" s="49"/>
      <c r="AF35" s="51"/>
      <c r="AG35" s="50" t="s">
        <v>264</v>
      </c>
      <c r="AH35" s="50" t="s">
        <v>264</v>
      </c>
      <c r="AI35" s="49">
        <v>73.900000000000006</v>
      </c>
      <c r="AJ35" s="49"/>
      <c r="AK35" s="49"/>
      <c r="AL35" s="51">
        <v>54</v>
      </c>
      <c r="AM35" s="49">
        <v>29</v>
      </c>
      <c r="AN35" s="49">
        <v>25</v>
      </c>
      <c r="AO35" s="49">
        <v>1778.6</v>
      </c>
      <c r="AP35" s="49">
        <v>193.4</v>
      </c>
      <c r="AQ35" s="49">
        <v>65.7</v>
      </c>
      <c r="AR35" s="49">
        <v>31.5</v>
      </c>
      <c r="AS35" s="50">
        <v>164.4</v>
      </c>
      <c r="AT35" s="50">
        <v>209.3</v>
      </c>
      <c r="AU35" s="50">
        <v>96.1</v>
      </c>
      <c r="AV35" s="50">
        <v>100.8</v>
      </c>
      <c r="AW35" s="50">
        <v>12.2</v>
      </c>
      <c r="AX35" s="50">
        <v>3.2</v>
      </c>
      <c r="AY35" s="50" t="s">
        <v>264</v>
      </c>
      <c r="AZ35" s="50" t="s">
        <v>264</v>
      </c>
      <c r="BA35" s="50" t="s">
        <v>264</v>
      </c>
      <c r="BB35" s="50" t="s">
        <v>264</v>
      </c>
      <c r="BC35" s="50"/>
      <c r="BD35" s="52">
        <v>89</v>
      </c>
      <c r="BE35" s="52">
        <v>43.7</v>
      </c>
      <c r="BF35" s="52"/>
      <c r="BG35" s="52"/>
      <c r="BH35" s="52"/>
      <c r="BI35" s="52"/>
      <c r="BJ35" s="52"/>
      <c r="BK35" s="52"/>
      <c r="BL35" s="52"/>
      <c r="BM35" s="52">
        <v>489.6</v>
      </c>
      <c r="BN35" s="52"/>
      <c r="BO35" s="52"/>
      <c r="BP35" s="52"/>
      <c r="BQ35" s="52"/>
      <c r="BR35" s="52"/>
      <c r="BS35" s="53">
        <v>339.6</v>
      </c>
      <c r="BT35" s="52"/>
      <c r="BU35" s="52">
        <v>31.4</v>
      </c>
      <c r="BV35" s="50" t="s">
        <v>264</v>
      </c>
      <c r="BW35" s="50" t="s">
        <v>264</v>
      </c>
      <c r="BX35" s="50">
        <v>397</v>
      </c>
      <c r="BY35" s="50" t="s">
        <v>264</v>
      </c>
      <c r="BZ35" s="50" t="s">
        <v>264</v>
      </c>
      <c r="CA35" s="49"/>
      <c r="CB35" s="52"/>
      <c r="CC35" s="52"/>
      <c r="CD35" s="52"/>
      <c r="CE35" s="52"/>
      <c r="CF35" s="52">
        <v>98.2</v>
      </c>
      <c r="CG35" s="52">
        <v>179.6</v>
      </c>
      <c r="CH35" s="52">
        <v>20.2</v>
      </c>
      <c r="CI35" s="52"/>
      <c r="CJ35" s="52"/>
      <c r="CK35" s="52"/>
      <c r="CL35" s="52"/>
      <c r="CM35" s="52"/>
      <c r="CN35" s="52">
        <v>53</v>
      </c>
      <c r="CO35" s="8">
        <v>153</v>
      </c>
      <c r="CP35" s="52" t="s">
        <v>264</v>
      </c>
      <c r="CQ35" s="52" t="s">
        <v>264</v>
      </c>
      <c r="CR35" s="52" t="s">
        <v>264</v>
      </c>
      <c r="CS35" s="52">
        <v>37.4</v>
      </c>
      <c r="CT35" s="52">
        <v>28.5</v>
      </c>
      <c r="CU35" s="52">
        <v>8.9</v>
      </c>
      <c r="CV35" s="52">
        <v>47.5</v>
      </c>
      <c r="CW35" s="52">
        <v>47.5</v>
      </c>
      <c r="CX35" s="52"/>
      <c r="CY35" s="52">
        <v>12</v>
      </c>
      <c r="CZ35" s="52">
        <v>25.2</v>
      </c>
      <c r="DA35" s="52">
        <v>13.899999999999999</v>
      </c>
      <c r="DB35" s="52">
        <v>9.1</v>
      </c>
      <c r="DC35" s="52">
        <v>4.8</v>
      </c>
      <c r="DD35" s="52"/>
      <c r="DE35" s="52"/>
      <c r="DF35" s="53"/>
      <c r="DG35" s="53">
        <v>93.3</v>
      </c>
      <c r="DH35" s="53">
        <v>94.1</v>
      </c>
      <c r="DI35" s="53">
        <v>540.79999999999995</v>
      </c>
      <c r="DJ35" s="53">
        <v>123.8</v>
      </c>
      <c r="DK35" s="53">
        <v>399.6</v>
      </c>
      <c r="DL35" s="53"/>
      <c r="DM35" s="53">
        <v>198.7</v>
      </c>
      <c r="DN35" s="53"/>
      <c r="DO35" s="53">
        <v>139.80000000000001</v>
      </c>
      <c r="DP35" s="53">
        <v>107.3</v>
      </c>
      <c r="DQ35" s="53"/>
      <c r="DR35" s="53">
        <v>108.8</v>
      </c>
      <c r="DS35" s="53">
        <v>506.8</v>
      </c>
      <c r="DT35" s="53">
        <v>2313</v>
      </c>
      <c r="DU35" s="53">
        <v>-187.40000000000009</v>
      </c>
      <c r="DV35" s="53">
        <v>0</v>
      </c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17"/>
      <c r="GZ35" s="52">
        <v>866.3</v>
      </c>
      <c r="HA35" s="52"/>
      <c r="HB35" s="17"/>
      <c r="HC35" s="17"/>
      <c r="HD35" s="17"/>
      <c r="HE35" s="17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2"/>
      <c r="HR35" s="52"/>
      <c r="HS35" s="52"/>
      <c r="HT35" s="52"/>
      <c r="HU35" s="52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52"/>
      <c r="IH35" s="53"/>
      <c r="II35" s="53"/>
      <c r="IJ35" s="53"/>
      <c r="IK35" s="53"/>
      <c r="IL35" s="53"/>
      <c r="IM35" s="52"/>
      <c r="IN35" s="52">
        <v>121.8</v>
      </c>
      <c r="IY35" s="48">
        <f t="shared" si="2"/>
        <v>47.841763942931259</v>
      </c>
      <c r="IZ35" s="48">
        <f>IY35-'NOPA Crush'!J35</f>
        <v>0.24176394293125725</v>
      </c>
      <c r="JB35" s="63">
        <f t="shared" si="0"/>
        <v>10.744487678339819</v>
      </c>
      <c r="JC35" s="64">
        <f>JB35-'NOPA Crush'!O35</f>
        <v>4.4487678339820036E-2</v>
      </c>
      <c r="JD35" s="65"/>
      <c r="JE35" s="67">
        <f t="shared" si="1"/>
        <v>1889.3999999999999</v>
      </c>
      <c r="JF35" s="68">
        <f>'NOPA Crush'!Q35/'Census Crush'!JE35</f>
        <v>0.57335662114957131</v>
      </c>
    </row>
    <row r="36" spans="1:266">
      <c r="A36" s="39">
        <v>30133</v>
      </c>
      <c r="B36" s="49">
        <v>2116.6999999999998</v>
      </c>
      <c r="C36" s="50">
        <v>1307.7</v>
      </c>
      <c r="D36" s="50">
        <v>329.6</v>
      </c>
      <c r="E36" s="50">
        <v>781.4</v>
      </c>
      <c r="F36" s="50">
        <v>17.3</v>
      </c>
      <c r="G36" s="50" t="s">
        <v>264</v>
      </c>
      <c r="H36" s="50">
        <v>7.9</v>
      </c>
      <c r="I36" s="50" t="s">
        <v>264</v>
      </c>
      <c r="J36" s="50" t="s">
        <v>264</v>
      </c>
      <c r="K36" s="49">
        <v>765.6</v>
      </c>
      <c r="L36" s="49">
        <v>1647.3000000000002</v>
      </c>
      <c r="M36" s="49">
        <v>1312.9</v>
      </c>
      <c r="N36" s="49">
        <v>334.4</v>
      </c>
      <c r="O36" s="50">
        <v>105.9</v>
      </c>
      <c r="P36" s="51">
        <v>154.1</v>
      </c>
      <c r="Q36" s="49">
        <v>53.9</v>
      </c>
      <c r="R36" s="49">
        <v>100.2</v>
      </c>
      <c r="S36" s="49"/>
      <c r="T36" s="49">
        <v>15</v>
      </c>
      <c r="U36" s="51">
        <v>57.9</v>
      </c>
      <c r="V36" s="49">
        <v>53.4</v>
      </c>
      <c r="W36" s="49">
        <v>4.5</v>
      </c>
      <c r="X36" s="50" t="s">
        <v>264</v>
      </c>
      <c r="Y36" s="49">
        <v>10.7</v>
      </c>
      <c r="Z36" s="49">
        <v>28.5</v>
      </c>
      <c r="AA36" s="49">
        <v>13.4</v>
      </c>
      <c r="AB36" s="49">
        <v>15.1</v>
      </c>
      <c r="AC36" s="49" t="s">
        <v>264</v>
      </c>
      <c r="AD36" s="49" t="s">
        <v>264</v>
      </c>
      <c r="AE36" s="49"/>
      <c r="AF36" s="51"/>
      <c r="AG36" s="50" t="s">
        <v>264</v>
      </c>
      <c r="AH36" s="50" t="s">
        <v>264</v>
      </c>
      <c r="AI36" s="49">
        <v>76.5</v>
      </c>
      <c r="AJ36" s="49"/>
      <c r="AK36" s="49"/>
      <c r="AL36" s="51">
        <v>54.7</v>
      </c>
      <c r="AM36" s="49">
        <v>33.1</v>
      </c>
      <c r="AN36" s="49">
        <v>21.6</v>
      </c>
      <c r="AO36" s="49">
        <v>1619.2</v>
      </c>
      <c r="AP36" s="49">
        <v>167.4</v>
      </c>
      <c r="AQ36" s="49">
        <v>65.2</v>
      </c>
      <c r="AR36" s="49">
        <v>41.7</v>
      </c>
      <c r="AS36" s="50">
        <v>150.19999999999999</v>
      </c>
      <c r="AT36" s="50">
        <v>219.4</v>
      </c>
      <c r="AU36" s="50">
        <v>86.3</v>
      </c>
      <c r="AV36" s="50">
        <v>94.1</v>
      </c>
      <c r="AW36" s="50">
        <v>11.1</v>
      </c>
      <c r="AX36" s="50">
        <v>4.4000000000000004</v>
      </c>
      <c r="AY36" s="50" t="s">
        <v>264</v>
      </c>
      <c r="AZ36" s="50">
        <v>1.2</v>
      </c>
      <c r="BA36" s="50" t="s">
        <v>264</v>
      </c>
      <c r="BB36" s="50" t="s">
        <v>264</v>
      </c>
      <c r="BC36" s="50"/>
      <c r="BD36" s="52">
        <v>79.3</v>
      </c>
      <c r="BE36" s="52">
        <v>36.4</v>
      </c>
      <c r="BF36" s="52"/>
      <c r="BG36" s="52"/>
      <c r="BH36" s="52"/>
      <c r="BI36" s="52"/>
      <c r="BJ36" s="52"/>
      <c r="BK36" s="52"/>
      <c r="BL36" s="52"/>
      <c r="BM36" s="52">
        <v>479.3</v>
      </c>
      <c r="BN36" s="52"/>
      <c r="BO36" s="52"/>
      <c r="BP36" s="52"/>
      <c r="BQ36" s="52"/>
      <c r="BR36" s="52"/>
      <c r="BS36" s="53">
        <v>346.8</v>
      </c>
      <c r="BT36" s="52"/>
      <c r="BU36" s="52">
        <v>25.5</v>
      </c>
      <c r="BV36" s="50" t="s">
        <v>264</v>
      </c>
      <c r="BW36" s="50" t="s">
        <v>264</v>
      </c>
      <c r="BX36" s="50">
        <v>390.7</v>
      </c>
      <c r="BY36" s="50" t="s">
        <v>264</v>
      </c>
      <c r="BZ36" s="50" t="s">
        <v>264</v>
      </c>
      <c r="CA36" s="49"/>
      <c r="CB36" s="52"/>
      <c r="CC36" s="52"/>
      <c r="CD36" s="52"/>
      <c r="CE36" s="52"/>
      <c r="CF36" s="52">
        <v>83</v>
      </c>
      <c r="CG36" s="52">
        <v>187.1</v>
      </c>
      <c r="CH36" s="52">
        <v>19.7</v>
      </c>
      <c r="CI36" s="52"/>
      <c r="CJ36" s="52"/>
      <c r="CK36" s="52"/>
      <c r="CL36" s="52"/>
      <c r="CM36" s="52"/>
      <c r="CN36" s="52">
        <v>62.8</v>
      </c>
      <c r="CO36" s="8">
        <v>143.9</v>
      </c>
      <c r="CP36" s="52" t="s">
        <v>264</v>
      </c>
      <c r="CQ36" s="52" t="s">
        <v>264</v>
      </c>
      <c r="CR36" s="52" t="s">
        <v>264</v>
      </c>
      <c r="CS36" s="52">
        <v>33.900000000000006</v>
      </c>
      <c r="CT36" s="52">
        <v>25.6</v>
      </c>
      <c r="CU36" s="52">
        <v>8.3000000000000007</v>
      </c>
      <c r="CV36" s="52">
        <v>38.700000000000003</v>
      </c>
      <c r="CW36" s="52">
        <v>38.700000000000003</v>
      </c>
      <c r="CX36" s="52"/>
      <c r="CY36" s="52">
        <v>12.9</v>
      </c>
      <c r="CZ36" s="52">
        <v>30.7</v>
      </c>
      <c r="DA36" s="52">
        <v>9.8999999999999986</v>
      </c>
      <c r="DB36" s="52">
        <v>6.6</v>
      </c>
      <c r="DC36" s="52">
        <v>3.3</v>
      </c>
      <c r="DD36" s="52"/>
      <c r="DE36" s="52"/>
      <c r="DF36" s="53"/>
      <c r="DG36" s="53">
        <v>119.1</v>
      </c>
      <c r="DH36" s="53"/>
      <c r="DI36" s="53">
        <v>359.1</v>
      </c>
      <c r="DJ36" s="53">
        <v>106.3</v>
      </c>
      <c r="DK36" s="53">
        <v>373</v>
      </c>
      <c r="DL36" s="53">
        <v>89.9</v>
      </c>
      <c r="DM36" s="53">
        <v>188.7</v>
      </c>
      <c r="DN36" s="53"/>
      <c r="DO36" s="53">
        <v>90.7</v>
      </c>
      <c r="DP36" s="53">
        <v>131.69999999999999</v>
      </c>
      <c r="DQ36" s="53">
        <v>55.4</v>
      </c>
      <c r="DR36" s="53">
        <v>86.9</v>
      </c>
      <c r="DS36" s="53">
        <v>515.9</v>
      </c>
      <c r="DT36" s="53">
        <v>2116.6999999999998</v>
      </c>
      <c r="DU36" s="53">
        <v>-119.09999999999945</v>
      </c>
      <c r="DV36" s="53">
        <v>0</v>
      </c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  <c r="FR36" s="52"/>
      <c r="FS36" s="52"/>
      <c r="FT36" s="52"/>
      <c r="FU36" s="52"/>
      <c r="FV36" s="52"/>
      <c r="FW36" s="52"/>
      <c r="FX36" s="52"/>
      <c r="FY36" s="52"/>
      <c r="FZ36" s="52"/>
      <c r="GA36" s="52"/>
      <c r="GB36" s="52"/>
      <c r="GC36" s="52"/>
      <c r="GD36" s="52"/>
      <c r="GE36" s="52"/>
      <c r="GF36" s="52"/>
      <c r="GG36" s="52"/>
      <c r="GH36" s="52"/>
      <c r="GI36" s="52"/>
      <c r="GJ36" s="52"/>
      <c r="GK36" s="52"/>
      <c r="GL36" s="52"/>
      <c r="GM36" s="52"/>
      <c r="GN36" s="52"/>
      <c r="GO36" s="52"/>
      <c r="GP36" s="52"/>
      <c r="GQ36" s="52"/>
      <c r="GR36" s="52"/>
      <c r="GS36" s="52"/>
      <c r="GT36" s="52"/>
      <c r="GU36" s="52"/>
      <c r="GV36" s="52"/>
      <c r="GW36" s="52"/>
      <c r="GX36" s="52"/>
      <c r="GY36" s="17"/>
      <c r="GZ36" s="52">
        <v>775.4</v>
      </c>
      <c r="HA36" s="52"/>
      <c r="HB36" s="17"/>
      <c r="HC36" s="17"/>
      <c r="HD36" s="17"/>
      <c r="HE36" s="17"/>
      <c r="HF36" s="52"/>
      <c r="HG36" s="52"/>
      <c r="HH36" s="52"/>
      <c r="HI36" s="52"/>
      <c r="HJ36" s="52"/>
      <c r="HK36" s="52"/>
      <c r="HL36" s="52"/>
      <c r="HM36" s="52"/>
      <c r="HN36" s="52"/>
      <c r="HO36" s="52"/>
      <c r="HP36" s="52"/>
      <c r="HQ36" s="52"/>
      <c r="HR36" s="52"/>
      <c r="HS36" s="52"/>
      <c r="HT36" s="52"/>
      <c r="HU36" s="52"/>
      <c r="HV36" s="52"/>
      <c r="HW36" s="52"/>
      <c r="HX36" s="52"/>
      <c r="HY36" s="52"/>
      <c r="HZ36" s="52"/>
      <c r="IA36" s="52"/>
      <c r="IB36" s="52"/>
      <c r="IC36" s="52"/>
      <c r="ID36" s="52"/>
      <c r="IE36" s="52"/>
      <c r="IF36" s="52"/>
      <c r="IG36" s="52"/>
      <c r="IH36" s="53"/>
      <c r="II36" s="53"/>
      <c r="IJ36" s="53"/>
      <c r="IK36" s="53"/>
      <c r="IL36" s="53"/>
      <c r="IM36" s="52"/>
      <c r="IN36" s="52">
        <v>104.8</v>
      </c>
      <c r="IY36" s="48">
        <f t="shared" si="2"/>
        <v>47.746019747720517</v>
      </c>
      <c r="IZ36" s="48">
        <f>IY36-'NOPA Crush'!J36</f>
        <v>0.44601974772051989</v>
      </c>
      <c r="JB36" s="63">
        <f t="shared" si="0"/>
        <v>10.850852742476498</v>
      </c>
      <c r="JC36" s="64">
        <f>JB36-'NOPA Crush'!O36</f>
        <v>-4.9147257523502574E-2</v>
      </c>
      <c r="JD36" s="65"/>
      <c r="JE36" s="67">
        <f t="shared" si="1"/>
        <v>1647.3000000000002</v>
      </c>
      <c r="JF36" s="68">
        <f>'NOPA Crush'!Q36/'Census Crush'!JE36</f>
        <v>0.53353973168214652</v>
      </c>
    </row>
    <row r="37" spans="1:266">
      <c r="A37" s="39">
        <v>30164</v>
      </c>
      <c r="B37" s="49">
        <v>2033.7</v>
      </c>
      <c r="C37" s="50">
        <v>918</v>
      </c>
      <c r="D37" s="50">
        <v>290.3</v>
      </c>
      <c r="E37" s="50">
        <v>632.4</v>
      </c>
      <c r="F37" s="50">
        <v>14</v>
      </c>
      <c r="G37" s="50" t="s">
        <v>264</v>
      </c>
      <c r="H37" s="50" t="s">
        <v>264</v>
      </c>
      <c r="I37" s="50" t="s">
        <v>264</v>
      </c>
      <c r="J37" s="50" t="s">
        <v>264</v>
      </c>
      <c r="K37" s="49">
        <v>732</v>
      </c>
      <c r="L37" s="49">
        <v>1397.5</v>
      </c>
      <c r="M37" s="49">
        <v>1071.3</v>
      </c>
      <c r="N37" s="49">
        <v>326.2</v>
      </c>
      <c r="O37" s="50">
        <v>92</v>
      </c>
      <c r="P37" s="51">
        <v>115.2</v>
      </c>
      <c r="Q37" s="49">
        <v>38.200000000000003</v>
      </c>
      <c r="R37" s="49">
        <v>77</v>
      </c>
      <c r="S37" s="49"/>
      <c r="T37" s="49">
        <v>11.8</v>
      </c>
      <c r="U37" s="51">
        <v>60.3</v>
      </c>
      <c r="V37" s="49">
        <v>55.5</v>
      </c>
      <c r="W37" s="49">
        <v>4.8</v>
      </c>
      <c r="X37" s="50" t="s">
        <v>264</v>
      </c>
      <c r="Y37" s="49">
        <v>7</v>
      </c>
      <c r="Z37" s="49">
        <v>27.1</v>
      </c>
      <c r="AA37" s="49">
        <v>13.3</v>
      </c>
      <c r="AB37" s="49">
        <v>13.8</v>
      </c>
      <c r="AC37" s="49" t="s">
        <v>264</v>
      </c>
      <c r="AD37" s="49" t="s">
        <v>264</v>
      </c>
      <c r="AE37" s="49"/>
      <c r="AF37" s="51"/>
      <c r="AG37" s="50" t="s">
        <v>264</v>
      </c>
      <c r="AH37" s="50" t="s">
        <v>264</v>
      </c>
      <c r="AI37" s="49">
        <v>79.3</v>
      </c>
      <c r="AJ37" s="49"/>
      <c r="AK37" s="49"/>
      <c r="AL37" s="51">
        <v>58.699999999999996</v>
      </c>
      <c r="AM37" s="49">
        <v>35.299999999999997</v>
      </c>
      <c r="AN37" s="49">
        <v>23.4</v>
      </c>
      <c r="AO37" s="49">
        <v>1560.9</v>
      </c>
      <c r="AP37" s="49">
        <v>153.69999999999999</v>
      </c>
      <c r="AQ37" s="49">
        <v>58.7</v>
      </c>
      <c r="AR37" s="49">
        <v>36</v>
      </c>
      <c r="AS37" s="50">
        <v>129.80000000000001</v>
      </c>
      <c r="AT37" s="50">
        <v>185.5</v>
      </c>
      <c r="AU37" s="50">
        <v>77.099999999999994</v>
      </c>
      <c r="AV37" s="50">
        <v>76.8</v>
      </c>
      <c r="AW37" s="50">
        <v>7.8</v>
      </c>
      <c r="AX37" s="50">
        <v>1.5</v>
      </c>
      <c r="AY37" s="50" t="s">
        <v>264</v>
      </c>
      <c r="AZ37" s="50">
        <v>2.8</v>
      </c>
      <c r="BA37" s="50" t="s">
        <v>264</v>
      </c>
      <c r="BB37" s="50" t="s">
        <v>264</v>
      </c>
      <c r="BC37" s="50"/>
      <c r="BD37" s="52">
        <v>85</v>
      </c>
      <c r="BE37" s="52">
        <v>39.200000000000003</v>
      </c>
      <c r="BF37" s="52"/>
      <c r="BG37" s="52"/>
      <c r="BH37" s="52"/>
      <c r="BI37" s="52"/>
      <c r="BJ37" s="52"/>
      <c r="BK37" s="52"/>
      <c r="BL37" s="52"/>
      <c r="BM37" s="52">
        <v>503.3</v>
      </c>
      <c r="BN37" s="52"/>
      <c r="BO37" s="52"/>
      <c r="BP37" s="52"/>
      <c r="BQ37" s="52"/>
      <c r="BR37" s="52"/>
      <c r="BS37" s="53">
        <v>368</v>
      </c>
      <c r="BT37" s="52"/>
      <c r="BU37" s="52">
        <v>32.200000000000003</v>
      </c>
      <c r="BV37" s="50" t="s">
        <v>264</v>
      </c>
      <c r="BW37" s="50" t="s">
        <v>264</v>
      </c>
      <c r="BX37" s="50">
        <v>403.5</v>
      </c>
      <c r="BY37" s="50" t="s">
        <v>264</v>
      </c>
      <c r="BZ37" s="50" t="s">
        <v>264</v>
      </c>
      <c r="CA37" s="49"/>
      <c r="CB37" s="52"/>
      <c r="CC37" s="52"/>
      <c r="CD37" s="52"/>
      <c r="CE37" s="52"/>
      <c r="CF37" s="52">
        <v>100.5</v>
      </c>
      <c r="CG37" s="52">
        <v>188.9</v>
      </c>
      <c r="CH37" s="52">
        <v>19.8</v>
      </c>
      <c r="CI37" s="52"/>
      <c r="CJ37" s="52"/>
      <c r="CK37" s="52"/>
      <c r="CL37" s="52"/>
      <c r="CM37" s="52"/>
      <c r="CN37" s="52">
        <v>52.5</v>
      </c>
      <c r="CO37" s="8">
        <v>126.5</v>
      </c>
      <c r="CP37" s="52" t="s">
        <v>264</v>
      </c>
      <c r="CQ37" s="52" t="s">
        <v>264</v>
      </c>
      <c r="CR37" s="52" t="s">
        <v>264</v>
      </c>
      <c r="CS37" s="52">
        <v>30.5</v>
      </c>
      <c r="CT37" s="52">
        <v>21.1</v>
      </c>
      <c r="CU37" s="52">
        <v>9.4</v>
      </c>
      <c r="CV37" s="52">
        <v>34.4</v>
      </c>
      <c r="CW37" s="52">
        <v>34.4</v>
      </c>
      <c r="CX37" s="52"/>
      <c r="CY37" s="52">
        <v>11.1</v>
      </c>
      <c r="CZ37" s="52">
        <v>43.8</v>
      </c>
      <c r="DA37" s="52">
        <v>10.4</v>
      </c>
      <c r="DB37" s="52">
        <v>6.7</v>
      </c>
      <c r="DC37" s="52">
        <v>3.7</v>
      </c>
      <c r="DD37" s="52"/>
      <c r="DE37" s="52"/>
      <c r="DF37" s="53"/>
      <c r="DG37" s="53">
        <v>119</v>
      </c>
      <c r="DH37" s="53"/>
      <c r="DI37" s="53">
        <v>395.2</v>
      </c>
      <c r="DJ37" s="53">
        <v>121.4</v>
      </c>
      <c r="DK37" s="53">
        <v>380</v>
      </c>
      <c r="DL37" s="53"/>
      <c r="DM37" s="53">
        <v>177.3</v>
      </c>
      <c r="DN37" s="53"/>
      <c r="DO37" s="53"/>
      <c r="DP37" s="53">
        <v>130.9</v>
      </c>
      <c r="DQ37" s="53">
        <v>33.5</v>
      </c>
      <c r="DR37" s="53"/>
      <c r="DS37" s="53">
        <v>676.4</v>
      </c>
      <c r="DT37" s="53">
        <v>2033.7</v>
      </c>
      <c r="DU37" s="53">
        <v>-118.99999999999977</v>
      </c>
      <c r="DV37" s="53">
        <v>0</v>
      </c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  <c r="FK37" s="52"/>
      <c r="FL37" s="52"/>
      <c r="FM37" s="52"/>
      <c r="FN37" s="52"/>
      <c r="FO37" s="52"/>
      <c r="FP37" s="52"/>
      <c r="FQ37" s="52"/>
      <c r="FR37" s="52"/>
      <c r="FS37" s="52"/>
      <c r="FT37" s="52"/>
      <c r="FU37" s="52"/>
      <c r="FV37" s="52"/>
      <c r="FW37" s="52"/>
      <c r="FX37" s="52"/>
      <c r="FY37" s="52"/>
      <c r="FZ37" s="52"/>
      <c r="GA37" s="52"/>
      <c r="GB37" s="52"/>
      <c r="GC37" s="52"/>
      <c r="GD37" s="52"/>
      <c r="GE37" s="52"/>
      <c r="GF37" s="52"/>
      <c r="GG37" s="52"/>
      <c r="GH37" s="52"/>
      <c r="GI37" s="52"/>
      <c r="GJ37" s="52"/>
      <c r="GK37" s="52"/>
      <c r="GL37" s="52"/>
      <c r="GM37" s="52"/>
      <c r="GN37" s="52"/>
      <c r="GO37" s="52"/>
      <c r="GP37" s="52"/>
      <c r="GQ37" s="52"/>
      <c r="GR37" s="52"/>
      <c r="GS37" s="52"/>
      <c r="GT37" s="52"/>
      <c r="GU37" s="52"/>
      <c r="GV37" s="52"/>
      <c r="GW37" s="52"/>
      <c r="GX37" s="52"/>
      <c r="GY37" s="17"/>
      <c r="GZ37" s="52">
        <v>811.7</v>
      </c>
      <c r="HA37" s="52"/>
      <c r="HB37" s="17"/>
      <c r="HC37" s="17"/>
      <c r="HD37" s="17"/>
      <c r="HE37" s="17"/>
      <c r="HF37" s="52"/>
      <c r="HG37" s="52"/>
      <c r="HH37" s="52"/>
      <c r="HI37" s="52"/>
      <c r="HJ37" s="52"/>
      <c r="HK37" s="52"/>
      <c r="HL37" s="52"/>
      <c r="HM37" s="52"/>
      <c r="HN37" s="52"/>
      <c r="HO37" s="52"/>
      <c r="HP37" s="52"/>
      <c r="HQ37" s="52"/>
      <c r="HR37" s="52"/>
      <c r="HS37" s="52"/>
      <c r="HT37" s="52"/>
      <c r="HU37" s="52"/>
      <c r="HV37" s="52"/>
      <c r="HW37" s="52"/>
      <c r="HX37" s="52"/>
      <c r="HY37" s="52"/>
      <c r="HZ37" s="52"/>
      <c r="IA37" s="52"/>
      <c r="IB37" s="52"/>
      <c r="IC37" s="52"/>
      <c r="ID37" s="52"/>
      <c r="IE37" s="52"/>
      <c r="IF37" s="52"/>
      <c r="IG37" s="52"/>
      <c r="IH37" s="53"/>
      <c r="II37" s="53"/>
      <c r="IJ37" s="53"/>
      <c r="IK37" s="53"/>
      <c r="IL37" s="53"/>
      <c r="IM37" s="52"/>
      <c r="IN37" s="52">
        <v>91.3</v>
      </c>
      <c r="IY37" s="48">
        <f t="shared" si="2"/>
        <v>47.782858828735804</v>
      </c>
      <c r="IZ37" s="48">
        <f>IY37-'NOPA Crush'!J37</f>
        <v>0.3828588287358059</v>
      </c>
      <c r="JB37" s="63">
        <f t="shared" si="0"/>
        <v>10.798052810148988</v>
      </c>
      <c r="JC37" s="64">
        <f>JB37-'NOPA Crush'!O37</f>
        <v>-0.10194718985101225</v>
      </c>
      <c r="JD37" s="65"/>
      <c r="JE37" s="67">
        <f t="shared" si="1"/>
        <v>1397.5</v>
      </c>
      <c r="JF37" s="68">
        <f>'NOPA Crush'!Q37/'Census Crush'!JE37</f>
        <v>0.50203935599284433</v>
      </c>
    </row>
    <row r="38" spans="1:266">
      <c r="A38" s="39">
        <v>30195</v>
      </c>
      <c r="B38" s="49">
        <v>2278.9</v>
      </c>
      <c r="C38" s="50">
        <v>869.8</v>
      </c>
      <c r="D38" s="50">
        <v>285.8</v>
      </c>
      <c r="E38" s="50">
        <v>607.5</v>
      </c>
      <c r="F38" s="50" t="s">
        <v>264</v>
      </c>
      <c r="G38" s="50" t="s">
        <v>264</v>
      </c>
      <c r="H38" s="50" t="s">
        <v>264</v>
      </c>
      <c r="I38" s="50" t="s">
        <v>264</v>
      </c>
      <c r="J38" s="50" t="s">
        <v>264</v>
      </c>
      <c r="K38" s="49">
        <v>818.3</v>
      </c>
      <c r="L38" s="49">
        <v>1102.5999999999999</v>
      </c>
      <c r="M38" s="49">
        <v>817.1</v>
      </c>
      <c r="N38" s="49">
        <v>285.5</v>
      </c>
      <c r="O38" s="50">
        <v>88.8</v>
      </c>
      <c r="P38" s="51">
        <v>103.6</v>
      </c>
      <c r="Q38" s="49">
        <v>42.9</v>
      </c>
      <c r="R38" s="49">
        <v>60.7</v>
      </c>
      <c r="S38" s="49"/>
      <c r="T38" s="50" t="s">
        <v>264</v>
      </c>
      <c r="U38" s="50" t="s">
        <v>264</v>
      </c>
      <c r="V38" s="50" t="s">
        <v>264</v>
      </c>
      <c r="W38" s="49">
        <v>5.0999999999999996</v>
      </c>
      <c r="X38" s="50" t="s">
        <v>264</v>
      </c>
      <c r="Y38" s="50" t="s">
        <v>264</v>
      </c>
      <c r="Z38" s="49">
        <v>27.299999999999997</v>
      </c>
      <c r="AA38" s="49">
        <v>14.2</v>
      </c>
      <c r="AB38" s="49">
        <v>13.1</v>
      </c>
      <c r="AC38" s="49" t="s">
        <v>264</v>
      </c>
      <c r="AD38" s="49" t="s">
        <v>264</v>
      </c>
      <c r="AE38" s="49"/>
      <c r="AF38" s="51"/>
      <c r="AG38" s="50" t="s">
        <v>264</v>
      </c>
      <c r="AH38" s="50" t="s">
        <v>264</v>
      </c>
      <c r="AI38" s="49">
        <v>78</v>
      </c>
      <c r="AJ38" s="49"/>
      <c r="AK38" s="49"/>
      <c r="AL38" s="51">
        <v>52.8</v>
      </c>
      <c r="AM38" s="49">
        <v>33.799999999999997</v>
      </c>
      <c r="AN38" s="49">
        <v>19</v>
      </c>
      <c r="AO38" s="49">
        <v>1759</v>
      </c>
      <c r="AP38" s="49">
        <v>133.9</v>
      </c>
      <c r="AQ38" s="49">
        <v>59.5</v>
      </c>
      <c r="AR38" s="49">
        <v>41.3</v>
      </c>
      <c r="AS38" s="50">
        <v>129.30000000000001</v>
      </c>
      <c r="AT38" s="50">
        <v>153.6</v>
      </c>
      <c r="AU38" s="50">
        <v>77.5</v>
      </c>
      <c r="AV38" s="50">
        <v>62.8</v>
      </c>
      <c r="AW38" s="50" t="s">
        <v>264</v>
      </c>
      <c r="AX38" s="50" t="s">
        <v>264</v>
      </c>
      <c r="AY38" s="50" t="s">
        <v>264</v>
      </c>
      <c r="AZ38" s="50" t="s">
        <v>264</v>
      </c>
      <c r="BA38" s="50" t="s">
        <v>264</v>
      </c>
      <c r="BB38" s="50" t="s">
        <v>264</v>
      </c>
      <c r="BC38" s="50"/>
      <c r="BD38" s="52">
        <v>92.6</v>
      </c>
      <c r="BE38" s="52">
        <v>46.9</v>
      </c>
      <c r="BF38" s="52"/>
      <c r="BG38" s="52"/>
      <c r="BH38" s="52"/>
      <c r="BI38" s="52"/>
      <c r="BJ38" s="52"/>
      <c r="BK38" s="52"/>
      <c r="BL38" s="52"/>
      <c r="BM38" s="52">
        <v>497.4</v>
      </c>
      <c r="BN38" s="52"/>
      <c r="BO38" s="52"/>
      <c r="BP38" s="52"/>
      <c r="BQ38" s="52"/>
      <c r="BR38" s="52"/>
      <c r="BS38" s="53">
        <v>357.7</v>
      </c>
      <c r="BT38" s="52"/>
      <c r="BU38" s="52">
        <v>24.2</v>
      </c>
      <c r="BV38" s="50" t="s">
        <v>264</v>
      </c>
      <c r="BW38" s="50" t="s">
        <v>264</v>
      </c>
      <c r="BX38" s="50">
        <v>416.4</v>
      </c>
      <c r="BY38" s="50" t="s">
        <v>264</v>
      </c>
      <c r="BZ38" s="50" t="s">
        <v>264</v>
      </c>
      <c r="CA38" s="49"/>
      <c r="CB38" s="52"/>
      <c r="CC38" s="52"/>
      <c r="CD38" s="52"/>
      <c r="CE38" s="52"/>
      <c r="CF38" s="52">
        <v>90.7</v>
      </c>
      <c r="CG38" s="52">
        <v>151.30000000000001</v>
      </c>
      <c r="CH38" s="52">
        <v>21.8</v>
      </c>
      <c r="CI38" s="52"/>
      <c r="CJ38" s="52"/>
      <c r="CK38" s="52"/>
      <c r="CL38" s="52"/>
      <c r="CM38" s="52"/>
      <c r="CN38" s="52">
        <v>53.4</v>
      </c>
      <c r="CO38" s="8">
        <v>122.5</v>
      </c>
      <c r="CP38" s="52" t="s">
        <v>264</v>
      </c>
      <c r="CQ38" s="52" t="s">
        <v>264</v>
      </c>
      <c r="CR38" s="52" t="s">
        <v>264</v>
      </c>
      <c r="CS38" s="52">
        <v>44.599999999999994</v>
      </c>
      <c r="CT38" s="52">
        <v>32.299999999999997</v>
      </c>
      <c r="CU38" s="52">
        <v>12.3</v>
      </c>
      <c r="CV38" s="52">
        <v>47.1</v>
      </c>
      <c r="CW38" s="52">
        <v>47.1</v>
      </c>
      <c r="CX38" s="52"/>
      <c r="CY38" s="52">
        <v>14.4</v>
      </c>
      <c r="CZ38" s="52">
        <v>34.9</v>
      </c>
      <c r="DA38" s="52">
        <v>16.2</v>
      </c>
      <c r="DB38" s="52">
        <v>11.1</v>
      </c>
      <c r="DC38" s="52">
        <v>5.0999999999999996</v>
      </c>
      <c r="DD38" s="52"/>
      <c r="DE38" s="52"/>
      <c r="DF38" s="53"/>
      <c r="DG38" s="53">
        <v>77.2</v>
      </c>
      <c r="DH38" s="53"/>
      <c r="DI38" s="53">
        <v>562.4</v>
      </c>
      <c r="DJ38" s="53">
        <v>119.1</v>
      </c>
      <c r="DK38" s="53">
        <v>400</v>
      </c>
      <c r="DL38" s="53"/>
      <c r="DM38" s="53">
        <v>185.8</v>
      </c>
      <c r="DN38" s="53"/>
      <c r="DO38" s="53">
        <v>120.4</v>
      </c>
      <c r="DP38" s="53">
        <v>132.30000000000001</v>
      </c>
      <c r="DQ38" s="53">
        <v>67.8</v>
      </c>
      <c r="DR38" s="53"/>
      <c r="DS38" s="53">
        <v>613.9</v>
      </c>
      <c r="DT38" s="53">
        <v>2278.9</v>
      </c>
      <c r="DU38" s="53">
        <v>-77.200000000000273</v>
      </c>
      <c r="DV38" s="53">
        <v>0</v>
      </c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17"/>
      <c r="GZ38" s="52">
        <v>794</v>
      </c>
      <c r="HA38" s="52"/>
      <c r="HB38" s="17"/>
      <c r="HC38" s="17"/>
      <c r="HD38" s="17"/>
      <c r="HE38" s="17"/>
      <c r="HF38" s="52"/>
      <c r="HG38" s="52"/>
      <c r="HH38" s="52"/>
      <c r="HI38" s="52"/>
      <c r="HJ38" s="52"/>
      <c r="HK38" s="52"/>
      <c r="HL38" s="52"/>
      <c r="HM38" s="52"/>
      <c r="HN38" s="52"/>
      <c r="HO38" s="52"/>
      <c r="HP38" s="52"/>
      <c r="HQ38" s="52"/>
      <c r="HR38" s="52"/>
      <c r="HS38" s="52"/>
      <c r="HT38" s="52"/>
      <c r="HU38" s="52"/>
      <c r="HV38" s="52"/>
      <c r="HW38" s="52"/>
      <c r="HX38" s="52"/>
      <c r="HY38" s="52"/>
      <c r="HZ38" s="52"/>
      <c r="IA38" s="52"/>
      <c r="IB38" s="52"/>
      <c r="IC38" s="52"/>
      <c r="ID38" s="52"/>
      <c r="IE38" s="52"/>
      <c r="IF38" s="52"/>
      <c r="IG38" s="52"/>
      <c r="IH38" s="53"/>
      <c r="II38" s="53"/>
      <c r="IJ38" s="53"/>
      <c r="IK38" s="53"/>
      <c r="IL38" s="53"/>
      <c r="IM38" s="52"/>
      <c r="IN38" s="52">
        <v>76.7</v>
      </c>
      <c r="IY38" s="48">
        <f t="shared" si="2"/>
        <v>47.878362367809025</v>
      </c>
      <c r="IZ38" s="48">
        <f>IY38-'NOPA Crush'!J38</f>
        <v>0.3783623678090251</v>
      </c>
      <c r="JB38" s="63">
        <f t="shared" si="0"/>
        <v>10.772302426609327</v>
      </c>
      <c r="JC38" s="64">
        <f>JB38-'NOPA Crush'!O38</f>
        <v>7.2302426609327952E-2</v>
      </c>
      <c r="JD38" s="65"/>
      <c r="JE38" s="67">
        <f t="shared" si="1"/>
        <v>1102.5999999999999</v>
      </c>
      <c r="JF38" s="68">
        <f>'NOPA Crush'!Q38/'Census Crush'!JE38</f>
        <v>0.52040631235262103</v>
      </c>
    </row>
    <row r="39" spans="1:266">
      <c r="A39" s="39">
        <v>30225</v>
      </c>
      <c r="B39" s="49">
        <v>3006</v>
      </c>
      <c r="C39" s="50">
        <v>3426.3</v>
      </c>
      <c r="D39" s="50">
        <v>391.5</v>
      </c>
      <c r="E39" s="50">
        <v>1321</v>
      </c>
      <c r="F39" s="50" t="s">
        <v>264</v>
      </c>
      <c r="G39" s="50" t="s">
        <v>264</v>
      </c>
      <c r="H39" s="50" t="s">
        <v>264</v>
      </c>
      <c r="I39" s="50" t="s">
        <v>264</v>
      </c>
      <c r="J39" s="50" t="s">
        <v>264</v>
      </c>
      <c r="K39" s="49">
        <v>1079.4000000000001</v>
      </c>
      <c r="L39" s="49">
        <v>1207.7</v>
      </c>
      <c r="M39" s="49">
        <v>922.4</v>
      </c>
      <c r="N39" s="49">
        <v>285.3</v>
      </c>
      <c r="O39" s="50">
        <v>129.80000000000001</v>
      </c>
      <c r="P39" s="51">
        <v>121.1</v>
      </c>
      <c r="Q39" s="49">
        <v>57.5</v>
      </c>
      <c r="R39" s="49">
        <v>63.6</v>
      </c>
      <c r="S39" s="49"/>
      <c r="T39" s="50" t="s">
        <v>264</v>
      </c>
      <c r="U39" s="50" t="s">
        <v>264</v>
      </c>
      <c r="V39" s="50" t="s">
        <v>264</v>
      </c>
      <c r="W39" s="49">
        <v>4</v>
      </c>
      <c r="X39" s="50" t="s">
        <v>264</v>
      </c>
      <c r="Y39" s="49">
        <v>7.7</v>
      </c>
      <c r="Z39" s="49">
        <v>24.3</v>
      </c>
      <c r="AA39" s="49">
        <v>14.5</v>
      </c>
      <c r="AB39" s="49">
        <v>9.8000000000000007</v>
      </c>
      <c r="AC39" s="49" t="s">
        <v>264</v>
      </c>
      <c r="AD39" s="49" t="s">
        <v>264</v>
      </c>
      <c r="AE39" s="49"/>
      <c r="AF39" s="51"/>
      <c r="AG39" s="50" t="s">
        <v>264</v>
      </c>
      <c r="AH39" s="50" t="s">
        <v>264</v>
      </c>
      <c r="AI39" s="49">
        <v>79.2</v>
      </c>
      <c r="AJ39" s="49"/>
      <c r="AK39" s="49"/>
      <c r="AL39" s="51">
        <v>55.5</v>
      </c>
      <c r="AM39" s="49">
        <v>35.6</v>
      </c>
      <c r="AN39" s="49">
        <v>19.899999999999999</v>
      </c>
      <c r="AO39" s="49">
        <v>2389.8000000000002</v>
      </c>
      <c r="AP39" s="49">
        <v>299.3</v>
      </c>
      <c r="AQ39" s="49">
        <v>74.400000000000006</v>
      </c>
      <c r="AR39" s="49">
        <v>43.5</v>
      </c>
      <c r="AS39" s="50">
        <v>173.5</v>
      </c>
      <c r="AT39" s="50">
        <v>152.5</v>
      </c>
      <c r="AU39" s="50">
        <v>100.9</v>
      </c>
      <c r="AV39" s="50">
        <v>53.1</v>
      </c>
      <c r="AW39" s="50" t="s">
        <v>264</v>
      </c>
      <c r="AX39" s="50" t="s">
        <v>264</v>
      </c>
      <c r="AY39" s="50" t="s">
        <v>264</v>
      </c>
      <c r="AZ39" s="50" t="s">
        <v>264</v>
      </c>
      <c r="BA39" s="50" t="s">
        <v>264</v>
      </c>
      <c r="BB39" s="50" t="s">
        <v>264</v>
      </c>
      <c r="BC39" s="50"/>
      <c r="BD39" s="52">
        <v>100.4</v>
      </c>
      <c r="BE39" s="52">
        <v>52.1</v>
      </c>
      <c r="BF39" s="52"/>
      <c r="BG39" s="52"/>
      <c r="BH39" s="52"/>
      <c r="BI39" s="52"/>
      <c r="BJ39" s="52"/>
      <c r="BK39" s="52"/>
      <c r="BL39" s="52"/>
      <c r="BM39" s="52">
        <v>527.4</v>
      </c>
      <c r="BN39" s="52"/>
      <c r="BO39" s="52"/>
      <c r="BP39" s="52"/>
      <c r="BQ39" s="52"/>
      <c r="BR39" s="52"/>
      <c r="BS39" s="53">
        <v>440.5</v>
      </c>
      <c r="BT39" s="52"/>
      <c r="BU39" s="52">
        <v>29.5</v>
      </c>
      <c r="BV39" s="50" t="s">
        <v>264</v>
      </c>
      <c r="BW39" s="50" t="s">
        <v>264</v>
      </c>
      <c r="BX39" s="50">
        <v>421.4</v>
      </c>
      <c r="BY39" s="50" t="s">
        <v>264</v>
      </c>
      <c r="BZ39" s="50" t="s">
        <v>264</v>
      </c>
      <c r="CA39" s="49"/>
      <c r="CB39" s="52"/>
      <c r="CC39" s="52"/>
      <c r="CD39" s="52"/>
      <c r="CE39" s="52"/>
      <c r="CF39" s="52">
        <v>92.8</v>
      </c>
      <c r="CG39" s="52">
        <v>139.1</v>
      </c>
      <c r="CH39" s="52">
        <v>22.5</v>
      </c>
      <c r="CI39" s="52"/>
      <c r="CJ39" s="52"/>
      <c r="CK39" s="52"/>
      <c r="CL39" s="52"/>
      <c r="CM39" s="52"/>
      <c r="CN39" s="52">
        <v>51.3</v>
      </c>
      <c r="CO39" s="52">
        <v>144.4</v>
      </c>
      <c r="CP39" s="52">
        <v>112.9</v>
      </c>
      <c r="CQ39" s="52">
        <v>31.5</v>
      </c>
      <c r="CR39" s="52" t="s">
        <v>264</v>
      </c>
      <c r="CS39" s="52">
        <v>42.9</v>
      </c>
      <c r="CT39" s="52">
        <v>28.7</v>
      </c>
      <c r="CU39" s="52">
        <v>14.2</v>
      </c>
      <c r="CV39" s="52">
        <v>43.9</v>
      </c>
      <c r="CW39" s="52">
        <v>43.9</v>
      </c>
      <c r="CX39" s="52"/>
      <c r="CY39" s="52">
        <v>12.4</v>
      </c>
      <c r="CZ39" s="52">
        <v>31.4</v>
      </c>
      <c r="DA39" s="52">
        <v>23.5</v>
      </c>
      <c r="DB39" s="52">
        <v>16.7</v>
      </c>
      <c r="DC39" s="52">
        <v>6.8</v>
      </c>
      <c r="DD39" s="52"/>
      <c r="DE39" s="52"/>
      <c r="DF39" s="53"/>
      <c r="DG39" s="53">
        <v>148.6</v>
      </c>
      <c r="DH39" s="53"/>
      <c r="DI39" s="53">
        <v>791.7</v>
      </c>
      <c r="DJ39" s="53">
        <v>139</v>
      </c>
      <c r="DK39" s="53">
        <v>517.5</v>
      </c>
      <c r="DL39" s="53">
        <v>128</v>
      </c>
      <c r="DM39" s="53">
        <v>150.4</v>
      </c>
      <c r="DN39" s="53"/>
      <c r="DO39" s="53">
        <v>137.5</v>
      </c>
      <c r="DP39" s="53">
        <v>155.30000000000001</v>
      </c>
      <c r="DQ39" s="53">
        <v>62</v>
      </c>
      <c r="DR39" s="53">
        <v>144.69999999999999</v>
      </c>
      <c r="DS39" s="53">
        <v>631.29999999999995</v>
      </c>
      <c r="DT39" s="53">
        <v>3006</v>
      </c>
      <c r="DU39" s="53">
        <v>-148.60000000000036</v>
      </c>
      <c r="DV39" s="53">
        <v>0</v>
      </c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  <c r="FR39" s="52"/>
      <c r="FS39" s="52"/>
      <c r="FT39" s="52"/>
      <c r="FU39" s="52"/>
      <c r="FV39" s="52"/>
      <c r="FW39" s="52"/>
      <c r="FX39" s="52"/>
      <c r="FY39" s="52"/>
      <c r="FZ39" s="52"/>
      <c r="GA39" s="52"/>
      <c r="GB39" s="52"/>
      <c r="GC39" s="52"/>
      <c r="GD39" s="52"/>
      <c r="GE39" s="52"/>
      <c r="GF39" s="52"/>
      <c r="GG39" s="52"/>
      <c r="GH39" s="52"/>
      <c r="GI39" s="52"/>
      <c r="GJ39" s="52"/>
      <c r="GK39" s="52"/>
      <c r="GL39" s="52"/>
      <c r="GM39" s="52"/>
      <c r="GN39" s="52"/>
      <c r="GO39" s="52"/>
      <c r="GP39" s="52"/>
      <c r="GQ39" s="52"/>
      <c r="GR39" s="52"/>
      <c r="GS39" s="52"/>
      <c r="GT39" s="52"/>
      <c r="GU39" s="52"/>
      <c r="GV39" s="52"/>
      <c r="GW39" s="52"/>
      <c r="GX39" s="52"/>
      <c r="GY39" s="17"/>
      <c r="GZ39" s="52">
        <v>824.6</v>
      </c>
      <c r="HA39" s="52"/>
      <c r="HB39" s="17"/>
      <c r="HC39" s="17"/>
      <c r="HD39" s="17"/>
      <c r="HE39" s="17"/>
      <c r="HF39" s="52"/>
      <c r="HG39" s="52"/>
      <c r="HH39" s="52"/>
      <c r="HI39" s="52"/>
      <c r="HJ39" s="52"/>
      <c r="HK39" s="52"/>
      <c r="HL39" s="52"/>
      <c r="HM39" s="52"/>
      <c r="HN39" s="52"/>
      <c r="HO39" s="52"/>
      <c r="HP39" s="52"/>
      <c r="HQ39" s="52"/>
      <c r="HR39" s="52"/>
      <c r="HS39" s="52"/>
      <c r="HT39" s="52"/>
      <c r="HU39" s="52"/>
      <c r="HV39" s="52"/>
      <c r="HW39" s="52"/>
      <c r="HX39" s="52"/>
      <c r="HY39" s="52"/>
      <c r="HZ39" s="52"/>
      <c r="IA39" s="52"/>
      <c r="IB39" s="52"/>
      <c r="IC39" s="52"/>
      <c r="ID39" s="52"/>
      <c r="IE39" s="52"/>
      <c r="IF39" s="52"/>
      <c r="IG39" s="52"/>
      <c r="IH39" s="53"/>
      <c r="II39" s="53"/>
      <c r="IJ39" s="53"/>
      <c r="IK39" s="53"/>
      <c r="IL39" s="53"/>
      <c r="IM39" s="52"/>
      <c r="IN39" s="52">
        <v>91.5</v>
      </c>
      <c r="IY39" s="48">
        <f t="shared" si="2"/>
        <v>49.185628742514972</v>
      </c>
      <c r="IZ39" s="48">
        <f>IY39-'NOPA Crush'!J39</f>
        <v>1.0856287425149702</v>
      </c>
      <c r="JB39" s="63">
        <f t="shared" si="0"/>
        <v>10.77245508982036</v>
      </c>
      <c r="JC39" s="64">
        <f>JB39-'NOPA Crush'!O39</f>
        <v>-0.12754491017964042</v>
      </c>
      <c r="JD39" s="65"/>
      <c r="JE39" s="67">
        <f t="shared" si="1"/>
        <v>1207.7</v>
      </c>
      <c r="JF39" s="68">
        <f>'NOPA Crush'!Q39/'Census Crush'!JE39</f>
        <v>0.53498385360602796</v>
      </c>
    </row>
    <row r="40" spans="1:266">
      <c r="A40" s="39">
        <v>30256</v>
      </c>
      <c r="B40" s="49">
        <v>3242.8</v>
      </c>
      <c r="C40" s="50">
        <v>4366.3999999999996</v>
      </c>
      <c r="D40" s="50">
        <v>481.7</v>
      </c>
      <c r="E40" s="50">
        <v>1830.5</v>
      </c>
      <c r="F40" s="50" t="s">
        <v>264</v>
      </c>
      <c r="G40" s="50" t="s">
        <v>264</v>
      </c>
      <c r="H40" s="50" t="s">
        <v>264</v>
      </c>
      <c r="I40" s="50" t="s">
        <v>264</v>
      </c>
      <c r="J40" s="50" t="s">
        <v>264</v>
      </c>
      <c r="K40" s="49">
        <v>1145.3</v>
      </c>
      <c r="L40" s="49">
        <v>1304.6999999999998</v>
      </c>
      <c r="M40" s="49">
        <v>988.8</v>
      </c>
      <c r="N40" s="49">
        <v>315.89999999999998</v>
      </c>
      <c r="O40" s="50">
        <v>157.30000000000001</v>
      </c>
      <c r="P40" s="51">
        <v>148.9</v>
      </c>
      <c r="Q40" s="49">
        <v>66.400000000000006</v>
      </c>
      <c r="R40" s="49">
        <v>82.5</v>
      </c>
      <c r="S40" s="49"/>
      <c r="T40" s="50" t="s">
        <v>264</v>
      </c>
      <c r="U40" s="50" t="s">
        <v>264</v>
      </c>
      <c r="V40" s="50" t="s">
        <v>264</v>
      </c>
      <c r="W40" s="49">
        <v>4.5999999999999996</v>
      </c>
      <c r="X40" s="50" t="s">
        <v>264</v>
      </c>
      <c r="Y40" s="49">
        <v>4.8</v>
      </c>
      <c r="Z40" s="49">
        <v>57.099999999999994</v>
      </c>
      <c r="AA40" s="49">
        <v>47.8</v>
      </c>
      <c r="AB40" s="49">
        <v>9.3000000000000007</v>
      </c>
      <c r="AC40" s="49" t="s">
        <v>264</v>
      </c>
      <c r="AD40" s="49" t="s">
        <v>264</v>
      </c>
      <c r="AE40" s="49"/>
      <c r="AF40" s="51"/>
      <c r="AG40" s="50" t="s">
        <v>264</v>
      </c>
      <c r="AH40" s="50" t="s">
        <v>264</v>
      </c>
      <c r="AI40" s="49">
        <v>72.599999999999994</v>
      </c>
      <c r="AJ40" s="49"/>
      <c r="AK40" s="49"/>
      <c r="AL40" s="51">
        <v>55.199999999999996</v>
      </c>
      <c r="AM40" s="49">
        <v>33.299999999999997</v>
      </c>
      <c r="AN40" s="49">
        <v>21.9</v>
      </c>
      <c r="AO40" s="49">
        <v>2501.3000000000002</v>
      </c>
      <c r="AP40" s="49">
        <v>312.8</v>
      </c>
      <c r="AQ40" s="49">
        <v>80.099999999999994</v>
      </c>
      <c r="AR40" s="49">
        <v>36.799999999999997</v>
      </c>
      <c r="AS40" s="50">
        <v>219.4</v>
      </c>
      <c r="AT40" s="50">
        <v>168.8</v>
      </c>
      <c r="AU40" s="50">
        <v>122.8</v>
      </c>
      <c r="AV40" s="50">
        <v>51.7</v>
      </c>
      <c r="AW40" s="50" t="s">
        <v>264</v>
      </c>
      <c r="AX40" s="50" t="s">
        <v>264</v>
      </c>
      <c r="AY40" s="50" t="s">
        <v>264</v>
      </c>
      <c r="AZ40" s="50" t="s">
        <v>264</v>
      </c>
      <c r="BA40" s="50" t="s">
        <v>264</v>
      </c>
      <c r="BB40" s="50" t="s">
        <v>264</v>
      </c>
      <c r="BC40" s="50"/>
      <c r="BD40" s="52">
        <v>95.8</v>
      </c>
      <c r="BE40" s="52">
        <v>56.8</v>
      </c>
      <c r="BF40" s="52"/>
      <c r="BG40" s="52"/>
      <c r="BH40" s="52"/>
      <c r="BI40" s="52"/>
      <c r="BJ40" s="52"/>
      <c r="BK40" s="52"/>
      <c r="BL40" s="52"/>
      <c r="BM40" s="52">
        <v>531.9</v>
      </c>
      <c r="BN40" s="52"/>
      <c r="BO40" s="52"/>
      <c r="BP40" s="52"/>
      <c r="BQ40" s="52"/>
      <c r="BR40" s="52"/>
      <c r="BS40" s="53">
        <v>398.7</v>
      </c>
      <c r="BT40" s="52"/>
      <c r="BU40" s="52">
        <v>39</v>
      </c>
      <c r="BV40" s="50" t="s">
        <v>264</v>
      </c>
      <c r="BW40" s="50" t="s">
        <v>264</v>
      </c>
      <c r="BX40" s="50">
        <v>422.3</v>
      </c>
      <c r="BY40" s="50" t="s">
        <v>264</v>
      </c>
      <c r="BZ40" s="50" t="s">
        <v>264</v>
      </c>
      <c r="CA40" s="49"/>
      <c r="CB40" s="52"/>
      <c r="CC40" s="52"/>
      <c r="CD40" s="52"/>
      <c r="CE40" s="52"/>
      <c r="CF40" s="52">
        <v>95.5</v>
      </c>
      <c r="CG40" s="52">
        <v>144.30000000000001</v>
      </c>
      <c r="CH40" s="52">
        <v>22.3</v>
      </c>
      <c r="CI40" s="52"/>
      <c r="CJ40" s="52"/>
      <c r="CK40" s="52"/>
      <c r="CL40" s="52"/>
      <c r="CM40" s="52"/>
      <c r="CN40" s="52">
        <v>67.099999999999994</v>
      </c>
      <c r="CO40" s="52">
        <v>144.5</v>
      </c>
      <c r="CP40" s="52">
        <v>110.7</v>
      </c>
      <c r="CQ40" s="52">
        <v>33.799999999999997</v>
      </c>
      <c r="CR40" s="52" t="s">
        <v>264</v>
      </c>
      <c r="CS40" s="52">
        <v>26.799999999999997</v>
      </c>
      <c r="CT40" s="52">
        <v>12.7</v>
      </c>
      <c r="CU40" s="52">
        <v>14.1</v>
      </c>
      <c r="CV40" s="52">
        <v>56.7</v>
      </c>
      <c r="CW40" s="52">
        <v>56.7</v>
      </c>
      <c r="CX40" s="52"/>
      <c r="CY40" s="52">
        <v>16.600000000000001</v>
      </c>
      <c r="CZ40" s="52">
        <v>27.1</v>
      </c>
      <c r="DA40" s="52">
        <v>24.8</v>
      </c>
      <c r="DB40" s="52">
        <v>16.100000000000001</v>
      </c>
      <c r="DC40" s="52">
        <v>8.6999999999999993</v>
      </c>
      <c r="DD40" s="52"/>
      <c r="DE40" s="52"/>
      <c r="DF40" s="53"/>
      <c r="DG40" s="53">
        <v>186.6</v>
      </c>
      <c r="DH40" s="53">
        <v>134.80000000000001</v>
      </c>
      <c r="DI40" s="53">
        <v>742</v>
      </c>
      <c r="DJ40" s="53">
        <v>146.30000000000001</v>
      </c>
      <c r="DK40" s="53">
        <v>520</v>
      </c>
      <c r="DL40" s="53">
        <v>129.1</v>
      </c>
      <c r="DM40" s="53">
        <v>163.69999999999999</v>
      </c>
      <c r="DN40" s="53"/>
      <c r="DO40" s="53">
        <v>178.7</v>
      </c>
      <c r="DP40" s="53">
        <v>162.6</v>
      </c>
      <c r="DQ40" s="53">
        <v>90.6</v>
      </c>
      <c r="DR40" s="53">
        <v>162.5</v>
      </c>
      <c r="DS40" s="53">
        <v>625.9</v>
      </c>
      <c r="DT40" s="53">
        <v>3242.8</v>
      </c>
      <c r="DU40" s="53">
        <v>-321.40000000000009</v>
      </c>
      <c r="DV40" s="53">
        <v>0</v>
      </c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17"/>
      <c r="GZ40" s="52">
        <v>827.8</v>
      </c>
      <c r="HA40" s="52"/>
      <c r="HB40" s="17"/>
      <c r="HC40" s="17"/>
      <c r="HD40" s="17"/>
      <c r="HE40" s="17"/>
      <c r="HF40" s="52"/>
      <c r="HG40" s="52"/>
      <c r="HH40" s="52"/>
      <c r="HI40" s="52"/>
      <c r="HJ40" s="52"/>
      <c r="HK40" s="52"/>
      <c r="HL40" s="52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  <c r="ID40" s="52"/>
      <c r="IE40" s="52"/>
      <c r="IF40" s="52"/>
      <c r="IG40" s="52"/>
      <c r="IH40" s="53"/>
      <c r="II40" s="53"/>
      <c r="IJ40" s="53"/>
      <c r="IK40" s="53"/>
      <c r="IL40" s="53"/>
      <c r="IM40" s="52"/>
      <c r="IN40" s="52">
        <v>127.3</v>
      </c>
      <c r="IY40" s="48">
        <f t="shared" si="2"/>
        <v>47.762427531762675</v>
      </c>
      <c r="IZ40" s="48">
        <f>IY40-'NOPA Crush'!J40</f>
        <v>0.36242753176267684</v>
      </c>
      <c r="JB40" s="63">
        <f t="shared" si="0"/>
        <v>10.595473047983225</v>
      </c>
      <c r="JC40" s="64">
        <f>JB40-'NOPA Crush'!O40</f>
        <v>-4.5269520167749988E-3</v>
      </c>
      <c r="JD40" s="65"/>
      <c r="JE40" s="67">
        <f t="shared" si="1"/>
        <v>1304.6999999999998</v>
      </c>
      <c r="JF40" s="68">
        <f>'NOPA Crush'!Q40/'Census Crush'!JE40</f>
        <v>0.53836130911320612</v>
      </c>
    </row>
    <row r="41" spans="1:266">
      <c r="A41" s="39">
        <v>30286</v>
      </c>
      <c r="B41" s="49">
        <v>3355.9</v>
      </c>
      <c r="C41" s="50">
        <v>3752.4</v>
      </c>
      <c r="D41" s="50">
        <v>432.6</v>
      </c>
      <c r="E41" s="50">
        <v>1959</v>
      </c>
      <c r="F41" s="50" t="s">
        <v>264</v>
      </c>
      <c r="G41" s="50">
        <v>73.599999999999994</v>
      </c>
      <c r="H41" s="50">
        <v>70.5</v>
      </c>
      <c r="I41" s="50" t="s">
        <v>264</v>
      </c>
      <c r="J41" s="50" t="s">
        <v>264</v>
      </c>
      <c r="K41" s="49">
        <v>1191.0999999999999</v>
      </c>
      <c r="L41" s="49">
        <v>1586.6999999999998</v>
      </c>
      <c r="M41" s="49">
        <v>1241.0999999999999</v>
      </c>
      <c r="N41" s="49">
        <v>345.6</v>
      </c>
      <c r="O41" s="50">
        <v>143.30000000000001</v>
      </c>
      <c r="P41" s="51">
        <v>172.2</v>
      </c>
      <c r="Q41" s="49">
        <v>66.599999999999994</v>
      </c>
      <c r="R41" s="49">
        <v>105.6</v>
      </c>
      <c r="S41" s="49"/>
      <c r="T41" s="50" t="s">
        <v>264</v>
      </c>
      <c r="U41" s="50" t="s">
        <v>264</v>
      </c>
      <c r="V41" s="50" t="s">
        <v>264</v>
      </c>
      <c r="W41" s="49">
        <v>4.3</v>
      </c>
      <c r="X41" s="49">
        <v>52.9</v>
      </c>
      <c r="Y41" s="49">
        <v>10.6</v>
      </c>
      <c r="Z41" s="49">
        <v>93.6</v>
      </c>
      <c r="AA41" s="49">
        <v>81.5</v>
      </c>
      <c r="AB41" s="49">
        <v>12.1</v>
      </c>
      <c r="AC41" s="49" t="s">
        <v>264</v>
      </c>
      <c r="AD41" s="49" t="s">
        <v>264</v>
      </c>
      <c r="AE41" s="49"/>
      <c r="AF41" s="51"/>
      <c r="AG41" s="50" t="s">
        <v>264</v>
      </c>
      <c r="AH41" s="50" t="s">
        <v>264</v>
      </c>
      <c r="AI41" s="49">
        <v>78.400000000000006</v>
      </c>
      <c r="AJ41" s="49"/>
      <c r="AK41" s="49"/>
      <c r="AL41" s="51">
        <v>66.199999999999989</v>
      </c>
      <c r="AM41" s="49">
        <v>38.799999999999997</v>
      </c>
      <c r="AN41" s="49">
        <v>27.4</v>
      </c>
      <c r="AO41" s="49">
        <v>2593.1</v>
      </c>
      <c r="AP41" s="49">
        <v>286.60000000000002</v>
      </c>
      <c r="AQ41" s="49">
        <v>85.6</v>
      </c>
      <c r="AR41" s="49">
        <v>45.7</v>
      </c>
      <c r="AS41" s="50">
        <v>197.3</v>
      </c>
      <c r="AT41" s="50">
        <v>142.9</v>
      </c>
      <c r="AU41" s="50">
        <v>108.1</v>
      </c>
      <c r="AV41" s="50">
        <v>47.8</v>
      </c>
      <c r="AW41" s="50" t="s">
        <v>264</v>
      </c>
      <c r="AX41" s="50" t="s">
        <v>264</v>
      </c>
      <c r="AY41" s="50">
        <v>38.5</v>
      </c>
      <c r="AZ41" s="50">
        <v>9</v>
      </c>
      <c r="BA41" s="50" t="s">
        <v>264</v>
      </c>
      <c r="BB41" s="50" t="s">
        <v>264</v>
      </c>
      <c r="BC41" s="50"/>
      <c r="BD41" s="52">
        <v>104.6</v>
      </c>
      <c r="BE41" s="52">
        <v>58.8</v>
      </c>
      <c r="BF41" s="52"/>
      <c r="BG41" s="52"/>
      <c r="BH41" s="52"/>
      <c r="BI41" s="52"/>
      <c r="BJ41" s="52"/>
      <c r="BK41" s="52"/>
      <c r="BL41" s="52"/>
      <c r="BM41" s="52">
        <v>530.1</v>
      </c>
      <c r="BN41" s="52"/>
      <c r="BO41" s="52"/>
      <c r="BP41" s="52"/>
      <c r="BQ41" s="52"/>
      <c r="BR41" s="52"/>
      <c r="BS41" s="53">
        <v>368.1</v>
      </c>
      <c r="BT41" s="52"/>
      <c r="BU41" s="52">
        <v>37.5</v>
      </c>
      <c r="BV41" s="50" t="s">
        <v>264</v>
      </c>
      <c r="BW41" s="50" t="s">
        <v>264</v>
      </c>
      <c r="BX41" s="50">
        <v>428.7</v>
      </c>
      <c r="BY41" s="50" t="s">
        <v>264</v>
      </c>
      <c r="BZ41" s="50" t="s">
        <v>264</v>
      </c>
      <c r="CA41" s="49"/>
      <c r="CB41" s="52"/>
      <c r="CC41" s="52"/>
      <c r="CD41" s="52"/>
      <c r="CE41" s="52"/>
      <c r="CF41" s="52">
        <v>85.9</v>
      </c>
      <c r="CG41" s="52">
        <v>180.6</v>
      </c>
      <c r="CH41" s="52">
        <v>21.2</v>
      </c>
      <c r="CI41" s="52"/>
      <c r="CJ41" s="52"/>
      <c r="CK41" s="52"/>
      <c r="CL41" s="52"/>
      <c r="CM41" s="52"/>
      <c r="CN41" s="52">
        <v>54.2</v>
      </c>
      <c r="CO41" s="52">
        <v>127.10000000000001</v>
      </c>
      <c r="CP41" s="52">
        <v>97.9</v>
      </c>
      <c r="CQ41" s="52">
        <v>29.2</v>
      </c>
      <c r="CR41" s="52" t="s">
        <v>264</v>
      </c>
      <c r="CS41" s="52">
        <v>39</v>
      </c>
      <c r="CT41" s="52">
        <v>22</v>
      </c>
      <c r="CU41" s="52">
        <v>17</v>
      </c>
      <c r="CV41" s="52">
        <v>57.7</v>
      </c>
      <c r="CW41" s="52">
        <v>57.7</v>
      </c>
      <c r="CX41" s="52"/>
      <c r="CY41" s="52">
        <v>14.8</v>
      </c>
      <c r="CZ41" s="52">
        <v>34.9</v>
      </c>
      <c r="DA41" s="52">
        <v>28.7</v>
      </c>
      <c r="DB41" s="52">
        <v>20.5</v>
      </c>
      <c r="DC41" s="52">
        <v>8.1999999999999993</v>
      </c>
      <c r="DD41" s="52"/>
      <c r="DE41" s="52"/>
      <c r="DF41" s="53"/>
      <c r="DG41" s="53">
        <v>174.6</v>
      </c>
      <c r="DH41" s="53"/>
      <c r="DI41" s="53">
        <v>775.7</v>
      </c>
      <c r="DJ41" s="53">
        <v>157</v>
      </c>
      <c r="DK41" s="53">
        <v>509.3</v>
      </c>
      <c r="DL41" s="53">
        <v>133</v>
      </c>
      <c r="DM41" s="53">
        <v>193</v>
      </c>
      <c r="DN41" s="53"/>
      <c r="DO41" s="53">
        <v>186.7</v>
      </c>
      <c r="DP41" s="53">
        <v>167.6</v>
      </c>
      <c r="DQ41" s="53">
        <v>85</v>
      </c>
      <c r="DR41" s="53">
        <v>167.3</v>
      </c>
      <c r="DS41" s="53">
        <v>806.7</v>
      </c>
      <c r="DT41" s="53">
        <v>3355.9</v>
      </c>
      <c r="DU41" s="53">
        <v>-174.59999999999991</v>
      </c>
      <c r="DV41" s="53">
        <v>0</v>
      </c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17"/>
      <c r="GZ41" s="52">
        <v>795.1</v>
      </c>
      <c r="HA41" s="52"/>
      <c r="HB41" s="17"/>
      <c r="HC41" s="17"/>
      <c r="HD41" s="17"/>
      <c r="HE41" s="17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3"/>
      <c r="II41" s="53"/>
      <c r="IJ41" s="53"/>
      <c r="IK41" s="53"/>
      <c r="IL41" s="53"/>
      <c r="IM41" s="52"/>
      <c r="IN41" s="52">
        <v>124.5</v>
      </c>
      <c r="IY41" s="48">
        <f t="shared" si="2"/>
        <v>47.892368664143746</v>
      </c>
      <c r="IZ41" s="48">
        <f>IY41-'NOPA Crush'!J41</f>
        <v>0.3923686641437456</v>
      </c>
      <c r="JB41" s="63">
        <f t="shared" si="0"/>
        <v>10.647814297207901</v>
      </c>
      <c r="JC41" s="64">
        <f>JB41-'NOPA Crush'!O41</f>
        <v>4.7814297207901646E-2</v>
      </c>
      <c r="JD41" s="65"/>
      <c r="JE41" s="67">
        <f t="shared" si="1"/>
        <v>1586.6999999999998</v>
      </c>
      <c r="JF41" s="68">
        <f>'NOPA Crush'!Q41/'Census Crush'!JE41</f>
        <v>0.54345496943341531</v>
      </c>
    </row>
    <row r="42" spans="1:266">
      <c r="A42" s="39">
        <v>30317</v>
      </c>
      <c r="B42" s="49">
        <v>3300.4</v>
      </c>
      <c r="C42" s="50">
        <v>3487.2</v>
      </c>
      <c r="D42" s="50">
        <v>435.6</v>
      </c>
      <c r="E42" s="50">
        <v>1667.3</v>
      </c>
      <c r="F42" s="50" t="s">
        <v>264</v>
      </c>
      <c r="G42" s="50">
        <v>71.599999999999994</v>
      </c>
      <c r="H42" s="50">
        <v>63.2</v>
      </c>
      <c r="I42" s="50" t="s">
        <v>264</v>
      </c>
      <c r="J42" s="50" t="s">
        <v>264</v>
      </c>
      <c r="K42" s="49">
        <v>1167.2</v>
      </c>
      <c r="L42" s="49">
        <v>1713.3999999999999</v>
      </c>
      <c r="M42" s="49">
        <v>1370.6</v>
      </c>
      <c r="N42" s="49">
        <v>342.8</v>
      </c>
      <c r="O42" s="50">
        <v>137.6</v>
      </c>
      <c r="P42" s="51">
        <v>175.3</v>
      </c>
      <c r="Q42" s="49">
        <v>78.400000000000006</v>
      </c>
      <c r="R42" s="49">
        <v>96.9</v>
      </c>
      <c r="S42" s="49"/>
      <c r="T42" s="50" t="s">
        <v>264</v>
      </c>
      <c r="U42" s="50" t="s">
        <v>264</v>
      </c>
      <c r="V42" s="50" t="s">
        <v>264</v>
      </c>
      <c r="W42" s="49">
        <v>5.3</v>
      </c>
      <c r="X42" s="49">
        <v>53.1</v>
      </c>
      <c r="Y42" s="49">
        <v>6.6</v>
      </c>
      <c r="Z42" s="49">
        <v>126</v>
      </c>
      <c r="AA42" s="49">
        <v>113.6</v>
      </c>
      <c r="AB42" s="49">
        <v>12.4</v>
      </c>
      <c r="AC42" s="49" t="s">
        <v>264</v>
      </c>
      <c r="AD42" s="49" t="s">
        <v>264</v>
      </c>
      <c r="AE42" s="49"/>
      <c r="AF42" s="51"/>
      <c r="AG42" s="50" t="s">
        <v>264</v>
      </c>
      <c r="AH42" s="50" t="s">
        <v>264</v>
      </c>
      <c r="AI42" s="49">
        <v>78.900000000000006</v>
      </c>
      <c r="AJ42" s="49"/>
      <c r="AK42" s="49"/>
      <c r="AL42" s="51">
        <v>64.400000000000006</v>
      </c>
      <c r="AM42" s="49">
        <v>39</v>
      </c>
      <c r="AN42" s="49">
        <v>25.4</v>
      </c>
      <c r="AO42" s="49">
        <v>2545.3000000000002</v>
      </c>
      <c r="AP42" s="49">
        <v>358.3</v>
      </c>
      <c r="AQ42" s="49">
        <v>82.8</v>
      </c>
      <c r="AR42" s="49">
        <v>41.9</v>
      </c>
      <c r="AS42" s="50">
        <v>195.1</v>
      </c>
      <c r="AT42" s="50">
        <v>101.5</v>
      </c>
      <c r="AU42" s="50">
        <v>112.7</v>
      </c>
      <c r="AV42" s="50">
        <v>46.4</v>
      </c>
      <c r="AW42" s="50" t="s">
        <v>264</v>
      </c>
      <c r="AX42" s="50" t="s">
        <v>264</v>
      </c>
      <c r="AY42" s="50">
        <v>36.9</v>
      </c>
      <c r="AZ42" s="50">
        <v>9.5</v>
      </c>
      <c r="BA42" s="50" t="s">
        <v>264</v>
      </c>
      <c r="BB42" s="50" t="s">
        <v>264</v>
      </c>
      <c r="BC42" s="50"/>
      <c r="BD42" s="52">
        <v>97.1</v>
      </c>
      <c r="BE42" s="52">
        <v>58.9</v>
      </c>
      <c r="BF42" s="52"/>
      <c r="BG42" s="52"/>
      <c r="BH42" s="52"/>
      <c r="BI42" s="52"/>
      <c r="BJ42" s="52"/>
      <c r="BK42" s="52"/>
      <c r="BL42" s="52"/>
      <c r="BM42" s="52">
        <v>503.7</v>
      </c>
      <c r="BN42" s="52"/>
      <c r="BO42" s="52"/>
      <c r="BP42" s="52"/>
      <c r="BQ42" s="52"/>
      <c r="BR42" s="52"/>
      <c r="BS42" s="53">
        <v>375.9</v>
      </c>
      <c r="BT42" s="52"/>
      <c r="BU42" s="52">
        <v>38.299999999999997</v>
      </c>
      <c r="BV42" s="50" t="s">
        <v>264</v>
      </c>
      <c r="BW42" s="50" t="s">
        <v>264</v>
      </c>
      <c r="BX42" s="50">
        <v>402.7</v>
      </c>
      <c r="BY42" s="50" t="s">
        <v>264</v>
      </c>
      <c r="BZ42" s="50" t="s">
        <v>264</v>
      </c>
      <c r="CA42" s="49"/>
      <c r="CB42" s="52"/>
      <c r="CC42" s="52"/>
      <c r="CD42" s="52"/>
      <c r="CE42" s="52"/>
      <c r="CF42" s="52">
        <v>92.5</v>
      </c>
      <c r="CG42" s="52">
        <v>166.1</v>
      </c>
      <c r="CH42" s="52">
        <v>20.7</v>
      </c>
      <c r="CI42" s="52"/>
      <c r="CJ42" s="52"/>
      <c r="CK42" s="52"/>
      <c r="CL42" s="52"/>
      <c r="CM42" s="52"/>
      <c r="CN42" s="52">
        <v>53.5</v>
      </c>
      <c r="CO42" s="52">
        <v>143.9</v>
      </c>
      <c r="CP42" s="52">
        <v>109.4</v>
      </c>
      <c r="CQ42" s="52">
        <v>34.5</v>
      </c>
      <c r="CR42" s="52" t="s">
        <v>264</v>
      </c>
      <c r="CS42" s="52">
        <v>34.099999999999994</v>
      </c>
      <c r="CT42" s="52">
        <v>20.399999999999999</v>
      </c>
      <c r="CU42" s="52">
        <v>13.7</v>
      </c>
      <c r="CV42" s="52">
        <v>57.9</v>
      </c>
      <c r="CW42" s="52">
        <v>57.9</v>
      </c>
      <c r="CX42" s="52"/>
      <c r="CY42" s="52">
        <v>12.1</v>
      </c>
      <c r="CZ42" s="52">
        <v>31.3</v>
      </c>
      <c r="DA42" s="52">
        <v>37.700000000000003</v>
      </c>
      <c r="DB42" s="52">
        <v>25.9</v>
      </c>
      <c r="DC42" s="52">
        <v>11.8</v>
      </c>
      <c r="DD42" s="52"/>
      <c r="DE42" s="52"/>
      <c r="DF42" s="53"/>
      <c r="DG42" s="53">
        <v>161.5</v>
      </c>
      <c r="DH42" s="53">
        <v>135.80000000000001</v>
      </c>
      <c r="DI42" s="53">
        <v>741.3</v>
      </c>
      <c r="DJ42" s="53">
        <v>150.4</v>
      </c>
      <c r="DK42" s="53">
        <v>559.6</v>
      </c>
      <c r="DL42" s="53">
        <v>133.9</v>
      </c>
      <c r="DM42" s="53">
        <v>197.7</v>
      </c>
      <c r="DN42" s="53"/>
      <c r="DO42" s="53">
        <v>182.3</v>
      </c>
      <c r="DP42" s="53">
        <v>164.1</v>
      </c>
      <c r="DQ42" s="53">
        <v>86.8</v>
      </c>
      <c r="DR42" s="53">
        <v>159.19999999999999</v>
      </c>
      <c r="DS42" s="53">
        <v>627.79999999999995</v>
      </c>
      <c r="DT42" s="53">
        <v>3300.4</v>
      </c>
      <c r="DU42" s="53">
        <v>-297.29999999999973</v>
      </c>
      <c r="DV42" s="53">
        <v>0</v>
      </c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  <c r="FX42" s="52"/>
      <c r="FY42" s="52"/>
      <c r="FZ42" s="52"/>
      <c r="GA42" s="52"/>
      <c r="GB42" s="52"/>
      <c r="GC42" s="52"/>
      <c r="GD42" s="52"/>
      <c r="GE42" s="52"/>
      <c r="GF42" s="52"/>
      <c r="GG42" s="52"/>
      <c r="GH42" s="52"/>
      <c r="GI42" s="52"/>
      <c r="GJ42" s="52"/>
      <c r="GK42" s="52"/>
      <c r="GL42" s="52"/>
      <c r="GM42" s="52"/>
      <c r="GN42" s="52"/>
      <c r="GO42" s="52"/>
      <c r="GP42" s="52"/>
      <c r="GQ42" s="52"/>
      <c r="GR42" s="52"/>
      <c r="GS42" s="52"/>
      <c r="GT42" s="52"/>
      <c r="GU42" s="52"/>
      <c r="GV42" s="52"/>
      <c r="GW42" s="52"/>
      <c r="GX42" s="52"/>
      <c r="GY42" s="17"/>
      <c r="GZ42" s="52">
        <v>784.1</v>
      </c>
      <c r="HA42" s="52"/>
      <c r="HB42" s="17"/>
      <c r="HC42" s="17"/>
      <c r="HD42" s="17"/>
      <c r="HE42" s="17"/>
      <c r="HF42" s="52"/>
      <c r="HG42" s="52"/>
      <c r="HH42" s="52"/>
      <c r="HI42" s="52"/>
      <c r="HJ42" s="52"/>
      <c r="HK42" s="52"/>
      <c r="HL42" s="52"/>
      <c r="HM42" s="52"/>
      <c r="HN42" s="52"/>
      <c r="HO42" s="52"/>
      <c r="HP42" s="52"/>
      <c r="HQ42" s="52"/>
      <c r="HR42" s="52"/>
      <c r="HS42" s="52"/>
      <c r="HT42" s="52"/>
      <c r="HU42" s="52"/>
      <c r="HV42" s="52"/>
      <c r="HW42" s="52"/>
      <c r="HX42" s="52"/>
      <c r="HY42" s="52"/>
      <c r="HZ42" s="52"/>
      <c r="IA42" s="52"/>
      <c r="IB42" s="52"/>
      <c r="IC42" s="52"/>
      <c r="ID42" s="52"/>
      <c r="IE42" s="52"/>
      <c r="IF42" s="52"/>
      <c r="IG42" s="52"/>
      <c r="IH42" s="53"/>
      <c r="II42" s="53"/>
      <c r="IJ42" s="53"/>
      <c r="IK42" s="53"/>
      <c r="IL42" s="53"/>
      <c r="IM42" s="52"/>
      <c r="IN42" s="52">
        <v>119.2</v>
      </c>
      <c r="IY42" s="48">
        <f t="shared" si="2"/>
        <v>47.777845109683682</v>
      </c>
      <c r="IZ42" s="48">
        <f>IY42-'NOPA Crush'!J42</f>
        <v>0.27784510968368181</v>
      </c>
      <c r="JB42" s="63">
        <f t="shared" si="0"/>
        <v>10.60962307599079</v>
      </c>
      <c r="JC42" s="64">
        <f>JB42-'NOPA Crush'!O42</f>
        <v>9.6230759907900421E-3</v>
      </c>
      <c r="JD42" s="65"/>
      <c r="JE42" s="67">
        <f t="shared" si="1"/>
        <v>1713.3999999999999</v>
      </c>
      <c r="JF42" s="68">
        <f>'NOPA Crush'!Q42/'Census Crush'!JE42</f>
        <v>0.54669079024162492</v>
      </c>
    </row>
    <row r="43" spans="1:266">
      <c r="A43" s="39">
        <v>30348</v>
      </c>
      <c r="B43" s="49">
        <v>2789.3</v>
      </c>
      <c r="C43" s="50">
        <v>2954.4</v>
      </c>
      <c r="D43" s="50">
        <v>368.7</v>
      </c>
      <c r="E43" s="50">
        <v>1418.5</v>
      </c>
      <c r="F43" s="50" t="s">
        <v>264</v>
      </c>
      <c r="G43" s="50">
        <v>69.3</v>
      </c>
      <c r="H43" s="50">
        <v>46.2</v>
      </c>
      <c r="I43" s="50" t="s">
        <v>264</v>
      </c>
      <c r="J43" s="50" t="s">
        <v>264</v>
      </c>
      <c r="K43" s="49">
        <v>997</v>
      </c>
      <c r="L43" s="49">
        <v>1700.3000000000002</v>
      </c>
      <c r="M43" s="49">
        <v>1364.7</v>
      </c>
      <c r="N43" s="49">
        <v>335.6</v>
      </c>
      <c r="O43" s="50">
        <v>117.7</v>
      </c>
      <c r="P43" s="51">
        <v>175.1</v>
      </c>
      <c r="Q43" s="49">
        <v>74.5</v>
      </c>
      <c r="R43" s="49">
        <v>100.6</v>
      </c>
      <c r="S43" s="49"/>
      <c r="T43" s="50" t="s">
        <v>264</v>
      </c>
      <c r="U43" s="50" t="s">
        <v>264</v>
      </c>
      <c r="V43" s="50" t="s">
        <v>264</v>
      </c>
      <c r="W43" s="49">
        <v>4.0999999999999996</v>
      </c>
      <c r="X43" s="49">
        <v>55.3</v>
      </c>
      <c r="Y43" s="49">
        <v>6.5</v>
      </c>
      <c r="Z43" s="49">
        <v>118.8</v>
      </c>
      <c r="AA43" s="49">
        <v>101.1</v>
      </c>
      <c r="AB43" s="49">
        <v>17.7</v>
      </c>
      <c r="AC43" s="49" t="s">
        <v>264</v>
      </c>
      <c r="AD43" s="49" t="s">
        <v>264</v>
      </c>
      <c r="AE43" s="49"/>
      <c r="AF43" s="51"/>
      <c r="AG43" s="50" t="s">
        <v>264</v>
      </c>
      <c r="AH43" s="50" t="s">
        <v>264</v>
      </c>
      <c r="AI43" s="49">
        <v>73.099999999999994</v>
      </c>
      <c r="AJ43" s="49"/>
      <c r="AK43" s="49"/>
      <c r="AL43" s="51">
        <v>66.199999999999989</v>
      </c>
      <c r="AM43" s="49">
        <v>39.299999999999997</v>
      </c>
      <c r="AN43" s="49">
        <v>26.9</v>
      </c>
      <c r="AO43" s="49">
        <v>2143.6999999999998</v>
      </c>
      <c r="AP43" s="49">
        <v>387.1</v>
      </c>
      <c r="AQ43" s="49">
        <v>77</v>
      </c>
      <c r="AR43" s="49">
        <v>35.700000000000003</v>
      </c>
      <c r="AS43" s="50">
        <v>167</v>
      </c>
      <c r="AT43" s="50">
        <v>107.3</v>
      </c>
      <c r="AU43" s="50">
        <v>96.1</v>
      </c>
      <c r="AV43" s="50">
        <v>53.1</v>
      </c>
      <c r="AW43" s="50" t="s">
        <v>264</v>
      </c>
      <c r="AX43" s="50" t="s">
        <v>264</v>
      </c>
      <c r="AY43" s="50">
        <v>37.5</v>
      </c>
      <c r="AZ43" s="50">
        <v>12.1</v>
      </c>
      <c r="BA43" s="50" t="s">
        <v>264</v>
      </c>
      <c r="BB43" s="50" t="s">
        <v>264</v>
      </c>
      <c r="BC43" s="50"/>
      <c r="BD43" s="52">
        <v>93</v>
      </c>
      <c r="BE43" s="52">
        <v>51.8</v>
      </c>
      <c r="BF43" s="52"/>
      <c r="BG43" s="52"/>
      <c r="BH43" s="52"/>
      <c r="BI43" s="52"/>
      <c r="BJ43" s="52"/>
      <c r="BK43" s="52"/>
      <c r="BL43" s="52"/>
      <c r="BM43" s="52">
        <v>467.2</v>
      </c>
      <c r="BN43" s="52"/>
      <c r="BO43" s="52"/>
      <c r="BP43" s="52"/>
      <c r="BQ43" s="52"/>
      <c r="BR43" s="52"/>
      <c r="BS43" s="53">
        <v>358.4</v>
      </c>
      <c r="BT43" s="52"/>
      <c r="BU43" s="52">
        <v>31.5</v>
      </c>
      <c r="BV43" s="50" t="s">
        <v>264</v>
      </c>
      <c r="BW43" s="50" t="s">
        <v>264</v>
      </c>
      <c r="BX43" s="50">
        <v>366.2</v>
      </c>
      <c r="BY43" s="50" t="s">
        <v>264</v>
      </c>
      <c r="BZ43" s="50" t="s">
        <v>264</v>
      </c>
      <c r="CA43" s="49"/>
      <c r="CB43" s="52"/>
      <c r="CC43" s="52"/>
      <c r="CD43" s="52"/>
      <c r="CE43" s="52"/>
      <c r="CF43" s="52">
        <v>98</v>
      </c>
      <c r="CG43" s="52">
        <v>180.1</v>
      </c>
      <c r="CH43" s="52">
        <v>21.4</v>
      </c>
      <c r="CI43" s="52"/>
      <c r="CJ43" s="52"/>
      <c r="CK43" s="52"/>
      <c r="CL43" s="52"/>
      <c r="CM43" s="52"/>
      <c r="CN43" s="52">
        <v>57.5</v>
      </c>
      <c r="CO43" s="52">
        <v>144.69999999999999</v>
      </c>
      <c r="CP43" s="52">
        <v>104.1</v>
      </c>
      <c r="CQ43" s="52">
        <v>40.6</v>
      </c>
      <c r="CR43" s="52" t="s">
        <v>264</v>
      </c>
      <c r="CS43" s="52">
        <v>41.8</v>
      </c>
      <c r="CT43" s="52">
        <v>29.4</v>
      </c>
      <c r="CU43" s="52">
        <v>12.4</v>
      </c>
      <c r="CV43" s="52">
        <v>76.400000000000006</v>
      </c>
      <c r="CW43" s="52">
        <v>76.400000000000006</v>
      </c>
      <c r="CX43" s="52"/>
      <c r="CY43" s="52">
        <v>12.5</v>
      </c>
      <c r="CZ43" s="52">
        <v>46.3</v>
      </c>
      <c r="DA43" s="52" t="s">
        <v>264</v>
      </c>
      <c r="DB43" s="52" t="s">
        <v>264</v>
      </c>
      <c r="DC43" s="52" t="s">
        <v>264</v>
      </c>
      <c r="DD43" s="52"/>
      <c r="DE43" s="52"/>
      <c r="DF43" s="53"/>
      <c r="DG43" s="53">
        <v>128</v>
      </c>
      <c r="DH43" s="53">
        <v>126.8</v>
      </c>
      <c r="DI43" s="53">
        <v>607.29999999999995</v>
      </c>
      <c r="DJ43" s="53">
        <v>138.4</v>
      </c>
      <c r="DK43" s="53">
        <v>479.7</v>
      </c>
      <c r="DL43" s="53">
        <v>117.9</v>
      </c>
      <c r="DM43" s="53">
        <v>156.19999999999999</v>
      </c>
      <c r="DN43" s="53"/>
      <c r="DO43" s="53">
        <v>151.30000000000001</v>
      </c>
      <c r="DP43" s="53">
        <v>151.4</v>
      </c>
      <c r="DQ43" s="53">
        <v>75</v>
      </c>
      <c r="DR43" s="53">
        <v>145.69999999999999</v>
      </c>
      <c r="DS43" s="53">
        <v>511.6</v>
      </c>
      <c r="DT43" s="53">
        <v>2789.3</v>
      </c>
      <c r="DU43" s="53">
        <v>-254.80000000000018</v>
      </c>
      <c r="DV43" s="53">
        <v>0</v>
      </c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2"/>
      <c r="GC43" s="52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2"/>
      <c r="GO43" s="52"/>
      <c r="GP43" s="52"/>
      <c r="GQ43" s="52"/>
      <c r="GR43" s="52"/>
      <c r="GS43" s="52"/>
      <c r="GT43" s="52"/>
      <c r="GU43" s="52"/>
      <c r="GV43" s="52"/>
      <c r="GW43" s="52"/>
      <c r="GX43" s="52"/>
      <c r="GY43" s="17"/>
      <c r="GZ43" s="52">
        <v>727.1</v>
      </c>
      <c r="HA43" s="52"/>
      <c r="HB43" s="17"/>
      <c r="HC43" s="17"/>
      <c r="HD43" s="17"/>
      <c r="HE43" s="17"/>
      <c r="HF43" s="52"/>
      <c r="HG43" s="52"/>
      <c r="HH43" s="52"/>
      <c r="HI43" s="52"/>
      <c r="HJ43" s="52"/>
      <c r="HK43" s="52"/>
      <c r="HL43" s="52"/>
      <c r="HM43" s="52"/>
      <c r="HN43" s="52"/>
      <c r="HO43" s="52"/>
      <c r="HP43" s="52"/>
      <c r="HQ43" s="52"/>
      <c r="HR43" s="52"/>
      <c r="HS43" s="52"/>
      <c r="HT43" s="52"/>
      <c r="HU43" s="52"/>
      <c r="HV43" s="52"/>
      <c r="HW43" s="52"/>
      <c r="HX43" s="52"/>
      <c r="HY43" s="52"/>
      <c r="HZ43" s="52"/>
      <c r="IA43" s="52"/>
      <c r="IB43" s="52"/>
      <c r="IC43" s="52"/>
      <c r="ID43" s="52"/>
      <c r="IE43" s="52"/>
      <c r="IF43" s="52"/>
      <c r="IG43" s="52"/>
      <c r="IH43" s="53"/>
      <c r="II43" s="53"/>
      <c r="IJ43" s="53"/>
      <c r="IK43" s="53"/>
      <c r="IL43" s="53"/>
      <c r="IM43" s="52"/>
      <c r="IN43" s="52">
        <v>113.4</v>
      </c>
      <c r="IY43" s="48">
        <f t="shared" si="2"/>
        <v>47.768974294625885</v>
      </c>
      <c r="IZ43" s="48">
        <f>IY43-'NOPA Crush'!J43</f>
        <v>0.26897429462588462</v>
      </c>
      <c r="JB43" s="63">
        <f t="shared" si="0"/>
        <v>10.723120496181837</v>
      </c>
      <c r="JC43" s="64">
        <f>JB43-'NOPA Crush'!O43</f>
        <v>2.3120496181837424E-2</v>
      </c>
      <c r="JD43" s="65"/>
      <c r="JE43" s="67">
        <f t="shared" si="1"/>
        <v>1700.3000000000002</v>
      </c>
      <c r="JF43" s="68">
        <f>'NOPA Crush'!Q43/'Census Crush'!JE43</f>
        <v>0.59324825030876904</v>
      </c>
    </row>
    <row r="44" spans="1:266">
      <c r="A44" s="39">
        <v>30376</v>
      </c>
      <c r="B44" s="49">
        <v>2837.3</v>
      </c>
      <c r="C44" s="50">
        <v>2885</v>
      </c>
      <c r="D44" s="50">
        <v>321.7</v>
      </c>
      <c r="E44" s="50">
        <v>1777.8</v>
      </c>
      <c r="F44" s="50" t="s">
        <v>264</v>
      </c>
      <c r="G44" s="50">
        <v>103.8</v>
      </c>
      <c r="H44" s="50">
        <v>41.9</v>
      </c>
      <c r="I44" s="50" t="s">
        <v>264</v>
      </c>
      <c r="J44" s="50" t="s">
        <v>264</v>
      </c>
      <c r="K44" s="49">
        <v>1015.4</v>
      </c>
      <c r="L44" s="49">
        <v>1841.8</v>
      </c>
      <c r="M44" s="49">
        <v>1525.1</v>
      </c>
      <c r="N44" s="49">
        <v>316.7</v>
      </c>
      <c r="O44" s="50">
        <v>102.6</v>
      </c>
      <c r="P44" s="51">
        <v>158.1</v>
      </c>
      <c r="Q44" s="49">
        <v>70.3</v>
      </c>
      <c r="R44" s="49">
        <v>87.8</v>
      </c>
      <c r="S44" s="49"/>
      <c r="T44" s="50" t="s">
        <v>264</v>
      </c>
      <c r="U44" s="50" t="s">
        <v>264</v>
      </c>
      <c r="V44" s="50" t="s">
        <v>264</v>
      </c>
      <c r="W44" s="49">
        <v>4.3</v>
      </c>
      <c r="X44" s="49">
        <v>77.599999999999994</v>
      </c>
      <c r="Y44" s="49">
        <v>14.3</v>
      </c>
      <c r="Z44" s="49">
        <v>96.9</v>
      </c>
      <c r="AA44" s="49">
        <v>80.400000000000006</v>
      </c>
      <c r="AB44" s="49">
        <v>16.5</v>
      </c>
      <c r="AC44" s="49" t="s">
        <v>264</v>
      </c>
      <c r="AD44" s="49" t="s">
        <v>264</v>
      </c>
      <c r="AE44" s="49"/>
      <c r="AF44" s="51"/>
      <c r="AG44" s="50" t="s">
        <v>264</v>
      </c>
      <c r="AH44" s="50" t="s">
        <v>264</v>
      </c>
      <c r="AI44" s="49">
        <v>88.2</v>
      </c>
      <c r="AJ44" s="49"/>
      <c r="AK44" s="49"/>
      <c r="AL44" s="51">
        <v>78.2</v>
      </c>
      <c r="AM44" s="49">
        <v>51.9</v>
      </c>
      <c r="AN44" s="49">
        <v>26.3</v>
      </c>
      <c r="AO44" s="49">
        <v>2176.5</v>
      </c>
      <c r="AP44" s="49">
        <v>306.39999999999998</v>
      </c>
      <c r="AQ44" s="49">
        <v>82.2</v>
      </c>
      <c r="AR44" s="49">
        <v>34.6</v>
      </c>
      <c r="AS44" s="50">
        <v>146.69999999999999</v>
      </c>
      <c r="AT44" s="50">
        <v>106.6</v>
      </c>
      <c r="AU44" s="50">
        <v>80.8</v>
      </c>
      <c r="AV44" s="50">
        <v>41.7</v>
      </c>
      <c r="AW44" s="50" t="s">
        <v>264</v>
      </c>
      <c r="AX44" s="50" t="s">
        <v>264</v>
      </c>
      <c r="AY44" s="50">
        <v>56.4</v>
      </c>
      <c r="AZ44" s="50">
        <v>14.5</v>
      </c>
      <c r="BA44" s="50" t="s">
        <v>264</v>
      </c>
      <c r="BB44" s="50" t="s">
        <v>264</v>
      </c>
      <c r="BC44" s="50"/>
      <c r="BD44" s="52">
        <v>107.3</v>
      </c>
      <c r="BE44" s="52">
        <v>40</v>
      </c>
      <c r="BF44" s="52"/>
      <c r="BG44" s="52"/>
      <c r="BH44" s="52"/>
      <c r="BI44" s="52"/>
      <c r="BJ44" s="52"/>
      <c r="BK44" s="52"/>
      <c r="BL44" s="52"/>
      <c r="BM44" s="52">
        <v>531.29999999999995</v>
      </c>
      <c r="BN44" s="52"/>
      <c r="BO44" s="52"/>
      <c r="BP44" s="52"/>
      <c r="BQ44" s="52"/>
      <c r="BR44" s="52"/>
      <c r="BS44" s="53">
        <v>372.6</v>
      </c>
      <c r="BT44" s="52"/>
      <c r="BU44" s="52">
        <v>36.1</v>
      </c>
      <c r="BV44" s="50" t="s">
        <v>264</v>
      </c>
      <c r="BW44" s="50" t="s">
        <v>264</v>
      </c>
      <c r="BX44" s="50">
        <v>412.1</v>
      </c>
      <c r="BY44" s="50" t="s">
        <v>264</v>
      </c>
      <c r="BZ44" s="50" t="s">
        <v>264</v>
      </c>
      <c r="CA44" s="49"/>
      <c r="CB44" s="52"/>
      <c r="CC44" s="52"/>
      <c r="CD44" s="52"/>
      <c r="CE44" s="52"/>
      <c r="CF44" s="52">
        <v>118.9</v>
      </c>
      <c r="CG44" s="52">
        <v>193.1</v>
      </c>
      <c r="CH44" s="52">
        <v>24.2</v>
      </c>
      <c r="CI44" s="52"/>
      <c r="CJ44" s="52"/>
      <c r="CK44" s="52"/>
      <c r="CL44" s="52"/>
      <c r="CM44" s="52"/>
      <c r="CN44" s="52">
        <v>52.1</v>
      </c>
      <c r="CO44" s="52">
        <v>144</v>
      </c>
      <c r="CP44" s="52">
        <v>112.2</v>
      </c>
      <c r="CQ44" s="52">
        <v>31.8</v>
      </c>
      <c r="CR44" s="52" t="s">
        <v>264</v>
      </c>
      <c r="CS44" s="52">
        <v>41.599999999999994</v>
      </c>
      <c r="CT44" s="52">
        <v>23.4</v>
      </c>
      <c r="CU44" s="52">
        <v>18.2</v>
      </c>
      <c r="CV44" s="52">
        <v>72.7</v>
      </c>
      <c r="CW44" s="52">
        <v>72.7</v>
      </c>
      <c r="CX44" s="52"/>
      <c r="CY44" s="52" t="s">
        <v>264</v>
      </c>
      <c r="CZ44" s="52">
        <v>34.5</v>
      </c>
      <c r="DA44" s="52" t="s">
        <v>264</v>
      </c>
      <c r="DB44" s="52" t="s">
        <v>264</v>
      </c>
      <c r="DC44" s="52" t="s">
        <v>264</v>
      </c>
      <c r="DD44" s="52"/>
      <c r="DE44" s="52"/>
      <c r="DF44" s="53"/>
      <c r="DG44" s="53">
        <v>142.4</v>
      </c>
      <c r="DH44" s="53">
        <v>140.1</v>
      </c>
      <c r="DI44" s="53">
        <v>625.6</v>
      </c>
      <c r="DJ44" s="53"/>
      <c r="DK44" s="53">
        <v>459</v>
      </c>
      <c r="DL44" s="53">
        <v>129.30000000000001</v>
      </c>
      <c r="DM44" s="53">
        <v>174.2</v>
      </c>
      <c r="DN44" s="53"/>
      <c r="DO44" s="53">
        <v>133.6</v>
      </c>
      <c r="DP44" s="53">
        <v>164.1</v>
      </c>
      <c r="DQ44" s="53">
        <v>82.1</v>
      </c>
      <c r="DR44" s="53"/>
      <c r="DS44" s="53">
        <v>786.9</v>
      </c>
      <c r="DT44" s="53">
        <v>2837.3</v>
      </c>
      <c r="DU44" s="53">
        <v>-282.50000000000045</v>
      </c>
      <c r="DV44" s="53">
        <v>0</v>
      </c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17"/>
      <c r="GZ44" s="52">
        <v>841.8</v>
      </c>
      <c r="HA44" s="52"/>
      <c r="HB44" s="17"/>
      <c r="HC44" s="17"/>
      <c r="HD44" s="17"/>
      <c r="HE44" s="17"/>
      <c r="HF44" s="52"/>
      <c r="HG44" s="52"/>
      <c r="HH44" s="52"/>
      <c r="HI44" s="52"/>
      <c r="HJ44" s="52"/>
      <c r="HK44" s="52"/>
      <c r="HL44" s="52"/>
      <c r="HM44" s="52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  <c r="ID44" s="52"/>
      <c r="IE44" s="52"/>
      <c r="IF44" s="52"/>
      <c r="IG44" s="52"/>
      <c r="IH44" s="53"/>
      <c r="II44" s="53"/>
      <c r="IJ44" s="53"/>
      <c r="IK44" s="53"/>
      <c r="IL44" s="53"/>
      <c r="IM44" s="52"/>
      <c r="IN44" s="52">
        <v>103.1</v>
      </c>
      <c r="IY44" s="48">
        <f t="shared" si="2"/>
        <v>47.764423924153242</v>
      </c>
      <c r="IZ44" s="48">
        <f>IY44-'NOPA Crush'!J44</f>
        <v>0.16442392415324036</v>
      </c>
      <c r="JB44" s="63">
        <f t="shared" si="0"/>
        <v>10.736263348958516</v>
      </c>
      <c r="JC44" s="64">
        <f>JB44-'NOPA Crush'!O44</f>
        <v>3.6263348958517128E-2</v>
      </c>
      <c r="JD44" s="65"/>
      <c r="JE44" s="67">
        <f t="shared" si="1"/>
        <v>1841.8</v>
      </c>
      <c r="JF44" s="68">
        <f>'NOPA Crush'!Q44/'Census Crush'!JE44</f>
        <v>0.55744380497339563</v>
      </c>
    </row>
    <row r="45" spans="1:266">
      <c r="A45" s="39">
        <v>30407</v>
      </c>
      <c r="B45" s="49">
        <v>2454</v>
      </c>
      <c r="C45" s="50">
        <v>2539.4</v>
      </c>
      <c r="D45" s="50">
        <v>240.5</v>
      </c>
      <c r="E45" s="50">
        <v>892.4</v>
      </c>
      <c r="F45" s="50" t="s">
        <v>264</v>
      </c>
      <c r="G45" s="50">
        <v>112.2</v>
      </c>
      <c r="H45" s="50">
        <v>34.799999999999997</v>
      </c>
      <c r="I45" s="50" t="s">
        <v>264</v>
      </c>
      <c r="J45" s="50" t="s">
        <v>264</v>
      </c>
      <c r="K45" s="49">
        <v>881.3</v>
      </c>
      <c r="L45" s="49">
        <v>1600.5</v>
      </c>
      <c r="M45" s="49">
        <v>1264.2</v>
      </c>
      <c r="N45" s="49">
        <v>336.3</v>
      </c>
      <c r="O45" s="50">
        <v>75.8</v>
      </c>
      <c r="P45" s="51">
        <v>164.7</v>
      </c>
      <c r="Q45" s="49">
        <v>75.8</v>
      </c>
      <c r="R45" s="49">
        <v>88.9</v>
      </c>
      <c r="S45" s="49"/>
      <c r="T45" s="50" t="s">
        <v>264</v>
      </c>
      <c r="U45" s="50" t="s">
        <v>264</v>
      </c>
      <c r="V45" s="50" t="s">
        <v>264</v>
      </c>
      <c r="W45" s="49">
        <v>3.4</v>
      </c>
      <c r="X45" s="49">
        <v>71.099999999999994</v>
      </c>
      <c r="Y45" s="49">
        <v>6.9</v>
      </c>
      <c r="Z45" s="49">
        <v>87.1</v>
      </c>
      <c r="AA45" s="49">
        <v>75.599999999999994</v>
      </c>
      <c r="AB45" s="49">
        <v>11.5</v>
      </c>
      <c r="AC45" s="49" t="s">
        <v>264</v>
      </c>
      <c r="AD45" s="49" t="s">
        <v>264</v>
      </c>
      <c r="AE45" s="49"/>
      <c r="AF45" s="51"/>
      <c r="AG45" s="50" t="s">
        <v>264</v>
      </c>
      <c r="AH45" s="50" t="s">
        <v>264</v>
      </c>
      <c r="AI45" s="49">
        <v>79.8</v>
      </c>
      <c r="AJ45" s="49"/>
      <c r="AK45" s="49"/>
      <c r="AL45" s="51">
        <v>80.2</v>
      </c>
      <c r="AM45" s="49">
        <v>51.9</v>
      </c>
      <c r="AN45" s="49">
        <v>28.3</v>
      </c>
      <c r="AO45" s="49">
        <v>1871.7</v>
      </c>
      <c r="AP45" s="49">
        <v>322.2</v>
      </c>
      <c r="AQ45" s="49">
        <v>78</v>
      </c>
      <c r="AR45" s="49">
        <v>33.9</v>
      </c>
      <c r="AS45" s="50">
        <v>107.8</v>
      </c>
      <c r="AT45" s="50">
        <v>98.1</v>
      </c>
      <c r="AU45" s="50">
        <v>58.3</v>
      </c>
      <c r="AV45" s="50">
        <v>45.2</v>
      </c>
      <c r="AW45" s="50" t="s">
        <v>264</v>
      </c>
      <c r="AX45" s="50" t="s">
        <v>264</v>
      </c>
      <c r="AY45" s="50">
        <v>71.099999999999994</v>
      </c>
      <c r="AZ45" s="50">
        <v>22.8</v>
      </c>
      <c r="BA45" s="50" t="s">
        <v>264</v>
      </c>
      <c r="BB45" s="50" t="s">
        <v>264</v>
      </c>
      <c r="BC45" s="50"/>
      <c r="BD45" s="52">
        <v>94.1</v>
      </c>
      <c r="BE45" s="52">
        <v>39.9</v>
      </c>
      <c r="BF45" s="52"/>
      <c r="BG45" s="52"/>
      <c r="BH45" s="52"/>
      <c r="BI45" s="52"/>
      <c r="BJ45" s="52"/>
      <c r="BK45" s="52"/>
      <c r="BL45" s="52"/>
      <c r="BM45" s="52">
        <v>484.4</v>
      </c>
      <c r="BN45" s="52"/>
      <c r="BO45" s="52"/>
      <c r="BP45" s="52"/>
      <c r="BQ45" s="52"/>
      <c r="BR45" s="52"/>
      <c r="BS45" s="53">
        <v>333.5</v>
      </c>
      <c r="BT45" s="52"/>
      <c r="BU45" s="52">
        <v>39.1</v>
      </c>
      <c r="BV45" s="50" t="s">
        <v>264</v>
      </c>
      <c r="BW45" s="50" t="s">
        <v>264</v>
      </c>
      <c r="BX45" s="50">
        <v>398.8</v>
      </c>
      <c r="BY45" s="50" t="s">
        <v>264</v>
      </c>
      <c r="BZ45" s="50" t="s">
        <v>264</v>
      </c>
      <c r="CA45" s="49"/>
      <c r="CB45" s="52"/>
      <c r="CC45" s="52"/>
      <c r="CD45" s="52"/>
      <c r="CE45" s="52"/>
      <c r="CF45" s="52">
        <v>115.2</v>
      </c>
      <c r="CG45" s="52">
        <v>201.9</v>
      </c>
      <c r="CH45" s="52">
        <v>23.8</v>
      </c>
      <c r="CI45" s="52"/>
      <c r="CJ45" s="52"/>
      <c r="CK45" s="52"/>
      <c r="CL45" s="52"/>
      <c r="CM45" s="52"/>
      <c r="CN45" s="52">
        <v>61.9</v>
      </c>
      <c r="CO45" s="52">
        <v>163</v>
      </c>
      <c r="CP45" s="52">
        <v>127.8</v>
      </c>
      <c r="CQ45" s="52">
        <v>35.200000000000003</v>
      </c>
      <c r="CR45" s="52" t="s">
        <v>264</v>
      </c>
      <c r="CS45" s="52">
        <v>27.1</v>
      </c>
      <c r="CT45" s="52">
        <v>18</v>
      </c>
      <c r="CU45" s="52">
        <v>9.1</v>
      </c>
      <c r="CV45" s="52">
        <v>59</v>
      </c>
      <c r="CW45" s="52">
        <v>59</v>
      </c>
      <c r="CX45" s="52"/>
      <c r="CY45" s="52" t="s">
        <v>264</v>
      </c>
      <c r="CZ45" s="52">
        <v>42.6</v>
      </c>
      <c r="DA45" s="52" t="s">
        <v>264</v>
      </c>
      <c r="DB45" s="52" t="s">
        <v>264</v>
      </c>
      <c r="DC45" s="52" t="s">
        <v>264</v>
      </c>
      <c r="DD45" s="52"/>
      <c r="DE45" s="52"/>
      <c r="DF45" s="53"/>
      <c r="DG45" s="53">
        <v>140.80000000000001</v>
      </c>
      <c r="DH45" s="53">
        <v>104.8</v>
      </c>
      <c r="DI45" s="53">
        <v>516</v>
      </c>
      <c r="DJ45" s="53"/>
      <c r="DK45" s="53">
        <v>406.5</v>
      </c>
      <c r="DL45" s="53">
        <v>111</v>
      </c>
      <c r="DM45" s="53">
        <v>182.5</v>
      </c>
      <c r="DN45" s="53"/>
      <c r="DO45" s="53">
        <v>87.7</v>
      </c>
      <c r="DP45" s="53">
        <v>151</v>
      </c>
      <c r="DQ45" s="53">
        <v>58.2</v>
      </c>
      <c r="DR45" s="53">
        <v>101.5</v>
      </c>
      <c r="DS45" s="53">
        <v>594</v>
      </c>
      <c r="DT45" s="53">
        <v>2454</v>
      </c>
      <c r="DU45" s="53">
        <v>-245.59999999999991</v>
      </c>
      <c r="DV45" s="53">
        <v>0</v>
      </c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2"/>
      <c r="GC45" s="52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2"/>
      <c r="GO45" s="52"/>
      <c r="GP45" s="52"/>
      <c r="GQ45" s="52"/>
      <c r="GR45" s="52"/>
      <c r="GS45" s="52"/>
      <c r="GT45" s="52"/>
      <c r="GU45" s="52"/>
      <c r="GV45" s="52"/>
      <c r="GW45" s="52"/>
      <c r="GX45" s="52"/>
      <c r="GY45" s="17"/>
      <c r="GZ45" s="52">
        <v>800.9</v>
      </c>
      <c r="HA45" s="52"/>
      <c r="HB45" s="17"/>
      <c r="HC45" s="17"/>
      <c r="HD45" s="17"/>
      <c r="HE45" s="17"/>
      <c r="HF45" s="52"/>
      <c r="HG45" s="52"/>
      <c r="HH45" s="52"/>
      <c r="HI45" s="52"/>
      <c r="HJ45" s="52"/>
      <c r="HK45" s="52"/>
      <c r="HL45" s="52"/>
      <c r="HM45" s="52"/>
      <c r="HN45" s="52"/>
      <c r="HO45" s="52"/>
      <c r="HP45" s="52"/>
      <c r="HQ45" s="52"/>
      <c r="HR45" s="52"/>
      <c r="HS45" s="52"/>
      <c r="HT45" s="52"/>
      <c r="HU45" s="52"/>
      <c r="HV45" s="52"/>
      <c r="HW45" s="52"/>
      <c r="HX45" s="52"/>
      <c r="HY45" s="52"/>
      <c r="HZ45" s="52"/>
      <c r="IA45" s="52"/>
      <c r="IB45" s="52"/>
      <c r="IC45" s="52"/>
      <c r="ID45" s="52"/>
      <c r="IE45" s="52"/>
      <c r="IF45" s="52"/>
      <c r="IG45" s="52"/>
      <c r="IH45" s="53"/>
      <c r="II45" s="53"/>
      <c r="IJ45" s="53"/>
      <c r="IK45" s="53"/>
      <c r="IL45" s="53"/>
      <c r="IM45" s="52"/>
      <c r="IN45" s="52">
        <v>82.6</v>
      </c>
      <c r="IY45" s="48">
        <f t="shared" si="2"/>
        <v>47.669926650366754</v>
      </c>
      <c r="IZ45" s="48">
        <f>IY45-'NOPA Crush'!J45</f>
        <v>-3.007334963324837E-2</v>
      </c>
      <c r="JB45" s="63">
        <f t="shared" si="0"/>
        <v>10.773838630806846</v>
      </c>
      <c r="JC45" s="64">
        <f>JB45-'NOPA Crush'!O45</f>
        <v>-2.6161369193154371E-2</v>
      </c>
      <c r="JD45" s="65"/>
      <c r="JE45" s="67">
        <f t="shared" si="1"/>
        <v>1600.5</v>
      </c>
      <c r="JF45" s="68">
        <f>'NOPA Crush'!Q45/'Census Crush'!JE45</f>
        <v>0.57981880662293028</v>
      </c>
    </row>
    <row r="46" spans="1:266">
      <c r="A46" s="39">
        <v>30437</v>
      </c>
      <c r="B46" s="49">
        <v>2510.3000000000002</v>
      </c>
      <c r="C46" s="50">
        <v>2094.4</v>
      </c>
      <c r="D46" s="50">
        <v>214.6</v>
      </c>
      <c r="E46" s="50">
        <v>706.7</v>
      </c>
      <c r="F46" s="50" t="s">
        <v>264</v>
      </c>
      <c r="G46" s="50">
        <v>88.7</v>
      </c>
      <c r="H46" s="50">
        <v>15.5</v>
      </c>
      <c r="I46" s="50" t="s">
        <v>264</v>
      </c>
      <c r="J46" s="50" t="s">
        <v>264</v>
      </c>
      <c r="K46" s="49">
        <v>908.9</v>
      </c>
      <c r="L46" s="49">
        <v>1551.9</v>
      </c>
      <c r="M46" s="49">
        <v>1226.7</v>
      </c>
      <c r="N46" s="49">
        <v>325.2</v>
      </c>
      <c r="O46" s="50">
        <v>69</v>
      </c>
      <c r="P46" s="51">
        <v>130.39999999999998</v>
      </c>
      <c r="Q46" s="49">
        <v>51.3</v>
      </c>
      <c r="R46" s="49">
        <v>79.099999999999994</v>
      </c>
      <c r="S46" s="49"/>
      <c r="T46" s="50" t="s">
        <v>264</v>
      </c>
      <c r="U46" s="50" t="s">
        <v>264</v>
      </c>
      <c r="V46" s="50" t="s">
        <v>264</v>
      </c>
      <c r="W46" s="49">
        <v>6.3</v>
      </c>
      <c r="X46" s="49">
        <v>66.7</v>
      </c>
      <c r="Y46" s="49">
        <v>4.5999999999999996</v>
      </c>
      <c r="Z46" s="49">
        <v>137.4</v>
      </c>
      <c r="AA46" s="49">
        <v>127</v>
      </c>
      <c r="AB46" s="49">
        <v>10.4</v>
      </c>
      <c r="AC46" s="49" t="s">
        <v>264</v>
      </c>
      <c r="AD46" s="49" t="s">
        <v>264</v>
      </c>
      <c r="AE46" s="49"/>
      <c r="AF46" s="51"/>
      <c r="AG46" s="50" t="s">
        <v>264</v>
      </c>
      <c r="AH46" s="50" t="s">
        <v>264</v>
      </c>
      <c r="AI46" s="49">
        <v>85.9</v>
      </c>
      <c r="AJ46" s="49"/>
      <c r="AK46" s="49"/>
      <c r="AL46" s="51">
        <v>75.900000000000006</v>
      </c>
      <c r="AM46" s="49">
        <v>47.3</v>
      </c>
      <c r="AN46" s="49">
        <v>28.6</v>
      </c>
      <c r="AO46" s="49">
        <v>1913.7</v>
      </c>
      <c r="AP46" s="49">
        <v>297.3</v>
      </c>
      <c r="AQ46" s="49">
        <v>79</v>
      </c>
      <c r="AR46" s="49">
        <v>44.3</v>
      </c>
      <c r="AS46" s="50">
        <v>97.1</v>
      </c>
      <c r="AT46" s="50">
        <v>116.7</v>
      </c>
      <c r="AU46" s="50">
        <v>53.3</v>
      </c>
      <c r="AV46" s="50">
        <v>48.3</v>
      </c>
      <c r="AW46" s="50" t="s">
        <v>264</v>
      </c>
      <c r="AX46" s="50" t="s">
        <v>264</v>
      </c>
      <c r="AY46" s="50">
        <v>66.7</v>
      </c>
      <c r="AZ46" s="50">
        <v>40</v>
      </c>
      <c r="BA46" s="50" t="s">
        <v>264</v>
      </c>
      <c r="BB46" s="50" t="s">
        <v>264</v>
      </c>
      <c r="BC46" s="50"/>
      <c r="BD46" s="52">
        <v>100.2</v>
      </c>
      <c r="BE46" s="52">
        <v>40.200000000000003</v>
      </c>
      <c r="BF46" s="52"/>
      <c r="BG46" s="52"/>
      <c r="BH46" s="52"/>
      <c r="BI46" s="52"/>
      <c r="BJ46" s="52"/>
      <c r="BK46" s="52"/>
      <c r="BL46" s="52"/>
      <c r="BM46" s="52">
        <v>502.2</v>
      </c>
      <c r="BN46" s="52"/>
      <c r="BO46" s="52"/>
      <c r="BP46" s="52"/>
      <c r="BQ46" s="52"/>
      <c r="BR46" s="52"/>
      <c r="BS46" s="53">
        <v>319.7</v>
      </c>
      <c r="BT46" s="52"/>
      <c r="BU46" s="52">
        <v>43</v>
      </c>
      <c r="BV46" s="50" t="s">
        <v>264</v>
      </c>
      <c r="BW46" s="50" t="s">
        <v>264</v>
      </c>
      <c r="BX46" s="50">
        <v>407.8</v>
      </c>
      <c r="BY46" s="50" t="s">
        <v>264</v>
      </c>
      <c r="BZ46" s="50" t="s">
        <v>264</v>
      </c>
      <c r="CA46" s="49"/>
      <c r="CB46" s="52"/>
      <c r="CC46" s="52"/>
      <c r="CD46" s="52"/>
      <c r="CE46" s="52"/>
      <c r="CF46" s="52">
        <v>113.2</v>
      </c>
      <c r="CG46" s="52">
        <v>222.4</v>
      </c>
      <c r="CH46" s="52">
        <v>23.2</v>
      </c>
      <c r="CI46" s="52"/>
      <c r="CJ46" s="52"/>
      <c r="CK46" s="52"/>
      <c r="CL46" s="52"/>
      <c r="CM46" s="52"/>
      <c r="CN46" s="52">
        <v>66.3</v>
      </c>
      <c r="CO46" s="52">
        <v>163.9</v>
      </c>
      <c r="CP46" s="52">
        <v>118.8</v>
      </c>
      <c r="CQ46" s="52">
        <v>45.1</v>
      </c>
      <c r="CR46" s="52" t="s">
        <v>264</v>
      </c>
      <c r="CS46" s="52">
        <v>35.1</v>
      </c>
      <c r="CT46" s="52">
        <v>20.7</v>
      </c>
      <c r="CU46" s="52">
        <v>14.4</v>
      </c>
      <c r="CV46" s="52">
        <v>56.5</v>
      </c>
      <c r="CW46" s="52">
        <v>56.5</v>
      </c>
      <c r="CX46" s="52"/>
      <c r="CY46" s="52" t="s">
        <v>264</v>
      </c>
      <c r="CZ46" s="52">
        <v>40.700000000000003</v>
      </c>
      <c r="DA46" s="52" t="s">
        <v>264</v>
      </c>
      <c r="DB46" s="52" t="s">
        <v>264</v>
      </c>
      <c r="DC46" s="52" t="s">
        <v>264</v>
      </c>
      <c r="DD46" s="52"/>
      <c r="DE46" s="52"/>
      <c r="DF46" s="53"/>
      <c r="DG46" s="53">
        <v>145.6</v>
      </c>
      <c r="DH46" s="53">
        <v>109.9</v>
      </c>
      <c r="DI46" s="53">
        <v>540.4</v>
      </c>
      <c r="DJ46" s="53"/>
      <c r="DK46" s="53">
        <v>426.2</v>
      </c>
      <c r="DL46" s="53">
        <v>94.6</v>
      </c>
      <c r="DM46" s="53">
        <v>172.1</v>
      </c>
      <c r="DN46" s="53"/>
      <c r="DO46" s="53"/>
      <c r="DP46" s="53">
        <v>161.80000000000001</v>
      </c>
      <c r="DQ46" s="53">
        <v>63.8</v>
      </c>
      <c r="DR46" s="53">
        <v>106.4</v>
      </c>
      <c r="DS46" s="53">
        <v>689.5</v>
      </c>
      <c r="DT46" s="53">
        <v>2510.3000000000002</v>
      </c>
      <c r="DU46" s="53">
        <v>-255.50000000000045</v>
      </c>
      <c r="DV46" s="53">
        <v>0</v>
      </c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/>
      <c r="FE46" s="52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2"/>
      <c r="FQ46" s="52"/>
      <c r="FR46" s="52"/>
      <c r="FS46" s="52"/>
      <c r="FT46" s="52"/>
      <c r="FU46" s="52"/>
      <c r="FV46" s="52"/>
      <c r="FW46" s="52"/>
      <c r="FX46" s="52"/>
      <c r="FY46" s="52"/>
      <c r="FZ46" s="52"/>
      <c r="GA46" s="52"/>
      <c r="GB46" s="52"/>
      <c r="GC46" s="52"/>
      <c r="GD46" s="52"/>
      <c r="GE46" s="52"/>
      <c r="GF46" s="52"/>
      <c r="GG46" s="52"/>
      <c r="GH46" s="52"/>
      <c r="GI46" s="52"/>
      <c r="GJ46" s="52"/>
      <c r="GK46" s="52"/>
      <c r="GL46" s="52"/>
      <c r="GM46" s="52"/>
      <c r="GN46" s="52"/>
      <c r="GO46" s="52"/>
      <c r="GP46" s="52"/>
      <c r="GQ46" s="52"/>
      <c r="GR46" s="52"/>
      <c r="GS46" s="52"/>
      <c r="GT46" s="52"/>
      <c r="GU46" s="52"/>
      <c r="GV46" s="52"/>
      <c r="GW46" s="52"/>
      <c r="GX46" s="52"/>
      <c r="GY46" s="17"/>
      <c r="GZ46" s="52">
        <v>843.1</v>
      </c>
      <c r="HA46" s="52"/>
      <c r="HB46" s="17"/>
      <c r="HC46" s="17"/>
      <c r="HD46" s="17"/>
      <c r="HE46" s="17"/>
      <c r="HF46" s="52"/>
      <c r="HG46" s="52"/>
      <c r="HH46" s="52"/>
      <c r="HI46" s="52"/>
      <c r="HJ46" s="52"/>
      <c r="HK46" s="52"/>
      <c r="HL46" s="52"/>
      <c r="HM46" s="52"/>
      <c r="HN46" s="52"/>
      <c r="HO46" s="52"/>
      <c r="HP46" s="52"/>
      <c r="HQ46" s="52"/>
      <c r="HR46" s="52"/>
      <c r="HS46" s="52"/>
      <c r="HT46" s="52"/>
      <c r="HU46" s="52"/>
      <c r="HV46" s="52"/>
      <c r="HW46" s="52"/>
      <c r="HX46" s="52"/>
      <c r="HY46" s="52"/>
      <c r="HZ46" s="52"/>
      <c r="IA46" s="52"/>
      <c r="IB46" s="52"/>
      <c r="IC46" s="52"/>
      <c r="ID46" s="52"/>
      <c r="IE46" s="52"/>
      <c r="IF46" s="52"/>
      <c r="IG46" s="52"/>
      <c r="IH46" s="53"/>
      <c r="II46" s="53"/>
      <c r="IJ46" s="53"/>
      <c r="IK46" s="53"/>
      <c r="IL46" s="53"/>
      <c r="IM46" s="52"/>
      <c r="IN46" s="52">
        <v>78</v>
      </c>
      <c r="IY46" s="48">
        <f t="shared" si="2"/>
        <v>47.62857029040353</v>
      </c>
      <c r="IZ46" s="48">
        <f>IY46-'NOPA Crush'!J46</f>
        <v>0.12857029040353041</v>
      </c>
      <c r="JB46" s="63">
        <f t="shared" si="0"/>
        <v>10.862048360753693</v>
      </c>
      <c r="JC46" s="64">
        <f>JB46-'NOPA Crush'!O46</f>
        <v>6.2048360753692577E-2</v>
      </c>
      <c r="JD46" s="65"/>
      <c r="JE46" s="67">
        <f t="shared" si="1"/>
        <v>1551.9</v>
      </c>
      <c r="JF46" s="68">
        <f>'NOPA Crush'!Q46/'Census Crush'!JE46</f>
        <v>0.54384947483729618</v>
      </c>
    </row>
    <row r="47" spans="1:266">
      <c r="A47" s="39">
        <v>30468</v>
      </c>
      <c r="B47" s="49">
        <v>2446.1</v>
      </c>
      <c r="C47" s="50">
        <v>1861.2</v>
      </c>
      <c r="D47" s="50">
        <v>164.2</v>
      </c>
      <c r="E47" s="50">
        <v>472.2</v>
      </c>
      <c r="F47" s="50" t="s">
        <v>264</v>
      </c>
      <c r="G47" s="50">
        <v>66.599999999999994</v>
      </c>
      <c r="H47" s="50">
        <v>19.600000000000001</v>
      </c>
      <c r="I47" s="50" t="s">
        <v>264</v>
      </c>
      <c r="J47" s="50" t="s">
        <v>264</v>
      </c>
      <c r="K47" s="49">
        <v>891.3</v>
      </c>
      <c r="L47" s="49">
        <v>1546</v>
      </c>
      <c r="M47" s="49">
        <v>1184.9000000000001</v>
      </c>
      <c r="N47" s="49">
        <v>361.1</v>
      </c>
      <c r="O47" s="50">
        <v>53.1</v>
      </c>
      <c r="P47" s="51">
        <v>113.6</v>
      </c>
      <c r="Q47" s="49">
        <v>46.8</v>
      </c>
      <c r="R47" s="49">
        <v>66.8</v>
      </c>
      <c r="S47" s="49"/>
      <c r="T47" s="50" t="s">
        <v>264</v>
      </c>
      <c r="U47" s="50" t="s">
        <v>264</v>
      </c>
      <c r="V47" s="50" t="s">
        <v>264</v>
      </c>
      <c r="W47" s="49">
        <v>6.1</v>
      </c>
      <c r="X47" s="49">
        <v>53.7</v>
      </c>
      <c r="Y47" s="49">
        <v>9.9</v>
      </c>
      <c r="Z47" s="49">
        <v>134.1</v>
      </c>
      <c r="AA47" s="49">
        <v>118.7</v>
      </c>
      <c r="AB47" s="49">
        <v>15.4</v>
      </c>
      <c r="AC47" s="49" t="s">
        <v>264</v>
      </c>
      <c r="AD47" s="49" t="s">
        <v>264</v>
      </c>
      <c r="AE47" s="49"/>
      <c r="AF47" s="51"/>
      <c r="AG47" s="50" t="s">
        <v>264</v>
      </c>
      <c r="AH47" s="50" t="s">
        <v>264</v>
      </c>
      <c r="AI47" s="49">
        <v>83.6</v>
      </c>
      <c r="AJ47" s="49"/>
      <c r="AK47" s="49"/>
      <c r="AL47" s="51">
        <v>76.8</v>
      </c>
      <c r="AM47" s="49">
        <v>49.3</v>
      </c>
      <c r="AN47" s="49">
        <v>27.5</v>
      </c>
      <c r="AO47" s="49">
        <v>1873.7</v>
      </c>
      <c r="AP47" s="49">
        <v>237.7</v>
      </c>
      <c r="AQ47" s="49">
        <v>82.2</v>
      </c>
      <c r="AR47" s="49">
        <v>34.5</v>
      </c>
      <c r="AS47" s="50">
        <v>71.400000000000006</v>
      </c>
      <c r="AT47" s="50">
        <v>129.6</v>
      </c>
      <c r="AU47" s="50">
        <v>41</v>
      </c>
      <c r="AV47" s="50">
        <v>41.4</v>
      </c>
      <c r="AW47" s="50" t="s">
        <v>264</v>
      </c>
      <c r="AX47" s="50" t="s">
        <v>264</v>
      </c>
      <c r="AY47" s="50">
        <v>33.6</v>
      </c>
      <c r="AZ47" s="50">
        <v>7</v>
      </c>
      <c r="BA47" s="50" t="s">
        <v>264</v>
      </c>
      <c r="BB47" s="50" t="s">
        <v>264</v>
      </c>
      <c r="BC47" s="50"/>
      <c r="BD47" s="52">
        <v>98.4</v>
      </c>
      <c r="BE47" s="52">
        <v>43.4</v>
      </c>
      <c r="BF47" s="52"/>
      <c r="BG47" s="52"/>
      <c r="BH47" s="52"/>
      <c r="BI47" s="52"/>
      <c r="BJ47" s="52"/>
      <c r="BK47" s="52"/>
      <c r="BL47" s="52"/>
      <c r="BM47" s="52">
        <v>516.5</v>
      </c>
      <c r="BN47" s="52"/>
      <c r="BO47" s="52"/>
      <c r="BP47" s="52"/>
      <c r="BQ47" s="52"/>
      <c r="BR47" s="52"/>
      <c r="BS47" s="53">
        <v>352.9</v>
      </c>
      <c r="BT47" s="52"/>
      <c r="BU47" s="52">
        <v>41.8</v>
      </c>
      <c r="BV47" s="50" t="s">
        <v>264</v>
      </c>
      <c r="BW47" s="50" t="s">
        <v>264</v>
      </c>
      <c r="BX47" s="50">
        <v>411</v>
      </c>
      <c r="BY47" s="50" t="s">
        <v>264</v>
      </c>
      <c r="BZ47" s="50" t="s">
        <v>264</v>
      </c>
      <c r="CA47" s="49"/>
      <c r="CB47" s="52"/>
      <c r="CC47" s="52"/>
      <c r="CD47" s="52"/>
      <c r="CE47" s="52"/>
      <c r="CF47" s="52">
        <v>107.2</v>
      </c>
      <c r="CG47" s="52">
        <v>235.4</v>
      </c>
      <c r="CH47" s="52">
        <v>23</v>
      </c>
      <c r="CI47" s="52"/>
      <c r="CJ47" s="52"/>
      <c r="CK47" s="52"/>
      <c r="CL47" s="52"/>
      <c r="CM47" s="52"/>
      <c r="CN47" s="52">
        <v>57.8</v>
      </c>
      <c r="CO47" s="52">
        <v>123.6</v>
      </c>
      <c r="CP47" s="52">
        <v>88.8</v>
      </c>
      <c r="CQ47" s="52">
        <v>34.799999999999997</v>
      </c>
      <c r="CR47" s="52" t="s">
        <v>264</v>
      </c>
      <c r="CS47" s="52">
        <v>54.7</v>
      </c>
      <c r="CT47" s="52">
        <v>34.200000000000003</v>
      </c>
      <c r="CU47" s="52">
        <v>20.5</v>
      </c>
      <c r="CV47" s="52">
        <v>74.099999999999994</v>
      </c>
      <c r="CW47" s="52">
        <v>74.099999999999994</v>
      </c>
      <c r="CX47" s="52"/>
      <c r="CY47" s="52" t="s">
        <v>264</v>
      </c>
      <c r="CZ47" s="52">
        <v>30</v>
      </c>
      <c r="DA47" s="52" t="s">
        <v>264</v>
      </c>
      <c r="DB47" s="52" t="s">
        <v>264</v>
      </c>
      <c r="DC47" s="52" t="s">
        <v>264</v>
      </c>
      <c r="DD47" s="52"/>
      <c r="DE47" s="52"/>
      <c r="DF47" s="53"/>
      <c r="DG47" s="53">
        <v>139.80000000000001</v>
      </c>
      <c r="DH47" s="53">
        <v>115.4</v>
      </c>
      <c r="DI47" s="53">
        <v>538.20000000000005</v>
      </c>
      <c r="DJ47" s="53">
        <v>131.30000000000001</v>
      </c>
      <c r="DK47" s="53">
        <v>380.6</v>
      </c>
      <c r="DL47" s="53">
        <v>95.3</v>
      </c>
      <c r="DM47" s="53">
        <v>183.2</v>
      </c>
      <c r="DN47" s="53"/>
      <c r="DO47" s="53"/>
      <c r="DP47" s="53">
        <v>158.1</v>
      </c>
      <c r="DQ47" s="53">
        <v>56.5</v>
      </c>
      <c r="DR47" s="53"/>
      <c r="DS47" s="53">
        <v>647.70000000000005</v>
      </c>
      <c r="DT47" s="53">
        <v>2446.1</v>
      </c>
      <c r="DU47" s="53">
        <v>-255.20000000000027</v>
      </c>
      <c r="DV47" s="53">
        <v>0</v>
      </c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17"/>
      <c r="GZ47" s="52">
        <v>824</v>
      </c>
      <c r="HA47" s="52"/>
      <c r="HB47" s="17"/>
      <c r="HC47" s="17"/>
      <c r="HD47" s="17"/>
      <c r="HE47" s="17"/>
      <c r="HF47" s="52"/>
      <c r="HG47" s="52"/>
      <c r="HH47" s="52"/>
      <c r="HI47" s="52"/>
      <c r="HJ47" s="52"/>
      <c r="HK47" s="52"/>
      <c r="HL47" s="52"/>
      <c r="HM47" s="52"/>
      <c r="HN47" s="52"/>
      <c r="HO47" s="52"/>
      <c r="HP47" s="52"/>
      <c r="HQ47" s="52"/>
      <c r="HR47" s="52"/>
      <c r="HS47" s="52"/>
      <c r="HT47" s="52"/>
      <c r="HU47" s="52"/>
      <c r="HV47" s="52"/>
      <c r="HW47" s="52"/>
      <c r="HX47" s="52"/>
      <c r="HY47" s="52"/>
      <c r="HZ47" s="52"/>
      <c r="IA47" s="52"/>
      <c r="IB47" s="52"/>
      <c r="IC47" s="52"/>
      <c r="ID47" s="52"/>
      <c r="IE47" s="52"/>
      <c r="IF47" s="52"/>
      <c r="IG47" s="52"/>
      <c r="IH47" s="53"/>
      <c r="II47" s="53"/>
      <c r="IJ47" s="53"/>
      <c r="IK47" s="53"/>
      <c r="IL47" s="53"/>
      <c r="IM47" s="52"/>
      <c r="IN47" s="52">
        <v>60.1</v>
      </c>
      <c r="IY47" s="48">
        <f t="shared" si="2"/>
        <v>47.975961735006749</v>
      </c>
      <c r="IZ47" s="48">
        <f>IY47-'NOPA Crush'!J47</f>
        <v>0.27596173500674581</v>
      </c>
      <c r="JB47" s="63">
        <f t="shared" si="0"/>
        <v>10.931278361473366</v>
      </c>
      <c r="JC47" s="64">
        <f>JB47-'NOPA Crush'!O47</f>
        <v>0.13127836147336502</v>
      </c>
      <c r="JD47" s="65"/>
      <c r="JE47" s="67">
        <f t="shared" si="1"/>
        <v>1546</v>
      </c>
      <c r="JF47" s="68">
        <f>'NOPA Crush'!Q47/'Census Crush'!JE47</f>
        <v>0.52509702457956009</v>
      </c>
    </row>
    <row r="48" spans="1:266">
      <c r="A48" s="39">
        <v>30498</v>
      </c>
      <c r="B48" s="49">
        <v>2448.1</v>
      </c>
      <c r="C48" s="50">
        <v>1661.4</v>
      </c>
      <c r="D48" s="50">
        <v>172.3</v>
      </c>
      <c r="E48" s="50">
        <v>370.8</v>
      </c>
      <c r="F48" s="50" t="s">
        <v>264</v>
      </c>
      <c r="G48" s="50">
        <v>56.7</v>
      </c>
      <c r="H48" s="50">
        <v>32.4</v>
      </c>
      <c r="I48" s="50" t="s">
        <v>264</v>
      </c>
      <c r="J48" s="50" t="s">
        <v>264</v>
      </c>
      <c r="K48" s="49">
        <v>888</v>
      </c>
      <c r="L48" s="49">
        <v>1411.4</v>
      </c>
      <c r="M48" s="49">
        <v>1049.7</v>
      </c>
      <c r="N48" s="49">
        <v>361.7</v>
      </c>
      <c r="O48" s="50">
        <v>55.7</v>
      </c>
      <c r="P48" s="51">
        <v>108.9</v>
      </c>
      <c r="Q48" s="49">
        <v>59</v>
      </c>
      <c r="R48" s="49">
        <v>49.9</v>
      </c>
      <c r="S48" s="49"/>
      <c r="T48" s="50" t="s">
        <v>264</v>
      </c>
      <c r="U48" s="50" t="s">
        <v>264</v>
      </c>
      <c r="V48" s="50" t="s">
        <v>264</v>
      </c>
      <c r="W48" s="49">
        <v>6.2</v>
      </c>
      <c r="X48" s="49">
        <v>41.5</v>
      </c>
      <c r="Y48" s="49">
        <v>5.5</v>
      </c>
      <c r="Z48" s="49">
        <v>107.89999999999999</v>
      </c>
      <c r="AA48" s="49">
        <v>92.3</v>
      </c>
      <c r="AB48" s="49">
        <v>15.6</v>
      </c>
      <c r="AC48" s="49" t="s">
        <v>264</v>
      </c>
      <c r="AD48" s="49" t="s">
        <v>264</v>
      </c>
      <c r="AE48" s="49"/>
      <c r="AF48" s="51"/>
      <c r="AG48" s="50" t="s">
        <v>264</v>
      </c>
      <c r="AH48" s="50" t="s">
        <v>264</v>
      </c>
      <c r="AI48" s="49">
        <v>82.7</v>
      </c>
      <c r="AJ48" s="49"/>
      <c r="AK48" s="49"/>
      <c r="AL48" s="51">
        <v>88</v>
      </c>
      <c r="AM48" s="49">
        <v>58.2</v>
      </c>
      <c r="AN48" s="49">
        <v>29.8</v>
      </c>
      <c r="AO48" s="49">
        <v>1854</v>
      </c>
      <c r="AP48" s="49">
        <v>325</v>
      </c>
      <c r="AQ48" s="49">
        <v>79.400000000000006</v>
      </c>
      <c r="AR48" s="49">
        <v>40.200000000000003</v>
      </c>
      <c r="AS48" s="50">
        <v>78.900000000000006</v>
      </c>
      <c r="AT48" s="50">
        <v>125.8</v>
      </c>
      <c r="AU48" s="50">
        <v>43.1</v>
      </c>
      <c r="AV48" s="50">
        <v>42.4</v>
      </c>
      <c r="AW48" s="50" t="s">
        <v>264</v>
      </c>
      <c r="AX48" s="50" t="s">
        <v>264</v>
      </c>
      <c r="AY48" s="50" t="s">
        <v>264</v>
      </c>
      <c r="AZ48" s="50" t="s">
        <v>264</v>
      </c>
      <c r="BA48" s="50" t="s">
        <v>264</v>
      </c>
      <c r="BB48" s="50" t="s">
        <v>264</v>
      </c>
      <c r="BC48" s="50"/>
      <c r="BD48" s="52">
        <v>91.4</v>
      </c>
      <c r="BE48" s="52">
        <v>47</v>
      </c>
      <c r="BF48" s="52"/>
      <c r="BG48" s="52"/>
      <c r="BH48" s="52"/>
      <c r="BI48" s="52"/>
      <c r="BJ48" s="52"/>
      <c r="BK48" s="52"/>
      <c r="BL48" s="52"/>
      <c r="BM48" s="52">
        <v>491.3</v>
      </c>
      <c r="BN48" s="52"/>
      <c r="BO48" s="52"/>
      <c r="BP48" s="52"/>
      <c r="BQ48" s="52"/>
      <c r="BR48" s="52"/>
      <c r="BS48" s="53">
        <v>418</v>
      </c>
      <c r="BT48" s="52"/>
      <c r="BU48" s="52">
        <v>41</v>
      </c>
      <c r="BV48" s="50" t="s">
        <v>264</v>
      </c>
      <c r="BW48" s="50" t="s">
        <v>264</v>
      </c>
      <c r="BX48" s="50">
        <v>398.5</v>
      </c>
      <c r="BY48" s="50" t="s">
        <v>264</v>
      </c>
      <c r="BZ48" s="50" t="s">
        <v>264</v>
      </c>
      <c r="CA48" s="49"/>
      <c r="CB48" s="52"/>
      <c r="CC48" s="52"/>
      <c r="CD48" s="52"/>
      <c r="CE48" s="52"/>
      <c r="CF48" s="52">
        <v>93.8</v>
      </c>
      <c r="CG48" s="52">
        <v>225.6</v>
      </c>
      <c r="CH48" s="52">
        <v>19.8</v>
      </c>
      <c r="CI48" s="52"/>
      <c r="CJ48" s="52"/>
      <c r="CK48" s="52"/>
      <c r="CL48" s="52"/>
      <c r="CM48" s="52"/>
      <c r="CN48" s="52">
        <v>55.9</v>
      </c>
      <c r="CO48" s="52">
        <v>127.7</v>
      </c>
      <c r="CP48" s="52">
        <v>92.2</v>
      </c>
      <c r="CQ48" s="52">
        <v>35.5</v>
      </c>
      <c r="CR48" s="52" t="s">
        <v>264</v>
      </c>
      <c r="CS48" s="52">
        <v>46.5</v>
      </c>
      <c r="CT48" s="52">
        <v>31.5</v>
      </c>
      <c r="CU48" s="52">
        <v>15</v>
      </c>
      <c r="CV48" s="52">
        <v>69.8</v>
      </c>
      <c r="CW48" s="52">
        <v>69.8</v>
      </c>
      <c r="CX48" s="52"/>
      <c r="CY48" s="52" t="s">
        <v>264</v>
      </c>
      <c r="CZ48" s="52">
        <v>23.4</v>
      </c>
      <c r="DA48" s="52" t="s">
        <v>264</v>
      </c>
      <c r="DB48" s="52" t="s">
        <v>264</v>
      </c>
      <c r="DC48" s="52" t="s">
        <v>264</v>
      </c>
      <c r="DD48" s="52"/>
      <c r="DE48" s="52"/>
      <c r="DF48" s="53"/>
      <c r="DG48" s="53">
        <v>150.4</v>
      </c>
      <c r="DH48" s="53">
        <v>108.4</v>
      </c>
      <c r="DI48" s="53">
        <v>555.20000000000005</v>
      </c>
      <c r="DJ48" s="53">
        <v>134.80000000000001</v>
      </c>
      <c r="DK48" s="53">
        <v>390.8</v>
      </c>
      <c r="DL48" s="53">
        <v>98</v>
      </c>
      <c r="DM48" s="53">
        <v>179.9</v>
      </c>
      <c r="DN48" s="53"/>
      <c r="DO48" s="53">
        <v>129.1</v>
      </c>
      <c r="DP48" s="53">
        <v>126</v>
      </c>
      <c r="DQ48" s="53"/>
      <c r="DR48" s="53"/>
      <c r="DS48" s="53">
        <v>575.5</v>
      </c>
      <c r="DT48" s="53">
        <v>2448.1</v>
      </c>
      <c r="DU48" s="53">
        <v>-258.79999999999973</v>
      </c>
      <c r="DV48" s="53">
        <v>0</v>
      </c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2"/>
      <c r="FF48" s="52"/>
      <c r="FG48" s="52"/>
      <c r="FH48" s="52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  <c r="FX48" s="52"/>
      <c r="FY48" s="52"/>
      <c r="FZ48" s="52"/>
      <c r="GA48" s="52"/>
      <c r="GB48" s="52"/>
      <c r="GC48" s="52"/>
      <c r="GD48" s="52"/>
      <c r="GE48" s="52"/>
      <c r="GF48" s="52"/>
      <c r="GG48" s="52"/>
      <c r="GH48" s="52"/>
      <c r="GI48" s="52"/>
      <c r="GJ48" s="52"/>
      <c r="GK48" s="52"/>
      <c r="GL48" s="52"/>
      <c r="GM48" s="52"/>
      <c r="GN48" s="52"/>
      <c r="GO48" s="52"/>
      <c r="GP48" s="52"/>
      <c r="GQ48" s="52"/>
      <c r="GR48" s="52"/>
      <c r="GS48" s="52"/>
      <c r="GT48" s="52"/>
      <c r="GU48" s="52"/>
      <c r="GV48" s="52"/>
      <c r="GW48" s="52"/>
      <c r="GX48" s="52"/>
      <c r="GY48" s="17"/>
      <c r="GZ48" s="52">
        <v>778.7</v>
      </c>
      <c r="HA48" s="52"/>
      <c r="HB48" s="17"/>
      <c r="HC48" s="17"/>
      <c r="HD48" s="17"/>
      <c r="HE48" s="17"/>
      <c r="HF48" s="52"/>
      <c r="HG48" s="52"/>
      <c r="HH48" s="52"/>
      <c r="HI48" s="52"/>
      <c r="HJ48" s="52"/>
      <c r="HK48" s="52"/>
      <c r="HL48" s="52"/>
      <c r="HM48" s="52"/>
      <c r="HN48" s="52"/>
      <c r="HO48" s="52"/>
      <c r="HP48" s="52"/>
      <c r="HQ48" s="52"/>
      <c r="HR48" s="52"/>
      <c r="HS48" s="52"/>
      <c r="HT48" s="52"/>
      <c r="HU48" s="52"/>
      <c r="HV48" s="52"/>
      <c r="HW48" s="52"/>
      <c r="HX48" s="52"/>
      <c r="HY48" s="52"/>
      <c r="HZ48" s="52"/>
      <c r="IA48" s="52"/>
      <c r="IB48" s="52"/>
      <c r="IC48" s="52"/>
      <c r="ID48" s="52"/>
      <c r="IE48" s="52"/>
      <c r="IF48" s="52"/>
      <c r="IG48" s="52"/>
      <c r="IH48" s="53"/>
      <c r="II48" s="53"/>
      <c r="IJ48" s="53"/>
      <c r="IK48" s="53"/>
      <c r="IL48" s="53"/>
      <c r="IM48" s="52"/>
      <c r="IN48" s="52">
        <v>56.5</v>
      </c>
      <c r="IY48" s="48">
        <f t="shared" si="2"/>
        <v>47.385319227155762</v>
      </c>
      <c r="IZ48" s="48">
        <f>IY48-'NOPA Crush'!J48</f>
        <v>-0.11468077284423828</v>
      </c>
      <c r="JB48" s="63">
        <f t="shared" si="0"/>
        <v>10.881908418773744</v>
      </c>
      <c r="JC48" s="64">
        <f>JB48-'NOPA Crush'!O48</f>
        <v>-1.8091581226256537E-2</v>
      </c>
      <c r="JD48" s="65"/>
      <c r="JE48" s="67">
        <f t="shared" si="1"/>
        <v>1411.4</v>
      </c>
      <c r="JF48" s="68">
        <f>'NOPA Crush'!Q48/'Census Crush'!JE48</f>
        <v>0.55235935950120441</v>
      </c>
    </row>
    <row r="49" spans="1:266">
      <c r="A49" s="39">
        <v>30529</v>
      </c>
      <c r="B49" s="49">
        <v>2570.6999999999998</v>
      </c>
      <c r="C49" s="50">
        <v>1757</v>
      </c>
      <c r="D49" s="50">
        <v>166.6</v>
      </c>
      <c r="E49" s="50">
        <v>325</v>
      </c>
      <c r="F49" s="50" t="s">
        <v>264</v>
      </c>
      <c r="G49" s="50">
        <v>55.7</v>
      </c>
      <c r="H49" s="50">
        <v>40.1</v>
      </c>
      <c r="I49" s="50" t="s">
        <v>264</v>
      </c>
      <c r="J49" s="50" t="s">
        <v>264</v>
      </c>
      <c r="K49" s="49">
        <v>930.2</v>
      </c>
      <c r="L49" s="49">
        <v>1407.6000000000001</v>
      </c>
      <c r="M49" s="49">
        <v>1062.9000000000001</v>
      </c>
      <c r="N49" s="49">
        <v>344.7</v>
      </c>
      <c r="O49" s="50">
        <v>54.6</v>
      </c>
      <c r="P49" s="51">
        <v>96.7</v>
      </c>
      <c r="Q49" s="49">
        <v>49.5</v>
      </c>
      <c r="R49" s="49">
        <v>47.2</v>
      </c>
      <c r="S49" s="49"/>
      <c r="T49" s="50" t="s">
        <v>264</v>
      </c>
      <c r="U49" s="50" t="s">
        <v>264</v>
      </c>
      <c r="V49" s="50" t="s">
        <v>264</v>
      </c>
      <c r="W49" s="49">
        <v>4.9000000000000004</v>
      </c>
      <c r="X49" s="49">
        <v>42.1</v>
      </c>
      <c r="Y49" s="50" t="s">
        <v>264</v>
      </c>
      <c r="Z49" s="49">
        <v>109.2</v>
      </c>
      <c r="AA49" s="49">
        <v>97.8</v>
      </c>
      <c r="AB49" s="49">
        <v>11.4</v>
      </c>
      <c r="AC49" s="49" t="s">
        <v>264</v>
      </c>
      <c r="AD49" s="49" t="s">
        <v>264</v>
      </c>
      <c r="AE49" s="49"/>
      <c r="AF49" s="51"/>
      <c r="AG49" s="50" t="s">
        <v>264</v>
      </c>
      <c r="AH49" s="50" t="s">
        <v>264</v>
      </c>
      <c r="AI49" s="49">
        <v>92</v>
      </c>
      <c r="AJ49" s="49"/>
      <c r="AK49" s="49"/>
      <c r="AL49" s="51">
        <v>95.7</v>
      </c>
      <c r="AM49" s="49">
        <v>63.6</v>
      </c>
      <c r="AN49" s="49">
        <v>32.1</v>
      </c>
      <c r="AO49" s="49">
        <v>1978.5</v>
      </c>
      <c r="AP49" s="49">
        <v>344.1</v>
      </c>
      <c r="AQ49" s="49">
        <v>74.3</v>
      </c>
      <c r="AR49" s="49">
        <v>34.4</v>
      </c>
      <c r="AS49" s="50">
        <v>78.8</v>
      </c>
      <c r="AT49" s="50">
        <v>129.9</v>
      </c>
      <c r="AU49" s="50">
        <v>43</v>
      </c>
      <c r="AV49" s="50">
        <v>45</v>
      </c>
      <c r="AW49" s="50" t="s">
        <v>264</v>
      </c>
      <c r="AX49" s="50" t="s">
        <v>264</v>
      </c>
      <c r="AY49" s="50">
        <v>29.1</v>
      </c>
      <c r="AZ49" s="50">
        <v>2.6</v>
      </c>
      <c r="BA49" s="50" t="s">
        <v>264</v>
      </c>
      <c r="BB49" s="50" t="s">
        <v>264</v>
      </c>
      <c r="BC49" s="50"/>
      <c r="BD49" s="52">
        <v>106.8</v>
      </c>
      <c r="BE49" s="52">
        <v>53.5</v>
      </c>
      <c r="BF49" s="52"/>
      <c r="BG49" s="52"/>
      <c r="BH49" s="52"/>
      <c r="BI49" s="52"/>
      <c r="BJ49" s="52"/>
      <c r="BK49" s="52"/>
      <c r="BL49" s="52"/>
      <c r="BM49" s="52">
        <v>553.1</v>
      </c>
      <c r="BN49" s="52"/>
      <c r="BO49" s="52"/>
      <c r="BP49" s="52"/>
      <c r="BQ49" s="52"/>
      <c r="BR49" s="52"/>
      <c r="BS49" s="53">
        <v>406.3</v>
      </c>
      <c r="BT49" s="52"/>
      <c r="BU49" s="52">
        <v>35.6</v>
      </c>
      <c r="BV49" s="50" t="s">
        <v>264</v>
      </c>
      <c r="BW49" s="50" t="s">
        <v>264</v>
      </c>
      <c r="BX49" s="50">
        <v>446.7</v>
      </c>
      <c r="BY49" s="50" t="s">
        <v>264</v>
      </c>
      <c r="BZ49" s="50" t="s">
        <v>264</v>
      </c>
      <c r="CA49" s="49"/>
      <c r="CB49" s="52"/>
      <c r="CC49" s="52"/>
      <c r="CD49" s="52"/>
      <c r="CE49" s="52"/>
      <c r="CF49" s="52">
        <v>103.1</v>
      </c>
      <c r="CG49" s="52">
        <v>217.2</v>
      </c>
      <c r="CH49" s="52">
        <v>19.899999999999999</v>
      </c>
      <c r="CI49" s="52"/>
      <c r="CJ49" s="52"/>
      <c r="CK49" s="52"/>
      <c r="CL49" s="52"/>
      <c r="CM49" s="52"/>
      <c r="CN49" s="52">
        <v>55.4</v>
      </c>
      <c r="CO49" s="52">
        <v>132</v>
      </c>
      <c r="CP49" s="52">
        <v>100</v>
      </c>
      <c r="CQ49" s="52">
        <v>32</v>
      </c>
      <c r="CR49" s="52" t="s">
        <v>264</v>
      </c>
      <c r="CS49" s="52">
        <v>41.6</v>
      </c>
      <c r="CT49" s="52">
        <v>28.2</v>
      </c>
      <c r="CU49" s="52">
        <v>13.4</v>
      </c>
      <c r="CV49" s="52">
        <v>62.4</v>
      </c>
      <c r="CW49" s="52">
        <v>62.4</v>
      </c>
      <c r="CX49" s="52"/>
      <c r="CY49" s="52">
        <v>10.9</v>
      </c>
      <c r="CZ49" s="52">
        <v>34.700000000000003</v>
      </c>
      <c r="DA49" s="52" t="s">
        <v>264</v>
      </c>
      <c r="DB49" s="52" t="s">
        <v>264</v>
      </c>
      <c r="DC49" s="52" t="s">
        <v>264</v>
      </c>
      <c r="DD49" s="52"/>
      <c r="DE49" s="52"/>
      <c r="DF49" s="53"/>
      <c r="DG49" s="53">
        <v>140.9</v>
      </c>
      <c r="DH49" s="53"/>
      <c r="DI49" s="53">
        <v>587.29999999999995</v>
      </c>
      <c r="DJ49" s="53"/>
      <c r="DK49" s="53">
        <v>426.3</v>
      </c>
      <c r="DL49" s="53">
        <v>80</v>
      </c>
      <c r="DM49" s="53">
        <v>187.9</v>
      </c>
      <c r="DN49" s="53"/>
      <c r="DO49" s="53">
        <v>147.6</v>
      </c>
      <c r="DP49" s="53">
        <v>162.80000000000001</v>
      </c>
      <c r="DQ49" s="53">
        <v>73.400000000000006</v>
      </c>
      <c r="DR49" s="53"/>
      <c r="DS49" s="53">
        <v>764.5</v>
      </c>
      <c r="DT49" s="53">
        <v>2570.6999999999998</v>
      </c>
      <c r="DU49" s="53">
        <v>-140.89999999999964</v>
      </c>
      <c r="DV49" s="53">
        <v>0</v>
      </c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2"/>
      <c r="GG49" s="52"/>
      <c r="GH49" s="52"/>
      <c r="GI49" s="52"/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17"/>
      <c r="GZ49" s="52">
        <v>837.7</v>
      </c>
      <c r="HA49" s="52"/>
      <c r="HB49" s="17"/>
      <c r="HC49" s="17"/>
      <c r="HD49" s="17"/>
      <c r="HE49" s="17"/>
      <c r="HF49" s="52"/>
      <c r="HG49" s="52"/>
      <c r="HH49" s="52"/>
      <c r="HI49" s="52"/>
      <c r="HJ49" s="52"/>
      <c r="HK49" s="52"/>
      <c r="HL49" s="52"/>
      <c r="HM49" s="52"/>
      <c r="HN49" s="52"/>
      <c r="HO49" s="52"/>
      <c r="HP49" s="52"/>
      <c r="HQ49" s="52"/>
      <c r="HR49" s="52"/>
      <c r="HS49" s="52"/>
      <c r="HT49" s="52"/>
      <c r="HU49" s="52"/>
      <c r="HV49" s="52"/>
      <c r="HW49" s="52"/>
      <c r="HX49" s="52"/>
      <c r="HY49" s="52"/>
      <c r="HZ49" s="52"/>
      <c r="IA49" s="52"/>
      <c r="IB49" s="52"/>
      <c r="IC49" s="52"/>
      <c r="ID49" s="52"/>
      <c r="IE49" s="52"/>
      <c r="IF49" s="52"/>
      <c r="IG49" s="52"/>
      <c r="IH49" s="53"/>
      <c r="II49" s="53"/>
      <c r="IJ49" s="53"/>
      <c r="IK49" s="53"/>
      <c r="IL49" s="53"/>
      <c r="IM49" s="52"/>
      <c r="IN49" s="52">
        <v>55.2</v>
      </c>
      <c r="IY49" s="48">
        <f t="shared" si="2"/>
        <v>47.912241801843862</v>
      </c>
      <c r="IZ49" s="48">
        <f>IY49-'NOPA Crush'!J49</f>
        <v>0.21224180184385943</v>
      </c>
      <c r="JB49" s="63">
        <f t="shared" si="0"/>
        <v>10.855409032559226</v>
      </c>
      <c r="JC49" s="64">
        <f>JB49-'NOPA Crush'!O49</f>
        <v>-4.4590967440774065E-2</v>
      </c>
      <c r="JD49" s="65"/>
      <c r="JE49" s="67">
        <f t="shared" si="1"/>
        <v>1407.6000000000001</v>
      </c>
      <c r="JF49" s="68">
        <f>'NOPA Crush'!Q49/'Census Crush'!JE49</f>
        <v>0.49644785450412043</v>
      </c>
    </row>
    <row r="50" spans="1:266">
      <c r="A50" s="39">
        <v>30560</v>
      </c>
      <c r="B50" s="49">
        <v>2597.6</v>
      </c>
      <c r="C50" s="50">
        <v>1915.6</v>
      </c>
      <c r="D50" s="50">
        <v>120.7</v>
      </c>
      <c r="E50" s="50">
        <v>284.8</v>
      </c>
      <c r="F50" s="50" t="s">
        <v>264</v>
      </c>
      <c r="G50" s="50">
        <v>62.4</v>
      </c>
      <c r="H50" s="50">
        <v>45.2</v>
      </c>
      <c r="I50" s="50" t="s">
        <v>264</v>
      </c>
      <c r="J50" s="50" t="s">
        <v>264</v>
      </c>
      <c r="K50" s="49">
        <v>945.3</v>
      </c>
      <c r="L50" s="49">
        <v>1261</v>
      </c>
      <c r="M50" s="49">
        <v>959.4</v>
      </c>
      <c r="N50" s="49">
        <v>301.60000000000002</v>
      </c>
      <c r="O50" s="50">
        <v>37.1</v>
      </c>
      <c r="P50" s="51">
        <v>89.6</v>
      </c>
      <c r="Q50" s="49">
        <v>52.9</v>
      </c>
      <c r="R50" s="49">
        <v>36.700000000000003</v>
      </c>
      <c r="S50" s="49"/>
      <c r="T50" s="50" t="s">
        <v>264</v>
      </c>
      <c r="U50" s="50" t="s">
        <v>264</v>
      </c>
      <c r="V50" s="50" t="s">
        <v>264</v>
      </c>
      <c r="W50" s="49">
        <v>3.9</v>
      </c>
      <c r="X50" s="49">
        <v>47.2</v>
      </c>
      <c r="Y50" s="50" t="s">
        <v>264</v>
      </c>
      <c r="Z50" s="49">
        <v>95.3</v>
      </c>
      <c r="AA50" s="49">
        <v>84.6</v>
      </c>
      <c r="AB50" s="49">
        <v>10.7</v>
      </c>
      <c r="AC50" s="49" t="s">
        <v>264</v>
      </c>
      <c r="AD50" s="49" t="s">
        <v>264</v>
      </c>
      <c r="AE50" s="49"/>
      <c r="AF50" s="51"/>
      <c r="AG50" s="50" t="s">
        <v>264</v>
      </c>
      <c r="AH50" s="50" t="s">
        <v>264</v>
      </c>
      <c r="AI50" s="49">
        <v>88.2</v>
      </c>
      <c r="AJ50" s="49"/>
      <c r="AK50" s="49"/>
      <c r="AL50" s="51">
        <v>89.5</v>
      </c>
      <c r="AM50" s="49">
        <v>62</v>
      </c>
      <c r="AN50" s="49">
        <v>27.5</v>
      </c>
      <c r="AO50" s="49">
        <v>2003.9</v>
      </c>
      <c r="AP50" s="49">
        <v>438.8</v>
      </c>
      <c r="AQ50" s="49">
        <v>71.3</v>
      </c>
      <c r="AR50" s="49">
        <v>35.299999999999997</v>
      </c>
      <c r="AS50" s="50">
        <v>55.3</v>
      </c>
      <c r="AT50" s="50">
        <v>92.9</v>
      </c>
      <c r="AU50" s="50">
        <v>31.7</v>
      </c>
      <c r="AV50" s="50">
        <v>27.2</v>
      </c>
      <c r="AW50" s="50" t="s">
        <v>264</v>
      </c>
      <c r="AX50" s="50" t="s">
        <v>264</v>
      </c>
      <c r="AY50" s="50">
        <v>31.6</v>
      </c>
      <c r="AZ50" s="50">
        <v>5.4</v>
      </c>
      <c r="BA50" s="50" t="s">
        <v>264</v>
      </c>
      <c r="BB50" s="50" t="s">
        <v>264</v>
      </c>
      <c r="BC50" s="50"/>
      <c r="BD50" s="52">
        <v>117.5</v>
      </c>
      <c r="BE50" s="52">
        <v>48.8</v>
      </c>
      <c r="BF50" s="52"/>
      <c r="BG50" s="52"/>
      <c r="BH50" s="52"/>
      <c r="BI50" s="52"/>
      <c r="BJ50" s="52"/>
      <c r="BK50" s="52"/>
      <c r="BL50" s="52"/>
      <c r="BM50" s="52">
        <v>516.20000000000005</v>
      </c>
      <c r="BN50" s="52"/>
      <c r="BO50" s="52"/>
      <c r="BP50" s="52"/>
      <c r="BQ50" s="52"/>
      <c r="BR50" s="52"/>
      <c r="BS50" s="53">
        <v>394.3</v>
      </c>
      <c r="BT50" s="52"/>
      <c r="BU50" s="52">
        <v>40.4</v>
      </c>
      <c r="BV50" s="50" t="s">
        <v>264</v>
      </c>
      <c r="BW50" s="50" t="s">
        <v>264</v>
      </c>
      <c r="BX50" s="50">
        <v>440.5</v>
      </c>
      <c r="BY50" s="50" t="s">
        <v>264</v>
      </c>
      <c r="BZ50" s="50" t="s">
        <v>264</v>
      </c>
      <c r="CA50" s="49"/>
      <c r="CB50" s="52"/>
      <c r="CC50" s="52"/>
      <c r="CD50" s="52"/>
      <c r="CE50" s="52"/>
      <c r="CF50" s="52">
        <v>99.9</v>
      </c>
      <c r="CG50" s="52">
        <v>203.7</v>
      </c>
      <c r="CH50" s="52">
        <v>19</v>
      </c>
      <c r="CI50" s="52"/>
      <c r="CJ50" s="52"/>
      <c r="CK50" s="52"/>
      <c r="CL50" s="52"/>
      <c r="CM50" s="52"/>
      <c r="CN50" s="52">
        <v>55.8</v>
      </c>
      <c r="CO50" s="52">
        <v>145.19999999999999</v>
      </c>
      <c r="CP50" s="52">
        <v>109.4</v>
      </c>
      <c r="CQ50" s="52">
        <v>35.799999999999997</v>
      </c>
      <c r="CR50" s="52" t="s">
        <v>264</v>
      </c>
      <c r="CS50" s="52">
        <v>50.4</v>
      </c>
      <c r="CT50" s="52">
        <v>37.299999999999997</v>
      </c>
      <c r="CU50" s="52">
        <v>13.1</v>
      </c>
      <c r="CV50" s="52">
        <v>69</v>
      </c>
      <c r="CW50" s="52">
        <v>69</v>
      </c>
      <c r="CX50" s="52"/>
      <c r="CY50" s="52">
        <v>11.8</v>
      </c>
      <c r="CZ50" s="52">
        <v>29.2</v>
      </c>
      <c r="DA50" s="52" t="s">
        <v>264</v>
      </c>
      <c r="DB50" s="52" t="s">
        <v>264</v>
      </c>
      <c r="DC50" s="52" t="s">
        <v>264</v>
      </c>
      <c r="DD50" s="52"/>
      <c r="DE50" s="52"/>
      <c r="DF50" s="53"/>
      <c r="DG50" s="53">
        <v>91.2</v>
      </c>
      <c r="DH50" s="53">
        <v>98.9</v>
      </c>
      <c r="DI50" s="53">
        <v>629.79999999999995</v>
      </c>
      <c r="DJ50" s="53">
        <v>111.8</v>
      </c>
      <c r="DK50" s="53">
        <v>445.2</v>
      </c>
      <c r="DL50" s="53">
        <v>95.7</v>
      </c>
      <c r="DM50" s="53">
        <v>167.2</v>
      </c>
      <c r="DN50" s="53"/>
      <c r="DO50" s="53">
        <v>169.8</v>
      </c>
      <c r="DP50" s="53">
        <v>150.9</v>
      </c>
      <c r="DQ50" s="53">
        <v>66.8</v>
      </c>
      <c r="DR50" s="53">
        <v>77.8</v>
      </c>
      <c r="DS50" s="53">
        <v>492.5</v>
      </c>
      <c r="DT50" s="53">
        <v>2597.6</v>
      </c>
      <c r="DU50" s="53">
        <v>-190.09999999999991</v>
      </c>
      <c r="DV50" s="53">
        <v>0</v>
      </c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/>
      <c r="FE50" s="52"/>
      <c r="FF50" s="52"/>
      <c r="FG50" s="52"/>
      <c r="FH50" s="52"/>
      <c r="FI50" s="52"/>
      <c r="FJ50" s="52"/>
      <c r="FK50" s="52"/>
      <c r="FL50" s="52"/>
      <c r="FM50" s="52"/>
      <c r="FN50" s="52"/>
      <c r="FO50" s="52"/>
      <c r="FP50" s="52"/>
      <c r="FQ50" s="52"/>
      <c r="FR50" s="52"/>
      <c r="FS50" s="52"/>
      <c r="FT50" s="52"/>
      <c r="FU50" s="52"/>
      <c r="FV50" s="52"/>
      <c r="FW50" s="52"/>
      <c r="FX50" s="52"/>
      <c r="FY50" s="52"/>
      <c r="FZ50" s="52"/>
      <c r="GA50" s="52"/>
      <c r="GB50" s="52"/>
      <c r="GC50" s="52"/>
      <c r="GD50" s="52"/>
      <c r="GE50" s="52"/>
      <c r="GF50" s="52"/>
      <c r="GG50" s="52"/>
      <c r="GH50" s="52"/>
      <c r="GI50" s="52"/>
      <c r="GJ50" s="52"/>
      <c r="GK50" s="52"/>
      <c r="GL50" s="52"/>
      <c r="GM50" s="52"/>
      <c r="GN50" s="52"/>
      <c r="GO50" s="52"/>
      <c r="GP50" s="52"/>
      <c r="GQ50" s="52"/>
      <c r="GR50" s="52"/>
      <c r="GS50" s="52"/>
      <c r="GT50" s="52"/>
      <c r="GU50" s="52"/>
      <c r="GV50" s="52"/>
      <c r="GW50" s="52"/>
      <c r="GX50" s="52"/>
      <c r="GY50" s="17"/>
      <c r="GZ50" s="52">
        <v>828.8</v>
      </c>
      <c r="HA50" s="52"/>
      <c r="HB50" s="17"/>
      <c r="HC50" s="17"/>
      <c r="HD50" s="17"/>
      <c r="HE50" s="17"/>
      <c r="HF50" s="52"/>
      <c r="HG50" s="52"/>
      <c r="HH50" s="52"/>
      <c r="HI50" s="52"/>
      <c r="HJ50" s="52"/>
      <c r="HK50" s="52"/>
      <c r="HL50" s="52"/>
      <c r="HM50" s="52"/>
      <c r="HN50" s="52"/>
      <c r="HO50" s="52"/>
      <c r="HP50" s="52"/>
      <c r="HQ50" s="52"/>
      <c r="HR50" s="52"/>
      <c r="HS50" s="52"/>
      <c r="HT50" s="52"/>
      <c r="HU50" s="52"/>
      <c r="HV50" s="52"/>
      <c r="HW50" s="52"/>
      <c r="HX50" s="52"/>
      <c r="HY50" s="52"/>
      <c r="HZ50" s="52"/>
      <c r="IA50" s="52"/>
      <c r="IB50" s="52"/>
      <c r="IC50" s="52"/>
      <c r="ID50" s="52"/>
      <c r="IE50" s="52"/>
      <c r="IF50" s="52"/>
      <c r="IG50" s="52"/>
      <c r="IH50" s="53"/>
      <c r="II50" s="53"/>
      <c r="IJ50" s="53"/>
      <c r="IK50" s="53"/>
      <c r="IL50" s="53"/>
      <c r="IM50" s="52"/>
      <c r="IN50" s="52">
        <v>39.200000000000003</v>
      </c>
      <c r="IY50" s="48">
        <f t="shared" si="2"/>
        <v>47.933477055743772</v>
      </c>
      <c r="IZ50" s="48">
        <f>IY50-'NOPA Crush'!J50</f>
        <v>-6.6522944256227845E-2</v>
      </c>
      <c r="JB50" s="63">
        <f t="shared" si="0"/>
        <v>10.917385278718818</v>
      </c>
      <c r="JC50" s="64">
        <f>JB50-'NOPA Crush'!O50</f>
        <v>1.7385278718817787E-2</v>
      </c>
      <c r="JD50" s="65"/>
      <c r="JE50" s="67">
        <f t="shared" si="1"/>
        <v>1261</v>
      </c>
      <c r="JF50" s="68">
        <f>'NOPA Crush'!Q50/'Census Crush'!JE50</f>
        <v>0.51403647898493265</v>
      </c>
    </row>
    <row r="51" spans="1:266">
      <c r="A51" s="39">
        <v>30590</v>
      </c>
      <c r="B51" s="49">
        <v>2893.7</v>
      </c>
      <c r="C51" s="50">
        <v>3734</v>
      </c>
      <c r="D51" s="50">
        <v>187.9</v>
      </c>
      <c r="E51" s="50">
        <v>704.8</v>
      </c>
      <c r="F51" s="50" t="s">
        <v>264</v>
      </c>
      <c r="G51" s="50" t="s">
        <v>264</v>
      </c>
      <c r="H51" s="50">
        <v>120.5</v>
      </c>
      <c r="I51" s="50" t="s">
        <v>264</v>
      </c>
      <c r="J51" s="50" t="s">
        <v>264</v>
      </c>
      <c r="K51" s="49">
        <v>1081</v>
      </c>
      <c r="L51" s="49">
        <v>1453.4</v>
      </c>
      <c r="M51" s="49">
        <v>1126.4000000000001</v>
      </c>
      <c r="N51" s="49">
        <v>327</v>
      </c>
      <c r="O51" s="50">
        <v>58.6</v>
      </c>
      <c r="P51" s="51">
        <v>82.5</v>
      </c>
      <c r="Q51" s="49">
        <v>46</v>
      </c>
      <c r="R51" s="49">
        <v>36.5</v>
      </c>
      <c r="S51" s="49"/>
      <c r="T51" s="50" t="s">
        <v>264</v>
      </c>
      <c r="U51" s="50" t="s">
        <v>264</v>
      </c>
      <c r="V51" s="50" t="s">
        <v>264</v>
      </c>
      <c r="W51" s="49">
        <v>3.8</v>
      </c>
      <c r="X51" s="49">
        <v>88.7</v>
      </c>
      <c r="Y51" s="49">
        <v>3.7</v>
      </c>
      <c r="Z51" s="49">
        <v>164.8</v>
      </c>
      <c r="AA51" s="49">
        <v>157</v>
      </c>
      <c r="AB51" s="49">
        <v>7.8</v>
      </c>
      <c r="AC51" s="49" t="s">
        <v>264</v>
      </c>
      <c r="AD51" s="49" t="s">
        <v>264</v>
      </c>
      <c r="AE51" s="49"/>
      <c r="AF51" s="51"/>
      <c r="AG51" s="50" t="s">
        <v>264</v>
      </c>
      <c r="AH51" s="50" t="s">
        <v>264</v>
      </c>
      <c r="AI51" s="49">
        <v>87</v>
      </c>
      <c r="AJ51" s="49"/>
      <c r="AK51" s="49"/>
      <c r="AL51" s="51">
        <v>103</v>
      </c>
      <c r="AM51" s="49">
        <v>68.7</v>
      </c>
      <c r="AN51" s="49">
        <v>34.299999999999997</v>
      </c>
      <c r="AO51" s="49">
        <v>2208.5</v>
      </c>
      <c r="AP51" s="49">
        <v>386.1</v>
      </c>
      <c r="AQ51" s="49">
        <v>79.400000000000006</v>
      </c>
      <c r="AR51" s="49">
        <v>33.200000000000003</v>
      </c>
      <c r="AS51" s="50">
        <v>86.7</v>
      </c>
      <c r="AT51" s="50">
        <v>71.099999999999994</v>
      </c>
      <c r="AU51" s="50">
        <v>43.9</v>
      </c>
      <c r="AV51" s="50">
        <v>21.3</v>
      </c>
      <c r="AW51" s="50" t="s">
        <v>264</v>
      </c>
      <c r="AX51" s="50" t="s">
        <v>264</v>
      </c>
      <c r="AY51" s="50">
        <v>60</v>
      </c>
      <c r="AZ51" s="50">
        <v>12.3</v>
      </c>
      <c r="BA51" s="50" t="s">
        <v>264</v>
      </c>
      <c r="BB51" s="50" t="s">
        <v>264</v>
      </c>
      <c r="BC51" s="50"/>
      <c r="BD51" s="52">
        <v>130</v>
      </c>
      <c r="BE51" s="52">
        <v>52.3</v>
      </c>
      <c r="BF51" s="52"/>
      <c r="BG51" s="52"/>
      <c r="BH51" s="52"/>
      <c r="BI51" s="52"/>
      <c r="BJ51" s="52"/>
      <c r="BK51" s="52"/>
      <c r="BL51" s="52"/>
      <c r="BM51" s="52">
        <v>531.5</v>
      </c>
      <c r="BN51" s="52"/>
      <c r="BO51" s="52"/>
      <c r="BP51" s="52"/>
      <c r="BQ51" s="52"/>
      <c r="BR51" s="52"/>
      <c r="BS51" s="53">
        <v>428.1</v>
      </c>
      <c r="BT51" s="52">
        <v>90</v>
      </c>
      <c r="BU51" s="52">
        <v>41.4</v>
      </c>
      <c r="BV51" s="50" t="s">
        <v>264</v>
      </c>
      <c r="BW51" s="50" t="s">
        <v>264</v>
      </c>
      <c r="BX51" s="50">
        <v>603</v>
      </c>
      <c r="BY51" s="50" t="s">
        <v>264</v>
      </c>
      <c r="BZ51" s="50" t="s">
        <v>264</v>
      </c>
      <c r="CA51" s="49"/>
      <c r="CB51" s="52"/>
      <c r="CC51" s="52"/>
      <c r="CD51" s="52"/>
      <c r="CE51" s="52"/>
      <c r="CF51" s="52">
        <v>107.9</v>
      </c>
      <c r="CG51" s="52">
        <v>205.4</v>
      </c>
      <c r="CH51" s="52">
        <v>18.8</v>
      </c>
      <c r="CI51" s="52"/>
      <c r="CJ51" s="52"/>
      <c r="CK51" s="52"/>
      <c r="CL51" s="52"/>
      <c r="CM51" s="52"/>
      <c r="CN51" s="52">
        <v>57.6</v>
      </c>
      <c r="CO51" s="52">
        <v>162.5</v>
      </c>
      <c r="CP51" s="52">
        <v>120.3</v>
      </c>
      <c r="CQ51" s="52">
        <v>42.2</v>
      </c>
      <c r="CR51" s="52" t="s">
        <v>264</v>
      </c>
      <c r="CS51" s="52">
        <v>46</v>
      </c>
      <c r="CT51" s="52">
        <v>33.700000000000003</v>
      </c>
      <c r="CU51" s="52">
        <v>12.3</v>
      </c>
      <c r="CV51" s="52">
        <v>65.900000000000006</v>
      </c>
      <c r="CW51" s="52">
        <v>65.900000000000006</v>
      </c>
      <c r="CX51" s="52"/>
      <c r="CY51" s="52">
        <v>10.4</v>
      </c>
      <c r="CZ51" s="52">
        <v>32.1</v>
      </c>
      <c r="DA51" s="52" t="s">
        <v>264</v>
      </c>
      <c r="DB51" s="52" t="s">
        <v>264</v>
      </c>
      <c r="DC51" s="52" t="s">
        <v>264</v>
      </c>
      <c r="DD51" s="52"/>
      <c r="DE51" s="52"/>
      <c r="DF51" s="53"/>
      <c r="DG51" s="53">
        <v>136.5</v>
      </c>
      <c r="DH51" s="53">
        <v>104.7</v>
      </c>
      <c r="DI51" s="53">
        <v>668.1</v>
      </c>
      <c r="DJ51" s="53">
        <v>147.4</v>
      </c>
      <c r="DK51" s="53">
        <v>526.20000000000005</v>
      </c>
      <c r="DL51" s="53">
        <v>97.6</v>
      </c>
      <c r="DM51" s="53">
        <v>173.7</v>
      </c>
      <c r="DN51" s="53"/>
      <c r="DO51" s="53">
        <v>159</v>
      </c>
      <c r="DP51" s="53">
        <v>171.5</v>
      </c>
      <c r="DQ51" s="53"/>
      <c r="DR51" s="53">
        <v>99.2</v>
      </c>
      <c r="DS51" s="53">
        <v>609.79999999999995</v>
      </c>
      <c r="DT51" s="53">
        <v>2893.7</v>
      </c>
      <c r="DU51" s="53">
        <v>-241.19999999999982</v>
      </c>
      <c r="DV51" s="53">
        <v>0</v>
      </c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52"/>
      <c r="FC51" s="52"/>
      <c r="FD51" s="52"/>
      <c r="FE51" s="52"/>
      <c r="FF51" s="52"/>
      <c r="FG51" s="52"/>
      <c r="FH51" s="52"/>
      <c r="FI51" s="52"/>
      <c r="FJ51" s="52"/>
      <c r="FK51" s="52"/>
      <c r="FL51" s="52"/>
      <c r="FM51" s="52"/>
      <c r="FN51" s="52"/>
      <c r="FO51" s="52"/>
      <c r="FP51" s="52"/>
      <c r="FQ51" s="52"/>
      <c r="FR51" s="52"/>
      <c r="FS51" s="52"/>
      <c r="FT51" s="52"/>
      <c r="FU51" s="52"/>
      <c r="FV51" s="52"/>
      <c r="FW51" s="52"/>
      <c r="FX51" s="52"/>
      <c r="FY51" s="52"/>
      <c r="FZ51" s="52"/>
      <c r="GA51" s="52"/>
      <c r="GB51" s="52"/>
      <c r="GC51" s="52"/>
      <c r="GD51" s="52"/>
      <c r="GE51" s="52"/>
      <c r="GF51" s="52"/>
      <c r="GG51" s="52"/>
      <c r="GH51" s="52"/>
      <c r="GI51" s="52"/>
      <c r="GJ51" s="52"/>
      <c r="GK51" s="52"/>
      <c r="GL51" s="52"/>
      <c r="GM51" s="52"/>
      <c r="GN51" s="52"/>
      <c r="GO51" s="52"/>
      <c r="GP51" s="52"/>
      <c r="GQ51" s="52"/>
      <c r="GR51" s="52"/>
      <c r="GS51" s="52"/>
      <c r="GT51" s="52"/>
      <c r="GU51" s="52"/>
      <c r="GV51" s="52"/>
      <c r="GW51" s="52"/>
      <c r="GX51" s="52"/>
      <c r="GY51" s="17"/>
      <c r="GZ51" s="52">
        <v>839.2</v>
      </c>
      <c r="HA51" s="52"/>
      <c r="HB51" s="17"/>
      <c r="HC51" s="17"/>
      <c r="HD51" s="17"/>
      <c r="HE51" s="17"/>
      <c r="HF51" s="52"/>
      <c r="HG51" s="52"/>
      <c r="HH51" s="52"/>
      <c r="HI51" s="52"/>
      <c r="HJ51" s="52"/>
      <c r="HK51" s="52"/>
      <c r="HL51" s="52"/>
      <c r="HM51" s="52"/>
      <c r="HN51" s="52"/>
      <c r="HO51" s="52"/>
      <c r="HP51" s="52"/>
      <c r="HQ51" s="52"/>
      <c r="HR51" s="52"/>
      <c r="HS51" s="52"/>
      <c r="HT51" s="52"/>
      <c r="HU51" s="52"/>
      <c r="HV51" s="52"/>
      <c r="HW51" s="52"/>
      <c r="HX51" s="52"/>
      <c r="HY51" s="52"/>
      <c r="HZ51" s="52"/>
      <c r="IA51" s="52"/>
      <c r="IB51" s="52"/>
      <c r="IC51" s="52"/>
      <c r="ID51" s="52"/>
      <c r="IE51" s="52"/>
      <c r="IF51" s="52"/>
      <c r="IG51" s="52"/>
      <c r="IH51" s="53"/>
      <c r="II51" s="53"/>
      <c r="IJ51" s="53"/>
      <c r="IK51" s="53"/>
      <c r="IL51" s="53"/>
      <c r="IM51" s="52"/>
      <c r="IN51" s="52">
        <v>54.6</v>
      </c>
      <c r="IY51" s="48">
        <f t="shared" si="2"/>
        <v>47.438919030998377</v>
      </c>
      <c r="IZ51" s="48">
        <f>IY51-'NOPA Crush'!J51</f>
        <v>3.8919030998378901E-2</v>
      </c>
      <c r="JB51" s="63">
        <f t="shared" si="0"/>
        <v>11.207105090368733</v>
      </c>
      <c r="JC51" s="64">
        <f>JB51-'NOPA Crush'!O51</f>
        <v>7.1050903687339684E-3</v>
      </c>
      <c r="JD51" s="65"/>
      <c r="JE51" s="67">
        <f t="shared" si="1"/>
        <v>1453.4</v>
      </c>
      <c r="JF51" s="68">
        <f>'NOPA Crush'!Q51/'Census Crush'!JE51</f>
        <v>0.53357644144763994</v>
      </c>
    </row>
    <row r="52" spans="1:266">
      <c r="A52" s="39">
        <v>30621</v>
      </c>
      <c r="B52" s="49">
        <v>2597</v>
      </c>
      <c r="C52" s="50">
        <v>4267.8999999999996</v>
      </c>
      <c r="D52" s="50">
        <v>301.8</v>
      </c>
      <c r="E52" s="50">
        <v>1325.7</v>
      </c>
      <c r="F52" s="50" t="s">
        <v>264</v>
      </c>
      <c r="G52" s="50">
        <v>116.6</v>
      </c>
      <c r="H52" s="50">
        <v>166.5</v>
      </c>
      <c r="I52" s="50" t="s">
        <v>264</v>
      </c>
      <c r="J52" s="50" t="s">
        <v>264</v>
      </c>
      <c r="K52" s="49">
        <v>957.7</v>
      </c>
      <c r="L52" s="49">
        <v>1660.6</v>
      </c>
      <c r="M52" s="49">
        <v>1316.1</v>
      </c>
      <c r="N52" s="49">
        <v>344.5</v>
      </c>
      <c r="O52" s="50">
        <v>94.6</v>
      </c>
      <c r="P52" s="51">
        <v>108.69999999999999</v>
      </c>
      <c r="Q52" s="49">
        <v>59.8</v>
      </c>
      <c r="R52" s="49">
        <v>48.9</v>
      </c>
      <c r="S52" s="49"/>
      <c r="T52" s="50" t="s">
        <v>264</v>
      </c>
      <c r="U52" s="50" t="s">
        <v>264</v>
      </c>
      <c r="V52" s="50" t="s">
        <v>264</v>
      </c>
      <c r="W52" s="49">
        <v>5</v>
      </c>
      <c r="X52" s="49">
        <v>85.1</v>
      </c>
      <c r="Y52" s="49">
        <v>8.1</v>
      </c>
      <c r="Z52" s="49">
        <v>157.4</v>
      </c>
      <c r="AA52" s="49">
        <v>148.80000000000001</v>
      </c>
      <c r="AB52" s="49">
        <v>8.6</v>
      </c>
      <c r="AC52" s="49" t="s">
        <v>264</v>
      </c>
      <c r="AD52" s="49" t="s">
        <v>264</v>
      </c>
      <c r="AE52" s="49"/>
      <c r="AF52" s="51"/>
      <c r="AG52" s="50" t="s">
        <v>264</v>
      </c>
      <c r="AH52" s="50" t="s">
        <v>264</v>
      </c>
      <c r="AI52" s="49">
        <v>85.7</v>
      </c>
      <c r="AJ52" s="49"/>
      <c r="AK52" s="49"/>
      <c r="AL52" s="51">
        <v>103.7</v>
      </c>
      <c r="AM52" s="49">
        <v>61.1</v>
      </c>
      <c r="AN52" s="49">
        <v>42.6</v>
      </c>
      <c r="AO52" s="49">
        <v>1969.5</v>
      </c>
      <c r="AP52" s="49">
        <v>428.6</v>
      </c>
      <c r="AQ52" s="49">
        <v>79.599999999999994</v>
      </c>
      <c r="AR52" s="49">
        <v>38.200000000000003</v>
      </c>
      <c r="AS52" s="50">
        <v>144.5</v>
      </c>
      <c r="AT52" s="50">
        <v>102.7</v>
      </c>
      <c r="AU52" s="50">
        <v>75.2</v>
      </c>
      <c r="AV52" s="50">
        <v>30.2</v>
      </c>
      <c r="AW52" s="50" t="s">
        <v>264</v>
      </c>
      <c r="AX52" s="50" t="s">
        <v>264</v>
      </c>
      <c r="AY52" s="50">
        <v>55.9</v>
      </c>
      <c r="AZ52" s="50">
        <v>7.8</v>
      </c>
      <c r="BA52" s="50" t="s">
        <v>264</v>
      </c>
      <c r="BB52" s="50" t="s">
        <v>264</v>
      </c>
      <c r="BC52" s="50"/>
      <c r="BD52" s="52">
        <v>114.1</v>
      </c>
      <c r="BE52" s="52">
        <v>50.4</v>
      </c>
      <c r="BF52" s="52"/>
      <c r="BG52" s="52"/>
      <c r="BH52" s="52"/>
      <c r="BI52" s="52"/>
      <c r="BJ52" s="52"/>
      <c r="BK52" s="52"/>
      <c r="BL52" s="52"/>
      <c r="BM52" s="52">
        <v>510.3</v>
      </c>
      <c r="BN52" s="52"/>
      <c r="BO52" s="52"/>
      <c r="BP52" s="52"/>
      <c r="BQ52" s="52"/>
      <c r="BR52" s="52"/>
      <c r="BS52" s="53">
        <v>371.2</v>
      </c>
      <c r="BT52" s="52">
        <v>94</v>
      </c>
      <c r="BU52" s="52">
        <v>45.8</v>
      </c>
      <c r="BV52" s="50" t="s">
        <v>264</v>
      </c>
      <c r="BW52" s="50" t="s">
        <v>264</v>
      </c>
      <c r="BX52" s="50">
        <v>571.79999999999995</v>
      </c>
      <c r="BY52" s="50" t="s">
        <v>264</v>
      </c>
      <c r="BZ52" s="50" t="s">
        <v>264</v>
      </c>
      <c r="CA52" s="49"/>
      <c r="CB52" s="52"/>
      <c r="CC52" s="52"/>
      <c r="CD52" s="52"/>
      <c r="CE52" s="52"/>
      <c r="CF52" s="52">
        <v>105.4</v>
      </c>
      <c r="CG52" s="52">
        <v>185.7</v>
      </c>
      <c r="CH52" s="52">
        <v>18.100000000000001</v>
      </c>
      <c r="CI52" s="52"/>
      <c r="CJ52" s="52"/>
      <c r="CK52" s="52"/>
      <c r="CL52" s="52"/>
      <c r="CM52" s="52"/>
      <c r="CN52" s="52">
        <v>61.2</v>
      </c>
      <c r="CO52" s="52">
        <v>175.6</v>
      </c>
      <c r="CP52" s="52">
        <v>131.6</v>
      </c>
      <c r="CQ52" s="52">
        <v>44</v>
      </c>
      <c r="CR52" s="52" t="s">
        <v>264</v>
      </c>
      <c r="CS52" s="52">
        <v>34.9</v>
      </c>
      <c r="CT52" s="52">
        <v>23.4</v>
      </c>
      <c r="CU52" s="52">
        <v>11.5</v>
      </c>
      <c r="CV52" s="52">
        <v>69.2</v>
      </c>
      <c r="CW52" s="52">
        <v>69.2</v>
      </c>
      <c r="CX52" s="52"/>
      <c r="CY52" s="52">
        <v>14.4</v>
      </c>
      <c r="CZ52" s="52">
        <v>20</v>
      </c>
      <c r="DA52" s="52" t="s">
        <v>264</v>
      </c>
      <c r="DB52" s="52" t="s">
        <v>264</v>
      </c>
      <c r="DC52" s="52" t="s">
        <v>264</v>
      </c>
      <c r="DD52" s="52"/>
      <c r="DE52" s="52"/>
      <c r="DF52" s="53"/>
      <c r="DG52" s="53">
        <v>135.5</v>
      </c>
      <c r="DH52" s="53">
        <v>103.8</v>
      </c>
      <c r="DI52" s="53">
        <v>589.5</v>
      </c>
      <c r="DJ52" s="53"/>
      <c r="DK52" s="53">
        <v>420.1</v>
      </c>
      <c r="DL52" s="53"/>
      <c r="DM52" s="53">
        <v>164.5</v>
      </c>
      <c r="DN52" s="53"/>
      <c r="DO52" s="53">
        <v>139.5</v>
      </c>
      <c r="DP52" s="53">
        <v>143.69999999999999</v>
      </c>
      <c r="DQ52" s="53">
        <v>54.5</v>
      </c>
      <c r="DR52" s="53">
        <v>71.7</v>
      </c>
      <c r="DS52" s="53">
        <v>774.2</v>
      </c>
      <c r="DT52" s="53">
        <v>2597</v>
      </c>
      <c r="DU52" s="53">
        <v>-239.30000000000018</v>
      </c>
      <c r="DV52" s="53">
        <v>0</v>
      </c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/>
      <c r="FE52" s="52"/>
      <c r="FF52" s="52"/>
      <c r="FG52" s="52"/>
      <c r="FH52" s="52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  <c r="FX52" s="52"/>
      <c r="FY52" s="52"/>
      <c r="FZ52" s="52"/>
      <c r="GA52" s="52"/>
      <c r="GB52" s="52"/>
      <c r="GC52" s="52"/>
      <c r="GD52" s="52"/>
      <c r="GE52" s="52"/>
      <c r="GF52" s="52"/>
      <c r="GG52" s="52"/>
      <c r="GH52" s="52"/>
      <c r="GI52" s="52"/>
      <c r="GJ52" s="52"/>
      <c r="GK52" s="52"/>
      <c r="GL52" s="52"/>
      <c r="GM52" s="52"/>
      <c r="GN52" s="52"/>
      <c r="GO52" s="52"/>
      <c r="GP52" s="52"/>
      <c r="GQ52" s="52"/>
      <c r="GR52" s="52"/>
      <c r="GS52" s="52"/>
      <c r="GT52" s="52"/>
      <c r="GU52" s="52"/>
      <c r="GV52" s="52"/>
      <c r="GW52" s="52"/>
      <c r="GX52" s="52"/>
      <c r="GY52" s="17"/>
      <c r="GZ52" s="52">
        <v>747.2</v>
      </c>
      <c r="HA52" s="52"/>
      <c r="HB52" s="17"/>
      <c r="HC52" s="17"/>
      <c r="HD52" s="17"/>
      <c r="HE52" s="17"/>
      <c r="HF52" s="52"/>
      <c r="HG52" s="52"/>
      <c r="HH52" s="52"/>
      <c r="HI52" s="52"/>
      <c r="HJ52" s="52"/>
      <c r="HK52" s="52"/>
      <c r="HL52" s="52"/>
      <c r="HM52" s="52"/>
      <c r="HN52" s="52"/>
      <c r="HO52" s="52"/>
      <c r="HP52" s="52"/>
      <c r="HQ52" s="52"/>
      <c r="HR52" s="52"/>
      <c r="HS52" s="52"/>
      <c r="HT52" s="52"/>
      <c r="HU52" s="52"/>
      <c r="HV52" s="52"/>
      <c r="HW52" s="52"/>
      <c r="HX52" s="52"/>
      <c r="HY52" s="52"/>
      <c r="HZ52" s="52"/>
      <c r="IA52" s="52"/>
      <c r="IB52" s="52"/>
      <c r="IC52" s="52"/>
      <c r="ID52" s="52"/>
      <c r="IE52" s="52"/>
      <c r="IF52" s="52"/>
      <c r="IG52" s="52"/>
      <c r="IH52" s="53"/>
      <c r="II52" s="53"/>
      <c r="IJ52" s="53"/>
      <c r="IK52" s="53"/>
      <c r="IL52" s="53"/>
      <c r="IM52" s="52"/>
      <c r="IN52" s="52">
        <v>91.1</v>
      </c>
      <c r="IY52" s="48">
        <f t="shared" si="2"/>
        <v>47.341547939930692</v>
      </c>
      <c r="IZ52" s="48">
        <f>IY52-'NOPA Crush'!J52</f>
        <v>0.44154793993069319</v>
      </c>
      <c r="JB52" s="63">
        <f t="shared" si="0"/>
        <v>11.063149788217174</v>
      </c>
      <c r="JC52" s="64">
        <f>JB52-'NOPA Crush'!O52</f>
        <v>-3.6850211782825326E-2</v>
      </c>
      <c r="JD52" s="65"/>
      <c r="JE52" s="67">
        <f t="shared" si="1"/>
        <v>1660.6</v>
      </c>
      <c r="JF52" s="68">
        <f>'NOPA Crush'!Q52/'Census Crush'!JE52</f>
        <v>0.53041069492954351</v>
      </c>
    </row>
    <row r="53" spans="1:266">
      <c r="A53" s="39">
        <v>30651</v>
      </c>
      <c r="B53" s="49">
        <v>2682.6</v>
      </c>
      <c r="C53" s="50">
        <v>3718.9</v>
      </c>
      <c r="D53" s="50">
        <v>296.60000000000002</v>
      </c>
      <c r="E53" s="50">
        <v>1366.3</v>
      </c>
      <c r="F53" s="50" t="s">
        <v>264</v>
      </c>
      <c r="G53" s="50">
        <v>113.2</v>
      </c>
      <c r="H53" s="50">
        <v>128.80000000000001</v>
      </c>
      <c r="I53" s="50" t="s">
        <v>264</v>
      </c>
      <c r="J53" s="50" t="s">
        <v>264</v>
      </c>
      <c r="K53" s="49">
        <v>990.9</v>
      </c>
      <c r="L53" s="49">
        <v>1919.3</v>
      </c>
      <c r="M53" s="49">
        <v>1559.3</v>
      </c>
      <c r="N53" s="49">
        <v>360</v>
      </c>
      <c r="O53" s="50">
        <v>93.6</v>
      </c>
      <c r="P53" s="51">
        <v>144.69999999999999</v>
      </c>
      <c r="Q53" s="49">
        <v>65.3</v>
      </c>
      <c r="R53" s="49">
        <v>79.400000000000006</v>
      </c>
      <c r="S53" s="49"/>
      <c r="T53" s="50" t="s">
        <v>264</v>
      </c>
      <c r="U53" s="50" t="s">
        <v>264</v>
      </c>
      <c r="V53" s="50" t="s">
        <v>264</v>
      </c>
      <c r="W53" s="49">
        <v>2.9</v>
      </c>
      <c r="X53" s="49">
        <v>64.5</v>
      </c>
      <c r="Y53" s="49">
        <v>7.1</v>
      </c>
      <c r="Z53" s="49">
        <v>179.20000000000002</v>
      </c>
      <c r="AA53" s="49">
        <v>171.9</v>
      </c>
      <c r="AB53" s="49">
        <v>7.3</v>
      </c>
      <c r="AC53" s="49" t="s">
        <v>264</v>
      </c>
      <c r="AD53" s="49" t="s">
        <v>264</v>
      </c>
      <c r="AE53" s="49"/>
      <c r="AF53" s="51"/>
      <c r="AG53" s="50" t="s">
        <v>264</v>
      </c>
      <c r="AH53" s="50" t="s">
        <v>264</v>
      </c>
      <c r="AI53" s="49">
        <v>83.2</v>
      </c>
      <c r="AJ53" s="49"/>
      <c r="AK53" s="49"/>
      <c r="AL53" s="51">
        <v>81</v>
      </c>
      <c r="AM53" s="49">
        <v>48.7</v>
      </c>
      <c r="AN53" s="49">
        <v>32.299999999999997</v>
      </c>
      <c r="AO53" s="49">
        <v>2041.4</v>
      </c>
      <c r="AP53" s="49">
        <v>346.4</v>
      </c>
      <c r="AQ53" s="49">
        <v>81.099999999999994</v>
      </c>
      <c r="AR53" s="49">
        <v>44.7</v>
      </c>
      <c r="AS53" s="50">
        <v>140.9</v>
      </c>
      <c r="AT53" s="50">
        <v>122.9</v>
      </c>
      <c r="AU53" s="50">
        <v>75.2</v>
      </c>
      <c r="AV53" s="50">
        <v>38.700000000000003</v>
      </c>
      <c r="AW53" s="50" t="s">
        <v>264</v>
      </c>
      <c r="AX53" s="50" t="s">
        <v>264</v>
      </c>
      <c r="AY53" s="50">
        <v>41.4</v>
      </c>
      <c r="AZ53" s="50">
        <v>4.8</v>
      </c>
      <c r="BA53" s="50" t="s">
        <v>264</v>
      </c>
      <c r="BB53" s="50" t="s">
        <v>264</v>
      </c>
      <c r="BC53" s="50"/>
      <c r="BD53" s="52">
        <v>110.2</v>
      </c>
      <c r="BE53" s="52">
        <v>42.5</v>
      </c>
      <c r="BF53" s="52"/>
      <c r="BG53" s="52"/>
      <c r="BH53" s="52"/>
      <c r="BI53" s="52"/>
      <c r="BJ53" s="52"/>
      <c r="BK53" s="52"/>
      <c r="BL53" s="52"/>
      <c r="BM53" s="52">
        <v>520.70000000000005</v>
      </c>
      <c r="BN53" s="52"/>
      <c r="BO53" s="52"/>
      <c r="BP53" s="52"/>
      <c r="BQ53" s="52"/>
      <c r="BR53" s="52"/>
      <c r="BS53" s="53">
        <v>375.5</v>
      </c>
      <c r="BT53" s="52">
        <v>88</v>
      </c>
      <c r="BU53" s="52">
        <v>34.200000000000003</v>
      </c>
      <c r="BV53" s="50" t="s">
        <v>264</v>
      </c>
      <c r="BW53" s="50" t="s">
        <v>264</v>
      </c>
      <c r="BX53" s="50">
        <v>600.1</v>
      </c>
      <c r="BY53" s="50" t="s">
        <v>264</v>
      </c>
      <c r="BZ53" s="50" t="s">
        <v>264</v>
      </c>
      <c r="CA53" s="49"/>
      <c r="CB53" s="52"/>
      <c r="CC53" s="52"/>
      <c r="CD53" s="52"/>
      <c r="CE53" s="52"/>
      <c r="CF53" s="52">
        <v>93.4</v>
      </c>
      <c r="CG53" s="52">
        <v>186.2</v>
      </c>
      <c r="CH53" s="52">
        <v>17.399999999999999</v>
      </c>
      <c r="CI53" s="52"/>
      <c r="CJ53" s="52"/>
      <c r="CK53" s="52"/>
      <c r="CL53" s="52"/>
      <c r="CM53" s="52"/>
      <c r="CN53" s="52">
        <v>57.6</v>
      </c>
      <c r="CO53" s="52">
        <v>175.2</v>
      </c>
      <c r="CP53" s="52">
        <v>120.9</v>
      </c>
      <c r="CQ53" s="52">
        <v>54.3</v>
      </c>
      <c r="CR53" s="52" t="s">
        <v>264</v>
      </c>
      <c r="CS53" s="52">
        <v>34.099999999999994</v>
      </c>
      <c r="CT53" s="52">
        <v>22.9</v>
      </c>
      <c r="CU53" s="52">
        <v>11.2</v>
      </c>
      <c r="CV53" s="52">
        <v>93.9</v>
      </c>
      <c r="CW53" s="52">
        <v>93.9</v>
      </c>
      <c r="CX53" s="52"/>
      <c r="CY53" s="52">
        <v>9.9</v>
      </c>
      <c r="CZ53" s="52">
        <v>36.4</v>
      </c>
      <c r="DA53" s="52" t="s">
        <v>264</v>
      </c>
      <c r="DB53" s="52" t="s">
        <v>264</v>
      </c>
      <c r="DC53" s="52" t="s">
        <v>264</v>
      </c>
      <c r="DD53" s="52"/>
      <c r="DE53" s="52"/>
      <c r="DF53" s="53"/>
      <c r="DG53" s="53">
        <v>122.3</v>
      </c>
      <c r="DH53" s="53">
        <v>123.6</v>
      </c>
      <c r="DI53" s="53">
        <v>615.4</v>
      </c>
      <c r="DJ53" s="53">
        <v>133.1</v>
      </c>
      <c r="DK53" s="53">
        <v>423.6</v>
      </c>
      <c r="DL53" s="53"/>
      <c r="DM53" s="53">
        <v>163.80000000000001</v>
      </c>
      <c r="DN53" s="53"/>
      <c r="DO53" s="53">
        <v>154.6</v>
      </c>
      <c r="DP53" s="53">
        <v>167.9</v>
      </c>
      <c r="DQ53" s="53">
        <v>35.5</v>
      </c>
      <c r="DR53" s="53">
        <v>100.7</v>
      </c>
      <c r="DS53" s="53">
        <v>642.1</v>
      </c>
      <c r="DT53" s="53">
        <v>2682.6</v>
      </c>
      <c r="DU53" s="53">
        <v>-245.90000000000009</v>
      </c>
      <c r="DV53" s="53">
        <v>0</v>
      </c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2"/>
      <c r="FF53" s="52"/>
      <c r="FG53" s="52"/>
      <c r="FH53" s="52"/>
      <c r="FI53" s="52"/>
      <c r="FJ53" s="52"/>
      <c r="FK53" s="52"/>
      <c r="FL53" s="52"/>
      <c r="FM53" s="52"/>
      <c r="FN53" s="52"/>
      <c r="FO53" s="52"/>
      <c r="FP53" s="52"/>
      <c r="FQ53" s="52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2"/>
      <c r="GC53" s="52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17"/>
      <c r="GZ53" s="52">
        <v>737.1</v>
      </c>
      <c r="HA53" s="52"/>
      <c r="HB53" s="17"/>
      <c r="HC53" s="17"/>
      <c r="HD53" s="17"/>
      <c r="HE53" s="17"/>
      <c r="HF53" s="52"/>
      <c r="HG53" s="52"/>
      <c r="HH53" s="52"/>
      <c r="HI53" s="52"/>
      <c r="HJ53" s="52"/>
      <c r="HK53" s="52"/>
      <c r="HL53" s="52"/>
      <c r="HM53" s="52"/>
      <c r="HN53" s="52"/>
      <c r="HO53" s="52"/>
      <c r="HP53" s="52"/>
      <c r="HQ53" s="52"/>
      <c r="HR53" s="52"/>
      <c r="HS53" s="52"/>
      <c r="HT53" s="52"/>
      <c r="HU53" s="52"/>
      <c r="HV53" s="52"/>
      <c r="HW53" s="52"/>
      <c r="HX53" s="52"/>
      <c r="HY53" s="52"/>
      <c r="HZ53" s="52"/>
      <c r="IA53" s="52"/>
      <c r="IB53" s="52"/>
      <c r="IC53" s="52"/>
      <c r="ID53" s="52"/>
      <c r="IE53" s="52"/>
      <c r="IF53" s="52"/>
      <c r="IG53" s="52"/>
      <c r="IH53" s="53"/>
      <c r="II53" s="53"/>
      <c r="IJ53" s="53"/>
      <c r="IK53" s="53"/>
      <c r="IL53" s="53"/>
      <c r="IM53" s="52"/>
      <c r="IN53" s="52">
        <v>97.7</v>
      </c>
      <c r="IY53" s="48">
        <f t="shared" si="2"/>
        <v>47.472601207783491</v>
      </c>
      <c r="IZ53" s="48">
        <f>IY53-'NOPA Crush'!J53</f>
        <v>0.27260120778348806</v>
      </c>
      <c r="JB53" s="63">
        <f t="shared" si="0"/>
        <v>11.081413554014761</v>
      </c>
      <c r="JC53" s="64">
        <f>JB53-'NOPA Crush'!O53</f>
        <v>-1.8586445985238953E-2</v>
      </c>
      <c r="JD53" s="65"/>
      <c r="JE53" s="67">
        <f t="shared" si="1"/>
        <v>1919.3</v>
      </c>
      <c r="JF53" s="68">
        <f>'NOPA Crush'!Q53/'Census Crush'!JE53</f>
        <v>0.53498671390611163</v>
      </c>
    </row>
    <row r="54" spans="1:266">
      <c r="A54" s="39">
        <v>30682</v>
      </c>
      <c r="B54" s="49">
        <v>2815.2</v>
      </c>
      <c r="C54" s="50">
        <v>3758.5</v>
      </c>
      <c r="D54" s="50">
        <v>347.8</v>
      </c>
      <c r="E54" s="50">
        <v>1165.3</v>
      </c>
      <c r="F54" s="50">
        <v>15.3</v>
      </c>
      <c r="G54" s="50">
        <v>84.9</v>
      </c>
      <c r="H54" s="50">
        <v>74.900000000000006</v>
      </c>
      <c r="I54" s="50" t="s">
        <v>264</v>
      </c>
      <c r="J54" s="50" t="s">
        <v>264</v>
      </c>
      <c r="K54" s="49">
        <v>1052.5</v>
      </c>
      <c r="L54" s="49">
        <v>1907.1</v>
      </c>
      <c r="M54" s="49">
        <v>1569</v>
      </c>
      <c r="N54" s="49">
        <v>338.1</v>
      </c>
      <c r="O54" s="50">
        <v>109.5</v>
      </c>
      <c r="P54" s="51">
        <v>152.5</v>
      </c>
      <c r="Q54" s="49">
        <v>67.900000000000006</v>
      </c>
      <c r="R54" s="49">
        <v>84.6</v>
      </c>
      <c r="S54" s="49"/>
      <c r="T54" s="49">
        <v>12.1</v>
      </c>
      <c r="U54" s="51">
        <v>26.4</v>
      </c>
      <c r="V54" s="49">
        <v>22.2</v>
      </c>
      <c r="W54" s="49">
        <v>4.2</v>
      </c>
      <c r="X54" s="49">
        <v>61.4</v>
      </c>
      <c r="Y54" s="49">
        <v>4.5999999999999996</v>
      </c>
      <c r="Z54" s="49">
        <v>115.9</v>
      </c>
      <c r="AA54" s="49">
        <v>109.9</v>
      </c>
      <c r="AB54" s="49">
        <v>6</v>
      </c>
      <c r="AC54" s="49" t="s">
        <v>264</v>
      </c>
      <c r="AD54" s="49" t="s">
        <v>264</v>
      </c>
      <c r="AE54" s="49"/>
      <c r="AF54" s="51"/>
      <c r="AG54" s="50" t="s">
        <v>264</v>
      </c>
      <c r="AH54" s="50" t="s">
        <v>264</v>
      </c>
      <c r="AI54" s="49">
        <v>92.1</v>
      </c>
      <c r="AJ54" s="49"/>
      <c r="AK54" s="49"/>
      <c r="AL54" s="51">
        <v>79.099999999999994</v>
      </c>
      <c r="AM54" s="49">
        <v>52.1</v>
      </c>
      <c r="AN54" s="49">
        <v>27</v>
      </c>
      <c r="AO54" s="49">
        <v>2136.5</v>
      </c>
      <c r="AP54" s="49">
        <v>428.1</v>
      </c>
      <c r="AQ54" s="49">
        <v>83.5</v>
      </c>
      <c r="AR54" s="49">
        <v>47.8</v>
      </c>
      <c r="AS54" s="50">
        <v>162.4</v>
      </c>
      <c r="AT54" s="50">
        <v>139.1</v>
      </c>
      <c r="AU54" s="50">
        <v>86.5</v>
      </c>
      <c r="AV54" s="50">
        <v>56.2</v>
      </c>
      <c r="AW54" s="50">
        <v>9.1999999999999993</v>
      </c>
      <c r="AX54" s="50">
        <v>2.7</v>
      </c>
      <c r="AY54" s="50">
        <v>38.299999999999997</v>
      </c>
      <c r="AZ54" s="50">
        <v>4</v>
      </c>
      <c r="BA54" s="50" t="s">
        <v>264</v>
      </c>
      <c r="BB54" s="50" t="s">
        <v>264</v>
      </c>
      <c r="BC54" s="50"/>
      <c r="BD54" s="52">
        <v>92.7</v>
      </c>
      <c r="BE54" s="52">
        <v>44.1</v>
      </c>
      <c r="BF54" s="52"/>
      <c r="BG54" s="52"/>
      <c r="BH54" s="52"/>
      <c r="BI54" s="52"/>
      <c r="BJ54" s="52"/>
      <c r="BK54" s="52"/>
      <c r="BL54" s="52"/>
      <c r="BM54" s="52">
        <v>470.3</v>
      </c>
      <c r="BN54" s="52"/>
      <c r="BO54" s="52"/>
      <c r="BP54" s="52"/>
      <c r="BQ54" s="52"/>
      <c r="BR54" s="52"/>
      <c r="BS54" s="53">
        <v>367.1</v>
      </c>
      <c r="BT54" s="52">
        <v>79</v>
      </c>
      <c r="BU54" s="52">
        <v>34.1</v>
      </c>
      <c r="BV54" s="50" t="s">
        <v>264</v>
      </c>
      <c r="BW54" s="50" t="s">
        <v>264</v>
      </c>
      <c r="BX54" s="50">
        <v>540.79999999999995</v>
      </c>
      <c r="BY54" s="50" t="s">
        <v>264</v>
      </c>
      <c r="BZ54" s="50" t="s">
        <v>264</v>
      </c>
      <c r="CA54" s="49"/>
      <c r="CB54" s="52"/>
      <c r="CC54" s="52"/>
      <c r="CD54" s="52"/>
      <c r="CE54" s="52"/>
      <c r="CF54" s="52">
        <v>99.5</v>
      </c>
      <c r="CG54" s="52">
        <v>164.6</v>
      </c>
      <c r="CH54" s="52">
        <v>16.3</v>
      </c>
      <c r="CI54" s="52"/>
      <c r="CJ54" s="52"/>
      <c r="CK54" s="52"/>
      <c r="CL54" s="52"/>
      <c r="CM54" s="52"/>
      <c r="CN54" s="52">
        <v>56.3</v>
      </c>
      <c r="CO54" s="52">
        <v>215.5</v>
      </c>
      <c r="CP54" s="52">
        <v>159.5</v>
      </c>
      <c r="CQ54" s="52">
        <v>56</v>
      </c>
      <c r="CR54" s="52" t="s">
        <v>264</v>
      </c>
      <c r="CS54" s="52">
        <v>38</v>
      </c>
      <c r="CT54" s="52">
        <v>27</v>
      </c>
      <c r="CU54" s="52">
        <v>11</v>
      </c>
      <c r="CV54" s="52">
        <v>101.2</v>
      </c>
      <c r="CW54" s="52">
        <v>101.2</v>
      </c>
      <c r="CX54" s="52"/>
      <c r="CY54" s="52">
        <v>12</v>
      </c>
      <c r="CZ54" s="52">
        <v>38.700000000000003</v>
      </c>
      <c r="DA54" s="52" t="s">
        <v>264</v>
      </c>
      <c r="DB54" s="52" t="s">
        <v>264</v>
      </c>
      <c r="DC54" s="52" t="s">
        <v>264</v>
      </c>
      <c r="DD54" s="52"/>
      <c r="DE54" s="52"/>
      <c r="DF54" s="53"/>
      <c r="DG54" s="53">
        <v>104.7</v>
      </c>
      <c r="DH54" s="53">
        <v>124.8</v>
      </c>
      <c r="DI54" s="53">
        <v>621.5</v>
      </c>
      <c r="DJ54" s="53">
        <v>136.69999999999999</v>
      </c>
      <c r="DK54" s="53">
        <v>456.4</v>
      </c>
      <c r="DL54" s="53">
        <v>95.2</v>
      </c>
      <c r="DM54" s="53">
        <v>182.4</v>
      </c>
      <c r="DN54" s="53"/>
      <c r="DO54" s="53">
        <v>167.9</v>
      </c>
      <c r="DP54" s="53">
        <v>173.4</v>
      </c>
      <c r="DQ54" s="53">
        <v>49.4</v>
      </c>
      <c r="DR54" s="53">
        <v>95.8</v>
      </c>
      <c r="DS54" s="53">
        <v>607</v>
      </c>
      <c r="DT54" s="53">
        <v>2815.2</v>
      </c>
      <c r="DU54" s="53">
        <v>-229.49999999999955</v>
      </c>
      <c r="DV54" s="53">
        <v>0</v>
      </c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2"/>
      <c r="FE54" s="52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2"/>
      <c r="FQ54" s="52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2"/>
      <c r="GC54" s="52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52"/>
      <c r="GO54" s="52"/>
      <c r="GP54" s="52"/>
      <c r="GQ54" s="52"/>
      <c r="GR54" s="52"/>
      <c r="GS54" s="52"/>
      <c r="GT54" s="52"/>
      <c r="GU54" s="52"/>
      <c r="GV54" s="52"/>
      <c r="GW54" s="52"/>
      <c r="GX54" s="52"/>
      <c r="GY54" s="17"/>
      <c r="GZ54" s="52">
        <v>797.9</v>
      </c>
      <c r="HA54" s="52"/>
      <c r="HB54" s="17"/>
      <c r="HC54" s="17"/>
      <c r="HD54" s="17"/>
      <c r="HE54" s="17"/>
      <c r="HF54" s="52"/>
      <c r="HG54" s="52"/>
      <c r="HH54" s="52"/>
      <c r="HI54" s="52"/>
      <c r="HJ54" s="52"/>
      <c r="HK54" s="52"/>
      <c r="HL54" s="52"/>
      <c r="HM54" s="52"/>
      <c r="HN54" s="52"/>
      <c r="HO54" s="52"/>
      <c r="HP54" s="52"/>
      <c r="HQ54" s="52"/>
      <c r="HR54" s="52"/>
      <c r="HS54" s="52"/>
      <c r="HT54" s="52"/>
      <c r="HU54" s="52"/>
      <c r="HV54" s="52"/>
      <c r="HW54" s="52"/>
      <c r="HX54" s="52"/>
      <c r="HY54" s="52"/>
      <c r="HZ54" s="52"/>
      <c r="IA54" s="52"/>
      <c r="IB54" s="52"/>
      <c r="IC54" s="52"/>
      <c r="ID54" s="52"/>
      <c r="IE54" s="52"/>
      <c r="IF54" s="52"/>
      <c r="IG54" s="52"/>
      <c r="IH54" s="53"/>
      <c r="II54" s="53"/>
      <c r="IJ54" s="53"/>
      <c r="IK54" s="53"/>
      <c r="IL54" s="53"/>
      <c r="IM54" s="52"/>
      <c r="IN54" s="52">
        <v>99.7</v>
      </c>
      <c r="IY54" s="48">
        <f t="shared" si="2"/>
        <v>47.314578005115095</v>
      </c>
      <c r="IZ54" s="48">
        <f>IY54-'NOPA Crush'!J54</f>
        <v>0.21457800511509362</v>
      </c>
      <c r="JB54" s="63">
        <f t="shared" si="0"/>
        <v>11.215899403239558</v>
      </c>
      <c r="JC54" s="64">
        <f>JB54-'NOPA Crush'!O54</f>
        <v>1.5899403239558296E-2</v>
      </c>
      <c r="JD54" s="65"/>
      <c r="JE54" s="67">
        <f t="shared" si="1"/>
        <v>1907.1</v>
      </c>
      <c r="JF54" s="68">
        <f>'NOPA Crush'!Q54/'Census Crush'!JE54</f>
        <v>0.54947302186565994</v>
      </c>
    </row>
    <row r="55" spans="1:266">
      <c r="A55" s="39">
        <v>30713</v>
      </c>
      <c r="B55" s="49">
        <v>2376.5</v>
      </c>
      <c r="C55" s="50">
        <v>3444</v>
      </c>
      <c r="D55" s="50">
        <v>289.7</v>
      </c>
      <c r="E55" s="50">
        <v>902</v>
      </c>
      <c r="F55" s="50">
        <v>15.7</v>
      </c>
      <c r="G55" s="50">
        <v>82.6</v>
      </c>
      <c r="H55" s="50">
        <v>55.8</v>
      </c>
      <c r="I55" s="50" t="s">
        <v>264</v>
      </c>
      <c r="J55" s="50" t="s">
        <v>264</v>
      </c>
      <c r="K55" s="49">
        <v>896.9</v>
      </c>
      <c r="L55" s="49">
        <v>1582.9</v>
      </c>
      <c r="M55" s="49">
        <v>1260.9000000000001</v>
      </c>
      <c r="N55" s="49">
        <v>322</v>
      </c>
      <c r="O55" s="50">
        <v>91.3</v>
      </c>
      <c r="P55" s="51">
        <v>152.1</v>
      </c>
      <c r="Q55" s="49">
        <v>61.3</v>
      </c>
      <c r="R55" s="49">
        <v>90.8</v>
      </c>
      <c r="S55" s="49"/>
      <c r="T55" s="49">
        <v>13.3</v>
      </c>
      <c r="U55" s="51">
        <v>27.3</v>
      </c>
      <c r="V55" s="49">
        <v>23.5</v>
      </c>
      <c r="W55" s="49">
        <v>3.8</v>
      </c>
      <c r="X55" s="49">
        <v>40.6</v>
      </c>
      <c r="Y55" s="49">
        <v>8.6</v>
      </c>
      <c r="Z55" s="49">
        <v>105.2</v>
      </c>
      <c r="AA55" s="49">
        <v>98.3</v>
      </c>
      <c r="AB55" s="49">
        <v>6.9</v>
      </c>
      <c r="AC55" s="49" t="s">
        <v>264</v>
      </c>
      <c r="AD55" s="49" t="s">
        <v>264</v>
      </c>
      <c r="AE55" s="49"/>
      <c r="AF55" s="51"/>
      <c r="AG55" s="50" t="s">
        <v>264</v>
      </c>
      <c r="AH55" s="50" t="s">
        <v>264</v>
      </c>
      <c r="AI55" s="49">
        <v>87.5</v>
      </c>
      <c r="AJ55" s="49"/>
      <c r="AK55" s="49"/>
      <c r="AL55" s="51">
        <v>98.8</v>
      </c>
      <c r="AM55" s="49">
        <v>69.5</v>
      </c>
      <c r="AN55" s="49">
        <v>29.3</v>
      </c>
      <c r="AO55" s="49">
        <v>1798.2</v>
      </c>
      <c r="AP55" s="49">
        <v>407.7</v>
      </c>
      <c r="AQ55" s="49">
        <v>74.099999999999994</v>
      </c>
      <c r="AR55" s="49">
        <v>39</v>
      </c>
      <c r="AS55" s="50">
        <v>134.69999999999999</v>
      </c>
      <c r="AT55" s="50">
        <v>168.9</v>
      </c>
      <c r="AU55" s="50">
        <v>70.400000000000006</v>
      </c>
      <c r="AV55" s="50">
        <v>68.3</v>
      </c>
      <c r="AW55" s="50">
        <v>8.8000000000000007</v>
      </c>
      <c r="AX55" s="50">
        <v>4.0999999999999996</v>
      </c>
      <c r="AY55" s="50">
        <v>24.5</v>
      </c>
      <c r="AZ55" s="50">
        <v>7.4</v>
      </c>
      <c r="BA55" s="50" t="s">
        <v>264</v>
      </c>
      <c r="BB55" s="50" t="s">
        <v>264</v>
      </c>
      <c r="BC55" s="50"/>
      <c r="BD55" s="52">
        <v>103.3</v>
      </c>
      <c r="BE55" s="52">
        <v>41.3</v>
      </c>
      <c r="BF55" s="52"/>
      <c r="BG55" s="52"/>
      <c r="BH55" s="52"/>
      <c r="BI55" s="52"/>
      <c r="BJ55" s="52"/>
      <c r="BK55" s="52"/>
      <c r="BL55" s="52"/>
      <c r="BM55" s="52">
        <v>464.7</v>
      </c>
      <c r="BN55" s="52"/>
      <c r="BO55" s="52"/>
      <c r="BP55" s="52"/>
      <c r="BQ55" s="52"/>
      <c r="BR55" s="52"/>
      <c r="BS55" s="53">
        <v>388.9</v>
      </c>
      <c r="BT55" s="52">
        <v>74</v>
      </c>
      <c r="BU55" s="52">
        <v>28.5</v>
      </c>
      <c r="BV55" s="50" t="s">
        <v>264</v>
      </c>
      <c r="BW55" s="50" t="s">
        <v>264</v>
      </c>
      <c r="BX55" s="50">
        <v>537.5</v>
      </c>
      <c r="BY55" s="50" t="s">
        <v>264</v>
      </c>
      <c r="BZ55" s="50" t="s">
        <v>264</v>
      </c>
      <c r="CA55" s="49"/>
      <c r="CB55" s="52"/>
      <c r="CC55" s="52"/>
      <c r="CD55" s="52"/>
      <c r="CE55" s="52"/>
      <c r="CF55" s="52">
        <v>116.3</v>
      </c>
      <c r="CG55" s="52">
        <v>160.1</v>
      </c>
      <c r="CH55" s="52">
        <v>15.9</v>
      </c>
      <c r="CI55" s="52"/>
      <c r="CJ55" s="52"/>
      <c r="CK55" s="52"/>
      <c r="CL55" s="52"/>
      <c r="CM55" s="52"/>
      <c r="CN55" s="52">
        <v>51.7</v>
      </c>
      <c r="CO55" s="52">
        <v>193.8</v>
      </c>
      <c r="CP55" s="52">
        <v>137.5</v>
      </c>
      <c r="CQ55" s="52">
        <v>56.3</v>
      </c>
      <c r="CR55" s="52" t="s">
        <v>264</v>
      </c>
      <c r="CS55" s="52">
        <v>40.299999999999997</v>
      </c>
      <c r="CT55" s="52">
        <v>27</v>
      </c>
      <c r="CU55" s="52">
        <v>13.3</v>
      </c>
      <c r="CV55" s="52">
        <v>86.5</v>
      </c>
      <c r="CW55" s="52">
        <v>86.5</v>
      </c>
      <c r="CX55" s="52"/>
      <c r="CY55" s="52" t="s">
        <v>264</v>
      </c>
      <c r="CZ55" s="52">
        <v>37.700000000000003</v>
      </c>
      <c r="DA55" s="52" t="s">
        <v>264</v>
      </c>
      <c r="DB55" s="52" t="s">
        <v>264</v>
      </c>
      <c r="DC55" s="52" t="s">
        <v>264</v>
      </c>
      <c r="DD55" s="52"/>
      <c r="DE55" s="52"/>
      <c r="DF55" s="53"/>
      <c r="DG55" s="53">
        <v>82.9</v>
      </c>
      <c r="DH55" s="53">
        <v>111.7</v>
      </c>
      <c r="DI55" s="53">
        <v>536</v>
      </c>
      <c r="DJ55" s="53">
        <v>112.4</v>
      </c>
      <c r="DK55" s="53">
        <v>374.9</v>
      </c>
      <c r="DL55" s="53">
        <v>93.9</v>
      </c>
      <c r="DM55" s="53">
        <v>155.19999999999999</v>
      </c>
      <c r="DN55" s="53"/>
      <c r="DO55" s="53">
        <v>101.8</v>
      </c>
      <c r="DP55" s="53">
        <v>146.4</v>
      </c>
      <c r="DQ55" s="53">
        <v>50.3</v>
      </c>
      <c r="DR55" s="53">
        <v>86.7</v>
      </c>
      <c r="DS55" s="53">
        <v>524.29999999999995</v>
      </c>
      <c r="DT55" s="53">
        <v>2376.5</v>
      </c>
      <c r="DU55" s="53">
        <v>-194.59999999999991</v>
      </c>
      <c r="DV55" s="53">
        <v>0</v>
      </c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2"/>
      <c r="FE55" s="52"/>
      <c r="FF55" s="52"/>
      <c r="FG55" s="52"/>
      <c r="FH55" s="52"/>
      <c r="FI55" s="52"/>
      <c r="FJ55" s="52"/>
      <c r="FK55" s="52"/>
      <c r="FL55" s="52"/>
      <c r="FM55" s="52"/>
      <c r="FN55" s="52"/>
      <c r="FO55" s="52"/>
      <c r="FP55" s="52"/>
      <c r="FQ55" s="52"/>
      <c r="FR55" s="52"/>
      <c r="FS55" s="52"/>
      <c r="FT55" s="52"/>
      <c r="FU55" s="52"/>
      <c r="FV55" s="52"/>
      <c r="FW55" s="52"/>
      <c r="FX55" s="52"/>
      <c r="FY55" s="52"/>
      <c r="FZ55" s="52"/>
      <c r="GA55" s="52"/>
      <c r="GB55" s="52"/>
      <c r="GC55" s="52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52"/>
      <c r="GO55" s="52"/>
      <c r="GP55" s="52"/>
      <c r="GQ55" s="52"/>
      <c r="GR55" s="52"/>
      <c r="GS55" s="52"/>
      <c r="GT55" s="52"/>
      <c r="GU55" s="52"/>
      <c r="GV55" s="52"/>
      <c r="GW55" s="52"/>
      <c r="GX55" s="52"/>
      <c r="GY55" s="17"/>
      <c r="GZ55" s="52">
        <v>813.2</v>
      </c>
      <c r="HA55" s="52"/>
      <c r="HB55" s="17"/>
      <c r="HC55" s="17"/>
      <c r="HD55" s="17"/>
      <c r="HE55" s="17"/>
      <c r="HF55" s="52"/>
      <c r="HG55" s="52"/>
      <c r="HH55" s="52"/>
      <c r="HI55" s="52"/>
      <c r="HJ55" s="52"/>
      <c r="HK55" s="52"/>
      <c r="HL55" s="52"/>
      <c r="HM55" s="52"/>
      <c r="HN55" s="52"/>
      <c r="HO55" s="52"/>
      <c r="HP55" s="52"/>
      <c r="HQ55" s="52"/>
      <c r="HR55" s="52"/>
      <c r="HS55" s="52"/>
      <c r="HT55" s="52"/>
      <c r="HU55" s="52"/>
      <c r="HV55" s="52"/>
      <c r="HW55" s="52"/>
      <c r="HX55" s="52"/>
      <c r="HY55" s="52"/>
      <c r="HZ55" s="52"/>
      <c r="IA55" s="52"/>
      <c r="IB55" s="52"/>
      <c r="IC55" s="52"/>
      <c r="ID55" s="52"/>
      <c r="IE55" s="52"/>
      <c r="IF55" s="52"/>
      <c r="IG55" s="52"/>
      <c r="IH55" s="53"/>
      <c r="II55" s="53"/>
      <c r="IJ55" s="53"/>
      <c r="IK55" s="53"/>
      <c r="IL55" s="53"/>
      <c r="IM55" s="52"/>
      <c r="IN55" s="52">
        <v>98.4</v>
      </c>
      <c r="IY55" s="48">
        <f t="shared" si="2"/>
        <v>47.270355564906374</v>
      </c>
      <c r="IZ55" s="48">
        <f>IY55-'NOPA Crush'!J55</f>
        <v>-0.12964443509362411</v>
      </c>
      <c r="JB55" s="63">
        <f t="shared" si="0"/>
        <v>11.322112350094676</v>
      </c>
      <c r="JC55" s="64">
        <f>JB55-'NOPA Crush'!O55</f>
        <v>2.2112350094674937E-2</v>
      </c>
      <c r="JD55" s="65"/>
      <c r="JE55" s="67">
        <f t="shared" si="1"/>
        <v>1582.9</v>
      </c>
      <c r="JF55" s="68">
        <f>'NOPA Crush'!Q55/'Census Crush'!JE55</f>
        <v>0.55878450944469005</v>
      </c>
    </row>
    <row r="56" spans="1:266">
      <c r="A56" s="39">
        <v>30742</v>
      </c>
      <c r="B56" s="49">
        <v>2579.1999999999998</v>
      </c>
      <c r="C56" s="50">
        <v>3157.9</v>
      </c>
      <c r="D56" s="50">
        <v>294.7</v>
      </c>
      <c r="E56" s="50">
        <v>636.20000000000005</v>
      </c>
      <c r="F56" s="50">
        <v>15.5</v>
      </c>
      <c r="G56" s="50">
        <v>53.1</v>
      </c>
      <c r="H56" s="50">
        <v>35.799999999999997</v>
      </c>
      <c r="I56" s="50" t="s">
        <v>264</v>
      </c>
      <c r="J56" s="50" t="s">
        <v>264</v>
      </c>
      <c r="K56" s="49">
        <v>972.7</v>
      </c>
      <c r="L56" s="49">
        <v>1519.6000000000001</v>
      </c>
      <c r="M56" s="49">
        <v>1185.9000000000001</v>
      </c>
      <c r="N56" s="49">
        <v>333.7</v>
      </c>
      <c r="O56" s="50">
        <v>96.6</v>
      </c>
      <c r="P56" s="51">
        <v>172.7</v>
      </c>
      <c r="Q56" s="49">
        <v>70</v>
      </c>
      <c r="R56" s="49">
        <v>102.7</v>
      </c>
      <c r="S56" s="49"/>
      <c r="T56" s="49">
        <v>10.8</v>
      </c>
      <c r="U56" s="51">
        <v>25.4</v>
      </c>
      <c r="V56" s="49">
        <v>20.9</v>
      </c>
      <c r="W56" s="49">
        <v>4.5</v>
      </c>
      <c r="X56" s="49">
        <v>35.5</v>
      </c>
      <c r="Y56" s="50" t="s">
        <v>264</v>
      </c>
      <c r="Z56" s="49">
        <v>72.5</v>
      </c>
      <c r="AA56" s="49">
        <v>66.400000000000006</v>
      </c>
      <c r="AB56" s="49">
        <v>6.1</v>
      </c>
      <c r="AC56" s="49" t="s">
        <v>264</v>
      </c>
      <c r="AD56" s="49" t="s">
        <v>264</v>
      </c>
      <c r="AE56" s="49"/>
      <c r="AF56" s="51"/>
      <c r="AG56" s="50" t="s">
        <v>264</v>
      </c>
      <c r="AH56" s="50" t="s">
        <v>264</v>
      </c>
      <c r="AI56" s="49">
        <v>91.1</v>
      </c>
      <c r="AJ56" s="49"/>
      <c r="AK56" s="49"/>
      <c r="AL56" s="51">
        <v>86.300000000000011</v>
      </c>
      <c r="AM56" s="49">
        <v>53.1</v>
      </c>
      <c r="AN56" s="49">
        <v>33.200000000000003</v>
      </c>
      <c r="AO56" s="49">
        <v>1940.5</v>
      </c>
      <c r="AP56" s="49">
        <v>416.6</v>
      </c>
      <c r="AQ56" s="49">
        <v>88.7</v>
      </c>
      <c r="AR56" s="49">
        <v>44.1</v>
      </c>
      <c r="AS56" s="50">
        <v>136.19999999999999</v>
      </c>
      <c r="AT56" s="50">
        <v>200.4</v>
      </c>
      <c r="AU56" s="50">
        <v>73.400000000000006</v>
      </c>
      <c r="AV56" s="50">
        <v>81.599999999999994</v>
      </c>
      <c r="AW56" s="50">
        <v>8.1</v>
      </c>
      <c r="AX56" s="50">
        <v>6.1</v>
      </c>
      <c r="AY56" s="50">
        <v>24.3</v>
      </c>
      <c r="AZ56" s="50">
        <v>5.7</v>
      </c>
      <c r="BA56" s="50" t="s">
        <v>264</v>
      </c>
      <c r="BB56" s="50" t="s">
        <v>264</v>
      </c>
      <c r="BC56" s="50"/>
      <c r="BD56" s="52">
        <v>124.1</v>
      </c>
      <c r="BE56" s="52">
        <v>32.9</v>
      </c>
      <c r="BF56" s="52"/>
      <c r="BG56" s="52"/>
      <c r="BH56" s="52"/>
      <c r="BI56" s="52"/>
      <c r="BJ56" s="52"/>
      <c r="BK56" s="52"/>
      <c r="BL56" s="52"/>
      <c r="BM56" s="52">
        <v>545.29999999999995</v>
      </c>
      <c r="BN56" s="52"/>
      <c r="BO56" s="52"/>
      <c r="BP56" s="52"/>
      <c r="BQ56" s="52"/>
      <c r="BR56" s="52"/>
      <c r="BS56" s="53">
        <v>308</v>
      </c>
      <c r="BT56" s="52">
        <v>86</v>
      </c>
      <c r="BU56" s="52">
        <v>29.1</v>
      </c>
      <c r="BV56" s="50" t="s">
        <v>264</v>
      </c>
      <c r="BW56" s="50" t="s">
        <v>264</v>
      </c>
      <c r="BX56" s="50">
        <v>551.4</v>
      </c>
      <c r="BY56" s="50" t="s">
        <v>264</v>
      </c>
      <c r="BZ56" s="50" t="s">
        <v>264</v>
      </c>
      <c r="CA56" s="49"/>
      <c r="CB56" s="52"/>
      <c r="CC56" s="52"/>
      <c r="CD56" s="52"/>
      <c r="CE56" s="52"/>
      <c r="CF56" s="52">
        <v>125.6</v>
      </c>
      <c r="CG56" s="52">
        <v>168.9</v>
      </c>
      <c r="CH56" s="52">
        <v>15.5</v>
      </c>
      <c r="CI56" s="52"/>
      <c r="CJ56" s="52"/>
      <c r="CK56" s="52"/>
      <c r="CL56" s="52"/>
      <c r="CM56" s="52"/>
      <c r="CN56" s="52">
        <v>53.3</v>
      </c>
      <c r="CO56" s="52">
        <v>165</v>
      </c>
      <c r="CP56" s="52">
        <v>122.5</v>
      </c>
      <c r="CQ56" s="52">
        <v>42.5</v>
      </c>
      <c r="CR56" s="52" t="s">
        <v>264</v>
      </c>
      <c r="CS56" s="52">
        <v>41.5</v>
      </c>
      <c r="CT56" s="52">
        <v>24.9</v>
      </c>
      <c r="CU56" s="52">
        <v>16.600000000000001</v>
      </c>
      <c r="CV56" s="52">
        <v>57.6</v>
      </c>
      <c r="CW56" s="52">
        <v>57.6</v>
      </c>
      <c r="CX56" s="52"/>
      <c r="CY56" s="52">
        <v>12.3</v>
      </c>
      <c r="CZ56" s="52">
        <v>23</v>
      </c>
      <c r="DA56" s="52" t="s">
        <v>264</v>
      </c>
      <c r="DB56" s="52" t="s">
        <v>264</v>
      </c>
      <c r="DC56" s="52" t="s">
        <v>264</v>
      </c>
      <c r="DD56" s="52"/>
      <c r="DE56" s="52"/>
      <c r="DF56" s="53"/>
      <c r="DG56" s="53">
        <v>106.4</v>
      </c>
      <c r="DH56" s="53"/>
      <c r="DI56" s="53">
        <v>604.5</v>
      </c>
      <c r="DJ56" s="53">
        <v>122.8</v>
      </c>
      <c r="DK56" s="53">
        <v>393.2</v>
      </c>
      <c r="DL56" s="53">
        <v>107</v>
      </c>
      <c r="DM56" s="53">
        <v>180.2</v>
      </c>
      <c r="DN56" s="53"/>
      <c r="DO56" s="53">
        <v>112.6</v>
      </c>
      <c r="DP56" s="53">
        <v>149.1</v>
      </c>
      <c r="DQ56" s="53">
        <v>67.599999999999994</v>
      </c>
      <c r="DR56" s="53">
        <v>91.7</v>
      </c>
      <c r="DS56" s="53">
        <v>644.1</v>
      </c>
      <c r="DT56" s="53">
        <v>2579.1999999999998</v>
      </c>
      <c r="DU56" s="53">
        <v>-106.40000000000009</v>
      </c>
      <c r="DV56" s="53">
        <v>0</v>
      </c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2"/>
      <c r="GO56" s="52"/>
      <c r="GP56" s="52"/>
      <c r="GQ56" s="52"/>
      <c r="GR56" s="52"/>
      <c r="GS56" s="52"/>
      <c r="GT56" s="52"/>
      <c r="GU56" s="52"/>
      <c r="GV56" s="52"/>
      <c r="GW56" s="52"/>
      <c r="GX56" s="52"/>
      <c r="GY56" s="17"/>
      <c r="GZ56" s="52">
        <v>841.8</v>
      </c>
      <c r="HA56" s="52"/>
      <c r="HB56" s="17"/>
      <c r="HC56" s="17"/>
      <c r="HD56" s="17"/>
      <c r="HE56" s="17"/>
      <c r="HF56" s="52"/>
      <c r="HG56" s="52"/>
      <c r="HH56" s="52"/>
      <c r="HI56" s="52"/>
      <c r="HJ56" s="52"/>
      <c r="HK56" s="52"/>
      <c r="HL56" s="52"/>
      <c r="HM56" s="52"/>
      <c r="HN56" s="52"/>
      <c r="HO56" s="52"/>
      <c r="HP56" s="52"/>
      <c r="HQ56" s="52"/>
      <c r="HR56" s="52"/>
      <c r="HS56" s="52"/>
      <c r="HT56" s="52"/>
      <c r="HU56" s="52"/>
      <c r="HV56" s="52"/>
      <c r="HW56" s="52"/>
      <c r="HX56" s="52"/>
      <c r="HY56" s="52"/>
      <c r="HZ56" s="52"/>
      <c r="IA56" s="52"/>
      <c r="IB56" s="52"/>
      <c r="IC56" s="52"/>
      <c r="ID56" s="52"/>
      <c r="IE56" s="52"/>
      <c r="IF56" s="52"/>
      <c r="IG56" s="52"/>
      <c r="IH56" s="53"/>
      <c r="II56" s="53"/>
      <c r="IJ56" s="53"/>
      <c r="IK56" s="53"/>
      <c r="IL56" s="53"/>
      <c r="IM56" s="52"/>
      <c r="IN56" s="52">
        <v>100.6</v>
      </c>
      <c r="IY56" s="48">
        <f t="shared" si="2"/>
        <v>47.205334987593055</v>
      </c>
      <c r="IZ56" s="48">
        <f>IY56-'NOPA Crush'!J56</f>
        <v>0.20533498759305502</v>
      </c>
      <c r="JB56" s="63">
        <f t="shared" si="0"/>
        <v>11.313973325062037</v>
      </c>
      <c r="JC56" s="64">
        <f>JB56-'NOPA Crush'!O56</f>
        <v>0.11397332506203739</v>
      </c>
      <c r="JD56" s="65"/>
      <c r="JE56" s="67">
        <f t="shared" si="1"/>
        <v>1519.6000000000001</v>
      </c>
      <c r="JF56" s="68">
        <f>'NOPA Crush'!Q56/'Census Crush'!JE56</f>
        <v>0.53389049749934181</v>
      </c>
    </row>
    <row r="57" spans="1:266">
      <c r="A57" s="39">
        <v>30773</v>
      </c>
      <c r="B57" s="49">
        <v>2238.1999999999998</v>
      </c>
      <c r="C57" s="50">
        <v>2824.8</v>
      </c>
      <c r="D57" s="50">
        <v>205.6</v>
      </c>
      <c r="E57" s="50">
        <v>437.5</v>
      </c>
      <c r="F57" s="50">
        <v>17.399999999999999</v>
      </c>
      <c r="G57" s="50">
        <v>45.6</v>
      </c>
      <c r="H57" s="50" t="s">
        <v>264</v>
      </c>
      <c r="I57" s="50" t="s">
        <v>264</v>
      </c>
      <c r="J57" s="50" t="s">
        <v>264</v>
      </c>
      <c r="K57" s="49">
        <v>846.7</v>
      </c>
      <c r="L57" s="49">
        <v>1380.1</v>
      </c>
      <c r="M57" s="49">
        <v>1053</v>
      </c>
      <c r="N57" s="49">
        <v>327.10000000000002</v>
      </c>
      <c r="O57" s="50">
        <v>69.3</v>
      </c>
      <c r="P57" s="51">
        <v>167.4</v>
      </c>
      <c r="Q57" s="49">
        <v>63.7</v>
      </c>
      <c r="R57" s="49">
        <v>103.7</v>
      </c>
      <c r="S57" s="49"/>
      <c r="T57" s="49">
        <v>12.5</v>
      </c>
      <c r="U57" s="51">
        <v>31.2</v>
      </c>
      <c r="V57" s="49">
        <v>26.5</v>
      </c>
      <c r="W57" s="49">
        <v>4.7</v>
      </c>
      <c r="X57" s="50" t="s">
        <v>264</v>
      </c>
      <c r="Y57" s="49">
        <v>5.6</v>
      </c>
      <c r="Z57" s="49">
        <v>64</v>
      </c>
      <c r="AA57" s="49">
        <v>57.1</v>
      </c>
      <c r="AB57" s="49">
        <v>6.9</v>
      </c>
      <c r="AC57" s="49" t="s">
        <v>264</v>
      </c>
      <c r="AD57" s="49" t="s">
        <v>264</v>
      </c>
      <c r="AE57" s="49"/>
      <c r="AF57" s="51"/>
      <c r="AG57" s="50" t="s">
        <v>264</v>
      </c>
      <c r="AH57" s="50" t="s">
        <v>264</v>
      </c>
      <c r="AI57" s="49">
        <v>88.5</v>
      </c>
      <c r="AJ57" s="49"/>
      <c r="AK57" s="49"/>
      <c r="AL57" s="51">
        <v>88.6</v>
      </c>
      <c r="AM57" s="49">
        <v>53.5</v>
      </c>
      <c r="AN57" s="49">
        <v>35.1</v>
      </c>
      <c r="AO57" s="49">
        <v>1677.9</v>
      </c>
      <c r="AP57" s="49">
        <v>374.3</v>
      </c>
      <c r="AQ57" s="49">
        <v>82.4</v>
      </c>
      <c r="AR57" s="49">
        <v>44.3</v>
      </c>
      <c r="AS57" s="50">
        <v>95.1</v>
      </c>
      <c r="AT57" s="50">
        <v>219.5</v>
      </c>
      <c r="AU57" s="50">
        <v>52.6</v>
      </c>
      <c r="AV57" s="50">
        <v>82.9</v>
      </c>
      <c r="AW57" s="50">
        <v>9</v>
      </c>
      <c r="AX57" s="50">
        <v>4.5999999999999996</v>
      </c>
      <c r="AY57" s="50" t="s">
        <v>264</v>
      </c>
      <c r="AZ57" s="50">
        <v>7.9</v>
      </c>
      <c r="BA57" s="50" t="s">
        <v>264</v>
      </c>
      <c r="BB57" s="50" t="s">
        <v>264</v>
      </c>
      <c r="BC57" s="50"/>
      <c r="BD57" s="52">
        <v>91.8</v>
      </c>
      <c r="BE57" s="52">
        <v>35.4</v>
      </c>
      <c r="BF57" s="52"/>
      <c r="BG57" s="52"/>
      <c r="BH57" s="52"/>
      <c r="BI57" s="52"/>
      <c r="BJ57" s="52"/>
      <c r="BK57" s="52"/>
      <c r="BL57" s="52"/>
      <c r="BM57" s="52">
        <v>486</v>
      </c>
      <c r="BN57" s="52"/>
      <c r="BO57" s="52"/>
      <c r="BP57" s="52"/>
      <c r="BQ57" s="52"/>
      <c r="BR57" s="52"/>
      <c r="BS57" s="53">
        <v>316.2</v>
      </c>
      <c r="BT57" s="52">
        <v>79</v>
      </c>
      <c r="BU57" s="52">
        <v>31.2</v>
      </c>
      <c r="BV57" s="50" t="s">
        <v>264</v>
      </c>
      <c r="BW57" s="50" t="s">
        <v>264</v>
      </c>
      <c r="BX57" s="50">
        <v>489</v>
      </c>
      <c r="BY57" s="50" t="s">
        <v>264</v>
      </c>
      <c r="BZ57" s="50" t="s">
        <v>264</v>
      </c>
      <c r="CA57" s="49"/>
      <c r="CB57" s="52"/>
      <c r="CC57" s="52"/>
      <c r="CD57" s="52"/>
      <c r="CE57" s="52"/>
      <c r="CF57" s="52">
        <v>111.7</v>
      </c>
      <c r="CG57" s="52">
        <v>179.7</v>
      </c>
      <c r="CH57" s="52">
        <v>12.9</v>
      </c>
      <c r="CI57" s="52"/>
      <c r="CJ57" s="52"/>
      <c r="CK57" s="52"/>
      <c r="CL57" s="52"/>
      <c r="CM57" s="52"/>
      <c r="CN57" s="52">
        <v>55.1</v>
      </c>
      <c r="CO57" s="52">
        <v>150.19999999999999</v>
      </c>
      <c r="CP57" s="52">
        <v>115</v>
      </c>
      <c r="CQ57" s="52">
        <v>35.200000000000003</v>
      </c>
      <c r="CR57" s="52" t="s">
        <v>264</v>
      </c>
      <c r="CS57" s="52">
        <v>55.2</v>
      </c>
      <c r="CT57" s="52">
        <v>40.1</v>
      </c>
      <c r="CU57" s="52">
        <v>15.1</v>
      </c>
      <c r="CV57" s="52">
        <v>53.1</v>
      </c>
      <c r="CW57" s="52">
        <v>53.1</v>
      </c>
      <c r="CX57" s="52"/>
      <c r="CY57" s="52" t="s">
        <v>264</v>
      </c>
      <c r="CZ57" s="52">
        <v>16.3</v>
      </c>
      <c r="DA57" s="52" t="s">
        <v>264</v>
      </c>
      <c r="DB57" s="52" t="s">
        <v>264</v>
      </c>
      <c r="DC57" s="52" t="s">
        <v>264</v>
      </c>
      <c r="DD57" s="52"/>
      <c r="DE57" s="52"/>
      <c r="DF57" s="53"/>
      <c r="DG57" s="53">
        <v>84.6</v>
      </c>
      <c r="DH57" s="53"/>
      <c r="DI57" s="53">
        <v>424.6</v>
      </c>
      <c r="DJ57" s="53">
        <v>106.7</v>
      </c>
      <c r="DK57" s="53">
        <v>357.5</v>
      </c>
      <c r="DL57" s="53">
        <v>102</v>
      </c>
      <c r="DM57" s="53">
        <v>164.3</v>
      </c>
      <c r="DN57" s="53"/>
      <c r="DO57" s="53">
        <v>104</v>
      </c>
      <c r="DP57" s="53">
        <v>137.5</v>
      </c>
      <c r="DQ57" s="53"/>
      <c r="DR57" s="53">
        <v>86.8</v>
      </c>
      <c r="DS57" s="53">
        <v>670.2</v>
      </c>
      <c r="DT57" s="53">
        <v>2238.1999999999998</v>
      </c>
      <c r="DU57" s="53">
        <v>-84.599999999999454</v>
      </c>
      <c r="DV57" s="53">
        <v>0</v>
      </c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2"/>
      <c r="GG57" s="52"/>
      <c r="GH57" s="52"/>
      <c r="GI57" s="52"/>
      <c r="GJ57" s="52"/>
      <c r="GK57" s="52"/>
      <c r="GL57" s="52"/>
      <c r="GM57" s="52"/>
      <c r="GN57" s="52"/>
      <c r="GO57" s="52"/>
      <c r="GP57" s="52"/>
      <c r="GQ57" s="52"/>
      <c r="GR57" s="52"/>
      <c r="GS57" s="52"/>
      <c r="GT57" s="52"/>
      <c r="GU57" s="52"/>
      <c r="GV57" s="52"/>
      <c r="GW57" s="52"/>
      <c r="GX57" s="52"/>
      <c r="GY57" s="17"/>
      <c r="GZ57" s="52">
        <v>763.8</v>
      </c>
      <c r="HA57" s="52"/>
      <c r="HB57" s="17"/>
      <c r="HC57" s="17"/>
      <c r="HD57" s="17"/>
      <c r="HE57" s="17"/>
      <c r="HF57" s="52"/>
      <c r="HG57" s="52"/>
      <c r="HH57" s="52"/>
      <c r="HI57" s="52"/>
      <c r="HJ57" s="52"/>
      <c r="HK57" s="52"/>
      <c r="HL57" s="52"/>
      <c r="HM57" s="52"/>
      <c r="HN57" s="52"/>
      <c r="HO57" s="52"/>
      <c r="HP57" s="52"/>
      <c r="HQ57" s="52"/>
      <c r="HR57" s="52"/>
      <c r="HS57" s="52"/>
      <c r="HT57" s="52"/>
      <c r="HU57" s="52"/>
      <c r="HV57" s="52"/>
      <c r="HW57" s="52"/>
      <c r="HX57" s="52"/>
      <c r="HY57" s="52"/>
      <c r="HZ57" s="52"/>
      <c r="IA57" s="52"/>
      <c r="IB57" s="52"/>
      <c r="IC57" s="52"/>
      <c r="ID57" s="52"/>
      <c r="IE57" s="52"/>
      <c r="IF57" s="52"/>
      <c r="IG57" s="52"/>
      <c r="IH57" s="53"/>
      <c r="II57" s="53"/>
      <c r="IJ57" s="53"/>
      <c r="IK57" s="53"/>
      <c r="IL57" s="53"/>
      <c r="IM57" s="52"/>
      <c r="IN57" s="52">
        <v>89.1</v>
      </c>
      <c r="IY57" s="48">
        <f t="shared" si="2"/>
        <v>47.188812438566721</v>
      </c>
      <c r="IZ57" s="48">
        <f>IY57-'NOPA Crush'!J57</f>
        <v>-1.1187561433281701E-2</v>
      </c>
      <c r="JB57" s="63">
        <f t="shared" si="0"/>
        <v>11.348851755875259</v>
      </c>
      <c r="JC57" s="64">
        <f>JB57-'NOPA Crush'!O57</f>
        <v>4.8851755875258362E-2</v>
      </c>
      <c r="JD57" s="65"/>
      <c r="JE57" s="67">
        <f t="shared" si="1"/>
        <v>1380.1</v>
      </c>
      <c r="JF57" s="68">
        <f>'NOPA Crush'!Q57/'Census Crush'!JE57</f>
        <v>0.50641257879863777</v>
      </c>
    </row>
    <row r="58" spans="1:266">
      <c r="A58" s="39">
        <v>30803</v>
      </c>
      <c r="B58" s="49">
        <v>2382.1999999999998</v>
      </c>
      <c r="C58" s="50">
        <v>3050</v>
      </c>
      <c r="D58" s="50">
        <v>173.2</v>
      </c>
      <c r="E58" s="50">
        <v>268.60000000000002</v>
      </c>
      <c r="F58" s="50">
        <v>13.2</v>
      </c>
      <c r="G58" s="50" t="s">
        <v>264</v>
      </c>
      <c r="H58" s="50" t="s">
        <v>264</v>
      </c>
      <c r="I58" s="50" t="s">
        <v>264</v>
      </c>
      <c r="J58" s="50" t="s">
        <v>264</v>
      </c>
      <c r="K58" s="49">
        <v>906.3</v>
      </c>
      <c r="L58" s="49">
        <v>1203.0999999999999</v>
      </c>
      <c r="M58" s="49">
        <v>880</v>
      </c>
      <c r="N58" s="49">
        <v>323.10000000000002</v>
      </c>
      <c r="O58" s="50">
        <v>55.4</v>
      </c>
      <c r="P58" s="51">
        <v>131.69999999999999</v>
      </c>
      <c r="Q58" s="49">
        <v>42.3</v>
      </c>
      <c r="R58" s="49">
        <v>89.4</v>
      </c>
      <c r="S58" s="49"/>
      <c r="T58" s="49">
        <v>10.1</v>
      </c>
      <c r="U58" s="51">
        <v>31.099999999999998</v>
      </c>
      <c r="V58" s="49">
        <v>25.4</v>
      </c>
      <c r="W58" s="49">
        <v>5.7</v>
      </c>
      <c r="X58" s="50" t="s">
        <v>264</v>
      </c>
      <c r="Y58" s="50">
        <v>10.8</v>
      </c>
      <c r="Z58" s="49"/>
      <c r="AA58" s="50" t="s">
        <v>264</v>
      </c>
      <c r="AB58" s="50" t="s">
        <v>264</v>
      </c>
      <c r="AC58" s="50" t="s">
        <v>264</v>
      </c>
      <c r="AD58" s="50" t="s">
        <v>264</v>
      </c>
      <c r="AE58" s="50"/>
      <c r="AF58" s="51"/>
      <c r="AG58" s="50" t="s">
        <v>264</v>
      </c>
      <c r="AH58" s="50" t="s">
        <v>264</v>
      </c>
      <c r="AI58" s="49">
        <v>94.5</v>
      </c>
      <c r="AJ58" s="49"/>
      <c r="AK58" s="49"/>
      <c r="AL58" s="51">
        <v>88.1</v>
      </c>
      <c r="AM58" s="49">
        <v>56.4</v>
      </c>
      <c r="AN58" s="49">
        <v>31.7</v>
      </c>
      <c r="AO58" s="49">
        <v>1786.6</v>
      </c>
      <c r="AP58" s="49">
        <v>383.7</v>
      </c>
      <c r="AQ58" s="49">
        <v>85.5</v>
      </c>
      <c r="AR58" s="49">
        <v>43.5</v>
      </c>
      <c r="AS58" s="50">
        <v>76.7</v>
      </c>
      <c r="AT58" s="50">
        <v>220.3</v>
      </c>
      <c r="AU58" s="50">
        <v>44.6</v>
      </c>
      <c r="AV58" s="50">
        <v>70.2</v>
      </c>
      <c r="AW58" s="50">
        <v>6.7</v>
      </c>
      <c r="AX58" s="50">
        <v>5.4</v>
      </c>
      <c r="AY58" s="50" t="s">
        <v>264</v>
      </c>
      <c r="AZ58" s="50" t="s">
        <v>264</v>
      </c>
      <c r="BA58" s="50" t="s">
        <v>264</v>
      </c>
      <c r="BB58" s="50" t="s">
        <v>264</v>
      </c>
      <c r="BC58" s="50"/>
      <c r="BD58" s="52">
        <v>118.7</v>
      </c>
      <c r="BE58" s="52">
        <v>45.9</v>
      </c>
      <c r="BF58" s="52"/>
      <c r="BG58" s="52"/>
      <c r="BH58" s="52"/>
      <c r="BI58" s="52"/>
      <c r="BJ58" s="52"/>
      <c r="BK58" s="52"/>
      <c r="BL58" s="52"/>
      <c r="BM58" s="52">
        <v>545.4</v>
      </c>
      <c r="BN58" s="52"/>
      <c r="BO58" s="52"/>
      <c r="BP58" s="52"/>
      <c r="BQ58" s="52"/>
      <c r="BR58" s="52"/>
      <c r="BS58" s="53">
        <v>269.10000000000002</v>
      </c>
      <c r="BT58" s="52">
        <v>81</v>
      </c>
      <c r="BU58" s="52">
        <v>38.1</v>
      </c>
      <c r="BV58" s="50" t="s">
        <v>264</v>
      </c>
      <c r="BW58" s="50" t="s">
        <v>264</v>
      </c>
      <c r="BX58" s="50">
        <v>567.4</v>
      </c>
      <c r="BY58" s="50" t="s">
        <v>264</v>
      </c>
      <c r="BZ58" s="50" t="s">
        <v>264</v>
      </c>
      <c r="CA58" s="49"/>
      <c r="CB58" s="52"/>
      <c r="CC58" s="52"/>
      <c r="CD58" s="52"/>
      <c r="CE58" s="52"/>
      <c r="CF58" s="52">
        <v>117.8</v>
      </c>
      <c r="CG58" s="52">
        <v>190.2</v>
      </c>
      <c r="CH58" s="52">
        <v>11.7</v>
      </c>
      <c r="CI58" s="52"/>
      <c r="CJ58" s="52"/>
      <c r="CK58" s="52"/>
      <c r="CL58" s="52"/>
      <c r="CM58" s="52"/>
      <c r="CN58" s="52">
        <v>60.4</v>
      </c>
      <c r="CO58" s="52">
        <v>121.80000000000001</v>
      </c>
      <c r="CP58" s="52">
        <v>93.2</v>
      </c>
      <c r="CQ58" s="52">
        <v>28.6</v>
      </c>
      <c r="CR58" s="52" t="s">
        <v>264</v>
      </c>
      <c r="CS58" s="52">
        <v>47.6</v>
      </c>
      <c r="CT58" s="52">
        <v>34.200000000000003</v>
      </c>
      <c r="CU58" s="52">
        <v>13.4</v>
      </c>
      <c r="CV58" s="52">
        <v>49</v>
      </c>
      <c r="CW58" s="52">
        <v>49</v>
      </c>
      <c r="CX58" s="52"/>
      <c r="CY58" s="52">
        <v>14.3</v>
      </c>
      <c r="CZ58" s="52">
        <v>15.7</v>
      </c>
      <c r="DA58" s="52" t="s">
        <v>264</v>
      </c>
      <c r="DB58" s="52" t="s">
        <v>264</v>
      </c>
      <c r="DC58" s="52" t="s">
        <v>264</v>
      </c>
      <c r="DD58" s="52"/>
      <c r="DE58" s="52"/>
      <c r="DF58" s="53"/>
      <c r="DG58" s="53">
        <v>94.6</v>
      </c>
      <c r="DH58" s="53">
        <v>105.4</v>
      </c>
      <c r="DI58" s="53">
        <v>471.3</v>
      </c>
      <c r="DJ58" s="53"/>
      <c r="DK58" s="53">
        <v>376.8</v>
      </c>
      <c r="DL58" s="53"/>
      <c r="DM58" s="53">
        <v>198.3</v>
      </c>
      <c r="DN58" s="53"/>
      <c r="DO58" s="53">
        <v>161.69999999999999</v>
      </c>
      <c r="DP58" s="53"/>
      <c r="DQ58" s="53"/>
      <c r="DR58" s="53">
        <v>88.9</v>
      </c>
      <c r="DS58" s="53">
        <v>885.2</v>
      </c>
      <c r="DT58" s="53">
        <v>2382.1999999999998</v>
      </c>
      <c r="DU58" s="53">
        <v>-199.99999999999955</v>
      </c>
      <c r="DV58" s="53">
        <v>0</v>
      </c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  <c r="FJ58" s="52"/>
      <c r="FK58" s="52"/>
      <c r="FL58" s="52"/>
      <c r="FM58" s="52"/>
      <c r="FN58" s="52"/>
      <c r="FO58" s="52"/>
      <c r="FP58" s="52"/>
      <c r="FQ58" s="52"/>
      <c r="FR58" s="52"/>
      <c r="FS58" s="52"/>
      <c r="FT58" s="52"/>
      <c r="FU58" s="52"/>
      <c r="FV58" s="52"/>
      <c r="FW58" s="52"/>
      <c r="FX58" s="52"/>
      <c r="FY58" s="52"/>
      <c r="FZ58" s="52"/>
      <c r="GA58" s="52"/>
      <c r="GB58" s="52"/>
      <c r="GC58" s="52"/>
      <c r="GD58" s="52"/>
      <c r="GE58" s="52"/>
      <c r="GF58" s="52"/>
      <c r="GG58" s="52"/>
      <c r="GH58" s="52"/>
      <c r="GI58" s="52"/>
      <c r="GJ58" s="52"/>
      <c r="GK58" s="52"/>
      <c r="GL58" s="52"/>
      <c r="GM58" s="52"/>
      <c r="GN58" s="52"/>
      <c r="GO58" s="52"/>
      <c r="GP58" s="52"/>
      <c r="GQ58" s="52"/>
      <c r="GR58" s="52"/>
      <c r="GS58" s="52"/>
      <c r="GT58" s="52"/>
      <c r="GU58" s="52"/>
      <c r="GV58" s="52"/>
      <c r="GW58" s="52"/>
      <c r="GX58" s="52"/>
      <c r="GY58" s="17"/>
      <c r="GZ58" s="52">
        <v>859.5</v>
      </c>
      <c r="HA58" s="52"/>
      <c r="HB58" s="17"/>
      <c r="HC58" s="17"/>
      <c r="HD58" s="17"/>
      <c r="HE58" s="17"/>
      <c r="HF58" s="52"/>
      <c r="HG58" s="52"/>
      <c r="HH58" s="52"/>
      <c r="HI58" s="52"/>
      <c r="HJ58" s="52"/>
      <c r="HK58" s="52"/>
      <c r="HL58" s="52"/>
      <c r="HM58" s="52"/>
      <c r="HN58" s="52"/>
      <c r="HO58" s="52"/>
      <c r="HP58" s="52"/>
      <c r="HQ58" s="52"/>
      <c r="HR58" s="52"/>
      <c r="HS58" s="52"/>
      <c r="HT58" s="52"/>
      <c r="HU58" s="52"/>
      <c r="HV58" s="52"/>
      <c r="HW58" s="52"/>
      <c r="HX58" s="52"/>
      <c r="HY58" s="52"/>
      <c r="HZ58" s="52"/>
      <c r="IA58" s="52"/>
      <c r="IB58" s="52"/>
      <c r="IC58" s="52"/>
      <c r="ID58" s="52"/>
      <c r="IE58" s="52"/>
      <c r="IF58" s="52"/>
      <c r="IG58" s="52"/>
      <c r="IH58" s="53"/>
      <c r="II58" s="53"/>
      <c r="IJ58" s="53"/>
      <c r="IK58" s="53"/>
      <c r="IL58" s="53"/>
      <c r="IM58" s="52"/>
      <c r="IN58" s="52">
        <v>71.5</v>
      </c>
      <c r="IY58" s="48">
        <f t="shared" si="2"/>
        <v>47.152212240785829</v>
      </c>
      <c r="IZ58" s="48">
        <f>IY58-'NOPA Crush'!J58</f>
        <v>-4.7787759214173775E-2</v>
      </c>
      <c r="JB58" s="63">
        <f t="shared" si="0"/>
        <v>11.413399378725547</v>
      </c>
      <c r="JC58" s="64">
        <f>JB58-'NOPA Crush'!O58</f>
        <v>0.11339937872554628</v>
      </c>
      <c r="JD58" s="65"/>
      <c r="JE58" s="67">
        <f t="shared" si="1"/>
        <v>1203.0999999999999</v>
      </c>
      <c r="JF58" s="68">
        <f>'NOPA Crush'!Q58/'Census Crush'!JE58</f>
        <v>0.49289335882304053</v>
      </c>
    </row>
    <row r="59" spans="1:266">
      <c r="A59" s="39">
        <v>30834</v>
      </c>
      <c r="B59" s="49">
        <v>2117.6</v>
      </c>
      <c r="C59" s="50">
        <v>2502.3000000000002</v>
      </c>
      <c r="D59" s="50">
        <v>124.3</v>
      </c>
      <c r="E59" s="50">
        <v>145.69999999999999</v>
      </c>
      <c r="F59" s="50">
        <v>10.9</v>
      </c>
      <c r="G59" s="50" t="s">
        <v>264</v>
      </c>
      <c r="H59" s="50" t="s">
        <v>264</v>
      </c>
      <c r="I59" s="50" t="s">
        <v>264</v>
      </c>
      <c r="J59" s="50" t="s">
        <v>264</v>
      </c>
      <c r="K59" s="49">
        <v>803.5</v>
      </c>
      <c r="L59" s="49">
        <v>1011.8000000000001</v>
      </c>
      <c r="M59" s="49">
        <v>704.7</v>
      </c>
      <c r="N59" s="49">
        <v>307.10000000000002</v>
      </c>
      <c r="O59" s="50">
        <v>40.1</v>
      </c>
      <c r="P59" s="51">
        <v>111.5</v>
      </c>
      <c r="Q59" s="49">
        <v>32.5</v>
      </c>
      <c r="R59" s="49">
        <v>79</v>
      </c>
      <c r="S59" s="49"/>
      <c r="T59" s="49">
        <v>8.9</v>
      </c>
      <c r="U59" s="51">
        <v>34.5</v>
      </c>
      <c r="V59" s="49">
        <v>29</v>
      </c>
      <c r="W59" s="49">
        <v>5.5</v>
      </c>
      <c r="X59" s="50" t="s">
        <v>264</v>
      </c>
      <c r="Y59" s="50" t="s">
        <v>264</v>
      </c>
      <c r="Z59" s="49"/>
      <c r="AA59" s="50" t="s">
        <v>264</v>
      </c>
      <c r="AB59" s="50" t="s">
        <v>264</v>
      </c>
      <c r="AC59" s="50" t="s">
        <v>264</v>
      </c>
      <c r="AD59" s="50" t="s">
        <v>264</v>
      </c>
      <c r="AE59" s="50"/>
      <c r="AF59" s="51"/>
      <c r="AG59" s="50" t="s">
        <v>264</v>
      </c>
      <c r="AH59" s="50" t="s">
        <v>264</v>
      </c>
      <c r="AI59" s="49">
        <v>84.4</v>
      </c>
      <c r="AJ59" s="49"/>
      <c r="AK59" s="49"/>
      <c r="AL59" s="51">
        <v>79.900000000000006</v>
      </c>
      <c r="AM59" s="49">
        <v>57.7</v>
      </c>
      <c r="AN59" s="49">
        <v>22.2</v>
      </c>
      <c r="AO59" s="49">
        <v>1581.9</v>
      </c>
      <c r="AP59" s="49">
        <v>356.1</v>
      </c>
      <c r="AQ59" s="49">
        <v>83.1</v>
      </c>
      <c r="AR59" s="49">
        <v>35.1</v>
      </c>
      <c r="AS59" s="50">
        <v>56</v>
      </c>
      <c r="AT59" s="50">
        <v>243.5</v>
      </c>
      <c r="AU59" s="50">
        <v>30</v>
      </c>
      <c r="AV59" s="50">
        <v>59.6</v>
      </c>
      <c r="AW59" s="50">
        <v>6.2</v>
      </c>
      <c r="AX59" s="50">
        <v>7.2</v>
      </c>
      <c r="AY59" s="50" t="s">
        <v>264</v>
      </c>
      <c r="AZ59" s="50" t="s">
        <v>264</v>
      </c>
      <c r="BA59" s="50" t="s">
        <v>264</v>
      </c>
      <c r="BB59" s="50" t="s">
        <v>264</v>
      </c>
      <c r="BC59" s="50"/>
      <c r="BD59" s="52">
        <v>120.8</v>
      </c>
      <c r="BE59" s="52">
        <v>47.5</v>
      </c>
      <c r="BF59" s="52"/>
      <c r="BG59" s="52"/>
      <c r="BH59" s="52"/>
      <c r="BI59" s="52"/>
      <c r="BJ59" s="52"/>
      <c r="BK59" s="52"/>
      <c r="BL59" s="52"/>
      <c r="BM59" s="52">
        <v>502.3</v>
      </c>
      <c r="BN59" s="52"/>
      <c r="BO59" s="52"/>
      <c r="BP59" s="52"/>
      <c r="BQ59" s="52"/>
      <c r="BR59" s="52"/>
      <c r="BS59" s="53">
        <v>333.9</v>
      </c>
      <c r="BT59" s="52">
        <v>72</v>
      </c>
      <c r="BU59" s="52">
        <v>34.4</v>
      </c>
      <c r="BV59" s="50" t="s">
        <v>264</v>
      </c>
      <c r="BW59" s="50" t="s">
        <v>264</v>
      </c>
      <c r="BX59" s="50">
        <v>535.9</v>
      </c>
      <c r="BY59" s="50" t="s">
        <v>264</v>
      </c>
      <c r="BZ59" s="50" t="s">
        <v>264</v>
      </c>
      <c r="CA59" s="49"/>
      <c r="CB59" s="52"/>
      <c r="CC59" s="52"/>
      <c r="CD59" s="52"/>
      <c r="CE59" s="52"/>
      <c r="CF59" s="52">
        <v>109</v>
      </c>
      <c r="CG59" s="52">
        <v>163.30000000000001</v>
      </c>
      <c r="CH59" s="52">
        <v>9.1999999999999993</v>
      </c>
      <c r="CI59" s="52"/>
      <c r="CJ59" s="52"/>
      <c r="CK59" s="52"/>
      <c r="CL59" s="52"/>
      <c r="CM59" s="52"/>
      <c r="CN59" s="52">
        <v>60.2</v>
      </c>
      <c r="CO59" s="52">
        <v>78.699999999999989</v>
      </c>
      <c r="CP59" s="52">
        <v>50.8</v>
      </c>
      <c r="CQ59" s="52">
        <v>27.9</v>
      </c>
      <c r="CR59" s="52" t="s">
        <v>264</v>
      </c>
      <c r="CS59" s="52">
        <v>50.7</v>
      </c>
      <c r="CT59" s="52">
        <v>36.1</v>
      </c>
      <c r="CU59" s="52">
        <v>14.6</v>
      </c>
      <c r="CV59" s="52">
        <v>39.9</v>
      </c>
      <c r="CW59" s="52">
        <v>39.9</v>
      </c>
      <c r="CX59" s="52"/>
      <c r="CY59" s="52">
        <v>9.1999999999999993</v>
      </c>
      <c r="CZ59" s="52">
        <v>23.4</v>
      </c>
      <c r="DA59" s="52" t="s">
        <v>264</v>
      </c>
      <c r="DB59" s="52" t="s">
        <v>264</v>
      </c>
      <c r="DC59" s="52" t="s">
        <v>264</v>
      </c>
      <c r="DD59" s="52"/>
      <c r="DE59" s="52"/>
      <c r="DF59" s="53"/>
      <c r="DG59" s="53">
        <v>88.6</v>
      </c>
      <c r="DH59" s="53">
        <v>100.8</v>
      </c>
      <c r="DI59" s="53">
        <v>439.3</v>
      </c>
      <c r="DJ59" s="53"/>
      <c r="DK59" s="53">
        <v>373.8</v>
      </c>
      <c r="DL59" s="53">
        <v>99.3</v>
      </c>
      <c r="DM59" s="53">
        <v>185.9</v>
      </c>
      <c r="DN59" s="53"/>
      <c r="DO59" s="53">
        <v>106.3</v>
      </c>
      <c r="DP59" s="53">
        <v>140.5</v>
      </c>
      <c r="DQ59" s="53"/>
      <c r="DR59" s="53">
        <v>82.5</v>
      </c>
      <c r="DS59" s="53">
        <v>500.6</v>
      </c>
      <c r="DT59" s="53">
        <v>2117.6</v>
      </c>
      <c r="DU59" s="53">
        <v>-189.40000000000009</v>
      </c>
      <c r="DV59" s="53">
        <v>0</v>
      </c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  <c r="FK59" s="52"/>
      <c r="FL59" s="52"/>
      <c r="FM59" s="52"/>
      <c r="FN59" s="52"/>
      <c r="FO59" s="52"/>
      <c r="FP59" s="52"/>
      <c r="FQ59" s="52"/>
      <c r="FR59" s="52"/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2"/>
      <c r="GG59" s="52"/>
      <c r="GH59" s="52"/>
      <c r="GI59" s="52"/>
      <c r="GJ59" s="52"/>
      <c r="GK59" s="52"/>
      <c r="GL59" s="52"/>
      <c r="GM59" s="52"/>
      <c r="GN59" s="52"/>
      <c r="GO59" s="52"/>
      <c r="GP59" s="52"/>
      <c r="GQ59" s="52"/>
      <c r="GR59" s="52"/>
      <c r="GS59" s="52"/>
      <c r="GT59" s="52"/>
      <c r="GU59" s="52"/>
      <c r="GV59" s="52"/>
      <c r="GW59" s="52"/>
      <c r="GX59" s="52"/>
      <c r="GY59" s="17"/>
      <c r="GZ59" s="52">
        <v>794.6</v>
      </c>
      <c r="HA59" s="52"/>
      <c r="HB59" s="17"/>
      <c r="HC59" s="17"/>
      <c r="HD59" s="17"/>
      <c r="HE59" s="17"/>
      <c r="HF59" s="52"/>
      <c r="HG59" s="52"/>
      <c r="HH59" s="52"/>
      <c r="HI59" s="52"/>
      <c r="HJ59" s="52"/>
      <c r="HK59" s="52"/>
      <c r="HL59" s="52"/>
      <c r="HM59" s="52"/>
      <c r="HN59" s="52"/>
      <c r="HO59" s="52"/>
      <c r="HP59" s="52"/>
      <c r="HQ59" s="52"/>
      <c r="HR59" s="52"/>
      <c r="HS59" s="52"/>
      <c r="HT59" s="52"/>
      <c r="HU59" s="52"/>
      <c r="HV59" s="52"/>
      <c r="HW59" s="52"/>
      <c r="HX59" s="52"/>
      <c r="HY59" s="52"/>
      <c r="HZ59" s="52"/>
      <c r="IA59" s="52"/>
      <c r="IB59" s="52"/>
      <c r="IC59" s="52"/>
      <c r="ID59" s="52"/>
      <c r="IE59" s="52"/>
      <c r="IF59" s="52"/>
      <c r="IG59" s="52"/>
      <c r="IH59" s="53"/>
      <c r="II59" s="53"/>
      <c r="IJ59" s="53"/>
      <c r="IK59" s="53"/>
      <c r="IL59" s="53"/>
      <c r="IM59" s="52"/>
      <c r="IN59" s="52">
        <v>43.4</v>
      </c>
      <c r="IY59" s="48">
        <f t="shared" si="2"/>
        <v>47.176048356630155</v>
      </c>
      <c r="IZ59" s="48">
        <f>IY59-'NOPA Crush'!J59</f>
        <v>-2.3951643369848341E-2</v>
      </c>
      <c r="JB59" s="63">
        <f t="shared" si="0"/>
        <v>11.383169625991689</v>
      </c>
      <c r="JC59" s="64">
        <f>JB59-'NOPA Crush'!O59</f>
        <v>8.3169625991688534E-2</v>
      </c>
      <c r="JD59" s="65"/>
      <c r="JE59" s="67">
        <f t="shared" si="1"/>
        <v>1011.8000000000001</v>
      </c>
      <c r="JF59" s="68">
        <f>'NOPA Crush'!Q59/'Census Crush'!JE59</f>
        <v>0.40670092903735916</v>
      </c>
    </row>
    <row r="60" spans="1:266">
      <c r="A60" s="39">
        <v>30864</v>
      </c>
      <c r="B60" s="49">
        <v>2069.1999999999998</v>
      </c>
      <c r="C60" s="50">
        <v>1731.8</v>
      </c>
      <c r="D60" s="50">
        <v>74.099999999999994</v>
      </c>
      <c r="E60" s="50">
        <v>116.2</v>
      </c>
      <c r="F60" s="50">
        <v>6.2</v>
      </c>
      <c r="G60" s="50" t="s">
        <v>264</v>
      </c>
      <c r="H60" s="50" t="s">
        <v>264</v>
      </c>
      <c r="I60" s="50" t="s">
        <v>264</v>
      </c>
      <c r="J60" s="50" t="s">
        <v>264</v>
      </c>
      <c r="K60" s="49">
        <v>788.2</v>
      </c>
      <c r="L60" s="49">
        <v>989.6</v>
      </c>
      <c r="M60" s="49">
        <v>658.1</v>
      </c>
      <c r="N60" s="49">
        <v>331.5</v>
      </c>
      <c r="O60" s="50">
        <v>24.4</v>
      </c>
      <c r="P60" s="51">
        <v>86</v>
      </c>
      <c r="Q60" s="49">
        <v>20.100000000000001</v>
      </c>
      <c r="R60" s="49">
        <v>65.900000000000006</v>
      </c>
      <c r="S60" s="49"/>
      <c r="T60" s="49">
        <v>5.0999999999999996</v>
      </c>
      <c r="U60" s="51">
        <v>32.5</v>
      </c>
      <c r="V60" s="49">
        <v>27.6</v>
      </c>
      <c r="W60" s="49">
        <v>4.9000000000000004</v>
      </c>
      <c r="X60" s="50" t="s">
        <v>264</v>
      </c>
      <c r="Y60" s="50">
        <v>8.1999999999999993</v>
      </c>
      <c r="Z60" s="49"/>
      <c r="AA60" s="50" t="s">
        <v>264</v>
      </c>
      <c r="AB60" s="50" t="s">
        <v>264</v>
      </c>
      <c r="AC60" s="50" t="s">
        <v>264</v>
      </c>
      <c r="AD60" s="50" t="s">
        <v>264</v>
      </c>
      <c r="AE60" s="50"/>
      <c r="AF60" s="51"/>
      <c r="AG60" s="50" t="s">
        <v>264</v>
      </c>
      <c r="AH60" s="50" t="s">
        <v>264</v>
      </c>
      <c r="AI60" s="49">
        <v>90.6</v>
      </c>
      <c r="AJ60" s="49"/>
      <c r="AK60" s="49"/>
      <c r="AL60" s="51">
        <v>79.099999999999994</v>
      </c>
      <c r="AM60" s="49">
        <v>52.7</v>
      </c>
      <c r="AN60" s="49">
        <v>26.4</v>
      </c>
      <c r="AO60" s="49">
        <v>1553</v>
      </c>
      <c r="AP60" s="49">
        <v>321.5</v>
      </c>
      <c r="AQ60" s="49">
        <v>76.099999999999994</v>
      </c>
      <c r="AR60" s="49">
        <v>34</v>
      </c>
      <c r="AS60" s="50">
        <v>35.799999999999997</v>
      </c>
      <c r="AT60" s="50">
        <v>185.9</v>
      </c>
      <c r="AU60" s="50">
        <v>19.399999999999999</v>
      </c>
      <c r="AV60" s="50">
        <v>44.4</v>
      </c>
      <c r="AW60" s="50">
        <v>3.6</v>
      </c>
      <c r="AX60" s="50">
        <v>5.7</v>
      </c>
      <c r="AY60" s="50" t="s">
        <v>264</v>
      </c>
      <c r="AZ60" s="50" t="s">
        <v>264</v>
      </c>
      <c r="BA60" s="50" t="s">
        <v>264</v>
      </c>
      <c r="BB60" s="50" t="s">
        <v>264</v>
      </c>
      <c r="BC60" s="50"/>
      <c r="BD60" s="52">
        <v>97.4</v>
      </c>
      <c r="BE60" s="52">
        <v>46.3</v>
      </c>
      <c r="BF60" s="52"/>
      <c r="BG60" s="52"/>
      <c r="BH60" s="52"/>
      <c r="BI60" s="52"/>
      <c r="BJ60" s="52"/>
      <c r="BK60" s="52"/>
      <c r="BL60" s="52"/>
      <c r="BM60" s="52">
        <v>457</v>
      </c>
      <c r="BN60" s="52"/>
      <c r="BO60" s="52"/>
      <c r="BP60" s="52"/>
      <c r="BQ60" s="52"/>
      <c r="BR60" s="52"/>
      <c r="BS60" s="53">
        <v>311.3</v>
      </c>
      <c r="BT60" s="52">
        <v>66</v>
      </c>
      <c r="BU60" s="52">
        <v>32.9</v>
      </c>
      <c r="BV60" s="50" t="s">
        <v>264</v>
      </c>
      <c r="BW60" s="50" t="s">
        <v>264</v>
      </c>
      <c r="BX60" s="50">
        <v>490.4</v>
      </c>
      <c r="BY60" s="50" t="s">
        <v>264</v>
      </c>
      <c r="BZ60" s="50" t="s">
        <v>264</v>
      </c>
      <c r="CA60" s="49"/>
      <c r="CB60" s="52"/>
      <c r="CC60" s="52"/>
      <c r="CD60" s="52"/>
      <c r="CE60" s="52"/>
      <c r="CF60" s="52">
        <v>105.1</v>
      </c>
      <c r="CG60" s="52">
        <v>149</v>
      </c>
      <c r="CH60" s="52">
        <v>11</v>
      </c>
      <c r="CI60" s="52"/>
      <c r="CJ60" s="52"/>
      <c r="CK60" s="52"/>
      <c r="CL60" s="52"/>
      <c r="CM60" s="52"/>
      <c r="CN60" s="52">
        <v>48.4</v>
      </c>
      <c r="CO60" s="52">
        <v>90.9</v>
      </c>
      <c r="CP60" s="52">
        <v>67.5</v>
      </c>
      <c r="CQ60" s="52">
        <v>23.4</v>
      </c>
      <c r="CR60" s="52" t="s">
        <v>264</v>
      </c>
      <c r="CS60" s="52">
        <v>40.799999999999997</v>
      </c>
      <c r="CT60" s="52">
        <v>30.9</v>
      </c>
      <c r="CU60" s="52">
        <v>9.9</v>
      </c>
      <c r="CV60" s="52">
        <v>57.1</v>
      </c>
      <c r="CW60" s="52">
        <v>57.1</v>
      </c>
      <c r="CX60" s="52"/>
      <c r="CY60" s="52">
        <v>7.1</v>
      </c>
      <c r="CZ60" s="52">
        <v>22.6</v>
      </c>
      <c r="DA60" s="52" t="s">
        <v>264</v>
      </c>
      <c r="DB60" s="52" t="s">
        <v>264</v>
      </c>
      <c r="DC60" s="52" t="s">
        <v>264</v>
      </c>
      <c r="DD60" s="52"/>
      <c r="DE60" s="52"/>
      <c r="DF60" s="53"/>
      <c r="DG60" s="53">
        <v>85.2</v>
      </c>
      <c r="DH60" s="53"/>
      <c r="DI60" s="53">
        <v>372.5</v>
      </c>
      <c r="DJ60" s="53"/>
      <c r="DK60" s="53">
        <v>387.6</v>
      </c>
      <c r="DL60" s="53"/>
      <c r="DM60" s="53">
        <v>171.8</v>
      </c>
      <c r="DN60" s="53"/>
      <c r="DO60" s="53">
        <v>149.30000000000001</v>
      </c>
      <c r="DP60" s="53">
        <v>119.7</v>
      </c>
      <c r="DQ60" s="53"/>
      <c r="DR60" s="53">
        <v>79.7</v>
      </c>
      <c r="DS60" s="53">
        <v>703.4</v>
      </c>
      <c r="DT60" s="53">
        <v>2069.1999999999998</v>
      </c>
      <c r="DU60" s="53">
        <v>-85.199999999999818</v>
      </c>
      <c r="DV60" s="53">
        <v>0</v>
      </c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52"/>
      <c r="FC60" s="52"/>
      <c r="FD60" s="52"/>
      <c r="FE60" s="52"/>
      <c r="FF60" s="52"/>
      <c r="FG60" s="52"/>
      <c r="FH60" s="52"/>
      <c r="FI60" s="52"/>
      <c r="FJ60" s="52"/>
      <c r="FK60" s="52"/>
      <c r="FL60" s="52"/>
      <c r="FM60" s="52"/>
      <c r="FN60" s="52"/>
      <c r="FO60" s="52"/>
      <c r="FP60" s="52"/>
      <c r="FQ60" s="52"/>
      <c r="FR60" s="52"/>
      <c r="FS60" s="52"/>
      <c r="FT60" s="52"/>
      <c r="FU60" s="52"/>
      <c r="FV60" s="52"/>
      <c r="FW60" s="52"/>
      <c r="FX60" s="52"/>
      <c r="FY60" s="52"/>
      <c r="FZ60" s="52"/>
      <c r="GA60" s="52"/>
      <c r="GB60" s="52"/>
      <c r="GC60" s="52"/>
      <c r="GD60" s="52"/>
      <c r="GE60" s="52"/>
      <c r="GF60" s="52"/>
      <c r="GG60" s="52"/>
      <c r="GH60" s="52"/>
      <c r="GI60" s="52"/>
      <c r="GJ60" s="52"/>
      <c r="GK60" s="52"/>
      <c r="GL60" s="52"/>
      <c r="GM60" s="52"/>
      <c r="GN60" s="52"/>
      <c r="GO60" s="52"/>
      <c r="GP60" s="52"/>
      <c r="GQ60" s="52"/>
      <c r="GR60" s="52"/>
      <c r="GS60" s="52"/>
      <c r="GT60" s="52"/>
      <c r="GU60" s="52"/>
      <c r="GV60" s="52"/>
      <c r="GW60" s="52"/>
      <c r="GX60" s="52"/>
      <c r="GY60" s="17"/>
      <c r="GZ60" s="52">
        <v>767.9</v>
      </c>
      <c r="HA60" s="52"/>
      <c r="HB60" s="17"/>
      <c r="HC60" s="17"/>
      <c r="HD60" s="17"/>
      <c r="HE60" s="17"/>
      <c r="HF60" s="52"/>
      <c r="HG60" s="52"/>
      <c r="HH60" s="52"/>
      <c r="HI60" s="52"/>
      <c r="HJ60" s="52"/>
      <c r="HK60" s="52"/>
      <c r="HL60" s="52"/>
      <c r="HM60" s="52"/>
      <c r="HN60" s="52"/>
      <c r="HO60" s="52"/>
      <c r="HP60" s="52"/>
      <c r="HQ60" s="52"/>
      <c r="HR60" s="52"/>
      <c r="HS60" s="52"/>
      <c r="HT60" s="52"/>
      <c r="HU60" s="52"/>
      <c r="HV60" s="52"/>
      <c r="HW60" s="52"/>
      <c r="HX60" s="52"/>
      <c r="HY60" s="52"/>
      <c r="HZ60" s="52"/>
      <c r="IA60" s="52"/>
      <c r="IB60" s="52"/>
      <c r="IC60" s="52"/>
      <c r="ID60" s="52"/>
      <c r="IE60" s="52"/>
      <c r="IF60" s="52"/>
      <c r="IG60" s="52"/>
      <c r="IH60" s="53"/>
      <c r="II60" s="53"/>
      <c r="IJ60" s="53"/>
      <c r="IK60" s="53"/>
      <c r="IL60" s="53"/>
      <c r="IM60" s="52"/>
      <c r="IN60" s="52">
        <v>30.5</v>
      </c>
      <c r="IY60" s="48">
        <f t="shared" si="2"/>
        <v>47.23854629808622</v>
      </c>
      <c r="IZ60" s="48">
        <f>IY60-'NOPA Crush'!J60</f>
        <v>3.8546298086217234E-2</v>
      </c>
      <c r="JB60" s="63">
        <f t="shared" si="0"/>
        <v>11.427604871447905</v>
      </c>
      <c r="JC60" s="64">
        <f>JB60-'NOPA Crush'!O60</f>
        <v>2.7604871447904245E-2</v>
      </c>
      <c r="JD60" s="65"/>
      <c r="JE60" s="67">
        <f t="shared" si="1"/>
        <v>989.6</v>
      </c>
      <c r="JF60" s="68">
        <f>'NOPA Crush'!Q60/'Census Crush'!JE60</f>
        <v>0.41238884397736458</v>
      </c>
    </row>
    <row r="61" spans="1:266">
      <c r="A61" s="39">
        <v>30895</v>
      </c>
      <c r="B61" s="49">
        <v>2133.3000000000002</v>
      </c>
      <c r="C61" s="50">
        <v>1060.0999999999999</v>
      </c>
      <c r="D61" s="50">
        <v>70.2</v>
      </c>
      <c r="E61" s="50">
        <v>132.1</v>
      </c>
      <c r="F61" s="50">
        <v>6.7</v>
      </c>
      <c r="G61" s="50" t="s">
        <v>264</v>
      </c>
      <c r="H61" s="50" t="s">
        <v>264</v>
      </c>
      <c r="I61" s="50" t="s">
        <v>264</v>
      </c>
      <c r="J61" s="50" t="s">
        <v>264</v>
      </c>
      <c r="K61" s="49">
        <v>819.4</v>
      </c>
      <c r="L61" s="49">
        <v>871</v>
      </c>
      <c r="M61" s="49">
        <v>559.70000000000005</v>
      </c>
      <c r="N61" s="49">
        <v>311.3</v>
      </c>
      <c r="O61" s="50">
        <v>21.7</v>
      </c>
      <c r="P61" s="51">
        <v>61.3</v>
      </c>
      <c r="Q61" s="49">
        <v>16.2</v>
      </c>
      <c r="R61" s="49">
        <v>45.1</v>
      </c>
      <c r="S61" s="49"/>
      <c r="T61" s="49">
        <v>5.3</v>
      </c>
      <c r="U61" s="51">
        <v>27.7</v>
      </c>
      <c r="V61" s="49">
        <v>23.2</v>
      </c>
      <c r="W61" s="49">
        <v>4.5</v>
      </c>
      <c r="X61" s="50" t="s">
        <v>264</v>
      </c>
      <c r="Y61" s="50">
        <v>6.3</v>
      </c>
      <c r="Z61" s="49"/>
      <c r="AA61" s="50" t="s">
        <v>264</v>
      </c>
      <c r="AB61" s="50" t="s">
        <v>264</v>
      </c>
      <c r="AC61" s="50" t="s">
        <v>264</v>
      </c>
      <c r="AD61" s="50" t="s">
        <v>264</v>
      </c>
      <c r="AE61" s="50"/>
      <c r="AF61" s="51"/>
      <c r="AG61" s="50" t="s">
        <v>264</v>
      </c>
      <c r="AH61" s="50" t="s">
        <v>264</v>
      </c>
      <c r="AI61" s="49">
        <v>86.4</v>
      </c>
      <c r="AJ61" s="49"/>
      <c r="AK61" s="49"/>
      <c r="AL61" s="51">
        <v>75.8</v>
      </c>
      <c r="AM61" s="49">
        <v>45.9</v>
      </c>
      <c r="AN61" s="49">
        <v>29.9</v>
      </c>
      <c r="AO61" s="49">
        <v>1613.9</v>
      </c>
      <c r="AP61" s="49">
        <v>209.2</v>
      </c>
      <c r="AQ61" s="49">
        <v>75.599999999999994</v>
      </c>
      <c r="AR61" s="49">
        <v>33.6</v>
      </c>
      <c r="AS61" s="50">
        <v>32.200000000000003</v>
      </c>
      <c r="AT61" s="50">
        <v>144.6</v>
      </c>
      <c r="AU61" s="50">
        <v>18.8</v>
      </c>
      <c r="AV61" s="50">
        <v>29.2</v>
      </c>
      <c r="AW61" s="50">
        <v>3.8</v>
      </c>
      <c r="AX61" s="50">
        <v>4.5</v>
      </c>
      <c r="AY61" s="50" t="s">
        <v>264</v>
      </c>
      <c r="AZ61" s="50" t="s">
        <v>264</v>
      </c>
      <c r="BA61" s="50" t="s">
        <v>264</v>
      </c>
      <c r="BB61" s="50" t="s">
        <v>264</v>
      </c>
      <c r="BC61" s="50"/>
      <c r="BD61" s="52">
        <v>114.3</v>
      </c>
      <c r="BE61" s="52">
        <v>41</v>
      </c>
      <c r="BF61" s="52"/>
      <c r="BG61" s="52"/>
      <c r="BH61" s="52"/>
      <c r="BI61" s="52"/>
      <c r="BJ61" s="52"/>
      <c r="BK61" s="52"/>
      <c r="BL61" s="52"/>
      <c r="BM61" s="52">
        <v>505.4</v>
      </c>
      <c r="BN61" s="52"/>
      <c r="BO61" s="52"/>
      <c r="BP61" s="52"/>
      <c r="BQ61" s="52"/>
      <c r="BR61" s="52"/>
      <c r="BS61" s="53">
        <v>299.8</v>
      </c>
      <c r="BT61" s="52">
        <v>76</v>
      </c>
      <c r="BU61" s="52">
        <v>33.1</v>
      </c>
      <c r="BV61" s="50" t="s">
        <v>264</v>
      </c>
      <c r="BW61" s="50" t="s">
        <v>264</v>
      </c>
      <c r="BX61" s="50">
        <v>587.29999999999995</v>
      </c>
      <c r="BY61" s="50" t="s">
        <v>264</v>
      </c>
      <c r="BZ61" s="50" t="s">
        <v>264</v>
      </c>
      <c r="CA61" s="49"/>
      <c r="CB61" s="52"/>
      <c r="CC61" s="52"/>
      <c r="CD61" s="52"/>
      <c r="CE61" s="52"/>
      <c r="CF61" s="52">
        <v>106.1</v>
      </c>
      <c r="CG61" s="52">
        <v>123.6</v>
      </c>
      <c r="CH61" s="52">
        <v>11.1</v>
      </c>
      <c r="CI61" s="52"/>
      <c r="CJ61" s="52"/>
      <c r="CK61" s="52"/>
      <c r="CL61" s="52"/>
      <c r="CM61" s="52"/>
      <c r="CN61" s="52">
        <v>53.4</v>
      </c>
      <c r="CO61" s="52">
        <v>100.2</v>
      </c>
      <c r="CP61" s="52">
        <v>79.7</v>
      </c>
      <c r="CQ61" s="52">
        <v>20.5</v>
      </c>
      <c r="CR61" s="52" t="s">
        <v>264</v>
      </c>
      <c r="CS61" s="52">
        <v>24.9</v>
      </c>
      <c r="CT61" s="52">
        <v>15</v>
      </c>
      <c r="CU61" s="52">
        <v>9.9</v>
      </c>
      <c r="CV61" s="52">
        <v>61.9</v>
      </c>
      <c r="CW61" s="52">
        <v>61.9</v>
      </c>
      <c r="CX61" s="52"/>
      <c r="CY61" s="52">
        <v>13.7</v>
      </c>
      <c r="CZ61" s="52">
        <v>27.4</v>
      </c>
      <c r="DA61" s="52" t="s">
        <v>264</v>
      </c>
      <c r="DB61" s="52" t="s">
        <v>264</v>
      </c>
      <c r="DC61" s="52" t="s">
        <v>264</v>
      </c>
      <c r="DD61" s="52"/>
      <c r="DE61" s="52"/>
      <c r="DF61" s="53"/>
      <c r="DG61" s="53">
        <v>73.3</v>
      </c>
      <c r="DH61" s="53">
        <v>101.8</v>
      </c>
      <c r="DI61" s="53">
        <v>397.7</v>
      </c>
      <c r="DJ61" s="53">
        <v>90.1</v>
      </c>
      <c r="DK61" s="53">
        <v>434.2</v>
      </c>
      <c r="DL61" s="53">
        <v>84.7</v>
      </c>
      <c r="DM61" s="53">
        <v>140.30000000000001</v>
      </c>
      <c r="DN61" s="53"/>
      <c r="DO61" s="53">
        <v>96.9</v>
      </c>
      <c r="DP61" s="53"/>
      <c r="DQ61" s="53">
        <v>28.8</v>
      </c>
      <c r="DR61" s="53"/>
      <c r="DS61" s="53">
        <v>685.5</v>
      </c>
      <c r="DT61" s="53">
        <v>2133.3000000000002</v>
      </c>
      <c r="DU61" s="53">
        <v>-175.10000000000014</v>
      </c>
      <c r="DV61" s="53">
        <v>0</v>
      </c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2"/>
      <c r="FF61" s="52"/>
      <c r="FG61" s="52"/>
      <c r="FH61" s="52"/>
      <c r="FI61" s="52"/>
      <c r="FJ61" s="52"/>
      <c r="FK61" s="52"/>
      <c r="FL61" s="52"/>
      <c r="FM61" s="52"/>
      <c r="FN61" s="52"/>
      <c r="FO61" s="52"/>
      <c r="FP61" s="52"/>
      <c r="FQ61" s="52"/>
      <c r="FR61" s="52"/>
      <c r="FS61" s="52"/>
      <c r="FT61" s="52"/>
      <c r="FU61" s="52"/>
      <c r="FV61" s="52"/>
      <c r="FW61" s="52"/>
      <c r="FX61" s="52"/>
      <c r="FY61" s="52"/>
      <c r="FZ61" s="52"/>
      <c r="GA61" s="52"/>
      <c r="GB61" s="52"/>
      <c r="GC61" s="52"/>
      <c r="GD61" s="52"/>
      <c r="GE61" s="52"/>
      <c r="GF61" s="52"/>
      <c r="GG61" s="52"/>
      <c r="GH61" s="52"/>
      <c r="GI61" s="52"/>
      <c r="GJ61" s="52"/>
      <c r="GK61" s="52"/>
      <c r="GL61" s="52"/>
      <c r="GM61" s="52"/>
      <c r="GN61" s="52"/>
      <c r="GO61" s="52"/>
      <c r="GP61" s="52"/>
      <c r="GQ61" s="52"/>
      <c r="GR61" s="52"/>
      <c r="GS61" s="52"/>
      <c r="GT61" s="52"/>
      <c r="GU61" s="52"/>
      <c r="GV61" s="52"/>
      <c r="GW61" s="52"/>
      <c r="GX61" s="52"/>
      <c r="GY61" s="17"/>
      <c r="GZ61" s="52">
        <v>752.2</v>
      </c>
      <c r="HA61" s="52"/>
      <c r="HB61" s="17"/>
      <c r="HC61" s="17"/>
      <c r="HD61" s="17"/>
      <c r="HE61" s="17"/>
      <c r="HF61" s="52"/>
      <c r="HG61" s="52"/>
      <c r="HH61" s="52"/>
      <c r="HI61" s="52"/>
      <c r="HJ61" s="52"/>
      <c r="HK61" s="52"/>
      <c r="HL61" s="52"/>
      <c r="HM61" s="52"/>
      <c r="HN61" s="52"/>
      <c r="HO61" s="52"/>
      <c r="HP61" s="52"/>
      <c r="HQ61" s="52"/>
      <c r="HR61" s="52"/>
      <c r="HS61" s="52"/>
      <c r="HT61" s="52"/>
      <c r="HU61" s="52"/>
      <c r="HV61" s="52"/>
      <c r="HW61" s="52"/>
      <c r="HX61" s="52"/>
      <c r="HY61" s="52"/>
      <c r="HZ61" s="52"/>
      <c r="IA61" s="52"/>
      <c r="IB61" s="52"/>
      <c r="IC61" s="52"/>
      <c r="ID61" s="52"/>
      <c r="IE61" s="52"/>
      <c r="IF61" s="52"/>
      <c r="IG61" s="52"/>
      <c r="IH61" s="53"/>
      <c r="II61" s="53"/>
      <c r="IJ61" s="53"/>
      <c r="IK61" s="53"/>
      <c r="IL61" s="53"/>
      <c r="IM61" s="52"/>
      <c r="IN61" s="52">
        <v>25.7</v>
      </c>
      <c r="IY61" s="48">
        <f t="shared" si="2"/>
        <v>47.517929967655746</v>
      </c>
      <c r="IZ61" s="48">
        <f>IY61-'NOPA Crush'!J61</f>
        <v>-8.2070032344255139E-2</v>
      </c>
      <c r="JB61" s="63">
        <f t="shared" si="0"/>
        <v>11.522992546758543</v>
      </c>
      <c r="JC61" s="64">
        <f>JB61-'NOPA Crush'!O61</f>
        <v>0.12299254675854243</v>
      </c>
      <c r="JD61" s="65"/>
      <c r="JE61" s="67">
        <f t="shared" si="1"/>
        <v>871</v>
      </c>
      <c r="JF61" s="68">
        <f>'NOPA Crush'!Q61/'Census Crush'!JE61</f>
        <v>0.38771526980482202</v>
      </c>
    </row>
    <row r="62" spans="1:266">
      <c r="A62" s="39">
        <v>30926</v>
      </c>
      <c r="B62" s="49">
        <v>1966.5</v>
      </c>
      <c r="C62" s="50">
        <v>590.70000000000005</v>
      </c>
      <c r="D62" s="50">
        <v>72.599999999999994</v>
      </c>
      <c r="E62" s="50">
        <v>221.2</v>
      </c>
      <c r="F62" s="50">
        <v>5.4</v>
      </c>
      <c r="G62" s="50" t="s">
        <v>264</v>
      </c>
      <c r="H62" s="50" t="s">
        <v>264</v>
      </c>
      <c r="I62" s="50" t="s">
        <v>264</v>
      </c>
      <c r="J62" s="50" t="s">
        <v>264</v>
      </c>
      <c r="K62" s="49">
        <v>755.9</v>
      </c>
      <c r="L62" s="49">
        <v>720.5</v>
      </c>
      <c r="M62" s="49">
        <v>435.5</v>
      </c>
      <c r="N62" s="49">
        <v>285</v>
      </c>
      <c r="O62" s="50">
        <v>21.6</v>
      </c>
      <c r="P62" s="51">
        <v>49.8</v>
      </c>
      <c r="Q62" s="49">
        <v>12.3</v>
      </c>
      <c r="R62" s="49">
        <v>37.5</v>
      </c>
      <c r="S62" s="49"/>
      <c r="T62" s="49">
        <v>4.3</v>
      </c>
      <c r="U62" s="51">
        <v>21.9</v>
      </c>
      <c r="V62" s="49">
        <v>17.899999999999999</v>
      </c>
      <c r="W62" s="49">
        <v>4</v>
      </c>
      <c r="X62" s="50" t="s">
        <v>264</v>
      </c>
      <c r="Y62" s="50">
        <v>3.7</v>
      </c>
      <c r="Z62" s="49"/>
      <c r="AA62" s="50" t="s">
        <v>264</v>
      </c>
      <c r="AB62" s="50" t="s">
        <v>264</v>
      </c>
      <c r="AC62" s="50" t="s">
        <v>264</v>
      </c>
      <c r="AD62" s="50" t="s">
        <v>264</v>
      </c>
      <c r="AE62" s="50"/>
      <c r="AF62" s="51"/>
      <c r="AG62" s="50" t="s">
        <v>264</v>
      </c>
      <c r="AH62" s="50" t="s">
        <v>264</v>
      </c>
      <c r="AI62" s="49">
        <v>82</v>
      </c>
      <c r="AJ62" s="49"/>
      <c r="AK62" s="49"/>
      <c r="AL62" s="51">
        <v>69.699999999999989</v>
      </c>
      <c r="AM62" s="49">
        <v>41.3</v>
      </c>
      <c r="AN62" s="49">
        <v>28.4</v>
      </c>
      <c r="AO62" s="49">
        <v>1487.9</v>
      </c>
      <c r="AP62" s="49">
        <v>217.6</v>
      </c>
      <c r="AQ62" s="49">
        <v>71.099999999999994</v>
      </c>
      <c r="AR62" s="49">
        <v>37.799999999999997</v>
      </c>
      <c r="AS62" s="50">
        <v>32.6</v>
      </c>
      <c r="AT62" s="50">
        <v>99.8</v>
      </c>
      <c r="AU62" s="50">
        <v>18.7</v>
      </c>
      <c r="AV62" s="50">
        <v>16.100000000000001</v>
      </c>
      <c r="AW62" s="50">
        <v>3.2</v>
      </c>
      <c r="AX62" s="50">
        <v>3</v>
      </c>
      <c r="AY62" s="50" t="s">
        <v>264</v>
      </c>
      <c r="AZ62" s="50" t="s">
        <v>264</v>
      </c>
      <c r="BA62" s="50" t="s">
        <v>264</v>
      </c>
      <c r="BB62" s="50" t="s">
        <v>264</v>
      </c>
      <c r="BC62" s="50"/>
      <c r="BD62" s="52">
        <v>127.3</v>
      </c>
      <c r="BE62" s="52">
        <v>28.5</v>
      </c>
      <c r="BF62" s="52"/>
      <c r="BG62" s="52"/>
      <c r="BH62" s="52"/>
      <c r="BI62" s="52"/>
      <c r="BJ62" s="52"/>
      <c r="BK62" s="52"/>
      <c r="BL62" s="52"/>
      <c r="BM62" s="52">
        <v>465.6</v>
      </c>
      <c r="BN62" s="52"/>
      <c r="BO62" s="52"/>
      <c r="BP62" s="52"/>
      <c r="BQ62" s="52"/>
      <c r="BR62" s="52"/>
      <c r="BS62" s="53">
        <v>284.8</v>
      </c>
      <c r="BT62" s="52">
        <v>74</v>
      </c>
      <c r="BU62" s="52">
        <v>29.9</v>
      </c>
      <c r="BV62" s="50" t="s">
        <v>264</v>
      </c>
      <c r="BW62" s="50" t="s">
        <v>264</v>
      </c>
      <c r="BX62" s="50">
        <v>557.4</v>
      </c>
      <c r="BY62" s="50" t="s">
        <v>264</v>
      </c>
      <c r="BZ62" s="50" t="s">
        <v>264</v>
      </c>
      <c r="CA62" s="49"/>
      <c r="CB62" s="52"/>
      <c r="CC62" s="52"/>
      <c r="CD62" s="52"/>
      <c r="CE62" s="52"/>
      <c r="CF62" s="52">
        <v>95.4</v>
      </c>
      <c r="CG62" s="52">
        <v>112.8</v>
      </c>
      <c r="CH62" s="52">
        <v>9.9</v>
      </c>
      <c r="CI62" s="52"/>
      <c r="CJ62" s="52"/>
      <c r="CK62" s="52"/>
      <c r="CL62" s="52"/>
      <c r="CM62" s="52"/>
      <c r="CN62" s="52">
        <v>43.3</v>
      </c>
      <c r="CO62" s="52">
        <v>111</v>
      </c>
      <c r="CP62" s="52">
        <v>85.6</v>
      </c>
      <c r="CQ62" s="52">
        <v>25.4</v>
      </c>
      <c r="CR62" s="52" t="s">
        <v>264</v>
      </c>
      <c r="CS62" s="52">
        <v>48.300000000000004</v>
      </c>
      <c r="CT62" s="52">
        <v>32.700000000000003</v>
      </c>
      <c r="CU62" s="52">
        <v>15.6</v>
      </c>
      <c r="CV62" s="52">
        <v>50.9</v>
      </c>
      <c r="CW62" s="52">
        <v>50.9</v>
      </c>
      <c r="CX62" s="52"/>
      <c r="CY62" s="52">
        <v>10.8</v>
      </c>
      <c r="CZ62" s="52">
        <v>22.6</v>
      </c>
      <c r="DA62" s="52" t="s">
        <v>264</v>
      </c>
      <c r="DB62" s="52" t="s">
        <v>264</v>
      </c>
      <c r="DC62" s="52" t="s">
        <v>264</v>
      </c>
      <c r="DD62" s="52"/>
      <c r="DE62" s="52"/>
      <c r="DF62" s="53"/>
      <c r="DG62" s="53">
        <v>45.1</v>
      </c>
      <c r="DH62" s="53">
        <v>76.900000000000006</v>
      </c>
      <c r="DI62" s="53">
        <v>378.1</v>
      </c>
      <c r="DJ62" s="53">
        <v>114</v>
      </c>
      <c r="DK62" s="53">
        <v>362.8</v>
      </c>
      <c r="DL62" s="53"/>
      <c r="DM62" s="53">
        <v>164.4</v>
      </c>
      <c r="DN62" s="53"/>
      <c r="DO62" s="53">
        <v>119.5</v>
      </c>
      <c r="DP62" s="53">
        <v>131.5</v>
      </c>
      <c r="DQ62" s="53">
        <v>33.200000000000003</v>
      </c>
      <c r="DR62" s="53">
        <v>79.7</v>
      </c>
      <c r="DS62" s="53">
        <v>461.3</v>
      </c>
      <c r="DT62" s="53">
        <v>1966.5</v>
      </c>
      <c r="DU62" s="53">
        <v>-121.99999999999977</v>
      </c>
      <c r="DV62" s="53">
        <v>0</v>
      </c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2"/>
      <c r="FN62" s="52"/>
      <c r="FO62" s="52"/>
      <c r="FP62" s="52"/>
      <c r="FQ62" s="52"/>
      <c r="FR62" s="52"/>
      <c r="FS62" s="52"/>
      <c r="FT62" s="52"/>
      <c r="FU62" s="52"/>
      <c r="FV62" s="52"/>
      <c r="FW62" s="52"/>
      <c r="FX62" s="52"/>
      <c r="FY62" s="52"/>
      <c r="FZ62" s="52"/>
      <c r="GA62" s="52"/>
      <c r="GB62" s="52"/>
      <c r="GC62" s="52"/>
      <c r="GD62" s="52"/>
      <c r="GE62" s="52"/>
      <c r="GF62" s="52"/>
      <c r="GG62" s="52"/>
      <c r="GH62" s="52"/>
      <c r="GI62" s="52"/>
      <c r="GJ62" s="52"/>
      <c r="GK62" s="52"/>
      <c r="GL62" s="52"/>
      <c r="GM62" s="52"/>
      <c r="GN62" s="52"/>
      <c r="GO62" s="52"/>
      <c r="GP62" s="52"/>
      <c r="GQ62" s="52"/>
      <c r="GR62" s="52"/>
      <c r="GS62" s="52"/>
      <c r="GT62" s="52"/>
      <c r="GU62" s="52"/>
      <c r="GV62" s="52"/>
      <c r="GW62" s="52"/>
      <c r="GX62" s="52"/>
      <c r="GY62" s="17"/>
      <c r="GZ62" s="52">
        <v>760.9</v>
      </c>
      <c r="HA62" s="52"/>
      <c r="HB62" s="17"/>
      <c r="HC62" s="17"/>
      <c r="HD62" s="17"/>
      <c r="HE62" s="17"/>
      <c r="HF62" s="52"/>
      <c r="HG62" s="52"/>
      <c r="HH62" s="52"/>
      <c r="HI62" s="52"/>
      <c r="HJ62" s="52"/>
      <c r="HK62" s="52"/>
      <c r="HL62" s="52"/>
      <c r="HM62" s="52"/>
      <c r="HN62" s="52"/>
      <c r="HO62" s="52"/>
      <c r="HP62" s="52"/>
      <c r="HQ62" s="52"/>
      <c r="HR62" s="52"/>
      <c r="HS62" s="52"/>
      <c r="HT62" s="52"/>
      <c r="HU62" s="52"/>
      <c r="HV62" s="52"/>
      <c r="HW62" s="52"/>
      <c r="HX62" s="52"/>
      <c r="HY62" s="52"/>
      <c r="HZ62" s="52"/>
      <c r="IA62" s="52"/>
      <c r="IB62" s="52"/>
      <c r="IC62" s="52"/>
      <c r="ID62" s="52"/>
      <c r="IE62" s="52"/>
      <c r="IF62" s="52"/>
      <c r="IG62" s="52"/>
      <c r="IH62" s="53"/>
      <c r="II62" s="53"/>
      <c r="IJ62" s="53"/>
      <c r="IK62" s="53"/>
      <c r="IL62" s="53"/>
      <c r="IM62" s="52"/>
      <c r="IN62" s="52">
        <v>27.8</v>
      </c>
      <c r="IY62" s="48">
        <f t="shared" si="2"/>
        <v>47.566742944317319</v>
      </c>
      <c r="IZ62" s="48">
        <f>IY62-'NOPA Crush'!J62</f>
        <v>0.16674294431732051</v>
      </c>
      <c r="JB62" s="63">
        <f t="shared" si="0"/>
        <v>11.531655225019069</v>
      </c>
      <c r="JC62" s="64">
        <f>JB62-'NOPA Crush'!O62</f>
        <v>3.1655225019068922E-2</v>
      </c>
      <c r="JD62" s="65"/>
      <c r="JE62" s="67">
        <f t="shared" si="1"/>
        <v>720.5</v>
      </c>
      <c r="JF62" s="68">
        <f>'NOPA Crush'!Q62/'Census Crush'!JE62</f>
        <v>0.37807078417765438</v>
      </c>
    </row>
    <row r="63" spans="1:266">
      <c r="A63" s="39">
        <v>30956</v>
      </c>
      <c r="B63" s="49">
        <v>2676.3</v>
      </c>
      <c r="C63" s="50">
        <v>1615.7</v>
      </c>
      <c r="D63" s="50">
        <v>274.3</v>
      </c>
      <c r="E63" s="50">
        <v>781.7</v>
      </c>
      <c r="F63" s="50">
        <v>12.2</v>
      </c>
      <c r="G63" s="50">
        <v>62.9</v>
      </c>
      <c r="H63" s="50" t="s">
        <v>264</v>
      </c>
      <c r="I63" s="50" t="s">
        <v>264</v>
      </c>
      <c r="J63" s="50" t="s">
        <v>264</v>
      </c>
      <c r="K63" s="49">
        <v>995.5</v>
      </c>
      <c r="L63" s="49">
        <v>597.20000000000005</v>
      </c>
      <c r="M63" s="49">
        <v>330.5</v>
      </c>
      <c r="N63" s="49">
        <v>266.7</v>
      </c>
      <c r="O63" s="50">
        <v>84.3</v>
      </c>
      <c r="P63" s="51">
        <v>57.6</v>
      </c>
      <c r="Q63" s="49">
        <v>28.1</v>
      </c>
      <c r="R63" s="49">
        <v>29.5</v>
      </c>
      <c r="S63" s="49"/>
      <c r="T63" s="49">
        <v>9.9</v>
      </c>
      <c r="U63" s="51">
        <v>21.7</v>
      </c>
      <c r="V63" s="49">
        <v>17.5</v>
      </c>
      <c r="W63" s="49">
        <v>4.2</v>
      </c>
      <c r="X63" s="49">
        <v>48.4</v>
      </c>
      <c r="Y63" s="49">
        <v>4.2</v>
      </c>
      <c r="Z63" s="49">
        <v>32.299999999999997</v>
      </c>
      <c r="AA63" s="49">
        <v>24.1</v>
      </c>
      <c r="AB63" s="49">
        <v>8.1999999999999993</v>
      </c>
      <c r="AC63" s="49" t="s">
        <v>264</v>
      </c>
      <c r="AD63" s="49" t="s">
        <v>264</v>
      </c>
      <c r="AE63" s="49"/>
      <c r="AF63" s="51"/>
      <c r="AG63" s="50" t="s">
        <v>264</v>
      </c>
      <c r="AH63" s="50" t="s">
        <v>264</v>
      </c>
      <c r="AI63" s="49">
        <v>88.8</v>
      </c>
      <c r="AJ63" s="49"/>
      <c r="AK63" s="49"/>
      <c r="AL63" s="51">
        <v>65.8</v>
      </c>
      <c r="AM63" s="49">
        <v>40.1</v>
      </c>
      <c r="AN63" s="49">
        <v>25.7</v>
      </c>
      <c r="AO63" s="49">
        <v>2020.1</v>
      </c>
      <c r="AP63" s="49">
        <v>196.4</v>
      </c>
      <c r="AQ63" s="49">
        <v>86.9</v>
      </c>
      <c r="AR63" s="49">
        <v>39.700000000000003</v>
      </c>
      <c r="AS63" s="50">
        <v>127.3</v>
      </c>
      <c r="AT63" s="50">
        <v>64.3</v>
      </c>
      <c r="AU63" s="50">
        <v>66.7</v>
      </c>
      <c r="AV63" s="50">
        <v>17.5</v>
      </c>
      <c r="AW63" s="50">
        <v>6.5</v>
      </c>
      <c r="AX63" s="50">
        <v>3</v>
      </c>
      <c r="AY63" s="50">
        <v>35.200000000000003</v>
      </c>
      <c r="AZ63" s="50">
        <v>9</v>
      </c>
      <c r="BA63" s="50" t="s">
        <v>264</v>
      </c>
      <c r="BB63" s="50" t="s">
        <v>264</v>
      </c>
      <c r="BC63" s="50"/>
      <c r="BD63" s="52">
        <v>127</v>
      </c>
      <c r="BE63" s="52">
        <v>26</v>
      </c>
      <c r="BF63" s="52"/>
      <c r="BG63" s="52"/>
      <c r="BH63" s="52">
        <v>366.1</v>
      </c>
      <c r="BI63" s="52"/>
      <c r="BJ63" s="52"/>
      <c r="BK63" s="52">
        <v>160.69999999999999</v>
      </c>
      <c r="BL63" s="52">
        <v>23.2</v>
      </c>
      <c r="BM63" s="52">
        <v>550</v>
      </c>
      <c r="BN63" s="52">
        <v>254.1</v>
      </c>
      <c r="BO63" s="52"/>
      <c r="BP63" s="52"/>
      <c r="BQ63" s="52">
        <v>73.5</v>
      </c>
      <c r="BR63" s="52">
        <v>5.6</v>
      </c>
      <c r="BS63" s="53">
        <v>333.20000000000005</v>
      </c>
      <c r="BT63" s="52">
        <v>90</v>
      </c>
      <c r="BU63" s="52">
        <v>37.799999999999997</v>
      </c>
      <c r="BV63" s="50">
        <v>372.5</v>
      </c>
      <c r="BW63" s="50">
        <v>138.4</v>
      </c>
      <c r="BX63" s="49">
        <v>535.5</v>
      </c>
      <c r="BY63" s="50">
        <v>67.2</v>
      </c>
      <c r="BZ63" s="50">
        <v>11.3</v>
      </c>
      <c r="CA63" s="49">
        <v>78.5</v>
      </c>
      <c r="CB63" s="52"/>
      <c r="CC63" s="52"/>
      <c r="CD63" s="52"/>
      <c r="CE63" s="52"/>
      <c r="CF63" s="52">
        <v>112.8</v>
      </c>
      <c r="CG63" s="52">
        <v>101.9</v>
      </c>
      <c r="CH63" s="52">
        <v>10.9</v>
      </c>
      <c r="CI63" s="52"/>
      <c r="CJ63" s="52"/>
      <c r="CK63" s="52"/>
      <c r="CL63" s="52"/>
      <c r="CM63" s="52"/>
      <c r="CN63" s="52">
        <v>55.8</v>
      </c>
      <c r="CO63" s="52">
        <v>119.8</v>
      </c>
      <c r="CP63" s="52">
        <v>91.5</v>
      </c>
      <c r="CQ63" s="52">
        <v>28.3</v>
      </c>
      <c r="CR63" s="52">
        <v>16</v>
      </c>
      <c r="CS63" s="52">
        <v>41.3</v>
      </c>
      <c r="CT63" s="52">
        <v>28.2</v>
      </c>
      <c r="CU63" s="52">
        <v>13.1</v>
      </c>
      <c r="CV63" s="52">
        <v>44.599999999999994</v>
      </c>
      <c r="CW63" s="52">
        <v>17.2</v>
      </c>
      <c r="CX63" s="52">
        <v>27.4</v>
      </c>
      <c r="CY63" s="52">
        <v>19.8</v>
      </c>
      <c r="CZ63" s="52">
        <v>22.2</v>
      </c>
      <c r="DA63" s="52">
        <v>31.6</v>
      </c>
      <c r="DB63" s="52">
        <v>30.8</v>
      </c>
      <c r="DC63" s="52">
        <v>0.8</v>
      </c>
      <c r="DD63" s="52"/>
      <c r="DE63" s="52"/>
      <c r="DF63" s="53"/>
      <c r="DG63" s="53"/>
      <c r="DH63" s="53">
        <v>91.5</v>
      </c>
      <c r="DI63" s="53">
        <v>632.9</v>
      </c>
      <c r="DJ63" s="53">
        <v>149.9</v>
      </c>
      <c r="DK63" s="53">
        <v>406.5</v>
      </c>
      <c r="DL63" s="53"/>
      <c r="DM63" s="53">
        <v>198.8</v>
      </c>
      <c r="DN63" s="53"/>
      <c r="DO63" s="53">
        <v>175.4</v>
      </c>
      <c r="DP63" s="53">
        <v>161.5</v>
      </c>
      <c r="DQ63" s="53">
        <v>46.5</v>
      </c>
      <c r="DR63" s="53"/>
      <c r="DS63" s="53">
        <v>813.3</v>
      </c>
      <c r="DT63" s="53">
        <v>2676.3</v>
      </c>
      <c r="DU63" s="53">
        <v>-91.5</v>
      </c>
      <c r="DV63" s="53">
        <v>0</v>
      </c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17"/>
      <c r="GZ63" s="52">
        <v>907.6</v>
      </c>
      <c r="HA63" s="52"/>
      <c r="HB63" s="17"/>
      <c r="HC63" s="17"/>
      <c r="HD63" s="17"/>
      <c r="HE63" s="17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3"/>
      <c r="II63" s="53"/>
      <c r="IJ63" s="53"/>
      <c r="IK63" s="53"/>
      <c r="IL63" s="53"/>
      <c r="IM63" s="52"/>
      <c r="IN63" s="52">
        <v>64.5</v>
      </c>
      <c r="IY63" s="48">
        <f t="shared" si="2"/>
        <v>47.236856854612711</v>
      </c>
      <c r="IZ63" s="48">
        <f>IY63-'NOPA Crush'!J63</f>
        <v>0.3368568546127122</v>
      </c>
      <c r="JB63" s="63">
        <f t="shared" si="0"/>
        <v>11.159062885326756</v>
      </c>
      <c r="JC63" s="64">
        <f>JB63-'NOPA Crush'!O63</f>
        <v>0.15906288532675639</v>
      </c>
      <c r="JD63" s="65"/>
      <c r="JE63" s="67">
        <f t="shared" si="1"/>
        <v>597.20000000000005</v>
      </c>
      <c r="JF63" s="68">
        <f>'NOPA Crush'!Q63/'Census Crush'!JE63</f>
        <v>0.27294038847957131</v>
      </c>
    </row>
    <row r="64" spans="1:266">
      <c r="A64" s="39">
        <v>30987</v>
      </c>
      <c r="B64" s="49">
        <v>2968.5</v>
      </c>
      <c r="C64" s="50">
        <v>3493.2</v>
      </c>
      <c r="D64" s="50">
        <v>423.1</v>
      </c>
      <c r="E64" s="50">
        <v>1646.4</v>
      </c>
      <c r="F64" s="50">
        <v>10.9</v>
      </c>
      <c r="G64" s="50">
        <v>91.7</v>
      </c>
      <c r="H64" s="50" t="s">
        <v>264</v>
      </c>
      <c r="I64" s="50" t="s">
        <v>264</v>
      </c>
      <c r="J64" s="50" t="s">
        <v>264</v>
      </c>
      <c r="K64" s="49">
        <v>1070.2</v>
      </c>
      <c r="L64" s="49">
        <v>580.1</v>
      </c>
      <c r="M64" s="49">
        <v>338.7</v>
      </c>
      <c r="N64" s="49">
        <v>241.4</v>
      </c>
      <c r="O64" s="50">
        <v>132.5</v>
      </c>
      <c r="P64" s="51">
        <v>74.599999999999994</v>
      </c>
      <c r="Q64" s="49">
        <v>31.1</v>
      </c>
      <c r="R64" s="49">
        <v>43.5</v>
      </c>
      <c r="S64" s="49"/>
      <c r="T64" s="49">
        <v>8.6</v>
      </c>
      <c r="U64" s="51">
        <v>15.3</v>
      </c>
      <c r="V64" s="49">
        <v>11.1</v>
      </c>
      <c r="W64" s="49">
        <v>4.2</v>
      </c>
      <c r="X64" s="49">
        <v>71.400000000000006</v>
      </c>
      <c r="Y64" s="49">
        <v>4.7</v>
      </c>
      <c r="Z64" s="49">
        <v>70.5</v>
      </c>
      <c r="AA64" s="49">
        <v>64.2</v>
      </c>
      <c r="AB64" s="49">
        <v>6.3</v>
      </c>
      <c r="AC64" s="49" t="s">
        <v>264</v>
      </c>
      <c r="AD64" s="49" t="s">
        <v>264</v>
      </c>
      <c r="AE64" s="49"/>
      <c r="AF64" s="51"/>
      <c r="AG64" s="50" t="s">
        <v>264</v>
      </c>
      <c r="AH64" s="50" t="s">
        <v>264</v>
      </c>
      <c r="AI64" s="49">
        <v>75.5</v>
      </c>
      <c r="AJ64" s="49"/>
      <c r="AK64" s="49"/>
      <c r="AL64" s="51">
        <v>70.400000000000006</v>
      </c>
      <c r="AM64" s="49">
        <v>40.799999999999997</v>
      </c>
      <c r="AN64" s="49">
        <v>29.6</v>
      </c>
      <c r="AO64" s="49">
        <v>2235.9</v>
      </c>
      <c r="AP64" s="49">
        <v>252.4</v>
      </c>
      <c r="AQ64" s="49">
        <v>90.1</v>
      </c>
      <c r="AR64" s="49">
        <v>33.299999999999997</v>
      </c>
      <c r="AS64" s="50">
        <v>198.4</v>
      </c>
      <c r="AT64" s="50">
        <v>95.3</v>
      </c>
      <c r="AU64" s="50">
        <v>104.5</v>
      </c>
      <c r="AV64" s="50">
        <v>35.4</v>
      </c>
      <c r="AW64" s="50">
        <v>5.7</v>
      </c>
      <c r="AX64" s="50">
        <v>4.2</v>
      </c>
      <c r="AY64" s="50">
        <v>55</v>
      </c>
      <c r="AZ64" s="50" t="s">
        <v>264</v>
      </c>
      <c r="BA64" s="50" t="s">
        <v>264</v>
      </c>
      <c r="BB64" s="50" t="s">
        <v>264</v>
      </c>
      <c r="BC64" s="50"/>
      <c r="BD64" s="52">
        <v>107.4</v>
      </c>
      <c r="BE64" s="52">
        <v>28.6</v>
      </c>
      <c r="BF64" s="52"/>
      <c r="BG64" s="52"/>
      <c r="BH64" s="52">
        <v>316.2</v>
      </c>
      <c r="BI64" s="52"/>
      <c r="BJ64" s="52"/>
      <c r="BK64" s="52">
        <v>128.69999999999999</v>
      </c>
      <c r="BL64" s="52">
        <v>9.4</v>
      </c>
      <c r="BM64" s="52">
        <v>454.3</v>
      </c>
      <c r="BN64" s="52">
        <v>271.10000000000002</v>
      </c>
      <c r="BO64" s="52"/>
      <c r="BP64" s="52"/>
      <c r="BQ64" s="52">
        <v>74.900000000000006</v>
      </c>
      <c r="BR64" s="52">
        <v>2.8</v>
      </c>
      <c r="BS64" s="53">
        <v>348.8</v>
      </c>
      <c r="BT64" s="52">
        <v>84</v>
      </c>
      <c r="BU64" s="52">
        <v>33.1</v>
      </c>
      <c r="BV64" s="50">
        <v>337.5</v>
      </c>
      <c r="BW64" s="50">
        <v>127.5</v>
      </c>
      <c r="BX64" s="49">
        <v>475.1</v>
      </c>
      <c r="BY64" s="50">
        <v>68.5</v>
      </c>
      <c r="BZ64" s="50">
        <v>13.1</v>
      </c>
      <c r="CA64" s="49">
        <v>81.599999999999994</v>
      </c>
      <c r="CB64" s="52"/>
      <c r="CC64" s="52"/>
      <c r="CD64" s="52"/>
      <c r="CE64" s="52"/>
      <c r="CF64" s="52">
        <v>110.7</v>
      </c>
      <c r="CG64" s="52">
        <v>103</v>
      </c>
      <c r="CH64" s="52">
        <v>12.6</v>
      </c>
      <c r="CI64" s="52"/>
      <c r="CJ64" s="52"/>
      <c r="CK64" s="52"/>
      <c r="CL64" s="52"/>
      <c r="CM64" s="52"/>
      <c r="CN64" s="52">
        <v>44.7</v>
      </c>
      <c r="CO64" s="52">
        <v>107.3</v>
      </c>
      <c r="CP64" s="52">
        <v>75.3</v>
      </c>
      <c r="CQ64" s="52">
        <v>32</v>
      </c>
      <c r="CR64" s="52" t="s">
        <v>264</v>
      </c>
      <c r="CS64" s="52">
        <v>36.1</v>
      </c>
      <c r="CT64" s="52">
        <v>22.2</v>
      </c>
      <c r="CU64" s="52">
        <v>13.9</v>
      </c>
      <c r="CV64" s="52">
        <v>41.400000000000006</v>
      </c>
      <c r="CW64" s="52">
        <v>15.3</v>
      </c>
      <c r="CX64" s="52">
        <v>26.1</v>
      </c>
      <c r="CY64" s="52">
        <v>12</v>
      </c>
      <c r="CZ64" s="52">
        <v>14.9</v>
      </c>
      <c r="DA64" s="52">
        <v>35.5</v>
      </c>
      <c r="DB64" s="52">
        <v>31.6</v>
      </c>
      <c r="DC64" s="52">
        <v>3.9</v>
      </c>
      <c r="DD64" s="52"/>
      <c r="DE64" s="52"/>
      <c r="DF64" s="53"/>
      <c r="DG64" s="53">
        <v>151.1</v>
      </c>
      <c r="DH64" s="53">
        <v>117.4</v>
      </c>
      <c r="DI64" s="53">
        <v>674.2</v>
      </c>
      <c r="DJ64" s="53">
        <v>145.30000000000001</v>
      </c>
      <c r="DK64" s="53">
        <v>382.7</v>
      </c>
      <c r="DL64" s="53">
        <v>113.7</v>
      </c>
      <c r="DM64" s="53">
        <v>195.8</v>
      </c>
      <c r="DN64" s="53"/>
      <c r="DO64" s="53">
        <v>158</v>
      </c>
      <c r="DP64" s="53">
        <v>164.6</v>
      </c>
      <c r="DQ64" s="53">
        <v>81.5</v>
      </c>
      <c r="DR64" s="53">
        <v>129.6</v>
      </c>
      <c r="DS64" s="53">
        <v>654.5</v>
      </c>
      <c r="DT64" s="53">
        <v>2968.4</v>
      </c>
      <c r="DU64" s="53">
        <v>-268.50000000000045</v>
      </c>
      <c r="DV64" s="53">
        <v>-9.9999999999909051E-2</v>
      </c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17"/>
      <c r="GZ64" s="52">
        <v>835.5</v>
      </c>
      <c r="HA64" s="52"/>
      <c r="HB64" s="17"/>
      <c r="HC64" s="17"/>
      <c r="HD64" s="17"/>
      <c r="HE64" s="17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3"/>
      <c r="II64" s="53"/>
      <c r="IJ64" s="53"/>
      <c r="IK64" s="53"/>
      <c r="IL64" s="53"/>
      <c r="IM64" s="52"/>
      <c r="IN64" s="52">
        <v>121.4</v>
      </c>
      <c r="IY64" s="48">
        <f t="shared" si="2"/>
        <v>47.01364325416877</v>
      </c>
      <c r="IZ64" s="48">
        <f>IY64-'NOPA Crush'!J64</f>
        <v>-8.6356745831231763E-2</v>
      </c>
      <c r="JB64" s="63">
        <f t="shared" si="0"/>
        <v>10.815563415866599</v>
      </c>
      <c r="JC64" s="64">
        <f>JB64-'NOPA Crush'!O64</f>
        <v>-8.4436584133401382E-2</v>
      </c>
      <c r="JD64" s="65"/>
      <c r="JE64" s="67">
        <f t="shared" si="1"/>
        <v>580.1</v>
      </c>
      <c r="JF64" s="68">
        <f>'NOPA Crush'!Q64/'Census Crush'!JE64</f>
        <v>0.28960524047578001</v>
      </c>
    </row>
    <row r="65" spans="1:266">
      <c r="A65" s="39">
        <v>31017</v>
      </c>
      <c r="B65" s="49">
        <v>3032.5</v>
      </c>
      <c r="C65" s="50">
        <v>2953.1</v>
      </c>
      <c r="D65" s="50">
        <v>424.2</v>
      </c>
      <c r="E65" s="50">
        <v>1900.4</v>
      </c>
      <c r="F65" s="50">
        <v>9.1999999999999993</v>
      </c>
      <c r="G65" s="50" t="s">
        <v>264</v>
      </c>
      <c r="H65" s="50" t="s">
        <v>264</v>
      </c>
      <c r="I65" s="50" t="s">
        <v>264</v>
      </c>
      <c r="J65" s="50" t="s">
        <v>264</v>
      </c>
      <c r="K65" s="49">
        <v>1095.5</v>
      </c>
      <c r="L65" s="49">
        <v>777.09999999999991</v>
      </c>
      <c r="M65" s="49">
        <v>500.2</v>
      </c>
      <c r="N65" s="49">
        <v>276.89999999999998</v>
      </c>
      <c r="O65" s="50">
        <v>132.5</v>
      </c>
      <c r="P65" s="51">
        <v>79.400000000000006</v>
      </c>
      <c r="Q65" s="49">
        <v>36.799999999999997</v>
      </c>
      <c r="R65" s="49">
        <v>42.6</v>
      </c>
      <c r="S65" s="49"/>
      <c r="T65" s="49">
        <v>7.3</v>
      </c>
      <c r="U65" s="51">
        <v>14.399999999999999</v>
      </c>
      <c r="V65" s="49">
        <v>11.1</v>
      </c>
      <c r="W65" s="49">
        <v>3.3</v>
      </c>
      <c r="X65" s="50" t="s">
        <v>264</v>
      </c>
      <c r="Y65" s="49">
        <v>4.9000000000000004</v>
      </c>
      <c r="Z65" s="49">
        <v>56.9</v>
      </c>
      <c r="AA65" s="49">
        <v>51.4</v>
      </c>
      <c r="AB65" s="49">
        <v>5.5</v>
      </c>
      <c r="AC65" s="49" t="s">
        <v>264</v>
      </c>
      <c r="AD65" s="49" t="s">
        <v>264</v>
      </c>
      <c r="AE65" s="49"/>
      <c r="AF65" s="51"/>
      <c r="AG65" s="50" t="s">
        <v>264</v>
      </c>
      <c r="AH65" s="50" t="s">
        <v>264</v>
      </c>
      <c r="AI65" s="49">
        <v>89.6</v>
      </c>
      <c r="AJ65" s="49"/>
      <c r="AK65" s="49"/>
      <c r="AL65" s="51">
        <v>60.6</v>
      </c>
      <c r="AM65" s="49">
        <v>31.5</v>
      </c>
      <c r="AN65" s="49">
        <v>29.1</v>
      </c>
      <c r="AO65" s="49">
        <v>2283.6999999999998</v>
      </c>
      <c r="AP65" s="49">
        <v>305.7</v>
      </c>
      <c r="AQ65" s="49">
        <v>97.2</v>
      </c>
      <c r="AR65" s="49">
        <v>31</v>
      </c>
      <c r="AS65" s="50">
        <v>198.7</v>
      </c>
      <c r="AT65" s="50">
        <v>100.4</v>
      </c>
      <c r="AU65" s="50">
        <v>107.3</v>
      </c>
      <c r="AV65" s="50">
        <v>41.8</v>
      </c>
      <c r="AW65" s="50">
        <v>4.5</v>
      </c>
      <c r="AX65" s="50">
        <v>3.4</v>
      </c>
      <c r="AY65" s="50" t="s">
        <v>264</v>
      </c>
      <c r="AZ65" s="50" t="s">
        <v>264</v>
      </c>
      <c r="BA65" s="50" t="s">
        <v>264</v>
      </c>
      <c r="BB65" s="50" t="s">
        <v>264</v>
      </c>
      <c r="BC65" s="50"/>
      <c r="BD65" s="52">
        <v>113</v>
      </c>
      <c r="BE65" s="52">
        <v>36.200000000000003</v>
      </c>
      <c r="BF65" s="52"/>
      <c r="BG65" s="52"/>
      <c r="BH65" s="52">
        <v>342</v>
      </c>
      <c r="BI65" s="52"/>
      <c r="BJ65" s="52"/>
      <c r="BK65" s="52">
        <v>122.6</v>
      </c>
      <c r="BL65" s="52">
        <v>14</v>
      </c>
      <c r="BM65" s="52">
        <v>478.6</v>
      </c>
      <c r="BN65" s="52">
        <v>300.39999999999998</v>
      </c>
      <c r="BO65" s="52"/>
      <c r="BP65" s="52"/>
      <c r="BQ65" s="52">
        <v>65.3</v>
      </c>
      <c r="BR65" s="52">
        <v>1.8</v>
      </c>
      <c r="BS65" s="53">
        <v>367.5</v>
      </c>
      <c r="BT65" s="52">
        <v>78</v>
      </c>
      <c r="BU65" s="52">
        <v>38.700000000000003</v>
      </c>
      <c r="BV65" s="50">
        <v>327.8</v>
      </c>
      <c r="BW65" s="50">
        <v>130.69999999999999</v>
      </c>
      <c r="BX65" s="49">
        <v>465.9</v>
      </c>
      <c r="BY65" s="50">
        <v>60.8</v>
      </c>
      <c r="BZ65" s="50">
        <v>13.3</v>
      </c>
      <c r="CA65" s="49">
        <v>74.099999999999994</v>
      </c>
      <c r="CB65" s="52"/>
      <c r="CC65" s="52"/>
      <c r="CD65" s="52"/>
      <c r="CE65" s="52"/>
      <c r="CF65" s="52">
        <v>109.2</v>
      </c>
      <c r="CG65" s="52">
        <v>109.5</v>
      </c>
      <c r="CH65" s="52">
        <v>13</v>
      </c>
      <c r="CI65" s="52"/>
      <c r="CJ65" s="52"/>
      <c r="CK65" s="52"/>
      <c r="CL65" s="52"/>
      <c r="CM65" s="52"/>
      <c r="CN65" s="52">
        <v>33.6</v>
      </c>
      <c r="CO65" s="52">
        <v>121.5</v>
      </c>
      <c r="CP65" s="52">
        <v>88.8</v>
      </c>
      <c r="CQ65" s="52">
        <v>32.700000000000003</v>
      </c>
      <c r="CR65" s="52">
        <v>13.1</v>
      </c>
      <c r="CS65" s="52">
        <v>39.299999999999997</v>
      </c>
      <c r="CT65" s="52">
        <v>26.1</v>
      </c>
      <c r="CU65" s="52">
        <v>13.2</v>
      </c>
      <c r="CV65" s="52">
        <v>52.300000000000004</v>
      </c>
      <c r="CW65" s="52">
        <v>19.600000000000001</v>
      </c>
      <c r="CX65" s="52">
        <v>32.700000000000003</v>
      </c>
      <c r="CY65" s="52">
        <v>9.6</v>
      </c>
      <c r="CZ65" s="52">
        <v>26.9</v>
      </c>
      <c r="DA65" s="52">
        <v>28.5</v>
      </c>
      <c r="DB65" s="52">
        <v>26</v>
      </c>
      <c r="DC65" s="52">
        <v>2.5</v>
      </c>
      <c r="DD65" s="52"/>
      <c r="DE65" s="52"/>
      <c r="DF65" s="53"/>
      <c r="DG65" s="53">
        <v>144.4</v>
      </c>
      <c r="DH65" s="53">
        <v>116.7</v>
      </c>
      <c r="DI65" s="53">
        <v>672.8</v>
      </c>
      <c r="DJ65" s="53"/>
      <c r="DK65" s="53">
        <v>411.2</v>
      </c>
      <c r="DL65" s="53">
        <v>103.4</v>
      </c>
      <c r="DM65" s="53">
        <v>195.5</v>
      </c>
      <c r="DN65" s="53"/>
      <c r="DO65" s="53">
        <v>153</v>
      </c>
      <c r="DP65" s="53">
        <v>170.8</v>
      </c>
      <c r="DQ65" s="53">
        <v>91.5</v>
      </c>
      <c r="DR65" s="53"/>
      <c r="DS65" s="53">
        <v>973.2</v>
      </c>
      <c r="DT65" s="53">
        <v>3032.5</v>
      </c>
      <c r="DU65" s="53">
        <v>-261.09999999999991</v>
      </c>
      <c r="DV65" s="53">
        <v>0</v>
      </c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17"/>
      <c r="GZ65" s="52">
        <v>821.2</v>
      </c>
      <c r="HA65" s="52"/>
      <c r="HB65" s="17"/>
      <c r="HC65" s="17"/>
      <c r="HD65" s="17"/>
      <c r="HE65" s="17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3"/>
      <c r="II65" s="53"/>
      <c r="IJ65" s="53"/>
      <c r="IK65" s="53"/>
      <c r="IL65" s="53"/>
      <c r="IM65" s="52"/>
      <c r="IN65" s="52">
        <v>117.6</v>
      </c>
      <c r="IY65" s="48">
        <f t="shared" si="2"/>
        <v>47.107666941467429</v>
      </c>
      <c r="IZ65" s="48">
        <f>IY65-'NOPA Crush'!J65</f>
        <v>7.6669414674270797E-3</v>
      </c>
      <c r="JB65" s="63">
        <f t="shared" si="0"/>
        <v>10.837592745259688</v>
      </c>
      <c r="JC65" s="64">
        <f>JB65-'NOPA Crush'!O65</f>
        <v>-6.2407254740312723E-2</v>
      </c>
      <c r="JD65" s="65"/>
      <c r="JE65" s="67">
        <f t="shared" si="1"/>
        <v>777.09999999999991</v>
      </c>
      <c r="JF65" s="68">
        <f>'NOPA Crush'!Q65/'Census Crush'!JE65</f>
        <v>0.3011195470338438</v>
      </c>
    </row>
    <row r="66" spans="1:266">
      <c r="A66" s="39">
        <v>31048</v>
      </c>
      <c r="B66" s="49">
        <v>2835.6</v>
      </c>
      <c r="C66" s="50">
        <v>2576.4</v>
      </c>
      <c r="D66" s="50">
        <v>453.4</v>
      </c>
      <c r="E66" s="50">
        <v>1936.5</v>
      </c>
      <c r="F66" s="50">
        <v>13</v>
      </c>
      <c r="G66" s="50">
        <v>73.3</v>
      </c>
      <c r="H66" s="50" t="s">
        <v>264</v>
      </c>
      <c r="I66" s="50" t="s">
        <v>264</v>
      </c>
      <c r="J66" s="50" t="s">
        <v>264</v>
      </c>
      <c r="K66" s="49">
        <v>1027.4000000000001</v>
      </c>
      <c r="L66" s="49">
        <v>883.5</v>
      </c>
      <c r="M66" s="49">
        <v>621.70000000000005</v>
      </c>
      <c r="N66" s="49">
        <v>261.8</v>
      </c>
      <c r="O66" s="50">
        <v>141.5</v>
      </c>
      <c r="P66" s="51">
        <v>89.6</v>
      </c>
      <c r="Q66" s="49">
        <v>38.700000000000003</v>
      </c>
      <c r="R66" s="49">
        <v>50.9</v>
      </c>
      <c r="S66" s="49"/>
      <c r="T66" s="49">
        <v>9.8000000000000007</v>
      </c>
      <c r="U66" s="51">
        <v>9.8000000000000007</v>
      </c>
      <c r="V66" s="49">
        <v>6.3</v>
      </c>
      <c r="W66" s="49">
        <v>3.5</v>
      </c>
      <c r="X66" s="49">
        <v>55</v>
      </c>
      <c r="Y66" s="49">
        <v>10.7</v>
      </c>
      <c r="Z66" s="49">
        <v>42.8</v>
      </c>
      <c r="AA66" s="49">
        <v>34.4</v>
      </c>
      <c r="AB66" s="49">
        <v>8.4</v>
      </c>
      <c r="AC66" s="49" t="s">
        <v>264</v>
      </c>
      <c r="AD66" s="49" t="s">
        <v>264</v>
      </c>
      <c r="AE66" s="49"/>
      <c r="AF66" s="51"/>
      <c r="AG66" s="50" t="s">
        <v>264</v>
      </c>
      <c r="AH66" s="50" t="s">
        <v>264</v>
      </c>
      <c r="AI66" s="49">
        <v>87.7</v>
      </c>
      <c r="AJ66" s="49"/>
      <c r="AK66" s="49"/>
      <c r="AL66" s="51">
        <v>74.599999999999994</v>
      </c>
      <c r="AM66" s="49">
        <v>35.799999999999997</v>
      </c>
      <c r="AN66" s="49">
        <v>38.799999999999997</v>
      </c>
      <c r="AO66" s="49">
        <v>2137.4</v>
      </c>
      <c r="AP66" s="49">
        <v>291.10000000000002</v>
      </c>
      <c r="AQ66" s="49">
        <v>89</v>
      </c>
      <c r="AR66" s="49">
        <v>28.5</v>
      </c>
      <c r="AS66" s="50">
        <v>207.7</v>
      </c>
      <c r="AT66" s="50">
        <v>100.4</v>
      </c>
      <c r="AU66" s="50">
        <v>113.7</v>
      </c>
      <c r="AV66" s="50">
        <v>44.9</v>
      </c>
      <c r="AW66" s="50">
        <v>7.5</v>
      </c>
      <c r="AX66" s="50">
        <v>3.6</v>
      </c>
      <c r="AY66" s="50">
        <v>42.6</v>
      </c>
      <c r="AZ66" s="50">
        <v>11.3</v>
      </c>
      <c r="BA66" s="50" t="s">
        <v>264</v>
      </c>
      <c r="BB66" s="50" t="s">
        <v>264</v>
      </c>
      <c r="BC66" s="50"/>
      <c r="BD66" s="52">
        <v>129.1</v>
      </c>
      <c r="BE66" s="52">
        <v>34</v>
      </c>
      <c r="BF66" s="52"/>
      <c r="BG66" s="52"/>
      <c r="BH66" s="52">
        <v>324.10000000000002</v>
      </c>
      <c r="BI66" s="52"/>
      <c r="BJ66" s="52"/>
      <c r="BK66" s="52">
        <v>141.6</v>
      </c>
      <c r="BL66" s="52">
        <v>15</v>
      </c>
      <c r="BM66" s="52">
        <v>480.6</v>
      </c>
      <c r="BN66" s="52">
        <v>337.2</v>
      </c>
      <c r="BO66" s="52"/>
      <c r="BP66" s="52"/>
      <c r="BQ66" s="52">
        <v>143.5</v>
      </c>
      <c r="BR66" s="52">
        <v>7.7</v>
      </c>
      <c r="BS66" s="53">
        <v>488.4</v>
      </c>
      <c r="BT66" s="52">
        <v>81</v>
      </c>
      <c r="BU66" s="52">
        <v>33.700000000000003</v>
      </c>
      <c r="BV66" s="50">
        <v>337.2</v>
      </c>
      <c r="BW66" s="50">
        <v>143.5</v>
      </c>
      <c r="BX66" s="49">
        <v>488.4</v>
      </c>
      <c r="BY66" s="50">
        <v>62.4</v>
      </c>
      <c r="BZ66" s="50">
        <v>11.5</v>
      </c>
      <c r="CA66" s="49">
        <v>73.900000000000006</v>
      </c>
      <c r="CB66" s="52"/>
      <c r="CC66" s="52"/>
      <c r="CD66" s="52"/>
      <c r="CE66" s="52"/>
      <c r="CF66" s="52">
        <v>95.2</v>
      </c>
      <c r="CG66" s="52">
        <v>108.7</v>
      </c>
      <c r="CH66" s="52">
        <v>13.6</v>
      </c>
      <c r="CI66" s="52"/>
      <c r="CJ66" s="52"/>
      <c r="CK66" s="52"/>
      <c r="CL66" s="52"/>
      <c r="CM66" s="52"/>
      <c r="CN66" s="52">
        <v>42.7</v>
      </c>
      <c r="CO66" s="52">
        <v>127.9</v>
      </c>
      <c r="CP66" s="52">
        <v>96.4</v>
      </c>
      <c r="CQ66" s="52">
        <v>31.5</v>
      </c>
      <c r="CR66" s="52">
        <v>13.6</v>
      </c>
      <c r="CS66" s="52">
        <v>38.299999999999997</v>
      </c>
      <c r="CT66" s="52">
        <v>25.9</v>
      </c>
      <c r="CU66" s="52">
        <v>12.4</v>
      </c>
      <c r="CV66" s="52">
        <v>63.5</v>
      </c>
      <c r="CW66" s="52">
        <v>19.8</v>
      </c>
      <c r="CX66" s="52">
        <v>43.7</v>
      </c>
      <c r="CY66" s="52" t="s">
        <v>264</v>
      </c>
      <c r="CZ66" s="52">
        <v>29.2</v>
      </c>
      <c r="DA66" s="52">
        <v>29.3</v>
      </c>
      <c r="DB66" s="52">
        <v>25.5</v>
      </c>
      <c r="DC66" s="52">
        <v>3.8</v>
      </c>
      <c r="DD66" s="52"/>
      <c r="DE66" s="52"/>
      <c r="DF66" s="53"/>
      <c r="DG66" s="53">
        <v>143.19999999999999</v>
      </c>
      <c r="DH66" s="53">
        <v>121.3</v>
      </c>
      <c r="DI66" s="53">
        <v>586.79999999999995</v>
      </c>
      <c r="DJ66" s="53"/>
      <c r="DK66" s="53">
        <v>393.4</v>
      </c>
      <c r="DL66" s="53">
        <v>91.4</v>
      </c>
      <c r="DM66" s="53">
        <v>185.2</v>
      </c>
      <c r="DN66" s="53"/>
      <c r="DO66" s="53">
        <v>156.19999999999999</v>
      </c>
      <c r="DP66" s="53"/>
      <c r="DQ66" s="53">
        <v>83.3</v>
      </c>
      <c r="DR66" s="53"/>
      <c r="DS66" s="53">
        <v>1074.9000000000001</v>
      </c>
      <c r="DT66" s="53">
        <v>2835.7</v>
      </c>
      <c r="DU66" s="53">
        <v>-264.5</v>
      </c>
      <c r="DV66" s="53">
        <v>9.9999999999909051E-2</v>
      </c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2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17"/>
      <c r="GZ66" s="52">
        <v>838.7</v>
      </c>
      <c r="HA66" s="52"/>
      <c r="HB66" s="17"/>
      <c r="HC66" s="17"/>
      <c r="HD66" s="17"/>
      <c r="HE66" s="17"/>
      <c r="HF66" s="52"/>
      <c r="HG66" s="52"/>
      <c r="HH66" s="52"/>
      <c r="HI66" s="52"/>
      <c r="HJ66" s="52"/>
      <c r="HK66" s="52"/>
      <c r="HL66" s="52"/>
      <c r="HM66" s="52"/>
      <c r="HN66" s="52"/>
      <c r="HO66" s="52"/>
      <c r="HP66" s="52"/>
      <c r="HQ66" s="52"/>
      <c r="HR66" s="52"/>
      <c r="HS66" s="52"/>
      <c r="HT66" s="52"/>
      <c r="HU66" s="52"/>
      <c r="HV66" s="52"/>
      <c r="HW66" s="52"/>
      <c r="HX66" s="52"/>
      <c r="HY66" s="52"/>
      <c r="HZ66" s="52"/>
      <c r="IA66" s="52"/>
      <c r="IB66" s="52"/>
      <c r="IC66" s="52"/>
      <c r="ID66" s="52"/>
      <c r="IE66" s="52"/>
      <c r="IF66" s="52"/>
      <c r="IG66" s="52"/>
      <c r="IH66" s="53"/>
      <c r="II66" s="53"/>
      <c r="IJ66" s="53"/>
      <c r="IK66" s="53"/>
      <c r="IL66" s="53"/>
      <c r="IM66" s="52"/>
      <c r="IN66" s="52">
        <v>135.80000000000001</v>
      </c>
      <c r="IY66" s="48">
        <f t="shared" si="2"/>
        <v>47.10960643250106</v>
      </c>
      <c r="IZ66" s="48">
        <f>IY66-'NOPA Crush'!J66</f>
        <v>9.6064325010587481E-3</v>
      </c>
      <c r="JB66" s="63">
        <f t="shared" ref="JB66:JB129" si="3">K66/(B66/30)</f>
        <v>10.869657215404148</v>
      </c>
      <c r="JC66" s="64">
        <f>JB66-'NOPA Crush'!O66</f>
        <v>6.9657215404147266E-2</v>
      </c>
      <c r="JD66" s="65"/>
      <c r="JE66" s="67">
        <f t="shared" si="1"/>
        <v>883.5</v>
      </c>
      <c r="JF66" s="68">
        <f>'NOPA Crush'!Q66/'Census Crush'!JE66</f>
        <v>0.29077532541029993</v>
      </c>
    </row>
    <row r="67" spans="1:266">
      <c r="A67" s="39">
        <v>31079</v>
      </c>
      <c r="B67" s="49">
        <v>2423.8000000000002</v>
      </c>
      <c r="C67" s="50">
        <v>1974.8</v>
      </c>
      <c r="D67" s="50">
        <v>394.5</v>
      </c>
      <c r="E67" s="50">
        <v>1701.3</v>
      </c>
      <c r="F67" s="50">
        <v>17</v>
      </c>
      <c r="G67" s="50">
        <v>60.9</v>
      </c>
      <c r="H67" s="50" t="s">
        <v>264</v>
      </c>
      <c r="I67" s="50" t="s">
        <v>264</v>
      </c>
      <c r="J67" s="50" t="s">
        <v>264</v>
      </c>
      <c r="K67" s="49">
        <v>879</v>
      </c>
      <c r="L67" s="49">
        <v>724.8</v>
      </c>
      <c r="M67" s="49">
        <v>444.9</v>
      </c>
      <c r="N67" s="49">
        <v>279.89999999999998</v>
      </c>
      <c r="O67" s="50">
        <v>124.3</v>
      </c>
      <c r="P67" s="51">
        <v>98.6</v>
      </c>
      <c r="Q67" s="49">
        <v>44.9</v>
      </c>
      <c r="R67" s="49">
        <v>53.7</v>
      </c>
      <c r="S67" s="49"/>
      <c r="T67" s="49">
        <v>13.9</v>
      </c>
      <c r="U67" s="51">
        <v>9.6</v>
      </c>
      <c r="V67" s="49">
        <v>6.7</v>
      </c>
      <c r="W67" s="49">
        <v>2.9</v>
      </c>
      <c r="X67" s="49">
        <v>46.2</v>
      </c>
      <c r="Y67" s="49">
        <v>7.9</v>
      </c>
      <c r="Z67" s="49">
        <v>37.5</v>
      </c>
      <c r="AA67" s="49">
        <v>28.2</v>
      </c>
      <c r="AB67" s="49">
        <v>9.3000000000000007</v>
      </c>
      <c r="AC67" s="49" t="s">
        <v>264</v>
      </c>
      <c r="AD67" s="49" t="s">
        <v>264</v>
      </c>
      <c r="AE67" s="49"/>
      <c r="AF67" s="51"/>
      <c r="AG67" s="50" t="s">
        <v>264</v>
      </c>
      <c r="AH67" s="50" t="s">
        <v>264</v>
      </c>
      <c r="AI67" s="49">
        <v>84.2</v>
      </c>
      <c r="AJ67" s="49"/>
      <c r="AK67" s="49"/>
      <c r="AL67" s="51">
        <v>78.400000000000006</v>
      </c>
      <c r="AM67" s="49">
        <v>35.4</v>
      </c>
      <c r="AN67" s="49">
        <v>43</v>
      </c>
      <c r="AO67" s="49">
        <v>1810.8</v>
      </c>
      <c r="AP67" s="49">
        <v>302.5</v>
      </c>
      <c r="AQ67" s="49">
        <v>76.5</v>
      </c>
      <c r="AR67" s="49">
        <v>31.6</v>
      </c>
      <c r="AS67" s="50">
        <v>180.4</v>
      </c>
      <c r="AT67" s="50">
        <v>110.3</v>
      </c>
      <c r="AU67" s="50">
        <v>100.8</v>
      </c>
      <c r="AV67" s="50">
        <v>50.3</v>
      </c>
      <c r="AW67" s="50">
        <v>9.8000000000000007</v>
      </c>
      <c r="AX67" s="50">
        <v>6.7</v>
      </c>
      <c r="AY67" s="50">
        <v>32.700000000000003</v>
      </c>
      <c r="AZ67" s="50">
        <v>10.4</v>
      </c>
      <c r="BA67" s="50" t="s">
        <v>264</v>
      </c>
      <c r="BB67" s="50" t="s">
        <v>264</v>
      </c>
      <c r="BC67" s="50"/>
      <c r="BD67" s="52">
        <v>105.6</v>
      </c>
      <c r="BE67" s="52">
        <v>46.2</v>
      </c>
      <c r="BF67" s="52"/>
      <c r="BG67" s="52"/>
      <c r="BH67" s="52">
        <v>285.8</v>
      </c>
      <c r="BI67" s="52"/>
      <c r="BJ67" s="52"/>
      <c r="BK67" s="52">
        <v>122.1</v>
      </c>
      <c r="BL67" s="52">
        <v>14.7</v>
      </c>
      <c r="BM67" s="52">
        <v>422.6</v>
      </c>
      <c r="BN67" s="52">
        <v>221.7</v>
      </c>
      <c r="BO67" s="52"/>
      <c r="BP67" s="52"/>
      <c r="BQ67" s="52">
        <v>54.1</v>
      </c>
      <c r="BR67" s="52">
        <v>3.1</v>
      </c>
      <c r="BS67" s="53">
        <v>278.90000000000003</v>
      </c>
      <c r="BT67" s="52">
        <v>70</v>
      </c>
      <c r="BU67" s="52">
        <v>36.6</v>
      </c>
      <c r="BV67" s="50">
        <v>311.8</v>
      </c>
      <c r="BW67" s="50">
        <v>118.9</v>
      </c>
      <c r="BX67" s="49">
        <v>438.2</v>
      </c>
      <c r="BY67" s="50">
        <v>74.5</v>
      </c>
      <c r="BZ67" s="50">
        <v>12.9</v>
      </c>
      <c r="CA67" s="49">
        <v>87.4</v>
      </c>
      <c r="CB67" s="52"/>
      <c r="CC67" s="52"/>
      <c r="CD67" s="52"/>
      <c r="CE67" s="52"/>
      <c r="CF67" s="52">
        <v>104</v>
      </c>
      <c r="CG67" s="52">
        <v>117</v>
      </c>
      <c r="CH67" s="52">
        <v>17.7</v>
      </c>
      <c r="CI67" s="52"/>
      <c r="CJ67" s="52"/>
      <c r="CK67" s="52"/>
      <c r="CL67" s="52"/>
      <c r="CM67" s="52"/>
      <c r="CN67" s="52">
        <v>42</v>
      </c>
      <c r="CO67" s="52">
        <v>91.9</v>
      </c>
      <c r="CP67" s="52">
        <v>63.9</v>
      </c>
      <c r="CQ67" s="52">
        <v>28</v>
      </c>
      <c r="CR67" s="52">
        <v>14.7</v>
      </c>
      <c r="CS67" s="52">
        <v>34.1</v>
      </c>
      <c r="CT67" s="52">
        <v>23.5</v>
      </c>
      <c r="CU67" s="52">
        <v>10.6</v>
      </c>
      <c r="CV67" s="52">
        <v>60.2</v>
      </c>
      <c r="CW67" s="52">
        <v>10.8</v>
      </c>
      <c r="CX67" s="52">
        <v>49.4</v>
      </c>
      <c r="CY67" s="52" t="s">
        <v>264</v>
      </c>
      <c r="CZ67" s="52">
        <v>29</v>
      </c>
      <c r="DA67" s="8">
        <v>23.3</v>
      </c>
      <c r="DB67" s="52" t="s">
        <v>264</v>
      </c>
      <c r="DC67" s="52" t="s">
        <v>264</v>
      </c>
      <c r="DD67" s="52"/>
      <c r="DE67" s="52"/>
      <c r="DF67" s="53"/>
      <c r="DG67" s="53">
        <v>122.5</v>
      </c>
      <c r="DH67" s="53">
        <v>106.1</v>
      </c>
      <c r="DI67" s="53">
        <v>475</v>
      </c>
      <c r="DJ67" s="53"/>
      <c r="DK67" s="53">
        <v>342.3</v>
      </c>
      <c r="DL67" s="53"/>
      <c r="DM67" s="53">
        <v>172.8</v>
      </c>
      <c r="DN67" s="53"/>
      <c r="DO67" s="53">
        <v>133.1</v>
      </c>
      <c r="DP67" s="53"/>
      <c r="DQ67" s="53">
        <v>75.5</v>
      </c>
      <c r="DR67" s="53"/>
      <c r="DS67" s="53">
        <v>996.5</v>
      </c>
      <c r="DT67" s="53">
        <v>2423.8000000000002</v>
      </c>
      <c r="DU67" s="53">
        <v>-228.60000000000036</v>
      </c>
      <c r="DV67" s="53">
        <v>0</v>
      </c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17"/>
      <c r="GZ67" s="52">
        <v>796.1</v>
      </c>
      <c r="HA67" s="52"/>
      <c r="HB67" s="17"/>
      <c r="HC67" s="17"/>
      <c r="HD67" s="17"/>
      <c r="HE67" s="17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52"/>
      <c r="HU67" s="52"/>
      <c r="HV67" s="52"/>
      <c r="HW67" s="52"/>
      <c r="HX67" s="52"/>
      <c r="HY67" s="52"/>
      <c r="HZ67" s="52"/>
      <c r="IA67" s="52"/>
      <c r="IB67" s="52"/>
      <c r="IC67" s="52"/>
      <c r="ID67" s="52"/>
      <c r="IE67" s="52"/>
      <c r="IF67" s="52"/>
      <c r="IG67" s="52"/>
      <c r="IH67" s="53"/>
      <c r="II67" s="53"/>
      <c r="IJ67" s="53"/>
      <c r="IK67" s="53"/>
      <c r="IL67" s="53"/>
      <c r="IM67" s="52"/>
      <c r="IN67" s="52">
        <v>122.2</v>
      </c>
      <c r="IY67" s="48">
        <f t="shared" si="2"/>
        <v>46.719201254228892</v>
      </c>
      <c r="IZ67" s="48">
        <f>IY67-'NOPA Crush'!J67</f>
        <v>-0.18079874577110644</v>
      </c>
      <c r="JB67" s="63">
        <f t="shared" si="3"/>
        <v>10.879610528921528</v>
      </c>
      <c r="JC67" s="64">
        <f>JB67-'NOPA Crush'!O67</f>
        <v>-2.0389471078471999E-2</v>
      </c>
      <c r="JD67" s="65"/>
      <c r="JE67" s="67">
        <f t="shared" ref="JE67:JE130" si="4">L67</f>
        <v>724.8</v>
      </c>
      <c r="JF67" s="68">
        <f>'NOPA Crush'!Q67/'Census Crush'!JE67</f>
        <v>0.23427152317880798</v>
      </c>
    </row>
    <row r="68" spans="1:266">
      <c r="A68" s="39">
        <v>31107</v>
      </c>
      <c r="B68" s="49">
        <v>2569.1</v>
      </c>
      <c r="C68" s="50">
        <v>2091.6999999999998</v>
      </c>
      <c r="D68" s="50">
        <v>395.3</v>
      </c>
      <c r="E68" s="50">
        <v>1356.5</v>
      </c>
      <c r="F68" s="50">
        <v>19</v>
      </c>
      <c r="G68" s="50">
        <v>43.1</v>
      </c>
      <c r="H68" s="50" t="s">
        <v>264</v>
      </c>
      <c r="I68" s="50" t="s">
        <v>264</v>
      </c>
      <c r="J68" s="50" t="s">
        <v>264</v>
      </c>
      <c r="K68" s="49">
        <v>946</v>
      </c>
      <c r="L68" s="49">
        <v>715.6</v>
      </c>
      <c r="M68" s="49">
        <v>425.6</v>
      </c>
      <c r="N68" s="49">
        <v>290</v>
      </c>
      <c r="O68" s="50">
        <v>123.3</v>
      </c>
      <c r="P68" s="51">
        <v>114.2</v>
      </c>
      <c r="Q68" s="49">
        <v>54.5</v>
      </c>
      <c r="R68" s="49">
        <v>59.7</v>
      </c>
      <c r="S68" s="49"/>
      <c r="T68" s="49">
        <v>15.8</v>
      </c>
      <c r="U68" s="51">
        <v>9.6999999999999993</v>
      </c>
      <c r="V68" s="49">
        <v>5.6</v>
      </c>
      <c r="W68" s="49">
        <v>4.0999999999999996</v>
      </c>
      <c r="X68" s="49">
        <v>34.200000000000003</v>
      </c>
      <c r="Y68" s="50" t="s">
        <v>264</v>
      </c>
      <c r="Z68" s="9">
        <v>46.7</v>
      </c>
      <c r="AA68" s="50" t="s">
        <v>264</v>
      </c>
      <c r="AB68" s="50" t="s">
        <v>264</v>
      </c>
      <c r="AC68" s="50" t="s">
        <v>264</v>
      </c>
      <c r="AD68" s="50" t="s">
        <v>264</v>
      </c>
      <c r="AE68" s="50"/>
      <c r="AF68" s="51"/>
      <c r="AG68" s="50" t="s">
        <v>264</v>
      </c>
      <c r="AH68" s="50" t="s">
        <v>264</v>
      </c>
      <c r="AI68" s="49">
        <v>107.3</v>
      </c>
      <c r="AJ68" s="49"/>
      <c r="AK68" s="49"/>
      <c r="AL68" s="51">
        <v>74.099999999999994</v>
      </c>
      <c r="AM68" s="49">
        <v>40.200000000000003</v>
      </c>
      <c r="AN68" s="49">
        <v>33.9</v>
      </c>
      <c r="AO68" s="49">
        <v>1935.1</v>
      </c>
      <c r="AP68" s="49">
        <v>406.4</v>
      </c>
      <c r="AQ68" s="49">
        <v>88.5</v>
      </c>
      <c r="AR68" s="49">
        <v>38.200000000000003</v>
      </c>
      <c r="AS68" s="50">
        <v>181.6</v>
      </c>
      <c r="AT68" s="50">
        <v>139.80000000000001</v>
      </c>
      <c r="AU68" s="50">
        <v>109.7</v>
      </c>
      <c r="AV68" s="50">
        <v>57.5</v>
      </c>
      <c r="AW68" s="50">
        <v>11.2</v>
      </c>
      <c r="AX68" s="50" t="s">
        <v>264</v>
      </c>
      <c r="AY68" s="50">
        <v>24.8</v>
      </c>
      <c r="AZ68" s="50">
        <v>6.7</v>
      </c>
      <c r="BA68" s="50" t="s">
        <v>264</v>
      </c>
      <c r="BB68" s="50" t="s">
        <v>264</v>
      </c>
      <c r="BC68" s="50"/>
      <c r="BD68" s="52">
        <v>140</v>
      </c>
      <c r="BE68" s="52">
        <v>52.2</v>
      </c>
      <c r="BF68" s="52"/>
      <c r="BG68" s="52"/>
      <c r="BH68" s="52">
        <v>321.60000000000002</v>
      </c>
      <c r="BI68" s="52"/>
      <c r="BJ68" s="52"/>
      <c r="BK68" s="52">
        <v>134.9</v>
      </c>
      <c r="BL68" s="52">
        <v>13.6</v>
      </c>
      <c r="BM68" s="52">
        <v>470</v>
      </c>
      <c r="BN68" s="52">
        <v>277.3</v>
      </c>
      <c r="BO68" s="52"/>
      <c r="BP68" s="52"/>
      <c r="BQ68" s="52">
        <v>59.7</v>
      </c>
      <c r="BR68" s="52">
        <v>3.5</v>
      </c>
      <c r="BS68" s="53">
        <v>340.5</v>
      </c>
      <c r="BT68" s="52">
        <v>78</v>
      </c>
      <c r="BU68" s="52">
        <v>37.1</v>
      </c>
      <c r="BV68" s="50">
        <v>325.60000000000002</v>
      </c>
      <c r="BW68" s="50">
        <v>134.4</v>
      </c>
      <c r="BX68" s="49">
        <v>467.7</v>
      </c>
      <c r="BY68" s="50">
        <v>77</v>
      </c>
      <c r="BZ68" s="50">
        <v>13.9</v>
      </c>
      <c r="CA68" s="49">
        <v>90.9</v>
      </c>
      <c r="CB68" s="52"/>
      <c r="CC68" s="52"/>
      <c r="CD68" s="52"/>
      <c r="CE68" s="52"/>
      <c r="CF68" s="52">
        <v>121.4</v>
      </c>
      <c r="CG68" s="52">
        <v>117.3</v>
      </c>
      <c r="CH68" s="52">
        <v>18.3</v>
      </c>
      <c r="CI68" s="52"/>
      <c r="CJ68" s="52"/>
      <c r="CK68" s="52"/>
      <c r="CL68" s="52"/>
      <c r="CM68" s="52"/>
      <c r="CN68" s="52">
        <v>46</v>
      </c>
      <c r="CO68" s="52">
        <v>81.3</v>
      </c>
      <c r="CP68" s="52">
        <v>54.5</v>
      </c>
      <c r="CQ68" s="52">
        <v>26.8</v>
      </c>
      <c r="CR68" s="52" t="s">
        <v>264</v>
      </c>
      <c r="CS68" s="52">
        <v>30.099999999999998</v>
      </c>
      <c r="CT68" s="52">
        <v>19.399999999999999</v>
      </c>
      <c r="CU68" s="52">
        <v>10.7</v>
      </c>
      <c r="CV68" s="52">
        <v>56.099999999999994</v>
      </c>
      <c r="CW68" s="52">
        <v>19.8</v>
      </c>
      <c r="CX68" s="52">
        <v>36.299999999999997</v>
      </c>
      <c r="CY68" s="52" t="s">
        <v>264</v>
      </c>
      <c r="CZ68" s="52">
        <v>33.4</v>
      </c>
      <c r="DA68" s="8">
        <v>18.100000000000001</v>
      </c>
      <c r="DB68" s="52" t="s">
        <v>264</v>
      </c>
      <c r="DC68" s="52" t="s">
        <v>264</v>
      </c>
      <c r="DD68" s="52"/>
      <c r="DE68" s="52"/>
      <c r="DF68" s="53"/>
      <c r="DG68" s="53">
        <v>112.9</v>
      </c>
      <c r="DH68" s="53">
        <v>121.4</v>
      </c>
      <c r="DI68" s="53">
        <v>547.20000000000005</v>
      </c>
      <c r="DJ68" s="53"/>
      <c r="DK68" s="53">
        <v>369.5</v>
      </c>
      <c r="DL68" s="53"/>
      <c r="DM68" s="53">
        <v>183.5</v>
      </c>
      <c r="DN68" s="53"/>
      <c r="DO68" s="53">
        <v>126.9</v>
      </c>
      <c r="DP68" s="53"/>
      <c r="DQ68" s="53">
        <v>71.099999999999994</v>
      </c>
      <c r="DR68" s="53"/>
      <c r="DS68" s="53">
        <v>1036.5999999999999</v>
      </c>
      <c r="DT68" s="53">
        <v>2569.1</v>
      </c>
      <c r="DU68" s="53">
        <v>-234.29999999999973</v>
      </c>
      <c r="DV68" s="53">
        <v>0</v>
      </c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2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17"/>
      <c r="GZ68" s="52">
        <v>835.5</v>
      </c>
      <c r="HA68" s="52"/>
      <c r="HB68" s="17"/>
      <c r="HC68" s="17"/>
      <c r="HD68" s="17"/>
      <c r="HE68" s="17"/>
      <c r="HF68" s="52"/>
      <c r="HG68" s="52"/>
      <c r="HH68" s="52"/>
      <c r="HI68" s="52"/>
      <c r="HJ68" s="52"/>
      <c r="HK68" s="52"/>
      <c r="HL68" s="52"/>
      <c r="HM68" s="52"/>
      <c r="HN68" s="52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3"/>
      <c r="II68" s="53"/>
      <c r="IJ68" s="53"/>
      <c r="IK68" s="53"/>
      <c r="IL68" s="53"/>
      <c r="IM68" s="52"/>
      <c r="IN68" s="52">
        <v>101.9</v>
      </c>
      <c r="IY68" s="48">
        <f t="shared" ref="IY68:IY131" si="5">((AO68+AQ68)*2)/(B68/30)</f>
        <v>47.260130006617096</v>
      </c>
      <c r="IZ68" s="48">
        <f>IY68-'NOPA Crush'!J68</f>
        <v>0.16013000661709498</v>
      </c>
      <c r="JB68" s="63">
        <f t="shared" si="3"/>
        <v>11.046670040091861</v>
      </c>
      <c r="JC68" s="64">
        <f>JB68-'NOPA Crush'!O68</f>
        <v>-5.3329959908138491E-2</v>
      </c>
      <c r="JD68" s="65"/>
      <c r="JE68" s="67">
        <f t="shared" si="4"/>
        <v>715.6</v>
      </c>
      <c r="JF68" s="68">
        <f>'NOPA Crush'!Q68/'Census Crush'!JE68</f>
        <v>0.27571268865287873</v>
      </c>
    </row>
    <row r="69" spans="1:266">
      <c r="A69" s="39">
        <v>31138</v>
      </c>
      <c r="B69" s="49">
        <v>2497.4</v>
      </c>
      <c r="C69" s="50">
        <v>1955.3</v>
      </c>
      <c r="D69" s="50">
        <v>316.10000000000002</v>
      </c>
      <c r="E69" s="50">
        <v>1064.0999999999999</v>
      </c>
      <c r="F69" s="50">
        <v>18.8</v>
      </c>
      <c r="G69" s="50">
        <v>62.3</v>
      </c>
      <c r="H69" s="50" t="s">
        <v>264</v>
      </c>
      <c r="I69" s="50" t="s">
        <v>264</v>
      </c>
      <c r="J69" s="50" t="s">
        <v>264</v>
      </c>
      <c r="K69" s="49">
        <v>917.6</v>
      </c>
      <c r="L69" s="49">
        <v>665.90000000000009</v>
      </c>
      <c r="M69" s="49">
        <v>348.6</v>
      </c>
      <c r="N69" s="49">
        <v>317.3</v>
      </c>
      <c r="O69" s="50">
        <v>96.3</v>
      </c>
      <c r="P69" s="51">
        <v>114.7</v>
      </c>
      <c r="Q69" s="49">
        <v>43</v>
      </c>
      <c r="R69" s="49">
        <v>71.7</v>
      </c>
      <c r="S69" s="49"/>
      <c r="T69" s="49">
        <v>15.5</v>
      </c>
      <c r="U69" s="51">
        <v>11.4</v>
      </c>
      <c r="V69" s="49">
        <v>8.4</v>
      </c>
      <c r="W69" s="49">
        <v>3</v>
      </c>
      <c r="X69" s="49">
        <v>45.9</v>
      </c>
      <c r="Y69" s="49">
        <v>6.3</v>
      </c>
      <c r="Z69" s="9">
        <v>61.1</v>
      </c>
      <c r="AA69" s="50" t="s">
        <v>264</v>
      </c>
      <c r="AB69" s="50" t="s">
        <v>264</v>
      </c>
      <c r="AC69" s="50" t="s">
        <v>264</v>
      </c>
      <c r="AD69" s="50" t="s">
        <v>264</v>
      </c>
      <c r="AE69" s="50"/>
      <c r="AF69" s="51"/>
      <c r="AG69" s="50" t="s">
        <v>264</v>
      </c>
      <c r="AH69" s="50" t="s">
        <v>264</v>
      </c>
      <c r="AI69" s="49">
        <v>107</v>
      </c>
      <c r="AJ69" s="49"/>
      <c r="AK69" s="49"/>
      <c r="AL69" s="51">
        <v>73</v>
      </c>
      <c r="AM69" s="49">
        <v>35.9</v>
      </c>
      <c r="AN69" s="49">
        <v>37.1</v>
      </c>
      <c r="AO69" s="49">
        <v>1876.6</v>
      </c>
      <c r="AP69" s="49">
        <v>402.7</v>
      </c>
      <c r="AQ69" s="49">
        <v>81.599999999999994</v>
      </c>
      <c r="AR69" s="49">
        <v>27.1</v>
      </c>
      <c r="AS69" s="50">
        <v>145</v>
      </c>
      <c r="AT69" s="50">
        <v>157.69999999999999</v>
      </c>
      <c r="AU69" s="50">
        <v>84.5</v>
      </c>
      <c r="AV69" s="50">
        <v>53.3</v>
      </c>
      <c r="AW69" s="50">
        <v>10.7</v>
      </c>
      <c r="AX69" s="50">
        <v>9.8000000000000007</v>
      </c>
      <c r="AY69" s="50">
        <v>32</v>
      </c>
      <c r="AZ69" s="50">
        <v>8.1999999999999993</v>
      </c>
      <c r="BA69" s="50" t="s">
        <v>264</v>
      </c>
      <c r="BB69" s="50" t="s">
        <v>264</v>
      </c>
      <c r="BC69" s="50"/>
      <c r="BD69" s="52">
        <v>141.5</v>
      </c>
      <c r="BE69" s="52">
        <v>61.7</v>
      </c>
      <c r="BF69" s="52"/>
      <c r="BG69" s="52"/>
      <c r="BH69" s="52">
        <v>318.89999999999998</v>
      </c>
      <c r="BI69" s="52"/>
      <c r="BJ69" s="52"/>
      <c r="BK69" s="52">
        <v>144</v>
      </c>
      <c r="BL69" s="52">
        <v>13.9</v>
      </c>
      <c r="BM69" s="52">
        <v>476.8</v>
      </c>
      <c r="BN69" s="52">
        <v>275.3</v>
      </c>
      <c r="BO69" s="52"/>
      <c r="BP69" s="52"/>
      <c r="BQ69" s="52">
        <v>64.099999999999994</v>
      </c>
      <c r="BR69" s="52">
        <v>4.0999999999999996</v>
      </c>
      <c r="BS69" s="53">
        <v>343.5</v>
      </c>
      <c r="BT69" s="52">
        <v>81</v>
      </c>
      <c r="BU69" s="52">
        <v>42</v>
      </c>
      <c r="BV69" s="50">
        <v>336.6</v>
      </c>
      <c r="BW69" s="50">
        <v>130.1</v>
      </c>
      <c r="BX69" s="49">
        <v>474.5</v>
      </c>
      <c r="BY69" s="50">
        <v>88</v>
      </c>
      <c r="BZ69" s="50">
        <v>13.8</v>
      </c>
      <c r="CA69" s="49">
        <v>101.8</v>
      </c>
      <c r="CB69" s="52"/>
      <c r="CC69" s="52"/>
      <c r="CD69" s="52"/>
      <c r="CE69" s="52"/>
      <c r="CF69" s="52">
        <v>116.4</v>
      </c>
      <c r="CG69" s="52">
        <v>126.4</v>
      </c>
      <c r="CH69" s="52">
        <v>21.9</v>
      </c>
      <c r="CI69" s="52"/>
      <c r="CJ69" s="52"/>
      <c r="CK69" s="52"/>
      <c r="CL69" s="52"/>
      <c r="CM69" s="52"/>
      <c r="CN69" s="52">
        <v>42.7</v>
      </c>
      <c r="CO69" s="52">
        <v>74.900000000000006</v>
      </c>
      <c r="CP69" s="52">
        <v>50.8</v>
      </c>
      <c r="CQ69" s="52">
        <v>24.1</v>
      </c>
      <c r="CR69" s="52">
        <v>21.2</v>
      </c>
      <c r="CS69" s="52">
        <v>35.1</v>
      </c>
      <c r="CT69" s="52">
        <v>25.6</v>
      </c>
      <c r="CU69" s="52">
        <v>9.5</v>
      </c>
      <c r="CV69" s="52">
        <v>51.5</v>
      </c>
      <c r="CW69" s="52">
        <v>12.4</v>
      </c>
      <c r="CX69" s="52">
        <v>39.1</v>
      </c>
      <c r="CY69" s="52" t="s">
        <v>264</v>
      </c>
      <c r="CZ69" s="52">
        <v>33.6</v>
      </c>
      <c r="DA69" s="52">
        <v>20.9</v>
      </c>
      <c r="DB69" s="52">
        <v>19.399999999999999</v>
      </c>
      <c r="DC69" s="52">
        <v>1.5</v>
      </c>
      <c r="DD69" s="52"/>
      <c r="DE69" s="52"/>
      <c r="DF69" s="53"/>
      <c r="DG69" s="53">
        <v>116.5</v>
      </c>
      <c r="DH69" s="53">
        <v>82</v>
      </c>
      <c r="DI69" s="53">
        <v>510.8</v>
      </c>
      <c r="DJ69" s="53"/>
      <c r="DK69" s="53">
        <v>366.1</v>
      </c>
      <c r="DL69" s="53"/>
      <c r="DM69" s="53">
        <v>181.6</v>
      </c>
      <c r="DN69" s="53"/>
      <c r="DO69" s="53">
        <v>98.2</v>
      </c>
      <c r="DP69" s="53"/>
      <c r="DQ69" s="53">
        <v>76.7</v>
      </c>
      <c r="DR69" s="53"/>
      <c r="DS69" s="53">
        <v>1065.5</v>
      </c>
      <c r="DT69" s="53">
        <v>2497.4</v>
      </c>
      <c r="DU69" s="53">
        <v>-198.5</v>
      </c>
      <c r="DV69" s="53">
        <v>0</v>
      </c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17"/>
      <c r="GZ69" s="52">
        <v>865</v>
      </c>
      <c r="HA69" s="52"/>
      <c r="HB69" s="17"/>
      <c r="HC69" s="17"/>
      <c r="HD69" s="17"/>
      <c r="HE69" s="17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3"/>
      <c r="II69" s="53"/>
      <c r="IJ69" s="53"/>
      <c r="IK69" s="53"/>
      <c r="IL69" s="53"/>
      <c r="IM69" s="52"/>
      <c r="IN69" s="52">
        <v>93.3</v>
      </c>
      <c r="IY69" s="48">
        <f t="shared" si="5"/>
        <v>47.045727556658917</v>
      </c>
      <c r="IZ69" s="48">
        <f>IY69-'NOPA Crush'!J69</f>
        <v>-5.4272443341083942E-2</v>
      </c>
      <c r="JB69" s="63">
        <f t="shared" si="3"/>
        <v>11.022663570112917</v>
      </c>
      <c r="JC69" s="64">
        <f>JB69-'NOPA Crush'!O69</f>
        <v>-7.7336429887083113E-2</v>
      </c>
      <c r="JD69" s="65"/>
      <c r="JE69" s="67">
        <f t="shared" si="4"/>
        <v>665.90000000000009</v>
      </c>
      <c r="JF69" s="68">
        <f>'NOPA Crush'!Q69/'Census Crush'!JE69</f>
        <v>0.25153927016068478</v>
      </c>
    </row>
    <row r="70" spans="1:266">
      <c r="A70" s="39">
        <v>31168</v>
      </c>
      <c r="B70" s="49">
        <v>2679.6</v>
      </c>
      <c r="C70" s="50">
        <v>1601.9</v>
      </c>
      <c r="D70" s="50">
        <v>279.5</v>
      </c>
      <c r="E70" s="50">
        <v>785</v>
      </c>
      <c r="F70" s="50">
        <v>16.7</v>
      </c>
      <c r="G70" s="50">
        <v>46.3</v>
      </c>
      <c r="H70" s="50">
        <v>11</v>
      </c>
      <c r="I70" s="50" t="s">
        <v>264</v>
      </c>
      <c r="J70" s="50" t="s">
        <v>264</v>
      </c>
      <c r="K70" s="49">
        <v>983.3</v>
      </c>
      <c r="L70" s="49">
        <v>706.7</v>
      </c>
      <c r="M70" s="49">
        <v>414.5</v>
      </c>
      <c r="N70" s="49">
        <v>292.2</v>
      </c>
      <c r="O70" s="50">
        <v>87</v>
      </c>
      <c r="P70" s="51">
        <v>107.7</v>
      </c>
      <c r="Q70" s="49">
        <v>39.700000000000003</v>
      </c>
      <c r="R70" s="49">
        <v>68</v>
      </c>
      <c r="S70" s="49"/>
      <c r="T70" s="49">
        <v>14.5</v>
      </c>
      <c r="U70" s="51">
        <v>17.5</v>
      </c>
      <c r="V70" s="49">
        <v>12.2</v>
      </c>
      <c r="W70" s="49">
        <v>5.3</v>
      </c>
      <c r="X70" s="49">
        <v>34.9</v>
      </c>
      <c r="Y70" s="49">
        <v>11</v>
      </c>
      <c r="Z70" s="9">
        <v>57</v>
      </c>
      <c r="AA70" s="50" t="s">
        <v>264</v>
      </c>
      <c r="AB70" s="50" t="s">
        <v>264</v>
      </c>
      <c r="AC70" s="50" t="s">
        <v>264</v>
      </c>
      <c r="AD70" s="50" t="s">
        <v>264</v>
      </c>
      <c r="AE70" s="50"/>
      <c r="AF70" s="51"/>
      <c r="AG70" s="50" t="s">
        <v>264</v>
      </c>
      <c r="AH70" s="50" t="s">
        <v>264</v>
      </c>
      <c r="AI70" s="49">
        <v>110.1</v>
      </c>
      <c r="AJ70" s="49"/>
      <c r="AK70" s="49"/>
      <c r="AL70" s="51">
        <v>78.699999999999989</v>
      </c>
      <c r="AM70" s="49">
        <v>31.9</v>
      </c>
      <c r="AN70" s="49">
        <v>46.8</v>
      </c>
      <c r="AO70" s="49">
        <v>2012.4</v>
      </c>
      <c r="AP70" s="49">
        <v>465.4</v>
      </c>
      <c r="AQ70" s="49">
        <v>88.5</v>
      </c>
      <c r="AR70" s="49">
        <v>30.4</v>
      </c>
      <c r="AS70" s="50">
        <v>128.80000000000001</v>
      </c>
      <c r="AT70" s="50">
        <v>171.7</v>
      </c>
      <c r="AU70" s="50">
        <v>73</v>
      </c>
      <c r="AV70" s="50">
        <v>54.9</v>
      </c>
      <c r="AW70" s="50">
        <v>9.1999999999999993</v>
      </c>
      <c r="AX70" s="50">
        <v>10.5</v>
      </c>
      <c r="AY70" s="50">
        <v>26.3</v>
      </c>
      <c r="AZ70" s="50">
        <v>6.4</v>
      </c>
      <c r="BA70" s="50" t="s">
        <v>264</v>
      </c>
      <c r="BB70" s="50" t="s">
        <v>264</v>
      </c>
      <c r="BC70" s="50"/>
      <c r="BD70" s="52">
        <v>133</v>
      </c>
      <c r="BE70" s="52">
        <v>65.2</v>
      </c>
      <c r="BF70" s="52"/>
      <c r="BG70" s="52"/>
      <c r="BH70" s="52">
        <v>349.9</v>
      </c>
      <c r="BI70" s="52"/>
      <c r="BJ70" s="52"/>
      <c r="BK70" s="52">
        <v>147.4</v>
      </c>
      <c r="BL70" s="52">
        <v>14.8</v>
      </c>
      <c r="BM70" s="52">
        <v>512.20000000000005</v>
      </c>
      <c r="BN70" s="52">
        <v>328.4</v>
      </c>
      <c r="BO70" s="52"/>
      <c r="BP70" s="52"/>
      <c r="BQ70" s="52">
        <v>59.9</v>
      </c>
      <c r="BR70" s="52">
        <v>4.5</v>
      </c>
      <c r="BS70" s="53">
        <v>392.79999999999995</v>
      </c>
      <c r="BT70" s="52">
        <v>83</v>
      </c>
      <c r="BU70" s="52">
        <v>43.1</v>
      </c>
      <c r="BV70" s="50">
        <v>357.8</v>
      </c>
      <c r="BW70" s="50">
        <v>139.1</v>
      </c>
      <c r="BX70" s="49">
        <v>505.1</v>
      </c>
      <c r="BY70" s="50">
        <v>81.400000000000006</v>
      </c>
      <c r="BZ70" s="50">
        <v>15</v>
      </c>
      <c r="CA70" s="49">
        <v>96.4</v>
      </c>
      <c r="CB70" s="52"/>
      <c r="CC70" s="52"/>
      <c r="CD70" s="52"/>
      <c r="CE70" s="52"/>
      <c r="CF70" s="52">
        <v>108.4</v>
      </c>
      <c r="CG70" s="52">
        <v>113.8</v>
      </c>
      <c r="CH70" s="52">
        <v>22.9</v>
      </c>
      <c r="CI70" s="52"/>
      <c r="CJ70" s="52"/>
      <c r="CK70" s="52"/>
      <c r="CL70" s="52"/>
      <c r="CM70" s="52"/>
      <c r="CN70" s="52">
        <v>50.8</v>
      </c>
      <c r="CO70" s="52">
        <v>85.9</v>
      </c>
      <c r="CP70" s="52">
        <v>57.9</v>
      </c>
      <c r="CQ70" s="52">
        <v>28</v>
      </c>
      <c r="CR70" s="52">
        <v>18.2</v>
      </c>
      <c r="CS70" s="52">
        <v>33.400000000000006</v>
      </c>
      <c r="CT70" s="52">
        <v>22.1</v>
      </c>
      <c r="CU70" s="52">
        <v>11.3</v>
      </c>
      <c r="CV70" s="52">
        <v>65.599999999999994</v>
      </c>
      <c r="CW70" s="52">
        <v>22.2</v>
      </c>
      <c r="CX70" s="52">
        <v>43.4</v>
      </c>
      <c r="CY70" s="52" t="s">
        <v>264</v>
      </c>
      <c r="CZ70" s="52">
        <v>37.700000000000003</v>
      </c>
      <c r="DA70" s="52">
        <v>17.3</v>
      </c>
      <c r="DB70" s="52">
        <v>16</v>
      </c>
      <c r="DC70" s="52">
        <v>1.3</v>
      </c>
      <c r="DD70" s="52"/>
      <c r="DE70" s="52"/>
      <c r="DF70" s="53"/>
      <c r="DG70" s="53">
        <v>120.3</v>
      </c>
      <c r="DH70" s="53">
        <v>107.4</v>
      </c>
      <c r="DI70" s="53">
        <v>562.70000000000005</v>
      </c>
      <c r="DJ70" s="53"/>
      <c r="DK70" s="53">
        <v>397.1</v>
      </c>
      <c r="DL70" s="53"/>
      <c r="DM70" s="53">
        <v>197.5</v>
      </c>
      <c r="DN70" s="53"/>
      <c r="DO70" s="53">
        <v>141.5</v>
      </c>
      <c r="DP70" s="53"/>
      <c r="DQ70" s="53">
        <v>75</v>
      </c>
      <c r="DR70" s="53"/>
      <c r="DS70" s="53">
        <v>1078.0999999999999</v>
      </c>
      <c r="DT70" s="53">
        <v>2679.6</v>
      </c>
      <c r="DU70" s="53">
        <v>-227.69999999999982</v>
      </c>
      <c r="DV70" s="53">
        <v>0</v>
      </c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17"/>
      <c r="GZ70" s="52">
        <v>899.5</v>
      </c>
      <c r="HA70" s="52"/>
      <c r="HB70" s="17"/>
      <c r="HC70" s="17"/>
      <c r="HD70" s="17"/>
      <c r="HE70" s="17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3"/>
      <c r="II70" s="53"/>
      <c r="IJ70" s="53"/>
      <c r="IK70" s="53"/>
      <c r="IL70" s="53"/>
      <c r="IM70" s="52"/>
      <c r="IN70" s="52">
        <v>95.4</v>
      </c>
      <c r="IY70" s="48">
        <f t="shared" si="5"/>
        <v>47.042095835199291</v>
      </c>
      <c r="IZ70" s="48">
        <f>IY70-'NOPA Crush'!J70</f>
        <v>-0.25790416480070633</v>
      </c>
      <c r="JB70" s="63">
        <f t="shared" si="3"/>
        <v>11.008732646663681</v>
      </c>
      <c r="JC70" s="64">
        <f>JB70-'NOPA Crush'!O70</f>
        <v>8.7326466636810096E-3</v>
      </c>
      <c r="JD70" s="65"/>
      <c r="JE70" s="67">
        <f t="shared" si="4"/>
        <v>706.7</v>
      </c>
      <c r="JF70" s="68">
        <f>'NOPA Crush'!Q70/'Census Crush'!JE70</f>
        <v>0.2517334088014716</v>
      </c>
    </row>
    <row r="71" spans="1:266">
      <c r="A71" s="39">
        <v>31199</v>
      </c>
      <c r="B71" s="49">
        <v>2481.8000000000002</v>
      </c>
      <c r="C71" s="50">
        <v>1428</v>
      </c>
      <c r="D71" s="50">
        <v>219.6</v>
      </c>
      <c r="E71" s="50">
        <v>577.29999999999995</v>
      </c>
      <c r="F71" s="50">
        <v>14.9</v>
      </c>
      <c r="G71" s="50">
        <v>36</v>
      </c>
      <c r="H71" s="50">
        <v>15.3</v>
      </c>
      <c r="I71" s="50" t="s">
        <v>264</v>
      </c>
      <c r="J71" s="50" t="s">
        <v>264</v>
      </c>
      <c r="K71" s="49">
        <v>918.9</v>
      </c>
      <c r="L71" s="49">
        <v>732</v>
      </c>
      <c r="M71" s="49">
        <v>444.9</v>
      </c>
      <c r="N71" s="49">
        <v>287.10000000000002</v>
      </c>
      <c r="O71" s="50">
        <v>67.8</v>
      </c>
      <c r="P71" s="51">
        <v>105.9</v>
      </c>
      <c r="Q71" s="49">
        <v>34.1</v>
      </c>
      <c r="R71" s="49">
        <v>71.8</v>
      </c>
      <c r="S71" s="49"/>
      <c r="T71" s="49">
        <v>12.4</v>
      </c>
      <c r="U71" s="51">
        <v>24.4</v>
      </c>
      <c r="V71" s="49">
        <v>18.8</v>
      </c>
      <c r="W71" s="49">
        <v>5.6</v>
      </c>
      <c r="X71" s="49">
        <v>26.8</v>
      </c>
      <c r="Y71" s="49">
        <v>7.5</v>
      </c>
      <c r="Z71" s="9">
        <v>51.7</v>
      </c>
      <c r="AA71" s="50" t="s">
        <v>264</v>
      </c>
      <c r="AB71" s="50" t="s">
        <v>264</v>
      </c>
      <c r="AC71" s="50" t="s">
        <v>264</v>
      </c>
      <c r="AD71" s="50" t="s">
        <v>264</v>
      </c>
      <c r="AE71" s="50"/>
      <c r="AF71" s="51"/>
      <c r="AG71" s="50" t="s">
        <v>264</v>
      </c>
      <c r="AH71" s="50" t="s">
        <v>264</v>
      </c>
      <c r="AI71" s="49">
        <v>107.7</v>
      </c>
      <c r="AJ71" s="49"/>
      <c r="AK71" s="49"/>
      <c r="AL71" s="51">
        <v>76.5</v>
      </c>
      <c r="AM71" s="49">
        <v>39.299999999999997</v>
      </c>
      <c r="AN71" s="49">
        <v>37.200000000000003</v>
      </c>
      <c r="AO71" s="49">
        <v>1867.5</v>
      </c>
      <c r="AP71" s="49">
        <v>541.9</v>
      </c>
      <c r="AQ71" s="49">
        <v>85.2</v>
      </c>
      <c r="AR71" s="49">
        <v>27.7</v>
      </c>
      <c r="AS71" s="50">
        <v>99.1</v>
      </c>
      <c r="AT71" s="50">
        <v>158.9</v>
      </c>
      <c r="AU71" s="50">
        <v>59.5</v>
      </c>
      <c r="AV71" s="50">
        <v>42</v>
      </c>
      <c r="AW71" s="50">
        <v>8.4</v>
      </c>
      <c r="AX71" s="50">
        <v>16.399999999999999</v>
      </c>
      <c r="AY71" s="50">
        <v>18.8</v>
      </c>
      <c r="AZ71" s="50">
        <v>4.2</v>
      </c>
      <c r="BA71" s="50" t="s">
        <v>264</v>
      </c>
      <c r="BB71" s="50" t="s">
        <v>264</v>
      </c>
      <c r="BC71" s="50"/>
      <c r="BD71" s="52">
        <v>140.30000000000001</v>
      </c>
      <c r="BE71" s="52">
        <v>70.2</v>
      </c>
      <c r="BF71" s="52"/>
      <c r="BG71" s="52"/>
      <c r="BH71" s="52">
        <v>319.60000000000002</v>
      </c>
      <c r="BI71" s="52"/>
      <c r="BJ71" s="52"/>
      <c r="BK71" s="52">
        <v>143.6</v>
      </c>
      <c r="BL71" s="52">
        <v>15.3</v>
      </c>
      <c r="BM71" s="52">
        <v>478.6</v>
      </c>
      <c r="BN71" s="52">
        <v>355.4</v>
      </c>
      <c r="BO71" s="52"/>
      <c r="BP71" s="52"/>
      <c r="BQ71" s="52">
        <v>67.7</v>
      </c>
      <c r="BR71" s="52">
        <v>4.7</v>
      </c>
      <c r="BS71" s="53">
        <v>427.79999999999995</v>
      </c>
      <c r="BT71" s="52">
        <v>70</v>
      </c>
      <c r="BU71" s="52">
        <v>47.3</v>
      </c>
      <c r="BV71" s="50">
        <v>327.3</v>
      </c>
      <c r="BW71" s="50">
        <v>125.3</v>
      </c>
      <c r="BX71" s="49">
        <v>460</v>
      </c>
      <c r="BY71" s="50">
        <v>72.900000000000006</v>
      </c>
      <c r="BZ71" s="50">
        <v>12.1</v>
      </c>
      <c r="CA71" s="49">
        <v>85</v>
      </c>
      <c r="CB71" s="52"/>
      <c r="CC71" s="52"/>
      <c r="CD71" s="52"/>
      <c r="CE71" s="52"/>
      <c r="CF71" s="52">
        <v>112.1</v>
      </c>
      <c r="CG71" s="52">
        <v>121.1</v>
      </c>
      <c r="CH71" s="52">
        <v>23.8</v>
      </c>
      <c r="CI71" s="52"/>
      <c r="CJ71" s="52"/>
      <c r="CK71" s="52"/>
      <c r="CL71" s="52"/>
      <c r="CM71" s="52"/>
      <c r="CN71" s="52">
        <v>40.4</v>
      </c>
      <c r="CO71" s="52">
        <v>116</v>
      </c>
      <c r="CP71" s="52">
        <v>84.4</v>
      </c>
      <c r="CQ71" s="52">
        <v>31.6</v>
      </c>
      <c r="CR71" s="52" t="s">
        <v>264</v>
      </c>
      <c r="CS71" s="52">
        <v>32.700000000000003</v>
      </c>
      <c r="CT71" s="52">
        <v>21.2</v>
      </c>
      <c r="CU71" s="52">
        <v>11.5</v>
      </c>
      <c r="CV71" s="52">
        <v>63.400000000000006</v>
      </c>
      <c r="CW71" s="52">
        <v>22.7</v>
      </c>
      <c r="CX71" s="52">
        <v>40.700000000000003</v>
      </c>
      <c r="CY71" s="52" t="s">
        <v>264</v>
      </c>
      <c r="CZ71" s="52">
        <v>26.9</v>
      </c>
      <c r="DA71" s="52">
        <v>16.3</v>
      </c>
      <c r="DB71" s="52">
        <v>15.3</v>
      </c>
      <c r="DC71" s="52">
        <v>1</v>
      </c>
      <c r="DD71" s="52"/>
      <c r="DE71" s="52"/>
      <c r="DF71" s="53"/>
      <c r="DG71" s="53">
        <v>119.6</v>
      </c>
      <c r="DH71" s="53"/>
      <c r="DI71" s="53">
        <v>537.6</v>
      </c>
      <c r="DJ71" s="53">
        <v>140.6</v>
      </c>
      <c r="DK71" s="53">
        <v>368.7</v>
      </c>
      <c r="DL71" s="53"/>
      <c r="DM71" s="53">
        <v>199.1</v>
      </c>
      <c r="DN71" s="53"/>
      <c r="DO71" s="53">
        <v>128.6</v>
      </c>
      <c r="DP71" s="53"/>
      <c r="DQ71" s="53">
        <v>81.8</v>
      </c>
      <c r="DR71" s="53"/>
      <c r="DS71" s="53">
        <v>905.8</v>
      </c>
      <c r="DT71" s="53">
        <v>2481.8000000000002</v>
      </c>
      <c r="DU71" s="53">
        <v>-119.60000000000036</v>
      </c>
      <c r="DV71" s="53">
        <v>0</v>
      </c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17"/>
      <c r="GZ71" s="52">
        <v>773.1</v>
      </c>
      <c r="HA71" s="52"/>
      <c r="HB71" s="17"/>
      <c r="HC71" s="17"/>
      <c r="HD71" s="17"/>
      <c r="HE71" s="17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3"/>
      <c r="II71" s="53"/>
      <c r="IJ71" s="53"/>
      <c r="IK71" s="53"/>
      <c r="IL71" s="53"/>
      <c r="IM71" s="52"/>
      <c r="IN71" s="52">
        <v>74.599999999999994</v>
      </c>
      <c r="IY71" s="48">
        <f t="shared" si="5"/>
        <v>47.208477717785478</v>
      </c>
      <c r="IZ71" s="48">
        <f>IY71-'NOPA Crush'!J71</f>
        <v>8.477717785474681E-3</v>
      </c>
      <c r="JB71" s="63">
        <f t="shared" si="3"/>
        <v>11.107663792408735</v>
      </c>
      <c r="JC71" s="64">
        <f>JB71-'NOPA Crush'!O71</f>
        <v>0.10766379240873469</v>
      </c>
      <c r="JD71" s="65"/>
      <c r="JE71" s="67">
        <f t="shared" si="4"/>
        <v>732</v>
      </c>
      <c r="JF71" s="68">
        <f>'NOPA Crush'!Q71/'Census Crush'!JE71</f>
        <v>0.25259562841530053</v>
      </c>
    </row>
    <row r="72" spans="1:266">
      <c r="A72" s="39">
        <v>31229</v>
      </c>
      <c r="B72" s="49">
        <v>2459</v>
      </c>
      <c r="C72" s="50">
        <v>1080.9000000000001</v>
      </c>
      <c r="D72" s="50">
        <v>191.3</v>
      </c>
      <c r="E72" s="50">
        <v>405.9</v>
      </c>
      <c r="F72" s="50">
        <v>12.8</v>
      </c>
      <c r="G72" s="50">
        <v>50.6</v>
      </c>
      <c r="H72" s="50" t="s">
        <v>264</v>
      </c>
      <c r="I72" s="50" t="s">
        <v>264</v>
      </c>
      <c r="J72" s="50" t="s">
        <v>264</v>
      </c>
      <c r="K72" s="49">
        <v>912.6</v>
      </c>
      <c r="L72" s="49">
        <v>724.2</v>
      </c>
      <c r="M72" s="49">
        <v>461</v>
      </c>
      <c r="N72" s="49">
        <v>263.2</v>
      </c>
      <c r="O72" s="50">
        <v>62.9</v>
      </c>
      <c r="P72" s="51">
        <v>124.4</v>
      </c>
      <c r="Q72" s="49">
        <v>29.4</v>
      </c>
      <c r="R72" s="49">
        <v>95</v>
      </c>
      <c r="S72" s="49"/>
      <c r="T72" s="49">
        <v>10.4</v>
      </c>
      <c r="U72" s="51">
        <v>17.7</v>
      </c>
      <c r="V72" s="49">
        <v>12.6</v>
      </c>
      <c r="W72" s="49">
        <v>5.0999999999999996</v>
      </c>
      <c r="X72" s="49">
        <v>36.700000000000003</v>
      </c>
      <c r="Y72" s="50" t="s">
        <v>264</v>
      </c>
      <c r="Z72" s="49">
        <v>76.5</v>
      </c>
      <c r="AA72" s="49">
        <v>59.5</v>
      </c>
      <c r="AB72" s="49">
        <v>17</v>
      </c>
      <c r="AC72" s="49" t="s">
        <v>264</v>
      </c>
      <c r="AD72" s="49" t="s">
        <v>264</v>
      </c>
      <c r="AE72" s="49"/>
      <c r="AF72" s="51"/>
      <c r="AG72" s="50" t="s">
        <v>264</v>
      </c>
      <c r="AH72" s="50" t="s">
        <v>264</v>
      </c>
      <c r="AI72" s="49">
        <v>130.1</v>
      </c>
      <c r="AJ72" s="49"/>
      <c r="AK72" s="49"/>
      <c r="AL72" s="51">
        <v>67.599999999999994</v>
      </c>
      <c r="AM72" s="49">
        <v>30.9</v>
      </c>
      <c r="AN72" s="49">
        <v>36.700000000000003</v>
      </c>
      <c r="AO72" s="49">
        <v>1844.8</v>
      </c>
      <c r="AP72" s="49">
        <v>533.6</v>
      </c>
      <c r="AQ72" s="49">
        <v>89.2</v>
      </c>
      <c r="AR72" s="49">
        <v>28.9</v>
      </c>
      <c r="AS72" s="50">
        <v>86.2</v>
      </c>
      <c r="AT72" s="50">
        <v>134.5</v>
      </c>
      <c r="AU72" s="50">
        <v>55.6</v>
      </c>
      <c r="AV72" s="50">
        <v>40.200000000000003</v>
      </c>
      <c r="AW72" s="50">
        <v>7.3</v>
      </c>
      <c r="AX72" s="50" t="s">
        <v>264</v>
      </c>
      <c r="AY72" s="50">
        <v>27.5</v>
      </c>
      <c r="AZ72" s="50">
        <v>10.5</v>
      </c>
      <c r="BA72" s="50" t="s">
        <v>264</v>
      </c>
      <c r="BB72" s="50" t="s">
        <v>264</v>
      </c>
      <c r="BC72" s="50"/>
      <c r="BD72" s="52">
        <v>140</v>
      </c>
      <c r="BE72" s="52">
        <v>68.7</v>
      </c>
      <c r="BF72" s="52"/>
      <c r="BG72" s="52"/>
      <c r="BH72" s="52">
        <v>335.2</v>
      </c>
      <c r="BI72" s="52"/>
      <c r="BJ72" s="52"/>
      <c r="BK72" s="52">
        <v>164.9</v>
      </c>
      <c r="BL72" s="52">
        <v>18.2</v>
      </c>
      <c r="BM72" s="52">
        <v>517.4</v>
      </c>
      <c r="BN72" s="52">
        <v>361.3</v>
      </c>
      <c r="BO72" s="52"/>
      <c r="BP72" s="52"/>
      <c r="BQ72" s="52">
        <v>75</v>
      </c>
      <c r="BR72" s="52">
        <v>5.2</v>
      </c>
      <c r="BS72" s="53">
        <v>441.5</v>
      </c>
      <c r="BT72" s="52">
        <v>72</v>
      </c>
      <c r="BU72" s="52">
        <v>42.2</v>
      </c>
      <c r="BV72" s="50">
        <v>354.1</v>
      </c>
      <c r="BW72" s="50">
        <v>129.4</v>
      </c>
      <c r="BX72" s="49">
        <v>491.4</v>
      </c>
      <c r="BY72" s="50">
        <v>68.5</v>
      </c>
      <c r="BZ72" s="50">
        <v>12.3</v>
      </c>
      <c r="CA72" s="49">
        <v>80.8</v>
      </c>
      <c r="CB72" s="52"/>
      <c r="CC72" s="52"/>
      <c r="CD72" s="52"/>
      <c r="CE72" s="52"/>
      <c r="CF72" s="52">
        <v>117.1</v>
      </c>
      <c r="CG72" s="52">
        <v>141.80000000000001</v>
      </c>
      <c r="CH72" s="52">
        <v>25.9</v>
      </c>
      <c r="CI72" s="52"/>
      <c r="CJ72" s="52"/>
      <c r="CK72" s="52"/>
      <c r="CL72" s="52"/>
      <c r="CM72" s="52"/>
      <c r="CN72" s="52">
        <v>49.9</v>
      </c>
      <c r="CO72" s="52">
        <v>121.7</v>
      </c>
      <c r="CP72" s="52">
        <v>94.7</v>
      </c>
      <c r="CQ72" s="52">
        <v>27</v>
      </c>
      <c r="CR72" s="52">
        <v>20.5</v>
      </c>
      <c r="CS72" s="52">
        <v>36.9</v>
      </c>
      <c r="CT72" s="52">
        <v>25.2</v>
      </c>
      <c r="CU72" s="52">
        <v>11.7</v>
      </c>
      <c r="CV72" s="52">
        <v>79.400000000000006</v>
      </c>
      <c r="CW72" s="52">
        <v>25.6</v>
      </c>
      <c r="CX72" s="52">
        <v>53.8</v>
      </c>
      <c r="CY72" s="52" t="s">
        <v>264</v>
      </c>
      <c r="CZ72" s="52">
        <v>33.4</v>
      </c>
      <c r="DA72" s="52">
        <v>12.6</v>
      </c>
      <c r="DB72" s="52">
        <v>11.7</v>
      </c>
      <c r="DC72" s="52">
        <v>0.9</v>
      </c>
      <c r="DD72" s="52"/>
      <c r="DE72" s="52"/>
      <c r="DF72" s="53"/>
      <c r="DG72" s="53">
        <v>73.099999999999994</v>
      </c>
      <c r="DH72" s="53">
        <v>112</v>
      </c>
      <c r="DI72" s="53">
        <v>526.9</v>
      </c>
      <c r="DJ72" s="53">
        <v>136.5</v>
      </c>
      <c r="DK72" s="53">
        <v>394.3</v>
      </c>
      <c r="DL72" s="53"/>
      <c r="DM72" s="53">
        <v>209.9</v>
      </c>
      <c r="DN72" s="53"/>
      <c r="DO72" s="53">
        <v>98.1</v>
      </c>
      <c r="DP72" s="53"/>
      <c r="DQ72" s="53">
        <v>55.8</v>
      </c>
      <c r="DR72" s="53"/>
      <c r="DS72" s="53">
        <v>851.9</v>
      </c>
      <c r="DT72" s="53">
        <v>2458.5</v>
      </c>
      <c r="DU72" s="53">
        <v>-185.09999999999991</v>
      </c>
      <c r="DV72" s="53">
        <v>-0.5</v>
      </c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17"/>
      <c r="GZ72" s="52">
        <v>763.9</v>
      </c>
      <c r="HA72" s="52"/>
      <c r="HB72" s="17"/>
      <c r="HC72" s="17"/>
      <c r="HD72" s="17"/>
      <c r="HE72" s="17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3"/>
      <c r="II72" s="53"/>
      <c r="IJ72" s="53"/>
      <c r="IK72" s="53"/>
      <c r="IL72" s="53"/>
      <c r="IM72" s="52"/>
      <c r="IN72" s="52">
        <v>68.2</v>
      </c>
      <c r="IY72" s="48">
        <f t="shared" si="5"/>
        <v>47.189914599430665</v>
      </c>
      <c r="IZ72" s="48">
        <f>IY72-'NOPA Crush'!J72</f>
        <v>0.18991459943066502</v>
      </c>
      <c r="JB72" s="63">
        <f t="shared" si="3"/>
        <v>11.133794225294835</v>
      </c>
      <c r="JC72" s="64">
        <f>JB72-'NOPA Crush'!O72</f>
        <v>3.3794225294835556E-2</v>
      </c>
      <c r="JD72" s="65"/>
      <c r="JE72" s="67">
        <f t="shared" si="4"/>
        <v>724.2</v>
      </c>
      <c r="JF72" s="68">
        <f>'NOPA Crush'!Q72/'Census Crush'!JE72</f>
        <v>0.29190831262082295</v>
      </c>
    </row>
    <row r="73" spans="1:266">
      <c r="A73" s="39">
        <v>31260</v>
      </c>
      <c r="B73" s="49">
        <v>2324.6</v>
      </c>
      <c r="C73" s="50">
        <v>800.5</v>
      </c>
      <c r="D73" s="50">
        <v>194.6</v>
      </c>
      <c r="E73" s="50">
        <v>402.3</v>
      </c>
      <c r="F73" s="50">
        <v>11.8</v>
      </c>
      <c r="G73" s="50" t="s">
        <v>264</v>
      </c>
      <c r="H73" s="50" t="s">
        <v>264</v>
      </c>
      <c r="I73" s="50" t="s">
        <v>264</v>
      </c>
      <c r="J73" s="50" t="s">
        <v>264</v>
      </c>
      <c r="K73" s="49">
        <v>868.8</v>
      </c>
      <c r="L73" s="49">
        <v>715.7</v>
      </c>
      <c r="M73" s="49">
        <v>444.2</v>
      </c>
      <c r="N73" s="49">
        <v>271.5</v>
      </c>
      <c r="O73" s="50">
        <v>60.9</v>
      </c>
      <c r="P73" s="51">
        <v>131.20000000000002</v>
      </c>
      <c r="Q73" s="49">
        <v>26.3</v>
      </c>
      <c r="R73" s="49">
        <v>104.9</v>
      </c>
      <c r="S73" s="49"/>
      <c r="T73" s="49">
        <v>10</v>
      </c>
      <c r="U73" s="51">
        <v>18.7</v>
      </c>
      <c r="V73" s="49">
        <v>12.6</v>
      </c>
      <c r="W73" s="49">
        <v>6.1</v>
      </c>
      <c r="X73" s="50" t="s">
        <v>264</v>
      </c>
      <c r="Y73" s="49">
        <v>14.5</v>
      </c>
      <c r="Z73" s="49">
        <v>85.1</v>
      </c>
      <c r="AA73" s="49">
        <v>69.3</v>
      </c>
      <c r="AB73" s="49">
        <v>15.8</v>
      </c>
      <c r="AC73" s="49" t="s">
        <v>264</v>
      </c>
      <c r="AD73" s="49" t="s">
        <v>264</v>
      </c>
      <c r="AE73" s="49"/>
      <c r="AF73" s="51"/>
      <c r="AG73" s="50" t="s">
        <v>264</v>
      </c>
      <c r="AH73" s="50" t="s">
        <v>264</v>
      </c>
      <c r="AI73" s="49">
        <v>101.9</v>
      </c>
      <c r="AJ73" s="49"/>
      <c r="AK73" s="49"/>
      <c r="AL73" s="51">
        <v>71.8</v>
      </c>
      <c r="AM73" s="49">
        <v>37</v>
      </c>
      <c r="AN73" s="49">
        <v>34.799999999999997</v>
      </c>
      <c r="AO73" s="49">
        <v>1749</v>
      </c>
      <c r="AP73" s="49">
        <v>425.9</v>
      </c>
      <c r="AQ73" s="49">
        <v>82.6</v>
      </c>
      <c r="AR73" s="49">
        <v>32</v>
      </c>
      <c r="AS73" s="50">
        <v>87.9</v>
      </c>
      <c r="AT73" s="50">
        <v>103.4</v>
      </c>
      <c r="AU73" s="50">
        <v>52.9</v>
      </c>
      <c r="AV73" s="50">
        <v>36.799999999999997</v>
      </c>
      <c r="AW73" s="50">
        <v>6.6</v>
      </c>
      <c r="AX73" s="50" t="s">
        <v>264</v>
      </c>
      <c r="AY73" s="50" t="s">
        <v>264</v>
      </c>
      <c r="AZ73" s="50">
        <v>3.4</v>
      </c>
      <c r="BA73" s="50" t="s">
        <v>264</v>
      </c>
      <c r="BB73" s="50" t="s">
        <v>264</v>
      </c>
      <c r="BC73" s="50"/>
      <c r="BD73" s="52">
        <v>150.19999999999999</v>
      </c>
      <c r="BE73" s="52">
        <v>63.5</v>
      </c>
      <c r="BF73" s="52"/>
      <c r="BG73" s="52"/>
      <c r="BH73" s="52">
        <v>345.6</v>
      </c>
      <c r="BI73" s="52"/>
      <c r="BJ73" s="52"/>
      <c r="BK73" s="52">
        <v>146.4</v>
      </c>
      <c r="BL73" s="52">
        <v>14.5</v>
      </c>
      <c r="BM73" s="52">
        <v>506.5</v>
      </c>
      <c r="BN73" s="52">
        <v>398.9</v>
      </c>
      <c r="BO73" s="52"/>
      <c r="BP73" s="52"/>
      <c r="BQ73" s="52">
        <v>81.3</v>
      </c>
      <c r="BR73" s="52">
        <v>5</v>
      </c>
      <c r="BS73" s="53">
        <v>485.2</v>
      </c>
      <c r="BT73" s="52">
        <v>77</v>
      </c>
      <c r="BU73" s="52">
        <v>41</v>
      </c>
      <c r="BV73" s="50">
        <v>355.9</v>
      </c>
      <c r="BW73" s="50">
        <v>133.4</v>
      </c>
      <c r="BX73" s="49">
        <v>497.4</v>
      </c>
      <c r="BY73" s="50">
        <v>67.900000000000006</v>
      </c>
      <c r="BZ73" s="50">
        <v>12.5</v>
      </c>
      <c r="CA73" s="49">
        <v>80.400000000000006</v>
      </c>
      <c r="CB73" s="52"/>
      <c r="CC73" s="52"/>
      <c r="CD73" s="52"/>
      <c r="CE73" s="52"/>
      <c r="CF73" s="52">
        <v>107.8</v>
      </c>
      <c r="CG73" s="52">
        <v>131.4</v>
      </c>
      <c r="CH73" s="52">
        <v>29.4</v>
      </c>
      <c r="CI73" s="52"/>
      <c r="CJ73" s="52"/>
      <c r="CK73" s="52"/>
      <c r="CL73" s="52"/>
      <c r="CM73" s="52"/>
      <c r="CN73" s="52">
        <v>45.5</v>
      </c>
      <c r="CO73" s="52">
        <v>140.5</v>
      </c>
      <c r="CP73" s="52">
        <v>109.1</v>
      </c>
      <c r="CQ73" s="52">
        <v>31.4</v>
      </c>
      <c r="CR73" s="52">
        <v>8.5</v>
      </c>
      <c r="CS73" s="52">
        <v>25.400000000000002</v>
      </c>
      <c r="CT73" s="52">
        <v>16.600000000000001</v>
      </c>
      <c r="CU73" s="52">
        <v>8.8000000000000007</v>
      </c>
      <c r="CV73" s="52">
        <v>71.400000000000006</v>
      </c>
      <c r="CW73" s="52">
        <v>28.6</v>
      </c>
      <c r="CX73" s="52">
        <v>42.8</v>
      </c>
      <c r="CY73" s="52" t="s">
        <v>264</v>
      </c>
      <c r="CZ73" s="52">
        <v>34.700000000000003</v>
      </c>
      <c r="DA73" s="52">
        <v>19.3</v>
      </c>
      <c r="DB73" s="52">
        <v>16.8</v>
      </c>
      <c r="DC73" s="52">
        <v>2.5</v>
      </c>
      <c r="DD73" s="52"/>
      <c r="DE73" s="52"/>
      <c r="DF73" s="53"/>
      <c r="DG73" s="53">
        <v>71.8</v>
      </c>
      <c r="DH73" s="53">
        <v>106.8</v>
      </c>
      <c r="DI73" s="53">
        <v>534.1</v>
      </c>
      <c r="DJ73" s="53"/>
      <c r="DK73" s="53">
        <v>364.7</v>
      </c>
      <c r="DL73" s="53"/>
      <c r="DM73" s="53">
        <v>194.9</v>
      </c>
      <c r="DN73" s="53"/>
      <c r="DO73" s="53">
        <v>116.7</v>
      </c>
      <c r="DP73" s="53"/>
      <c r="DQ73" s="53">
        <v>57.9</v>
      </c>
      <c r="DR73" s="53"/>
      <c r="DS73" s="53">
        <v>877.7</v>
      </c>
      <c r="DT73" s="53">
        <v>2324.6</v>
      </c>
      <c r="DU73" s="53">
        <v>-178.59999999999991</v>
      </c>
      <c r="DV73" s="53">
        <v>0</v>
      </c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17"/>
      <c r="GZ73" s="52">
        <v>806.2</v>
      </c>
      <c r="HA73" s="52"/>
      <c r="HB73" s="17"/>
      <c r="HC73" s="17"/>
      <c r="HD73" s="17"/>
      <c r="HE73" s="17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3"/>
      <c r="II73" s="53"/>
      <c r="IJ73" s="53"/>
      <c r="IK73" s="53"/>
      <c r="IL73" s="53"/>
      <c r="IM73" s="52"/>
      <c r="IN73" s="52">
        <v>55.9</v>
      </c>
      <c r="IY73" s="48">
        <f t="shared" si="5"/>
        <v>47.275230147122087</v>
      </c>
      <c r="IZ73" s="48">
        <f>IY73-'NOPA Crush'!J73</f>
        <v>0.17523014712208607</v>
      </c>
      <c r="JB73" s="63">
        <f t="shared" si="3"/>
        <v>11.212251570162609</v>
      </c>
      <c r="JC73" s="64">
        <f>JB73-'NOPA Crush'!O73</f>
        <v>1.2251570162609582E-2</v>
      </c>
      <c r="JD73" s="65"/>
      <c r="JE73" s="67">
        <f t="shared" si="4"/>
        <v>715.7</v>
      </c>
      <c r="JF73" s="68">
        <f>'NOPA Crush'!Q73/'Census Crush'!JE73</f>
        <v>0.26687159424339807</v>
      </c>
    </row>
    <row r="74" spans="1:266">
      <c r="A74" s="39">
        <v>31291</v>
      </c>
      <c r="B74" s="49">
        <v>2295.4</v>
      </c>
      <c r="C74" s="50">
        <v>772.5</v>
      </c>
      <c r="D74" s="50">
        <v>197</v>
      </c>
      <c r="E74" s="50">
        <v>599.5</v>
      </c>
      <c r="F74" s="50">
        <v>12.6</v>
      </c>
      <c r="G74" s="50">
        <v>12.4</v>
      </c>
      <c r="H74" s="50" t="s">
        <v>264</v>
      </c>
      <c r="I74" s="50" t="s">
        <v>264</v>
      </c>
      <c r="J74" s="50" t="s">
        <v>264</v>
      </c>
      <c r="K74" s="49">
        <v>853.4</v>
      </c>
      <c r="L74" s="49">
        <v>632.5</v>
      </c>
      <c r="M74" s="49">
        <v>341.3</v>
      </c>
      <c r="N74" s="49">
        <v>291.2</v>
      </c>
      <c r="O74" s="50">
        <v>60.7</v>
      </c>
      <c r="P74" s="51">
        <v>106.8</v>
      </c>
      <c r="Q74" s="49">
        <v>33.299999999999997</v>
      </c>
      <c r="R74" s="49">
        <v>73.5</v>
      </c>
      <c r="S74" s="49"/>
      <c r="T74" s="49">
        <v>10.1</v>
      </c>
      <c r="U74" s="51">
        <v>14.399999999999999</v>
      </c>
      <c r="V74" s="49">
        <v>9.6</v>
      </c>
      <c r="W74" s="49">
        <v>4.8</v>
      </c>
      <c r="X74" s="49">
        <v>9.3000000000000007</v>
      </c>
      <c r="Y74" s="49">
        <v>12.2</v>
      </c>
      <c r="Z74" s="49">
        <v>65.599999999999994</v>
      </c>
      <c r="AA74" s="49">
        <v>48.8</v>
      </c>
      <c r="AB74" s="49">
        <v>16.8</v>
      </c>
      <c r="AC74" s="49" t="s">
        <v>264</v>
      </c>
      <c r="AD74" s="49" t="s">
        <v>264</v>
      </c>
      <c r="AE74" s="49"/>
      <c r="AF74" s="51"/>
      <c r="AG74" s="50" t="s">
        <v>264</v>
      </c>
      <c r="AH74" s="50" t="s">
        <v>264</v>
      </c>
      <c r="AI74" s="49">
        <v>104</v>
      </c>
      <c r="AJ74" s="49"/>
      <c r="AK74" s="49"/>
      <c r="AL74" s="51">
        <v>73.5</v>
      </c>
      <c r="AM74" s="49">
        <v>38.700000000000003</v>
      </c>
      <c r="AN74" s="49">
        <v>34.799999999999997</v>
      </c>
      <c r="AO74" s="49">
        <v>1722.1</v>
      </c>
      <c r="AP74" s="49">
        <v>353.2</v>
      </c>
      <c r="AQ74" s="49">
        <v>78.5</v>
      </c>
      <c r="AR74" s="49">
        <v>33.700000000000003</v>
      </c>
      <c r="AS74" s="50">
        <v>90.7</v>
      </c>
      <c r="AT74" s="50">
        <v>68.2</v>
      </c>
      <c r="AU74" s="50">
        <v>52.1</v>
      </c>
      <c r="AV74" s="50">
        <v>30.5</v>
      </c>
      <c r="AW74" s="50">
        <v>7.6</v>
      </c>
      <c r="AX74" s="50" t="s">
        <v>264</v>
      </c>
      <c r="AY74" s="50">
        <v>6.8</v>
      </c>
      <c r="AZ74" s="50" t="s">
        <v>264</v>
      </c>
      <c r="BA74" s="50" t="s">
        <v>264</v>
      </c>
      <c r="BB74" s="50" t="s">
        <v>264</v>
      </c>
      <c r="BC74" s="50"/>
      <c r="BD74" s="52">
        <v>143</v>
      </c>
      <c r="BE74" s="52">
        <v>61.6</v>
      </c>
      <c r="BF74" s="52"/>
      <c r="BG74" s="52"/>
      <c r="BH74" s="52">
        <v>333.6</v>
      </c>
      <c r="BI74" s="52"/>
      <c r="BJ74" s="52"/>
      <c r="BK74" s="52">
        <v>148.4</v>
      </c>
      <c r="BL74" s="52">
        <v>13.9</v>
      </c>
      <c r="BM74" s="52">
        <v>495.9</v>
      </c>
      <c r="BN74" s="52">
        <v>413.2</v>
      </c>
      <c r="BO74" s="52"/>
      <c r="BP74" s="52"/>
      <c r="BQ74" s="52">
        <v>80</v>
      </c>
      <c r="BR74" s="52">
        <v>13.9</v>
      </c>
      <c r="BS74" s="53">
        <v>507.09999999999997</v>
      </c>
      <c r="BT74" s="52">
        <v>76</v>
      </c>
      <c r="BU74" s="52">
        <v>41.3</v>
      </c>
      <c r="BV74" s="50">
        <v>327.39999999999998</v>
      </c>
      <c r="BW74" s="50">
        <v>119.8</v>
      </c>
      <c r="BX74" s="49">
        <v>454.8</v>
      </c>
      <c r="BY74" s="50">
        <v>67.8</v>
      </c>
      <c r="BZ74" s="50">
        <v>13.3</v>
      </c>
      <c r="CA74" s="49">
        <v>81.099999999999994</v>
      </c>
      <c r="CB74" s="52"/>
      <c r="CC74" s="52"/>
      <c r="CD74" s="52"/>
      <c r="CE74" s="52"/>
      <c r="CF74" s="52">
        <v>105.8</v>
      </c>
      <c r="CG74" s="52">
        <v>125.9</v>
      </c>
      <c r="CH74" s="52">
        <v>19.7</v>
      </c>
      <c r="CI74" s="52"/>
      <c r="CJ74" s="52"/>
      <c r="CK74" s="52"/>
      <c r="CL74" s="52"/>
      <c r="CM74" s="52"/>
      <c r="CN74" s="52">
        <v>52.2</v>
      </c>
      <c r="CO74" s="52">
        <v>130</v>
      </c>
      <c r="CP74" s="52">
        <v>103.9</v>
      </c>
      <c r="CQ74" s="52">
        <v>26.1</v>
      </c>
      <c r="CR74" s="52">
        <v>35.4</v>
      </c>
      <c r="CS74" s="52">
        <v>47</v>
      </c>
      <c r="CT74" s="52">
        <v>33.700000000000003</v>
      </c>
      <c r="CU74" s="52">
        <v>13.3</v>
      </c>
      <c r="CV74" s="52">
        <v>57.3</v>
      </c>
      <c r="CW74" s="52">
        <v>18.399999999999999</v>
      </c>
      <c r="CX74" s="52">
        <v>38.9</v>
      </c>
      <c r="CY74" s="52" t="s">
        <v>264</v>
      </c>
      <c r="CZ74" s="52">
        <v>41.5</v>
      </c>
      <c r="DA74" s="8">
        <v>33.6</v>
      </c>
      <c r="DB74" s="52" t="s">
        <v>264</v>
      </c>
      <c r="DC74" s="52" t="s">
        <v>264</v>
      </c>
      <c r="DD74" s="52"/>
      <c r="DE74" s="52"/>
      <c r="DF74" s="53"/>
      <c r="DG74" s="53">
        <v>46.6</v>
      </c>
      <c r="DH74" s="53"/>
      <c r="DI74" s="53">
        <v>519.4</v>
      </c>
      <c r="DJ74" s="53"/>
      <c r="DK74" s="53">
        <v>353.3</v>
      </c>
      <c r="DL74" s="53"/>
      <c r="DM74" s="53">
        <v>163.19999999999999</v>
      </c>
      <c r="DN74" s="53"/>
      <c r="DO74" s="53"/>
      <c r="DP74" s="53"/>
      <c r="DQ74" s="53">
        <v>54.1</v>
      </c>
      <c r="DR74" s="53"/>
      <c r="DS74" s="53">
        <v>1158.5</v>
      </c>
      <c r="DT74" s="53">
        <v>2295.1</v>
      </c>
      <c r="DU74" s="53">
        <v>-46.599999999999909</v>
      </c>
      <c r="DV74" s="53">
        <v>-0.3000000000001819</v>
      </c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17"/>
      <c r="GZ74" s="52">
        <v>794.4</v>
      </c>
      <c r="HA74" s="52"/>
      <c r="HB74" s="17"/>
      <c r="HC74" s="17"/>
      <c r="HD74" s="17"/>
      <c r="HE74" s="17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3"/>
      <c r="II74" s="53"/>
      <c r="IJ74" s="53"/>
      <c r="IK74" s="53"/>
      <c r="IL74" s="53"/>
      <c r="IM74" s="52"/>
      <c r="IN74" s="52">
        <v>57</v>
      </c>
      <c r="IY74" s="48">
        <f t="shared" si="5"/>
        <v>47.066306526095666</v>
      </c>
      <c r="IZ74" s="48">
        <f>IY74-'NOPA Crush'!J74</f>
        <v>-0.13369347390433717</v>
      </c>
      <c r="JB74" s="63">
        <f t="shared" si="3"/>
        <v>11.153611570968023</v>
      </c>
      <c r="JC74" s="64">
        <f>JB74-'NOPA Crush'!O74</f>
        <v>-4.6388429031976486E-2</v>
      </c>
      <c r="JD74" s="65"/>
      <c r="JE74" s="67">
        <f t="shared" si="4"/>
        <v>632.5</v>
      </c>
      <c r="JF74" s="68">
        <f>'NOPA Crush'!Q74/'Census Crush'!JE74</f>
        <v>0.2776284584980237</v>
      </c>
    </row>
    <row r="75" spans="1:266">
      <c r="A75" s="39">
        <v>31321</v>
      </c>
      <c r="B75" s="50">
        <v>2830.2</v>
      </c>
      <c r="C75" s="50">
        <v>2785.2</v>
      </c>
      <c r="D75" s="50">
        <v>338</v>
      </c>
      <c r="E75" s="52">
        <v>1195.9000000000001</v>
      </c>
      <c r="F75" s="50">
        <v>11.1</v>
      </c>
      <c r="G75" s="50">
        <v>48.8</v>
      </c>
      <c r="H75" s="50">
        <v>13.1</v>
      </c>
      <c r="I75" s="50" t="s">
        <v>264</v>
      </c>
      <c r="J75" s="50" t="s">
        <v>264</v>
      </c>
      <c r="K75" s="49">
        <v>1040.3</v>
      </c>
      <c r="L75" s="49">
        <v>636</v>
      </c>
      <c r="M75" s="49">
        <v>383.7</v>
      </c>
      <c r="N75" s="49">
        <v>252.3</v>
      </c>
      <c r="O75" s="50">
        <v>105.6</v>
      </c>
      <c r="P75" s="51">
        <v>106.2</v>
      </c>
      <c r="Q75" s="49">
        <v>35.5</v>
      </c>
      <c r="R75" s="49">
        <v>70.7</v>
      </c>
      <c r="S75" s="49"/>
      <c r="T75" s="49">
        <v>9.1999999999999993</v>
      </c>
      <c r="U75" s="51">
        <v>10.3</v>
      </c>
      <c r="V75" s="49">
        <v>7.3</v>
      </c>
      <c r="W75" s="49">
        <v>3</v>
      </c>
      <c r="X75" s="49">
        <v>39.200000000000003</v>
      </c>
      <c r="Y75" s="49">
        <v>13.3</v>
      </c>
      <c r="Z75" s="9">
        <v>57.9</v>
      </c>
      <c r="AA75" s="50" t="s">
        <v>264</v>
      </c>
      <c r="AB75" s="50" t="s">
        <v>264</v>
      </c>
      <c r="AC75" s="50" t="s">
        <v>264</v>
      </c>
      <c r="AD75" s="50" t="s">
        <v>264</v>
      </c>
      <c r="AE75" s="50"/>
      <c r="AF75" s="51"/>
      <c r="AG75" s="50" t="s">
        <v>264</v>
      </c>
      <c r="AH75" s="50" t="s">
        <v>264</v>
      </c>
      <c r="AI75" s="49">
        <v>114.2</v>
      </c>
      <c r="AJ75" s="49"/>
      <c r="AK75" s="49"/>
      <c r="AL75" s="51">
        <v>82.3</v>
      </c>
      <c r="AM75" s="49">
        <v>48.4</v>
      </c>
      <c r="AN75" s="49">
        <v>33.9</v>
      </c>
      <c r="AO75" s="49">
        <v>2133.9</v>
      </c>
      <c r="AP75" s="49">
        <v>282.7</v>
      </c>
      <c r="AQ75" s="49">
        <v>84.2</v>
      </c>
      <c r="AR75" s="49">
        <v>35.799999999999997</v>
      </c>
      <c r="AS75" s="50">
        <v>153.1</v>
      </c>
      <c r="AT75" s="50">
        <v>29.9</v>
      </c>
      <c r="AU75" s="50">
        <v>84.7</v>
      </c>
      <c r="AV75" s="50">
        <v>29.5</v>
      </c>
      <c r="AW75" s="50">
        <v>6.3</v>
      </c>
      <c r="AX75" s="50" t="s">
        <v>264</v>
      </c>
      <c r="AY75" s="50">
        <v>25.9</v>
      </c>
      <c r="AZ75" s="50">
        <v>5</v>
      </c>
      <c r="BA75" s="50" t="s">
        <v>264</v>
      </c>
      <c r="BB75" s="50" t="s">
        <v>264</v>
      </c>
      <c r="BC75" s="50"/>
      <c r="BD75" s="53">
        <v>148</v>
      </c>
      <c r="BE75" s="52">
        <v>57.5</v>
      </c>
      <c r="BF75" s="52"/>
      <c r="BG75" s="52"/>
      <c r="BH75" s="52">
        <v>360.6</v>
      </c>
      <c r="BI75" s="52"/>
      <c r="BJ75" s="52"/>
      <c r="BK75" s="52">
        <v>171</v>
      </c>
      <c r="BL75" s="52">
        <v>15.7</v>
      </c>
      <c r="BM75" s="52">
        <v>547.20000000000005</v>
      </c>
      <c r="BN75" s="52">
        <v>338.7</v>
      </c>
      <c r="BO75" s="52"/>
      <c r="BP75" s="52"/>
      <c r="BQ75" s="52">
        <v>80.400000000000006</v>
      </c>
      <c r="BR75" s="52">
        <v>6.1</v>
      </c>
      <c r="BS75" s="53">
        <v>425.20000000000005</v>
      </c>
      <c r="BT75" s="52">
        <v>85</v>
      </c>
      <c r="BU75" s="52">
        <v>39.299999999999997</v>
      </c>
      <c r="BV75" s="50">
        <v>374.1</v>
      </c>
      <c r="BW75" s="50">
        <v>144.5</v>
      </c>
      <c r="BX75" s="49">
        <v>527.5</v>
      </c>
      <c r="BY75" s="50">
        <v>65.900000000000006</v>
      </c>
      <c r="BZ75" s="50">
        <v>13.6</v>
      </c>
      <c r="CA75" s="49">
        <v>79.5</v>
      </c>
      <c r="CB75" s="52"/>
      <c r="CC75" s="52"/>
      <c r="CD75" s="52"/>
      <c r="CE75" s="52"/>
      <c r="CF75" s="52">
        <v>115.5</v>
      </c>
      <c r="CG75" s="52">
        <v>125.1</v>
      </c>
      <c r="CH75" s="52">
        <v>19.7</v>
      </c>
      <c r="CI75" s="52"/>
      <c r="CJ75" s="52"/>
      <c r="CK75" s="52"/>
      <c r="CL75" s="52"/>
      <c r="CM75" s="52"/>
      <c r="CN75" s="52">
        <v>52.2</v>
      </c>
      <c r="CO75" s="52">
        <v>177.5</v>
      </c>
      <c r="CP75" s="52">
        <v>152.19999999999999</v>
      </c>
      <c r="CQ75" s="52">
        <v>25.3</v>
      </c>
      <c r="CR75" s="52">
        <v>33.299999999999997</v>
      </c>
      <c r="CS75" s="52">
        <v>62.3</v>
      </c>
      <c r="CT75" s="52">
        <v>48.1</v>
      </c>
      <c r="CU75" s="52">
        <v>14.2</v>
      </c>
      <c r="CV75" s="52">
        <v>64.3</v>
      </c>
      <c r="CW75" s="52">
        <v>22.8</v>
      </c>
      <c r="CX75" s="52">
        <v>41.5</v>
      </c>
      <c r="CY75" s="52" t="s">
        <v>264</v>
      </c>
      <c r="CZ75" s="52">
        <v>37.700000000000003</v>
      </c>
      <c r="DA75" s="52">
        <v>35.400000000000006</v>
      </c>
      <c r="DB75" s="52">
        <v>32.700000000000003</v>
      </c>
      <c r="DC75" s="52">
        <v>2.7</v>
      </c>
      <c r="DD75" s="52"/>
      <c r="DE75" s="52"/>
      <c r="DF75" s="53"/>
      <c r="DG75" s="53">
        <v>92.7</v>
      </c>
      <c r="DH75" s="53"/>
      <c r="DI75" s="53">
        <v>655.7</v>
      </c>
      <c r="DJ75" s="53">
        <v>136.4</v>
      </c>
      <c r="DK75" s="53">
        <v>391</v>
      </c>
      <c r="DL75" s="53">
        <v>117.9</v>
      </c>
      <c r="DM75" s="53">
        <v>190.1</v>
      </c>
      <c r="DN75" s="53"/>
      <c r="DO75" s="53">
        <v>133.80000000000001</v>
      </c>
      <c r="DP75" s="53"/>
      <c r="DQ75" s="53">
        <v>62</v>
      </c>
      <c r="DR75" s="53"/>
      <c r="DS75" s="53">
        <v>1050.5999999999999</v>
      </c>
      <c r="DT75" s="53">
        <v>2830.2</v>
      </c>
      <c r="DU75" s="53">
        <v>-92.699999999999818</v>
      </c>
      <c r="DV75" s="53">
        <v>0</v>
      </c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17"/>
      <c r="GZ75" s="52">
        <v>865.7</v>
      </c>
      <c r="HA75" s="52"/>
      <c r="HB75" s="17"/>
      <c r="HC75" s="17"/>
      <c r="HD75" s="17"/>
      <c r="HE75" s="17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3"/>
      <c r="II75" s="53"/>
      <c r="IJ75" s="53"/>
      <c r="IK75" s="53"/>
      <c r="IL75" s="53"/>
      <c r="IM75" s="52"/>
      <c r="IN75" s="52">
        <v>87.5</v>
      </c>
      <c r="IY75" s="48">
        <f t="shared" si="5"/>
        <v>47.023531905872382</v>
      </c>
      <c r="IZ75" s="48">
        <f>IY75-'NOPA Crush'!J75</f>
        <v>-7.6468094127619679E-2</v>
      </c>
      <c r="JB75" s="63">
        <f t="shared" si="3"/>
        <v>11.027135891456435</v>
      </c>
      <c r="JC75" s="64">
        <f>JB75-'NOPA Crush'!O75</f>
        <v>2.7135891456435246E-2</v>
      </c>
      <c r="JD75" s="65"/>
      <c r="JE75" s="67">
        <f t="shared" si="4"/>
        <v>636</v>
      </c>
      <c r="JF75" s="68">
        <f>'NOPA Crush'!Q75/'Census Crush'!JE75</f>
        <v>0.24905660377358491</v>
      </c>
    </row>
    <row r="76" spans="1:266">
      <c r="A76" s="39">
        <v>31352</v>
      </c>
      <c r="B76" s="50">
        <v>2899.7</v>
      </c>
      <c r="C76" s="50">
        <v>3403.5</v>
      </c>
      <c r="D76" s="50">
        <v>411.4</v>
      </c>
      <c r="E76" s="52">
        <v>1732</v>
      </c>
      <c r="F76" s="50">
        <v>12.3</v>
      </c>
      <c r="G76" s="50">
        <v>93.6</v>
      </c>
      <c r="H76" s="50">
        <v>44.9</v>
      </c>
      <c r="I76" s="50" t="s">
        <v>264</v>
      </c>
      <c r="J76" s="50" t="s">
        <v>264</v>
      </c>
      <c r="K76" s="49">
        <v>1053.0999999999999</v>
      </c>
      <c r="L76" s="49">
        <v>810.40000000000009</v>
      </c>
      <c r="M76" s="49">
        <v>525.1</v>
      </c>
      <c r="N76" s="49">
        <v>285.3</v>
      </c>
      <c r="O76" s="50">
        <v>129.80000000000001</v>
      </c>
      <c r="P76" s="51">
        <v>127.9</v>
      </c>
      <c r="Q76" s="49">
        <v>56.6</v>
      </c>
      <c r="R76" s="49">
        <v>71.3</v>
      </c>
      <c r="S76" s="49"/>
      <c r="T76" s="49">
        <v>10.199999999999999</v>
      </c>
      <c r="U76" s="51">
        <v>11</v>
      </c>
      <c r="V76" s="49">
        <v>7.5</v>
      </c>
      <c r="W76" s="49">
        <v>3.5</v>
      </c>
      <c r="X76" s="49">
        <v>70.8</v>
      </c>
      <c r="Y76" s="49">
        <v>7.5</v>
      </c>
      <c r="Z76" s="9">
        <v>65</v>
      </c>
      <c r="AA76" s="50" t="s">
        <v>264</v>
      </c>
      <c r="AB76" s="50" t="s">
        <v>264</v>
      </c>
      <c r="AC76" s="50" t="s">
        <v>264</v>
      </c>
      <c r="AD76" s="50" t="s">
        <v>264</v>
      </c>
      <c r="AE76" s="50"/>
      <c r="AF76" s="51"/>
      <c r="AG76" s="50" t="s">
        <v>264</v>
      </c>
      <c r="AH76" s="50" t="s">
        <v>264</v>
      </c>
      <c r="AI76" s="49">
        <v>101.5</v>
      </c>
      <c r="AJ76" s="49"/>
      <c r="AK76" s="49"/>
      <c r="AL76" s="51">
        <v>69.3</v>
      </c>
      <c r="AM76" s="49">
        <v>37.799999999999997</v>
      </c>
      <c r="AN76" s="49">
        <v>31.5</v>
      </c>
      <c r="AO76" s="49">
        <v>2200.3000000000002</v>
      </c>
      <c r="AP76" s="49">
        <v>332.6</v>
      </c>
      <c r="AQ76" s="49">
        <v>87.4</v>
      </c>
      <c r="AR76" s="49">
        <v>36.6</v>
      </c>
      <c r="AS76" s="50">
        <v>187.6</v>
      </c>
      <c r="AT76" s="50">
        <v>45.2</v>
      </c>
      <c r="AU76" s="50">
        <v>102.4</v>
      </c>
      <c r="AV76" s="50">
        <v>48.8</v>
      </c>
      <c r="AW76" s="50">
        <v>7.1</v>
      </c>
      <c r="AX76" s="50" t="s">
        <v>264</v>
      </c>
      <c r="AY76" s="50">
        <v>47.8</v>
      </c>
      <c r="AZ76" s="50">
        <v>10.5</v>
      </c>
      <c r="BA76" s="50" t="s">
        <v>264</v>
      </c>
      <c r="BB76" s="50" t="s">
        <v>264</v>
      </c>
      <c r="BC76" s="50"/>
      <c r="BD76" s="53">
        <v>126.3</v>
      </c>
      <c r="BE76" s="52">
        <v>42.4</v>
      </c>
      <c r="BF76" s="52"/>
      <c r="BG76" s="52"/>
      <c r="BH76" s="52">
        <v>317.60000000000002</v>
      </c>
      <c r="BI76" s="52"/>
      <c r="BJ76" s="52"/>
      <c r="BK76" s="52">
        <v>141.9</v>
      </c>
      <c r="BL76" s="52">
        <v>12.5</v>
      </c>
      <c r="BM76" s="52">
        <v>472.1</v>
      </c>
      <c r="BN76" s="52">
        <v>296.39999999999998</v>
      </c>
      <c r="BO76" s="52"/>
      <c r="BP76" s="52"/>
      <c r="BQ76" s="52">
        <v>77.7</v>
      </c>
      <c r="BR76" s="52">
        <v>6</v>
      </c>
      <c r="BS76" s="53">
        <v>380.09999999999997</v>
      </c>
      <c r="BT76" s="52">
        <v>78</v>
      </c>
      <c r="BU76" s="52">
        <v>35.9</v>
      </c>
      <c r="BV76" s="50">
        <v>345.5</v>
      </c>
      <c r="BW76" s="50">
        <v>123.9</v>
      </c>
      <c r="BX76" s="49">
        <v>477.6</v>
      </c>
      <c r="BY76" s="50">
        <v>71.599999999999994</v>
      </c>
      <c r="BZ76" s="50">
        <v>16.899999999999999</v>
      </c>
      <c r="CA76" s="49">
        <v>88.5</v>
      </c>
      <c r="CB76" s="52"/>
      <c r="CC76" s="52"/>
      <c r="CD76" s="52"/>
      <c r="CE76" s="52"/>
      <c r="CF76" s="52">
        <v>103.5</v>
      </c>
      <c r="CG76" s="52">
        <v>158.69999999999999</v>
      </c>
      <c r="CH76" s="52">
        <v>19.899999999999999</v>
      </c>
      <c r="CI76" s="52"/>
      <c r="CJ76" s="52"/>
      <c r="CK76" s="52"/>
      <c r="CL76" s="52"/>
      <c r="CM76" s="52"/>
      <c r="CN76" s="52">
        <v>54.5</v>
      </c>
      <c r="CO76" s="52">
        <v>162.79999999999998</v>
      </c>
      <c r="CP76" s="52">
        <v>134.6</v>
      </c>
      <c r="CQ76" s="52">
        <v>28.2</v>
      </c>
      <c r="CR76" s="52">
        <v>15.6</v>
      </c>
      <c r="CS76" s="52">
        <v>55.2</v>
      </c>
      <c r="CT76" s="52">
        <v>39.700000000000003</v>
      </c>
      <c r="CU76" s="52">
        <v>15.5</v>
      </c>
      <c r="CV76" s="52">
        <v>76.5</v>
      </c>
      <c r="CW76" s="52">
        <v>16.899999999999999</v>
      </c>
      <c r="CX76" s="52">
        <v>59.6</v>
      </c>
      <c r="CY76" s="52" t="s">
        <v>264</v>
      </c>
      <c r="CZ76" s="52">
        <v>51.9</v>
      </c>
      <c r="DA76" s="8">
        <v>31.7</v>
      </c>
      <c r="DB76" s="52" t="s">
        <v>264</v>
      </c>
      <c r="DC76" s="52" t="s">
        <v>264</v>
      </c>
      <c r="DD76" s="52"/>
      <c r="DE76" s="52"/>
      <c r="DF76" s="53"/>
      <c r="DG76" s="53">
        <v>112</v>
      </c>
      <c r="DH76" s="53">
        <v>110.9</v>
      </c>
      <c r="DI76" s="53">
        <v>648.70000000000005</v>
      </c>
      <c r="DJ76" s="53">
        <v>157.30000000000001</v>
      </c>
      <c r="DK76" s="53">
        <v>378.4</v>
      </c>
      <c r="DL76" s="53">
        <v>111.9</v>
      </c>
      <c r="DM76" s="53">
        <v>194.5</v>
      </c>
      <c r="DN76" s="53"/>
      <c r="DO76" s="53">
        <v>141.1</v>
      </c>
      <c r="DP76" s="53">
        <v>177.4</v>
      </c>
      <c r="DQ76" s="53">
        <v>82.9</v>
      </c>
      <c r="DR76" s="53"/>
      <c r="DS76" s="53">
        <v>784.5</v>
      </c>
      <c r="DT76" s="53">
        <v>2899.7</v>
      </c>
      <c r="DU76" s="53">
        <v>-222.99999999999955</v>
      </c>
      <c r="DV76" s="53">
        <v>0</v>
      </c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17"/>
      <c r="GZ76" s="52">
        <v>834.8</v>
      </c>
      <c r="HA76" s="52"/>
      <c r="HB76" s="17"/>
      <c r="HC76" s="17"/>
      <c r="HD76" s="17"/>
      <c r="HE76" s="17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3"/>
      <c r="II76" s="53"/>
      <c r="IJ76" s="53"/>
      <c r="IK76" s="53"/>
      <c r="IL76" s="53"/>
      <c r="IM76" s="52"/>
      <c r="IN76" s="52">
        <v>117.1</v>
      </c>
      <c r="IY76" s="48">
        <f t="shared" si="5"/>
        <v>47.336621029761709</v>
      </c>
      <c r="IZ76" s="48">
        <f>IY76-'NOPA Crush'!J76</f>
        <v>3.6621029761711554E-2</v>
      </c>
      <c r="JB76" s="63">
        <f t="shared" si="3"/>
        <v>10.895265027416629</v>
      </c>
      <c r="JC76" s="64">
        <f>JB76-'NOPA Crush'!O76</f>
        <v>-4.7349725833711886E-3</v>
      </c>
      <c r="JD76" s="65"/>
      <c r="JE76" s="67">
        <f t="shared" si="4"/>
        <v>810.40000000000009</v>
      </c>
      <c r="JF76" s="68">
        <f>'NOPA Crush'!Q76/'Census Crush'!JE76</f>
        <v>0.30355380059230008</v>
      </c>
    </row>
    <row r="77" spans="1:266">
      <c r="A77" s="39">
        <v>31382</v>
      </c>
      <c r="B77" s="50">
        <v>3025.4</v>
      </c>
      <c r="C77" s="50">
        <v>3595.5</v>
      </c>
      <c r="D77" s="50">
        <v>368.8</v>
      </c>
      <c r="E77" s="52">
        <v>1998.5</v>
      </c>
      <c r="F77" s="50">
        <v>17.7</v>
      </c>
      <c r="G77" s="50">
        <v>79.599999999999994</v>
      </c>
      <c r="H77" s="50">
        <v>36.1</v>
      </c>
      <c r="I77" s="50" t="s">
        <v>264</v>
      </c>
      <c r="J77" s="50" t="s">
        <v>264</v>
      </c>
      <c r="K77" s="49">
        <v>1095.8</v>
      </c>
      <c r="L77" s="49">
        <v>969.4</v>
      </c>
      <c r="M77" s="49">
        <v>704.5</v>
      </c>
      <c r="N77" s="49">
        <v>264.89999999999998</v>
      </c>
      <c r="O77" s="50">
        <v>117.1</v>
      </c>
      <c r="P77" s="51">
        <v>130.19999999999999</v>
      </c>
      <c r="Q77" s="49">
        <v>63.1</v>
      </c>
      <c r="R77" s="49">
        <v>67.099999999999994</v>
      </c>
      <c r="S77" s="49"/>
      <c r="T77" s="49">
        <v>14.9</v>
      </c>
      <c r="U77" s="51">
        <v>10.1</v>
      </c>
      <c r="V77" s="49">
        <v>6.6</v>
      </c>
      <c r="W77" s="49">
        <v>3.5</v>
      </c>
      <c r="X77" s="49">
        <v>60.3</v>
      </c>
      <c r="Y77" s="49">
        <v>9</v>
      </c>
      <c r="Z77" s="9">
        <v>79.099999999999994</v>
      </c>
      <c r="AA77" s="50" t="s">
        <v>264</v>
      </c>
      <c r="AB77" s="50" t="s">
        <v>264</v>
      </c>
      <c r="AC77" s="50" t="s">
        <v>264</v>
      </c>
      <c r="AD77" s="50" t="s">
        <v>264</v>
      </c>
      <c r="AE77" s="50"/>
      <c r="AF77" s="51"/>
      <c r="AG77" s="50" t="s">
        <v>264</v>
      </c>
      <c r="AH77" s="50" t="s">
        <v>264</v>
      </c>
      <c r="AI77" s="49">
        <v>97.1</v>
      </c>
      <c r="AJ77" s="49"/>
      <c r="AK77" s="49"/>
      <c r="AL77" s="51">
        <v>79.2</v>
      </c>
      <c r="AM77" s="49">
        <v>50.5</v>
      </c>
      <c r="AN77" s="49">
        <v>28.7</v>
      </c>
      <c r="AO77" s="49">
        <v>2296.1</v>
      </c>
      <c r="AP77" s="49">
        <v>326.2</v>
      </c>
      <c r="AQ77" s="49">
        <v>83.5</v>
      </c>
      <c r="AR77" s="49">
        <v>32.200000000000003</v>
      </c>
      <c r="AS77" s="50">
        <v>169.4</v>
      </c>
      <c r="AT77" s="50">
        <v>22.4</v>
      </c>
      <c r="AU77" s="50">
        <v>93.7</v>
      </c>
      <c r="AV77" s="50">
        <v>49.6</v>
      </c>
      <c r="AW77" s="50">
        <v>10.1</v>
      </c>
      <c r="AX77" s="50">
        <v>9</v>
      </c>
      <c r="AY77" s="50">
        <v>40.299999999999997</v>
      </c>
      <c r="AZ77" s="50">
        <v>4.7</v>
      </c>
      <c r="BA77" s="50" t="s">
        <v>264</v>
      </c>
      <c r="BB77" s="50" t="s">
        <v>264</v>
      </c>
      <c r="BC77" s="50"/>
      <c r="BD77" s="53">
        <v>113.6</v>
      </c>
      <c r="BE77" s="52">
        <v>40.5</v>
      </c>
      <c r="BF77" s="52"/>
      <c r="BG77" s="52"/>
      <c r="BH77" s="52">
        <v>303.8</v>
      </c>
      <c r="BI77" s="52"/>
      <c r="BJ77" s="52"/>
      <c r="BK77" s="52">
        <v>131.69999999999999</v>
      </c>
      <c r="BL77" s="52">
        <v>12</v>
      </c>
      <c r="BM77" s="52">
        <v>447.5</v>
      </c>
      <c r="BN77" s="52">
        <v>282.5</v>
      </c>
      <c r="BO77" s="52"/>
      <c r="BP77" s="52"/>
      <c r="BQ77" s="52">
        <v>73.7</v>
      </c>
      <c r="BR77" s="52">
        <v>5.5</v>
      </c>
      <c r="BS77" s="53">
        <v>361.7</v>
      </c>
      <c r="BT77" s="52">
        <v>76</v>
      </c>
      <c r="BU77" s="52">
        <v>35.4</v>
      </c>
      <c r="BV77" s="50">
        <v>331.4</v>
      </c>
      <c r="BW77" s="50">
        <v>151.69999999999999</v>
      </c>
      <c r="BX77" s="49">
        <v>491</v>
      </c>
      <c r="BY77" s="50">
        <v>70.5</v>
      </c>
      <c r="BZ77" s="50">
        <v>18.600000000000001</v>
      </c>
      <c r="CA77" s="49">
        <v>89.1</v>
      </c>
      <c r="CB77" s="52"/>
      <c r="CC77" s="52"/>
      <c r="CD77" s="52"/>
      <c r="CE77" s="52"/>
      <c r="CF77" s="52">
        <v>167.6</v>
      </c>
      <c r="CG77" s="52">
        <v>167.6</v>
      </c>
      <c r="CH77" s="52">
        <v>19</v>
      </c>
      <c r="CI77" s="52"/>
      <c r="CJ77" s="52"/>
      <c r="CK77" s="52"/>
      <c r="CL77" s="52"/>
      <c r="CM77" s="52"/>
      <c r="CN77" s="52">
        <v>45.1</v>
      </c>
      <c r="CO77" s="52">
        <v>206.5</v>
      </c>
      <c r="CP77" s="52">
        <v>173.1</v>
      </c>
      <c r="CQ77" s="52">
        <v>33.4</v>
      </c>
      <c r="CR77" s="52">
        <v>14.3</v>
      </c>
      <c r="CS77" s="52">
        <v>60.6</v>
      </c>
      <c r="CT77" s="52">
        <v>45.2</v>
      </c>
      <c r="CU77" s="52">
        <v>15.4</v>
      </c>
      <c r="CV77" s="52">
        <v>98.899999999999991</v>
      </c>
      <c r="CW77" s="52">
        <v>28.3</v>
      </c>
      <c r="CX77" s="52">
        <v>70.599999999999994</v>
      </c>
      <c r="CY77" s="52" t="s">
        <v>264</v>
      </c>
      <c r="CZ77" s="52">
        <v>36.299999999999997</v>
      </c>
      <c r="DA77" s="52">
        <v>30.4</v>
      </c>
      <c r="DB77" s="52">
        <v>28.7</v>
      </c>
      <c r="DC77" s="52">
        <v>1.7</v>
      </c>
      <c r="DD77" s="52"/>
      <c r="DE77" s="52"/>
      <c r="DF77" s="53"/>
      <c r="DG77" s="53">
        <v>111</v>
      </c>
      <c r="DH77" s="53">
        <v>124.7</v>
      </c>
      <c r="DI77" s="53">
        <v>656.2</v>
      </c>
      <c r="DJ77" s="53">
        <v>169.1</v>
      </c>
      <c r="DK77" s="53">
        <v>414.4</v>
      </c>
      <c r="DL77" s="53">
        <v>118.8</v>
      </c>
      <c r="DM77" s="53">
        <v>200.2</v>
      </c>
      <c r="DN77" s="53"/>
      <c r="DO77" s="53">
        <v>149.30000000000001</v>
      </c>
      <c r="DP77" s="53">
        <v>184.8</v>
      </c>
      <c r="DQ77" s="53">
        <v>69.400000000000006</v>
      </c>
      <c r="DR77" s="53"/>
      <c r="DS77" s="53">
        <v>822.1</v>
      </c>
      <c r="DT77" s="53">
        <v>3020.1</v>
      </c>
      <c r="DU77" s="53">
        <v>-235.79999999999973</v>
      </c>
      <c r="DV77" s="53">
        <v>-5.3000000000001819</v>
      </c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  <c r="FK77" s="52"/>
      <c r="FL77" s="52"/>
      <c r="FM77" s="52"/>
      <c r="FN77" s="52"/>
      <c r="FO77" s="52"/>
      <c r="FP77" s="52"/>
      <c r="FQ77" s="52"/>
      <c r="FR77" s="52"/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52"/>
      <c r="GE77" s="52"/>
      <c r="GF77" s="52"/>
      <c r="GG77" s="52"/>
      <c r="GH77" s="52"/>
      <c r="GI77" s="52"/>
      <c r="GJ77" s="52"/>
      <c r="GK77" s="52"/>
      <c r="GL77" s="52"/>
      <c r="GM77" s="52"/>
      <c r="GN77" s="52"/>
      <c r="GO77" s="52"/>
      <c r="GP77" s="52"/>
      <c r="GQ77" s="52"/>
      <c r="GR77" s="52"/>
      <c r="GS77" s="52"/>
      <c r="GT77" s="52"/>
      <c r="GU77" s="52"/>
      <c r="GV77" s="52"/>
      <c r="GW77" s="52"/>
      <c r="GX77" s="52"/>
      <c r="GY77" s="17"/>
      <c r="GZ77" s="52">
        <v>790</v>
      </c>
      <c r="HA77" s="52"/>
      <c r="HB77" s="17"/>
      <c r="HC77" s="17"/>
      <c r="HD77" s="17"/>
      <c r="HE77" s="17"/>
      <c r="HF77" s="52"/>
      <c r="HG77" s="52"/>
      <c r="HH77" s="52"/>
      <c r="HI77" s="52"/>
      <c r="HJ77" s="52"/>
      <c r="HK77" s="52"/>
      <c r="HL77" s="52"/>
      <c r="HM77" s="52"/>
      <c r="HN77" s="52"/>
      <c r="HO77" s="52"/>
      <c r="HP77" s="52"/>
      <c r="HQ77" s="52"/>
      <c r="HR77" s="52"/>
      <c r="HS77" s="52"/>
      <c r="HT77" s="52"/>
      <c r="HU77" s="52"/>
      <c r="HV77" s="52"/>
      <c r="HW77" s="52"/>
      <c r="HX77" s="52"/>
      <c r="HY77" s="52"/>
      <c r="HZ77" s="52"/>
      <c r="IA77" s="52"/>
      <c r="IB77" s="52"/>
      <c r="IC77" s="52"/>
      <c r="ID77" s="52"/>
      <c r="IE77" s="52"/>
      <c r="IF77" s="52"/>
      <c r="IG77" s="52"/>
      <c r="IH77" s="53"/>
      <c r="II77" s="53"/>
      <c r="IJ77" s="53"/>
      <c r="IK77" s="53"/>
      <c r="IL77" s="53"/>
      <c r="IM77" s="52"/>
      <c r="IN77" s="52">
        <v>112</v>
      </c>
      <c r="IY77" s="48">
        <f t="shared" si="5"/>
        <v>47.192437363654392</v>
      </c>
      <c r="IZ77" s="48">
        <f>IY77-'NOPA Crush'!J77</f>
        <v>3.2437363654395313E-2</v>
      </c>
      <c r="JB77" s="63">
        <f t="shared" si="3"/>
        <v>10.866001189925299</v>
      </c>
      <c r="JC77" s="64">
        <f>JB77-'NOPA Crush'!O77</f>
        <v>-1.3998810074701495E-2</v>
      </c>
      <c r="JD77" s="65"/>
      <c r="JE77" s="67">
        <f t="shared" si="4"/>
        <v>969.4</v>
      </c>
      <c r="JF77" s="68">
        <f>'NOPA Crush'!Q77/'Census Crush'!JE77</f>
        <v>0.33667319991747474</v>
      </c>
    </row>
    <row r="78" spans="1:266">
      <c r="A78" s="39">
        <v>31413</v>
      </c>
      <c r="B78" s="50">
        <v>2988.6</v>
      </c>
      <c r="C78" s="50">
        <v>3738</v>
      </c>
      <c r="D78" s="50">
        <v>431.5</v>
      </c>
      <c r="E78" s="52">
        <v>1766.4</v>
      </c>
      <c r="F78" s="50">
        <v>22.4</v>
      </c>
      <c r="G78" s="50">
        <v>99</v>
      </c>
      <c r="H78" s="50">
        <v>29.5</v>
      </c>
      <c r="I78" s="50" t="s">
        <v>264</v>
      </c>
      <c r="J78" s="50" t="s">
        <v>264</v>
      </c>
      <c r="K78" s="49">
        <v>1085.8</v>
      </c>
      <c r="L78" s="49">
        <v>1216</v>
      </c>
      <c r="M78" s="49">
        <v>940.3</v>
      </c>
      <c r="N78" s="49">
        <v>275.7</v>
      </c>
      <c r="O78" s="50">
        <v>136.4</v>
      </c>
      <c r="P78" s="51">
        <v>112</v>
      </c>
      <c r="Q78" s="49">
        <v>64.900000000000006</v>
      </c>
      <c r="R78" s="49">
        <v>47.1</v>
      </c>
      <c r="S78" s="49"/>
      <c r="T78" s="49">
        <v>19.2</v>
      </c>
      <c r="U78" s="51">
        <v>20.3</v>
      </c>
      <c r="V78" s="49">
        <v>17.5</v>
      </c>
      <c r="W78" s="49">
        <v>2.8</v>
      </c>
      <c r="X78" s="49">
        <v>75.2</v>
      </c>
      <c r="Y78" s="49">
        <v>6.7</v>
      </c>
      <c r="Z78" s="9">
        <v>62.2</v>
      </c>
      <c r="AA78" s="50" t="s">
        <v>264</v>
      </c>
      <c r="AB78" s="50" t="s">
        <v>264</v>
      </c>
      <c r="AC78" s="50" t="s">
        <v>264</v>
      </c>
      <c r="AD78" s="50" t="s">
        <v>264</v>
      </c>
      <c r="AE78" s="50"/>
      <c r="AF78" s="51"/>
      <c r="AG78" s="50" t="s">
        <v>264</v>
      </c>
      <c r="AH78" s="50" t="s">
        <v>264</v>
      </c>
      <c r="AI78" s="49">
        <v>72.8</v>
      </c>
      <c r="AJ78" s="49"/>
      <c r="AK78" s="49"/>
      <c r="AL78" s="51">
        <v>78.099999999999994</v>
      </c>
      <c r="AM78" s="49">
        <v>39.200000000000003</v>
      </c>
      <c r="AN78" s="49">
        <v>38.9</v>
      </c>
      <c r="AO78" s="49">
        <v>2265.6</v>
      </c>
      <c r="AP78" s="49">
        <v>339.4</v>
      </c>
      <c r="AQ78" s="49">
        <v>78.2</v>
      </c>
      <c r="AR78" s="49">
        <v>33</v>
      </c>
      <c r="AS78" s="50">
        <v>199.1</v>
      </c>
      <c r="AT78" s="50">
        <v>32.9</v>
      </c>
      <c r="AU78" s="50">
        <v>105.1</v>
      </c>
      <c r="AV78" s="50">
        <v>59.2</v>
      </c>
      <c r="AW78" s="50">
        <v>12.8</v>
      </c>
      <c r="AX78" s="50" t="s">
        <v>264</v>
      </c>
      <c r="AY78" s="50">
        <v>50.9</v>
      </c>
      <c r="AZ78" s="50">
        <v>16.100000000000001</v>
      </c>
      <c r="BA78" s="50" t="s">
        <v>264</v>
      </c>
      <c r="BB78" s="50" t="s">
        <v>264</v>
      </c>
      <c r="BC78" s="50"/>
      <c r="BD78" s="53">
        <v>152</v>
      </c>
      <c r="BE78" s="52">
        <v>50.3</v>
      </c>
      <c r="BF78" s="52"/>
      <c r="BG78" s="52"/>
      <c r="BH78" s="52">
        <v>345.9</v>
      </c>
      <c r="BI78" s="52"/>
      <c r="BJ78" s="52"/>
      <c r="BK78" s="52">
        <v>143</v>
      </c>
      <c r="BL78" s="52">
        <v>12</v>
      </c>
      <c r="BM78" s="52">
        <v>500.9</v>
      </c>
      <c r="BN78" s="52">
        <v>324.5</v>
      </c>
      <c r="BO78" s="52"/>
      <c r="BP78" s="52"/>
      <c r="BQ78" s="52">
        <v>72.3</v>
      </c>
      <c r="BR78" s="52">
        <v>4.9000000000000004</v>
      </c>
      <c r="BS78" s="53">
        <v>401.7</v>
      </c>
      <c r="BT78" s="52">
        <v>80</v>
      </c>
      <c r="BU78" s="52">
        <v>37.6</v>
      </c>
      <c r="BV78" s="50">
        <v>378.4</v>
      </c>
      <c r="BW78" s="50">
        <v>158.69999999999999</v>
      </c>
      <c r="BX78" s="49">
        <v>544.9</v>
      </c>
      <c r="BY78" s="50">
        <v>74.7</v>
      </c>
      <c r="BZ78" s="50">
        <v>18.3</v>
      </c>
      <c r="CA78" s="49">
        <v>93</v>
      </c>
      <c r="CB78" s="52"/>
      <c r="CC78" s="52"/>
      <c r="CD78" s="52"/>
      <c r="CE78" s="52"/>
      <c r="CF78" s="52">
        <v>120.2</v>
      </c>
      <c r="CG78" s="52">
        <v>154.1</v>
      </c>
      <c r="CH78" s="52">
        <v>21.2</v>
      </c>
      <c r="CI78" s="52"/>
      <c r="CJ78" s="52"/>
      <c r="CK78" s="52"/>
      <c r="CL78" s="52"/>
      <c r="CM78" s="52"/>
      <c r="CN78" s="52">
        <v>72.400000000000006</v>
      </c>
      <c r="CO78" s="52">
        <v>259</v>
      </c>
      <c r="CP78" s="52">
        <v>218.9</v>
      </c>
      <c r="CQ78" s="52">
        <v>40.1</v>
      </c>
      <c r="CR78" s="52">
        <v>13.6</v>
      </c>
      <c r="CS78" s="52">
        <v>62.699999999999996</v>
      </c>
      <c r="CT78" s="52">
        <v>47.8</v>
      </c>
      <c r="CU78" s="52">
        <v>14.9</v>
      </c>
      <c r="CV78" s="52">
        <v>92.9</v>
      </c>
      <c r="CW78" s="52">
        <v>19.399999999999999</v>
      </c>
      <c r="CX78" s="52">
        <v>73.5</v>
      </c>
      <c r="CY78" s="52" t="s">
        <v>264</v>
      </c>
      <c r="CZ78" s="52">
        <v>66.900000000000006</v>
      </c>
      <c r="DA78" s="52">
        <v>38.4</v>
      </c>
      <c r="DB78" s="52">
        <v>34.9</v>
      </c>
      <c r="DC78" s="52">
        <v>3.5</v>
      </c>
      <c r="DD78" s="52"/>
      <c r="DE78" s="52"/>
      <c r="DF78" s="53"/>
      <c r="DG78" s="53">
        <v>137.69999999999999</v>
      </c>
      <c r="DH78" s="53">
        <v>125.3</v>
      </c>
      <c r="DI78" s="53">
        <v>633.29999999999995</v>
      </c>
      <c r="DJ78" s="53">
        <v>167.3</v>
      </c>
      <c r="DK78" s="53">
        <v>389.9</v>
      </c>
      <c r="DL78" s="53">
        <v>114.1</v>
      </c>
      <c r="DM78" s="53">
        <v>183.3</v>
      </c>
      <c r="DN78" s="53"/>
      <c r="DO78" s="53">
        <v>158.1</v>
      </c>
      <c r="DP78" s="53">
        <v>191.8</v>
      </c>
      <c r="DQ78" s="53">
        <v>96.6</v>
      </c>
      <c r="DR78" s="53"/>
      <c r="DS78" s="53">
        <v>791.2</v>
      </c>
      <c r="DT78" s="53">
        <v>2988.6</v>
      </c>
      <c r="DU78" s="53">
        <v>-263.00000000000045</v>
      </c>
      <c r="DV78" s="53">
        <v>0</v>
      </c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2"/>
      <c r="FF78" s="52"/>
      <c r="FG78" s="52"/>
      <c r="FH78" s="52"/>
      <c r="FI78" s="52"/>
      <c r="FJ78" s="52"/>
      <c r="FK78" s="52"/>
      <c r="FL78" s="52"/>
      <c r="FM78" s="52"/>
      <c r="FN78" s="52"/>
      <c r="FO78" s="52"/>
      <c r="FP78" s="52"/>
      <c r="FQ78" s="52"/>
      <c r="FR78" s="52"/>
      <c r="FS78" s="52"/>
      <c r="FT78" s="52"/>
      <c r="FU78" s="52"/>
      <c r="FV78" s="52"/>
      <c r="FW78" s="52"/>
      <c r="FX78" s="52"/>
      <c r="FY78" s="52"/>
      <c r="FZ78" s="52"/>
      <c r="GA78" s="52"/>
      <c r="GB78" s="52"/>
      <c r="GC78" s="52"/>
      <c r="GD78" s="52"/>
      <c r="GE78" s="52"/>
      <c r="GF78" s="52"/>
      <c r="GG78" s="52"/>
      <c r="GH78" s="52"/>
      <c r="GI78" s="52"/>
      <c r="GJ78" s="52"/>
      <c r="GK78" s="52"/>
      <c r="GL78" s="52"/>
      <c r="GM78" s="52"/>
      <c r="GN78" s="52"/>
      <c r="GO78" s="52"/>
      <c r="GP78" s="52"/>
      <c r="GQ78" s="52"/>
      <c r="GR78" s="52"/>
      <c r="GS78" s="52"/>
      <c r="GT78" s="52"/>
      <c r="GU78" s="52"/>
      <c r="GV78" s="52"/>
      <c r="GW78" s="52"/>
      <c r="GX78" s="52"/>
      <c r="GY78" s="17"/>
      <c r="GZ78" s="52">
        <v>804.2</v>
      </c>
      <c r="HA78" s="52"/>
      <c r="HB78" s="17"/>
      <c r="HC78" s="17"/>
      <c r="HD78" s="17"/>
      <c r="HE78" s="17"/>
      <c r="HF78" s="52"/>
      <c r="HG78" s="52"/>
      <c r="HH78" s="52"/>
      <c r="HI78" s="52"/>
      <c r="HJ78" s="52"/>
      <c r="HK78" s="52"/>
      <c r="HL78" s="52"/>
      <c r="HM78" s="52"/>
      <c r="HN78" s="52"/>
      <c r="HO78" s="52"/>
      <c r="HP78" s="52"/>
      <c r="HQ78" s="52"/>
      <c r="HR78" s="52"/>
      <c r="HS78" s="52"/>
      <c r="HT78" s="52"/>
      <c r="HU78" s="52"/>
      <c r="HV78" s="52"/>
      <c r="HW78" s="52"/>
      <c r="HX78" s="52"/>
      <c r="HY78" s="52"/>
      <c r="HZ78" s="52"/>
      <c r="IA78" s="52"/>
      <c r="IB78" s="52"/>
      <c r="IC78" s="52"/>
      <c r="ID78" s="52"/>
      <c r="IE78" s="52"/>
      <c r="IF78" s="52"/>
      <c r="IG78" s="52"/>
      <c r="IH78" s="53"/>
      <c r="II78" s="53"/>
      <c r="IJ78" s="53"/>
      <c r="IK78" s="53"/>
      <c r="IL78" s="53"/>
      <c r="IM78" s="52"/>
      <c r="IN78" s="52">
        <v>119.3</v>
      </c>
      <c r="IY78" s="48">
        <f t="shared" si="5"/>
        <v>47.05480827143144</v>
      </c>
      <c r="IZ78" s="48">
        <f>IY78-'NOPA Crush'!J78</f>
        <v>-1.5191728568559881E-2</v>
      </c>
      <c r="JB78" s="63">
        <f t="shared" si="3"/>
        <v>10.899417787592853</v>
      </c>
      <c r="JC78" s="64">
        <f>JB78-'NOPA Crush'!O78</f>
        <v>-3.0582212407146869E-2</v>
      </c>
      <c r="JD78" s="65"/>
      <c r="JE78" s="67">
        <f t="shared" si="4"/>
        <v>1216</v>
      </c>
      <c r="JF78" s="68">
        <f>'NOPA Crush'!Q78/'Census Crush'!JE78</f>
        <v>0.30529605263157894</v>
      </c>
    </row>
    <row r="79" spans="1:266">
      <c r="A79" s="39">
        <v>31444</v>
      </c>
      <c r="B79" s="50">
        <v>2442.1999999999998</v>
      </c>
      <c r="C79" s="50">
        <v>2923.5</v>
      </c>
      <c r="D79" s="50">
        <v>361</v>
      </c>
      <c r="E79" s="52">
        <v>1489.4</v>
      </c>
      <c r="F79" s="50">
        <v>24.3</v>
      </c>
      <c r="G79" s="50">
        <v>70.400000000000006</v>
      </c>
      <c r="H79" s="50" t="s">
        <v>264</v>
      </c>
      <c r="I79" s="50" t="s">
        <v>264</v>
      </c>
      <c r="J79" s="50" t="s">
        <v>264</v>
      </c>
      <c r="K79" s="49">
        <v>894.8</v>
      </c>
      <c r="L79" s="49">
        <v>1230.1999999999998</v>
      </c>
      <c r="M79" s="49">
        <v>942.8</v>
      </c>
      <c r="N79" s="49">
        <v>287.39999999999998</v>
      </c>
      <c r="O79" s="50">
        <v>115.5</v>
      </c>
      <c r="P79" s="51">
        <v>184.1</v>
      </c>
      <c r="Q79" s="49">
        <v>64.5</v>
      </c>
      <c r="R79" s="49">
        <v>119.6</v>
      </c>
      <c r="S79" s="49"/>
      <c r="T79" s="49">
        <v>21.1</v>
      </c>
      <c r="U79" s="51">
        <v>16.5</v>
      </c>
      <c r="V79" s="49">
        <v>12.7</v>
      </c>
      <c r="W79" s="49">
        <v>3.8</v>
      </c>
      <c r="X79" s="49">
        <v>53.1</v>
      </c>
      <c r="Y79" s="49">
        <v>6.8</v>
      </c>
      <c r="Z79" s="49">
        <v>50.8</v>
      </c>
      <c r="AA79" s="49">
        <v>29.4</v>
      </c>
      <c r="AB79" s="49">
        <v>21.4</v>
      </c>
      <c r="AC79" s="49" t="s">
        <v>264</v>
      </c>
      <c r="AD79" s="49" t="s">
        <v>264</v>
      </c>
      <c r="AE79" s="49"/>
      <c r="AF79" s="51"/>
      <c r="AG79" s="50" t="s">
        <v>264</v>
      </c>
      <c r="AH79" s="50" t="s">
        <v>264</v>
      </c>
      <c r="AI79" s="49">
        <v>97.9</v>
      </c>
      <c r="AJ79" s="49"/>
      <c r="AK79" s="49"/>
      <c r="AL79" s="51">
        <v>84.1</v>
      </c>
      <c r="AM79" s="49">
        <v>44.2</v>
      </c>
      <c r="AN79" s="49">
        <v>39.9</v>
      </c>
      <c r="AO79" s="49">
        <v>1857.2</v>
      </c>
      <c r="AP79" s="49">
        <v>254.1</v>
      </c>
      <c r="AQ79" s="49">
        <v>68</v>
      </c>
      <c r="AR79" s="49">
        <v>27.2</v>
      </c>
      <c r="AS79" s="50">
        <v>166.4</v>
      </c>
      <c r="AT79" s="50">
        <v>48.1</v>
      </c>
      <c r="AU79" s="50">
        <v>91.1</v>
      </c>
      <c r="AV79" s="50">
        <v>65.599999999999994</v>
      </c>
      <c r="AW79" s="50">
        <v>21.1</v>
      </c>
      <c r="AX79" s="50">
        <v>8.6999999999999993</v>
      </c>
      <c r="AY79" s="50">
        <v>35.9</v>
      </c>
      <c r="AZ79" s="50">
        <v>13.7</v>
      </c>
      <c r="BA79" s="50" t="s">
        <v>264</v>
      </c>
      <c r="BB79" s="50" t="s">
        <v>264</v>
      </c>
      <c r="BC79" s="50"/>
      <c r="BD79" s="53">
        <v>122.7</v>
      </c>
      <c r="BE79" s="52">
        <v>48.6</v>
      </c>
      <c r="BF79" s="52"/>
      <c r="BG79" s="52"/>
      <c r="BH79" s="52">
        <v>296.89999999999998</v>
      </c>
      <c r="BI79" s="52"/>
      <c r="BJ79" s="52"/>
      <c r="BK79" s="52">
        <v>114.9</v>
      </c>
      <c r="BL79" s="52">
        <v>7.4</v>
      </c>
      <c r="BM79" s="52">
        <v>419.2</v>
      </c>
      <c r="BN79" s="52">
        <v>256.60000000000002</v>
      </c>
      <c r="BO79" s="52"/>
      <c r="BP79" s="52"/>
      <c r="BQ79" s="52">
        <v>98.2</v>
      </c>
      <c r="BR79" s="52">
        <v>7</v>
      </c>
      <c r="BS79" s="53">
        <v>361.8</v>
      </c>
      <c r="BT79" s="52">
        <v>68</v>
      </c>
      <c r="BU79" s="52">
        <v>36.4</v>
      </c>
      <c r="BV79" s="50">
        <v>302.89999999999998</v>
      </c>
      <c r="BW79" s="50">
        <v>137</v>
      </c>
      <c r="BX79" s="49">
        <v>446.2</v>
      </c>
      <c r="BY79" s="50">
        <v>64.099999999999994</v>
      </c>
      <c r="BZ79" s="50">
        <v>16.5</v>
      </c>
      <c r="CA79" s="49">
        <v>80.599999999999994</v>
      </c>
      <c r="CB79" s="52"/>
      <c r="CC79" s="52"/>
      <c r="CD79" s="52"/>
      <c r="CE79" s="52"/>
      <c r="CF79" s="52">
        <v>113.8</v>
      </c>
      <c r="CG79" s="52">
        <v>160.69999999999999</v>
      </c>
      <c r="CH79" s="52">
        <v>19.3</v>
      </c>
      <c r="CI79" s="52"/>
      <c r="CJ79" s="52"/>
      <c r="CK79" s="52"/>
      <c r="CL79" s="52"/>
      <c r="CM79" s="52"/>
      <c r="CN79" s="52">
        <v>61.9</v>
      </c>
      <c r="CO79" s="52">
        <v>252.1</v>
      </c>
      <c r="CP79" s="52">
        <v>223.2</v>
      </c>
      <c r="CQ79" s="52">
        <v>28.9</v>
      </c>
      <c r="CR79" s="52">
        <v>15.2</v>
      </c>
      <c r="CS79" s="52">
        <v>64.600000000000009</v>
      </c>
      <c r="CT79" s="52">
        <v>50.7</v>
      </c>
      <c r="CU79" s="52">
        <v>13.9</v>
      </c>
      <c r="CV79" s="52">
        <v>89.2</v>
      </c>
      <c r="CW79" s="52">
        <v>16.3</v>
      </c>
      <c r="CX79" s="52">
        <v>72.900000000000006</v>
      </c>
      <c r="CY79" s="52" t="s">
        <v>264</v>
      </c>
      <c r="CZ79" s="52">
        <v>96.8</v>
      </c>
      <c r="DA79" s="8">
        <v>37</v>
      </c>
      <c r="DB79" s="52" t="s">
        <v>264</v>
      </c>
      <c r="DC79" s="52" t="s">
        <v>264</v>
      </c>
      <c r="DD79" s="52"/>
      <c r="DE79" s="52"/>
      <c r="DF79" s="53"/>
      <c r="DG79" s="53">
        <v>104</v>
      </c>
      <c r="DH79" s="53">
        <v>90.7</v>
      </c>
      <c r="DI79" s="53">
        <v>500</v>
      </c>
      <c r="DJ79" s="53">
        <v>127.3</v>
      </c>
      <c r="DK79" s="53">
        <v>340.8</v>
      </c>
      <c r="DL79" s="53">
        <v>97.4</v>
      </c>
      <c r="DM79" s="53">
        <v>174.6</v>
      </c>
      <c r="DN79" s="53"/>
      <c r="DO79" s="53">
        <v>126.5</v>
      </c>
      <c r="DP79" s="53">
        <v>161.9</v>
      </c>
      <c r="DQ79" s="53">
        <v>66</v>
      </c>
      <c r="DR79" s="53"/>
      <c r="DS79" s="53">
        <v>653</v>
      </c>
      <c r="DT79" s="53">
        <v>2442.1999999999998</v>
      </c>
      <c r="DU79" s="53">
        <v>-194.69999999999982</v>
      </c>
      <c r="DV79" s="53">
        <v>0</v>
      </c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  <c r="FK79" s="52"/>
      <c r="FL79" s="52"/>
      <c r="FM79" s="52"/>
      <c r="FN79" s="52"/>
      <c r="FO79" s="52"/>
      <c r="FP79" s="52"/>
      <c r="FQ79" s="52"/>
      <c r="FR79" s="52"/>
      <c r="FS79" s="52"/>
      <c r="FT79" s="52"/>
      <c r="FU79" s="52"/>
      <c r="FV79" s="52"/>
      <c r="FW79" s="52"/>
      <c r="FX79" s="52"/>
      <c r="FY79" s="52"/>
      <c r="FZ79" s="52"/>
      <c r="GA79" s="52"/>
      <c r="GB79" s="52"/>
      <c r="GC79" s="52"/>
      <c r="GD79" s="52"/>
      <c r="GE79" s="52"/>
      <c r="GF79" s="52"/>
      <c r="GG79" s="52"/>
      <c r="GH79" s="52"/>
      <c r="GI79" s="52"/>
      <c r="GJ79" s="52"/>
      <c r="GK79" s="52"/>
      <c r="GL79" s="52"/>
      <c r="GM79" s="52"/>
      <c r="GN79" s="52"/>
      <c r="GO79" s="52"/>
      <c r="GP79" s="52"/>
      <c r="GQ79" s="52"/>
      <c r="GR79" s="52"/>
      <c r="GS79" s="52"/>
      <c r="GT79" s="52"/>
      <c r="GU79" s="52"/>
      <c r="GV79" s="52"/>
      <c r="GW79" s="52"/>
      <c r="GX79" s="52"/>
      <c r="GY79" s="17"/>
      <c r="GZ79" s="52">
        <v>751.1</v>
      </c>
      <c r="HA79" s="52"/>
      <c r="HB79" s="17"/>
      <c r="HC79" s="17"/>
      <c r="HD79" s="17"/>
      <c r="HE79" s="17"/>
      <c r="HF79" s="52"/>
      <c r="HG79" s="52"/>
      <c r="HH79" s="52"/>
      <c r="HI79" s="52"/>
      <c r="HJ79" s="52"/>
      <c r="HK79" s="52"/>
      <c r="HL79" s="52"/>
      <c r="HM79" s="52"/>
      <c r="HN79" s="52"/>
      <c r="HO79" s="52"/>
      <c r="HP79" s="52"/>
      <c r="HQ79" s="52"/>
      <c r="HR79" s="52"/>
      <c r="HS79" s="52"/>
      <c r="HT79" s="52"/>
      <c r="HU79" s="52"/>
      <c r="HV79" s="52"/>
      <c r="HW79" s="52"/>
      <c r="HX79" s="52"/>
      <c r="HY79" s="52"/>
      <c r="HZ79" s="52"/>
      <c r="IA79" s="52"/>
      <c r="IB79" s="52"/>
      <c r="IC79" s="52"/>
      <c r="ID79" s="52"/>
      <c r="IE79" s="52"/>
      <c r="IF79" s="52"/>
      <c r="IG79" s="52"/>
      <c r="IH79" s="53"/>
      <c r="II79" s="53"/>
      <c r="IJ79" s="53"/>
      <c r="IK79" s="53"/>
      <c r="IL79" s="53"/>
      <c r="IM79" s="52"/>
      <c r="IN79" s="52">
        <v>109.3</v>
      </c>
      <c r="IY79" s="48">
        <f t="shared" si="5"/>
        <v>47.298337564491035</v>
      </c>
      <c r="IZ79" s="48">
        <f>IY79-'NOPA Crush'!J79</f>
        <v>6.8337564491038449E-2</v>
      </c>
      <c r="JB79" s="63">
        <f t="shared" si="3"/>
        <v>10.991728769142576</v>
      </c>
      <c r="JC79" s="64">
        <f>JB79-'NOPA Crush'!O79</f>
        <v>2.1728769142574933E-2</v>
      </c>
      <c r="JD79" s="65"/>
      <c r="JE79" s="67">
        <f t="shared" si="4"/>
        <v>1230.1999999999998</v>
      </c>
      <c r="JF79" s="68">
        <f>'NOPA Crush'!Q79/'Census Crush'!JE79</f>
        <v>0.27798406763127953</v>
      </c>
    </row>
    <row r="80" spans="1:266">
      <c r="A80" s="39">
        <v>31472</v>
      </c>
      <c r="B80" s="50">
        <v>2748.8</v>
      </c>
      <c r="C80" s="50">
        <v>2547.4</v>
      </c>
      <c r="D80" s="50">
        <v>349.8</v>
      </c>
      <c r="E80" s="52">
        <v>1163.7</v>
      </c>
      <c r="F80" s="50">
        <v>23.6</v>
      </c>
      <c r="G80" s="50">
        <v>76.099999999999994</v>
      </c>
      <c r="H80" s="50">
        <v>17.8</v>
      </c>
      <c r="I80" s="50" t="s">
        <v>264</v>
      </c>
      <c r="J80" s="50" t="s">
        <v>264</v>
      </c>
      <c r="K80" s="49">
        <v>1005.4</v>
      </c>
      <c r="L80" s="49">
        <v>1314.4</v>
      </c>
      <c r="M80" s="49">
        <v>1024.8</v>
      </c>
      <c r="N80" s="49">
        <v>289.60000000000002</v>
      </c>
      <c r="O80" s="50">
        <v>112</v>
      </c>
      <c r="P80" s="51">
        <v>197.7</v>
      </c>
      <c r="Q80" s="49">
        <v>67.5</v>
      </c>
      <c r="R80" s="49">
        <v>130.19999999999999</v>
      </c>
      <c r="S80" s="49"/>
      <c r="T80" s="49">
        <v>19.899999999999999</v>
      </c>
      <c r="U80" s="51">
        <v>26.4</v>
      </c>
      <c r="V80" s="49">
        <v>23.2</v>
      </c>
      <c r="W80" s="49">
        <v>3.2</v>
      </c>
      <c r="X80" s="49">
        <v>57.9</v>
      </c>
      <c r="Y80" s="49">
        <v>5.9</v>
      </c>
      <c r="Z80" s="9">
        <v>50.6</v>
      </c>
      <c r="AA80" s="50" t="s">
        <v>264</v>
      </c>
      <c r="AB80" s="50" t="s">
        <v>264</v>
      </c>
      <c r="AC80" s="50" t="s">
        <v>264</v>
      </c>
      <c r="AD80" s="50" t="s">
        <v>264</v>
      </c>
      <c r="AE80" s="50"/>
      <c r="AF80" s="51"/>
      <c r="AG80" s="50" t="s">
        <v>264</v>
      </c>
      <c r="AH80" s="50" t="s">
        <v>264</v>
      </c>
      <c r="AI80" s="49">
        <v>102.2</v>
      </c>
      <c r="AJ80" s="49"/>
      <c r="AK80" s="49"/>
      <c r="AL80" s="51">
        <v>90.6</v>
      </c>
      <c r="AM80" s="49">
        <v>41.4</v>
      </c>
      <c r="AN80" s="49">
        <v>49.2</v>
      </c>
      <c r="AO80" s="49">
        <v>2077.9</v>
      </c>
      <c r="AP80" s="49">
        <v>354.3</v>
      </c>
      <c r="AQ80" s="49">
        <v>81.8</v>
      </c>
      <c r="AR80" s="49">
        <v>32.299999999999997</v>
      </c>
      <c r="AS80" s="50">
        <v>159.1</v>
      </c>
      <c r="AT80" s="50">
        <v>77.3</v>
      </c>
      <c r="AU80" s="50">
        <v>85.4</v>
      </c>
      <c r="AV80" s="50">
        <v>69.8</v>
      </c>
      <c r="AW80" s="50">
        <v>12</v>
      </c>
      <c r="AX80" s="50">
        <v>3.9</v>
      </c>
      <c r="AY80" s="50">
        <v>38.6</v>
      </c>
      <c r="AZ80" s="50">
        <v>15.4</v>
      </c>
      <c r="BA80" s="50" t="s">
        <v>264</v>
      </c>
      <c r="BB80" s="50" t="s">
        <v>264</v>
      </c>
      <c r="BC80" s="50"/>
      <c r="BD80" s="53">
        <v>134.6</v>
      </c>
      <c r="BE80" s="52">
        <v>49.5</v>
      </c>
      <c r="BF80" s="52"/>
      <c r="BG80" s="52"/>
      <c r="BH80" s="52">
        <v>304.7</v>
      </c>
      <c r="BI80" s="52"/>
      <c r="BJ80" s="52"/>
      <c r="BK80" s="52">
        <v>133.6</v>
      </c>
      <c r="BL80" s="52">
        <v>7.4</v>
      </c>
      <c r="BM80" s="52">
        <v>445.7</v>
      </c>
      <c r="BN80" s="52">
        <v>292</v>
      </c>
      <c r="BO80" s="52"/>
      <c r="BP80" s="52"/>
      <c r="BQ80" s="52">
        <v>92.2</v>
      </c>
      <c r="BR80" s="52">
        <v>7.8</v>
      </c>
      <c r="BS80" s="53">
        <v>392</v>
      </c>
      <c r="BT80" s="52">
        <v>76</v>
      </c>
      <c r="BU80" s="52">
        <v>40.799999999999997</v>
      </c>
      <c r="BV80" s="50">
        <v>317.8</v>
      </c>
      <c r="BW80" s="50">
        <v>142</v>
      </c>
      <c r="BX80" s="49">
        <v>446.3</v>
      </c>
      <c r="BY80" s="50">
        <v>72.099999999999994</v>
      </c>
      <c r="BZ80" s="50">
        <v>14.9</v>
      </c>
      <c r="CA80" s="49">
        <v>87</v>
      </c>
      <c r="CB80" s="52"/>
      <c r="CC80" s="52"/>
      <c r="CD80" s="52"/>
      <c r="CE80" s="52"/>
      <c r="CF80" s="52">
        <v>126.6</v>
      </c>
      <c r="CG80" s="52">
        <v>182.7</v>
      </c>
      <c r="CH80" s="52">
        <v>25.3</v>
      </c>
      <c r="CI80" s="52"/>
      <c r="CJ80" s="52"/>
      <c r="CK80" s="52"/>
      <c r="CL80" s="52"/>
      <c r="CM80" s="52"/>
      <c r="CN80" s="52">
        <v>63.6</v>
      </c>
      <c r="CO80" s="52">
        <v>285.10000000000002</v>
      </c>
      <c r="CP80" s="52">
        <v>249.6</v>
      </c>
      <c r="CQ80" s="52">
        <v>35.5</v>
      </c>
      <c r="CR80" s="52" t="s">
        <v>264</v>
      </c>
      <c r="CS80" s="52">
        <v>66</v>
      </c>
      <c r="CT80" s="52">
        <v>47.8</v>
      </c>
      <c r="CU80" s="52">
        <v>18.2</v>
      </c>
      <c r="CV80" s="52">
        <v>93.9</v>
      </c>
      <c r="CW80" s="52">
        <v>17.7</v>
      </c>
      <c r="CX80" s="52">
        <v>76.2</v>
      </c>
      <c r="CY80" s="52" t="s">
        <v>264</v>
      </c>
      <c r="CZ80" s="52">
        <v>79.400000000000006</v>
      </c>
      <c r="DA80" s="8">
        <v>33.5</v>
      </c>
      <c r="DB80" s="52" t="s">
        <v>264</v>
      </c>
      <c r="DC80" s="52" t="s">
        <v>264</v>
      </c>
      <c r="DD80" s="52"/>
      <c r="DE80" s="52"/>
      <c r="DF80" s="53"/>
      <c r="DG80" s="53">
        <v>121.5</v>
      </c>
      <c r="DH80" s="53"/>
      <c r="DI80" s="53">
        <v>594.9</v>
      </c>
      <c r="DJ80" s="53"/>
      <c r="DK80" s="53">
        <v>380.9</v>
      </c>
      <c r="DL80" s="53">
        <v>98</v>
      </c>
      <c r="DM80" s="53">
        <v>186.9</v>
      </c>
      <c r="DN80" s="53"/>
      <c r="DO80" s="53">
        <v>141.5</v>
      </c>
      <c r="DP80" s="53">
        <v>188.9</v>
      </c>
      <c r="DQ80" s="53">
        <v>68.400000000000006</v>
      </c>
      <c r="DR80" s="53"/>
      <c r="DS80" s="53">
        <v>967.8</v>
      </c>
      <c r="DT80" s="53">
        <v>2748.8</v>
      </c>
      <c r="DU80" s="53">
        <v>-121.5</v>
      </c>
      <c r="DV80" s="53">
        <v>0</v>
      </c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  <c r="FK80" s="52"/>
      <c r="FL80" s="52"/>
      <c r="FM80" s="52"/>
      <c r="FN80" s="52"/>
      <c r="FO80" s="52"/>
      <c r="FP80" s="52"/>
      <c r="FQ80" s="52"/>
      <c r="FR80" s="52"/>
      <c r="FS80" s="52"/>
      <c r="FT80" s="52"/>
      <c r="FU80" s="52"/>
      <c r="FV80" s="52"/>
      <c r="FW80" s="52"/>
      <c r="FX80" s="52"/>
      <c r="FY80" s="52"/>
      <c r="FZ80" s="52"/>
      <c r="GA80" s="52"/>
      <c r="GB80" s="52"/>
      <c r="GC80" s="52"/>
      <c r="GD80" s="52"/>
      <c r="GE80" s="52"/>
      <c r="GF80" s="52"/>
      <c r="GG80" s="52"/>
      <c r="GH80" s="52"/>
      <c r="GI80" s="52"/>
      <c r="GJ80" s="52"/>
      <c r="GK80" s="52"/>
      <c r="GL80" s="52"/>
      <c r="GM80" s="52"/>
      <c r="GN80" s="52"/>
      <c r="GO80" s="52"/>
      <c r="GP80" s="52"/>
      <c r="GQ80" s="52"/>
      <c r="GR80" s="52"/>
      <c r="GS80" s="52"/>
      <c r="GT80" s="52"/>
      <c r="GU80" s="52"/>
      <c r="GV80" s="52"/>
      <c r="GW80" s="52"/>
      <c r="GX80" s="52"/>
      <c r="GY80" s="17"/>
      <c r="GZ80" s="52">
        <v>819.5</v>
      </c>
      <c r="HA80" s="52"/>
      <c r="HB80" s="17"/>
      <c r="HC80" s="17"/>
      <c r="HD80" s="17"/>
      <c r="HE80" s="17"/>
      <c r="HF80" s="52"/>
      <c r="HG80" s="52"/>
      <c r="HH80" s="52"/>
      <c r="HI80" s="52"/>
      <c r="HJ80" s="52"/>
      <c r="HK80" s="52"/>
      <c r="HL80" s="52"/>
      <c r="HM80" s="52"/>
      <c r="HN80" s="52"/>
      <c r="HO80" s="52"/>
      <c r="HP80" s="52"/>
      <c r="HQ80" s="52"/>
      <c r="HR80" s="52"/>
      <c r="HS80" s="52"/>
      <c r="HT80" s="52"/>
      <c r="HU80" s="52"/>
      <c r="HV80" s="52"/>
      <c r="HW80" s="52"/>
      <c r="HX80" s="52"/>
      <c r="HY80" s="52"/>
      <c r="HZ80" s="52"/>
      <c r="IA80" s="52"/>
      <c r="IB80" s="52"/>
      <c r="IC80" s="52"/>
      <c r="ID80" s="52"/>
      <c r="IE80" s="52"/>
      <c r="IF80" s="52"/>
      <c r="IG80" s="52"/>
      <c r="IH80" s="53"/>
      <c r="II80" s="53"/>
      <c r="IJ80" s="53"/>
      <c r="IK80" s="53"/>
      <c r="IL80" s="53"/>
      <c r="IM80" s="52"/>
      <c r="IN80" s="52">
        <v>112.9</v>
      </c>
      <c r="IY80" s="48">
        <f t="shared" si="5"/>
        <v>47.141298020954601</v>
      </c>
      <c r="IZ80" s="48">
        <f>IY80-'NOPA Crush'!J80</f>
        <v>3.1298020954601213E-2</v>
      </c>
      <c r="JB80" s="63">
        <f t="shared" si="3"/>
        <v>10.972788125727588</v>
      </c>
      <c r="JC80" s="64">
        <f>JB80-'NOPA Crush'!O80</f>
        <v>-2.7211874272412118E-2</v>
      </c>
      <c r="JD80" s="65"/>
      <c r="JE80" s="67">
        <f t="shared" si="4"/>
        <v>1314.4</v>
      </c>
      <c r="JF80" s="68">
        <f>'NOPA Crush'!Q80/'Census Crush'!JE80</f>
        <v>0.29892346317711499</v>
      </c>
    </row>
    <row r="81" spans="1:266">
      <c r="A81" s="39">
        <v>31503</v>
      </c>
      <c r="B81" s="50">
        <v>2532.9</v>
      </c>
      <c r="C81" s="50">
        <v>2028.4</v>
      </c>
      <c r="D81" s="50">
        <v>381.3</v>
      </c>
      <c r="E81" s="52">
        <v>883.6</v>
      </c>
      <c r="F81" s="50">
        <v>24.8</v>
      </c>
      <c r="G81" s="50">
        <v>82.6</v>
      </c>
      <c r="H81" s="50">
        <v>8.4</v>
      </c>
      <c r="I81" s="50" t="s">
        <v>264</v>
      </c>
      <c r="J81" s="50" t="s">
        <v>264</v>
      </c>
      <c r="K81" s="49">
        <v>935.4</v>
      </c>
      <c r="L81" s="49">
        <v>1286.2</v>
      </c>
      <c r="M81" s="49">
        <v>981.9</v>
      </c>
      <c r="N81" s="49">
        <v>304.3</v>
      </c>
      <c r="O81" s="50">
        <v>93.7</v>
      </c>
      <c r="P81" s="51">
        <v>179.7</v>
      </c>
      <c r="Q81" s="49">
        <v>57.3</v>
      </c>
      <c r="R81" s="49">
        <v>122.4</v>
      </c>
      <c r="S81" s="49"/>
      <c r="T81" s="49">
        <v>20.8</v>
      </c>
      <c r="U81" s="51">
        <v>31.3</v>
      </c>
      <c r="V81" s="49">
        <v>28.1</v>
      </c>
      <c r="W81" s="49">
        <v>3.2</v>
      </c>
      <c r="X81" s="49">
        <v>64.2</v>
      </c>
      <c r="Y81" s="49">
        <v>11.7</v>
      </c>
      <c r="Z81" s="49">
        <v>56.2</v>
      </c>
      <c r="AA81" s="49">
        <v>31.7</v>
      </c>
      <c r="AB81" s="49">
        <v>24.5</v>
      </c>
      <c r="AC81" s="49" t="s">
        <v>264</v>
      </c>
      <c r="AD81" s="49" t="s">
        <v>264</v>
      </c>
      <c r="AE81" s="49"/>
      <c r="AF81" s="51"/>
      <c r="AG81" s="50" t="s">
        <v>264</v>
      </c>
      <c r="AH81" s="50" t="s">
        <v>264</v>
      </c>
      <c r="AI81" s="49">
        <v>109.8</v>
      </c>
      <c r="AJ81" s="49"/>
      <c r="AK81" s="49"/>
      <c r="AL81" s="51">
        <v>88.6</v>
      </c>
      <c r="AM81" s="49">
        <v>46.5</v>
      </c>
      <c r="AN81" s="49">
        <v>42.1</v>
      </c>
      <c r="AO81" s="49">
        <v>1926.7</v>
      </c>
      <c r="AP81" s="49">
        <v>267.5</v>
      </c>
      <c r="AQ81" s="49">
        <v>81.7</v>
      </c>
      <c r="AR81" s="49">
        <v>33.299999999999997</v>
      </c>
      <c r="AS81" s="50">
        <v>128.6</v>
      </c>
      <c r="AT81" s="50">
        <v>92.6</v>
      </c>
      <c r="AU81" s="50">
        <v>69.900000000000006</v>
      </c>
      <c r="AV81" s="50">
        <v>75.3</v>
      </c>
      <c r="AW81" s="50">
        <v>13.3</v>
      </c>
      <c r="AX81" s="50">
        <v>5</v>
      </c>
      <c r="AY81" s="50">
        <v>42.2</v>
      </c>
      <c r="AZ81" s="50">
        <v>11.8</v>
      </c>
      <c r="BA81" s="50" t="s">
        <v>264</v>
      </c>
      <c r="BB81" s="50" t="s">
        <v>264</v>
      </c>
      <c r="BC81" s="50"/>
      <c r="BD81" s="53">
        <v>142.6</v>
      </c>
      <c r="BE81" s="52">
        <v>58.6</v>
      </c>
      <c r="BF81" s="52"/>
      <c r="BG81" s="52"/>
      <c r="BH81" s="52">
        <v>347.4</v>
      </c>
      <c r="BI81" s="52"/>
      <c r="BJ81" s="52"/>
      <c r="BK81" s="52">
        <v>138.1</v>
      </c>
      <c r="BL81" s="52">
        <v>7.7</v>
      </c>
      <c r="BM81" s="52">
        <v>493.2</v>
      </c>
      <c r="BN81" s="52">
        <v>278.5</v>
      </c>
      <c r="BO81" s="52"/>
      <c r="BP81" s="52"/>
      <c r="BQ81" s="52">
        <v>91</v>
      </c>
      <c r="BR81" s="52">
        <v>7.8</v>
      </c>
      <c r="BS81" s="53">
        <v>377.3</v>
      </c>
      <c r="BT81" s="52">
        <v>81</v>
      </c>
      <c r="BU81" s="52">
        <v>4</v>
      </c>
      <c r="BV81" s="50">
        <v>353.2</v>
      </c>
      <c r="BW81" s="50">
        <v>152</v>
      </c>
      <c r="BX81" s="49">
        <v>512.5</v>
      </c>
      <c r="BY81" s="50">
        <v>64.900000000000006</v>
      </c>
      <c r="BZ81" s="50">
        <v>13</v>
      </c>
      <c r="CA81" s="49">
        <v>77.900000000000006</v>
      </c>
      <c r="CB81" s="52"/>
      <c r="CC81" s="52"/>
      <c r="CD81" s="52"/>
      <c r="CE81" s="52"/>
      <c r="CF81" s="52">
        <v>120.7</v>
      </c>
      <c r="CG81" s="52">
        <v>183.4</v>
      </c>
      <c r="CH81" s="52">
        <v>29.2</v>
      </c>
      <c r="CI81" s="52"/>
      <c r="CJ81" s="52"/>
      <c r="CK81" s="52"/>
      <c r="CL81" s="52"/>
      <c r="CM81" s="52"/>
      <c r="CN81" s="52">
        <v>57.4</v>
      </c>
      <c r="CO81" s="52">
        <v>247.4</v>
      </c>
      <c r="CP81" s="52">
        <v>215.8</v>
      </c>
      <c r="CQ81" s="52">
        <v>31.6</v>
      </c>
      <c r="CR81" s="52" t="s">
        <v>264</v>
      </c>
      <c r="CS81" s="52">
        <v>56.1</v>
      </c>
      <c r="CT81" s="52">
        <v>38.5</v>
      </c>
      <c r="CU81" s="52">
        <v>17.600000000000001</v>
      </c>
      <c r="CV81" s="52">
        <v>67.099999999999994</v>
      </c>
      <c r="CW81" s="52">
        <v>13.6</v>
      </c>
      <c r="CX81" s="52">
        <v>53.5</v>
      </c>
      <c r="CY81" s="52" t="s">
        <v>264</v>
      </c>
      <c r="CZ81" s="52">
        <v>62.6</v>
      </c>
      <c r="DA81" s="8">
        <v>30</v>
      </c>
      <c r="DB81" s="52" t="s">
        <v>264</v>
      </c>
      <c r="DC81" s="52" t="s">
        <v>264</v>
      </c>
      <c r="DD81" s="52"/>
      <c r="DE81" s="52"/>
      <c r="DF81" s="53"/>
      <c r="DG81" s="53">
        <v>107.1</v>
      </c>
      <c r="DH81" s="53"/>
      <c r="DI81" s="53">
        <v>531.1</v>
      </c>
      <c r="DJ81" s="53">
        <v>151</v>
      </c>
      <c r="DK81" s="53">
        <v>316.8</v>
      </c>
      <c r="DL81" s="53"/>
      <c r="DM81" s="53">
        <v>163</v>
      </c>
      <c r="DN81" s="53"/>
      <c r="DO81" s="53">
        <v>151.19999999999999</v>
      </c>
      <c r="DP81" s="53">
        <v>171.1</v>
      </c>
      <c r="DQ81" s="53">
        <v>59.4</v>
      </c>
      <c r="DR81" s="53"/>
      <c r="DS81" s="53">
        <v>882.3</v>
      </c>
      <c r="DT81" s="53">
        <v>2533</v>
      </c>
      <c r="DU81" s="53">
        <v>-107.09999999999991</v>
      </c>
      <c r="DV81" s="53">
        <v>9.9999999999909051E-2</v>
      </c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2"/>
      <c r="FF81" s="52"/>
      <c r="FG81" s="52"/>
      <c r="FH81" s="52"/>
      <c r="FI81" s="52"/>
      <c r="FJ81" s="52"/>
      <c r="FK81" s="52"/>
      <c r="FL81" s="52"/>
      <c r="FM81" s="52"/>
      <c r="FN81" s="52"/>
      <c r="FO81" s="52"/>
      <c r="FP81" s="52"/>
      <c r="FQ81" s="52"/>
      <c r="FR81" s="52"/>
      <c r="FS81" s="52"/>
      <c r="FT81" s="52"/>
      <c r="FU81" s="52"/>
      <c r="FV81" s="52"/>
      <c r="FW81" s="52"/>
      <c r="FX81" s="52"/>
      <c r="FY81" s="52"/>
      <c r="FZ81" s="52"/>
      <c r="GA81" s="52"/>
      <c r="GB81" s="52"/>
      <c r="GC81" s="52"/>
      <c r="GD81" s="52"/>
      <c r="GE81" s="52"/>
      <c r="GF81" s="52"/>
      <c r="GG81" s="52"/>
      <c r="GH81" s="52"/>
      <c r="GI81" s="52"/>
      <c r="GJ81" s="52"/>
      <c r="GK81" s="52"/>
      <c r="GL81" s="52"/>
      <c r="GM81" s="52"/>
      <c r="GN81" s="52"/>
      <c r="GO81" s="52"/>
      <c r="GP81" s="52"/>
      <c r="GQ81" s="52"/>
      <c r="GR81" s="52"/>
      <c r="GS81" s="52"/>
      <c r="GT81" s="52"/>
      <c r="GU81" s="52"/>
      <c r="GV81" s="52"/>
      <c r="GW81" s="52"/>
      <c r="GX81" s="52"/>
      <c r="GY81" s="17"/>
      <c r="GZ81" s="52">
        <v>783</v>
      </c>
      <c r="HA81" s="52"/>
      <c r="HB81" s="17"/>
      <c r="HC81" s="17"/>
      <c r="HD81" s="17"/>
      <c r="HE81" s="17"/>
      <c r="HF81" s="52"/>
      <c r="HG81" s="52"/>
      <c r="HH81" s="52"/>
      <c r="HI81" s="52"/>
      <c r="HJ81" s="52"/>
      <c r="HK81" s="52"/>
      <c r="HL81" s="52"/>
      <c r="HM81" s="52"/>
      <c r="HN81" s="52"/>
      <c r="HO81" s="52"/>
      <c r="HP81" s="52"/>
      <c r="HQ81" s="52"/>
      <c r="HR81" s="52"/>
      <c r="HS81" s="52"/>
      <c r="HT81" s="52"/>
      <c r="HU81" s="52"/>
      <c r="HV81" s="52"/>
      <c r="HW81" s="52"/>
      <c r="HX81" s="52"/>
      <c r="HY81" s="52"/>
      <c r="HZ81" s="52"/>
      <c r="IA81" s="52"/>
      <c r="IB81" s="52"/>
      <c r="IC81" s="52"/>
      <c r="ID81" s="52"/>
      <c r="IE81" s="52"/>
      <c r="IF81" s="52"/>
      <c r="IG81" s="52"/>
      <c r="IH81" s="53"/>
      <c r="II81" s="53"/>
      <c r="IJ81" s="53"/>
      <c r="IK81" s="53"/>
      <c r="IL81" s="53"/>
      <c r="IM81" s="52"/>
      <c r="IN81" s="52">
        <v>95</v>
      </c>
      <c r="IY81" s="48">
        <f t="shared" si="5"/>
        <v>47.575506336610211</v>
      </c>
      <c r="IZ81" s="48">
        <f>IY81-'NOPA Crush'!J81</f>
        <v>3.550633661021152E-2</v>
      </c>
      <c r="JB81" s="63">
        <f t="shared" si="3"/>
        <v>11.079000355323936</v>
      </c>
      <c r="JC81" s="64">
        <f>JB81-'NOPA Crush'!O81</f>
        <v>0.1590003553239363</v>
      </c>
      <c r="JD81" s="65"/>
      <c r="JE81" s="67">
        <f t="shared" si="4"/>
        <v>1286.2</v>
      </c>
      <c r="JF81" s="68">
        <f>'NOPA Crush'!Q81/'Census Crush'!JE81</f>
        <v>0.28464702223604416</v>
      </c>
    </row>
    <row r="82" spans="1:266">
      <c r="A82" s="39">
        <v>31533</v>
      </c>
      <c r="B82" s="50">
        <v>2588.1</v>
      </c>
      <c r="C82" s="50">
        <v>1595.4</v>
      </c>
      <c r="D82" s="50">
        <v>213.8</v>
      </c>
      <c r="E82" s="52">
        <v>638.9</v>
      </c>
      <c r="F82" s="50">
        <v>37.799999999999997</v>
      </c>
      <c r="G82" s="50">
        <v>39</v>
      </c>
      <c r="H82" s="50">
        <v>13.7</v>
      </c>
      <c r="I82" s="50" t="s">
        <v>264</v>
      </c>
      <c r="J82" s="50" t="s">
        <v>264</v>
      </c>
      <c r="K82" s="49">
        <v>953.3</v>
      </c>
      <c r="L82" s="49">
        <v>1421.6</v>
      </c>
      <c r="M82" s="49">
        <v>1115.0999999999999</v>
      </c>
      <c r="N82" s="49">
        <v>306.5</v>
      </c>
      <c r="O82" s="50">
        <v>69.599999999999994</v>
      </c>
      <c r="P82" s="51">
        <v>167.9</v>
      </c>
      <c r="Q82" s="49">
        <v>52.2</v>
      </c>
      <c r="R82" s="49">
        <v>115.7</v>
      </c>
      <c r="S82" s="49"/>
      <c r="T82" s="49">
        <v>24</v>
      </c>
      <c r="U82" s="51">
        <v>37.1</v>
      </c>
      <c r="V82" s="49">
        <v>33.700000000000003</v>
      </c>
      <c r="W82" s="49">
        <v>3.4</v>
      </c>
      <c r="X82" s="49">
        <v>30</v>
      </c>
      <c r="Y82" s="49">
        <v>6</v>
      </c>
      <c r="Z82" s="49">
        <v>43.900000000000006</v>
      </c>
      <c r="AA82" s="49">
        <v>32.700000000000003</v>
      </c>
      <c r="AB82" s="49">
        <v>11.2</v>
      </c>
      <c r="AC82" s="49" t="s">
        <v>264</v>
      </c>
      <c r="AD82" s="49" t="s">
        <v>264</v>
      </c>
      <c r="AE82" s="49"/>
      <c r="AF82" s="51"/>
      <c r="AG82" s="50" t="s">
        <v>264</v>
      </c>
      <c r="AH82" s="50" t="s">
        <v>264</v>
      </c>
      <c r="AI82" s="49">
        <v>118.4</v>
      </c>
      <c r="AJ82" s="49"/>
      <c r="AK82" s="49"/>
      <c r="AL82" s="51">
        <v>81.3</v>
      </c>
      <c r="AM82" s="49">
        <v>40.799999999999997</v>
      </c>
      <c r="AN82" s="49">
        <v>40.5</v>
      </c>
      <c r="AO82" s="49">
        <v>1949.5</v>
      </c>
      <c r="AP82" s="49">
        <v>249.3</v>
      </c>
      <c r="AQ82" s="49">
        <v>87.2</v>
      </c>
      <c r="AR82" s="49">
        <v>33.1</v>
      </c>
      <c r="AS82" s="50">
        <v>97.5</v>
      </c>
      <c r="AT82" s="50">
        <v>101.4</v>
      </c>
      <c r="AU82" s="50">
        <v>53.6</v>
      </c>
      <c r="AV82" s="50">
        <v>69.099999999999994</v>
      </c>
      <c r="AW82" s="50">
        <v>16.600000000000001</v>
      </c>
      <c r="AX82" s="50">
        <v>8.5</v>
      </c>
      <c r="AY82" s="50">
        <v>20.7</v>
      </c>
      <c r="AZ82" s="50">
        <v>7.6</v>
      </c>
      <c r="BA82" s="50" t="s">
        <v>264</v>
      </c>
      <c r="BB82" s="50" t="s">
        <v>264</v>
      </c>
      <c r="BC82" s="50"/>
      <c r="BD82" s="53">
        <v>140.1</v>
      </c>
      <c r="BE82" s="52">
        <v>48.7</v>
      </c>
      <c r="BF82" s="52"/>
      <c r="BG82" s="52"/>
      <c r="BH82" s="52">
        <v>332.6</v>
      </c>
      <c r="BI82" s="52"/>
      <c r="BJ82" s="52"/>
      <c r="BK82" s="52">
        <v>134.1</v>
      </c>
      <c r="BL82" s="52">
        <v>7.6</v>
      </c>
      <c r="BM82" s="52">
        <v>474.3</v>
      </c>
      <c r="BN82" s="52">
        <v>277.3</v>
      </c>
      <c r="BO82" s="52"/>
      <c r="BP82" s="52"/>
      <c r="BQ82" s="52">
        <v>87.4</v>
      </c>
      <c r="BR82" s="52">
        <v>7.8</v>
      </c>
      <c r="BS82" s="53">
        <v>372.50000000000006</v>
      </c>
      <c r="BT82" s="52">
        <v>76</v>
      </c>
      <c r="BU82" s="52">
        <v>35.5</v>
      </c>
      <c r="BV82" s="50">
        <v>327.39999999999998</v>
      </c>
      <c r="BW82" s="50">
        <v>150.4</v>
      </c>
      <c r="BX82" s="49">
        <v>494.9</v>
      </c>
      <c r="BY82" s="50">
        <v>56.7</v>
      </c>
      <c r="BZ82" s="50">
        <v>12.1</v>
      </c>
      <c r="CA82" s="49">
        <v>68.8</v>
      </c>
      <c r="CB82" s="52"/>
      <c r="CC82" s="52"/>
      <c r="CD82" s="52"/>
      <c r="CE82" s="52"/>
      <c r="CF82" s="52">
        <v>111.7</v>
      </c>
      <c r="CG82" s="52">
        <v>181.1</v>
      </c>
      <c r="CH82" s="52">
        <v>27.6</v>
      </c>
      <c r="CI82" s="52"/>
      <c r="CJ82" s="52"/>
      <c r="CK82" s="52"/>
      <c r="CL82" s="52"/>
      <c r="CM82" s="52"/>
      <c r="CN82" s="52">
        <v>65.900000000000006</v>
      </c>
      <c r="CO82" s="52">
        <v>289.3</v>
      </c>
      <c r="CP82" s="52">
        <v>258.60000000000002</v>
      </c>
      <c r="CQ82" s="52">
        <v>30.7</v>
      </c>
      <c r="CR82" s="52" t="s">
        <v>264</v>
      </c>
      <c r="CS82" s="52">
        <v>40.1</v>
      </c>
      <c r="CT82" s="52">
        <v>28.2</v>
      </c>
      <c r="CU82" s="52">
        <v>11.9</v>
      </c>
      <c r="CV82" s="52">
        <v>80.8</v>
      </c>
      <c r="CW82" s="52">
        <v>18.8</v>
      </c>
      <c r="CX82" s="52">
        <v>62</v>
      </c>
      <c r="CY82" s="52" t="s">
        <v>264</v>
      </c>
      <c r="CZ82" s="52">
        <v>102.1</v>
      </c>
      <c r="DA82" s="8">
        <v>28.8</v>
      </c>
      <c r="DB82" s="52" t="s">
        <v>264</v>
      </c>
      <c r="DC82" s="52" t="s">
        <v>264</v>
      </c>
      <c r="DD82" s="52"/>
      <c r="DE82" s="52"/>
      <c r="DF82" s="53"/>
      <c r="DG82" s="53">
        <v>103.3</v>
      </c>
      <c r="DH82" s="53">
        <v>77.099999999999994</v>
      </c>
      <c r="DI82" s="53">
        <v>474.5</v>
      </c>
      <c r="DJ82" s="53">
        <v>181.1</v>
      </c>
      <c r="DK82" s="53">
        <v>355</v>
      </c>
      <c r="DL82" s="53">
        <v>113</v>
      </c>
      <c r="DM82" s="53">
        <v>182</v>
      </c>
      <c r="DN82" s="53"/>
      <c r="DO82" s="53">
        <v>145.30000000000001</v>
      </c>
      <c r="DP82" s="53">
        <v>169.8</v>
      </c>
      <c r="DQ82" s="53">
        <v>59.8</v>
      </c>
      <c r="DR82" s="53"/>
      <c r="DS82" s="53">
        <v>727.6</v>
      </c>
      <c r="DT82" s="53">
        <v>2588.5</v>
      </c>
      <c r="DU82" s="53">
        <v>-180.40000000000009</v>
      </c>
      <c r="DV82" s="53">
        <v>0.40000000000009095</v>
      </c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  <c r="FK82" s="52"/>
      <c r="FL82" s="52"/>
      <c r="FM82" s="52"/>
      <c r="FN82" s="52"/>
      <c r="FO82" s="52"/>
      <c r="FP82" s="52"/>
      <c r="FQ82" s="52"/>
      <c r="FR82" s="52"/>
      <c r="FS82" s="52"/>
      <c r="FT82" s="52"/>
      <c r="FU82" s="52"/>
      <c r="FV82" s="52"/>
      <c r="FW82" s="52"/>
      <c r="FX82" s="52"/>
      <c r="FY82" s="52"/>
      <c r="FZ82" s="52"/>
      <c r="GA82" s="52"/>
      <c r="GB82" s="52"/>
      <c r="GC82" s="52"/>
      <c r="GD82" s="52"/>
      <c r="GE82" s="52"/>
      <c r="GF82" s="52"/>
      <c r="GG82" s="52"/>
      <c r="GH82" s="52"/>
      <c r="GI82" s="52"/>
      <c r="GJ82" s="52"/>
      <c r="GK82" s="52"/>
      <c r="GL82" s="52"/>
      <c r="GM82" s="52"/>
      <c r="GN82" s="52"/>
      <c r="GO82" s="52"/>
      <c r="GP82" s="52"/>
      <c r="GQ82" s="52"/>
      <c r="GR82" s="52"/>
      <c r="GS82" s="52"/>
      <c r="GT82" s="52"/>
      <c r="GU82" s="52"/>
      <c r="GV82" s="52"/>
      <c r="GW82" s="52"/>
      <c r="GX82" s="52"/>
      <c r="GY82" s="17"/>
      <c r="GZ82" s="52">
        <v>808.5</v>
      </c>
      <c r="HA82" s="52"/>
      <c r="HB82" s="17"/>
      <c r="HC82" s="17"/>
      <c r="HD82" s="17"/>
      <c r="HE82" s="17"/>
      <c r="HF82" s="52"/>
      <c r="HG82" s="52"/>
      <c r="HH82" s="52"/>
      <c r="HI82" s="52"/>
      <c r="HJ82" s="52"/>
      <c r="HK82" s="52"/>
      <c r="HL82" s="52"/>
      <c r="HM82" s="52"/>
      <c r="HN82" s="52"/>
      <c r="HO82" s="52"/>
      <c r="HP82" s="52"/>
      <c r="HQ82" s="52"/>
      <c r="HR82" s="52"/>
      <c r="HS82" s="52"/>
      <c r="HT82" s="52"/>
      <c r="HU82" s="52"/>
      <c r="HV82" s="52"/>
      <c r="HW82" s="52"/>
      <c r="HX82" s="52"/>
      <c r="HY82" s="52"/>
      <c r="HZ82" s="52"/>
      <c r="IA82" s="52"/>
      <c r="IB82" s="52"/>
      <c r="IC82" s="52"/>
      <c r="ID82" s="52"/>
      <c r="IE82" s="52"/>
      <c r="IF82" s="52"/>
      <c r="IG82" s="52"/>
      <c r="IH82" s="53"/>
      <c r="II82" s="53"/>
      <c r="IJ82" s="53"/>
      <c r="IK82" s="53"/>
      <c r="IL82" s="53"/>
      <c r="IM82" s="52"/>
      <c r="IN82" s="52">
        <v>63.7</v>
      </c>
      <c r="IY82" s="48">
        <f t="shared" si="5"/>
        <v>47.21687724585604</v>
      </c>
      <c r="IZ82" s="48">
        <f>IY82-'NOPA Crush'!J82</f>
        <v>-0.10312275414396055</v>
      </c>
      <c r="JB82" s="63">
        <f t="shared" si="3"/>
        <v>11.050191259997682</v>
      </c>
      <c r="JC82" s="64">
        <f>JB82-'NOPA Crush'!O82</f>
        <v>-9.8087400023185722E-3</v>
      </c>
      <c r="JD82" s="65"/>
      <c r="JE82" s="67">
        <f t="shared" si="4"/>
        <v>1421.6</v>
      </c>
      <c r="JF82" s="68">
        <f>'NOPA Crush'!Q82/'Census Crush'!JE82</f>
        <v>0.3505514912774339</v>
      </c>
    </row>
    <row r="83" spans="1:266">
      <c r="A83" s="39">
        <v>31564</v>
      </c>
      <c r="B83" s="50">
        <v>2387.6</v>
      </c>
      <c r="C83" s="50">
        <v>1220.8</v>
      </c>
      <c r="D83" s="50">
        <v>154.5</v>
      </c>
      <c r="E83" s="52">
        <v>445.5</v>
      </c>
      <c r="F83" s="50">
        <v>31.8</v>
      </c>
      <c r="G83" s="50">
        <v>32.799999999999997</v>
      </c>
      <c r="H83" s="50" t="s">
        <v>264</v>
      </c>
      <c r="I83" s="50" t="s">
        <v>264</v>
      </c>
      <c r="J83" s="50" t="s">
        <v>264</v>
      </c>
      <c r="K83" s="49">
        <v>881.9</v>
      </c>
      <c r="L83" s="49">
        <v>1286.2</v>
      </c>
      <c r="M83" s="49">
        <v>1000.1</v>
      </c>
      <c r="N83" s="49">
        <v>286.10000000000002</v>
      </c>
      <c r="O83" s="50">
        <v>50.1</v>
      </c>
      <c r="P83" s="51">
        <v>154.60000000000002</v>
      </c>
      <c r="Q83" s="49">
        <v>48.7</v>
      </c>
      <c r="R83" s="49">
        <v>105.9</v>
      </c>
      <c r="S83" s="49"/>
      <c r="T83" s="49">
        <v>26.4</v>
      </c>
      <c r="U83" s="51">
        <v>54.7</v>
      </c>
      <c r="V83" s="49">
        <v>51.1</v>
      </c>
      <c r="W83" s="49">
        <v>3.6</v>
      </c>
      <c r="X83" s="49">
        <v>25.8</v>
      </c>
      <c r="Y83" s="49">
        <v>3.8</v>
      </c>
      <c r="Z83" s="49">
        <v>48</v>
      </c>
      <c r="AA83" s="49">
        <v>39.4</v>
      </c>
      <c r="AB83" s="49">
        <v>8.6</v>
      </c>
      <c r="AC83" s="49" t="s">
        <v>264</v>
      </c>
      <c r="AD83" s="49" t="s">
        <v>264</v>
      </c>
      <c r="AE83" s="49"/>
      <c r="AF83" s="51"/>
      <c r="AG83" s="50" t="s">
        <v>264</v>
      </c>
      <c r="AH83" s="50" t="s">
        <v>264</v>
      </c>
      <c r="AI83" s="49">
        <v>106.3</v>
      </c>
      <c r="AJ83" s="49"/>
      <c r="AK83" s="49"/>
      <c r="AL83" s="51">
        <v>95.9</v>
      </c>
      <c r="AM83" s="49">
        <v>44.1</v>
      </c>
      <c r="AN83" s="49">
        <v>51.8</v>
      </c>
      <c r="AO83" s="49">
        <v>1799.6</v>
      </c>
      <c r="AP83" s="49">
        <v>242.1</v>
      </c>
      <c r="AQ83" s="49">
        <v>79.8</v>
      </c>
      <c r="AR83" s="49">
        <v>36.6</v>
      </c>
      <c r="AS83" s="50">
        <v>71.400000000000006</v>
      </c>
      <c r="AT83" s="50">
        <v>101.8</v>
      </c>
      <c r="AU83" s="50">
        <v>40.200000000000003</v>
      </c>
      <c r="AV83" s="50">
        <v>67.7</v>
      </c>
      <c r="AW83" s="50">
        <v>16.3</v>
      </c>
      <c r="AX83" s="50">
        <v>12.2</v>
      </c>
      <c r="AY83" s="50">
        <v>19.100000000000001</v>
      </c>
      <c r="AZ83" s="50">
        <v>8.6</v>
      </c>
      <c r="BA83" s="50" t="s">
        <v>264</v>
      </c>
      <c r="BB83" s="50" t="s">
        <v>264</v>
      </c>
      <c r="BC83" s="50"/>
      <c r="BD83" s="53">
        <v>126.6</v>
      </c>
      <c r="BE83" s="52">
        <v>33.700000000000003</v>
      </c>
      <c r="BF83" s="52"/>
      <c r="BG83" s="52"/>
      <c r="BH83" s="52">
        <v>314.10000000000002</v>
      </c>
      <c r="BI83" s="52"/>
      <c r="BJ83" s="52"/>
      <c r="BK83" s="52">
        <v>144.1</v>
      </c>
      <c r="BL83" s="52">
        <v>7.4</v>
      </c>
      <c r="BM83" s="52">
        <v>465.6</v>
      </c>
      <c r="BN83" s="52">
        <v>296.60000000000002</v>
      </c>
      <c r="BO83" s="52"/>
      <c r="BP83" s="52"/>
      <c r="BQ83" s="52">
        <v>89</v>
      </c>
      <c r="BR83" s="52">
        <v>7.4</v>
      </c>
      <c r="BS83" s="53">
        <v>393</v>
      </c>
      <c r="BT83" s="52">
        <v>67</v>
      </c>
      <c r="BU83" s="52">
        <v>27.3</v>
      </c>
      <c r="BV83" s="50">
        <v>314.8</v>
      </c>
      <c r="BW83" s="50">
        <v>137</v>
      </c>
      <c r="BX83" s="49">
        <v>468.5</v>
      </c>
      <c r="BY83" s="50">
        <v>50.9</v>
      </c>
      <c r="BZ83" s="50">
        <v>12.1</v>
      </c>
      <c r="CA83" s="49">
        <v>63</v>
      </c>
      <c r="CB83" s="52"/>
      <c r="CC83" s="52"/>
      <c r="CD83" s="52"/>
      <c r="CE83" s="52"/>
      <c r="CF83" s="52">
        <v>108.4</v>
      </c>
      <c r="CG83" s="52">
        <v>175.5</v>
      </c>
      <c r="CH83" s="52">
        <v>26.5</v>
      </c>
      <c r="CI83" s="52"/>
      <c r="CJ83" s="52"/>
      <c r="CK83" s="52"/>
      <c r="CL83" s="52"/>
      <c r="CM83" s="52"/>
      <c r="CN83" s="52">
        <v>57.1</v>
      </c>
      <c r="CO83" s="52">
        <v>275</v>
      </c>
      <c r="CP83" s="52">
        <v>239.7</v>
      </c>
      <c r="CQ83" s="52">
        <v>35.299999999999997</v>
      </c>
      <c r="CR83" s="52" t="s">
        <v>264</v>
      </c>
      <c r="CS83" s="52">
        <v>46</v>
      </c>
      <c r="CT83" s="52">
        <v>30</v>
      </c>
      <c r="CU83" s="52">
        <v>16</v>
      </c>
      <c r="CV83" s="52">
        <v>75.400000000000006</v>
      </c>
      <c r="CW83" s="52">
        <v>18.899999999999999</v>
      </c>
      <c r="CX83" s="52">
        <v>56.5</v>
      </c>
      <c r="CY83" s="52" t="s">
        <v>264</v>
      </c>
      <c r="CZ83" s="52">
        <v>81.5</v>
      </c>
      <c r="DA83" s="8">
        <v>17.8</v>
      </c>
      <c r="DB83" s="52" t="s">
        <v>264</v>
      </c>
      <c r="DC83" s="52" t="s">
        <v>264</v>
      </c>
      <c r="DD83" s="52"/>
      <c r="DE83" s="52"/>
      <c r="DF83" s="53"/>
      <c r="DG83" s="53"/>
      <c r="DH83" s="53">
        <v>107.8</v>
      </c>
      <c r="DI83" s="53">
        <v>459.3</v>
      </c>
      <c r="DJ83" s="53">
        <v>133</v>
      </c>
      <c r="DK83" s="53">
        <v>343.4</v>
      </c>
      <c r="DL83" s="53">
        <v>107.5</v>
      </c>
      <c r="DM83" s="53">
        <v>179</v>
      </c>
      <c r="DN83" s="53"/>
      <c r="DO83" s="53">
        <v>132.80000000000001</v>
      </c>
      <c r="DP83" s="53">
        <v>158.69999999999999</v>
      </c>
      <c r="DQ83" s="53"/>
      <c r="DR83" s="53"/>
      <c r="DS83" s="53">
        <v>766</v>
      </c>
      <c r="DT83" s="53">
        <v>2387.5</v>
      </c>
      <c r="DU83" s="53">
        <v>-107.80000000000018</v>
      </c>
      <c r="DV83" s="53">
        <v>-9.9999999999909051E-2</v>
      </c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2"/>
      <c r="FN83" s="52"/>
      <c r="FO83" s="52"/>
      <c r="FP83" s="52"/>
      <c r="FQ83" s="52"/>
      <c r="FR83" s="52"/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2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17"/>
      <c r="GZ83" s="52">
        <v>816.8</v>
      </c>
      <c r="HA83" s="52"/>
      <c r="HB83" s="17"/>
      <c r="HC83" s="17"/>
      <c r="HD83" s="17"/>
      <c r="HE83" s="17"/>
      <c r="HF83" s="52"/>
      <c r="HG83" s="52"/>
      <c r="HH83" s="52"/>
      <c r="HI83" s="52"/>
      <c r="HJ83" s="52"/>
      <c r="HK83" s="52"/>
      <c r="HL83" s="52"/>
      <c r="HM83" s="52"/>
      <c r="HN83" s="52"/>
      <c r="HO83" s="52"/>
      <c r="HP83" s="52"/>
      <c r="HQ83" s="52"/>
      <c r="HR83" s="52"/>
      <c r="HS83" s="52"/>
      <c r="HT83" s="52"/>
      <c r="HU83" s="52"/>
      <c r="HV83" s="52"/>
      <c r="HW83" s="52"/>
      <c r="HX83" s="52"/>
      <c r="HY83" s="52"/>
      <c r="HZ83" s="52"/>
      <c r="IA83" s="52"/>
      <c r="IB83" s="52"/>
      <c r="IC83" s="52"/>
      <c r="ID83" s="52"/>
      <c r="IE83" s="52"/>
      <c r="IF83" s="52"/>
      <c r="IG83" s="52"/>
      <c r="IH83" s="53"/>
      <c r="II83" s="53"/>
      <c r="IJ83" s="53"/>
      <c r="IK83" s="53"/>
      <c r="IL83" s="53"/>
      <c r="IM83" s="52"/>
      <c r="IN83" s="52">
        <v>54.9</v>
      </c>
      <c r="IY83" s="48">
        <f t="shared" si="5"/>
        <v>47.229016585692747</v>
      </c>
      <c r="IZ83" s="48">
        <f>IY83-'NOPA Crush'!J83</f>
        <v>9.9016585692744741E-2</v>
      </c>
      <c r="JB83" s="63">
        <f t="shared" si="3"/>
        <v>11.08100184285475</v>
      </c>
      <c r="JC83" s="64">
        <f>JB83-'NOPA Crush'!O83</f>
        <v>-0.24899815714524998</v>
      </c>
      <c r="JD83" s="65"/>
      <c r="JE83" s="67">
        <f t="shared" si="4"/>
        <v>1286.2</v>
      </c>
      <c r="JF83" s="68">
        <f>'NOPA Crush'!Q83/'Census Crush'!JE83</f>
        <v>0.32862774063131706</v>
      </c>
    </row>
    <row r="84" spans="1:266">
      <c r="A84" s="39">
        <v>31594</v>
      </c>
      <c r="B84" s="50">
        <v>2492.9</v>
      </c>
      <c r="C84" s="50">
        <v>1206.9000000000001</v>
      </c>
      <c r="D84" s="50">
        <v>115.3</v>
      </c>
      <c r="E84" s="52">
        <v>346.6</v>
      </c>
      <c r="F84" s="50">
        <v>16.8</v>
      </c>
      <c r="G84" s="50" t="s">
        <v>264</v>
      </c>
      <c r="H84" s="50" t="s">
        <v>264</v>
      </c>
      <c r="I84" s="50" t="s">
        <v>264</v>
      </c>
      <c r="J84" s="50" t="s">
        <v>264</v>
      </c>
      <c r="K84" s="49">
        <v>909.5</v>
      </c>
      <c r="L84" s="49">
        <v>1320.8000000000002</v>
      </c>
      <c r="M84" s="49">
        <v>1031.7</v>
      </c>
      <c r="N84" s="49">
        <v>289.10000000000002</v>
      </c>
      <c r="O84" s="50">
        <v>37.799999999999997</v>
      </c>
      <c r="P84" s="51">
        <v>110.4</v>
      </c>
      <c r="Q84" s="49">
        <v>35.4</v>
      </c>
      <c r="R84" s="49">
        <v>75</v>
      </c>
      <c r="S84" s="49"/>
      <c r="T84" s="49">
        <v>14.2</v>
      </c>
      <c r="U84" s="51">
        <v>61.8</v>
      </c>
      <c r="V84" s="49">
        <v>57</v>
      </c>
      <c r="W84" s="49">
        <v>4.8</v>
      </c>
      <c r="X84" s="50" t="s">
        <v>264</v>
      </c>
      <c r="Y84" s="49">
        <v>4.9000000000000004</v>
      </c>
      <c r="Z84" s="49">
        <v>73.5</v>
      </c>
      <c r="AA84" s="49">
        <v>63.6</v>
      </c>
      <c r="AB84" s="49">
        <v>9.9</v>
      </c>
      <c r="AC84" s="49" t="s">
        <v>264</v>
      </c>
      <c r="AD84" s="49" t="s">
        <v>264</v>
      </c>
      <c r="AE84" s="49"/>
      <c r="AF84" s="51"/>
      <c r="AG84" s="50" t="s">
        <v>264</v>
      </c>
      <c r="AH84" s="50" t="s">
        <v>264</v>
      </c>
      <c r="AI84" s="49">
        <v>108.6</v>
      </c>
      <c r="AJ84" s="49"/>
      <c r="AK84" s="49"/>
      <c r="AL84" s="51">
        <v>103.6</v>
      </c>
      <c r="AM84" s="49">
        <v>46</v>
      </c>
      <c r="AN84" s="49">
        <v>57.6</v>
      </c>
      <c r="AO84" s="49">
        <v>1886.6</v>
      </c>
      <c r="AP84" s="49">
        <v>211.6</v>
      </c>
      <c r="AQ84" s="49">
        <v>90</v>
      </c>
      <c r="AR84" s="49">
        <v>39</v>
      </c>
      <c r="AS84" s="50">
        <v>51.9</v>
      </c>
      <c r="AT84" s="50">
        <v>77.099999999999994</v>
      </c>
      <c r="AU84" s="50">
        <v>28.3</v>
      </c>
      <c r="AV84" s="50">
        <v>57</v>
      </c>
      <c r="AW84" s="50">
        <v>8.5</v>
      </c>
      <c r="AX84" s="50">
        <v>10.7</v>
      </c>
      <c r="AY84" s="50" t="s">
        <v>264</v>
      </c>
      <c r="AZ84" s="50">
        <v>7.5</v>
      </c>
      <c r="BA84" s="50" t="s">
        <v>264</v>
      </c>
      <c r="BB84" s="50" t="s">
        <v>264</v>
      </c>
      <c r="BC84" s="50"/>
      <c r="BD84" s="53">
        <v>123.7</v>
      </c>
      <c r="BE84" s="52">
        <v>35.6</v>
      </c>
      <c r="BF84" s="52"/>
      <c r="BG84" s="52"/>
      <c r="BH84" s="52">
        <v>336.5</v>
      </c>
      <c r="BI84" s="52"/>
      <c r="BJ84" s="52"/>
      <c r="BK84" s="52">
        <v>153</v>
      </c>
      <c r="BL84" s="52">
        <v>6.4</v>
      </c>
      <c r="BM84" s="52">
        <v>495.9</v>
      </c>
      <c r="BN84" s="52">
        <v>264.39999999999998</v>
      </c>
      <c r="BO84" s="52"/>
      <c r="BP84" s="52"/>
      <c r="BQ84" s="52">
        <v>91.3</v>
      </c>
      <c r="BR84" s="52">
        <v>7.6</v>
      </c>
      <c r="BS84" s="53">
        <v>363.3</v>
      </c>
      <c r="BT84" s="52">
        <v>67</v>
      </c>
      <c r="BU84" s="52">
        <v>32.1</v>
      </c>
      <c r="BV84" s="50">
        <v>341.3</v>
      </c>
      <c r="BW84" s="50">
        <v>122.6</v>
      </c>
      <c r="BX84" s="49">
        <v>471.3</v>
      </c>
      <c r="BY84" s="50">
        <v>54.2</v>
      </c>
      <c r="BZ84" s="50">
        <v>9.5</v>
      </c>
      <c r="CA84" s="49">
        <v>63.7</v>
      </c>
      <c r="CB84" s="52"/>
      <c r="CC84" s="52"/>
      <c r="CD84" s="52"/>
      <c r="CE84" s="52"/>
      <c r="CF84" s="52">
        <v>107.7</v>
      </c>
      <c r="CG84" s="52">
        <v>184.1</v>
      </c>
      <c r="CH84" s="52">
        <v>25.3</v>
      </c>
      <c r="CI84" s="52"/>
      <c r="CJ84" s="52"/>
      <c r="CK84" s="52"/>
      <c r="CL84" s="52"/>
      <c r="CM84" s="52"/>
      <c r="CN84" s="52">
        <v>52.7</v>
      </c>
      <c r="CO84" s="52">
        <v>273.39999999999998</v>
      </c>
      <c r="CP84" s="52">
        <v>244.4</v>
      </c>
      <c r="CQ84" s="52">
        <v>29</v>
      </c>
      <c r="CR84" s="52" t="s">
        <v>264</v>
      </c>
      <c r="CS84" s="52">
        <v>45.3</v>
      </c>
      <c r="CT84" s="52">
        <v>28.8</v>
      </c>
      <c r="CU84" s="52">
        <v>16.5</v>
      </c>
      <c r="CV84" s="52">
        <v>69.400000000000006</v>
      </c>
      <c r="CW84" s="52">
        <v>9.8000000000000007</v>
      </c>
      <c r="CX84" s="52">
        <v>59.6</v>
      </c>
      <c r="CY84" s="52" t="s">
        <v>264</v>
      </c>
      <c r="CZ84" s="52">
        <v>83.4</v>
      </c>
      <c r="DA84" s="8">
        <v>13.9</v>
      </c>
      <c r="DB84" s="52" t="s">
        <v>264</v>
      </c>
      <c r="DC84" s="52" t="s">
        <v>264</v>
      </c>
      <c r="DD84" s="52"/>
      <c r="DE84" s="52"/>
      <c r="DF84" s="53"/>
      <c r="DG84" s="53"/>
      <c r="DH84" s="53">
        <v>118.8</v>
      </c>
      <c r="DI84" s="53">
        <v>525.9</v>
      </c>
      <c r="DJ84" s="53"/>
      <c r="DK84" s="53">
        <v>399.1</v>
      </c>
      <c r="DL84" s="53"/>
      <c r="DM84" s="53">
        <v>177.1</v>
      </c>
      <c r="DN84" s="53"/>
      <c r="DO84" s="53">
        <v>136.9</v>
      </c>
      <c r="DP84" s="53">
        <v>157.9</v>
      </c>
      <c r="DQ84" s="53">
        <v>34.1</v>
      </c>
      <c r="DR84" s="53"/>
      <c r="DS84" s="53">
        <v>943.1</v>
      </c>
      <c r="DT84" s="53">
        <v>2492.9</v>
      </c>
      <c r="DU84" s="53">
        <v>-118.80000000000018</v>
      </c>
      <c r="DV84" s="53">
        <v>0</v>
      </c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2"/>
      <c r="FF84" s="52"/>
      <c r="FG84" s="52"/>
      <c r="FH84" s="52"/>
      <c r="FI84" s="52"/>
      <c r="FJ84" s="52"/>
      <c r="FK84" s="52"/>
      <c r="FL84" s="52"/>
      <c r="FM84" s="52"/>
      <c r="FN84" s="52"/>
      <c r="FO84" s="52"/>
      <c r="FP84" s="52"/>
      <c r="FQ84" s="52"/>
      <c r="FR84" s="52"/>
      <c r="FS84" s="52"/>
      <c r="FT84" s="52"/>
      <c r="FU84" s="52"/>
      <c r="FV84" s="52"/>
      <c r="FW84" s="52"/>
      <c r="FX84" s="52"/>
      <c r="FY84" s="52"/>
      <c r="FZ84" s="52"/>
      <c r="GA84" s="52"/>
      <c r="GB84" s="52"/>
      <c r="GC84" s="52"/>
      <c r="GD84" s="52"/>
      <c r="GE84" s="52"/>
      <c r="GF84" s="52"/>
      <c r="GG84" s="52"/>
      <c r="GH84" s="52"/>
      <c r="GI84" s="52"/>
      <c r="GJ84" s="52"/>
      <c r="GK84" s="52"/>
      <c r="GL84" s="52"/>
      <c r="GM84" s="52"/>
      <c r="GN84" s="52"/>
      <c r="GO84" s="52"/>
      <c r="GP84" s="52"/>
      <c r="GQ84" s="52"/>
      <c r="GR84" s="52"/>
      <c r="GS84" s="52"/>
      <c r="GT84" s="52"/>
      <c r="GU84" s="52"/>
      <c r="GV84" s="52"/>
      <c r="GW84" s="52"/>
      <c r="GX84" s="52"/>
      <c r="GY84" s="17"/>
      <c r="GZ84" s="52">
        <v>780.2</v>
      </c>
      <c r="HA84" s="52"/>
      <c r="HB84" s="17"/>
      <c r="HC84" s="17"/>
      <c r="HD84" s="17"/>
      <c r="HE84" s="17"/>
      <c r="HF84" s="52"/>
      <c r="HG84" s="52"/>
      <c r="HH84" s="52"/>
      <c r="HI84" s="52"/>
      <c r="HJ84" s="52"/>
      <c r="HK84" s="52"/>
      <c r="HL84" s="52"/>
      <c r="HM84" s="52"/>
      <c r="HN84" s="52"/>
      <c r="HO84" s="52"/>
      <c r="HP84" s="52"/>
      <c r="HQ84" s="52"/>
      <c r="HR84" s="52"/>
      <c r="HS84" s="52"/>
      <c r="HT84" s="52"/>
      <c r="HU84" s="52"/>
      <c r="HV84" s="52"/>
      <c r="HW84" s="52"/>
      <c r="HX84" s="52"/>
      <c r="HY84" s="52"/>
      <c r="HZ84" s="52"/>
      <c r="IA84" s="52"/>
      <c r="IB84" s="52"/>
      <c r="IC84" s="52"/>
      <c r="ID84" s="52"/>
      <c r="IE84" s="52"/>
      <c r="IF84" s="52"/>
      <c r="IG84" s="52"/>
      <c r="IH84" s="53"/>
      <c r="II84" s="53"/>
      <c r="IJ84" s="53"/>
      <c r="IK84" s="53"/>
      <c r="IL84" s="53"/>
      <c r="IM84" s="52"/>
      <c r="IN84" s="52">
        <v>42.4</v>
      </c>
      <c r="IY84" s="48">
        <f t="shared" si="5"/>
        <v>47.573508764892296</v>
      </c>
      <c r="IZ84" s="48">
        <f>IY84-'NOPA Crush'!J84</f>
        <v>0.31350876489229762</v>
      </c>
      <c r="JB84" s="63">
        <f t="shared" si="3"/>
        <v>10.945084038669822</v>
      </c>
      <c r="JC84" s="64">
        <f>JB84-'NOPA Crush'!O84</f>
        <v>0.13508403866982199</v>
      </c>
      <c r="JD84" s="65"/>
      <c r="JE84" s="67">
        <f t="shared" si="4"/>
        <v>1320.8000000000002</v>
      </c>
      <c r="JF84" s="68">
        <f>'NOPA Crush'!Q84/'Census Crush'!JE84</f>
        <v>0.34519685039370074</v>
      </c>
    </row>
    <row r="85" spans="1:266">
      <c r="A85" s="39">
        <v>31625</v>
      </c>
      <c r="B85" s="50">
        <v>2353</v>
      </c>
      <c r="C85" s="50">
        <v>856</v>
      </c>
      <c r="D85" s="50">
        <v>141.4</v>
      </c>
      <c r="E85" s="52">
        <v>324.3</v>
      </c>
      <c r="F85" s="50">
        <v>11.1</v>
      </c>
      <c r="G85" s="50">
        <v>49.8</v>
      </c>
      <c r="H85" s="50" t="s">
        <v>264</v>
      </c>
      <c r="I85" s="50" t="s">
        <v>264</v>
      </c>
      <c r="J85" s="50" t="s">
        <v>264</v>
      </c>
      <c r="K85" s="49">
        <v>875.3</v>
      </c>
      <c r="L85" s="49">
        <v>1152.2</v>
      </c>
      <c r="M85" s="49">
        <v>850.6</v>
      </c>
      <c r="N85" s="49">
        <v>301.60000000000002</v>
      </c>
      <c r="O85" s="50">
        <v>48</v>
      </c>
      <c r="P85" s="51">
        <v>90.4</v>
      </c>
      <c r="Q85" s="49">
        <v>28</v>
      </c>
      <c r="R85" s="49">
        <v>62.4</v>
      </c>
      <c r="S85" s="49"/>
      <c r="T85" s="49">
        <v>9.6</v>
      </c>
      <c r="U85" s="51">
        <v>69.300000000000011</v>
      </c>
      <c r="V85" s="49">
        <v>64.900000000000006</v>
      </c>
      <c r="W85" s="49">
        <v>4.4000000000000004</v>
      </c>
      <c r="X85" s="49">
        <v>40</v>
      </c>
      <c r="Y85" s="49">
        <v>5.4</v>
      </c>
      <c r="Z85" s="49">
        <v>65.599999999999994</v>
      </c>
      <c r="AA85" s="49">
        <v>54.6</v>
      </c>
      <c r="AB85" s="49">
        <v>11</v>
      </c>
      <c r="AC85" s="49" t="s">
        <v>264</v>
      </c>
      <c r="AD85" s="49" t="s">
        <v>264</v>
      </c>
      <c r="AE85" s="49"/>
      <c r="AF85" s="51"/>
      <c r="AG85" s="50" t="s">
        <v>264</v>
      </c>
      <c r="AH85" s="50" t="s">
        <v>264</v>
      </c>
      <c r="AI85" s="49">
        <v>119.9</v>
      </c>
      <c r="AJ85" s="49"/>
      <c r="AK85" s="49"/>
      <c r="AL85" s="51">
        <v>92.5</v>
      </c>
      <c r="AM85" s="49">
        <v>37.9</v>
      </c>
      <c r="AN85" s="49">
        <v>54.6</v>
      </c>
      <c r="AO85" s="49">
        <v>1778.4</v>
      </c>
      <c r="AP85" s="49">
        <v>255.1</v>
      </c>
      <c r="AQ85" s="49">
        <v>85</v>
      </c>
      <c r="AR85" s="49">
        <v>43.2</v>
      </c>
      <c r="AS85" s="50">
        <v>64.400000000000006</v>
      </c>
      <c r="AT85" s="50">
        <v>74.8</v>
      </c>
      <c r="AU85" s="50">
        <v>35.700000000000003</v>
      </c>
      <c r="AV85" s="50">
        <v>46.7</v>
      </c>
      <c r="AW85" s="50">
        <v>6.3</v>
      </c>
      <c r="AX85" s="50">
        <v>5.6</v>
      </c>
      <c r="AY85" s="50">
        <v>24.7</v>
      </c>
      <c r="AZ85" s="50">
        <v>3.7</v>
      </c>
      <c r="BA85" s="50" t="s">
        <v>264</v>
      </c>
      <c r="BB85" s="50" t="s">
        <v>264</v>
      </c>
      <c r="BC85" s="50"/>
      <c r="BD85" s="53">
        <v>121.1</v>
      </c>
      <c r="BE85" s="52">
        <v>40.5</v>
      </c>
      <c r="BF85" s="52"/>
      <c r="BG85" s="52"/>
      <c r="BH85" s="52">
        <v>309.7</v>
      </c>
      <c r="BI85" s="52"/>
      <c r="BJ85" s="52"/>
      <c r="BK85" s="52">
        <v>137.30000000000001</v>
      </c>
      <c r="BL85" s="52">
        <v>5.7</v>
      </c>
      <c r="BM85" s="52">
        <v>452.8</v>
      </c>
      <c r="BN85" s="52">
        <v>231.2</v>
      </c>
      <c r="BO85" s="52"/>
      <c r="BP85" s="52"/>
      <c r="BQ85" s="52">
        <v>92</v>
      </c>
      <c r="BR85" s="52">
        <v>7</v>
      </c>
      <c r="BS85" s="53">
        <v>330.2</v>
      </c>
      <c r="BT85" s="52">
        <v>66</v>
      </c>
      <c r="BU85" s="52">
        <v>28.3</v>
      </c>
      <c r="BV85" s="50">
        <v>321</v>
      </c>
      <c r="BW85" s="50">
        <v>115.4</v>
      </c>
      <c r="BX85" s="49">
        <v>443.4</v>
      </c>
      <c r="BY85" s="50">
        <v>52.5</v>
      </c>
      <c r="BZ85" s="50">
        <v>8.3000000000000007</v>
      </c>
      <c r="CA85" s="49">
        <v>60.8</v>
      </c>
      <c r="CB85" s="52"/>
      <c r="CC85" s="52"/>
      <c r="CD85" s="52"/>
      <c r="CE85" s="52"/>
      <c r="CF85" s="52">
        <v>107.9</v>
      </c>
      <c r="CG85" s="52">
        <v>169.7</v>
      </c>
      <c r="CH85" s="52">
        <v>30.1</v>
      </c>
      <c r="CI85" s="52"/>
      <c r="CJ85" s="52"/>
      <c r="CK85" s="52"/>
      <c r="CL85" s="52"/>
      <c r="CM85" s="52"/>
      <c r="CN85" s="52">
        <v>53.9</v>
      </c>
      <c r="CO85" s="52">
        <v>273.8</v>
      </c>
      <c r="CP85" s="52">
        <v>235.5</v>
      </c>
      <c r="CQ85" s="52">
        <v>38.299999999999997</v>
      </c>
      <c r="CR85" s="52" t="s">
        <v>264</v>
      </c>
      <c r="CS85" s="52">
        <v>40.4</v>
      </c>
      <c r="CT85" s="52">
        <v>24.4</v>
      </c>
      <c r="CU85" s="52">
        <v>16</v>
      </c>
      <c r="CV85" s="52">
        <v>76.900000000000006</v>
      </c>
      <c r="CW85" s="52">
        <v>21</v>
      </c>
      <c r="CX85" s="52">
        <v>55.9</v>
      </c>
      <c r="CY85" s="52" t="s">
        <v>264</v>
      </c>
      <c r="CZ85" s="52">
        <v>89.9</v>
      </c>
      <c r="DA85" s="8">
        <v>23.8</v>
      </c>
      <c r="DB85" s="52" t="s">
        <v>264</v>
      </c>
      <c r="DC85" s="52" t="s">
        <v>264</v>
      </c>
      <c r="DD85" s="52"/>
      <c r="DE85" s="52"/>
      <c r="DF85" s="53"/>
      <c r="DG85" s="53">
        <v>82.6</v>
      </c>
      <c r="DH85" s="53"/>
      <c r="DI85" s="53">
        <v>472</v>
      </c>
      <c r="DJ85" s="53"/>
      <c r="DK85" s="53">
        <v>364.9</v>
      </c>
      <c r="DL85" s="53"/>
      <c r="DM85" s="53">
        <v>189.3</v>
      </c>
      <c r="DN85" s="53"/>
      <c r="DO85" s="53">
        <v>131.4</v>
      </c>
      <c r="DP85" s="53">
        <v>183</v>
      </c>
      <c r="DQ85" s="53">
        <v>60.8</v>
      </c>
      <c r="DR85" s="53"/>
      <c r="DS85" s="53">
        <v>869</v>
      </c>
      <c r="DT85" s="53">
        <v>2353</v>
      </c>
      <c r="DU85" s="53">
        <v>-82.599999999999909</v>
      </c>
      <c r="DV85" s="53">
        <v>0</v>
      </c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2"/>
      <c r="FF85" s="52"/>
      <c r="FG85" s="52"/>
      <c r="FH85" s="52"/>
      <c r="FI85" s="52"/>
      <c r="FJ85" s="52"/>
      <c r="FK85" s="52"/>
      <c r="FL85" s="52"/>
      <c r="FM85" s="52"/>
      <c r="FN85" s="52"/>
      <c r="FO85" s="52"/>
      <c r="FP85" s="52"/>
      <c r="FQ85" s="52"/>
      <c r="FR85" s="52"/>
      <c r="FS85" s="52"/>
      <c r="FT85" s="52"/>
      <c r="FU85" s="52"/>
      <c r="FV85" s="52"/>
      <c r="FW85" s="52"/>
      <c r="FX85" s="52"/>
      <c r="FY85" s="52"/>
      <c r="FZ85" s="52"/>
      <c r="GA85" s="52"/>
      <c r="GB85" s="52"/>
      <c r="GC85" s="52"/>
      <c r="GD85" s="52"/>
      <c r="GE85" s="52"/>
      <c r="GF85" s="52"/>
      <c r="GG85" s="52"/>
      <c r="GH85" s="52"/>
      <c r="GI85" s="52"/>
      <c r="GJ85" s="52"/>
      <c r="GK85" s="52"/>
      <c r="GL85" s="52"/>
      <c r="GM85" s="52"/>
      <c r="GN85" s="52"/>
      <c r="GO85" s="52"/>
      <c r="GP85" s="52"/>
      <c r="GQ85" s="52"/>
      <c r="GR85" s="52"/>
      <c r="GS85" s="52"/>
      <c r="GT85" s="52"/>
      <c r="GU85" s="52"/>
      <c r="GV85" s="52"/>
      <c r="GW85" s="52"/>
      <c r="GX85" s="52"/>
      <c r="GY85" s="17"/>
      <c r="GZ85" s="52">
        <v>830.1</v>
      </c>
      <c r="HA85" s="52"/>
      <c r="HB85" s="17"/>
      <c r="HC85" s="17"/>
      <c r="HD85" s="17"/>
      <c r="HE85" s="17"/>
      <c r="HF85" s="52"/>
      <c r="HG85" s="52"/>
      <c r="HH85" s="52"/>
      <c r="HI85" s="52"/>
      <c r="HJ85" s="52"/>
      <c r="HK85" s="52"/>
      <c r="HL85" s="52"/>
      <c r="HM85" s="52"/>
      <c r="HN85" s="52"/>
      <c r="HO85" s="52"/>
      <c r="HP85" s="52"/>
      <c r="HQ85" s="52"/>
      <c r="HR85" s="52"/>
      <c r="HS85" s="52"/>
      <c r="HT85" s="52"/>
      <c r="HU85" s="52"/>
      <c r="HV85" s="52"/>
      <c r="HW85" s="52"/>
      <c r="HX85" s="52"/>
      <c r="HY85" s="52"/>
      <c r="HZ85" s="52"/>
      <c r="IA85" s="52"/>
      <c r="IB85" s="52"/>
      <c r="IC85" s="52"/>
      <c r="ID85" s="52"/>
      <c r="IE85" s="52"/>
      <c r="IF85" s="52"/>
      <c r="IG85" s="52"/>
      <c r="IH85" s="53"/>
      <c r="II85" s="53"/>
      <c r="IJ85" s="53"/>
      <c r="IK85" s="53"/>
      <c r="IL85" s="53"/>
      <c r="IM85" s="52"/>
      <c r="IN85" s="52">
        <v>60.3</v>
      </c>
      <c r="IY85" s="48">
        <f t="shared" si="5"/>
        <v>47.515512112197193</v>
      </c>
      <c r="IZ85" s="48">
        <f>IY85-'NOPA Crush'!J85</f>
        <v>5.5121121971950515E-3</v>
      </c>
      <c r="JB85" s="63">
        <f t="shared" si="3"/>
        <v>11.159796005099871</v>
      </c>
      <c r="JC85" s="64">
        <f>JB85-'NOPA Crush'!O85</f>
        <v>0.16979600509987058</v>
      </c>
      <c r="JD85" s="65"/>
      <c r="JE85" s="67">
        <f t="shared" si="4"/>
        <v>1152.2</v>
      </c>
      <c r="JF85" s="68">
        <f>'NOPA Crush'!Q85/'Census Crush'!JE85</f>
        <v>0.33316524908869988</v>
      </c>
    </row>
    <row r="86" spans="1:266">
      <c r="A86" s="39">
        <v>31656</v>
      </c>
      <c r="B86" s="50">
        <v>2382.4</v>
      </c>
      <c r="C86" s="50">
        <v>1150.0999999999999</v>
      </c>
      <c r="D86" s="50">
        <v>167.7</v>
      </c>
      <c r="E86" s="52">
        <v>480.7</v>
      </c>
      <c r="F86" s="50" t="s">
        <v>264</v>
      </c>
      <c r="G86" s="50" t="s">
        <v>264</v>
      </c>
      <c r="H86" s="50">
        <v>6.3</v>
      </c>
      <c r="I86" s="50" t="s">
        <v>264</v>
      </c>
      <c r="J86" s="50" t="s">
        <v>264</v>
      </c>
      <c r="K86" s="49">
        <v>886.7</v>
      </c>
      <c r="L86" s="49">
        <v>946.6</v>
      </c>
      <c r="M86" s="49">
        <v>652.6</v>
      </c>
      <c r="N86" s="49">
        <v>294</v>
      </c>
      <c r="O86" s="50">
        <v>54.5</v>
      </c>
      <c r="P86" s="51">
        <v>84.9</v>
      </c>
      <c r="Q86" s="49">
        <v>27.1</v>
      </c>
      <c r="R86" s="49">
        <v>57.8</v>
      </c>
      <c r="S86" s="49"/>
      <c r="T86" s="50" t="s">
        <v>264</v>
      </c>
      <c r="U86" s="51">
        <v>68.900000000000006</v>
      </c>
      <c r="V86" s="49">
        <v>64.900000000000006</v>
      </c>
      <c r="W86" s="49">
        <v>4</v>
      </c>
      <c r="X86" s="50" t="s">
        <v>264</v>
      </c>
      <c r="Y86" s="49">
        <v>5.5</v>
      </c>
      <c r="Z86" s="49">
        <v>53.800000000000004</v>
      </c>
      <c r="AA86" s="49">
        <v>40.200000000000003</v>
      </c>
      <c r="AB86" s="49">
        <v>13.6</v>
      </c>
      <c r="AC86" s="49" t="s">
        <v>264</v>
      </c>
      <c r="AD86" s="49" t="s">
        <v>264</v>
      </c>
      <c r="AE86" s="49"/>
      <c r="AF86" s="51"/>
      <c r="AG86" s="50" t="s">
        <v>264</v>
      </c>
      <c r="AH86" s="50" t="s">
        <v>264</v>
      </c>
      <c r="AI86" s="49">
        <v>104.1</v>
      </c>
      <c r="AJ86" s="49"/>
      <c r="AK86" s="49"/>
      <c r="AL86" s="51">
        <v>120.2</v>
      </c>
      <c r="AM86" s="49">
        <v>59</v>
      </c>
      <c r="AN86" s="49">
        <v>61.2</v>
      </c>
      <c r="AO86" s="49">
        <v>1793.4</v>
      </c>
      <c r="AP86" s="49">
        <v>176.3</v>
      </c>
      <c r="AQ86" s="49">
        <v>79</v>
      </c>
      <c r="AR86" s="49">
        <v>35.4</v>
      </c>
      <c r="AS86" s="50">
        <v>77.7</v>
      </c>
      <c r="AT86" s="50">
        <v>68.599999999999994</v>
      </c>
      <c r="AU86" s="50">
        <v>40.299999999999997</v>
      </c>
      <c r="AV86" s="50">
        <v>39.200000000000003</v>
      </c>
      <c r="AW86" s="50" t="s">
        <v>264</v>
      </c>
      <c r="AX86" s="50">
        <v>3.8</v>
      </c>
      <c r="AY86" s="50" t="s">
        <v>264</v>
      </c>
      <c r="AZ86" s="50" t="s">
        <v>264</v>
      </c>
      <c r="BA86" s="50" t="s">
        <v>264</v>
      </c>
      <c r="BB86" s="50" t="s">
        <v>264</v>
      </c>
      <c r="BC86" s="50"/>
      <c r="BD86" s="53">
        <v>119.2</v>
      </c>
      <c r="BE86" s="52">
        <v>40.6</v>
      </c>
      <c r="BF86" s="52"/>
      <c r="BG86" s="52"/>
      <c r="BH86" s="52">
        <v>299</v>
      </c>
      <c r="BI86" s="52"/>
      <c r="BJ86" s="52"/>
      <c r="BK86" s="52">
        <v>140.5</v>
      </c>
      <c r="BL86" s="52">
        <v>5.3</v>
      </c>
      <c r="BM86" s="52">
        <v>444.8</v>
      </c>
      <c r="BN86" s="52">
        <v>256.7</v>
      </c>
      <c r="BO86" s="52"/>
      <c r="BP86" s="52"/>
      <c r="BQ86" s="52">
        <v>92.5</v>
      </c>
      <c r="BR86" s="52">
        <v>6.3</v>
      </c>
      <c r="BS86" s="53">
        <v>355.5</v>
      </c>
      <c r="BT86" s="52">
        <v>71</v>
      </c>
      <c r="BU86" s="52">
        <v>21.6</v>
      </c>
      <c r="BV86" s="50">
        <v>321.39999999999998</v>
      </c>
      <c r="BW86" s="50">
        <v>114.5</v>
      </c>
      <c r="BX86" s="49">
        <v>442.2</v>
      </c>
      <c r="BY86" s="50">
        <v>56.9</v>
      </c>
      <c r="BZ86" s="50">
        <v>9.4</v>
      </c>
      <c r="CA86" s="49">
        <v>66.3</v>
      </c>
      <c r="CB86" s="52"/>
      <c r="CC86" s="52"/>
      <c r="CD86" s="52"/>
      <c r="CE86" s="52"/>
      <c r="CF86" s="52">
        <v>111.8</v>
      </c>
      <c r="CG86" s="52">
        <v>177.8</v>
      </c>
      <c r="CH86" s="52">
        <v>29.1</v>
      </c>
      <c r="CI86" s="52"/>
      <c r="CJ86" s="52"/>
      <c r="CK86" s="52"/>
      <c r="CL86" s="52"/>
      <c r="CM86" s="52"/>
      <c r="CN86" s="52">
        <v>48.8</v>
      </c>
      <c r="CO86" s="52">
        <v>308</v>
      </c>
      <c r="CP86" s="52">
        <v>277</v>
      </c>
      <c r="CQ86" s="52">
        <v>31</v>
      </c>
      <c r="CR86" s="52" t="s">
        <v>264</v>
      </c>
      <c r="CS86" s="52">
        <v>40</v>
      </c>
      <c r="CT86" s="52">
        <v>28.9</v>
      </c>
      <c r="CU86" s="52">
        <v>11.1</v>
      </c>
      <c r="CV86" s="52">
        <v>71.8</v>
      </c>
      <c r="CW86" s="52">
        <v>17.399999999999999</v>
      </c>
      <c r="CX86" s="52">
        <v>54.4</v>
      </c>
      <c r="CY86" s="52" t="s">
        <v>264</v>
      </c>
      <c r="CZ86" s="52">
        <v>71.7</v>
      </c>
      <c r="DA86" s="52">
        <v>22.9</v>
      </c>
      <c r="DB86" s="52">
        <v>17.899999999999999</v>
      </c>
      <c r="DC86" s="52">
        <v>5</v>
      </c>
      <c r="DD86" s="52"/>
      <c r="DE86" s="52"/>
      <c r="DF86" s="53"/>
      <c r="DG86" s="53">
        <v>47.2</v>
      </c>
      <c r="DH86" s="53"/>
      <c r="DI86" s="53">
        <v>539.29999999999995</v>
      </c>
      <c r="DJ86" s="53"/>
      <c r="DK86" s="53">
        <v>395.7</v>
      </c>
      <c r="DL86" s="53"/>
      <c r="DM86" s="53">
        <v>186.4</v>
      </c>
      <c r="DN86" s="53"/>
      <c r="DO86" s="53">
        <v>138.4</v>
      </c>
      <c r="DP86" s="53">
        <v>167.3</v>
      </c>
      <c r="DQ86" s="53"/>
      <c r="DR86" s="53"/>
      <c r="DS86" s="53">
        <v>908</v>
      </c>
      <c r="DT86" s="53">
        <v>2382.3000000000002</v>
      </c>
      <c r="DU86" s="53">
        <v>-47.199999999999818</v>
      </c>
      <c r="DV86" s="53">
        <v>-9.9999999999909051E-2</v>
      </c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  <c r="FK86" s="52"/>
      <c r="FL86" s="52"/>
      <c r="FM86" s="52"/>
      <c r="FN86" s="52"/>
      <c r="FO86" s="52"/>
      <c r="FP86" s="52"/>
      <c r="FQ86" s="52"/>
      <c r="FR86" s="52"/>
      <c r="FS86" s="52"/>
      <c r="FT86" s="52"/>
      <c r="FU86" s="52"/>
      <c r="FV86" s="52"/>
      <c r="FW86" s="52"/>
      <c r="FX86" s="52"/>
      <c r="FY86" s="52"/>
      <c r="FZ86" s="52"/>
      <c r="GA86" s="52"/>
      <c r="GB86" s="52"/>
      <c r="GC86" s="52"/>
      <c r="GD86" s="52"/>
      <c r="GE86" s="52"/>
      <c r="GF86" s="52"/>
      <c r="GG86" s="52"/>
      <c r="GH86" s="52"/>
      <c r="GI86" s="52"/>
      <c r="GJ86" s="52"/>
      <c r="GK86" s="52"/>
      <c r="GL86" s="52"/>
      <c r="GM86" s="52"/>
      <c r="GN86" s="52"/>
      <c r="GO86" s="52"/>
      <c r="GP86" s="52"/>
      <c r="GQ86" s="52"/>
      <c r="GR86" s="52"/>
      <c r="GS86" s="52"/>
      <c r="GT86" s="52"/>
      <c r="GU86" s="52"/>
      <c r="GV86" s="52"/>
      <c r="GW86" s="52"/>
      <c r="GX86" s="52"/>
      <c r="GY86" s="17"/>
      <c r="GZ86" s="52">
        <v>834.8</v>
      </c>
      <c r="HA86" s="52"/>
      <c r="HB86" s="17"/>
      <c r="HC86" s="17"/>
      <c r="HD86" s="17"/>
      <c r="HE86" s="17"/>
      <c r="HF86" s="52"/>
      <c r="HG86" s="52"/>
      <c r="HH86" s="52"/>
      <c r="HI86" s="52"/>
      <c r="HJ86" s="52"/>
      <c r="HK86" s="52"/>
      <c r="HL86" s="52"/>
      <c r="HM86" s="52"/>
      <c r="HN86" s="52"/>
      <c r="HO86" s="52"/>
      <c r="HP86" s="52"/>
      <c r="HQ86" s="52"/>
      <c r="HR86" s="52"/>
      <c r="HS86" s="52"/>
      <c r="HT86" s="52"/>
      <c r="HU86" s="52"/>
      <c r="HV86" s="52"/>
      <c r="HW86" s="52"/>
      <c r="HX86" s="52"/>
      <c r="HY86" s="52"/>
      <c r="HZ86" s="52"/>
      <c r="IA86" s="52"/>
      <c r="IB86" s="52"/>
      <c r="IC86" s="52"/>
      <c r="ID86" s="52"/>
      <c r="IE86" s="52"/>
      <c r="IF86" s="52"/>
      <c r="IG86" s="52"/>
      <c r="IH86" s="53"/>
      <c r="II86" s="53"/>
      <c r="IJ86" s="53"/>
      <c r="IK86" s="53"/>
      <c r="IL86" s="53"/>
      <c r="IM86" s="52"/>
      <c r="IN86" s="52">
        <v>51.2</v>
      </c>
      <c r="IY86" s="48">
        <f t="shared" si="5"/>
        <v>47.155809267965076</v>
      </c>
      <c r="IZ86" s="48">
        <f>IY86-'NOPA Crush'!J86</f>
        <v>-0.11419073203492758</v>
      </c>
      <c r="JB86" s="63">
        <f t="shared" si="3"/>
        <v>11.165631296171927</v>
      </c>
      <c r="JC86" s="64">
        <f>JB86-'NOPA Crush'!O86</f>
        <v>-2.4368703828072213E-2</v>
      </c>
      <c r="JD86" s="65"/>
      <c r="JE86" s="67">
        <f t="shared" si="4"/>
        <v>946.6</v>
      </c>
      <c r="JF86" s="68">
        <f>'NOPA Crush'!Q86/'Census Crush'!JE86</f>
        <v>0.32021762095922246</v>
      </c>
    </row>
    <row r="87" spans="1:266">
      <c r="A87" s="39">
        <v>31686</v>
      </c>
      <c r="B87" s="49">
        <v>3210.7</v>
      </c>
      <c r="C87" s="50">
        <v>3243.6</v>
      </c>
      <c r="D87" s="50">
        <v>208.5</v>
      </c>
      <c r="E87" s="50">
        <v>1197.4000000000001</v>
      </c>
      <c r="F87" s="50">
        <v>6</v>
      </c>
      <c r="G87" s="50">
        <v>65.3</v>
      </c>
      <c r="H87" s="50">
        <v>26.9</v>
      </c>
      <c r="I87" s="50" t="s">
        <v>264</v>
      </c>
      <c r="J87" s="50" t="s">
        <v>264</v>
      </c>
      <c r="K87" s="49">
        <v>1163.0999999999999</v>
      </c>
      <c r="L87" s="49">
        <v>963.5</v>
      </c>
      <c r="M87" s="49">
        <v>717.4</v>
      </c>
      <c r="N87" s="49">
        <v>246.1</v>
      </c>
      <c r="O87" s="50">
        <v>64.5</v>
      </c>
      <c r="P87" s="51">
        <v>77</v>
      </c>
      <c r="Q87" s="49">
        <v>34.9</v>
      </c>
      <c r="R87" s="49">
        <v>42.1</v>
      </c>
      <c r="S87" s="49"/>
      <c r="T87" s="49">
        <v>4.0999999999999996</v>
      </c>
      <c r="U87" s="51">
        <v>60.1</v>
      </c>
      <c r="V87" s="49">
        <v>57.7</v>
      </c>
      <c r="W87" s="49">
        <v>2.4</v>
      </c>
      <c r="X87" s="49">
        <v>54</v>
      </c>
      <c r="Y87" s="49">
        <v>6</v>
      </c>
      <c r="Z87" s="49">
        <v>59.1</v>
      </c>
      <c r="AA87" s="52">
        <v>48.1</v>
      </c>
      <c r="AB87" s="49">
        <v>11</v>
      </c>
      <c r="AC87" s="49" t="s">
        <v>264</v>
      </c>
      <c r="AD87" s="49" t="s">
        <v>264</v>
      </c>
      <c r="AE87" s="49"/>
      <c r="AF87" s="51"/>
      <c r="AG87" s="50" t="s">
        <v>264</v>
      </c>
      <c r="AH87" s="50" t="s">
        <v>264</v>
      </c>
      <c r="AI87" s="49">
        <v>134.6</v>
      </c>
      <c r="AJ87" s="49"/>
      <c r="AK87" s="49"/>
      <c r="AL87" s="51">
        <v>101</v>
      </c>
      <c r="AM87" s="49">
        <v>41.6</v>
      </c>
      <c r="AN87" s="49">
        <v>59.4</v>
      </c>
      <c r="AO87" s="49">
        <v>2410.6</v>
      </c>
      <c r="AP87" s="49">
        <v>173.9</v>
      </c>
      <c r="AQ87" s="49">
        <v>110.4</v>
      </c>
      <c r="AR87" s="49">
        <v>44.1</v>
      </c>
      <c r="AS87" s="50">
        <v>95</v>
      </c>
      <c r="AT87" s="50">
        <v>50.8</v>
      </c>
      <c r="AU87" s="50">
        <v>50.2</v>
      </c>
      <c r="AV87" s="50">
        <v>36.299999999999997</v>
      </c>
      <c r="AW87" s="50">
        <v>3.3</v>
      </c>
      <c r="AX87" s="50">
        <v>3.5</v>
      </c>
      <c r="AY87" s="50">
        <v>30.3</v>
      </c>
      <c r="AZ87" s="50">
        <v>6.8</v>
      </c>
      <c r="BA87" s="50" t="s">
        <v>264</v>
      </c>
      <c r="BB87" s="50" t="s">
        <v>264</v>
      </c>
      <c r="BC87" s="50"/>
      <c r="BD87" s="53">
        <v>130.5</v>
      </c>
      <c r="BE87" s="52">
        <v>41</v>
      </c>
      <c r="BF87" s="52"/>
      <c r="BG87" s="52"/>
      <c r="BH87" s="52">
        <v>324.89999999999998</v>
      </c>
      <c r="BI87" s="52"/>
      <c r="BJ87" s="52"/>
      <c r="BK87" s="52">
        <v>152.80000000000001</v>
      </c>
      <c r="BL87" s="52">
        <v>5.9</v>
      </c>
      <c r="BM87" s="52">
        <v>483.6</v>
      </c>
      <c r="BN87" s="52">
        <v>293.5</v>
      </c>
      <c r="BO87" s="52"/>
      <c r="BP87" s="52"/>
      <c r="BQ87" s="52">
        <v>90.5</v>
      </c>
      <c r="BR87" s="52">
        <v>6.5</v>
      </c>
      <c r="BS87" s="53">
        <v>390.5</v>
      </c>
      <c r="BT87" s="52">
        <v>80</v>
      </c>
      <c r="BU87" s="52">
        <v>30.6</v>
      </c>
      <c r="BV87" s="50">
        <v>360.8</v>
      </c>
      <c r="BW87" s="50">
        <v>123.9</v>
      </c>
      <c r="BX87" s="49">
        <v>491.7</v>
      </c>
      <c r="BY87" s="50">
        <v>61.4</v>
      </c>
      <c r="BZ87" s="50">
        <v>8.1</v>
      </c>
      <c r="CA87" s="49">
        <v>69.5</v>
      </c>
      <c r="CB87" s="52"/>
      <c r="CC87" s="52"/>
      <c r="CD87" s="52"/>
      <c r="CE87" s="52"/>
      <c r="CF87" s="52">
        <v>114.4</v>
      </c>
      <c r="CG87" s="52">
        <v>164.9</v>
      </c>
      <c r="CH87" s="52">
        <v>27.7</v>
      </c>
      <c r="CI87" s="52"/>
      <c r="CJ87" s="52"/>
      <c r="CK87" s="52"/>
      <c r="CL87" s="52"/>
      <c r="CM87" s="52"/>
      <c r="CN87" s="52">
        <v>63.8</v>
      </c>
      <c r="CO87" s="52">
        <v>295.5</v>
      </c>
      <c r="CP87" s="52">
        <v>263.2</v>
      </c>
      <c r="CQ87" s="52">
        <v>32.299999999999997</v>
      </c>
      <c r="CR87" s="52" t="s">
        <v>264</v>
      </c>
      <c r="CS87" s="52">
        <v>45.2</v>
      </c>
      <c r="CT87" s="52">
        <v>31.6</v>
      </c>
      <c r="CU87" s="52">
        <v>13.6</v>
      </c>
      <c r="CV87" s="52">
        <v>58.8</v>
      </c>
      <c r="CW87" s="52">
        <v>16.2</v>
      </c>
      <c r="CX87" s="52">
        <v>42.6</v>
      </c>
      <c r="CY87" s="52" t="s">
        <v>264</v>
      </c>
      <c r="CZ87" s="52">
        <v>93.7</v>
      </c>
      <c r="DA87" s="52">
        <v>39.9</v>
      </c>
      <c r="DB87" s="52">
        <v>34</v>
      </c>
      <c r="DC87" s="52">
        <v>5.9</v>
      </c>
      <c r="DD87" s="52"/>
      <c r="DE87" s="52"/>
      <c r="DF87" s="53"/>
      <c r="DG87" s="53">
        <v>142.1</v>
      </c>
      <c r="DH87" s="53"/>
      <c r="DI87" s="53">
        <v>670.5</v>
      </c>
      <c r="DJ87" s="53"/>
      <c r="DK87" s="53">
        <v>497.4</v>
      </c>
      <c r="DL87" s="53">
        <v>119.6</v>
      </c>
      <c r="DM87" s="53">
        <v>205.3</v>
      </c>
      <c r="DN87" s="53"/>
      <c r="DO87" s="53"/>
      <c r="DP87" s="53">
        <v>201.7</v>
      </c>
      <c r="DQ87" s="53">
        <v>81.099999999999994</v>
      </c>
      <c r="DR87" s="53"/>
      <c r="DS87" s="53">
        <v>1293</v>
      </c>
      <c r="DT87" s="53">
        <v>3210.7</v>
      </c>
      <c r="DU87" s="53">
        <v>-142.09999999999991</v>
      </c>
      <c r="DV87" s="53">
        <v>0</v>
      </c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2"/>
      <c r="FF87" s="52"/>
      <c r="FG87" s="52"/>
      <c r="FH87" s="52"/>
      <c r="FI87" s="52"/>
      <c r="FJ87" s="52"/>
      <c r="FK87" s="52"/>
      <c r="FL87" s="52"/>
      <c r="FM87" s="52"/>
      <c r="FN87" s="52"/>
      <c r="FO87" s="52"/>
      <c r="FP87" s="52"/>
      <c r="FQ87" s="52"/>
      <c r="FR87" s="52"/>
      <c r="FS87" s="52"/>
      <c r="FT87" s="52"/>
      <c r="FU87" s="52"/>
      <c r="FV87" s="52"/>
      <c r="FW87" s="52"/>
      <c r="FX87" s="52"/>
      <c r="FY87" s="52"/>
      <c r="FZ87" s="52"/>
      <c r="GA87" s="52"/>
      <c r="GB87" s="52"/>
      <c r="GC87" s="52"/>
      <c r="GD87" s="52"/>
      <c r="GE87" s="52"/>
      <c r="GF87" s="52"/>
      <c r="GG87" s="52"/>
      <c r="GH87" s="52"/>
      <c r="GI87" s="52"/>
      <c r="GJ87" s="52"/>
      <c r="GK87" s="52"/>
      <c r="GL87" s="52"/>
      <c r="GM87" s="52"/>
      <c r="GN87" s="52"/>
      <c r="GO87" s="52"/>
      <c r="GP87" s="52"/>
      <c r="GQ87" s="52"/>
      <c r="GR87" s="52"/>
      <c r="GS87" s="52"/>
      <c r="GT87" s="52"/>
      <c r="GU87" s="52"/>
      <c r="GV87" s="52"/>
      <c r="GW87" s="52"/>
      <c r="GX87" s="52"/>
      <c r="GY87" s="17"/>
      <c r="GZ87" s="52">
        <v>911.3</v>
      </c>
      <c r="HA87" s="52"/>
      <c r="HB87" s="17"/>
      <c r="HC87" s="17"/>
      <c r="HD87" s="17"/>
      <c r="HE87" s="17"/>
      <c r="HF87" s="52"/>
      <c r="HG87" s="52"/>
      <c r="HH87" s="52"/>
      <c r="HI87" s="52"/>
      <c r="HJ87" s="52"/>
      <c r="HK87" s="52"/>
      <c r="HL87" s="52"/>
      <c r="HM87" s="52"/>
      <c r="HN87" s="52"/>
      <c r="HO87" s="52"/>
      <c r="HP87" s="52"/>
      <c r="HQ87" s="52"/>
      <c r="HR87" s="52"/>
      <c r="HS87" s="52"/>
      <c r="HT87" s="52"/>
      <c r="HU87" s="52"/>
      <c r="HV87" s="52"/>
      <c r="HW87" s="52"/>
      <c r="HX87" s="52"/>
      <c r="HY87" s="52"/>
      <c r="HZ87" s="52"/>
      <c r="IA87" s="52"/>
      <c r="IB87" s="52"/>
      <c r="IC87" s="52"/>
      <c r="ID87" s="52"/>
      <c r="IE87" s="52"/>
      <c r="IF87" s="52"/>
      <c r="IG87" s="52"/>
      <c r="IH87" s="53"/>
      <c r="II87" s="53"/>
      <c r="IJ87" s="53"/>
      <c r="IK87" s="53"/>
      <c r="IL87" s="53"/>
      <c r="IM87" s="52"/>
      <c r="IN87" s="52">
        <v>73.5</v>
      </c>
      <c r="IY87" s="48">
        <f t="shared" si="5"/>
        <v>47.111221851932605</v>
      </c>
      <c r="IZ87" s="48">
        <f>IY87-'NOPA Crush'!J87</f>
        <v>0.42122185193260719</v>
      </c>
      <c r="JB87" s="63">
        <f t="shared" si="3"/>
        <v>10.867723549381754</v>
      </c>
      <c r="JC87" s="64">
        <f>JB87-'NOPA Crush'!O87</f>
        <v>-2.2276450618246457E-2</v>
      </c>
      <c r="JD87" s="65"/>
      <c r="JE87" s="67">
        <f t="shared" si="4"/>
        <v>963.5</v>
      </c>
      <c r="JF87" s="68">
        <f>'NOPA Crush'!Q87/'Census Crush'!JE87</f>
        <v>0.3815889984431759</v>
      </c>
    </row>
    <row r="88" spans="1:266">
      <c r="A88" s="39">
        <v>31717</v>
      </c>
      <c r="B88" s="49">
        <v>3281.4</v>
      </c>
      <c r="C88" s="50">
        <v>3823.4</v>
      </c>
      <c r="D88" s="50">
        <v>262.2</v>
      </c>
      <c r="E88" s="50">
        <v>1466.8</v>
      </c>
      <c r="F88" s="50">
        <v>15.6</v>
      </c>
      <c r="G88" s="50">
        <v>109</v>
      </c>
      <c r="H88" s="50">
        <v>38.299999999999997</v>
      </c>
      <c r="I88" s="50" t="s">
        <v>264</v>
      </c>
      <c r="J88" s="50" t="s">
        <v>264</v>
      </c>
      <c r="K88" s="49">
        <v>1171.5</v>
      </c>
      <c r="L88" s="49">
        <v>1268.8</v>
      </c>
      <c r="M88" s="49">
        <v>976.3</v>
      </c>
      <c r="N88" s="49">
        <v>292.5</v>
      </c>
      <c r="O88" s="50">
        <v>83.5</v>
      </c>
      <c r="P88" s="51">
        <v>101.1</v>
      </c>
      <c r="Q88" s="49">
        <v>36.299999999999997</v>
      </c>
      <c r="R88" s="49">
        <v>64.8</v>
      </c>
      <c r="S88" s="49"/>
      <c r="T88" s="49">
        <v>11.9</v>
      </c>
      <c r="U88" s="51">
        <v>54</v>
      </c>
      <c r="V88" s="49">
        <v>50.9</v>
      </c>
      <c r="W88" s="49">
        <v>3.1</v>
      </c>
      <c r="X88" s="49">
        <v>88.2</v>
      </c>
      <c r="Y88" s="49">
        <v>7</v>
      </c>
      <c r="Z88" s="49">
        <v>105</v>
      </c>
      <c r="AA88" s="49">
        <v>93.6</v>
      </c>
      <c r="AB88" s="49">
        <v>11.4</v>
      </c>
      <c r="AC88" s="49" t="s">
        <v>264</v>
      </c>
      <c r="AD88" s="49" t="s">
        <v>264</v>
      </c>
      <c r="AE88" s="49"/>
      <c r="AF88" s="51"/>
      <c r="AG88" s="50" t="s">
        <v>264</v>
      </c>
      <c r="AH88" s="50" t="s">
        <v>264</v>
      </c>
      <c r="AI88" s="49">
        <v>120.2</v>
      </c>
      <c r="AJ88" s="49"/>
      <c r="AK88" s="49"/>
      <c r="AL88" s="51">
        <v>90.7</v>
      </c>
      <c r="AM88" s="49">
        <v>46.1</v>
      </c>
      <c r="AN88" s="49">
        <v>44.6</v>
      </c>
      <c r="AO88" s="49">
        <v>2452.1999999999998</v>
      </c>
      <c r="AP88" s="49">
        <v>338.5</v>
      </c>
      <c r="AQ88" s="49">
        <v>110.6</v>
      </c>
      <c r="AR88" s="49">
        <v>48.7</v>
      </c>
      <c r="AS88" s="50">
        <v>121.2</v>
      </c>
      <c r="AT88" s="50">
        <v>68.900000000000006</v>
      </c>
      <c r="AU88" s="50">
        <v>63.4</v>
      </c>
      <c r="AV88" s="50">
        <v>38.799999999999997</v>
      </c>
      <c r="AW88" s="50">
        <v>8.3000000000000007</v>
      </c>
      <c r="AX88" s="50">
        <v>4.5999999999999996</v>
      </c>
      <c r="AY88" s="50">
        <v>52.7</v>
      </c>
      <c r="AZ88" s="50">
        <v>12.4</v>
      </c>
      <c r="BA88" s="50" t="s">
        <v>264</v>
      </c>
      <c r="BB88" s="50" t="s">
        <v>264</v>
      </c>
      <c r="BC88" s="50"/>
      <c r="BD88" s="53">
        <v>106.1</v>
      </c>
      <c r="BE88" s="52">
        <v>41.7</v>
      </c>
      <c r="BF88" s="52"/>
      <c r="BG88" s="52"/>
      <c r="BH88" s="52">
        <v>291</v>
      </c>
      <c r="BI88" s="52"/>
      <c r="BJ88" s="52"/>
      <c r="BK88" s="52">
        <v>128.4</v>
      </c>
      <c r="BL88" s="52">
        <v>5</v>
      </c>
      <c r="BM88" s="52">
        <v>424.4</v>
      </c>
      <c r="BN88" s="52">
        <v>282.5</v>
      </c>
      <c r="BO88" s="52"/>
      <c r="BP88" s="52"/>
      <c r="BQ88" s="52">
        <v>83.5</v>
      </c>
      <c r="BR88" s="52">
        <v>6.3</v>
      </c>
      <c r="BS88" s="53">
        <v>372.3</v>
      </c>
      <c r="BT88" s="52">
        <v>69</v>
      </c>
      <c r="BU88" s="52">
        <v>28.9</v>
      </c>
      <c r="BV88" s="50">
        <v>320.5</v>
      </c>
      <c r="BW88" s="50">
        <v>113.3</v>
      </c>
      <c r="BX88" s="49">
        <v>439.9</v>
      </c>
      <c r="BY88" s="50">
        <v>59.6</v>
      </c>
      <c r="BZ88" s="50">
        <v>9.6</v>
      </c>
      <c r="CA88" s="49">
        <v>69.2</v>
      </c>
      <c r="CB88" s="52"/>
      <c r="CC88" s="52"/>
      <c r="CD88" s="52"/>
      <c r="CE88" s="52"/>
      <c r="CF88" s="52">
        <v>106.8</v>
      </c>
      <c r="CG88" s="52">
        <v>173.9</v>
      </c>
      <c r="CH88" s="52">
        <v>23.4</v>
      </c>
      <c r="CI88" s="52"/>
      <c r="CJ88" s="52"/>
      <c r="CK88" s="52"/>
      <c r="CL88" s="52"/>
      <c r="CM88" s="52"/>
      <c r="CN88" s="52">
        <v>65.400000000000006</v>
      </c>
      <c r="CO88" s="52">
        <v>320.5</v>
      </c>
      <c r="CP88" s="52">
        <v>291.60000000000002</v>
      </c>
      <c r="CQ88" s="52">
        <v>28.9</v>
      </c>
      <c r="CR88" s="52" t="s">
        <v>264</v>
      </c>
      <c r="CS88" s="52">
        <v>39.200000000000003</v>
      </c>
      <c r="CT88" s="52">
        <v>26.8</v>
      </c>
      <c r="CU88" s="52">
        <v>12.4</v>
      </c>
      <c r="CV88" s="52">
        <v>61.9</v>
      </c>
      <c r="CW88" s="52">
        <v>17.600000000000001</v>
      </c>
      <c r="CX88" s="52">
        <v>44.3</v>
      </c>
      <c r="CY88" s="52" t="s">
        <v>264</v>
      </c>
      <c r="CZ88" s="52">
        <v>107.9</v>
      </c>
      <c r="DA88" s="52">
        <v>35.700000000000003</v>
      </c>
      <c r="DB88" s="52">
        <v>30.1</v>
      </c>
      <c r="DC88" s="52">
        <v>5.6</v>
      </c>
      <c r="DD88" s="52"/>
      <c r="DE88" s="52"/>
      <c r="DF88" s="53"/>
      <c r="DG88" s="53">
        <v>165.8</v>
      </c>
      <c r="DH88" s="53"/>
      <c r="DI88" s="53">
        <v>669.9</v>
      </c>
      <c r="DJ88" s="53">
        <v>186</v>
      </c>
      <c r="DK88" s="53">
        <v>491.9</v>
      </c>
      <c r="DL88" s="53">
        <v>127.8</v>
      </c>
      <c r="DM88" s="53">
        <v>201.1</v>
      </c>
      <c r="DN88" s="53"/>
      <c r="DO88" s="53">
        <v>180.6</v>
      </c>
      <c r="DP88" s="53">
        <v>192.8</v>
      </c>
      <c r="DQ88" s="53">
        <v>92.3</v>
      </c>
      <c r="DR88" s="53"/>
      <c r="DS88" s="53">
        <v>973.1</v>
      </c>
      <c r="DT88" s="53">
        <v>3281.3</v>
      </c>
      <c r="DU88" s="53">
        <v>-165.80000000000018</v>
      </c>
      <c r="DV88" s="53">
        <v>-9.9999999999909051E-2</v>
      </c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  <c r="FK88" s="52"/>
      <c r="FL88" s="52"/>
      <c r="FM88" s="52"/>
      <c r="FN88" s="52"/>
      <c r="FO88" s="52"/>
      <c r="FP88" s="52"/>
      <c r="FQ88" s="52"/>
      <c r="FR88" s="52"/>
      <c r="FS88" s="52"/>
      <c r="FT88" s="52"/>
      <c r="FU88" s="52"/>
      <c r="FV88" s="52"/>
      <c r="FW88" s="52"/>
      <c r="FX88" s="52"/>
      <c r="FY88" s="52"/>
      <c r="FZ88" s="52"/>
      <c r="GA88" s="52"/>
      <c r="GB88" s="52"/>
      <c r="GC88" s="52"/>
      <c r="GD88" s="52"/>
      <c r="GE88" s="52"/>
      <c r="GF88" s="52"/>
      <c r="GG88" s="52"/>
      <c r="GH88" s="52"/>
      <c r="GI88" s="52"/>
      <c r="GJ88" s="52"/>
      <c r="GK88" s="52"/>
      <c r="GL88" s="52"/>
      <c r="GM88" s="52"/>
      <c r="GN88" s="52"/>
      <c r="GO88" s="52"/>
      <c r="GP88" s="52"/>
      <c r="GQ88" s="52"/>
      <c r="GR88" s="52"/>
      <c r="GS88" s="52"/>
      <c r="GT88" s="52"/>
      <c r="GU88" s="52"/>
      <c r="GV88" s="52"/>
      <c r="GW88" s="52"/>
      <c r="GX88" s="52"/>
      <c r="GY88" s="17"/>
      <c r="GZ88" s="52">
        <v>848.1</v>
      </c>
      <c r="HA88" s="52"/>
      <c r="HB88" s="17"/>
      <c r="HC88" s="17"/>
      <c r="HD88" s="17"/>
      <c r="HE88" s="17"/>
      <c r="HF88" s="52"/>
      <c r="HG88" s="52"/>
      <c r="HH88" s="52"/>
      <c r="HI88" s="52"/>
      <c r="HJ88" s="52"/>
      <c r="HK88" s="52"/>
      <c r="HL88" s="52"/>
      <c r="HM88" s="52"/>
      <c r="HN88" s="52"/>
      <c r="HO88" s="52"/>
      <c r="HP88" s="52"/>
      <c r="HQ88" s="52"/>
      <c r="HR88" s="52"/>
      <c r="HS88" s="52"/>
      <c r="HT88" s="52"/>
      <c r="HU88" s="52"/>
      <c r="HV88" s="52"/>
      <c r="HW88" s="52"/>
      <c r="HX88" s="52"/>
      <c r="HY88" s="52"/>
      <c r="HZ88" s="52"/>
      <c r="IA88" s="52"/>
      <c r="IB88" s="52"/>
      <c r="IC88" s="52"/>
      <c r="ID88" s="52"/>
      <c r="IE88" s="52"/>
      <c r="IF88" s="52"/>
      <c r="IG88" s="52"/>
      <c r="IH88" s="53"/>
      <c r="II88" s="53"/>
      <c r="IJ88" s="53"/>
      <c r="IK88" s="53"/>
      <c r="IL88" s="53"/>
      <c r="IM88" s="52"/>
      <c r="IN88" s="52">
        <v>90.9</v>
      </c>
      <c r="IY88" s="48">
        <f t="shared" si="5"/>
        <v>46.860486377765582</v>
      </c>
      <c r="IZ88" s="48">
        <f>IY88-'NOPA Crush'!J88</f>
        <v>2.0486377765578823E-2</v>
      </c>
      <c r="JB88" s="63">
        <f t="shared" si="3"/>
        <v>10.710367526055951</v>
      </c>
      <c r="JC88" s="64">
        <f>JB88-'NOPA Crush'!O88</f>
        <v>-9.6324739440500906E-3</v>
      </c>
      <c r="JD88" s="65"/>
      <c r="JE88" s="67">
        <f t="shared" si="4"/>
        <v>1268.8</v>
      </c>
      <c r="JF88" s="68">
        <f>'NOPA Crush'!Q88/'Census Crush'!JE88</f>
        <v>0.42336774905422447</v>
      </c>
    </row>
    <row r="89" spans="1:266">
      <c r="A89" s="39">
        <v>31747</v>
      </c>
      <c r="B89" s="49">
        <v>3229</v>
      </c>
      <c r="C89" s="50">
        <v>3516.8</v>
      </c>
      <c r="D89" s="50">
        <v>283.2</v>
      </c>
      <c r="E89" s="50">
        <v>1513.3</v>
      </c>
      <c r="F89" s="50">
        <v>17.899999999999999</v>
      </c>
      <c r="G89" s="50">
        <v>85.5</v>
      </c>
      <c r="H89" s="50">
        <v>48.4</v>
      </c>
      <c r="I89" s="50" t="s">
        <v>264</v>
      </c>
      <c r="J89" s="50" t="s">
        <v>264</v>
      </c>
      <c r="K89" s="49">
        <v>1152.2</v>
      </c>
      <c r="L89" s="49">
        <v>1506.5</v>
      </c>
      <c r="M89" s="49">
        <v>1225.9000000000001</v>
      </c>
      <c r="N89" s="49">
        <v>280.60000000000002</v>
      </c>
      <c r="O89" s="50">
        <v>91.4</v>
      </c>
      <c r="P89" s="51">
        <v>130.60000000000002</v>
      </c>
      <c r="Q89" s="49">
        <v>42.2</v>
      </c>
      <c r="R89" s="49">
        <v>88.4</v>
      </c>
      <c r="S89" s="49"/>
      <c r="T89" s="49">
        <v>10.7</v>
      </c>
      <c r="U89" s="51">
        <v>51.5</v>
      </c>
      <c r="V89" s="49">
        <v>49.4</v>
      </c>
      <c r="W89" s="49">
        <v>2.1</v>
      </c>
      <c r="X89" s="49">
        <v>66.900000000000006</v>
      </c>
      <c r="Y89" s="49">
        <v>5.6</v>
      </c>
      <c r="Z89" s="49">
        <v>113.3</v>
      </c>
      <c r="AA89" s="49">
        <v>105.2</v>
      </c>
      <c r="AB89" s="49">
        <v>8.1</v>
      </c>
      <c r="AC89" s="49" t="s">
        <v>264</v>
      </c>
      <c r="AD89" s="49" t="s">
        <v>264</v>
      </c>
      <c r="AE89" s="49"/>
      <c r="AF89" s="51"/>
      <c r="AG89" s="50" t="s">
        <v>264</v>
      </c>
      <c r="AH89" s="50" t="s">
        <v>264</v>
      </c>
      <c r="AI89" s="49">
        <v>114</v>
      </c>
      <c r="AJ89" s="49"/>
      <c r="AK89" s="49"/>
      <c r="AL89" s="51">
        <v>73.8</v>
      </c>
      <c r="AM89" s="49">
        <v>29.8</v>
      </c>
      <c r="AN89" s="49">
        <v>44</v>
      </c>
      <c r="AO89" s="49">
        <v>2428.1</v>
      </c>
      <c r="AP89" s="49">
        <v>199.5</v>
      </c>
      <c r="AQ89" s="49">
        <v>99.2</v>
      </c>
      <c r="AR89" s="49">
        <v>40.799999999999997</v>
      </c>
      <c r="AS89" s="50">
        <v>130.30000000000001</v>
      </c>
      <c r="AT89" s="50">
        <v>73.2</v>
      </c>
      <c r="AU89" s="50">
        <v>67.7</v>
      </c>
      <c r="AV89" s="50">
        <v>44.5</v>
      </c>
      <c r="AW89" s="50">
        <v>7.2</v>
      </c>
      <c r="AX89" s="50">
        <v>5.0999999999999996</v>
      </c>
      <c r="AY89" s="50">
        <v>39.299999999999997</v>
      </c>
      <c r="AZ89" s="50">
        <v>5.4</v>
      </c>
      <c r="BA89" s="50" t="s">
        <v>264</v>
      </c>
      <c r="BB89" s="50" t="s">
        <v>264</v>
      </c>
      <c r="BC89" s="50"/>
      <c r="BD89" s="53">
        <v>104.2</v>
      </c>
      <c r="BE89" s="52">
        <v>32.799999999999997</v>
      </c>
      <c r="BF89" s="52"/>
      <c r="BG89" s="52"/>
      <c r="BH89" s="52">
        <v>302.39999999999998</v>
      </c>
      <c r="BI89" s="52"/>
      <c r="BJ89" s="52"/>
      <c r="BK89" s="52">
        <v>135.4</v>
      </c>
      <c r="BL89" s="52">
        <v>5.2</v>
      </c>
      <c r="BM89" s="52">
        <v>443</v>
      </c>
      <c r="BN89" s="52">
        <v>235.1</v>
      </c>
      <c r="BO89" s="52"/>
      <c r="BP89" s="52"/>
      <c r="BQ89" s="52">
        <v>74.7</v>
      </c>
      <c r="BR89" s="52">
        <v>6</v>
      </c>
      <c r="BS89" s="53">
        <v>315.8</v>
      </c>
      <c r="BT89" s="52">
        <v>75</v>
      </c>
      <c r="BU89" s="52">
        <v>21.9</v>
      </c>
      <c r="BV89" s="50">
        <v>338.1</v>
      </c>
      <c r="BW89" s="50">
        <v>116.1</v>
      </c>
      <c r="BX89" s="49">
        <v>460.6</v>
      </c>
      <c r="BY89" s="50">
        <v>57.1</v>
      </c>
      <c r="BZ89" s="50">
        <v>7.8</v>
      </c>
      <c r="CA89" s="49">
        <v>64.900000000000006</v>
      </c>
      <c r="CB89" s="52"/>
      <c r="CC89" s="52"/>
      <c r="CD89" s="52"/>
      <c r="CE89" s="52"/>
      <c r="CF89" s="52">
        <v>120.9</v>
      </c>
      <c r="CG89" s="52">
        <v>196.1</v>
      </c>
      <c r="CH89" s="52">
        <v>28.3</v>
      </c>
      <c r="CI89" s="52"/>
      <c r="CJ89" s="52"/>
      <c r="CK89" s="52"/>
      <c r="CL89" s="52"/>
      <c r="CM89" s="52"/>
      <c r="CN89" s="52">
        <v>52.5</v>
      </c>
      <c r="CO89" s="52">
        <v>323.29999999999995</v>
      </c>
      <c r="CP89" s="52">
        <v>291.89999999999998</v>
      </c>
      <c r="CQ89" s="52">
        <v>31.4</v>
      </c>
      <c r="CR89" s="52" t="s">
        <v>264</v>
      </c>
      <c r="CS89" s="52">
        <v>50.3</v>
      </c>
      <c r="CT89" s="52">
        <v>34.799999999999997</v>
      </c>
      <c r="CU89" s="52">
        <v>15.5</v>
      </c>
      <c r="CV89" s="52">
        <v>58</v>
      </c>
      <c r="CW89" s="52">
        <v>16.5</v>
      </c>
      <c r="CX89" s="52">
        <v>41.5</v>
      </c>
      <c r="CY89" s="52" t="s">
        <v>264</v>
      </c>
      <c r="CZ89" s="52">
        <v>130.19999999999999</v>
      </c>
      <c r="DA89" s="52">
        <v>30.9</v>
      </c>
      <c r="DB89" s="52">
        <v>25.9</v>
      </c>
      <c r="DC89" s="52">
        <v>5</v>
      </c>
      <c r="DD89" s="52"/>
      <c r="DE89" s="52"/>
      <c r="DF89" s="53"/>
      <c r="DG89" s="53">
        <v>170.4</v>
      </c>
      <c r="DH89" s="53"/>
      <c r="DI89" s="53">
        <v>646.4</v>
      </c>
      <c r="DJ89" s="53">
        <v>167.6</v>
      </c>
      <c r="DK89" s="53">
        <v>473.8</v>
      </c>
      <c r="DL89" s="53">
        <v>128.5</v>
      </c>
      <c r="DM89" s="53">
        <v>203.5</v>
      </c>
      <c r="DN89" s="53"/>
      <c r="DO89" s="53">
        <v>189.3</v>
      </c>
      <c r="DP89" s="53">
        <v>195.2</v>
      </c>
      <c r="DQ89" s="53">
        <v>98.8</v>
      </c>
      <c r="DR89" s="53"/>
      <c r="DS89" s="53">
        <v>955.5</v>
      </c>
      <c r="DT89" s="53">
        <v>3229</v>
      </c>
      <c r="DU89" s="53">
        <v>-170.40000000000009</v>
      </c>
      <c r="DV89" s="53">
        <v>0</v>
      </c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  <c r="FK89" s="52"/>
      <c r="FL89" s="52"/>
      <c r="FM89" s="52"/>
      <c r="FN89" s="52"/>
      <c r="FO89" s="52"/>
      <c r="FP89" s="52"/>
      <c r="FQ89" s="52"/>
      <c r="FR89" s="52"/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2"/>
      <c r="GG89" s="52"/>
      <c r="GH89" s="52"/>
      <c r="GI89" s="52"/>
      <c r="GJ89" s="52"/>
      <c r="GK89" s="52"/>
      <c r="GL89" s="52"/>
      <c r="GM89" s="52"/>
      <c r="GN89" s="52"/>
      <c r="GO89" s="52"/>
      <c r="GP89" s="52"/>
      <c r="GQ89" s="52"/>
      <c r="GR89" s="52"/>
      <c r="GS89" s="52"/>
      <c r="GT89" s="52"/>
      <c r="GU89" s="52"/>
      <c r="GV89" s="52"/>
      <c r="GW89" s="52"/>
      <c r="GX89" s="52"/>
      <c r="GY89" s="17"/>
      <c r="GZ89" s="52">
        <v>850</v>
      </c>
      <c r="HA89" s="52"/>
      <c r="HB89" s="17"/>
      <c r="HC89" s="17"/>
      <c r="HD89" s="17"/>
      <c r="HE89" s="17"/>
      <c r="HF89" s="52"/>
      <c r="HG89" s="52"/>
      <c r="HH89" s="52"/>
      <c r="HI89" s="52"/>
      <c r="HJ89" s="52"/>
      <c r="HK89" s="52"/>
      <c r="HL89" s="52"/>
      <c r="HM89" s="52"/>
      <c r="HN89" s="52"/>
      <c r="HO89" s="52"/>
      <c r="HP89" s="52"/>
      <c r="HQ89" s="52"/>
      <c r="HR89" s="52"/>
      <c r="HS89" s="52"/>
      <c r="HT89" s="52"/>
      <c r="HU89" s="52"/>
      <c r="HV89" s="52"/>
      <c r="HW89" s="52"/>
      <c r="HX89" s="52"/>
      <c r="HY89" s="52"/>
      <c r="HZ89" s="52"/>
      <c r="IA89" s="52"/>
      <c r="IB89" s="52"/>
      <c r="IC89" s="52"/>
      <c r="ID89" s="52"/>
      <c r="IE89" s="52"/>
      <c r="IF89" s="52"/>
      <c r="IG89" s="52"/>
      <c r="IH89" s="53"/>
      <c r="II89" s="53"/>
      <c r="IJ89" s="53"/>
      <c r="IK89" s="53"/>
      <c r="IL89" s="53"/>
      <c r="IM89" s="52"/>
      <c r="IN89" s="52">
        <v>97.6</v>
      </c>
      <c r="IY89" s="48">
        <f t="shared" si="5"/>
        <v>46.96128832455868</v>
      </c>
      <c r="IZ89" s="48">
        <f>IY89-'NOPA Crush'!J89</f>
        <v>0.27128832455868235</v>
      </c>
      <c r="JB89" s="63">
        <f t="shared" si="3"/>
        <v>10.704862186435429</v>
      </c>
      <c r="JC89" s="64">
        <f>JB89-'NOPA Crush'!O89</f>
        <v>-5.1378135645716583E-3</v>
      </c>
      <c r="JD89" s="65"/>
      <c r="JE89" s="67">
        <f t="shared" si="4"/>
        <v>1506.5</v>
      </c>
      <c r="JF89" s="68">
        <f>'NOPA Crush'!Q89/'Census Crush'!JE89</f>
        <v>0.40202987056090278</v>
      </c>
    </row>
    <row r="90" spans="1:266">
      <c r="A90" s="39">
        <v>31778</v>
      </c>
      <c r="B90" s="49">
        <v>3307.9</v>
      </c>
      <c r="C90" s="50">
        <v>3392.8</v>
      </c>
      <c r="D90" s="50">
        <v>323.5</v>
      </c>
      <c r="E90" s="50">
        <v>1427.8</v>
      </c>
      <c r="F90" s="50">
        <v>11.8</v>
      </c>
      <c r="G90" s="50">
        <v>61.8</v>
      </c>
      <c r="H90" s="50">
        <v>36.200000000000003</v>
      </c>
      <c r="I90" s="50" t="s">
        <v>264</v>
      </c>
      <c r="J90" s="50" t="s">
        <v>264</v>
      </c>
      <c r="K90" s="49">
        <v>1185.5999999999999</v>
      </c>
      <c r="L90" s="49">
        <v>1837.3</v>
      </c>
      <c r="M90" s="49">
        <v>1542.6</v>
      </c>
      <c r="N90" s="49">
        <v>294.7</v>
      </c>
      <c r="O90" s="50">
        <v>103.7</v>
      </c>
      <c r="P90" s="51">
        <v>165.39999999999998</v>
      </c>
      <c r="Q90" s="49">
        <v>55.8</v>
      </c>
      <c r="R90" s="49">
        <v>109.6</v>
      </c>
      <c r="S90" s="49"/>
      <c r="T90" s="49">
        <v>9.8000000000000007</v>
      </c>
      <c r="U90" s="51">
        <v>47.2</v>
      </c>
      <c r="V90" s="49">
        <v>45.2</v>
      </c>
      <c r="W90" s="49">
        <v>2</v>
      </c>
      <c r="X90" s="49">
        <v>50.8</v>
      </c>
      <c r="Y90" s="49">
        <v>5.7</v>
      </c>
      <c r="Z90" s="49">
        <v>140.69999999999999</v>
      </c>
      <c r="AA90" s="49">
        <v>133.6</v>
      </c>
      <c r="AB90" s="49">
        <v>7.1</v>
      </c>
      <c r="AC90" s="49" t="s">
        <v>264</v>
      </c>
      <c r="AD90" s="49" t="s">
        <v>264</v>
      </c>
      <c r="AE90" s="49"/>
      <c r="AF90" s="51"/>
      <c r="AG90" s="50" t="s">
        <v>264</v>
      </c>
      <c r="AH90" s="50" t="s">
        <v>264</v>
      </c>
      <c r="AI90" s="49">
        <v>100.1</v>
      </c>
      <c r="AJ90" s="49"/>
      <c r="AK90" s="49"/>
      <c r="AL90" s="51">
        <v>87.199999999999989</v>
      </c>
      <c r="AM90" s="49">
        <v>32.799999999999997</v>
      </c>
      <c r="AN90" s="49">
        <v>54.4</v>
      </c>
      <c r="AO90" s="49">
        <v>2486.5</v>
      </c>
      <c r="AP90" s="49">
        <v>278.89999999999998</v>
      </c>
      <c r="AQ90" s="49">
        <v>103.6</v>
      </c>
      <c r="AR90" s="49">
        <v>32.299999999999997</v>
      </c>
      <c r="AS90" s="50">
        <v>151.1</v>
      </c>
      <c r="AT90" s="50">
        <v>111.1</v>
      </c>
      <c r="AU90" s="50">
        <v>77.400000000000006</v>
      </c>
      <c r="AV90" s="50">
        <v>63.2</v>
      </c>
      <c r="AW90" s="50">
        <v>6.5</v>
      </c>
      <c r="AX90" s="50">
        <v>5.2</v>
      </c>
      <c r="AY90" s="50">
        <v>28.5</v>
      </c>
      <c r="AZ90" s="50">
        <v>3.4</v>
      </c>
      <c r="BA90" s="50" t="s">
        <v>264</v>
      </c>
      <c r="BB90" s="50" t="s">
        <v>264</v>
      </c>
      <c r="BC90" s="50"/>
      <c r="BD90" s="53">
        <v>111.4</v>
      </c>
      <c r="BE90" s="52">
        <v>40.1</v>
      </c>
      <c r="BF90" s="52"/>
      <c r="BG90" s="52"/>
      <c r="BH90" s="52">
        <v>323.39999999999998</v>
      </c>
      <c r="BI90" s="52"/>
      <c r="BJ90" s="52"/>
      <c r="BK90" s="52">
        <v>142</v>
      </c>
      <c r="BL90" s="52">
        <v>6.2</v>
      </c>
      <c r="BM90" s="52">
        <v>471.5</v>
      </c>
      <c r="BN90" s="52">
        <v>272.5</v>
      </c>
      <c r="BO90" s="52"/>
      <c r="BP90" s="52"/>
      <c r="BQ90" s="52">
        <v>74.2</v>
      </c>
      <c r="BR90" s="52">
        <v>4.9000000000000004</v>
      </c>
      <c r="BS90" s="53">
        <v>351.59999999999997</v>
      </c>
      <c r="BT90" s="52">
        <v>76</v>
      </c>
      <c r="BU90" s="52">
        <v>31.5</v>
      </c>
      <c r="BV90" s="50">
        <v>343.7</v>
      </c>
      <c r="BW90" s="50">
        <v>108.1</v>
      </c>
      <c r="BX90" s="49">
        <v>458.2</v>
      </c>
      <c r="BY90" s="50">
        <v>67.599999999999994</v>
      </c>
      <c r="BZ90" s="50">
        <v>7.5</v>
      </c>
      <c r="CA90" s="49">
        <v>75.099999999999994</v>
      </c>
      <c r="CB90" s="52"/>
      <c r="CC90" s="52"/>
      <c r="CD90" s="52"/>
      <c r="CE90" s="52"/>
      <c r="CF90" s="52">
        <v>123.8</v>
      </c>
      <c r="CG90" s="52">
        <v>185.6</v>
      </c>
      <c r="CH90" s="52">
        <v>26.5</v>
      </c>
      <c r="CI90" s="52"/>
      <c r="CJ90" s="52"/>
      <c r="CK90" s="52"/>
      <c r="CL90" s="52"/>
      <c r="CM90" s="52"/>
      <c r="CN90" s="52">
        <v>65.3</v>
      </c>
      <c r="CO90" s="52">
        <v>323.60000000000002</v>
      </c>
      <c r="CP90" s="52">
        <v>290.5</v>
      </c>
      <c r="CQ90" s="52">
        <v>33.1</v>
      </c>
      <c r="CR90" s="52" t="s">
        <v>264</v>
      </c>
      <c r="CS90" s="52">
        <v>68</v>
      </c>
      <c r="CT90" s="52">
        <v>54</v>
      </c>
      <c r="CU90" s="52">
        <v>14</v>
      </c>
      <c r="CV90" s="52">
        <v>58.4</v>
      </c>
      <c r="CW90" s="52">
        <v>17.399999999999999</v>
      </c>
      <c r="CX90" s="52">
        <v>41</v>
      </c>
      <c r="CY90" s="52" t="s">
        <v>264</v>
      </c>
      <c r="CZ90" s="52">
        <v>125.9</v>
      </c>
      <c r="DA90" s="52">
        <v>37.799999999999997</v>
      </c>
      <c r="DB90" s="52">
        <v>33</v>
      </c>
      <c r="DC90" s="52">
        <v>4.8</v>
      </c>
      <c r="DD90" s="52"/>
      <c r="DE90" s="52"/>
      <c r="DF90" s="53"/>
      <c r="DG90" s="53">
        <v>186.1</v>
      </c>
      <c r="DH90" s="53"/>
      <c r="DI90" s="53">
        <v>635.4</v>
      </c>
      <c r="DJ90" s="53">
        <v>198.1</v>
      </c>
      <c r="DK90" s="53">
        <v>468</v>
      </c>
      <c r="DL90" s="53">
        <v>129.4</v>
      </c>
      <c r="DM90" s="53">
        <v>237.8</v>
      </c>
      <c r="DN90" s="53"/>
      <c r="DO90" s="53">
        <v>179.9</v>
      </c>
      <c r="DP90" s="53">
        <v>196.5</v>
      </c>
      <c r="DQ90" s="53">
        <v>99</v>
      </c>
      <c r="DR90" s="53"/>
      <c r="DS90" s="53">
        <v>977.7</v>
      </c>
      <c r="DT90" s="53">
        <v>3307.9</v>
      </c>
      <c r="DU90" s="53">
        <v>-186.09999999999991</v>
      </c>
      <c r="DV90" s="53">
        <v>0</v>
      </c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  <c r="FX90" s="52"/>
      <c r="FY90" s="52"/>
      <c r="FZ90" s="52"/>
      <c r="GA90" s="52"/>
      <c r="GB90" s="52"/>
      <c r="GC90" s="52"/>
      <c r="GD90" s="52"/>
      <c r="GE90" s="52"/>
      <c r="GF90" s="52"/>
      <c r="GG90" s="52"/>
      <c r="GH90" s="52"/>
      <c r="GI90" s="52"/>
      <c r="GJ90" s="52"/>
      <c r="GK90" s="52"/>
      <c r="GL90" s="52"/>
      <c r="GM90" s="52"/>
      <c r="GN90" s="52"/>
      <c r="GO90" s="52"/>
      <c r="GP90" s="52"/>
      <c r="GQ90" s="52"/>
      <c r="GR90" s="52"/>
      <c r="GS90" s="52"/>
      <c r="GT90" s="52"/>
      <c r="GU90" s="52"/>
      <c r="GV90" s="52"/>
      <c r="GW90" s="52"/>
      <c r="GX90" s="52"/>
      <c r="GY90" s="17"/>
      <c r="GZ90" s="52">
        <v>790.2</v>
      </c>
      <c r="HA90" s="52"/>
      <c r="HB90" s="17"/>
      <c r="HC90" s="17"/>
      <c r="HD90" s="17"/>
      <c r="HE90" s="17"/>
      <c r="HF90" s="52"/>
      <c r="HG90" s="52"/>
      <c r="HH90" s="52"/>
      <c r="HI90" s="52"/>
      <c r="HJ90" s="52"/>
      <c r="HK90" s="52"/>
      <c r="HL90" s="52"/>
      <c r="HM90" s="52"/>
      <c r="HN90" s="52"/>
      <c r="HO90" s="52"/>
      <c r="HP90" s="52"/>
      <c r="HQ90" s="52"/>
      <c r="HR90" s="52"/>
      <c r="HS90" s="52"/>
      <c r="HT90" s="52"/>
      <c r="HU90" s="52"/>
      <c r="HV90" s="52"/>
      <c r="HW90" s="52"/>
      <c r="HX90" s="52"/>
      <c r="HY90" s="52"/>
      <c r="HZ90" s="52"/>
      <c r="IA90" s="52"/>
      <c r="IB90" s="52"/>
      <c r="IC90" s="52"/>
      <c r="ID90" s="52"/>
      <c r="IE90" s="52"/>
      <c r="IF90" s="52"/>
      <c r="IG90" s="52"/>
      <c r="IH90" s="53"/>
      <c r="II90" s="53"/>
      <c r="IJ90" s="53"/>
      <c r="IK90" s="53"/>
      <c r="IL90" s="53"/>
      <c r="IM90" s="52"/>
      <c r="IN90" s="52">
        <v>103.7</v>
      </c>
      <c r="IY90" s="48">
        <f t="shared" si="5"/>
        <v>46.98025937906224</v>
      </c>
      <c r="IZ90" s="48">
        <f>IY90-'NOPA Crush'!J90</f>
        <v>-2.9740620937758422E-2</v>
      </c>
      <c r="JB90" s="63">
        <f t="shared" si="3"/>
        <v>10.752441125789774</v>
      </c>
      <c r="JC90" s="64">
        <f>JB90-'NOPA Crush'!O90</f>
        <v>-2.7558874210225071E-2</v>
      </c>
      <c r="JD90" s="65"/>
      <c r="JE90" s="67">
        <f t="shared" si="4"/>
        <v>1837.3</v>
      </c>
      <c r="JF90" s="68">
        <f>'NOPA Crush'!Q90/'Census Crush'!JE90</f>
        <v>0.40703804495727425</v>
      </c>
    </row>
    <row r="91" spans="1:266">
      <c r="A91" s="39">
        <v>31809</v>
      </c>
      <c r="B91" s="49">
        <v>3068.1</v>
      </c>
      <c r="C91" s="50">
        <v>3160.7</v>
      </c>
      <c r="D91" s="50">
        <v>278.39999999999998</v>
      </c>
      <c r="E91" s="50">
        <v>1157.4000000000001</v>
      </c>
      <c r="F91" s="50">
        <v>16.899999999999999</v>
      </c>
      <c r="G91" s="50">
        <v>67.400000000000006</v>
      </c>
      <c r="H91" s="50">
        <v>35.4</v>
      </c>
      <c r="I91" s="50" t="s">
        <v>264</v>
      </c>
      <c r="J91" s="50" t="s">
        <v>264</v>
      </c>
      <c r="K91" s="49">
        <v>1109.5999999999999</v>
      </c>
      <c r="L91" s="49">
        <v>2017</v>
      </c>
      <c r="M91" s="49">
        <v>1717.2</v>
      </c>
      <c r="N91" s="49">
        <v>299.8</v>
      </c>
      <c r="O91" s="50">
        <v>90.3</v>
      </c>
      <c r="P91" s="51">
        <v>188.10000000000002</v>
      </c>
      <c r="Q91" s="49">
        <v>65.7</v>
      </c>
      <c r="R91" s="49">
        <v>122.4</v>
      </c>
      <c r="S91" s="49"/>
      <c r="T91" s="49">
        <v>13.6</v>
      </c>
      <c r="U91" s="51">
        <v>55.4</v>
      </c>
      <c r="V91" s="49">
        <v>52.4</v>
      </c>
      <c r="W91" s="49">
        <v>3</v>
      </c>
      <c r="X91" s="49">
        <v>51.5</v>
      </c>
      <c r="Y91" s="49">
        <v>5.6</v>
      </c>
      <c r="Z91" s="49">
        <v>152.10000000000002</v>
      </c>
      <c r="AA91" s="49">
        <v>146.80000000000001</v>
      </c>
      <c r="AB91" s="49">
        <v>5.3</v>
      </c>
      <c r="AC91" s="49" t="s">
        <v>264</v>
      </c>
      <c r="AD91" s="49" t="s">
        <v>264</v>
      </c>
      <c r="AE91" s="49"/>
      <c r="AF91" s="51"/>
      <c r="AG91" s="50" t="s">
        <v>264</v>
      </c>
      <c r="AH91" s="50" t="s">
        <v>264</v>
      </c>
      <c r="AI91" s="49">
        <v>102.2</v>
      </c>
      <c r="AJ91" s="49"/>
      <c r="AK91" s="49"/>
      <c r="AL91" s="51">
        <v>101</v>
      </c>
      <c r="AM91" s="49">
        <v>35</v>
      </c>
      <c r="AN91" s="49">
        <v>66</v>
      </c>
      <c r="AO91" s="49">
        <v>2315.9</v>
      </c>
      <c r="AP91" s="49">
        <v>245.3</v>
      </c>
      <c r="AQ91" s="49">
        <v>94</v>
      </c>
      <c r="AR91" s="49">
        <v>32.200000000000003</v>
      </c>
      <c r="AS91" s="50">
        <v>128.69999999999999</v>
      </c>
      <c r="AT91" s="50">
        <v>141.5</v>
      </c>
      <c r="AU91" s="50">
        <v>68.8</v>
      </c>
      <c r="AV91" s="50">
        <v>80.8</v>
      </c>
      <c r="AW91" s="50">
        <v>9.6999999999999993</v>
      </c>
      <c r="AX91" s="50">
        <v>5.7</v>
      </c>
      <c r="AY91" s="50">
        <v>32.299999999999997</v>
      </c>
      <c r="AZ91" s="50">
        <v>8.4</v>
      </c>
      <c r="BA91" s="50" t="s">
        <v>264</v>
      </c>
      <c r="BB91" s="50" t="s">
        <v>264</v>
      </c>
      <c r="BC91" s="50"/>
      <c r="BD91" s="53">
        <v>97.5</v>
      </c>
      <c r="BE91" s="52">
        <v>41.4</v>
      </c>
      <c r="BF91" s="52"/>
      <c r="BG91" s="52"/>
      <c r="BH91" s="52">
        <v>289.7</v>
      </c>
      <c r="BI91" s="52"/>
      <c r="BJ91" s="52"/>
      <c r="BK91" s="52">
        <v>127.8</v>
      </c>
      <c r="BL91" s="52">
        <v>4.9000000000000004</v>
      </c>
      <c r="BM91" s="52">
        <v>422.3</v>
      </c>
      <c r="BN91" s="52">
        <v>315.8</v>
      </c>
      <c r="BO91" s="52"/>
      <c r="BP91" s="52"/>
      <c r="BQ91" s="52">
        <v>84.8</v>
      </c>
      <c r="BR91" s="52">
        <v>5.4</v>
      </c>
      <c r="BS91" s="53">
        <v>406</v>
      </c>
      <c r="BT91" s="52">
        <v>66</v>
      </c>
      <c r="BU91" s="52">
        <v>30.9</v>
      </c>
      <c r="BV91" s="50">
        <v>308.60000000000002</v>
      </c>
      <c r="BW91" s="50">
        <v>98.9</v>
      </c>
      <c r="BX91" s="49">
        <v>413.3</v>
      </c>
      <c r="BY91" s="50">
        <v>57.2</v>
      </c>
      <c r="BZ91" s="50">
        <v>7.5</v>
      </c>
      <c r="CA91" s="49">
        <v>64.7</v>
      </c>
      <c r="CB91" s="52"/>
      <c r="CC91" s="52"/>
      <c r="CD91" s="52"/>
      <c r="CE91" s="52"/>
      <c r="CF91" s="52">
        <v>143</v>
      </c>
      <c r="CG91" s="52">
        <v>199.2</v>
      </c>
      <c r="CH91" s="52">
        <v>27.3</v>
      </c>
      <c r="CI91" s="52"/>
      <c r="CJ91" s="52"/>
      <c r="CK91" s="52"/>
      <c r="CL91" s="52"/>
      <c r="CM91" s="52"/>
      <c r="CN91" s="52">
        <v>57.7</v>
      </c>
      <c r="CO91" s="52">
        <v>355.7</v>
      </c>
      <c r="CP91" s="52">
        <v>325.2</v>
      </c>
      <c r="CQ91" s="52">
        <v>30.5</v>
      </c>
      <c r="CR91" s="52" t="s">
        <v>264</v>
      </c>
      <c r="CS91" s="52">
        <v>55.7</v>
      </c>
      <c r="CT91" s="52">
        <v>42.5</v>
      </c>
      <c r="CU91" s="52">
        <v>13.2</v>
      </c>
      <c r="CV91" s="52">
        <v>56.300000000000004</v>
      </c>
      <c r="CW91" s="52">
        <v>16.600000000000001</v>
      </c>
      <c r="CX91" s="52">
        <v>39.700000000000003</v>
      </c>
      <c r="CY91" s="52" t="s">
        <v>264</v>
      </c>
      <c r="CZ91" s="52">
        <v>121</v>
      </c>
      <c r="DA91" s="52">
        <v>35.9</v>
      </c>
      <c r="DB91" s="52">
        <v>29.7</v>
      </c>
      <c r="DC91" s="52">
        <v>6.2</v>
      </c>
      <c r="DD91" s="52"/>
      <c r="DE91" s="52"/>
      <c r="DF91" s="53"/>
      <c r="DG91" s="53">
        <v>160.4</v>
      </c>
      <c r="DH91" s="53"/>
      <c r="DI91" s="53">
        <v>616.9</v>
      </c>
      <c r="DJ91" s="53">
        <v>182</v>
      </c>
      <c r="DK91" s="53">
        <v>447.8</v>
      </c>
      <c r="DL91" s="53">
        <v>114.4</v>
      </c>
      <c r="DM91" s="53">
        <v>211.2</v>
      </c>
      <c r="DN91" s="53"/>
      <c r="DO91" s="53">
        <v>164.4</v>
      </c>
      <c r="DP91" s="53">
        <v>175.2</v>
      </c>
      <c r="DQ91" s="53">
        <v>92.9</v>
      </c>
      <c r="DR91" s="53"/>
      <c r="DS91" s="53">
        <v>902.9</v>
      </c>
      <c r="DT91" s="53">
        <v>3068.1</v>
      </c>
      <c r="DU91" s="53">
        <v>-160.39999999999964</v>
      </c>
      <c r="DV91" s="53">
        <v>0</v>
      </c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2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17"/>
      <c r="GZ91" s="52">
        <v>763.6</v>
      </c>
      <c r="HA91" s="52"/>
      <c r="HB91" s="17"/>
      <c r="HC91" s="17"/>
      <c r="HD91" s="17"/>
      <c r="HE91" s="17"/>
      <c r="HF91" s="52"/>
      <c r="HG91" s="52"/>
      <c r="HH91" s="52"/>
      <c r="HI91" s="52"/>
      <c r="HJ91" s="52"/>
      <c r="HK91" s="52"/>
      <c r="HL91" s="52"/>
      <c r="HM91" s="52"/>
      <c r="HN91" s="52"/>
      <c r="HO91" s="52"/>
      <c r="HP91" s="52"/>
      <c r="HQ91" s="52"/>
      <c r="HR91" s="52"/>
      <c r="HS91" s="52"/>
      <c r="HT91" s="52"/>
      <c r="HU91" s="52"/>
      <c r="HV91" s="52"/>
      <c r="HW91" s="52"/>
      <c r="HX91" s="52"/>
      <c r="HY91" s="52"/>
      <c r="HZ91" s="52"/>
      <c r="IA91" s="52"/>
      <c r="IB91" s="52"/>
      <c r="IC91" s="52"/>
      <c r="ID91" s="52"/>
      <c r="IE91" s="52"/>
      <c r="IF91" s="52"/>
      <c r="IG91" s="52"/>
      <c r="IH91" s="53"/>
      <c r="II91" s="53"/>
      <c r="IJ91" s="53"/>
      <c r="IK91" s="53"/>
      <c r="IL91" s="53"/>
      <c r="IM91" s="52"/>
      <c r="IN91" s="52">
        <v>96.8</v>
      </c>
      <c r="IY91" s="48">
        <f t="shared" si="5"/>
        <v>47.128190085068937</v>
      </c>
      <c r="IZ91" s="48">
        <f>IY91-'NOPA Crush'!J91</f>
        <v>-1.8099149310657481E-3</v>
      </c>
      <c r="JB91" s="63">
        <f t="shared" si="3"/>
        <v>10.849711547863498</v>
      </c>
      <c r="JC91" s="64">
        <f>JB91-'NOPA Crush'!O91</f>
        <v>-2.0288452136501434E-2</v>
      </c>
      <c r="JD91" s="65"/>
      <c r="JE91" s="67">
        <f t="shared" si="4"/>
        <v>2017</v>
      </c>
      <c r="JF91" s="68">
        <f>'NOPA Crush'!Q91/'Census Crush'!JE91</f>
        <v>0.42842736737729303</v>
      </c>
    </row>
    <row r="92" spans="1:266">
      <c r="A92" s="39">
        <v>31837</v>
      </c>
      <c r="B92" s="49">
        <v>3179.7</v>
      </c>
      <c r="C92" s="50">
        <v>2707.2</v>
      </c>
      <c r="D92" s="50">
        <v>255.8</v>
      </c>
      <c r="E92" s="50">
        <v>912.6</v>
      </c>
      <c r="F92" s="50">
        <v>25.2</v>
      </c>
      <c r="G92" s="50">
        <v>63.1</v>
      </c>
      <c r="H92" s="50">
        <v>16.899999999999999</v>
      </c>
      <c r="I92" s="50" t="s">
        <v>264</v>
      </c>
      <c r="J92" s="50" t="s">
        <v>264</v>
      </c>
      <c r="K92" s="49">
        <v>1149</v>
      </c>
      <c r="L92" s="49">
        <v>2352.3000000000002</v>
      </c>
      <c r="M92" s="49">
        <v>2028.9</v>
      </c>
      <c r="N92" s="49">
        <v>323.39999999999998</v>
      </c>
      <c r="O92" s="50">
        <v>83.3</v>
      </c>
      <c r="P92" s="51">
        <v>207.5</v>
      </c>
      <c r="Q92" s="49">
        <v>85.8</v>
      </c>
      <c r="R92" s="49">
        <v>121.7</v>
      </c>
      <c r="S92" s="49"/>
      <c r="T92" s="49">
        <v>20.5</v>
      </c>
      <c r="U92" s="51">
        <v>48.800000000000004</v>
      </c>
      <c r="V92" s="49">
        <v>46.2</v>
      </c>
      <c r="W92" s="49">
        <v>2.6</v>
      </c>
      <c r="X92" s="49">
        <v>50.5</v>
      </c>
      <c r="Y92" s="49">
        <v>9.6999999999999993</v>
      </c>
      <c r="Z92" s="49">
        <v>134.79999999999998</v>
      </c>
      <c r="AA92" s="49">
        <v>129.6</v>
      </c>
      <c r="AB92" s="49">
        <v>5.2</v>
      </c>
      <c r="AC92" s="49" t="s">
        <v>264</v>
      </c>
      <c r="AD92" s="49" t="s">
        <v>264</v>
      </c>
      <c r="AE92" s="49"/>
      <c r="AF92" s="51"/>
      <c r="AG92" s="50" t="s">
        <v>264</v>
      </c>
      <c r="AH92" s="50" t="s">
        <v>264</v>
      </c>
      <c r="AI92" s="49">
        <v>119.3</v>
      </c>
      <c r="AJ92" s="49"/>
      <c r="AK92" s="49"/>
      <c r="AL92" s="51">
        <v>84.7</v>
      </c>
      <c r="AM92" s="49">
        <v>32.5</v>
      </c>
      <c r="AN92" s="49">
        <v>52.2</v>
      </c>
      <c r="AO92" s="49">
        <v>2390.1</v>
      </c>
      <c r="AP92" s="49">
        <v>205.8</v>
      </c>
      <c r="AQ92" s="49">
        <v>99</v>
      </c>
      <c r="AR92" s="49">
        <v>30</v>
      </c>
      <c r="AS92" s="50">
        <v>116.1</v>
      </c>
      <c r="AT92" s="50">
        <v>154.1</v>
      </c>
      <c r="AU92" s="50">
        <v>59.2</v>
      </c>
      <c r="AV92" s="50">
        <v>87.2</v>
      </c>
      <c r="AW92" s="50">
        <v>14.3</v>
      </c>
      <c r="AX92" s="50">
        <v>5.5</v>
      </c>
      <c r="AY92" s="50">
        <v>28.2</v>
      </c>
      <c r="AZ92" s="50">
        <v>8.5</v>
      </c>
      <c r="BA92" s="50" t="s">
        <v>264</v>
      </c>
      <c r="BB92" s="50" t="s">
        <v>264</v>
      </c>
      <c r="BC92" s="50"/>
      <c r="BD92" s="53">
        <v>101.7</v>
      </c>
      <c r="BE92" s="52">
        <v>38.799999999999997</v>
      </c>
      <c r="BF92" s="52"/>
      <c r="BG92" s="52"/>
      <c r="BH92" s="52">
        <v>306.89999999999998</v>
      </c>
      <c r="BI92" s="52"/>
      <c r="BJ92" s="52"/>
      <c r="BK92" s="52">
        <v>136.1</v>
      </c>
      <c r="BL92" s="52">
        <v>6</v>
      </c>
      <c r="BM92" s="52">
        <v>448.9</v>
      </c>
      <c r="BN92" s="52">
        <v>308.10000000000002</v>
      </c>
      <c r="BO92" s="52"/>
      <c r="BP92" s="52"/>
      <c r="BQ92" s="52">
        <v>82.6</v>
      </c>
      <c r="BR92" s="52">
        <v>5.5</v>
      </c>
      <c r="BS92" s="53">
        <v>396.20000000000005</v>
      </c>
      <c r="BT92" s="52">
        <v>74</v>
      </c>
      <c r="BU92" s="52">
        <v>27.2</v>
      </c>
      <c r="BV92" s="50">
        <v>332.2</v>
      </c>
      <c r="BW92" s="50">
        <v>103.3</v>
      </c>
      <c r="BX92" s="49">
        <v>441.8</v>
      </c>
      <c r="BY92" s="50">
        <v>66.099999999999994</v>
      </c>
      <c r="BZ92" s="50">
        <v>8.3000000000000007</v>
      </c>
      <c r="CA92" s="49">
        <v>74.399999999999991</v>
      </c>
      <c r="CB92" s="52"/>
      <c r="CC92" s="52"/>
      <c r="CD92" s="52"/>
      <c r="CE92" s="52"/>
      <c r="CF92" s="52">
        <v>145.5</v>
      </c>
      <c r="CG92" s="52">
        <v>211.6</v>
      </c>
      <c r="CH92" s="52">
        <v>35.799999999999997</v>
      </c>
      <c r="CI92" s="52"/>
      <c r="CJ92" s="52"/>
      <c r="CK92" s="52"/>
      <c r="CL92" s="52"/>
      <c r="CM92" s="52"/>
      <c r="CN92" s="52">
        <v>71.2</v>
      </c>
      <c r="CO92" s="52">
        <v>318.10000000000002</v>
      </c>
      <c r="CP92" s="52">
        <v>287.60000000000002</v>
      </c>
      <c r="CQ92" s="52">
        <v>30.5</v>
      </c>
      <c r="CR92" s="52" t="s">
        <v>264</v>
      </c>
      <c r="CS92" s="52">
        <v>64.600000000000009</v>
      </c>
      <c r="CT92" s="52">
        <v>51.2</v>
      </c>
      <c r="CU92" s="52">
        <v>13.4</v>
      </c>
      <c r="CV92" s="52">
        <v>62.2</v>
      </c>
      <c r="CW92" s="52">
        <v>17.2</v>
      </c>
      <c r="CX92" s="52">
        <v>45</v>
      </c>
      <c r="CY92" s="52" t="s">
        <v>264</v>
      </c>
      <c r="CZ92" s="52">
        <v>113</v>
      </c>
      <c r="DA92" s="52">
        <v>34.6</v>
      </c>
      <c r="DB92" s="52">
        <v>28</v>
      </c>
      <c r="DC92" s="52">
        <v>6.6</v>
      </c>
      <c r="DD92" s="52"/>
      <c r="DE92" s="52"/>
      <c r="DF92" s="53"/>
      <c r="DG92" s="53">
        <v>143.9</v>
      </c>
      <c r="DH92" s="53">
        <v>129.9</v>
      </c>
      <c r="DI92" s="53">
        <v>644.1</v>
      </c>
      <c r="DJ92" s="53">
        <v>203.9</v>
      </c>
      <c r="DK92" s="53">
        <v>463.6</v>
      </c>
      <c r="DL92" s="53">
        <v>125.3</v>
      </c>
      <c r="DM92" s="53">
        <v>225.2</v>
      </c>
      <c r="DN92" s="53"/>
      <c r="DO92" s="53">
        <v>171</v>
      </c>
      <c r="DP92" s="53">
        <v>177.1</v>
      </c>
      <c r="DQ92" s="53">
        <v>88.1</v>
      </c>
      <c r="DR92" s="53"/>
      <c r="DS92" s="53">
        <v>807.6</v>
      </c>
      <c r="DT92" s="53">
        <v>3179.7</v>
      </c>
      <c r="DU92" s="53">
        <v>-273.80000000000018</v>
      </c>
      <c r="DV92" s="53">
        <v>0</v>
      </c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  <c r="FK92" s="52"/>
      <c r="FL92" s="52"/>
      <c r="FM92" s="52"/>
      <c r="FN92" s="52"/>
      <c r="FO92" s="52"/>
      <c r="FP92" s="52"/>
      <c r="FQ92" s="52"/>
      <c r="FR92" s="52"/>
      <c r="FS92" s="52"/>
      <c r="FT92" s="52"/>
      <c r="FU92" s="52"/>
      <c r="FV92" s="52"/>
      <c r="FW92" s="52"/>
      <c r="FX92" s="52"/>
      <c r="FY92" s="52"/>
      <c r="FZ92" s="52"/>
      <c r="GA92" s="52"/>
      <c r="GB92" s="52"/>
      <c r="GC92" s="52"/>
      <c r="GD92" s="52"/>
      <c r="GE92" s="52"/>
      <c r="GF92" s="52"/>
      <c r="GG92" s="52"/>
      <c r="GH92" s="52"/>
      <c r="GI92" s="52"/>
      <c r="GJ92" s="52"/>
      <c r="GK92" s="52"/>
      <c r="GL92" s="52"/>
      <c r="GM92" s="52"/>
      <c r="GN92" s="52"/>
      <c r="GO92" s="52"/>
      <c r="GP92" s="52"/>
      <c r="GQ92" s="52"/>
      <c r="GR92" s="52"/>
      <c r="GS92" s="52"/>
      <c r="GT92" s="52"/>
      <c r="GU92" s="52"/>
      <c r="GV92" s="52"/>
      <c r="GW92" s="52"/>
      <c r="GX92" s="52"/>
      <c r="GY92" s="17"/>
      <c r="GZ92" s="52">
        <v>900.7</v>
      </c>
      <c r="HA92" s="52"/>
      <c r="HB92" s="17"/>
      <c r="HC92" s="17"/>
      <c r="HD92" s="17"/>
      <c r="HE92" s="17"/>
      <c r="HF92" s="52"/>
      <c r="HG92" s="52"/>
      <c r="HH92" s="52"/>
      <c r="HI92" s="52"/>
      <c r="HJ92" s="52"/>
      <c r="HK92" s="52"/>
      <c r="HL92" s="52"/>
      <c r="HM92" s="52"/>
      <c r="HN92" s="52"/>
      <c r="HO92" s="52"/>
      <c r="HP92" s="52"/>
      <c r="HQ92" s="52"/>
      <c r="HR92" s="52"/>
      <c r="HS92" s="52"/>
      <c r="HT92" s="52"/>
      <c r="HU92" s="52"/>
      <c r="HV92" s="52"/>
      <c r="HW92" s="52"/>
      <c r="HX92" s="52"/>
      <c r="HY92" s="52"/>
      <c r="HZ92" s="52"/>
      <c r="IA92" s="52"/>
      <c r="IB92" s="52"/>
      <c r="IC92" s="52"/>
      <c r="ID92" s="52"/>
      <c r="IE92" s="52"/>
      <c r="IF92" s="52"/>
      <c r="IG92" s="52"/>
      <c r="IH92" s="53"/>
      <c r="II92" s="53"/>
      <c r="IJ92" s="53"/>
      <c r="IK92" s="53"/>
      <c r="IL92" s="53"/>
      <c r="IM92" s="52"/>
      <c r="IN92" s="52">
        <v>90.3</v>
      </c>
      <c r="IY92" s="48">
        <f t="shared" si="5"/>
        <v>46.968581941692612</v>
      </c>
      <c r="IZ92" s="48">
        <f>IY92-'NOPA Crush'!J92</f>
        <v>3.8581941692612531E-2</v>
      </c>
      <c r="JB92" s="63">
        <f t="shared" si="3"/>
        <v>10.840645343900368</v>
      </c>
      <c r="JC92" s="64">
        <f>JB92-'NOPA Crush'!O92</f>
        <v>-9.3546560996315975E-3</v>
      </c>
      <c r="JD92" s="65"/>
      <c r="JE92" s="67">
        <f t="shared" si="4"/>
        <v>2352.3000000000002</v>
      </c>
      <c r="JF92" s="68">
        <f>'NOPA Crush'!Q92/'Census Crush'!JE92</f>
        <v>0.36747481188623893</v>
      </c>
    </row>
    <row r="93" spans="1:266">
      <c r="A93" s="39">
        <v>31868</v>
      </c>
      <c r="B93" s="49">
        <v>2877.3</v>
      </c>
      <c r="C93" s="50">
        <v>2554.6</v>
      </c>
      <c r="D93" s="50">
        <v>214.7</v>
      </c>
      <c r="E93" s="50">
        <v>678.8</v>
      </c>
      <c r="F93" s="50">
        <v>14.3</v>
      </c>
      <c r="G93" s="50">
        <v>32.5</v>
      </c>
      <c r="H93" s="50">
        <v>16.3</v>
      </c>
      <c r="I93" s="50" t="s">
        <v>264</v>
      </c>
      <c r="J93" s="50" t="s">
        <v>264</v>
      </c>
      <c r="K93" s="49">
        <v>1047.0999999999999</v>
      </c>
      <c r="L93" s="49">
        <v>2344</v>
      </c>
      <c r="M93" s="49">
        <v>2017.5</v>
      </c>
      <c r="N93" s="49">
        <v>326.5</v>
      </c>
      <c r="O93" s="50">
        <v>70.599999999999994</v>
      </c>
      <c r="P93" s="51">
        <v>204.2</v>
      </c>
      <c r="Q93" s="49">
        <v>73</v>
      </c>
      <c r="R93" s="49">
        <v>131.19999999999999</v>
      </c>
      <c r="S93" s="49"/>
      <c r="T93" s="49">
        <v>11.6</v>
      </c>
      <c r="U93" s="51">
        <v>44.2</v>
      </c>
      <c r="V93" s="49">
        <v>40.700000000000003</v>
      </c>
      <c r="W93" s="49">
        <v>3.5</v>
      </c>
      <c r="X93" s="49">
        <v>26.4</v>
      </c>
      <c r="Y93" s="49">
        <v>8.6999999999999993</v>
      </c>
      <c r="Z93" s="49">
        <v>134.79999999999998</v>
      </c>
      <c r="AA93" s="49">
        <v>128.6</v>
      </c>
      <c r="AB93" s="49">
        <v>6.2</v>
      </c>
      <c r="AC93" s="49" t="s">
        <v>264</v>
      </c>
      <c r="AD93" s="49" t="s">
        <v>264</v>
      </c>
      <c r="AE93" s="49"/>
      <c r="AF93" s="51"/>
      <c r="AG93" s="50" t="s">
        <v>264</v>
      </c>
      <c r="AH93" s="50" t="s">
        <v>264</v>
      </c>
      <c r="AI93" s="49">
        <v>111.2</v>
      </c>
      <c r="AJ93" s="49"/>
      <c r="AK93" s="49"/>
      <c r="AL93" s="51">
        <v>123.1</v>
      </c>
      <c r="AM93" s="49">
        <v>52.6</v>
      </c>
      <c r="AN93" s="49">
        <v>70.5</v>
      </c>
      <c r="AO93" s="49">
        <v>2153.1999999999998</v>
      </c>
      <c r="AP93" s="49">
        <v>209.6</v>
      </c>
      <c r="AQ93" s="49">
        <v>103.2</v>
      </c>
      <c r="AR93" s="49">
        <v>34.4</v>
      </c>
      <c r="AS93" s="50">
        <v>100</v>
      </c>
      <c r="AT93" s="50">
        <v>150.30000000000001</v>
      </c>
      <c r="AU93" s="50">
        <v>54</v>
      </c>
      <c r="AV93" s="50">
        <v>88.1</v>
      </c>
      <c r="AW93" s="50">
        <v>8.1</v>
      </c>
      <c r="AX93" s="50">
        <v>5.6</v>
      </c>
      <c r="AY93" s="50">
        <v>16</v>
      </c>
      <c r="AZ93" s="50">
        <v>5.3</v>
      </c>
      <c r="BA93" s="50" t="s">
        <v>264</v>
      </c>
      <c r="BB93" s="50" t="s">
        <v>264</v>
      </c>
      <c r="BC93" s="50"/>
      <c r="BD93" s="53">
        <v>110.7</v>
      </c>
      <c r="BE93" s="52">
        <v>41.4</v>
      </c>
      <c r="BF93" s="52"/>
      <c r="BG93" s="52"/>
      <c r="BH93" s="52">
        <v>311.3</v>
      </c>
      <c r="BI93" s="52"/>
      <c r="BJ93" s="52"/>
      <c r="BK93" s="52">
        <v>143.5</v>
      </c>
      <c r="BL93" s="52">
        <v>6.5</v>
      </c>
      <c r="BM93" s="52">
        <v>461.3</v>
      </c>
      <c r="BN93" s="52">
        <v>270.2</v>
      </c>
      <c r="BO93" s="52"/>
      <c r="BP93" s="52"/>
      <c r="BQ93" s="52">
        <v>78.900000000000006</v>
      </c>
      <c r="BR93" s="52">
        <v>4.7</v>
      </c>
      <c r="BS93" s="53">
        <v>353.8</v>
      </c>
      <c r="BT93" s="52">
        <v>73</v>
      </c>
      <c r="BU93" s="52">
        <v>28.9</v>
      </c>
      <c r="BV93" s="50">
        <v>343.4</v>
      </c>
      <c r="BW93" s="50">
        <v>104.3</v>
      </c>
      <c r="BX93" s="49">
        <v>454.1</v>
      </c>
      <c r="BY93" s="50">
        <v>63.5</v>
      </c>
      <c r="BZ93" s="50">
        <v>7.3</v>
      </c>
      <c r="CA93" s="49">
        <v>70.8</v>
      </c>
      <c r="CB93" s="52"/>
      <c r="CC93" s="52"/>
      <c r="CD93" s="52"/>
      <c r="CE93" s="52"/>
      <c r="CF93" s="52">
        <v>132.6</v>
      </c>
      <c r="CG93" s="52">
        <v>204.4</v>
      </c>
      <c r="CH93" s="52">
        <v>29.3</v>
      </c>
      <c r="CI93" s="52"/>
      <c r="CJ93" s="52"/>
      <c r="CK93" s="52"/>
      <c r="CL93" s="52"/>
      <c r="CM93" s="52"/>
      <c r="CN93" s="52">
        <v>71.3</v>
      </c>
      <c r="CO93" s="52">
        <v>336.9</v>
      </c>
      <c r="CP93" s="52">
        <v>304.7</v>
      </c>
      <c r="CQ93" s="52">
        <v>32.200000000000003</v>
      </c>
      <c r="CR93" s="52" t="s">
        <v>264</v>
      </c>
      <c r="CS93" s="52">
        <v>55</v>
      </c>
      <c r="CT93" s="52">
        <v>44.1</v>
      </c>
      <c r="CU93" s="52">
        <v>10.9</v>
      </c>
      <c r="CV93" s="52">
        <v>50.099999999999994</v>
      </c>
      <c r="CW93" s="52">
        <v>13.3</v>
      </c>
      <c r="CX93" s="52">
        <v>36.799999999999997</v>
      </c>
      <c r="CY93" s="52" t="s">
        <v>264</v>
      </c>
      <c r="CZ93" s="52">
        <v>114.2</v>
      </c>
      <c r="DA93" s="52">
        <v>34.1</v>
      </c>
      <c r="DB93" s="52">
        <v>30.5</v>
      </c>
      <c r="DC93" s="52">
        <v>3.6</v>
      </c>
      <c r="DD93" s="52"/>
      <c r="DE93" s="52"/>
      <c r="DF93" s="53"/>
      <c r="DG93" s="53">
        <v>106.3</v>
      </c>
      <c r="DH93" s="53">
        <v>128.30000000000001</v>
      </c>
      <c r="DI93" s="53">
        <v>537.20000000000005</v>
      </c>
      <c r="DJ93" s="53">
        <v>172.4</v>
      </c>
      <c r="DK93" s="53">
        <v>455.8</v>
      </c>
      <c r="DL93" s="53">
        <v>122</v>
      </c>
      <c r="DM93" s="53">
        <v>204.7</v>
      </c>
      <c r="DN93" s="53"/>
      <c r="DO93" s="53">
        <v>147.6</v>
      </c>
      <c r="DP93" s="53">
        <v>166.7</v>
      </c>
      <c r="DQ93" s="53">
        <v>90.7</v>
      </c>
      <c r="DR93" s="53"/>
      <c r="DS93" s="53">
        <v>745.6</v>
      </c>
      <c r="DT93" s="53">
        <v>2877.3</v>
      </c>
      <c r="DU93" s="53">
        <v>-234.59999999999991</v>
      </c>
      <c r="DV93" s="53">
        <v>0</v>
      </c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  <c r="FK93" s="52"/>
      <c r="FL93" s="52"/>
      <c r="FM93" s="52"/>
      <c r="FN93" s="52"/>
      <c r="FO93" s="52"/>
      <c r="FP93" s="52"/>
      <c r="FQ93" s="52"/>
      <c r="FR93" s="52"/>
      <c r="FS93" s="52"/>
      <c r="FT93" s="52"/>
      <c r="FU93" s="52"/>
      <c r="FV93" s="52"/>
      <c r="FW93" s="52"/>
      <c r="FX93" s="52"/>
      <c r="FY93" s="52"/>
      <c r="FZ93" s="52"/>
      <c r="GA93" s="52"/>
      <c r="GB93" s="52"/>
      <c r="GC93" s="52"/>
      <c r="GD93" s="52"/>
      <c r="GE93" s="52"/>
      <c r="GF93" s="52"/>
      <c r="GG93" s="52"/>
      <c r="GH93" s="52"/>
      <c r="GI93" s="52"/>
      <c r="GJ93" s="52"/>
      <c r="GK93" s="52"/>
      <c r="GL93" s="52"/>
      <c r="GM93" s="52"/>
      <c r="GN93" s="52"/>
      <c r="GO93" s="52"/>
      <c r="GP93" s="52"/>
      <c r="GQ93" s="52"/>
      <c r="GR93" s="52"/>
      <c r="GS93" s="52"/>
      <c r="GT93" s="52"/>
      <c r="GU93" s="52"/>
      <c r="GV93" s="52"/>
      <c r="GW93" s="52"/>
      <c r="GX93" s="52"/>
      <c r="GY93" s="17"/>
      <c r="GZ93" s="52">
        <v>871.2</v>
      </c>
      <c r="HA93" s="52"/>
      <c r="HB93" s="17"/>
      <c r="HC93" s="17"/>
      <c r="HD93" s="17"/>
      <c r="HE93" s="17"/>
      <c r="HF93" s="52"/>
      <c r="HG93" s="52"/>
      <c r="HH93" s="52"/>
      <c r="HI93" s="52"/>
      <c r="HJ93" s="52"/>
      <c r="HK93" s="52"/>
      <c r="HL93" s="52"/>
      <c r="HM93" s="52"/>
      <c r="HN93" s="52"/>
      <c r="HO93" s="52"/>
      <c r="HP93" s="52"/>
      <c r="HQ93" s="52"/>
      <c r="HR93" s="52"/>
      <c r="HS93" s="52"/>
      <c r="HT93" s="52"/>
      <c r="HU93" s="52"/>
      <c r="HV93" s="52"/>
      <c r="HW93" s="52"/>
      <c r="HX93" s="52"/>
      <c r="HY93" s="52"/>
      <c r="HZ93" s="52"/>
      <c r="IA93" s="52"/>
      <c r="IB93" s="52"/>
      <c r="IC93" s="52"/>
      <c r="ID93" s="52"/>
      <c r="IE93" s="52"/>
      <c r="IF93" s="52"/>
      <c r="IG93" s="52"/>
      <c r="IH93" s="53"/>
      <c r="II93" s="53"/>
      <c r="IJ93" s="53"/>
      <c r="IK93" s="53"/>
      <c r="IL93" s="53"/>
      <c r="IM93" s="52"/>
      <c r="IN93" s="52">
        <v>74.900000000000006</v>
      </c>
      <c r="IY93" s="48">
        <f t="shared" si="5"/>
        <v>47.05244500052131</v>
      </c>
      <c r="IZ93" s="48">
        <f>IY93-'NOPA Crush'!J93</f>
        <v>-0.14755499947869311</v>
      </c>
      <c r="JB93" s="63">
        <f t="shared" si="3"/>
        <v>10.917526848086746</v>
      </c>
      <c r="JC93" s="64">
        <f>JB93-'NOPA Crush'!O93</f>
        <v>-5.2473151913254412E-2</v>
      </c>
      <c r="JD93" s="65"/>
      <c r="JE93" s="67">
        <f t="shared" si="4"/>
        <v>2344</v>
      </c>
      <c r="JF93" s="68">
        <f>'NOPA Crush'!Q93/'Census Crush'!JE93</f>
        <v>0.39392704778156995</v>
      </c>
    </row>
    <row r="94" spans="1:266">
      <c r="A94" s="39">
        <v>31898</v>
      </c>
      <c r="B94" s="49">
        <v>2859.6</v>
      </c>
      <c r="C94" s="50">
        <v>2186.1</v>
      </c>
      <c r="D94" s="50">
        <v>171.3</v>
      </c>
      <c r="E94" s="50">
        <v>468.8</v>
      </c>
      <c r="F94" s="50">
        <v>22.9</v>
      </c>
      <c r="G94" s="50">
        <v>37.1</v>
      </c>
      <c r="H94" s="50">
        <v>6.3</v>
      </c>
      <c r="I94" s="50" t="s">
        <v>264</v>
      </c>
      <c r="J94" s="50" t="s">
        <v>264</v>
      </c>
      <c r="K94" s="49">
        <v>1037.5999999999999</v>
      </c>
      <c r="L94" s="49">
        <v>2416.1</v>
      </c>
      <c r="M94" s="49">
        <v>2090.1</v>
      </c>
      <c r="N94" s="49">
        <v>326</v>
      </c>
      <c r="O94" s="50">
        <v>55.6</v>
      </c>
      <c r="P94" s="51">
        <v>236.2</v>
      </c>
      <c r="Q94" s="49">
        <v>88.5</v>
      </c>
      <c r="R94" s="49">
        <v>147.69999999999999</v>
      </c>
      <c r="S94" s="49"/>
      <c r="T94" s="49">
        <v>17.8</v>
      </c>
      <c r="U94" s="51">
        <v>48</v>
      </c>
      <c r="V94" s="49">
        <v>45.5</v>
      </c>
      <c r="W94" s="49">
        <v>2.5</v>
      </c>
      <c r="X94" s="49">
        <v>29.7</v>
      </c>
      <c r="Y94" s="49">
        <v>7.5</v>
      </c>
      <c r="Z94" s="49">
        <v>124.9</v>
      </c>
      <c r="AA94" s="49">
        <v>117.5</v>
      </c>
      <c r="AB94" s="49">
        <v>7.4</v>
      </c>
      <c r="AC94" s="49" t="s">
        <v>264</v>
      </c>
      <c r="AD94" s="49" t="s">
        <v>264</v>
      </c>
      <c r="AE94" s="49"/>
      <c r="AF94" s="51"/>
      <c r="AG94" s="50" t="s">
        <v>264</v>
      </c>
      <c r="AH94" s="50" t="s">
        <v>264</v>
      </c>
      <c r="AI94" s="49">
        <v>123.8</v>
      </c>
      <c r="AJ94" s="49"/>
      <c r="AK94" s="49"/>
      <c r="AL94" s="51">
        <v>102.69999999999999</v>
      </c>
      <c r="AM94" s="49">
        <v>40.799999999999997</v>
      </c>
      <c r="AN94" s="49">
        <v>61.9</v>
      </c>
      <c r="AO94" s="49">
        <v>2141.1999999999998</v>
      </c>
      <c r="AP94" s="49">
        <v>275.3</v>
      </c>
      <c r="AQ94" s="49">
        <v>104.4</v>
      </c>
      <c r="AR94" s="49">
        <v>46.4</v>
      </c>
      <c r="AS94" s="50">
        <v>80</v>
      </c>
      <c r="AT94" s="50">
        <v>139.69999999999999</v>
      </c>
      <c r="AU94" s="50">
        <v>42.6</v>
      </c>
      <c r="AV94" s="50">
        <v>84.8</v>
      </c>
      <c r="AW94" s="50">
        <v>13</v>
      </c>
      <c r="AX94" s="50">
        <v>5.7</v>
      </c>
      <c r="AY94" s="50">
        <v>17.600000000000001</v>
      </c>
      <c r="AZ94" s="50">
        <v>6.8</v>
      </c>
      <c r="BA94" s="50" t="s">
        <v>264</v>
      </c>
      <c r="BB94" s="50" t="s">
        <v>264</v>
      </c>
      <c r="BC94" s="50"/>
      <c r="BD94" s="53">
        <v>100.9</v>
      </c>
      <c r="BE94" s="52">
        <v>34.700000000000003</v>
      </c>
      <c r="BF94" s="52"/>
      <c r="BG94" s="52"/>
      <c r="BH94" s="52">
        <v>287.8</v>
      </c>
      <c r="BI94" s="52"/>
      <c r="BJ94" s="52"/>
      <c r="BK94" s="52">
        <v>137</v>
      </c>
      <c r="BL94" s="52">
        <v>6.1</v>
      </c>
      <c r="BM94" s="52">
        <v>430.9</v>
      </c>
      <c r="BN94" s="52">
        <v>292</v>
      </c>
      <c r="BO94" s="52"/>
      <c r="BP94" s="52"/>
      <c r="BQ94" s="52">
        <v>77</v>
      </c>
      <c r="BR94" s="52">
        <v>4.5</v>
      </c>
      <c r="BS94" s="53">
        <v>373.5</v>
      </c>
      <c r="BT94" s="52">
        <v>66</v>
      </c>
      <c r="BU94" s="52">
        <v>29.9</v>
      </c>
      <c r="BV94" s="50">
        <v>318.2</v>
      </c>
      <c r="BW94" s="50">
        <v>94.7</v>
      </c>
      <c r="BX94" s="49">
        <v>418.9</v>
      </c>
      <c r="BY94" s="50">
        <v>55.4</v>
      </c>
      <c r="BZ94" s="50">
        <v>6.9</v>
      </c>
      <c r="CA94" s="49">
        <v>62.3</v>
      </c>
      <c r="CB94" s="52"/>
      <c r="CC94" s="52"/>
      <c r="CD94" s="52"/>
      <c r="CE94" s="52"/>
      <c r="CF94" s="52">
        <v>124.3</v>
      </c>
      <c r="CG94" s="52">
        <v>209.7</v>
      </c>
      <c r="CH94" s="52">
        <v>30.9</v>
      </c>
      <c r="CI94" s="52"/>
      <c r="CJ94" s="52"/>
      <c r="CK94" s="52"/>
      <c r="CL94" s="52"/>
      <c r="CM94" s="52"/>
      <c r="CN94" s="52">
        <v>70.400000000000006</v>
      </c>
      <c r="CO94" s="52">
        <v>271.2</v>
      </c>
      <c r="CP94" s="52">
        <v>243.7</v>
      </c>
      <c r="CQ94" s="52">
        <v>27.5</v>
      </c>
      <c r="CR94" s="52" t="s">
        <v>264</v>
      </c>
      <c r="CS94" s="52">
        <v>51.099999999999994</v>
      </c>
      <c r="CT94" s="52">
        <v>40.299999999999997</v>
      </c>
      <c r="CU94" s="52">
        <v>10.8</v>
      </c>
      <c r="CV94" s="52">
        <v>59.4</v>
      </c>
      <c r="CW94" s="52">
        <v>13.4</v>
      </c>
      <c r="CX94" s="52">
        <v>46</v>
      </c>
      <c r="CY94" s="52" t="s">
        <v>264</v>
      </c>
      <c r="CZ94" s="52">
        <v>118.2</v>
      </c>
      <c r="DA94" s="52">
        <v>36.5</v>
      </c>
      <c r="DB94" s="52">
        <v>35.1</v>
      </c>
      <c r="DC94" s="52">
        <v>1.4</v>
      </c>
      <c r="DD94" s="52"/>
      <c r="DE94" s="52"/>
      <c r="DF94" s="53"/>
      <c r="DG94" s="53">
        <v>75.900000000000006</v>
      </c>
      <c r="DH94" s="53">
        <v>116.6</v>
      </c>
      <c r="DI94" s="53">
        <v>608.29999999999995</v>
      </c>
      <c r="DJ94" s="53">
        <v>188.7</v>
      </c>
      <c r="DK94" s="53">
        <v>426.1</v>
      </c>
      <c r="DL94" s="53">
        <v>130.4</v>
      </c>
      <c r="DM94" s="53">
        <v>244.7</v>
      </c>
      <c r="DN94" s="53"/>
      <c r="DO94" s="53">
        <v>161.19999999999999</v>
      </c>
      <c r="DP94" s="53">
        <v>138.19999999999999</v>
      </c>
      <c r="DQ94" s="53">
        <v>99.7</v>
      </c>
      <c r="DR94" s="53"/>
      <c r="DS94" s="53">
        <v>669.7</v>
      </c>
      <c r="DT94" s="53">
        <v>2859.6</v>
      </c>
      <c r="DU94" s="53">
        <v>-192.59999999999991</v>
      </c>
      <c r="DV94" s="53">
        <v>0</v>
      </c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2"/>
      <c r="FF94" s="52"/>
      <c r="FG94" s="52"/>
      <c r="FH94" s="52"/>
      <c r="FI94" s="52"/>
      <c r="FJ94" s="52"/>
      <c r="FK94" s="52"/>
      <c r="FL94" s="52"/>
      <c r="FM94" s="52"/>
      <c r="FN94" s="52"/>
      <c r="FO94" s="52"/>
      <c r="FP94" s="52"/>
      <c r="FQ94" s="52"/>
      <c r="FR94" s="52"/>
      <c r="FS94" s="52"/>
      <c r="FT94" s="52"/>
      <c r="FU94" s="52"/>
      <c r="FV94" s="52"/>
      <c r="FW94" s="52"/>
      <c r="FX94" s="52"/>
      <c r="FY94" s="52"/>
      <c r="FZ94" s="52"/>
      <c r="GA94" s="52"/>
      <c r="GB94" s="52"/>
      <c r="GC94" s="52"/>
      <c r="GD94" s="52"/>
      <c r="GE94" s="52"/>
      <c r="GF94" s="52"/>
      <c r="GG94" s="52"/>
      <c r="GH94" s="52"/>
      <c r="GI94" s="52"/>
      <c r="GJ94" s="52"/>
      <c r="GK94" s="52"/>
      <c r="GL94" s="52"/>
      <c r="GM94" s="52"/>
      <c r="GN94" s="52"/>
      <c r="GO94" s="52"/>
      <c r="GP94" s="52"/>
      <c r="GQ94" s="52"/>
      <c r="GR94" s="52"/>
      <c r="GS94" s="52"/>
      <c r="GT94" s="52"/>
      <c r="GU94" s="52"/>
      <c r="GV94" s="52"/>
      <c r="GW94" s="52"/>
      <c r="GX94" s="52"/>
      <c r="GY94" s="17"/>
      <c r="GZ94" s="52">
        <v>826.9</v>
      </c>
      <c r="HA94" s="52"/>
      <c r="HB94" s="17"/>
      <c r="HC94" s="17"/>
      <c r="HD94" s="17"/>
      <c r="HE94" s="17"/>
      <c r="HF94" s="52"/>
      <c r="HG94" s="52"/>
      <c r="HH94" s="52"/>
      <c r="HI94" s="52"/>
      <c r="HJ94" s="52"/>
      <c r="HK94" s="52"/>
      <c r="HL94" s="52"/>
      <c r="HM94" s="52"/>
      <c r="HN94" s="52"/>
      <c r="HO94" s="52"/>
      <c r="HP94" s="52"/>
      <c r="HQ94" s="52"/>
      <c r="HR94" s="52"/>
      <c r="HS94" s="52"/>
      <c r="HT94" s="52"/>
      <c r="HU94" s="52"/>
      <c r="HV94" s="52"/>
      <c r="HW94" s="52"/>
      <c r="HX94" s="52"/>
      <c r="HY94" s="52"/>
      <c r="HZ94" s="52"/>
      <c r="IA94" s="52"/>
      <c r="IB94" s="52"/>
      <c r="IC94" s="52"/>
      <c r="ID94" s="52"/>
      <c r="IE94" s="52"/>
      <c r="IF94" s="52"/>
      <c r="IG94" s="52"/>
      <c r="IH94" s="53"/>
      <c r="II94" s="53"/>
      <c r="IJ94" s="53"/>
      <c r="IK94" s="53"/>
      <c r="IL94" s="53"/>
      <c r="IM94" s="52"/>
      <c r="IN94" s="52">
        <v>59.8</v>
      </c>
      <c r="IY94" s="48">
        <f t="shared" si="5"/>
        <v>47.117079311791862</v>
      </c>
      <c r="IZ94" s="48">
        <f>IY94-'NOPA Crush'!J94</f>
        <v>3.7079311791863745E-2</v>
      </c>
      <c r="JB94" s="63">
        <f t="shared" si="3"/>
        <v>10.885438522870331</v>
      </c>
      <c r="JC94" s="64">
        <f>JB94-'NOPA Crush'!O94</f>
        <v>-1.4561477129669598E-2</v>
      </c>
      <c r="JD94" s="65"/>
      <c r="JE94" s="67">
        <f t="shared" si="4"/>
        <v>2416.1</v>
      </c>
      <c r="JF94" s="68">
        <f>'NOPA Crush'!Q94/'Census Crush'!JE94</f>
        <v>0.39181283887256324</v>
      </c>
    </row>
    <row r="95" spans="1:266">
      <c r="A95" s="39">
        <v>31929</v>
      </c>
      <c r="B95" s="49">
        <v>2718.1</v>
      </c>
      <c r="C95" s="50">
        <v>1909.2</v>
      </c>
      <c r="D95" s="50">
        <v>134.19999999999999</v>
      </c>
      <c r="E95" s="50">
        <v>307.2</v>
      </c>
      <c r="F95" s="50">
        <v>21.3</v>
      </c>
      <c r="G95" s="50" t="s">
        <v>264</v>
      </c>
      <c r="H95" s="50" t="s">
        <v>264</v>
      </c>
      <c r="I95" s="50" t="s">
        <v>264</v>
      </c>
      <c r="J95" s="50" t="s">
        <v>264</v>
      </c>
      <c r="K95" s="49">
        <v>980.9</v>
      </c>
      <c r="L95" s="49">
        <v>2338.6</v>
      </c>
      <c r="M95" s="49">
        <v>2067.1999999999998</v>
      </c>
      <c r="N95" s="49">
        <v>271.39999999999998</v>
      </c>
      <c r="O95" s="50">
        <v>43.5</v>
      </c>
      <c r="P95" s="51">
        <v>190.8</v>
      </c>
      <c r="Q95" s="49">
        <v>70.599999999999994</v>
      </c>
      <c r="R95" s="49">
        <v>120.2</v>
      </c>
      <c r="S95" s="49"/>
      <c r="T95" s="49">
        <v>15.8</v>
      </c>
      <c r="U95" s="51">
        <v>44.5</v>
      </c>
      <c r="V95" s="49">
        <v>41.6</v>
      </c>
      <c r="W95" s="49">
        <v>2.9</v>
      </c>
      <c r="X95" s="50" t="s">
        <v>264</v>
      </c>
      <c r="Y95" s="49">
        <v>10.199999999999999</v>
      </c>
      <c r="Z95" s="49">
        <v>122</v>
      </c>
      <c r="AA95" s="49">
        <v>116.1</v>
      </c>
      <c r="AB95" s="49">
        <v>5.9</v>
      </c>
      <c r="AC95" s="49" t="s">
        <v>264</v>
      </c>
      <c r="AD95" s="49" t="s">
        <v>264</v>
      </c>
      <c r="AE95" s="49"/>
      <c r="AF95" s="51"/>
      <c r="AG95" s="50" t="s">
        <v>264</v>
      </c>
      <c r="AH95" s="50" t="s">
        <v>264</v>
      </c>
      <c r="AI95" s="49">
        <v>117.5</v>
      </c>
      <c r="AJ95" s="49"/>
      <c r="AK95" s="49"/>
      <c r="AL95" s="51">
        <v>88.4</v>
      </c>
      <c r="AM95" s="49">
        <v>41.1</v>
      </c>
      <c r="AN95" s="49">
        <v>47.3</v>
      </c>
      <c r="AO95" s="49">
        <v>2032.9</v>
      </c>
      <c r="AP95" s="49">
        <v>219.3</v>
      </c>
      <c r="AQ95" s="49">
        <v>102</v>
      </c>
      <c r="AR95" s="49">
        <v>42</v>
      </c>
      <c r="AS95" s="50">
        <v>61.3</v>
      </c>
      <c r="AT95" s="50">
        <v>117.9</v>
      </c>
      <c r="AU95" s="50">
        <v>34.4</v>
      </c>
      <c r="AV95" s="50">
        <v>76.5</v>
      </c>
      <c r="AW95" s="50">
        <v>11.4</v>
      </c>
      <c r="AX95" s="50">
        <v>3.2</v>
      </c>
      <c r="AY95" s="50" t="s">
        <v>264</v>
      </c>
      <c r="AZ95" s="50" t="s">
        <v>264</v>
      </c>
      <c r="BA95" s="50" t="s">
        <v>264</v>
      </c>
      <c r="BB95" s="50" t="s">
        <v>264</v>
      </c>
      <c r="BC95" s="50"/>
      <c r="BD95" s="53">
        <v>97.4</v>
      </c>
      <c r="BE95" s="52">
        <v>27</v>
      </c>
      <c r="BF95" s="52"/>
      <c r="BG95" s="52"/>
      <c r="BH95" s="52">
        <v>301.7</v>
      </c>
      <c r="BI95" s="52"/>
      <c r="BJ95" s="52"/>
      <c r="BK95" s="52">
        <v>151.4</v>
      </c>
      <c r="BL95" s="52">
        <v>6.5</v>
      </c>
      <c r="BM95" s="52">
        <v>459.6</v>
      </c>
      <c r="BN95" s="52">
        <v>285.3</v>
      </c>
      <c r="BO95" s="52"/>
      <c r="BP95" s="52"/>
      <c r="BQ95" s="52">
        <v>80.900000000000006</v>
      </c>
      <c r="BR95" s="52">
        <v>4.5</v>
      </c>
      <c r="BS95" s="53">
        <v>370.70000000000005</v>
      </c>
      <c r="BT95" s="52">
        <v>67</v>
      </c>
      <c r="BU95" s="52">
        <v>27.4</v>
      </c>
      <c r="BV95" s="50">
        <v>332.2</v>
      </c>
      <c r="BW95" s="50">
        <v>94.3</v>
      </c>
      <c r="BX95" s="49">
        <v>432.7</v>
      </c>
      <c r="BY95" s="50">
        <v>62.1</v>
      </c>
      <c r="BZ95" s="50">
        <v>8.9</v>
      </c>
      <c r="CA95" s="49">
        <v>71</v>
      </c>
      <c r="CB95" s="52"/>
      <c r="CC95" s="52"/>
      <c r="CD95" s="52"/>
      <c r="CE95" s="52"/>
      <c r="CF95" s="52">
        <v>122.9</v>
      </c>
      <c r="CG95" s="52">
        <v>194.5</v>
      </c>
      <c r="CH95" s="52">
        <v>31.8</v>
      </c>
      <c r="CI95" s="52"/>
      <c r="CJ95" s="52"/>
      <c r="CK95" s="52"/>
      <c r="CL95" s="52"/>
      <c r="CM95" s="52"/>
      <c r="CN95" s="52">
        <v>73.2</v>
      </c>
      <c r="CO95" s="52">
        <v>203.6</v>
      </c>
      <c r="CP95" s="52">
        <v>179.7</v>
      </c>
      <c r="CQ95" s="52">
        <v>23.9</v>
      </c>
      <c r="CR95" s="52" t="s">
        <v>264</v>
      </c>
      <c r="CS95" s="52">
        <v>52.3</v>
      </c>
      <c r="CT95" s="52">
        <v>37.6</v>
      </c>
      <c r="CU95" s="52">
        <v>14.7</v>
      </c>
      <c r="CV95" s="52">
        <v>52.5</v>
      </c>
      <c r="CW95" s="52">
        <v>12.3</v>
      </c>
      <c r="CX95" s="52">
        <v>40.200000000000003</v>
      </c>
      <c r="CY95" s="52" t="s">
        <v>264</v>
      </c>
      <c r="CZ95" s="52">
        <v>93</v>
      </c>
      <c r="DA95" s="52">
        <v>28.3</v>
      </c>
      <c r="DB95" s="52">
        <v>26.3</v>
      </c>
      <c r="DC95" s="52">
        <v>2</v>
      </c>
      <c r="DD95" s="52"/>
      <c r="DE95" s="52"/>
      <c r="DF95" s="53"/>
      <c r="DG95" s="53">
        <v>90.8</v>
      </c>
      <c r="DH95" s="53"/>
      <c r="DI95" s="53">
        <v>513.20000000000005</v>
      </c>
      <c r="DJ95" s="53">
        <v>177.7</v>
      </c>
      <c r="DK95" s="53">
        <v>464</v>
      </c>
      <c r="DL95" s="53">
        <v>121.5</v>
      </c>
      <c r="DM95" s="53">
        <v>234.2</v>
      </c>
      <c r="DN95" s="53"/>
      <c r="DO95" s="53"/>
      <c r="DP95" s="53">
        <v>167</v>
      </c>
      <c r="DQ95" s="53">
        <v>86.9</v>
      </c>
      <c r="DR95" s="53"/>
      <c r="DS95" s="53">
        <v>678.2</v>
      </c>
      <c r="DT95" s="53">
        <v>2718.1</v>
      </c>
      <c r="DU95" s="53">
        <v>-275.39999999999964</v>
      </c>
      <c r="DV95" s="53">
        <v>0</v>
      </c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  <c r="FK95" s="52"/>
      <c r="FL95" s="52"/>
      <c r="FM95" s="52"/>
      <c r="FN95" s="52"/>
      <c r="FO95" s="52"/>
      <c r="FP95" s="52"/>
      <c r="FQ95" s="52"/>
      <c r="FR95" s="52"/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2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17"/>
      <c r="GZ95" s="52">
        <v>871.3</v>
      </c>
      <c r="HA95" s="52"/>
      <c r="HB95" s="17"/>
      <c r="HC95" s="17"/>
      <c r="HD95" s="17"/>
      <c r="HE95" s="17"/>
      <c r="HF95" s="52"/>
      <c r="HG95" s="52"/>
      <c r="HH95" s="52"/>
      <c r="HI95" s="52"/>
      <c r="HJ95" s="52"/>
      <c r="HK95" s="52"/>
      <c r="HL95" s="52"/>
      <c r="HM95" s="52"/>
      <c r="HN95" s="52"/>
      <c r="HO95" s="52"/>
      <c r="HP95" s="52"/>
      <c r="HQ95" s="52"/>
      <c r="HR95" s="52"/>
      <c r="HS95" s="52"/>
      <c r="HT95" s="52"/>
      <c r="HU95" s="52"/>
      <c r="HV95" s="52"/>
      <c r="HW95" s="52"/>
      <c r="HX95" s="52"/>
      <c r="HY95" s="52"/>
      <c r="HZ95" s="52"/>
      <c r="IA95" s="52"/>
      <c r="IB95" s="52"/>
      <c r="IC95" s="52"/>
      <c r="ID95" s="52"/>
      <c r="IE95" s="52"/>
      <c r="IF95" s="52"/>
      <c r="IG95" s="52"/>
      <c r="IH95" s="53"/>
      <c r="II95" s="53"/>
      <c r="IJ95" s="53"/>
      <c r="IK95" s="53"/>
      <c r="IL95" s="53"/>
      <c r="IM95" s="52"/>
      <c r="IN95" s="52">
        <v>51</v>
      </c>
      <c r="IY95" s="48">
        <f t="shared" si="5"/>
        <v>47.126301460579086</v>
      </c>
      <c r="IZ95" s="48">
        <f>IY95-'NOPA Crush'!J95</f>
        <v>0.67630146057908291</v>
      </c>
      <c r="JB95" s="63">
        <f t="shared" si="3"/>
        <v>10.8263124977006</v>
      </c>
      <c r="JC95" s="64">
        <f>JB95-'NOPA Crush'!O95</f>
        <v>-6.3687502299400123E-2</v>
      </c>
      <c r="JD95" s="65"/>
      <c r="JE95" s="67">
        <f t="shared" si="4"/>
        <v>2338.6</v>
      </c>
      <c r="JF95" s="68">
        <f>'NOPA Crush'!Q95/'Census Crush'!JE95</f>
        <v>0.41290344650645688</v>
      </c>
    </row>
    <row r="96" spans="1:266">
      <c r="A96" s="39">
        <v>31959</v>
      </c>
      <c r="B96" s="49">
        <v>2777.6</v>
      </c>
      <c r="C96" s="50">
        <v>1495.4</v>
      </c>
      <c r="D96" s="50">
        <v>78.8</v>
      </c>
      <c r="E96" s="50">
        <v>189</v>
      </c>
      <c r="F96" s="50">
        <v>17.8</v>
      </c>
      <c r="G96" s="50" t="s">
        <v>264</v>
      </c>
      <c r="H96" s="50" t="s">
        <v>264</v>
      </c>
      <c r="I96" s="50" t="s">
        <v>264</v>
      </c>
      <c r="J96" s="50" t="s">
        <v>264</v>
      </c>
      <c r="K96" s="49">
        <v>1013.7</v>
      </c>
      <c r="L96" s="49">
        <v>2184.1999999999998</v>
      </c>
      <c r="M96" s="49">
        <v>1915.7</v>
      </c>
      <c r="N96" s="49">
        <v>268.5</v>
      </c>
      <c r="O96" s="50">
        <v>25.4</v>
      </c>
      <c r="P96" s="51">
        <v>165.9</v>
      </c>
      <c r="Q96" s="49">
        <v>60.2</v>
      </c>
      <c r="R96" s="49">
        <v>105.7</v>
      </c>
      <c r="S96" s="49"/>
      <c r="T96" s="49">
        <v>14.5</v>
      </c>
      <c r="U96" s="51">
        <v>49.4</v>
      </c>
      <c r="V96" s="49">
        <v>44</v>
      </c>
      <c r="W96" s="49">
        <v>5.4</v>
      </c>
      <c r="X96" s="49">
        <v>50.2</v>
      </c>
      <c r="Y96" s="49">
        <v>8.4</v>
      </c>
      <c r="Z96" s="49">
        <v>105.60000000000001</v>
      </c>
      <c r="AA96" s="49">
        <v>101.7</v>
      </c>
      <c r="AB96" s="49">
        <v>3.9</v>
      </c>
      <c r="AC96" s="49" t="s">
        <v>264</v>
      </c>
      <c r="AD96" s="49" t="s">
        <v>264</v>
      </c>
      <c r="AE96" s="49"/>
      <c r="AF96" s="51"/>
      <c r="AG96" s="50" t="s">
        <v>264</v>
      </c>
      <c r="AH96" s="50" t="s">
        <v>264</v>
      </c>
      <c r="AI96" s="49">
        <v>123</v>
      </c>
      <c r="AJ96" s="49"/>
      <c r="AK96" s="49"/>
      <c r="AL96" s="51">
        <v>150.69999999999999</v>
      </c>
      <c r="AM96" s="49">
        <v>67.8</v>
      </c>
      <c r="AN96" s="49">
        <v>82.9</v>
      </c>
      <c r="AO96" s="49">
        <v>2076.6999999999998</v>
      </c>
      <c r="AP96" s="49">
        <v>257.39999999999998</v>
      </c>
      <c r="AQ96" s="49">
        <v>108.5</v>
      </c>
      <c r="AR96" s="49">
        <v>35.6</v>
      </c>
      <c r="AS96" s="50">
        <v>37.299999999999997</v>
      </c>
      <c r="AT96" s="50">
        <v>84.8</v>
      </c>
      <c r="AU96" s="50">
        <v>19.2</v>
      </c>
      <c r="AV96" s="50">
        <v>56.3</v>
      </c>
      <c r="AW96" s="50">
        <v>10.4</v>
      </c>
      <c r="AX96" s="50">
        <v>3.3</v>
      </c>
      <c r="AY96" s="50">
        <v>28.2</v>
      </c>
      <c r="AZ96" s="50">
        <v>2.6</v>
      </c>
      <c r="BA96" s="50" t="s">
        <v>264</v>
      </c>
      <c r="BB96" s="50" t="s">
        <v>264</v>
      </c>
      <c r="BC96" s="50"/>
      <c r="BD96" s="53">
        <v>105.3</v>
      </c>
      <c r="BE96" s="52">
        <v>34.799999999999997</v>
      </c>
      <c r="BF96" s="52"/>
      <c r="BG96" s="52"/>
      <c r="BH96" s="52">
        <v>306.8</v>
      </c>
      <c r="BI96" s="52"/>
      <c r="BJ96" s="52"/>
      <c r="BK96" s="52">
        <v>157.30000000000001</v>
      </c>
      <c r="BL96" s="52">
        <v>6.6</v>
      </c>
      <c r="BM96" s="52">
        <v>470.7</v>
      </c>
      <c r="BN96" s="52">
        <v>269.3</v>
      </c>
      <c r="BO96" s="52"/>
      <c r="BP96" s="52"/>
      <c r="BQ96" s="52">
        <v>92.4</v>
      </c>
      <c r="BR96" s="52">
        <v>4.5</v>
      </c>
      <c r="BS96" s="53">
        <v>366.20000000000005</v>
      </c>
      <c r="BT96" s="52">
        <v>68</v>
      </c>
      <c r="BU96" s="52">
        <v>27.8</v>
      </c>
      <c r="BV96" s="50">
        <v>341.3</v>
      </c>
      <c r="BW96" s="50">
        <v>99.7</v>
      </c>
      <c r="BX96" s="49">
        <v>447.6</v>
      </c>
      <c r="BY96" s="50">
        <v>55.7</v>
      </c>
      <c r="BZ96" s="50">
        <v>10</v>
      </c>
      <c r="CA96" s="49">
        <v>65.7</v>
      </c>
      <c r="CB96" s="52"/>
      <c r="CC96" s="52"/>
      <c r="CD96" s="52"/>
      <c r="CE96" s="52"/>
      <c r="CF96" s="52">
        <v>130.9</v>
      </c>
      <c r="CG96" s="52">
        <v>171.6</v>
      </c>
      <c r="CH96" s="52">
        <v>33.4</v>
      </c>
      <c r="CI96" s="52"/>
      <c r="CJ96" s="52"/>
      <c r="CK96" s="52"/>
      <c r="CL96" s="52"/>
      <c r="CM96" s="52"/>
      <c r="CN96" s="52">
        <v>66.5</v>
      </c>
      <c r="CO96" s="52">
        <v>243.9</v>
      </c>
      <c r="CP96" s="52">
        <v>216.9</v>
      </c>
      <c r="CQ96" s="52">
        <v>27</v>
      </c>
      <c r="CR96" s="52" t="s">
        <v>264</v>
      </c>
      <c r="CS96" s="52">
        <v>45.9</v>
      </c>
      <c r="CT96" s="52">
        <v>31.8</v>
      </c>
      <c r="CU96" s="52">
        <v>14.1</v>
      </c>
      <c r="CV96" s="52">
        <v>42.4</v>
      </c>
      <c r="CW96" s="52">
        <v>9.5</v>
      </c>
      <c r="CX96" s="52">
        <v>32.9</v>
      </c>
      <c r="CY96" s="52" t="s">
        <v>264</v>
      </c>
      <c r="CZ96" s="52">
        <v>101.5</v>
      </c>
      <c r="DA96" s="52">
        <v>30.5</v>
      </c>
      <c r="DB96" s="52">
        <v>28.8</v>
      </c>
      <c r="DC96" s="52">
        <v>1.7</v>
      </c>
      <c r="DD96" s="52"/>
      <c r="DE96" s="52"/>
      <c r="DF96" s="53"/>
      <c r="DG96" s="53">
        <v>107.4</v>
      </c>
      <c r="DH96" s="53"/>
      <c r="DI96" s="53">
        <v>543.5</v>
      </c>
      <c r="DJ96" s="53">
        <v>170.2</v>
      </c>
      <c r="DK96" s="53">
        <v>454.4</v>
      </c>
      <c r="DL96" s="53">
        <v>125.8</v>
      </c>
      <c r="DM96" s="53">
        <v>216.1</v>
      </c>
      <c r="DN96" s="53"/>
      <c r="DO96" s="53"/>
      <c r="DP96" s="53">
        <v>174.9</v>
      </c>
      <c r="DQ96" s="53">
        <v>82.4</v>
      </c>
      <c r="DR96" s="53"/>
      <c r="DS96" s="53">
        <v>688.2</v>
      </c>
      <c r="DT96" s="53">
        <v>2777.5</v>
      </c>
      <c r="DU96" s="53">
        <v>-322</v>
      </c>
      <c r="DV96" s="53">
        <v>-9.9999999999909051E-2</v>
      </c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2"/>
      <c r="FF96" s="52"/>
      <c r="FG96" s="52"/>
      <c r="FH96" s="52"/>
      <c r="FI96" s="52"/>
      <c r="FJ96" s="52"/>
      <c r="FK96" s="52"/>
      <c r="FL96" s="52"/>
      <c r="FM96" s="52"/>
      <c r="FN96" s="52"/>
      <c r="FO96" s="52"/>
      <c r="FP96" s="52"/>
      <c r="FQ96" s="52"/>
      <c r="FR96" s="52"/>
      <c r="FS96" s="52"/>
      <c r="FT96" s="52"/>
      <c r="FU96" s="52"/>
      <c r="FV96" s="52"/>
      <c r="FW96" s="52"/>
      <c r="FX96" s="52"/>
      <c r="FY96" s="52"/>
      <c r="FZ96" s="52"/>
      <c r="GA96" s="52"/>
      <c r="GB96" s="52"/>
      <c r="GC96" s="52"/>
      <c r="GD96" s="52"/>
      <c r="GE96" s="52"/>
      <c r="GF96" s="52"/>
      <c r="GG96" s="52"/>
      <c r="GH96" s="52"/>
      <c r="GI96" s="52"/>
      <c r="GJ96" s="52"/>
      <c r="GK96" s="52"/>
      <c r="GL96" s="52"/>
      <c r="GM96" s="52"/>
      <c r="GN96" s="52"/>
      <c r="GO96" s="52"/>
      <c r="GP96" s="52"/>
      <c r="GQ96" s="52"/>
      <c r="GR96" s="52"/>
      <c r="GS96" s="52"/>
      <c r="GT96" s="52"/>
      <c r="GU96" s="52"/>
      <c r="GV96" s="52"/>
      <c r="GW96" s="52"/>
      <c r="GX96" s="52"/>
      <c r="GY96" s="17"/>
      <c r="GZ96" s="52">
        <v>921.8</v>
      </c>
      <c r="HA96" s="52"/>
      <c r="HB96" s="17"/>
      <c r="HC96" s="17"/>
      <c r="HD96" s="17"/>
      <c r="HE96" s="17"/>
      <c r="HF96" s="52"/>
      <c r="HG96" s="52"/>
      <c r="HH96" s="52"/>
      <c r="HI96" s="52"/>
      <c r="HJ96" s="52"/>
      <c r="HK96" s="52"/>
      <c r="HL96" s="52"/>
      <c r="HM96" s="52"/>
      <c r="HN96" s="52"/>
      <c r="HO96" s="52"/>
      <c r="HP96" s="52"/>
      <c r="HQ96" s="52"/>
      <c r="HR96" s="52"/>
      <c r="HS96" s="52"/>
      <c r="HT96" s="52"/>
      <c r="HU96" s="52"/>
      <c r="HV96" s="52"/>
      <c r="HW96" s="52"/>
      <c r="HX96" s="52"/>
      <c r="HY96" s="52"/>
      <c r="HZ96" s="52"/>
      <c r="IA96" s="52"/>
      <c r="IB96" s="52"/>
      <c r="IC96" s="52"/>
      <c r="ID96" s="52"/>
      <c r="IE96" s="52"/>
      <c r="IF96" s="52"/>
      <c r="IG96" s="52"/>
      <c r="IH96" s="53"/>
      <c r="II96" s="53"/>
      <c r="IJ96" s="53"/>
      <c r="IK96" s="53"/>
      <c r="IL96" s="53"/>
      <c r="IM96" s="52"/>
      <c r="IN96" s="52">
        <v>45.5</v>
      </c>
      <c r="IY96" s="48">
        <f t="shared" si="5"/>
        <v>47.203341013824883</v>
      </c>
      <c r="IZ96" s="48">
        <f>IY96-'NOPA Crush'!J96</f>
        <v>0.17334101382488143</v>
      </c>
      <c r="JB96" s="63">
        <f t="shared" si="3"/>
        <v>10.948660714285715</v>
      </c>
      <c r="JC96" s="64">
        <f>JB96-'NOPA Crush'!O96</f>
        <v>-1.1339285714285552E-2</v>
      </c>
      <c r="JD96" s="65"/>
      <c r="JE96" s="67">
        <f t="shared" si="4"/>
        <v>2184.1999999999998</v>
      </c>
      <c r="JF96" s="68">
        <f>'NOPA Crush'!Q96/'Census Crush'!JE96</f>
        <v>0.41664820071422037</v>
      </c>
    </row>
    <row r="97" spans="1:266">
      <c r="A97" s="39">
        <v>31990</v>
      </c>
      <c r="B97" s="49">
        <v>2471.3000000000002</v>
      </c>
      <c r="C97" s="50">
        <v>934.6</v>
      </c>
      <c r="D97" s="50">
        <v>71.400000000000006</v>
      </c>
      <c r="E97" s="50">
        <v>246.3</v>
      </c>
      <c r="F97" s="50">
        <v>12</v>
      </c>
      <c r="G97" s="50" t="s">
        <v>264</v>
      </c>
      <c r="H97" s="50" t="s">
        <v>264</v>
      </c>
      <c r="I97" s="50" t="s">
        <v>264</v>
      </c>
      <c r="J97" s="50" t="s">
        <v>264</v>
      </c>
      <c r="K97" s="49">
        <v>906.4</v>
      </c>
      <c r="L97" s="49">
        <v>1979.4</v>
      </c>
      <c r="M97" s="49">
        <v>1712.2</v>
      </c>
      <c r="N97" s="49">
        <v>267.2</v>
      </c>
      <c r="O97" s="50">
        <v>22.6</v>
      </c>
      <c r="P97" s="51">
        <v>127.30000000000001</v>
      </c>
      <c r="Q97" s="49">
        <v>34.6</v>
      </c>
      <c r="R97" s="49">
        <v>92.7</v>
      </c>
      <c r="S97" s="49"/>
      <c r="T97" s="49">
        <v>9.6999999999999993</v>
      </c>
      <c r="U97" s="51">
        <v>36.5</v>
      </c>
      <c r="V97" s="49">
        <v>30.9</v>
      </c>
      <c r="W97" s="49">
        <v>5.6</v>
      </c>
      <c r="X97" s="50" t="s">
        <v>264</v>
      </c>
      <c r="Y97" s="49">
        <v>6.9</v>
      </c>
      <c r="Z97" s="49">
        <v>127.30000000000001</v>
      </c>
      <c r="AA97" s="49">
        <v>121.4</v>
      </c>
      <c r="AB97" s="49">
        <v>5.9</v>
      </c>
      <c r="AC97" s="49" t="s">
        <v>264</v>
      </c>
      <c r="AD97" s="49" t="s">
        <v>264</v>
      </c>
      <c r="AE97" s="49"/>
      <c r="AF97" s="51"/>
      <c r="AG97" s="50" t="s">
        <v>264</v>
      </c>
      <c r="AH97" s="50" t="s">
        <v>264</v>
      </c>
      <c r="AI97" s="49">
        <v>114.7</v>
      </c>
      <c r="AJ97" s="49"/>
      <c r="AK97" s="49"/>
      <c r="AL97" s="51">
        <v>124.5</v>
      </c>
      <c r="AM97" s="49">
        <v>68.599999999999994</v>
      </c>
      <c r="AN97" s="49">
        <v>55.9</v>
      </c>
      <c r="AO97" s="49">
        <v>1853.9</v>
      </c>
      <c r="AP97" s="49">
        <v>250.2</v>
      </c>
      <c r="AQ97" s="49">
        <v>95</v>
      </c>
      <c r="AR97" s="49">
        <v>51.1</v>
      </c>
      <c r="AS97" s="50">
        <v>32.200000000000003</v>
      </c>
      <c r="AT97" s="50">
        <v>44.5</v>
      </c>
      <c r="AU97" s="50">
        <v>18.8</v>
      </c>
      <c r="AV97" s="50">
        <v>42.1</v>
      </c>
      <c r="AW97" s="50">
        <v>6.8</v>
      </c>
      <c r="AX97" s="50">
        <v>1.7</v>
      </c>
      <c r="AY97" s="50" t="s">
        <v>264</v>
      </c>
      <c r="AZ97" s="50" t="s">
        <v>264</v>
      </c>
      <c r="BA97" s="50" t="s">
        <v>264</v>
      </c>
      <c r="BB97" s="50" t="s">
        <v>264</v>
      </c>
      <c r="BC97" s="50"/>
      <c r="BD97" s="53">
        <v>103.6</v>
      </c>
      <c r="BE97" s="52">
        <v>38.299999999999997</v>
      </c>
      <c r="BF97" s="52"/>
      <c r="BG97" s="52"/>
      <c r="BH97" s="52">
        <v>304.10000000000002</v>
      </c>
      <c r="BI97" s="52"/>
      <c r="BJ97" s="52"/>
      <c r="BK97" s="52">
        <v>147.30000000000001</v>
      </c>
      <c r="BL97" s="52">
        <v>6.4</v>
      </c>
      <c r="BM97" s="52">
        <v>457.9</v>
      </c>
      <c r="BN97" s="52">
        <v>272.89999999999998</v>
      </c>
      <c r="BO97" s="52"/>
      <c r="BP97" s="52"/>
      <c r="BQ97" s="52">
        <v>88.2</v>
      </c>
      <c r="BR97" s="52">
        <v>4.5</v>
      </c>
      <c r="BS97" s="53">
        <v>365.59999999999997</v>
      </c>
      <c r="BT97" s="52">
        <v>68</v>
      </c>
      <c r="BU97" s="52">
        <v>28.9</v>
      </c>
      <c r="BV97" s="50">
        <v>330</v>
      </c>
      <c r="BW97" s="50">
        <v>101.6</v>
      </c>
      <c r="BX97" s="49">
        <v>437.9</v>
      </c>
      <c r="BY97" s="50">
        <v>65.599999999999994</v>
      </c>
      <c r="BZ97" s="50">
        <v>8</v>
      </c>
      <c r="CA97" s="49">
        <v>73.599999999999994</v>
      </c>
      <c r="CB97" s="52"/>
      <c r="CC97" s="52"/>
      <c r="CD97" s="52"/>
      <c r="CE97" s="52"/>
      <c r="CF97" s="52">
        <v>116.6</v>
      </c>
      <c r="CG97" s="52">
        <v>161.19999999999999</v>
      </c>
      <c r="CH97" s="52">
        <v>33.700000000000003</v>
      </c>
      <c r="CI97" s="52"/>
      <c r="CJ97" s="52"/>
      <c r="CK97" s="52"/>
      <c r="CL97" s="52"/>
      <c r="CM97" s="52"/>
      <c r="CN97" s="52">
        <v>62.2</v>
      </c>
      <c r="CO97" s="52">
        <v>240.8</v>
      </c>
      <c r="CP97" s="52">
        <v>217.5</v>
      </c>
      <c r="CQ97" s="52">
        <v>23.3</v>
      </c>
      <c r="CR97" s="52" t="s">
        <v>264</v>
      </c>
      <c r="CS97" s="52">
        <v>50.5</v>
      </c>
      <c r="CT97" s="52">
        <v>40.200000000000003</v>
      </c>
      <c r="CU97" s="52">
        <v>10.3</v>
      </c>
      <c r="CV97" s="52">
        <v>48.5</v>
      </c>
      <c r="CW97" s="52">
        <v>18.8</v>
      </c>
      <c r="CX97" s="52">
        <v>29.7</v>
      </c>
      <c r="CY97" s="52" t="s">
        <v>264</v>
      </c>
      <c r="CZ97" s="52">
        <v>66.5</v>
      </c>
      <c r="DA97" s="52">
        <v>43.599999999999994</v>
      </c>
      <c r="DB97" s="52">
        <v>42.3</v>
      </c>
      <c r="DC97" s="52">
        <v>1.3</v>
      </c>
      <c r="DD97" s="52"/>
      <c r="DE97" s="52"/>
      <c r="DF97" s="53"/>
      <c r="DG97" s="53">
        <v>99.8</v>
      </c>
      <c r="DH97" s="53"/>
      <c r="DI97" s="53">
        <v>476.8</v>
      </c>
      <c r="DJ97" s="53">
        <v>173.9</v>
      </c>
      <c r="DK97" s="53">
        <v>449.5</v>
      </c>
      <c r="DL97" s="53">
        <v>72.7</v>
      </c>
      <c r="DM97" s="53">
        <v>207.5</v>
      </c>
      <c r="DN97" s="53"/>
      <c r="DO97" s="53"/>
      <c r="DP97" s="53">
        <v>160.80000000000001</v>
      </c>
      <c r="DQ97" s="53">
        <v>55.4</v>
      </c>
      <c r="DR97" s="53"/>
      <c r="DS97" s="53">
        <v>532.6</v>
      </c>
      <c r="DT97" s="53">
        <v>2471.3000000000002</v>
      </c>
      <c r="DU97" s="53">
        <v>-342.09999999999991</v>
      </c>
      <c r="DV97" s="53">
        <v>0</v>
      </c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  <c r="FK97" s="52"/>
      <c r="FL97" s="52"/>
      <c r="FM97" s="52"/>
      <c r="FN97" s="52"/>
      <c r="FO97" s="52"/>
      <c r="FP97" s="52"/>
      <c r="FQ97" s="52"/>
      <c r="FR97" s="52"/>
      <c r="FS97" s="52"/>
      <c r="FT97" s="52"/>
      <c r="FU97" s="52"/>
      <c r="FV97" s="52"/>
      <c r="FW97" s="52"/>
      <c r="FX97" s="52"/>
      <c r="FY97" s="52"/>
      <c r="FZ97" s="52"/>
      <c r="GA97" s="52"/>
      <c r="GB97" s="52"/>
      <c r="GC97" s="52"/>
      <c r="GD97" s="52"/>
      <c r="GE97" s="52"/>
      <c r="GF97" s="52"/>
      <c r="GG97" s="52"/>
      <c r="GH97" s="52"/>
      <c r="GI97" s="52"/>
      <c r="GJ97" s="52"/>
      <c r="GK97" s="52"/>
      <c r="GL97" s="52"/>
      <c r="GM97" s="52"/>
      <c r="GN97" s="52"/>
      <c r="GO97" s="52"/>
      <c r="GP97" s="52"/>
      <c r="GQ97" s="52"/>
      <c r="GR97" s="52"/>
      <c r="GS97" s="52"/>
      <c r="GT97" s="52"/>
      <c r="GU97" s="52"/>
      <c r="GV97" s="52"/>
      <c r="GW97" s="52"/>
      <c r="GX97" s="52"/>
      <c r="GY97" s="17"/>
      <c r="GZ97" s="52">
        <v>898.6</v>
      </c>
      <c r="HA97" s="52"/>
      <c r="HB97" s="17"/>
      <c r="HC97" s="17"/>
      <c r="HD97" s="17"/>
      <c r="HE97" s="17"/>
      <c r="HF97" s="52"/>
      <c r="HG97" s="52"/>
      <c r="HH97" s="52"/>
      <c r="HI97" s="52"/>
      <c r="HJ97" s="52"/>
      <c r="HK97" s="52"/>
      <c r="HL97" s="52"/>
      <c r="HM97" s="52"/>
      <c r="HN97" s="52"/>
      <c r="HO97" s="52"/>
      <c r="HP97" s="52"/>
      <c r="HQ97" s="52"/>
      <c r="HR97" s="52"/>
      <c r="HS97" s="52"/>
      <c r="HT97" s="52"/>
      <c r="HU97" s="52"/>
      <c r="HV97" s="52"/>
      <c r="HW97" s="52"/>
      <c r="HX97" s="52"/>
      <c r="HY97" s="52"/>
      <c r="HZ97" s="52"/>
      <c r="IA97" s="52"/>
      <c r="IB97" s="52"/>
      <c r="IC97" s="52"/>
      <c r="ID97" s="52"/>
      <c r="IE97" s="52"/>
      <c r="IF97" s="52"/>
      <c r="IG97" s="52"/>
      <c r="IH97" s="53"/>
      <c r="II97" s="53"/>
      <c r="IJ97" s="53"/>
      <c r="IK97" s="53"/>
      <c r="IL97" s="53"/>
      <c r="IM97" s="52"/>
      <c r="IN97" s="52">
        <v>45.8</v>
      </c>
      <c r="IY97" s="48">
        <f t="shared" si="5"/>
        <v>47.316796827580617</v>
      </c>
      <c r="IZ97" s="48">
        <f>IY97-'NOPA Crush'!J97</f>
        <v>2.6796827580618299E-2</v>
      </c>
      <c r="JB97" s="63">
        <f t="shared" si="3"/>
        <v>11.003115769028444</v>
      </c>
      <c r="JC97" s="64">
        <f>JB97-'NOPA Crush'!O97</f>
        <v>-6.8842309715559935E-3</v>
      </c>
      <c r="JD97" s="65"/>
      <c r="JE97" s="67">
        <f t="shared" si="4"/>
        <v>1979.4</v>
      </c>
      <c r="JF97" s="68">
        <f>'NOPA Crush'!Q97/'Census Crush'!JE97</f>
        <v>0.38729109831261999</v>
      </c>
    </row>
    <row r="98" spans="1:266">
      <c r="A98" s="39">
        <v>32021</v>
      </c>
      <c r="B98" s="49">
        <v>2390.1999999999998</v>
      </c>
      <c r="C98" s="50">
        <v>1971.8</v>
      </c>
      <c r="D98" s="50">
        <v>137.69999999999999</v>
      </c>
      <c r="E98" s="50">
        <v>682.8</v>
      </c>
      <c r="F98" s="50">
        <v>5.2</v>
      </c>
      <c r="G98" s="50">
        <v>36.5</v>
      </c>
      <c r="H98" s="50">
        <v>4.9000000000000004</v>
      </c>
      <c r="I98" s="50" t="s">
        <v>264</v>
      </c>
      <c r="J98" s="50" t="s">
        <v>264</v>
      </c>
      <c r="K98" s="49">
        <v>881.4</v>
      </c>
      <c r="L98" s="49">
        <v>1725</v>
      </c>
      <c r="M98" s="49">
        <v>1451</v>
      </c>
      <c r="N98" s="49">
        <v>274</v>
      </c>
      <c r="O98" s="50">
        <v>46.9</v>
      </c>
      <c r="P98" s="51">
        <v>90.2</v>
      </c>
      <c r="Q98" s="49">
        <v>29.3</v>
      </c>
      <c r="R98" s="49">
        <v>60.9</v>
      </c>
      <c r="S98" s="49"/>
      <c r="T98" s="49">
        <v>4.2</v>
      </c>
      <c r="U98" s="51">
        <v>20.6</v>
      </c>
      <c r="V98" s="49">
        <v>17</v>
      </c>
      <c r="W98" s="49">
        <v>3.6</v>
      </c>
      <c r="X98" s="49">
        <v>34.4</v>
      </c>
      <c r="Y98" s="49">
        <v>10.5</v>
      </c>
      <c r="Z98" s="49">
        <v>112.4</v>
      </c>
      <c r="AA98" s="49">
        <v>103.7</v>
      </c>
      <c r="AB98" s="49">
        <v>8.6999999999999993</v>
      </c>
      <c r="AC98" s="49" t="s">
        <v>264</v>
      </c>
      <c r="AD98" s="49" t="s">
        <v>264</v>
      </c>
      <c r="AE98" s="49"/>
      <c r="AF98" s="51"/>
      <c r="AG98" s="50" t="s">
        <v>264</v>
      </c>
      <c r="AH98" s="50" t="s">
        <v>264</v>
      </c>
      <c r="AI98" s="49">
        <v>119.5</v>
      </c>
      <c r="AJ98" s="49"/>
      <c r="AK98" s="49"/>
      <c r="AL98" s="51">
        <v>109.39999999999999</v>
      </c>
      <c r="AM98" s="49">
        <v>68.099999999999994</v>
      </c>
      <c r="AN98" s="49">
        <v>41.3</v>
      </c>
      <c r="AO98" s="49">
        <v>1799.5</v>
      </c>
      <c r="AP98" s="49">
        <v>197.8</v>
      </c>
      <c r="AQ98" s="49">
        <v>88.2</v>
      </c>
      <c r="AR98" s="49">
        <v>42.4</v>
      </c>
      <c r="AS98" s="50">
        <v>58.3</v>
      </c>
      <c r="AT98" s="50">
        <v>31.5</v>
      </c>
      <c r="AU98" s="50">
        <v>32.4</v>
      </c>
      <c r="AV98" s="50">
        <v>42.1</v>
      </c>
      <c r="AW98" s="50">
        <v>2.9</v>
      </c>
      <c r="AX98" s="50">
        <v>1.7</v>
      </c>
      <c r="AY98" s="50">
        <v>16.399999999999999</v>
      </c>
      <c r="AZ98" s="50" t="s">
        <v>264</v>
      </c>
      <c r="BA98" s="50" t="s">
        <v>264</v>
      </c>
      <c r="BB98" s="50" t="s">
        <v>264</v>
      </c>
      <c r="BC98" s="50"/>
      <c r="BD98" s="53">
        <v>109</v>
      </c>
      <c r="BE98" s="52">
        <v>35.299999999999997</v>
      </c>
      <c r="BF98" s="52"/>
      <c r="BG98" s="52"/>
      <c r="BH98" s="52">
        <v>329.3</v>
      </c>
      <c r="BI98" s="52"/>
      <c r="BJ98" s="52"/>
      <c r="BK98" s="52">
        <v>160</v>
      </c>
      <c r="BL98" s="52">
        <v>6.9</v>
      </c>
      <c r="BM98" s="52">
        <v>496.1</v>
      </c>
      <c r="BN98" s="52">
        <v>265.7</v>
      </c>
      <c r="BO98" s="52"/>
      <c r="BP98" s="52"/>
      <c r="BQ98" s="52">
        <v>98.1</v>
      </c>
      <c r="BR98" s="52">
        <v>4.5</v>
      </c>
      <c r="BS98" s="53">
        <v>368.29999999999995</v>
      </c>
      <c r="BT98" s="52">
        <v>71</v>
      </c>
      <c r="BU98" s="52">
        <v>28.8</v>
      </c>
      <c r="BV98" s="50">
        <v>343.4</v>
      </c>
      <c r="BW98" s="50">
        <v>106</v>
      </c>
      <c r="BX98" s="49">
        <v>455.8</v>
      </c>
      <c r="BY98" s="50">
        <v>51.7</v>
      </c>
      <c r="BZ98" s="50">
        <v>8.3000000000000007</v>
      </c>
      <c r="CA98" s="49">
        <v>60</v>
      </c>
      <c r="CB98" s="52"/>
      <c r="CC98" s="52"/>
      <c r="CD98" s="52"/>
      <c r="CE98" s="52"/>
      <c r="CF98" s="52">
        <v>119.7</v>
      </c>
      <c r="CG98" s="52">
        <v>160.1</v>
      </c>
      <c r="CH98" s="52">
        <v>33.200000000000003</v>
      </c>
      <c r="CI98" s="52"/>
      <c r="CJ98" s="52"/>
      <c r="CK98" s="52"/>
      <c r="CL98" s="52"/>
      <c r="CM98" s="52"/>
      <c r="CN98" s="52">
        <v>66.599999999999994</v>
      </c>
      <c r="CO98" s="52">
        <v>270.2</v>
      </c>
      <c r="CP98" s="52">
        <v>246.6</v>
      </c>
      <c r="CQ98" s="52">
        <v>23.6</v>
      </c>
      <c r="CR98" s="52" t="s">
        <v>264</v>
      </c>
      <c r="CS98" s="52">
        <v>52.1</v>
      </c>
      <c r="CT98" s="52">
        <v>42.2</v>
      </c>
      <c r="CU98" s="52">
        <v>9.9</v>
      </c>
      <c r="CV98" s="52">
        <v>40.200000000000003</v>
      </c>
      <c r="CW98" s="52">
        <v>7.7</v>
      </c>
      <c r="CX98" s="52">
        <v>32.5</v>
      </c>
      <c r="CY98" s="52">
        <v>7.4</v>
      </c>
      <c r="CZ98" s="52">
        <v>85.8</v>
      </c>
      <c r="DA98" s="52">
        <v>36</v>
      </c>
      <c r="DB98" s="52">
        <v>34.9</v>
      </c>
      <c r="DC98" s="52">
        <v>1.1000000000000001</v>
      </c>
      <c r="DD98" s="52"/>
      <c r="DE98" s="52"/>
      <c r="DF98" s="53"/>
      <c r="DG98" s="53">
        <v>65.099999999999994</v>
      </c>
      <c r="DH98" s="53"/>
      <c r="DI98" s="53">
        <v>483</v>
      </c>
      <c r="DJ98" s="53"/>
      <c r="DK98" s="53">
        <v>458.5</v>
      </c>
      <c r="DL98" s="53"/>
      <c r="DM98" s="53">
        <v>203.7</v>
      </c>
      <c r="DN98" s="53"/>
      <c r="DO98" s="53">
        <v>162.5</v>
      </c>
      <c r="DP98" s="53">
        <v>161.9</v>
      </c>
      <c r="DQ98" s="53"/>
      <c r="DR98" s="53"/>
      <c r="DS98" s="53">
        <v>508.3</v>
      </c>
      <c r="DT98" s="53">
        <v>2390.1999999999998</v>
      </c>
      <c r="DU98" s="53">
        <v>-412.29999999999973</v>
      </c>
      <c r="DV98" s="53">
        <v>0</v>
      </c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2"/>
      <c r="FN98" s="52"/>
      <c r="FO98" s="52"/>
      <c r="FP98" s="52"/>
      <c r="FQ98" s="52"/>
      <c r="FR98" s="52"/>
      <c r="FS98" s="52"/>
      <c r="FT98" s="52"/>
      <c r="FU98" s="52"/>
      <c r="FV98" s="52"/>
      <c r="FW98" s="52"/>
      <c r="FX98" s="52"/>
      <c r="FY98" s="52"/>
      <c r="FZ98" s="52"/>
      <c r="GA98" s="52"/>
      <c r="GB98" s="52"/>
      <c r="GC98" s="52"/>
      <c r="GD98" s="52"/>
      <c r="GE98" s="52"/>
      <c r="GF98" s="52"/>
      <c r="GG98" s="52"/>
      <c r="GH98" s="52"/>
      <c r="GI98" s="52"/>
      <c r="GJ98" s="52"/>
      <c r="GK98" s="52"/>
      <c r="GL98" s="52"/>
      <c r="GM98" s="52"/>
      <c r="GN98" s="52"/>
      <c r="GO98" s="52"/>
      <c r="GP98" s="52"/>
      <c r="GQ98" s="52"/>
      <c r="GR98" s="52"/>
      <c r="GS98" s="52"/>
      <c r="GT98" s="52"/>
      <c r="GU98" s="52"/>
      <c r="GV98" s="52"/>
      <c r="GW98" s="52"/>
      <c r="GX98" s="52"/>
      <c r="GY98" s="17"/>
      <c r="GZ98" s="52">
        <v>946.5</v>
      </c>
      <c r="HA98" s="52"/>
      <c r="HB98" s="17"/>
      <c r="HC98" s="17"/>
      <c r="HD98" s="17"/>
      <c r="HE98" s="17"/>
      <c r="HF98" s="52"/>
      <c r="HG98" s="52"/>
      <c r="HH98" s="52"/>
      <c r="HI98" s="52"/>
      <c r="HJ98" s="52"/>
      <c r="HK98" s="52"/>
      <c r="HL98" s="52"/>
      <c r="HM98" s="52"/>
      <c r="HN98" s="52"/>
      <c r="HO98" s="52"/>
      <c r="HP98" s="52"/>
      <c r="HQ98" s="52"/>
      <c r="HR98" s="52"/>
      <c r="HS98" s="52"/>
      <c r="HT98" s="52"/>
      <c r="HU98" s="52"/>
      <c r="HV98" s="52"/>
      <c r="HW98" s="52"/>
      <c r="HX98" s="52"/>
      <c r="HY98" s="52"/>
      <c r="HZ98" s="52"/>
      <c r="IA98" s="52"/>
      <c r="IB98" s="52"/>
      <c r="IC98" s="52"/>
      <c r="ID98" s="52"/>
      <c r="IE98" s="52"/>
      <c r="IF98" s="52"/>
      <c r="IG98" s="52"/>
      <c r="IH98" s="53"/>
      <c r="II98" s="53"/>
      <c r="IJ98" s="53"/>
      <c r="IK98" s="53"/>
      <c r="IL98" s="53"/>
      <c r="IM98" s="52"/>
      <c r="IN98" s="52">
        <v>56.9</v>
      </c>
      <c r="IY98" s="48">
        <f t="shared" si="5"/>
        <v>47.385992803949463</v>
      </c>
      <c r="IZ98" s="48">
        <f>IY98-'NOPA Crush'!J98</f>
        <v>-4.0071960505372317E-3</v>
      </c>
      <c r="JB98" s="63">
        <f t="shared" si="3"/>
        <v>11.062672579700443</v>
      </c>
      <c r="JC98" s="64">
        <f>JB98-'NOPA Crush'!O98</f>
        <v>-7.3274202995570192E-3</v>
      </c>
      <c r="JD98" s="65"/>
      <c r="JE98" s="67">
        <f t="shared" si="4"/>
        <v>1725</v>
      </c>
      <c r="JF98" s="68">
        <f>'NOPA Crush'!Q98/'Census Crush'!JE98</f>
        <v>0.36575246376811593</v>
      </c>
    </row>
    <row r="99" spans="1:266">
      <c r="A99" s="39">
        <v>32051</v>
      </c>
      <c r="B99" s="49">
        <v>3074.9</v>
      </c>
      <c r="C99" s="50">
        <v>4755.8</v>
      </c>
      <c r="D99" s="50">
        <v>251.8</v>
      </c>
      <c r="E99" s="50">
        <v>1403.7</v>
      </c>
      <c r="F99" s="50">
        <v>9.1999999999999993</v>
      </c>
      <c r="G99" s="50">
        <v>62.7</v>
      </c>
      <c r="H99" s="50" t="s">
        <v>264</v>
      </c>
      <c r="I99" s="50" t="s">
        <v>264</v>
      </c>
      <c r="J99" s="50" t="s">
        <v>264</v>
      </c>
      <c r="K99" s="49">
        <v>1119.7</v>
      </c>
      <c r="L99" s="49">
        <v>1660.7</v>
      </c>
      <c r="M99" s="49">
        <v>1393.2</v>
      </c>
      <c r="N99" s="49">
        <v>267.5</v>
      </c>
      <c r="O99" s="50">
        <v>84</v>
      </c>
      <c r="P99" s="51">
        <v>107.1</v>
      </c>
      <c r="Q99" s="49">
        <v>51.5</v>
      </c>
      <c r="R99" s="49">
        <v>55.6</v>
      </c>
      <c r="S99" s="49"/>
      <c r="T99" s="49">
        <v>7.5</v>
      </c>
      <c r="U99" s="51">
        <v>16.5</v>
      </c>
      <c r="V99" s="49">
        <v>12.3</v>
      </c>
      <c r="W99" s="49">
        <v>4.2</v>
      </c>
      <c r="X99" s="49">
        <v>51.8</v>
      </c>
      <c r="Y99" s="49">
        <v>14.4</v>
      </c>
      <c r="Z99" s="49">
        <v>104.89999999999999</v>
      </c>
      <c r="AA99" s="49">
        <v>97.8</v>
      </c>
      <c r="AB99" s="49">
        <v>7.1</v>
      </c>
      <c r="AC99" s="49" t="s">
        <v>264</v>
      </c>
      <c r="AD99" s="49" t="s">
        <v>264</v>
      </c>
      <c r="AE99" s="49"/>
      <c r="AF99" s="51"/>
      <c r="AG99" s="50" t="s">
        <v>264</v>
      </c>
      <c r="AH99" s="50" t="s">
        <v>264</v>
      </c>
      <c r="AI99" s="49">
        <v>121.5</v>
      </c>
      <c r="AJ99" s="49"/>
      <c r="AK99" s="49"/>
      <c r="AL99" s="51">
        <v>89.5</v>
      </c>
      <c r="AM99" s="49">
        <v>51.1</v>
      </c>
      <c r="AN99" s="49">
        <v>38.4</v>
      </c>
      <c r="AO99" s="49">
        <v>2333.8000000000002</v>
      </c>
      <c r="AP99" s="49">
        <v>227.9</v>
      </c>
      <c r="AQ99" s="49">
        <v>105.6</v>
      </c>
      <c r="AR99" s="49">
        <v>39.700000000000003</v>
      </c>
      <c r="AS99" s="50">
        <v>121.7</v>
      </c>
      <c r="AT99" s="50">
        <v>29.3</v>
      </c>
      <c r="AU99" s="50">
        <v>63.7</v>
      </c>
      <c r="AV99" s="50">
        <v>25.6</v>
      </c>
      <c r="AW99" s="50">
        <v>5.2</v>
      </c>
      <c r="AX99" s="50">
        <v>2.2000000000000002</v>
      </c>
      <c r="AY99" s="50">
        <v>31.7</v>
      </c>
      <c r="AZ99" s="50">
        <v>6</v>
      </c>
      <c r="BA99" s="50" t="s">
        <v>264</v>
      </c>
      <c r="BB99" s="50" t="s">
        <v>264</v>
      </c>
      <c r="BC99" s="50"/>
      <c r="BD99" s="52">
        <v>116.4</v>
      </c>
      <c r="BE99" s="52">
        <v>38.200000000000003</v>
      </c>
      <c r="BF99" s="52"/>
      <c r="BG99" s="52"/>
      <c r="BH99" s="52">
        <v>338.4</v>
      </c>
      <c r="BI99" s="52"/>
      <c r="BJ99" s="52"/>
      <c r="BK99" s="52">
        <v>159.69999999999999</v>
      </c>
      <c r="BL99" s="52">
        <v>6.9</v>
      </c>
      <c r="BM99" s="52">
        <v>505.1</v>
      </c>
      <c r="BN99" s="52">
        <v>323.39999999999998</v>
      </c>
      <c r="BO99" s="52"/>
      <c r="BP99" s="52"/>
      <c r="BQ99" s="52">
        <v>96.1</v>
      </c>
      <c r="BR99" s="52">
        <v>4.9000000000000004</v>
      </c>
      <c r="BS99" s="53">
        <v>424.4</v>
      </c>
      <c r="BT99" s="52">
        <v>78</v>
      </c>
      <c r="BU99" s="52">
        <v>38.200000000000003</v>
      </c>
      <c r="BV99" s="50">
        <v>361.4</v>
      </c>
      <c r="BW99" s="50">
        <v>128.1</v>
      </c>
      <c r="BX99" s="49">
        <v>496.4</v>
      </c>
      <c r="BY99" s="50">
        <v>59.3</v>
      </c>
      <c r="BZ99" s="50">
        <v>10</v>
      </c>
      <c r="CA99" s="49">
        <v>69.3</v>
      </c>
      <c r="CB99" s="52"/>
      <c r="CC99" s="52"/>
      <c r="CD99" s="52"/>
      <c r="CE99" s="52"/>
      <c r="CF99" s="52">
        <v>123</v>
      </c>
      <c r="CG99" s="52">
        <v>144</v>
      </c>
      <c r="CH99" s="52">
        <v>34.5</v>
      </c>
      <c r="CI99" s="52"/>
      <c r="CJ99" s="52"/>
      <c r="CK99" s="52"/>
      <c r="CL99" s="52"/>
      <c r="CM99" s="52"/>
      <c r="CN99" s="52">
        <v>77.7</v>
      </c>
      <c r="CO99" s="52">
        <v>288.5</v>
      </c>
      <c r="CP99" s="52">
        <v>260</v>
      </c>
      <c r="CQ99" s="52">
        <v>28.5</v>
      </c>
      <c r="CR99" s="52" t="s">
        <v>264</v>
      </c>
      <c r="CS99" s="52">
        <v>54.3</v>
      </c>
      <c r="CT99" s="52">
        <v>42.4</v>
      </c>
      <c r="CU99" s="52">
        <v>11.9</v>
      </c>
      <c r="CV99" s="52">
        <v>47.5</v>
      </c>
      <c r="CW99" s="52">
        <v>18.600000000000001</v>
      </c>
      <c r="CX99" s="52">
        <v>28.9</v>
      </c>
      <c r="CY99" s="52">
        <v>13.7</v>
      </c>
      <c r="CZ99" s="52">
        <v>88.4</v>
      </c>
      <c r="DA99" s="52">
        <v>51.3</v>
      </c>
      <c r="DB99" s="52">
        <v>50.4</v>
      </c>
      <c r="DC99" s="52">
        <v>0.9</v>
      </c>
      <c r="DD99" s="52"/>
      <c r="DE99" s="52"/>
      <c r="DF99" s="53"/>
      <c r="DG99" s="53">
        <v>97.5</v>
      </c>
      <c r="DH99" s="53"/>
      <c r="DI99" s="53">
        <v>606</v>
      </c>
      <c r="DJ99" s="53"/>
      <c r="DK99" s="53">
        <v>514.20000000000005</v>
      </c>
      <c r="DL99" s="53"/>
      <c r="DM99" s="53">
        <v>213.2</v>
      </c>
      <c r="DN99" s="53"/>
      <c r="DO99" s="53">
        <v>176.7</v>
      </c>
      <c r="DP99" s="53">
        <v>210.2</v>
      </c>
      <c r="DQ99" s="53"/>
      <c r="DR99" s="53"/>
      <c r="DS99" s="53">
        <v>784.6</v>
      </c>
      <c r="DT99" s="53">
        <v>3074.9</v>
      </c>
      <c r="DU99" s="53">
        <v>-570</v>
      </c>
      <c r="DV99" s="53">
        <v>0</v>
      </c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2"/>
      <c r="FF99" s="52"/>
      <c r="FG99" s="52"/>
      <c r="FH99" s="52"/>
      <c r="FI99" s="52"/>
      <c r="FJ99" s="52"/>
      <c r="FK99" s="52"/>
      <c r="FL99" s="52"/>
      <c r="FM99" s="52"/>
      <c r="FN99" s="52"/>
      <c r="FO99" s="52"/>
      <c r="FP99" s="52"/>
      <c r="FQ99" s="52"/>
      <c r="FR99" s="52"/>
      <c r="FS99" s="52"/>
      <c r="FT99" s="52"/>
      <c r="FU99" s="52"/>
      <c r="FV99" s="52"/>
      <c r="FW99" s="52"/>
      <c r="FX99" s="52"/>
      <c r="FY99" s="52"/>
      <c r="FZ99" s="52"/>
      <c r="GA99" s="52"/>
      <c r="GB99" s="52"/>
      <c r="GC99" s="52"/>
      <c r="GD99" s="52"/>
      <c r="GE99" s="52"/>
      <c r="GF99" s="52"/>
      <c r="GG99" s="52"/>
      <c r="GH99" s="52"/>
      <c r="GI99" s="52"/>
      <c r="GJ99" s="52"/>
      <c r="GK99" s="52"/>
      <c r="GL99" s="52"/>
      <c r="GM99" s="52"/>
      <c r="GN99" s="52"/>
      <c r="GO99" s="52"/>
      <c r="GP99" s="52"/>
      <c r="GQ99" s="52"/>
      <c r="GR99" s="52"/>
      <c r="GS99" s="52"/>
      <c r="GT99" s="52"/>
      <c r="GU99" s="52"/>
      <c r="GV99" s="52"/>
      <c r="GW99" s="52"/>
      <c r="GX99" s="52"/>
      <c r="GY99" s="17"/>
      <c r="GZ99" s="52">
        <v>975.5</v>
      </c>
      <c r="HA99" s="52"/>
      <c r="HB99" s="17"/>
      <c r="HC99" s="17"/>
      <c r="HD99" s="17"/>
      <c r="HE99" s="17"/>
      <c r="HF99" s="52"/>
      <c r="HG99" s="52"/>
      <c r="HH99" s="52"/>
      <c r="HI99" s="52"/>
      <c r="HJ99" s="52"/>
      <c r="HK99" s="52"/>
      <c r="HL99" s="52"/>
      <c r="HM99" s="52"/>
      <c r="HN99" s="52"/>
      <c r="HO99" s="52"/>
      <c r="HP99" s="52"/>
      <c r="HQ99" s="52"/>
      <c r="HR99" s="52"/>
      <c r="HS99" s="52"/>
      <c r="HT99" s="52"/>
      <c r="HU99" s="52"/>
      <c r="HV99" s="52"/>
      <c r="HW99" s="52"/>
      <c r="HX99" s="52"/>
      <c r="HY99" s="52"/>
      <c r="HZ99" s="52"/>
      <c r="IA99" s="52"/>
      <c r="IB99" s="52"/>
      <c r="IC99" s="52"/>
      <c r="ID99" s="52"/>
      <c r="IE99" s="52"/>
      <c r="IF99" s="52"/>
      <c r="IG99" s="52"/>
      <c r="IH99" s="53"/>
      <c r="II99" s="53"/>
      <c r="IJ99" s="53"/>
      <c r="IK99" s="53"/>
      <c r="IL99" s="53"/>
      <c r="IM99" s="52"/>
      <c r="IN99" s="52">
        <v>71.5</v>
      </c>
      <c r="IY99" s="48">
        <f t="shared" si="5"/>
        <v>47.599596734853165</v>
      </c>
      <c r="IZ99" s="48">
        <f>IY99-'NOPA Crush'!J99</f>
        <v>5.9596734853165856E-2</v>
      </c>
      <c r="JB99" s="63">
        <f t="shared" si="3"/>
        <v>10.92425769943738</v>
      </c>
      <c r="JC99" s="64">
        <f>JB99-'NOPA Crush'!O99</f>
        <v>0.16425769943738011</v>
      </c>
      <c r="JD99" s="65"/>
      <c r="JE99" s="67">
        <f t="shared" si="4"/>
        <v>1660.7</v>
      </c>
      <c r="JF99" s="68">
        <f>'NOPA Crush'!Q99/'Census Crush'!JE99</f>
        <v>0.39141807671463841</v>
      </c>
    </row>
    <row r="100" spans="1:266">
      <c r="A100" s="39">
        <v>32082</v>
      </c>
      <c r="B100" s="49">
        <v>3335.8</v>
      </c>
      <c r="C100" s="50">
        <v>4665.1000000000004</v>
      </c>
      <c r="D100" s="50">
        <v>344.2</v>
      </c>
      <c r="E100" s="50">
        <v>1959.1</v>
      </c>
      <c r="F100" s="50">
        <v>18.100000000000001</v>
      </c>
      <c r="G100" s="50">
        <v>109.5</v>
      </c>
      <c r="H100" s="50" t="s">
        <v>264</v>
      </c>
      <c r="I100" s="50" t="s">
        <v>264</v>
      </c>
      <c r="J100" s="50" t="s">
        <v>264</v>
      </c>
      <c r="K100" s="49">
        <v>1207.0999999999999</v>
      </c>
      <c r="L100" s="49">
        <v>1833.8000000000002</v>
      </c>
      <c r="M100" s="49">
        <v>1548.7</v>
      </c>
      <c r="N100" s="49">
        <v>285.10000000000002</v>
      </c>
      <c r="O100" s="50">
        <v>118.2</v>
      </c>
      <c r="P100" s="51">
        <v>136</v>
      </c>
      <c r="Q100" s="49">
        <v>53.8</v>
      </c>
      <c r="R100" s="49">
        <v>82.2</v>
      </c>
      <c r="S100" s="49"/>
      <c r="T100" s="49">
        <v>13.7</v>
      </c>
      <c r="U100" s="51">
        <v>18.3</v>
      </c>
      <c r="V100" s="49">
        <v>14</v>
      </c>
      <c r="W100" s="49">
        <v>4.3</v>
      </c>
      <c r="X100" s="49">
        <v>93.7</v>
      </c>
      <c r="Y100" s="49">
        <v>10.4</v>
      </c>
      <c r="Z100" s="49">
        <v>81.199999999999989</v>
      </c>
      <c r="AA100" s="49">
        <v>76.099999999999994</v>
      </c>
      <c r="AB100" s="49">
        <v>5.0999999999999996</v>
      </c>
      <c r="AC100" s="49" t="s">
        <v>264</v>
      </c>
      <c r="AD100" s="49" t="s">
        <v>264</v>
      </c>
      <c r="AE100" s="49"/>
      <c r="AF100" s="51"/>
      <c r="AG100" s="50" t="s">
        <v>264</v>
      </c>
      <c r="AH100" s="50" t="s">
        <v>264</v>
      </c>
      <c r="AI100" s="49">
        <v>115.9</v>
      </c>
      <c r="AJ100" s="49"/>
      <c r="AK100" s="49"/>
      <c r="AL100" s="51">
        <v>77.3</v>
      </c>
      <c r="AM100" s="49">
        <v>42.4</v>
      </c>
      <c r="AN100" s="49">
        <v>34.9</v>
      </c>
      <c r="AO100" s="49">
        <v>2542.8000000000002</v>
      </c>
      <c r="AP100" s="49">
        <v>264.39999999999998</v>
      </c>
      <c r="AQ100" s="49">
        <v>125</v>
      </c>
      <c r="AR100" s="49">
        <v>47.4</v>
      </c>
      <c r="AS100" s="50">
        <v>156.9</v>
      </c>
      <c r="AT100" s="50">
        <v>39.700000000000003</v>
      </c>
      <c r="AU100" s="50">
        <v>89.1</v>
      </c>
      <c r="AV100" s="50">
        <v>41.2</v>
      </c>
      <c r="AW100" s="50">
        <v>11.1</v>
      </c>
      <c r="AX100" s="50">
        <v>5.3</v>
      </c>
      <c r="AY100" s="50">
        <v>52.2</v>
      </c>
      <c r="AZ100" s="50">
        <v>7.5</v>
      </c>
      <c r="BA100" s="50" t="s">
        <v>264</v>
      </c>
      <c r="BB100" s="50" t="s">
        <v>264</v>
      </c>
      <c r="BC100" s="50"/>
      <c r="BD100" s="52">
        <v>105.3</v>
      </c>
      <c r="BE100" s="52">
        <v>40.6</v>
      </c>
      <c r="BF100" s="52"/>
      <c r="BG100" s="52"/>
      <c r="BH100" s="52">
        <v>312.60000000000002</v>
      </c>
      <c r="BI100" s="52"/>
      <c r="BJ100" s="52"/>
      <c r="BK100" s="52">
        <v>144.30000000000001</v>
      </c>
      <c r="BL100" s="52">
        <v>6.8</v>
      </c>
      <c r="BM100" s="52">
        <v>463.7</v>
      </c>
      <c r="BN100" s="52">
        <v>371.3</v>
      </c>
      <c r="BO100" s="52"/>
      <c r="BP100" s="52"/>
      <c r="BQ100" s="52">
        <v>100</v>
      </c>
      <c r="BR100" s="52">
        <v>5.4</v>
      </c>
      <c r="BS100" s="53">
        <v>476.7</v>
      </c>
      <c r="BT100" s="52">
        <v>78</v>
      </c>
      <c r="BU100" s="52">
        <v>36.200000000000003</v>
      </c>
      <c r="BV100" s="50">
        <v>340.8</v>
      </c>
      <c r="BW100" s="50">
        <v>112.7</v>
      </c>
      <c r="BX100" s="49">
        <v>460.1</v>
      </c>
      <c r="BY100" s="50">
        <v>65.900000000000006</v>
      </c>
      <c r="BZ100" s="50">
        <v>8.9</v>
      </c>
      <c r="CA100" s="49">
        <v>74.800000000000011</v>
      </c>
      <c r="CB100" s="52"/>
      <c r="CC100" s="52"/>
      <c r="CD100" s="52"/>
      <c r="CE100" s="52"/>
      <c r="CF100" s="52">
        <v>116.2</v>
      </c>
      <c r="CG100" s="52">
        <v>147.69999999999999</v>
      </c>
      <c r="CH100" s="52">
        <v>35.299999999999997</v>
      </c>
      <c r="CI100" s="52"/>
      <c r="CJ100" s="52"/>
      <c r="CK100" s="52"/>
      <c r="CL100" s="52"/>
      <c r="CM100" s="52"/>
      <c r="CN100" s="52">
        <v>60</v>
      </c>
      <c r="CO100" s="52">
        <v>371</v>
      </c>
      <c r="CP100" s="52">
        <v>342.2</v>
      </c>
      <c r="CQ100" s="52">
        <v>28.8</v>
      </c>
      <c r="CR100" s="52" t="s">
        <v>264</v>
      </c>
      <c r="CS100" s="52">
        <v>50.4</v>
      </c>
      <c r="CT100" s="52">
        <v>36.799999999999997</v>
      </c>
      <c r="CU100" s="52">
        <v>13.6</v>
      </c>
      <c r="CV100" s="52">
        <v>53.6</v>
      </c>
      <c r="CW100" s="52">
        <v>22.3</v>
      </c>
      <c r="CX100" s="52">
        <v>31.3</v>
      </c>
      <c r="CY100" s="52">
        <v>8.5</v>
      </c>
      <c r="CZ100" s="52">
        <v>112.5</v>
      </c>
      <c r="DA100" s="52">
        <v>46.199999999999996</v>
      </c>
      <c r="DB100" s="52">
        <v>45.4</v>
      </c>
      <c r="DC100" s="52">
        <v>0.8</v>
      </c>
      <c r="DD100" s="52"/>
      <c r="DE100" s="52"/>
      <c r="DF100" s="53"/>
      <c r="DG100" s="53">
        <v>119.3</v>
      </c>
      <c r="DH100" s="53"/>
      <c r="DI100" s="53">
        <v>678.4</v>
      </c>
      <c r="DJ100" s="53">
        <v>221.5</v>
      </c>
      <c r="DK100" s="53">
        <v>545.79999999999995</v>
      </c>
      <c r="DL100" s="53"/>
      <c r="DM100" s="53">
        <v>203.2</v>
      </c>
      <c r="DN100" s="53"/>
      <c r="DO100" s="53">
        <v>205.6</v>
      </c>
      <c r="DP100" s="53">
        <v>204.3</v>
      </c>
      <c r="DQ100" s="53"/>
      <c r="DR100" s="53"/>
      <c r="DS100" s="53">
        <v>868.5</v>
      </c>
      <c r="DT100" s="53">
        <v>3335.8</v>
      </c>
      <c r="DU100" s="53">
        <v>-408.50000000000045</v>
      </c>
      <c r="DV100" s="53">
        <v>0</v>
      </c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2"/>
      <c r="FF100" s="52"/>
      <c r="FG100" s="52"/>
      <c r="FH100" s="52"/>
      <c r="FI100" s="52"/>
      <c r="FJ100" s="52"/>
      <c r="FK100" s="52"/>
      <c r="FL100" s="52"/>
      <c r="FM100" s="52"/>
      <c r="FN100" s="52"/>
      <c r="FO100" s="52"/>
      <c r="FP100" s="52"/>
      <c r="FQ100" s="52"/>
      <c r="FR100" s="52"/>
      <c r="FS100" s="52"/>
      <c r="FT100" s="52"/>
      <c r="FU100" s="52"/>
      <c r="FV100" s="52"/>
      <c r="FW100" s="52"/>
      <c r="FX100" s="52"/>
      <c r="FY100" s="52"/>
      <c r="FZ100" s="52"/>
      <c r="GA100" s="52"/>
      <c r="GB100" s="52"/>
      <c r="GC100" s="52"/>
      <c r="GD100" s="52"/>
      <c r="GE100" s="52"/>
      <c r="GF100" s="52"/>
      <c r="GG100" s="52"/>
      <c r="GH100" s="52"/>
      <c r="GI100" s="52"/>
      <c r="GJ100" s="52"/>
      <c r="GK100" s="52"/>
      <c r="GL100" s="52"/>
      <c r="GM100" s="52"/>
      <c r="GN100" s="52"/>
      <c r="GO100" s="52"/>
      <c r="GP100" s="52"/>
      <c r="GQ100" s="52"/>
      <c r="GR100" s="52"/>
      <c r="GS100" s="52"/>
      <c r="GT100" s="52"/>
      <c r="GU100" s="52"/>
      <c r="GV100" s="52"/>
      <c r="GW100" s="52"/>
      <c r="GX100" s="52"/>
      <c r="GY100" s="17"/>
      <c r="GZ100" s="52">
        <v>925.8</v>
      </c>
      <c r="HA100" s="52"/>
      <c r="HB100" s="17"/>
      <c r="HC100" s="17"/>
      <c r="HD100" s="17"/>
      <c r="HE100" s="17"/>
      <c r="HF100" s="52"/>
      <c r="HG100" s="52"/>
      <c r="HH100" s="52"/>
      <c r="HI100" s="52"/>
      <c r="HJ100" s="52"/>
      <c r="HK100" s="52"/>
      <c r="HL100" s="52"/>
      <c r="HM100" s="52"/>
      <c r="HN100" s="52"/>
      <c r="HO100" s="52"/>
      <c r="HP100" s="52"/>
      <c r="HQ100" s="52"/>
      <c r="HR100" s="52"/>
      <c r="HS100" s="52"/>
      <c r="HT100" s="52"/>
      <c r="HU100" s="52"/>
      <c r="HV100" s="52"/>
      <c r="HW100" s="52"/>
      <c r="HX100" s="52"/>
      <c r="HY100" s="52"/>
      <c r="HZ100" s="52"/>
      <c r="IA100" s="52"/>
      <c r="IB100" s="52"/>
      <c r="IC100" s="52"/>
      <c r="ID100" s="52"/>
      <c r="IE100" s="52"/>
      <c r="IF100" s="52"/>
      <c r="IG100" s="52"/>
      <c r="IH100" s="53"/>
      <c r="II100" s="53"/>
      <c r="IJ100" s="53"/>
      <c r="IK100" s="53"/>
      <c r="IL100" s="53"/>
      <c r="IM100" s="52"/>
      <c r="IN100" s="52">
        <v>110.3</v>
      </c>
      <c r="IY100" s="48">
        <f t="shared" si="5"/>
        <v>47.984891180526411</v>
      </c>
      <c r="IZ100" s="48">
        <f>IY100-'NOPA Crush'!J100</f>
        <v>0.28489118052640805</v>
      </c>
      <c r="JB100" s="63">
        <f t="shared" si="3"/>
        <v>10.85586665867258</v>
      </c>
      <c r="JC100" s="64">
        <f>JB100-'NOPA Crush'!O100</f>
        <v>-6.4133341327419657E-2</v>
      </c>
      <c r="JD100" s="65"/>
      <c r="JE100" s="67">
        <f t="shared" si="4"/>
        <v>1833.8000000000002</v>
      </c>
      <c r="JF100" s="68">
        <f>'NOPA Crush'!Q100/'Census Crush'!JE100</f>
        <v>0.40456647398843926</v>
      </c>
    </row>
    <row r="101" spans="1:266">
      <c r="A101" s="39">
        <v>32112</v>
      </c>
      <c r="B101" s="49">
        <v>3323.7</v>
      </c>
      <c r="C101" s="50">
        <v>4350.3999999999996</v>
      </c>
      <c r="D101" s="50">
        <v>363.2</v>
      </c>
      <c r="E101" s="50">
        <v>2251.9</v>
      </c>
      <c r="F101" s="50">
        <v>17.3</v>
      </c>
      <c r="G101" s="50">
        <v>115.6</v>
      </c>
      <c r="H101" s="50" t="s">
        <v>264</v>
      </c>
      <c r="I101" s="50" t="s">
        <v>264</v>
      </c>
      <c r="J101" s="50" t="s">
        <v>264</v>
      </c>
      <c r="K101" s="49">
        <v>1208.0999999999999</v>
      </c>
      <c r="L101" s="49">
        <v>2050.4</v>
      </c>
      <c r="M101" s="49">
        <v>1749.6</v>
      </c>
      <c r="N101" s="49">
        <v>300.8</v>
      </c>
      <c r="O101" s="50">
        <v>124.8</v>
      </c>
      <c r="P101" s="51">
        <v>169.8</v>
      </c>
      <c r="Q101" s="49">
        <v>64.900000000000006</v>
      </c>
      <c r="R101" s="49">
        <v>104.9</v>
      </c>
      <c r="S101" s="49"/>
      <c r="T101" s="49">
        <v>13.1</v>
      </c>
      <c r="U101" s="51">
        <v>15.7</v>
      </c>
      <c r="V101" s="49">
        <v>11.9</v>
      </c>
      <c r="W101" s="49">
        <v>3.8</v>
      </c>
      <c r="X101" s="49">
        <v>96.5</v>
      </c>
      <c r="Y101" s="49">
        <v>13.6</v>
      </c>
      <c r="Z101" s="49">
        <v>126.60000000000001</v>
      </c>
      <c r="AA101" s="49">
        <v>123.4</v>
      </c>
      <c r="AB101" s="49">
        <v>3.2</v>
      </c>
      <c r="AC101" s="49" t="s">
        <v>264</v>
      </c>
      <c r="AD101" s="49" t="s">
        <v>264</v>
      </c>
      <c r="AE101" s="49"/>
      <c r="AF101" s="51"/>
      <c r="AG101" s="50" t="s">
        <v>264</v>
      </c>
      <c r="AH101" s="50" t="s">
        <v>264</v>
      </c>
      <c r="AI101" s="49">
        <v>110.6</v>
      </c>
      <c r="AJ101" s="49"/>
      <c r="AK101" s="49"/>
      <c r="AL101" s="51">
        <v>103</v>
      </c>
      <c r="AM101" s="49">
        <v>59.9</v>
      </c>
      <c r="AN101" s="49">
        <v>43.1</v>
      </c>
      <c r="AO101" s="49">
        <v>2527</v>
      </c>
      <c r="AP101" s="49">
        <v>255</v>
      </c>
      <c r="AQ101" s="49">
        <v>122.3</v>
      </c>
      <c r="AR101" s="49">
        <v>41.2</v>
      </c>
      <c r="AS101" s="50">
        <v>169.3</v>
      </c>
      <c r="AT101" s="50">
        <v>35.6</v>
      </c>
      <c r="AU101" s="50">
        <v>97.2</v>
      </c>
      <c r="AV101" s="50">
        <v>45.5</v>
      </c>
      <c r="AW101" s="50">
        <v>10.6</v>
      </c>
      <c r="AX101" s="50">
        <v>3.3</v>
      </c>
      <c r="AY101" s="50">
        <v>52.8</v>
      </c>
      <c r="AZ101" s="50">
        <v>9</v>
      </c>
      <c r="BA101" s="50" t="s">
        <v>264</v>
      </c>
      <c r="BB101" s="50" t="s">
        <v>264</v>
      </c>
      <c r="BC101" s="50"/>
      <c r="BD101" s="52">
        <v>98.7</v>
      </c>
      <c r="BE101" s="52">
        <v>39.6</v>
      </c>
      <c r="BF101" s="52"/>
      <c r="BG101" s="52"/>
      <c r="BH101" s="52">
        <v>353.6</v>
      </c>
      <c r="BI101" s="52"/>
      <c r="BJ101" s="52"/>
      <c r="BK101" s="52">
        <v>153.30000000000001</v>
      </c>
      <c r="BL101" s="52">
        <v>6.6</v>
      </c>
      <c r="BM101" s="52">
        <v>513.6</v>
      </c>
      <c r="BN101" s="52">
        <v>302.3</v>
      </c>
      <c r="BO101" s="52"/>
      <c r="BP101" s="52"/>
      <c r="BQ101" s="52">
        <v>99.5</v>
      </c>
      <c r="BR101" s="52">
        <v>4.8</v>
      </c>
      <c r="BS101" s="53">
        <v>406.6</v>
      </c>
      <c r="BT101" s="52">
        <v>78</v>
      </c>
      <c r="BU101" s="52">
        <v>33</v>
      </c>
      <c r="BV101" s="50">
        <v>358.2</v>
      </c>
      <c r="BW101" s="50">
        <v>111.8</v>
      </c>
      <c r="BX101" s="49">
        <v>479</v>
      </c>
      <c r="BY101" s="50">
        <v>61.3</v>
      </c>
      <c r="BZ101" s="50">
        <v>8.9</v>
      </c>
      <c r="CA101" s="49">
        <v>70.2</v>
      </c>
      <c r="CB101" s="52"/>
      <c r="CC101" s="52"/>
      <c r="CD101" s="52"/>
      <c r="CE101" s="52"/>
      <c r="CF101" s="52">
        <v>127.9</v>
      </c>
      <c r="CG101" s="52">
        <v>161.80000000000001</v>
      </c>
      <c r="CH101" s="52">
        <v>39.200000000000003</v>
      </c>
      <c r="CI101" s="52"/>
      <c r="CJ101" s="52"/>
      <c r="CK101" s="52"/>
      <c r="CL101" s="52"/>
      <c r="CM101" s="52"/>
      <c r="CN101" s="52">
        <v>61.5</v>
      </c>
      <c r="CO101" s="52">
        <v>367.6</v>
      </c>
      <c r="CP101" s="52">
        <v>335.8</v>
      </c>
      <c r="CQ101" s="52">
        <v>31.8</v>
      </c>
      <c r="CR101" s="52" t="s">
        <v>264</v>
      </c>
      <c r="CS101" s="52">
        <v>50.8</v>
      </c>
      <c r="CT101" s="52">
        <v>34.9</v>
      </c>
      <c r="CU101" s="52">
        <v>15.9</v>
      </c>
      <c r="CV101" s="52">
        <v>56.099999999999994</v>
      </c>
      <c r="CW101" s="52">
        <v>24.7</v>
      </c>
      <c r="CX101" s="52">
        <v>31.4</v>
      </c>
      <c r="CY101" s="52">
        <v>12.7</v>
      </c>
      <c r="CZ101" s="52">
        <v>118.6</v>
      </c>
      <c r="DA101" s="52">
        <v>45.6</v>
      </c>
      <c r="DB101" s="52">
        <v>45</v>
      </c>
      <c r="DC101" s="52">
        <v>0.6</v>
      </c>
      <c r="DD101" s="52"/>
      <c r="DE101" s="52"/>
      <c r="DF101" s="53"/>
      <c r="DG101" s="53">
        <v>123.4</v>
      </c>
      <c r="DH101" s="53"/>
      <c r="DI101" s="53">
        <v>678.5</v>
      </c>
      <c r="DJ101" s="53">
        <v>218.9</v>
      </c>
      <c r="DK101" s="53">
        <v>550.9</v>
      </c>
      <c r="DL101" s="53"/>
      <c r="DM101" s="53">
        <v>216.1</v>
      </c>
      <c r="DN101" s="53"/>
      <c r="DO101" s="53">
        <v>196.6</v>
      </c>
      <c r="DP101" s="53">
        <v>208.5</v>
      </c>
      <c r="DQ101" s="53"/>
      <c r="DR101" s="53"/>
      <c r="DS101" s="53">
        <v>853.6</v>
      </c>
      <c r="DT101" s="53">
        <v>3323.7</v>
      </c>
      <c r="DU101" s="53">
        <v>-400.59999999999991</v>
      </c>
      <c r="DV101" s="53">
        <v>0</v>
      </c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2"/>
      <c r="FN101" s="52"/>
      <c r="FO101" s="52"/>
      <c r="FP101" s="52"/>
      <c r="FQ101" s="52"/>
      <c r="FR101" s="52"/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2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17"/>
      <c r="GZ101" s="52">
        <v>902.5</v>
      </c>
      <c r="HA101" s="52"/>
      <c r="HB101" s="17"/>
      <c r="HC101" s="17"/>
      <c r="HD101" s="17"/>
      <c r="HE101" s="17"/>
      <c r="HF101" s="52"/>
      <c r="HG101" s="52"/>
      <c r="HH101" s="52"/>
      <c r="HI101" s="52"/>
      <c r="HJ101" s="52"/>
      <c r="HK101" s="52"/>
      <c r="HL101" s="52"/>
      <c r="HM101" s="52"/>
      <c r="HN101" s="52"/>
      <c r="HO101" s="52"/>
      <c r="HP101" s="52"/>
      <c r="HQ101" s="52"/>
      <c r="HR101" s="52"/>
      <c r="HS101" s="52"/>
      <c r="HT101" s="52"/>
      <c r="HU101" s="52"/>
      <c r="HV101" s="52"/>
      <c r="HW101" s="52"/>
      <c r="HX101" s="52"/>
      <c r="HY101" s="52"/>
      <c r="HZ101" s="52"/>
      <c r="IA101" s="52"/>
      <c r="IB101" s="52"/>
      <c r="IC101" s="52"/>
      <c r="ID101" s="52"/>
      <c r="IE101" s="52"/>
      <c r="IF101" s="52"/>
      <c r="IG101" s="52"/>
      <c r="IH101" s="53"/>
      <c r="II101" s="53"/>
      <c r="IJ101" s="53"/>
      <c r="IK101" s="53"/>
      <c r="IL101" s="53"/>
      <c r="IM101" s="52"/>
      <c r="IN101" s="52">
        <v>120.9</v>
      </c>
      <c r="IY101" s="48">
        <f t="shared" si="5"/>
        <v>47.825616030327652</v>
      </c>
      <c r="IZ101" s="48">
        <f>IY101-'NOPA Crush'!J101</f>
        <v>5.5616030327648502E-2</v>
      </c>
      <c r="JB101" s="63">
        <f t="shared" si="3"/>
        <v>10.904413755754129</v>
      </c>
      <c r="JC101" s="64">
        <f>JB101-'NOPA Crush'!O101</f>
        <v>-5.5586244245871441E-2</v>
      </c>
      <c r="JD101" s="65"/>
      <c r="JE101" s="67">
        <f t="shared" si="4"/>
        <v>2050.4</v>
      </c>
      <c r="JF101" s="68">
        <f>'NOPA Crush'!Q101/'Census Crush'!JE101</f>
        <v>0.37702936012485366</v>
      </c>
    </row>
    <row r="102" spans="1:266">
      <c r="A102" s="39">
        <v>32143</v>
      </c>
      <c r="B102" s="49">
        <v>3202.3</v>
      </c>
      <c r="C102" s="50">
        <v>4254.8999999999996</v>
      </c>
      <c r="D102" s="50">
        <v>373.4</v>
      </c>
      <c r="E102" s="50">
        <v>2250.1999999999998</v>
      </c>
      <c r="F102" s="50">
        <v>17.3</v>
      </c>
      <c r="G102" s="50">
        <v>87.8</v>
      </c>
      <c r="H102" s="50" t="s">
        <v>264</v>
      </c>
      <c r="I102" s="50" t="s">
        <v>264</v>
      </c>
      <c r="J102" s="50" t="s">
        <v>264</v>
      </c>
      <c r="K102" s="49">
        <v>1170.2</v>
      </c>
      <c r="L102" s="49">
        <v>2390.9</v>
      </c>
      <c r="M102" s="49">
        <v>2100.6</v>
      </c>
      <c r="N102" s="49">
        <v>290.3</v>
      </c>
      <c r="O102" s="50">
        <v>125.7</v>
      </c>
      <c r="P102" s="51">
        <v>209.9</v>
      </c>
      <c r="Q102" s="49">
        <v>99</v>
      </c>
      <c r="R102" s="49">
        <v>110.9</v>
      </c>
      <c r="S102" s="49"/>
      <c r="T102" s="49">
        <v>13.8</v>
      </c>
      <c r="U102" s="51">
        <v>20.200000000000003</v>
      </c>
      <c r="V102" s="49">
        <v>11.8</v>
      </c>
      <c r="W102" s="49">
        <v>8.4</v>
      </c>
      <c r="X102" s="49">
        <v>71.3</v>
      </c>
      <c r="Y102" s="49">
        <v>10.9</v>
      </c>
      <c r="Z102" s="49">
        <v>170.6</v>
      </c>
      <c r="AA102" s="49">
        <v>167.5</v>
      </c>
      <c r="AB102" s="49">
        <v>3.1</v>
      </c>
      <c r="AC102" s="49" t="s">
        <v>264</v>
      </c>
      <c r="AD102" s="49" t="s">
        <v>264</v>
      </c>
      <c r="AE102" s="49"/>
      <c r="AF102" s="51"/>
      <c r="AG102" s="50" t="s">
        <v>264</v>
      </c>
      <c r="AH102" s="50" t="s">
        <v>264</v>
      </c>
      <c r="AI102" s="49">
        <v>107.1</v>
      </c>
      <c r="AJ102" s="49"/>
      <c r="AK102" s="49"/>
      <c r="AL102" s="51">
        <v>119.60000000000001</v>
      </c>
      <c r="AM102" s="49">
        <v>81.900000000000006</v>
      </c>
      <c r="AN102" s="49">
        <v>37.700000000000003</v>
      </c>
      <c r="AO102" s="49">
        <v>2434.1999999999998</v>
      </c>
      <c r="AP102" s="49">
        <v>343.3</v>
      </c>
      <c r="AQ102" s="49">
        <v>120.2</v>
      </c>
      <c r="AR102" s="49">
        <v>47.1</v>
      </c>
      <c r="AS102" s="50">
        <v>169.4</v>
      </c>
      <c r="AT102" s="50">
        <v>53.2</v>
      </c>
      <c r="AU102" s="50">
        <v>92</v>
      </c>
      <c r="AV102" s="50">
        <v>63.4</v>
      </c>
      <c r="AW102" s="50">
        <v>10.199999999999999</v>
      </c>
      <c r="AX102" s="50" t="s">
        <v>264</v>
      </c>
      <c r="AY102" s="50">
        <v>41.8</v>
      </c>
      <c r="AZ102" s="50">
        <v>3.4</v>
      </c>
      <c r="BA102" s="50" t="s">
        <v>264</v>
      </c>
      <c r="BB102" s="50" t="s">
        <v>264</v>
      </c>
      <c r="BC102" s="50"/>
      <c r="BD102" s="52">
        <v>106.3</v>
      </c>
      <c r="BE102" s="52">
        <v>51.6</v>
      </c>
      <c r="BF102" s="52"/>
      <c r="BG102" s="52"/>
      <c r="BH102" s="52">
        <v>344.4</v>
      </c>
      <c r="BI102" s="52"/>
      <c r="BJ102" s="52"/>
      <c r="BK102" s="52">
        <v>148.30000000000001</v>
      </c>
      <c r="BL102" s="52">
        <v>6.5</v>
      </c>
      <c r="BM102" s="52">
        <v>499.2</v>
      </c>
      <c r="BN102" s="52">
        <v>324.60000000000002</v>
      </c>
      <c r="BO102" s="52"/>
      <c r="BP102" s="52"/>
      <c r="BQ102" s="52">
        <v>79.8</v>
      </c>
      <c r="BR102" s="52">
        <v>5.0999999999999996</v>
      </c>
      <c r="BS102" s="53">
        <v>409.50000000000006</v>
      </c>
      <c r="BT102" s="52">
        <v>73</v>
      </c>
      <c r="BU102" s="52">
        <v>37.200000000000003</v>
      </c>
      <c r="BV102" s="50">
        <v>337.4</v>
      </c>
      <c r="BW102" s="50">
        <v>112.7</v>
      </c>
      <c r="BX102" s="49">
        <v>458.5</v>
      </c>
      <c r="BY102" s="50">
        <v>63</v>
      </c>
      <c r="BZ102" s="50">
        <v>10.4</v>
      </c>
      <c r="CA102" s="49">
        <v>73.400000000000006</v>
      </c>
      <c r="CB102" s="52"/>
      <c r="CC102" s="52"/>
      <c r="CD102" s="52"/>
      <c r="CE102" s="52"/>
      <c r="CF102" s="52">
        <v>121.7</v>
      </c>
      <c r="CG102" s="52">
        <v>148.30000000000001</v>
      </c>
      <c r="CH102" s="52">
        <v>30.1</v>
      </c>
      <c r="CI102" s="52"/>
      <c r="CJ102" s="52"/>
      <c r="CK102" s="52"/>
      <c r="CL102" s="52"/>
      <c r="CM102" s="52"/>
      <c r="CN102" s="52">
        <v>57.3</v>
      </c>
      <c r="CO102" s="52">
        <v>358.8</v>
      </c>
      <c r="CP102" s="52">
        <v>329.5</v>
      </c>
      <c r="CQ102" s="52">
        <v>29.3</v>
      </c>
      <c r="CR102" s="52" t="s">
        <v>264</v>
      </c>
      <c r="CS102" s="52">
        <v>56</v>
      </c>
      <c r="CT102" s="52">
        <v>41.1</v>
      </c>
      <c r="CU102" s="52">
        <v>14.9</v>
      </c>
      <c r="CV102" s="52">
        <v>49.400000000000006</v>
      </c>
      <c r="CW102" s="52">
        <v>17.600000000000001</v>
      </c>
      <c r="CX102" s="52">
        <v>31.8</v>
      </c>
      <c r="CY102" s="52">
        <v>9.1</v>
      </c>
      <c r="CZ102" s="52">
        <v>118.6</v>
      </c>
      <c r="DA102" s="52">
        <v>50.300000000000004</v>
      </c>
      <c r="DB102" s="52">
        <v>49.7</v>
      </c>
      <c r="DC102" s="52">
        <v>0.6</v>
      </c>
      <c r="DD102" s="52"/>
      <c r="DE102" s="52"/>
      <c r="DF102" s="53"/>
      <c r="DG102" s="53">
        <v>130</v>
      </c>
      <c r="DH102" s="53"/>
      <c r="DI102" s="53">
        <v>629.4</v>
      </c>
      <c r="DJ102" s="53">
        <v>215.1</v>
      </c>
      <c r="DK102" s="53">
        <v>521.1</v>
      </c>
      <c r="DL102" s="53"/>
      <c r="DM102" s="53">
        <v>221.5</v>
      </c>
      <c r="DN102" s="53"/>
      <c r="DO102" s="53">
        <v>185.4</v>
      </c>
      <c r="DP102" s="53">
        <v>204.6</v>
      </c>
      <c r="DQ102" s="53"/>
      <c r="DR102" s="53"/>
      <c r="DS102" s="53">
        <v>820</v>
      </c>
      <c r="DT102" s="53">
        <v>3202.3</v>
      </c>
      <c r="DU102" s="53">
        <v>-405.20000000000027</v>
      </c>
      <c r="DV102" s="53">
        <v>0</v>
      </c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  <c r="FB102" s="52"/>
      <c r="FC102" s="52"/>
      <c r="FD102" s="52"/>
      <c r="FE102" s="52"/>
      <c r="FF102" s="52"/>
      <c r="FG102" s="52"/>
      <c r="FH102" s="52"/>
      <c r="FI102" s="52"/>
      <c r="FJ102" s="52"/>
      <c r="FK102" s="52"/>
      <c r="FL102" s="52"/>
      <c r="FM102" s="52"/>
      <c r="FN102" s="52"/>
      <c r="FO102" s="52"/>
      <c r="FP102" s="52"/>
      <c r="FQ102" s="52"/>
      <c r="FR102" s="52"/>
      <c r="FS102" s="52"/>
      <c r="FT102" s="52"/>
      <c r="FU102" s="52"/>
      <c r="FV102" s="52"/>
      <c r="FW102" s="52"/>
      <c r="FX102" s="52"/>
      <c r="FY102" s="52"/>
      <c r="FZ102" s="52"/>
      <c r="GA102" s="52"/>
      <c r="GB102" s="52"/>
      <c r="GC102" s="52"/>
      <c r="GD102" s="52"/>
      <c r="GE102" s="52"/>
      <c r="GF102" s="52"/>
      <c r="GG102" s="52"/>
      <c r="GH102" s="52"/>
      <c r="GI102" s="52"/>
      <c r="GJ102" s="52"/>
      <c r="GK102" s="52"/>
      <c r="GL102" s="52"/>
      <c r="GM102" s="52"/>
      <c r="GN102" s="52"/>
      <c r="GO102" s="52"/>
      <c r="GP102" s="52"/>
      <c r="GQ102" s="52"/>
      <c r="GR102" s="52"/>
      <c r="GS102" s="52"/>
      <c r="GT102" s="52"/>
      <c r="GU102" s="52"/>
      <c r="GV102" s="52"/>
      <c r="GW102" s="52"/>
      <c r="GX102" s="52"/>
      <c r="GY102" s="17"/>
      <c r="GZ102" s="52">
        <v>880.3</v>
      </c>
      <c r="HA102" s="52"/>
      <c r="HB102" s="17"/>
      <c r="HC102" s="17"/>
      <c r="HD102" s="17"/>
      <c r="HE102" s="17"/>
      <c r="HF102" s="52"/>
      <c r="HG102" s="52"/>
      <c r="HH102" s="52"/>
      <c r="HI102" s="52"/>
      <c r="HJ102" s="52"/>
      <c r="HK102" s="52"/>
      <c r="HL102" s="52"/>
      <c r="HM102" s="52"/>
      <c r="HN102" s="52"/>
      <c r="HO102" s="52"/>
      <c r="HP102" s="52"/>
      <c r="HQ102" s="52"/>
      <c r="HR102" s="52"/>
      <c r="HS102" s="52"/>
      <c r="HT102" s="52"/>
      <c r="HU102" s="52"/>
      <c r="HV102" s="52"/>
      <c r="HW102" s="52"/>
      <c r="HX102" s="52"/>
      <c r="HY102" s="52"/>
      <c r="HZ102" s="52"/>
      <c r="IA102" s="52"/>
      <c r="IB102" s="52"/>
      <c r="IC102" s="52"/>
      <c r="ID102" s="52"/>
      <c r="IE102" s="52"/>
      <c r="IF102" s="52"/>
      <c r="IG102" s="52"/>
      <c r="IH102" s="53"/>
      <c r="II102" s="53"/>
      <c r="IJ102" s="53"/>
      <c r="IK102" s="53"/>
      <c r="IL102" s="53"/>
      <c r="IM102" s="52"/>
      <c r="IN102" s="52">
        <v>119.9</v>
      </c>
      <c r="IY102" s="48">
        <f t="shared" si="5"/>
        <v>47.860600193610836</v>
      </c>
      <c r="IZ102" s="48">
        <f>IY102-'NOPA Crush'!J102</f>
        <v>0.22060019361083505</v>
      </c>
      <c r="JB102" s="63">
        <f t="shared" si="3"/>
        <v>10.962745526652718</v>
      </c>
      <c r="JC102" s="64">
        <f>JB102-'NOPA Crush'!O102</f>
        <v>-6.7254473347281518E-2</v>
      </c>
      <c r="JD102" s="65"/>
      <c r="JE102" s="67">
        <f t="shared" si="4"/>
        <v>2390.9</v>
      </c>
      <c r="JF102" s="68">
        <f>'NOPA Crush'!Q102/'Census Crush'!JE102</f>
        <v>0.37791626584131494</v>
      </c>
    </row>
    <row r="103" spans="1:266">
      <c r="A103" s="39">
        <v>32174</v>
      </c>
      <c r="B103" s="49">
        <v>2994.4</v>
      </c>
      <c r="C103" s="50">
        <v>4177.6000000000004</v>
      </c>
      <c r="D103" s="50">
        <v>352.2</v>
      </c>
      <c r="E103" s="50">
        <v>1948.8</v>
      </c>
      <c r="F103" s="50">
        <v>18.3</v>
      </c>
      <c r="G103" s="50">
        <v>102.8</v>
      </c>
      <c r="H103" s="50" t="s">
        <v>264</v>
      </c>
      <c r="I103" s="50" t="s">
        <v>264</v>
      </c>
      <c r="J103" s="50" t="s">
        <v>264</v>
      </c>
      <c r="K103" s="49">
        <v>1091.8</v>
      </c>
      <c r="L103" s="49">
        <v>2239</v>
      </c>
      <c r="M103" s="49">
        <v>1958.9</v>
      </c>
      <c r="N103" s="49">
        <v>280.10000000000002</v>
      </c>
      <c r="O103" s="50">
        <v>115.8</v>
      </c>
      <c r="P103" s="51">
        <v>197.6</v>
      </c>
      <c r="Q103" s="49">
        <v>92.3</v>
      </c>
      <c r="R103" s="49">
        <v>105.3</v>
      </c>
      <c r="S103" s="49"/>
      <c r="T103" s="49">
        <v>14.9</v>
      </c>
      <c r="U103" s="51">
        <v>23.3</v>
      </c>
      <c r="V103" s="49">
        <v>18.8</v>
      </c>
      <c r="W103" s="49">
        <v>4.5</v>
      </c>
      <c r="X103" s="49">
        <v>87.3</v>
      </c>
      <c r="Y103" s="49">
        <v>7.8</v>
      </c>
      <c r="Z103" s="49">
        <v>155.6</v>
      </c>
      <c r="AA103" s="49">
        <v>137.5</v>
      </c>
      <c r="AB103" s="49">
        <v>18.100000000000001</v>
      </c>
      <c r="AC103" s="49" t="s">
        <v>264</v>
      </c>
      <c r="AD103" s="49" t="s">
        <v>264</v>
      </c>
      <c r="AE103" s="49"/>
      <c r="AF103" s="51"/>
      <c r="AG103" s="50" t="s">
        <v>264</v>
      </c>
      <c r="AH103" s="50" t="s">
        <v>264</v>
      </c>
      <c r="AI103" s="49">
        <v>110.2</v>
      </c>
      <c r="AJ103" s="49"/>
      <c r="AK103" s="49"/>
      <c r="AL103" s="51">
        <v>128.30000000000001</v>
      </c>
      <c r="AM103" s="49">
        <v>82.3</v>
      </c>
      <c r="AN103" s="49">
        <v>46</v>
      </c>
      <c r="AO103" s="49">
        <v>2260</v>
      </c>
      <c r="AP103" s="49">
        <v>266</v>
      </c>
      <c r="AQ103" s="49">
        <v>117.5</v>
      </c>
      <c r="AR103" s="49">
        <v>38.9</v>
      </c>
      <c r="AS103" s="50">
        <v>160.19999999999999</v>
      </c>
      <c r="AT103" s="50">
        <v>65.3</v>
      </c>
      <c r="AU103" s="50">
        <v>90</v>
      </c>
      <c r="AV103" s="50">
        <v>70.599999999999994</v>
      </c>
      <c r="AW103" s="50">
        <v>10.9</v>
      </c>
      <c r="AX103" s="50">
        <v>3.6</v>
      </c>
      <c r="AY103" s="50">
        <v>48</v>
      </c>
      <c r="AZ103" s="50" t="s">
        <v>264</v>
      </c>
      <c r="BA103" s="50" t="s">
        <v>264</v>
      </c>
      <c r="BB103" s="50" t="s">
        <v>264</v>
      </c>
      <c r="BC103" s="50"/>
      <c r="BD103" s="52">
        <v>108.2</v>
      </c>
      <c r="BE103" s="52">
        <v>43.3</v>
      </c>
      <c r="BF103" s="52"/>
      <c r="BG103" s="52"/>
      <c r="BH103" s="52">
        <v>318.3</v>
      </c>
      <c r="BI103" s="52"/>
      <c r="BJ103" s="52"/>
      <c r="BK103" s="52">
        <v>145.30000000000001</v>
      </c>
      <c r="BL103" s="52">
        <v>8.6999999999999993</v>
      </c>
      <c r="BM103" s="52">
        <v>472.3</v>
      </c>
      <c r="BN103" s="52">
        <v>333</v>
      </c>
      <c r="BO103" s="52"/>
      <c r="BP103" s="52"/>
      <c r="BQ103" s="52">
        <v>68.599999999999994</v>
      </c>
      <c r="BR103" s="52">
        <v>4.8</v>
      </c>
      <c r="BS103" s="53">
        <v>406.40000000000003</v>
      </c>
      <c r="BT103" s="52">
        <v>73</v>
      </c>
      <c r="BU103" s="52">
        <v>33.799999999999997</v>
      </c>
      <c r="BV103" s="50">
        <v>322.3</v>
      </c>
      <c r="BW103" s="50">
        <v>115.2</v>
      </c>
      <c r="BX103" s="49">
        <v>447.4</v>
      </c>
      <c r="BY103" s="50">
        <v>49.9</v>
      </c>
      <c r="BZ103" s="50">
        <v>11.1</v>
      </c>
      <c r="CA103" s="49">
        <v>61</v>
      </c>
      <c r="CB103" s="52"/>
      <c r="CC103" s="52"/>
      <c r="CD103" s="52"/>
      <c r="CE103" s="52"/>
      <c r="CF103" s="52">
        <v>126.3</v>
      </c>
      <c r="CG103" s="52">
        <v>159.1</v>
      </c>
      <c r="CH103" s="52">
        <v>27.9</v>
      </c>
      <c r="CI103" s="52"/>
      <c r="CJ103" s="52"/>
      <c r="CK103" s="52"/>
      <c r="CL103" s="52"/>
      <c r="CM103" s="52"/>
      <c r="CN103" s="52">
        <v>56.1</v>
      </c>
      <c r="CO103" s="52">
        <v>370.70000000000005</v>
      </c>
      <c r="CP103" s="52">
        <v>344.1</v>
      </c>
      <c r="CQ103" s="52">
        <v>26.6</v>
      </c>
      <c r="CR103" s="52" t="s">
        <v>264</v>
      </c>
      <c r="CS103" s="52">
        <v>39</v>
      </c>
      <c r="CT103" s="52">
        <v>27.6</v>
      </c>
      <c r="CU103" s="52">
        <v>11.4</v>
      </c>
      <c r="CV103" s="52">
        <v>52</v>
      </c>
      <c r="CW103" s="52">
        <v>15.6</v>
      </c>
      <c r="CX103" s="52">
        <v>36.4</v>
      </c>
      <c r="CY103" s="52">
        <v>8.4</v>
      </c>
      <c r="CZ103" s="52">
        <v>127.7</v>
      </c>
      <c r="DA103" s="52">
        <v>45.6</v>
      </c>
      <c r="DB103" s="52">
        <v>44.5</v>
      </c>
      <c r="DC103" s="52">
        <v>1.1000000000000001</v>
      </c>
      <c r="DD103" s="52"/>
      <c r="DE103" s="52"/>
      <c r="DF103" s="53"/>
      <c r="DG103" s="53">
        <v>112.2</v>
      </c>
      <c r="DH103" s="53"/>
      <c r="DI103" s="53">
        <v>617.1</v>
      </c>
      <c r="DJ103" s="53">
        <v>192.8</v>
      </c>
      <c r="DK103" s="53">
        <v>463.9</v>
      </c>
      <c r="DL103" s="53"/>
      <c r="DM103" s="53">
        <v>203.8</v>
      </c>
      <c r="DN103" s="53"/>
      <c r="DO103" s="53">
        <v>171.6</v>
      </c>
      <c r="DP103" s="53">
        <v>191.5</v>
      </c>
      <c r="DQ103" s="53"/>
      <c r="DR103" s="53"/>
      <c r="DS103" s="53">
        <v>780.6</v>
      </c>
      <c r="DT103" s="53">
        <v>2994.4</v>
      </c>
      <c r="DU103" s="53">
        <v>-373.09999999999991</v>
      </c>
      <c r="DV103" s="53">
        <v>0</v>
      </c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2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17"/>
      <c r="GZ103" s="52">
        <v>843.4</v>
      </c>
      <c r="HA103" s="52"/>
      <c r="HB103" s="17"/>
      <c r="HC103" s="17"/>
      <c r="HD103" s="17"/>
      <c r="HE103" s="17"/>
      <c r="HF103" s="52"/>
      <c r="HG103" s="52"/>
      <c r="HH103" s="52"/>
      <c r="HI103" s="52"/>
      <c r="HJ103" s="52"/>
      <c r="HK103" s="52"/>
      <c r="HL103" s="52"/>
      <c r="HM103" s="52"/>
      <c r="HN103" s="52"/>
      <c r="HO103" s="52"/>
      <c r="HP103" s="52"/>
      <c r="HQ103" s="52"/>
      <c r="HR103" s="52"/>
      <c r="HS103" s="52"/>
      <c r="HT103" s="52"/>
      <c r="HU103" s="52"/>
      <c r="HV103" s="52"/>
      <c r="HW103" s="52"/>
      <c r="HX103" s="52"/>
      <c r="HY103" s="52"/>
      <c r="HZ103" s="52"/>
      <c r="IA103" s="52"/>
      <c r="IB103" s="52"/>
      <c r="IC103" s="52"/>
      <c r="ID103" s="52"/>
      <c r="IE103" s="52"/>
      <c r="IF103" s="52"/>
      <c r="IG103" s="52"/>
      <c r="IH103" s="53"/>
      <c r="II103" s="53"/>
      <c r="IJ103" s="53"/>
      <c r="IK103" s="53"/>
      <c r="IL103" s="53"/>
      <c r="IM103" s="52"/>
      <c r="IN103" s="52">
        <v>117.8</v>
      </c>
      <c r="IY103" s="48">
        <f t="shared" si="5"/>
        <v>47.638925995191023</v>
      </c>
      <c r="IZ103" s="48">
        <f>IY103-'NOPA Crush'!J103</f>
        <v>-8.1074004808975531E-2</v>
      </c>
      <c r="JB103" s="63">
        <f t="shared" si="3"/>
        <v>10.938418380977826</v>
      </c>
      <c r="JC103" s="64">
        <f>JB103-'NOPA Crush'!O103</f>
        <v>-0.111581619022175</v>
      </c>
      <c r="JD103" s="65"/>
      <c r="JE103" s="67">
        <f t="shared" si="4"/>
        <v>2239</v>
      </c>
      <c r="JF103" s="68">
        <f>'NOPA Crush'!Q103/'Census Crush'!JE103</f>
        <v>0.41011210361768646</v>
      </c>
    </row>
    <row r="104" spans="1:266">
      <c r="A104" s="39">
        <v>32203</v>
      </c>
      <c r="B104" s="49">
        <v>3229.3</v>
      </c>
      <c r="C104" s="50">
        <v>4012.9</v>
      </c>
      <c r="D104" s="50">
        <v>340.1</v>
      </c>
      <c r="E104" s="50">
        <v>1619.8</v>
      </c>
      <c r="F104" s="50">
        <v>12.5</v>
      </c>
      <c r="G104" s="50">
        <v>122.4</v>
      </c>
      <c r="H104" s="50">
        <v>30.7</v>
      </c>
      <c r="I104" s="50" t="s">
        <v>264</v>
      </c>
      <c r="J104" s="50" t="s">
        <v>264</v>
      </c>
      <c r="K104" s="49">
        <v>1186.9000000000001</v>
      </c>
      <c r="L104" s="49">
        <v>2342.6999999999998</v>
      </c>
      <c r="M104" s="49">
        <v>2068.1</v>
      </c>
      <c r="N104" s="49">
        <v>274.60000000000002</v>
      </c>
      <c r="O104" s="50">
        <v>113.2</v>
      </c>
      <c r="P104" s="51">
        <v>184.7</v>
      </c>
      <c r="Q104" s="49">
        <v>75.7</v>
      </c>
      <c r="R104" s="49">
        <v>109</v>
      </c>
      <c r="S104" s="49"/>
      <c r="T104" s="49">
        <v>10.1</v>
      </c>
      <c r="U104" s="51">
        <v>22.099999999999998</v>
      </c>
      <c r="V104" s="49">
        <v>18.399999999999999</v>
      </c>
      <c r="W104" s="49">
        <v>3.7</v>
      </c>
      <c r="X104" s="49">
        <v>106.6</v>
      </c>
      <c r="Y104" s="49">
        <v>9.3000000000000007</v>
      </c>
      <c r="Z104" s="49">
        <v>193.89999999999998</v>
      </c>
      <c r="AA104" s="49">
        <v>188.7</v>
      </c>
      <c r="AB104" s="49">
        <v>5.2</v>
      </c>
      <c r="AC104" s="49" t="s">
        <v>264</v>
      </c>
      <c r="AD104" s="49" t="s">
        <v>264</v>
      </c>
      <c r="AE104" s="49"/>
      <c r="AF104" s="51"/>
      <c r="AG104" s="50" t="s">
        <v>264</v>
      </c>
      <c r="AH104" s="50" t="s">
        <v>264</v>
      </c>
      <c r="AI104" s="49">
        <v>113.4</v>
      </c>
      <c r="AJ104" s="49"/>
      <c r="AK104" s="49"/>
      <c r="AL104" s="51">
        <v>106.5</v>
      </c>
      <c r="AM104" s="49">
        <v>69.5</v>
      </c>
      <c r="AN104" s="49">
        <v>37</v>
      </c>
      <c r="AO104" s="49">
        <v>2453.9</v>
      </c>
      <c r="AP104" s="49">
        <v>207.1</v>
      </c>
      <c r="AQ104" s="49">
        <v>119</v>
      </c>
      <c r="AR104" s="49">
        <v>36.6</v>
      </c>
      <c r="AS104" s="50">
        <v>155.69999999999999</v>
      </c>
      <c r="AT104" s="50">
        <v>60.4</v>
      </c>
      <c r="AU104" s="50">
        <v>86.4</v>
      </c>
      <c r="AV104" s="50">
        <v>70.2</v>
      </c>
      <c r="AW104" s="50">
        <v>7.2</v>
      </c>
      <c r="AX104" s="50">
        <v>7.9</v>
      </c>
      <c r="AY104" s="50">
        <v>58</v>
      </c>
      <c r="AZ104" s="50" t="s">
        <v>264</v>
      </c>
      <c r="BA104" s="50" t="s">
        <v>264</v>
      </c>
      <c r="BB104" s="50" t="s">
        <v>264</v>
      </c>
      <c r="BC104" s="50"/>
      <c r="BD104" s="52">
        <v>122.2</v>
      </c>
      <c r="BE104" s="52">
        <v>41.5</v>
      </c>
      <c r="BF104" s="52"/>
      <c r="BG104" s="52"/>
      <c r="BH104" s="52">
        <v>356.6</v>
      </c>
      <c r="BI104" s="52"/>
      <c r="BJ104" s="52"/>
      <c r="BK104" s="52">
        <v>168.1</v>
      </c>
      <c r="BL104" s="52">
        <v>6.1</v>
      </c>
      <c r="BM104" s="52">
        <v>530.9</v>
      </c>
      <c r="BN104" s="52">
        <v>344.3</v>
      </c>
      <c r="BO104" s="52"/>
      <c r="BP104" s="52"/>
      <c r="BQ104" s="52">
        <v>78.3</v>
      </c>
      <c r="BR104" s="52">
        <v>5.0999999999999996</v>
      </c>
      <c r="BS104" s="53">
        <v>427.70000000000005</v>
      </c>
      <c r="BT104" s="52">
        <v>83</v>
      </c>
      <c r="BU104" s="52">
        <v>37.1</v>
      </c>
      <c r="BV104" s="50">
        <v>338.5</v>
      </c>
      <c r="BW104" s="50">
        <v>115.9</v>
      </c>
      <c r="BX104" s="49">
        <v>463</v>
      </c>
      <c r="BY104" s="50">
        <v>48.1</v>
      </c>
      <c r="BZ104" s="50">
        <v>11.3</v>
      </c>
      <c r="CA104" s="49">
        <v>59.400000000000006</v>
      </c>
      <c r="CB104" s="52"/>
      <c r="CC104" s="52"/>
      <c r="CD104" s="52"/>
      <c r="CE104" s="52"/>
      <c r="CF104" s="52">
        <v>141.30000000000001</v>
      </c>
      <c r="CG104" s="52">
        <v>165.4</v>
      </c>
      <c r="CH104" s="52">
        <v>28.1</v>
      </c>
      <c r="CI104" s="52"/>
      <c r="CJ104" s="52"/>
      <c r="CK104" s="52"/>
      <c r="CL104" s="52"/>
      <c r="CM104" s="52"/>
      <c r="CN104" s="52">
        <v>51.7</v>
      </c>
      <c r="CO104" s="52">
        <v>371.59999999999997</v>
      </c>
      <c r="CP104" s="52">
        <v>345.7</v>
      </c>
      <c r="CQ104" s="52">
        <v>25.9</v>
      </c>
      <c r="CR104" s="52" t="s">
        <v>264</v>
      </c>
      <c r="CS104" s="52">
        <v>35.5</v>
      </c>
      <c r="CT104" s="52">
        <v>22.7</v>
      </c>
      <c r="CU104" s="52">
        <v>12.8</v>
      </c>
      <c r="CV104" s="52">
        <v>61.7</v>
      </c>
      <c r="CW104" s="52">
        <v>20.100000000000001</v>
      </c>
      <c r="CX104" s="52">
        <v>41.6</v>
      </c>
      <c r="CY104" s="52">
        <v>16.100000000000001</v>
      </c>
      <c r="CZ104" s="52">
        <v>112.2</v>
      </c>
      <c r="DA104" s="52">
        <v>48</v>
      </c>
      <c r="DB104" s="52">
        <v>46.4</v>
      </c>
      <c r="DC104" s="52">
        <v>1.6</v>
      </c>
      <c r="DD104" s="52"/>
      <c r="DE104" s="52"/>
      <c r="DF104" s="53"/>
      <c r="DG104" s="53">
        <v>121.3</v>
      </c>
      <c r="DH104" s="53"/>
      <c r="DI104" s="53">
        <v>672.8</v>
      </c>
      <c r="DJ104" s="53">
        <v>213.4</v>
      </c>
      <c r="DK104" s="53">
        <v>494.2</v>
      </c>
      <c r="DL104" s="53"/>
      <c r="DM104" s="53">
        <v>213.7</v>
      </c>
      <c r="DN104" s="53"/>
      <c r="DO104" s="53">
        <v>188.2</v>
      </c>
      <c r="DP104" s="53">
        <v>204.8</v>
      </c>
      <c r="DQ104" s="53"/>
      <c r="DR104" s="53"/>
      <c r="DS104" s="53">
        <v>846.7</v>
      </c>
      <c r="DT104" s="53">
        <v>3229.3</v>
      </c>
      <c r="DU104" s="53">
        <v>-395.5</v>
      </c>
      <c r="DV104" s="53">
        <v>0</v>
      </c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17"/>
      <c r="GZ104" s="52">
        <v>925.6</v>
      </c>
      <c r="HA104" s="52"/>
      <c r="HB104" s="17"/>
      <c r="HC104" s="17"/>
      <c r="HD104" s="17"/>
      <c r="HE104" s="17"/>
      <c r="HF104" s="52"/>
      <c r="HG104" s="52"/>
      <c r="HH104" s="52"/>
      <c r="HI104" s="52"/>
      <c r="HJ104" s="52"/>
      <c r="HK104" s="52"/>
      <c r="HL104" s="52"/>
      <c r="HM104" s="52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2"/>
      <c r="HY104" s="52"/>
      <c r="HZ104" s="52"/>
      <c r="IA104" s="52"/>
      <c r="IB104" s="52"/>
      <c r="IC104" s="52"/>
      <c r="ID104" s="52"/>
      <c r="IE104" s="52"/>
      <c r="IF104" s="52"/>
      <c r="IG104" s="52"/>
      <c r="IH104" s="53"/>
      <c r="II104" s="53"/>
      <c r="IJ104" s="53"/>
      <c r="IK104" s="53"/>
      <c r="IL104" s="53"/>
      <c r="IM104" s="52"/>
      <c r="IN104" s="52">
        <v>132.6</v>
      </c>
      <c r="IY104" s="48">
        <f t="shared" si="5"/>
        <v>47.8041680859629</v>
      </c>
      <c r="IZ104" s="48">
        <f>IY104-'NOPA Crush'!J104</f>
        <v>1.4168085962900534E-2</v>
      </c>
      <c r="JB104" s="63">
        <f t="shared" si="3"/>
        <v>11.026228594432229</v>
      </c>
      <c r="JC104" s="64">
        <f>JB104-'NOPA Crush'!O104</f>
        <v>-5.3771405567770714E-2</v>
      </c>
      <c r="JD104" s="65"/>
      <c r="JE104" s="67">
        <f t="shared" si="4"/>
        <v>2342.6999999999998</v>
      </c>
      <c r="JF104" s="68">
        <f>'NOPA Crush'!Q104/'Census Crush'!JE104</f>
        <v>0.37682417723139966</v>
      </c>
    </row>
    <row r="105" spans="1:266">
      <c r="A105" s="39">
        <v>32234</v>
      </c>
      <c r="B105" s="49">
        <v>3078.2</v>
      </c>
      <c r="C105" s="50">
        <v>3418.4</v>
      </c>
      <c r="D105" s="50">
        <v>310.7</v>
      </c>
      <c r="E105" s="50">
        <v>1278</v>
      </c>
      <c r="F105" s="50">
        <v>10.6</v>
      </c>
      <c r="G105" s="50">
        <v>95.5</v>
      </c>
      <c r="H105" s="50" t="s">
        <v>264</v>
      </c>
      <c r="I105" s="50" t="s">
        <v>264</v>
      </c>
      <c r="J105" s="50" t="s">
        <v>264</v>
      </c>
      <c r="K105" s="49">
        <v>1132.7</v>
      </c>
      <c r="L105" s="49">
        <v>2385.1999999999998</v>
      </c>
      <c r="M105" s="49">
        <v>2092.6999999999998</v>
      </c>
      <c r="N105" s="49">
        <v>292.5</v>
      </c>
      <c r="O105" s="50">
        <v>104.4</v>
      </c>
      <c r="P105" s="51">
        <v>177.2</v>
      </c>
      <c r="Q105" s="49">
        <v>72.8</v>
      </c>
      <c r="R105" s="49">
        <v>104.4</v>
      </c>
      <c r="S105" s="49"/>
      <c r="T105" s="49">
        <v>8.3000000000000007</v>
      </c>
      <c r="U105" s="51">
        <v>18.8</v>
      </c>
      <c r="V105" s="49">
        <v>14.6</v>
      </c>
      <c r="W105" s="49">
        <v>4.2</v>
      </c>
      <c r="X105" s="49">
        <v>79.5</v>
      </c>
      <c r="Y105" s="49">
        <v>7.7</v>
      </c>
      <c r="Z105" s="49">
        <v>157.4</v>
      </c>
      <c r="AA105" s="49">
        <v>154.30000000000001</v>
      </c>
      <c r="AB105" s="49">
        <v>3.1</v>
      </c>
      <c r="AC105" s="49" t="s">
        <v>264</v>
      </c>
      <c r="AD105" s="49" t="s">
        <v>264</v>
      </c>
      <c r="AE105" s="49"/>
      <c r="AF105" s="51"/>
      <c r="AG105" s="50" t="s">
        <v>264</v>
      </c>
      <c r="AH105" s="50" t="s">
        <v>264</v>
      </c>
      <c r="AI105" s="49">
        <v>117.3</v>
      </c>
      <c r="AJ105" s="49"/>
      <c r="AK105" s="49"/>
      <c r="AL105" s="51">
        <v>107.9</v>
      </c>
      <c r="AM105" s="49">
        <v>72.2</v>
      </c>
      <c r="AN105" s="49">
        <v>35.700000000000003</v>
      </c>
      <c r="AO105" s="49">
        <v>2327.8000000000002</v>
      </c>
      <c r="AP105" s="49">
        <v>266.8</v>
      </c>
      <c r="AQ105" s="49">
        <v>122</v>
      </c>
      <c r="AR105" s="49">
        <v>32.700000000000003</v>
      </c>
      <c r="AS105" s="50">
        <v>144</v>
      </c>
      <c r="AT105" s="50">
        <v>82.9</v>
      </c>
      <c r="AU105" s="50">
        <v>81.3</v>
      </c>
      <c r="AV105" s="50">
        <v>80.5</v>
      </c>
      <c r="AW105" s="50">
        <v>6.1</v>
      </c>
      <c r="AX105" s="50">
        <v>4.0999999999999996</v>
      </c>
      <c r="AY105" s="50">
        <v>45</v>
      </c>
      <c r="AZ105" s="50">
        <v>17.8</v>
      </c>
      <c r="BA105" s="50" t="s">
        <v>264</v>
      </c>
      <c r="BB105" s="50" t="s">
        <v>264</v>
      </c>
      <c r="BC105" s="50"/>
      <c r="BD105" s="52">
        <v>105.4</v>
      </c>
      <c r="BE105" s="52">
        <v>44</v>
      </c>
      <c r="BF105" s="52"/>
      <c r="BG105" s="52"/>
      <c r="BH105" s="52">
        <v>315</v>
      </c>
      <c r="BI105" s="52"/>
      <c r="BJ105" s="52"/>
      <c r="BK105" s="52">
        <v>163.1</v>
      </c>
      <c r="BL105" s="52">
        <v>6.1</v>
      </c>
      <c r="BM105" s="52">
        <v>484.1</v>
      </c>
      <c r="BN105" s="52">
        <v>366.5</v>
      </c>
      <c r="BO105" s="52"/>
      <c r="BP105" s="52"/>
      <c r="BQ105" s="52">
        <v>78.3</v>
      </c>
      <c r="BR105" s="52">
        <v>5.0999999999999996</v>
      </c>
      <c r="BS105" s="53">
        <v>449.90000000000003</v>
      </c>
      <c r="BT105" s="52">
        <v>76</v>
      </c>
      <c r="BU105" s="52">
        <v>31.2</v>
      </c>
      <c r="BV105" s="50">
        <v>309.7</v>
      </c>
      <c r="BW105" s="50">
        <v>104.3</v>
      </c>
      <c r="BX105" s="49">
        <v>426</v>
      </c>
      <c r="BY105" s="50">
        <v>51.8</v>
      </c>
      <c r="BZ105" s="50">
        <v>9.1999999999999993</v>
      </c>
      <c r="CA105" s="49">
        <v>61</v>
      </c>
      <c r="CB105" s="52"/>
      <c r="CC105" s="52"/>
      <c r="CD105" s="52"/>
      <c r="CE105" s="52"/>
      <c r="CF105" s="52">
        <v>124.3</v>
      </c>
      <c r="CG105" s="52">
        <v>155.9</v>
      </c>
      <c r="CH105" s="52">
        <v>28.2</v>
      </c>
      <c r="CI105" s="52"/>
      <c r="CJ105" s="52"/>
      <c r="CK105" s="52"/>
      <c r="CL105" s="52"/>
      <c r="CM105" s="52"/>
      <c r="CN105" s="52">
        <v>56.4</v>
      </c>
      <c r="CO105" s="52">
        <v>356</v>
      </c>
      <c r="CP105" s="52">
        <v>328</v>
      </c>
      <c r="CQ105" s="52">
        <v>28</v>
      </c>
      <c r="CR105" s="52" t="s">
        <v>264</v>
      </c>
      <c r="CS105" s="52">
        <v>35.6</v>
      </c>
      <c r="CT105" s="52">
        <v>22</v>
      </c>
      <c r="CU105" s="52">
        <v>13.6</v>
      </c>
      <c r="CV105" s="52">
        <v>53.3</v>
      </c>
      <c r="CW105" s="52">
        <v>17</v>
      </c>
      <c r="CX105" s="52">
        <v>36.299999999999997</v>
      </c>
      <c r="CY105" s="52">
        <v>10.9</v>
      </c>
      <c r="CZ105" s="52">
        <v>95.7</v>
      </c>
      <c r="DA105" s="52">
        <v>34.799999999999997</v>
      </c>
      <c r="DB105" s="52">
        <v>32.9</v>
      </c>
      <c r="DC105" s="52">
        <v>1.9</v>
      </c>
      <c r="DD105" s="52"/>
      <c r="DE105" s="52"/>
      <c r="DF105" s="53"/>
      <c r="DG105" s="53">
        <v>113.2</v>
      </c>
      <c r="DH105" s="53"/>
      <c r="DI105" s="53">
        <v>647.70000000000005</v>
      </c>
      <c r="DJ105" s="53">
        <v>204.1</v>
      </c>
      <c r="DK105" s="53">
        <v>478.1</v>
      </c>
      <c r="DL105" s="53">
        <v>123.9</v>
      </c>
      <c r="DM105" s="53">
        <v>188.4</v>
      </c>
      <c r="DN105" s="53"/>
      <c r="DO105" s="53">
        <v>121.6</v>
      </c>
      <c r="DP105" s="53">
        <v>184.2</v>
      </c>
      <c r="DQ105" s="53"/>
      <c r="DR105" s="53"/>
      <c r="DS105" s="53">
        <v>839.6</v>
      </c>
      <c r="DT105" s="53">
        <v>3078.2</v>
      </c>
      <c r="DU105" s="53">
        <v>-290.59999999999945</v>
      </c>
      <c r="DV105" s="53">
        <v>0</v>
      </c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2"/>
      <c r="FE105" s="52"/>
      <c r="FF105" s="52"/>
      <c r="FG105" s="52"/>
      <c r="FH105" s="52"/>
      <c r="FI105" s="52"/>
      <c r="FJ105" s="52"/>
      <c r="FK105" s="52"/>
      <c r="FL105" s="52"/>
      <c r="FM105" s="52"/>
      <c r="FN105" s="52"/>
      <c r="FO105" s="52"/>
      <c r="FP105" s="52"/>
      <c r="FQ105" s="52"/>
      <c r="FR105" s="52"/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2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17"/>
      <c r="GZ105" s="52">
        <v>843.5</v>
      </c>
      <c r="HA105" s="52"/>
      <c r="HB105" s="17"/>
      <c r="HC105" s="17"/>
      <c r="HD105" s="17"/>
      <c r="HE105" s="17"/>
      <c r="HF105" s="52"/>
      <c r="HG105" s="52"/>
      <c r="HH105" s="52"/>
      <c r="HI105" s="52"/>
      <c r="HJ105" s="52"/>
      <c r="HK105" s="52"/>
      <c r="HL105" s="52"/>
      <c r="HM105" s="52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2"/>
      <c r="HY105" s="52"/>
      <c r="HZ105" s="52"/>
      <c r="IA105" s="52"/>
      <c r="IB105" s="52"/>
      <c r="IC105" s="52"/>
      <c r="ID105" s="52"/>
      <c r="IE105" s="52"/>
      <c r="IF105" s="52"/>
      <c r="IG105" s="52"/>
      <c r="IH105" s="53"/>
      <c r="II105" s="53"/>
      <c r="IJ105" s="53"/>
      <c r="IK105" s="53"/>
      <c r="IL105" s="53"/>
      <c r="IM105" s="52"/>
      <c r="IN105" s="52">
        <v>116.5</v>
      </c>
      <c r="IY105" s="48">
        <f t="shared" si="5"/>
        <v>47.75128321746476</v>
      </c>
      <c r="IZ105" s="48">
        <f>IY105-'NOPA Crush'!J105</f>
        <v>8.1283217464758195E-2</v>
      </c>
      <c r="JB105" s="63">
        <f t="shared" si="3"/>
        <v>11.039243713858751</v>
      </c>
      <c r="JC105" s="64">
        <f>JB105-'NOPA Crush'!O105</f>
        <v>-5.0756286141249163E-2</v>
      </c>
      <c r="JD105" s="65"/>
      <c r="JE105" s="67">
        <f t="shared" si="4"/>
        <v>2385.1999999999998</v>
      </c>
      <c r="JF105" s="68">
        <f>'NOPA Crush'!Q105/'Census Crush'!JE105</f>
        <v>0.3942227066912628</v>
      </c>
    </row>
    <row r="106" spans="1:266">
      <c r="A106" s="39">
        <v>32264</v>
      </c>
      <c r="B106" s="49">
        <v>2940.2</v>
      </c>
      <c r="C106" s="50">
        <v>2862.3</v>
      </c>
      <c r="D106" s="50">
        <v>312.5</v>
      </c>
      <c r="E106" s="50">
        <v>928.4</v>
      </c>
      <c r="F106" s="50">
        <v>24.9</v>
      </c>
      <c r="G106" s="50">
        <v>52.6</v>
      </c>
      <c r="H106" s="50" t="s">
        <v>264</v>
      </c>
      <c r="I106" s="50" t="s">
        <v>264</v>
      </c>
      <c r="J106" s="50" t="s">
        <v>264</v>
      </c>
      <c r="K106" s="49">
        <v>1087.5</v>
      </c>
      <c r="L106" s="49">
        <v>2570.2999999999997</v>
      </c>
      <c r="M106" s="49">
        <v>2282.1999999999998</v>
      </c>
      <c r="N106" s="49">
        <v>288.10000000000002</v>
      </c>
      <c r="O106" s="50">
        <v>105.8</v>
      </c>
      <c r="P106" s="51">
        <v>197.79999999999998</v>
      </c>
      <c r="Q106" s="49">
        <v>65.599999999999994</v>
      </c>
      <c r="R106" s="49">
        <v>132.19999999999999</v>
      </c>
      <c r="S106" s="49"/>
      <c r="T106" s="49">
        <v>19.5</v>
      </c>
      <c r="U106" s="51">
        <v>19.3</v>
      </c>
      <c r="V106" s="49">
        <v>15.1</v>
      </c>
      <c r="W106" s="49">
        <v>4.2</v>
      </c>
      <c r="X106" s="49">
        <v>44.4</v>
      </c>
      <c r="Y106" s="49">
        <v>7.8</v>
      </c>
      <c r="Z106" s="49">
        <v>110.80000000000001</v>
      </c>
      <c r="AA106" s="49">
        <v>106.9</v>
      </c>
      <c r="AB106" s="49">
        <v>3.9</v>
      </c>
      <c r="AC106" s="49" t="s">
        <v>264</v>
      </c>
      <c r="AD106" s="49" t="s">
        <v>264</v>
      </c>
      <c r="AE106" s="49"/>
      <c r="AF106" s="51"/>
      <c r="AG106" s="50" t="s">
        <v>264</v>
      </c>
      <c r="AH106" s="50" t="s">
        <v>264</v>
      </c>
      <c r="AI106" s="49">
        <v>125.6</v>
      </c>
      <c r="AJ106" s="49"/>
      <c r="AK106" s="49"/>
      <c r="AL106" s="51">
        <v>126.4</v>
      </c>
      <c r="AM106" s="49">
        <v>79.900000000000006</v>
      </c>
      <c r="AN106" s="49">
        <v>46.5</v>
      </c>
      <c r="AO106" s="49">
        <v>2216.6999999999998</v>
      </c>
      <c r="AP106" s="49">
        <v>217.2</v>
      </c>
      <c r="AQ106" s="49">
        <v>123.2</v>
      </c>
      <c r="AR106" s="49">
        <v>38.4</v>
      </c>
      <c r="AS106" s="50">
        <v>144</v>
      </c>
      <c r="AT106" s="50">
        <v>110</v>
      </c>
      <c r="AU106" s="50">
        <v>81.8</v>
      </c>
      <c r="AV106" s="50">
        <v>89.5</v>
      </c>
      <c r="AW106" s="50">
        <v>14.4</v>
      </c>
      <c r="AX106" s="50">
        <v>5.2</v>
      </c>
      <c r="AY106" s="50">
        <v>26.1</v>
      </c>
      <c r="AZ106" s="50">
        <v>4.3</v>
      </c>
      <c r="BA106" s="50" t="s">
        <v>264</v>
      </c>
      <c r="BB106" s="50" t="s">
        <v>264</v>
      </c>
      <c r="BC106" s="50"/>
      <c r="BD106" s="52">
        <v>112.5</v>
      </c>
      <c r="BE106" s="52">
        <v>43.3</v>
      </c>
      <c r="BF106" s="52"/>
      <c r="BG106" s="52"/>
      <c r="BH106" s="52">
        <v>347.8</v>
      </c>
      <c r="BI106" s="52"/>
      <c r="BJ106" s="52"/>
      <c r="BK106" s="52">
        <v>163.1</v>
      </c>
      <c r="BL106" s="52">
        <v>6.5</v>
      </c>
      <c r="BM106" s="52">
        <v>517.4</v>
      </c>
      <c r="BN106" s="52">
        <v>387.8</v>
      </c>
      <c r="BO106" s="52"/>
      <c r="BP106" s="52"/>
      <c r="BQ106" s="52">
        <v>73.3</v>
      </c>
      <c r="BR106" s="52">
        <v>4.8</v>
      </c>
      <c r="BS106" s="53">
        <v>465.90000000000003</v>
      </c>
      <c r="BT106" s="52">
        <v>74</v>
      </c>
      <c r="BU106" s="52">
        <v>31.9</v>
      </c>
      <c r="BV106" s="50">
        <v>327.60000000000002</v>
      </c>
      <c r="BW106" s="50">
        <v>121.3</v>
      </c>
      <c r="BX106" s="49">
        <v>460.7</v>
      </c>
      <c r="BY106" s="50">
        <v>46.5</v>
      </c>
      <c r="BZ106" s="50">
        <v>8.1999999999999993</v>
      </c>
      <c r="CA106" s="49">
        <v>54.7</v>
      </c>
      <c r="CB106" s="52"/>
      <c r="CC106" s="52"/>
      <c r="CD106" s="52"/>
      <c r="CE106" s="52"/>
      <c r="CF106" s="52">
        <v>119.3</v>
      </c>
      <c r="CG106" s="52">
        <v>138.69999999999999</v>
      </c>
      <c r="CH106" s="52">
        <v>27.2</v>
      </c>
      <c r="CI106" s="52"/>
      <c r="CJ106" s="52"/>
      <c r="CK106" s="52"/>
      <c r="CL106" s="52"/>
      <c r="CM106" s="52"/>
      <c r="CN106" s="52">
        <v>63.5</v>
      </c>
      <c r="CO106" s="52">
        <v>353.6</v>
      </c>
      <c r="CP106" s="52">
        <v>302.8</v>
      </c>
      <c r="CQ106" s="52">
        <v>50.8</v>
      </c>
      <c r="CR106" s="52" t="s">
        <v>264</v>
      </c>
      <c r="CS106" s="52">
        <v>40.799999999999997</v>
      </c>
      <c r="CT106" s="52">
        <v>32</v>
      </c>
      <c r="CU106" s="52">
        <v>8.8000000000000007</v>
      </c>
      <c r="CV106" s="52">
        <v>51.099999999999994</v>
      </c>
      <c r="CW106" s="52">
        <v>14.7</v>
      </c>
      <c r="CX106" s="52">
        <v>36.4</v>
      </c>
      <c r="CY106" s="52">
        <v>8.9</v>
      </c>
      <c r="CZ106" s="52">
        <v>90.7</v>
      </c>
      <c r="DA106" s="52">
        <v>31.1</v>
      </c>
      <c r="DB106" s="52">
        <v>29.6</v>
      </c>
      <c r="DC106" s="52">
        <v>1.5</v>
      </c>
      <c r="DD106" s="52"/>
      <c r="DE106" s="52"/>
      <c r="DF106" s="53"/>
      <c r="DG106" s="53">
        <v>115.3</v>
      </c>
      <c r="DH106" s="53"/>
      <c r="DI106" s="53">
        <v>574.4</v>
      </c>
      <c r="DJ106" s="53">
        <v>166.9</v>
      </c>
      <c r="DK106" s="53">
        <v>445.3</v>
      </c>
      <c r="DL106" s="53">
        <v>133.80000000000001</v>
      </c>
      <c r="DM106" s="53">
        <v>211.2</v>
      </c>
      <c r="DN106" s="53"/>
      <c r="DO106" s="53">
        <v>106.6</v>
      </c>
      <c r="DP106" s="53">
        <v>170.9</v>
      </c>
      <c r="DQ106" s="53"/>
      <c r="DR106" s="53"/>
      <c r="DS106" s="53">
        <v>841.3</v>
      </c>
      <c r="DT106" s="53">
        <v>2940.2</v>
      </c>
      <c r="DU106" s="53">
        <v>-289.80000000000018</v>
      </c>
      <c r="DV106" s="53">
        <v>0</v>
      </c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  <c r="FX106" s="52"/>
      <c r="FY106" s="52"/>
      <c r="FZ106" s="52"/>
      <c r="GA106" s="52"/>
      <c r="GB106" s="52"/>
      <c r="GC106" s="52"/>
      <c r="GD106" s="52"/>
      <c r="GE106" s="52"/>
      <c r="GF106" s="52"/>
      <c r="GG106" s="52"/>
      <c r="GH106" s="52"/>
      <c r="GI106" s="52"/>
      <c r="GJ106" s="52"/>
      <c r="GK106" s="52"/>
      <c r="GL106" s="52"/>
      <c r="GM106" s="52"/>
      <c r="GN106" s="52"/>
      <c r="GO106" s="52"/>
      <c r="GP106" s="52"/>
      <c r="GQ106" s="52"/>
      <c r="GR106" s="52"/>
      <c r="GS106" s="52"/>
      <c r="GT106" s="52"/>
      <c r="GU106" s="52"/>
      <c r="GV106" s="52"/>
      <c r="GW106" s="52"/>
      <c r="GX106" s="52"/>
      <c r="GY106" s="17"/>
      <c r="GZ106" s="52">
        <v>894.1</v>
      </c>
      <c r="HA106" s="52"/>
      <c r="HB106" s="17"/>
      <c r="HC106" s="17"/>
      <c r="HD106" s="17"/>
      <c r="HE106" s="17"/>
      <c r="HF106" s="52"/>
      <c r="HG106" s="52"/>
      <c r="HH106" s="52"/>
      <c r="HI106" s="52"/>
      <c r="HJ106" s="52"/>
      <c r="HK106" s="52"/>
      <c r="HL106" s="52"/>
      <c r="HM106" s="52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2"/>
      <c r="HY106" s="52"/>
      <c r="HZ106" s="52"/>
      <c r="IA106" s="52"/>
      <c r="IB106" s="52"/>
      <c r="IC106" s="52"/>
      <c r="ID106" s="52"/>
      <c r="IE106" s="52"/>
      <c r="IF106" s="52"/>
      <c r="IG106" s="52"/>
      <c r="IH106" s="53"/>
      <c r="II106" s="53"/>
      <c r="IJ106" s="53"/>
      <c r="IK106" s="53"/>
      <c r="IL106" s="53"/>
      <c r="IM106" s="52"/>
      <c r="IN106" s="52">
        <v>119.2</v>
      </c>
      <c r="IY106" s="48">
        <f t="shared" si="5"/>
        <v>47.749812937895378</v>
      </c>
      <c r="IZ106" s="48">
        <f>IY106-'NOPA Crush'!J106</f>
        <v>6.9812937895378013E-2</v>
      </c>
      <c r="JB106" s="63">
        <f t="shared" si="3"/>
        <v>11.096183933065779</v>
      </c>
      <c r="JC106" s="64">
        <f>JB106-'NOPA Crush'!O106</f>
        <v>-4.3816066934221354E-2</v>
      </c>
      <c r="JD106" s="65"/>
      <c r="JE106" s="67">
        <f t="shared" si="4"/>
        <v>2570.2999999999997</v>
      </c>
      <c r="JF106" s="68">
        <f>'NOPA Crush'!Q106/'Census Crush'!JE106</f>
        <v>0.35682371707582777</v>
      </c>
    </row>
    <row r="107" spans="1:266">
      <c r="A107" s="39">
        <v>32295</v>
      </c>
      <c r="B107" s="49">
        <v>2676.9</v>
      </c>
      <c r="C107" s="50">
        <v>2703.1</v>
      </c>
      <c r="D107" s="50">
        <v>275.5</v>
      </c>
      <c r="E107" s="50">
        <v>631.20000000000005</v>
      </c>
      <c r="F107" s="50">
        <v>16.600000000000001</v>
      </c>
      <c r="G107" s="50">
        <v>70.099999999999994</v>
      </c>
      <c r="H107" s="50">
        <v>45.3</v>
      </c>
      <c r="I107" s="50" t="s">
        <v>264</v>
      </c>
      <c r="J107" s="50" t="s">
        <v>264</v>
      </c>
      <c r="K107" s="49">
        <v>996.4</v>
      </c>
      <c r="L107" s="49">
        <v>2361</v>
      </c>
      <c r="M107" s="49">
        <v>2088.8000000000002</v>
      </c>
      <c r="N107" s="49">
        <v>272.2</v>
      </c>
      <c r="O107" s="50">
        <v>91.2</v>
      </c>
      <c r="P107" s="51">
        <v>175.60000000000002</v>
      </c>
      <c r="Q107" s="49">
        <v>76.7</v>
      </c>
      <c r="R107" s="49">
        <v>98.9</v>
      </c>
      <c r="S107" s="49"/>
      <c r="T107" s="49">
        <v>12.5</v>
      </c>
      <c r="U107" s="51">
        <v>19.399999999999999</v>
      </c>
      <c r="V107" s="49">
        <v>15.1</v>
      </c>
      <c r="W107" s="49">
        <v>4.3</v>
      </c>
      <c r="X107" s="49">
        <v>58.9</v>
      </c>
      <c r="Y107" s="49">
        <v>5.4</v>
      </c>
      <c r="Z107" s="49">
        <v>131.80000000000001</v>
      </c>
      <c r="AA107" s="49">
        <v>129.5</v>
      </c>
      <c r="AB107" s="49">
        <v>2.2999999999999998</v>
      </c>
      <c r="AC107" s="49" t="s">
        <v>264</v>
      </c>
      <c r="AD107" s="49" t="s">
        <v>264</v>
      </c>
      <c r="AE107" s="49"/>
      <c r="AF107" s="51"/>
      <c r="AG107" s="50" t="s">
        <v>264</v>
      </c>
      <c r="AH107" s="50" t="s">
        <v>264</v>
      </c>
      <c r="AI107" s="49">
        <v>125.4</v>
      </c>
      <c r="AJ107" s="49"/>
      <c r="AK107" s="49"/>
      <c r="AL107" s="51">
        <v>107.4</v>
      </c>
      <c r="AM107" s="49">
        <v>69.900000000000006</v>
      </c>
      <c r="AN107" s="49">
        <v>37.5</v>
      </c>
      <c r="AO107" s="49">
        <v>2016.3</v>
      </c>
      <c r="AP107" s="49">
        <v>259.60000000000002</v>
      </c>
      <c r="AQ107" s="49">
        <v>112.7</v>
      </c>
      <c r="AR107" s="49">
        <v>34.799999999999997</v>
      </c>
      <c r="AS107" s="50">
        <v>124.7</v>
      </c>
      <c r="AT107" s="50">
        <v>93.5</v>
      </c>
      <c r="AU107" s="50">
        <v>72.3</v>
      </c>
      <c r="AV107" s="50">
        <v>61.5</v>
      </c>
      <c r="AW107" s="50">
        <v>10.199999999999999</v>
      </c>
      <c r="AX107" s="50">
        <v>3.6</v>
      </c>
      <c r="AY107" s="50">
        <v>32.1</v>
      </c>
      <c r="AZ107" s="50" t="s">
        <v>264</v>
      </c>
      <c r="BA107" s="50" t="s">
        <v>264</v>
      </c>
      <c r="BB107" s="50" t="s">
        <v>264</v>
      </c>
      <c r="BC107" s="50"/>
      <c r="BD107" s="52">
        <v>94.7</v>
      </c>
      <c r="BE107" s="52">
        <v>52.5</v>
      </c>
      <c r="BF107" s="52"/>
      <c r="BG107" s="52"/>
      <c r="BH107" s="52">
        <v>334.8</v>
      </c>
      <c r="BI107" s="52"/>
      <c r="BJ107" s="52"/>
      <c r="BK107" s="52">
        <v>175.8</v>
      </c>
      <c r="BL107" s="52">
        <v>6.6</v>
      </c>
      <c r="BM107" s="52">
        <v>517.20000000000005</v>
      </c>
      <c r="BN107" s="52">
        <v>376.4</v>
      </c>
      <c r="BO107" s="52"/>
      <c r="BP107" s="52"/>
      <c r="BQ107" s="52">
        <v>76.7</v>
      </c>
      <c r="BR107" s="52">
        <v>4.4000000000000004</v>
      </c>
      <c r="BS107" s="53">
        <v>457.49999999999994</v>
      </c>
      <c r="BT107" s="52">
        <v>74</v>
      </c>
      <c r="BU107" s="52">
        <v>37.799999999999997</v>
      </c>
      <c r="BV107" s="50">
        <v>320</v>
      </c>
      <c r="BW107" s="50">
        <v>107.7</v>
      </c>
      <c r="BX107" s="49">
        <v>439.9</v>
      </c>
      <c r="BY107" s="50">
        <v>63.6</v>
      </c>
      <c r="BZ107" s="50">
        <v>7.2</v>
      </c>
      <c r="CA107" s="49">
        <v>70.8</v>
      </c>
      <c r="CB107" s="52"/>
      <c r="CC107" s="52"/>
      <c r="CD107" s="52"/>
      <c r="CE107" s="52"/>
      <c r="CF107" s="52">
        <v>117.1</v>
      </c>
      <c r="CG107" s="52">
        <v>145.30000000000001</v>
      </c>
      <c r="CH107" s="52">
        <v>22.7</v>
      </c>
      <c r="CI107" s="52"/>
      <c r="CJ107" s="52"/>
      <c r="CK107" s="52"/>
      <c r="CL107" s="52"/>
      <c r="CM107" s="52"/>
      <c r="CN107" s="52">
        <v>62.1</v>
      </c>
      <c r="CO107" s="52">
        <v>336.59999999999997</v>
      </c>
      <c r="CP107" s="52">
        <v>284.89999999999998</v>
      </c>
      <c r="CQ107" s="52">
        <v>51.7</v>
      </c>
      <c r="CR107" s="52" t="s">
        <v>264</v>
      </c>
      <c r="CS107" s="52">
        <v>35.6</v>
      </c>
      <c r="CT107" s="52">
        <v>23.7</v>
      </c>
      <c r="CU107" s="52">
        <v>11.9</v>
      </c>
      <c r="CV107" s="52">
        <v>48.3</v>
      </c>
      <c r="CW107" s="52">
        <v>16</v>
      </c>
      <c r="CX107" s="52">
        <v>32.299999999999997</v>
      </c>
      <c r="CY107" s="52">
        <v>15.3</v>
      </c>
      <c r="CZ107" s="52">
        <v>89.4</v>
      </c>
      <c r="DA107" s="52">
        <v>32</v>
      </c>
      <c r="DB107" s="52">
        <v>30.7</v>
      </c>
      <c r="DC107" s="52">
        <v>1.3</v>
      </c>
      <c r="DD107" s="52"/>
      <c r="DE107" s="52"/>
      <c r="DF107" s="53"/>
      <c r="DG107" s="53">
        <v>111.3</v>
      </c>
      <c r="DH107" s="53"/>
      <c r="DI107" s="53">
        <v>509</v>
      </c>
      <c r="DJ107" s="53">
        <v>167.9</v>
      </c>
      <c r="DK107" s="53">
        <v>448.6</v>
      </c>
      <c r="DL107" s="53">
        <v>122.6</v>
      </c>
      <c r="DM107" s="53">
        <v>200.7</v>
      </c>
      <c r="DN107" s="53"/>
      <c r="DO107" s="53">
        <v>90.7</v>
      </c>
      <c r="DP107" s="53">
        <v>168.2</v>
      </c>
      <c r="DQ107" s="53"/>
      <c r="DR107" s="53"/>
      <c r="DS107" s="53">
        <v>695.2</v>
      </c>
      <c r="DT107" s="53">
        <v>2676.9</v>
      </c>
      <c r="DU107" s="53">
        <v>-274</v>
      </c>
      <c r="DV107" s="53">
        <v>0</v>
      </c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2"/>
      <c r="FN107" s="52"/>
      <c r="FO107" s="52"/>
      <c r="FP107" s="52"/>
      <c r="FQ107" s="52"/>
      <c r="FR107" s="52"/>
      <c r="FS107" s="52"/>
      <c r="FT107" s="52"/>
      <c r="FU107" s="52"/>
      <c r="FV107" s="52"/>
      <c r="FW107" s="52"/>
      <c r="FX107" s="52"/>
      <c r="FY107" s="52"/>
      <c r="FZ107" s="52"/>
      <c r="GA107" s="52"/>
      <c r="GB107" s="52"/>
      <c r="GC107" s="52"/>
      <c r="GD107" s="52"/>
      <c r="GE107" s="52"/>
      <c r="GF107" s="52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17"/>
      <c r="GZ107" s="52">
        <v>890.1</v>
      </c>
      <c r="HA107" s="52"/>
      <c r="HB107" s="17"/>
      <c r="HC107" s="17"/>
      <c r="HD107" s="17"/>
      <c r="HE107" s="17"/>
      <c r="HF107" s="52"/>
      <c r="HG107" s="52"/>
      <c r="HH107" s="52"/>
      <c r="HI107" s="52"/>
      <c r="HJ107" s="52"/>
      <c r="HK107" s="52"/>
      <c r="HL107" s="52"/>
      <c r="HM107" s="52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2"/>
      <c r="HY107" s="52"/>
      <c r="HZ107" s="52"/>
      <c r="IA107" s="52"/>
      <c r="IB107" s="52"/>
      <c r="IC107" s="52"/>
      <c r="ID107" s="52"/>
      <c r="IE107" s="52"/>
      <c r="IF107" s="52"/>
      <c r="IG107" s="52"/>
      <c r="IH107" s="53"/>
      <c r="II107" s="53"/>
      <c r="IJ107" s="53"/>
      <c r="IK107" s="53"/>
      <c r="IL107" s="53"/>
      <c r="IM107" s="52"/>
      <c r="IN107" s="52">
        <v>103.3</v>
      </c>
      <c r="IY107" s="48">
        <f t="shared" si="5"/>
        <v>47.719376891180097</v>
      </c>
      <c r="IZ107" s="48">
        <f>IY107-'NOPA Crush'!J107</f>
        <v>-1.0623108819899585E-2</v>
      </c>
      <c r="JB107" s="63">
        <f t="shared" si="3"/>
        <v>11.166647988344726</v>
      </c>
      <c r="JC107" s="64">
        <f>JB107-'NOPA Crush'!O107</f>
        <v>-4.335201165527458E-2</v>
      </c>
      <c r="JD107" s="65"/>
      <c r="JE107" s="67">
        <f t="shared" si="4"/>
        <v>2361</v>
      </c>
      <c r="JF107" s="68">
        <f>'NOPA Crush'!Q107/'Census Crush'!JE107</f>
        <v>0.35522278695468024</v>
      </c>
    </row>
    <row r="108" spans="1:266">
      <c r="A108" s="39">
        <v>32325</v>
      </c>
      <c r="B108" s="49">
        <v>2640.6</v>
      </c>
      <c r="C108" s="50">
        <v>1987.3</v>
      </c>
      <c r="D108" s="50">
        <v>263.60000000000002</v>
      </c>
      <c r="E108" s="50">
        <v>358.9</v>
      </c>
      <c r="F108" s="50">
        <v>23.1</v>
      </c>
      <c r="G108" s="50">
        <v>80.7</v>
      </c>
      <c r="H108" s="50" t="s">
        <v>264</v>
      </c>
      <c r="I108" s="50" t="s">
        <v>264</v>
      </c>
      <c r="J108" s="50" t="s">
        <v>264</v>
      </c>
      <c r="K108" s="49">
        <v>994.2</v>
      </c>
      <c r="L108" s="49">
        <v>2203.4</v>
      </c>
      <c r="M108" s="49">
        <v>1895.2</v>
      </c>
      <c r="N108" s="49">
        <v>308.2</v>
      </c>
      <c r="O108" s="50">
        <v>91</v>
      </c>
      <c r="P108" s="51">
        <v>176</v>
      </c>
      <c r="Q108" s="49">
        <v>70</v>
      </c>
      <c r="R108" s="49">
        <v>106</v>
      </c>
      <c r="S108" s="49"/>
      <c r="T108" s="49">
        <v>17</v>
      </c>
      <c r="U108" s="51">
        <v>23.8</v>
      </c>
      <c r="V108" s="49">
        <v>20</v>
      </c>
      <c r="W108" s="49">
        <v>3.8</v>
      </c>
      <c r="X108" s="49">
        <v>68.099999999999994</v>
      </c>
      <c r="Y108" s="49">
        <v>8.5</v>
      </c>
      <c r="Z108" s="49">
        <v>167.3</v>
      </c>
      <c r="AA108" s="49">
        <v>165.5</v>
      </c>
      <c r="AB108" s="49">
        <v>1.8</v>
      </c>
      <c r="AC108" s="49" t="s">
        <v>264</v>
      </c>
      <c r="AD108" s="49" t="s">
        <v>264</v>
      </c>
      <c r="AE108" s="49"/>
      <c r="AF108" s="51"/>
      <c r="AG108" s="50" t="s">
        <v>264</v>
      </c>
      <c r="AH108" s="50" t="s">
        <v>264</v>
      </c>
      <c r="AI108" s="49">
        <v>131.69999999999999</v>
      </c>
      <c r="AJ108" s="49"/>
      <c r="AK108" s="49"/>
      <c r="AL108" s="51">
        <v>123.9</v>
      </c>
      <c r="AM108" s="49">
        <v>79.8</v>
      </c>
      <c r="AN108" s="49">
        <v>44.1</v>
      </c>
      <c r="AO108" s="49">
        <v>1996.5</v>
      </c>
      <c r="AP108" s="49">
        <v>389</v>
      </c>
      <c r="AQ108" s="49">
        <v>113.8</v>
      </c>
      <c r="AR108" s="49">
        <v>48.5</v>
      </c>
      <c r="AS108" s="50">
        <v>120.6</v>
      </c>
      <c r="AT108" s="50">
        <v>106.8</v>
      </c>
      <c r="AU108" s="50">
        <v>70.5</v>
      </c>
      <c r="AV108" s="50">
        <v>72.400000000000006</v>
      </c>
      <c r="AW108" s="50">
        <v>14</v>
      </c>
      <c r="AX108" s="50">
        <v>4</v>
      </c>
      <c r="AY108" s="50">
        <v>39.1</v>
      </c>
      <c r="AZ108" s="50" t="s">
        <v>264</v>
      </c>
      <c r="BA108" s="50" t="s">
        <v>264</v>
      </c>
      <c r="BB108" s="50" t="s">
        <v>264</v>
      </c>
      <c r="BC108" s="50"/>
      <c r="BD108" s="52">
        <v>100.3</v>
      </c>
      <c r="BE108" s="52">
        <v>58.6</v>
      </c>
      <c r="BF108" s="52"/>
      <c r="BG108" s="52"/>
      <c r="BH108" s="52">
        <v>342</v>
      </c>
      <c r="BI108" s="52"/>
      <c r="BJ108" s="52"/>
      <c r="BK108" s="52">
        <v>157.4</v>
      </c>
      <c r="BL108" s="52">
        <v>4.4000000000000004</v>
      </c>
      <c r="BM108" s="52">
        <v>503.8</v>
      </c>
      <c r="BN108" s="52">
        <v>334.7</v>
      </c>
      <c r="BO108" s="52"/>
      <c r="BP108" s="52"/>
      <c r="BQ108" s="52">
        <v>84.3</v>
      </c>
      <c r="BR108" s="52">
        <v>5.5</v>
      </c>
      <c r="BS108" s="53">
        <v>424.5</v>
      </c>
      <c r="BT108" s="52">
        <v>69</v>
      </c>
      <c r="BU108" s="52">
        <v>41.1</v>
      </c>
      <c r="BV108" s="50">
        <v>325</v>
      </c>
      <c r="BW108" s="50">
        <v>112.9</v>
      </c>
      <c r="BX108" s="49">
        <v>446.3</v>
      </c>
      <c r="BY108" s="50">
        <v>74.400000000000006</v>
      </c>
      <c r="BZ108" s="50">
        <v>9.8000000000000007</v>
      </c>
      <c r="CA108" s="49">
        <v>84.2</v>
      </c>
      <c r="CB108" s="52"/>
      <c r="CC108" s="52"/>
      <c r="CD108" s="52"/>
      <c r="CE108" s="52"/>
      <c r="CF108" s="52">
        <v>124.2</v>
      </c>
      <c r="CG108" s="52">
        <v>148.80000000000001</v>
      </c>
      <c r="CH108" s="52">
        <v>22.2</v>
      </c>
      <c r="CI108" s="52"/>
      <c r="CJ108" s="52"/>
      <c r="CK108" s="52"/>
      <c r="CL108" s="52"/>
      <c r="CM108" s="52"/>
      <c r="CN108" s="52">
        <v>63</v>
      </c>
      <c r="CO108" s="52">
        <v>287.5</v>
      </c>
      <c r="CP108" s="52">
        <v>229.2</v>
      </c>
      <c r="CQ108" s="52">
        <v>58.3</v>
      </c>
      <c r="CR108" s="52" t="s">
        <v>264</v>
      </c>
      <c r="CS108" s="52">
        <v>36</v>
      </c>
      <c r="CT108" s="52">
        <v>19.100000000000001</v>
      </c>
      <c r="CU108" s="52">
        <v>16.899999999999999</v>
      </c>
      <c r="CV108" s="52">
        <v>55</v>
      </c>
      <c r="CW108" s="52">
        <v>17.8</v>
      </c>
      <c r="CX108" s="52">
        <v>37.200000000000003</v>
      </c>
      <c r="CY108" s="52">
        <v>11.4</v>
      </c>
      <c r="CZ108" s="52">
        <v>92.8</v>
      </c>
      <c r="DA108" s="52">
        <v>21.799999999999997</v>
      </c>
      <c r="DB108" s="52">
        <v>19.899999999999999</v>
      </c>
      <c r="DC108" s="52">
        <v>1.9</v>
      </c>
      <c r="DD108" s="52"/>
      <c r="DE108" s="52"/>
      <c r="DF108" s="53"/>
      <c r="DG108" s="53">
        <v>111.3</v>
      </c>
      <c r="DH108" s="53"/>
      <c r="DI108" s="53">
        <v>526.79999999999995</v>
      </c>
      <c r="DJ108" s="53">
        <v>159.30000000000001</v>
      </c>
      <c r="DK108" s="53">
        <v>387</v>
      </c>
      <c r="DL108" s="53">
        <v>116.9</v>
      </c>
      <c r="DM108" s="53">
        <v>202.4</v>
      </c>
      <c r="DN108" s="53"/>
      <c r="DO108" s="53">
        <v>96.4</v>
      </c>
      <c r="DP108" s="53">
        <v>178.9</v>
      </c>
      <c r="DQ108" s="53"/>
      <c r="DR108" s="53"/>
      <c r="DS108" s="53">
        <v>692.8</v>
      </c>
      <c r="DT108" s="53">
        <v>2640.6</v>
      </c>
      <c r="DU108" s="53">
        <v>-280.09999999999991</v>
      </c>
      <c r="DV108" s="53">
        <v>0</v>
      </c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52"/>
      <c r="FC108" s="52"/>
      <c r="FD108" s="52"/>
      <c r="FE108" s="52"/>
      <c r="FF108" s="52"/>
      <c r="FG108" s="52"/>
      <c r="FH108" s="52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  <c r="FX108" s="52"/>
      <c r="FY108" s="52"/>
      <c r="FZ108" s="52"/>
      <c r="GA108" s="52"/>
      <c r="GB108" s="52"/>
      <c r="GC108" s="52"/>
      <c r="GD108" s="52"/>
      <c r="GE108" s="52"/>
      <c r="GF108" s="52"/>
      <c r="GG108" s="52"/>
      <c r="GH108" s="52"/>
      <c r="GI108" s="52"/>
      <c r="GJ108" s="52"/>
      <c r="GK108" s="52"/>
      <c r="GL108" s="52"/>
      <c r="GM108" s="52"/>
      <c r="GN108" s="52"/>
      <c r="GO108" s="52"/>
      <c r="GP108" s="52"/>
      <c r="GQ108" s="52"/>
      <c r="GR108" s="52"/>
      <c r="GS108" s="52"/>
      <c r="GT108" s="52"/>
      <c r="GU108" s="52"/>
      <c r="GV108" s="52"/>
      <c r="GW108" s="52"/>
      <c r="GX108" s="52"/>
      <c r="GY108" s="17"/>
      <c r="GZ108" s="52">
        <v>947.4</v>
      </c>
      <c r="HA108" s="52"/>
      <c r="HB108" s="17"/>
      <c r="HC108" s="17"/>
      <c r="HD108" s="17"/>
      <c r="HE108" s="17"/>
      <c r="HF108" s="52"/>
      <c r="HG108" s="52"/>
      <c r="HH108" s="52"/>
      <c r="HI108" s="52"/>
      <c r="HJ108" s="52"/>
      <c r="HK108" s="52"/>
      <c r="HL108" s="52"/>
      <c r="HM108" s="52"/>
      <c r="HN108" s="52"/>
      <c r="HO108" s="52"/>
      <c r="HP108" s="52"/>
      <c r="HQ108" s="52"/>
      <c r="HR108" s="52"/>
      <c r="HS108" s="52"/>
      <c r="HT108" s="52"/>
      <c r="HU108" s="52"/>
      <c r="HV108" s="52"/>
      <c r="HW108" s="52"/>
      <c r="HX108" s="52"/>
      <c r="HY108" s="52"/>
      <c r="HZ108" s="52"/>
      <c r="IA108" s="52"/>
      <c r="IB108" s="52"/>
      <c r="IC108" s="52"/>
      <c r="ID108" s="52"/>
      <c r="IE108" s="52"/>
      <c r="IF108" s="52"/>
      <c r="IG108" s="52"/>
      <c r="IH108" s="53"/>
      <c r="II108" s="53"/>
      <c r="IJ108" s="53"/>
      <c r="IK108" s="53"/>
      <c r="IL108" s="53"/>
      <c r="IM108" s="52"/>
      <c r="IN108" s="52">
        <v>109.6</v>
      </c>
      <c r="IY108" s="48">
        <f t="shared" si="5"/>
        <v>47.950465803226543</v>
      </c>
      <c r="IZ108" s="48">
        <f>IY108-'NOPA Crush'!J108</f>
        <v>1.0465803226544779E-2</v>
      </c>
      <c r="JB108" s="63">
        <f t="shared" si="3"/>
        <v>11.295160190865714</v>
      </c>
      <c r="JC108" s="64">
        <f>JB108-'NOPA Crush'!O108</f>
        <v>-2.4839809134286739E-2</v>
      </c>
      <c r="JD108" s="65"/>
      <c r="JE108" s="67">
        <f t="shared" si="4"/>
        <v>2203.4</v>
      </c>
      <c r="JF108" s="68">
        <f>'NOPA Crush'!Q108/'Census Crush'!JE108</f>
        <v>0.35191567577380406</v>
      </c>
    </row>
    <row r="109" spans="1:266">
      <c r="A109" s="39">
        <v>32356</v>
      </c>
      <c r="B109" s="49">
        <v>2348</v>
      </c>
      <c r="C109" s="50">
        <v>1792</v>
      </c>
      <c r="D109" s="50">
        <v>216.8</v>
      </c>
      <c r="E109" s="50">
        <v>369.1</v>
      </c>
      <c r="F109" s="50">
        <v>13.3</v>
      </c>
      <c r="G109" s="50">
        <v>52.8</v>
      </c>
      <c r="H109" s="50" t="s">
        <v>264</v>
      </c>
      <c r="I109" s="50" t="s">
        <v>264</v>
      </c>
      <c r="J109" s="50" t="s">
        <v>264</v>
      </c>
      <c r="K109" s="49">
        <v>878.6</v>
      </c>
      <c r="L109" s="49">
        <v>2212.4</v>
      </c>
      <c r="M109" s="49">
        <v>1959.6</v>
      </c>
      <c r="N109" s="49">
        <v>252.8</v>
      </c>
      <c r="O109" s="50">
        <v>72.7</v>
      </c>
      <c r="P109" s="51">
        <v>172.9</v>
      </c>
      <c r="Q109" s="49">
        <v>85.4</v>
      </c>
      <c r="R109" s="49">
        <v>87.5</v>
      </c>
      <c r="S109" s="49"/>
      <c r="T109" s="49">
        <v>11.4</v>
      </c>
      <c r="U109" s="51">
        <v>19.5</v>
      </c>
      <c r="V109" s="49">
        <v>17.3</v>
      </c>
      <c r="W109" s="49">
        <v>2.2000000000000002</v>
      </c>
      <c r="X109" s="49">
        <v>45.8</v>
      </c>
      <c r="Y109" s="49">
        <v>8</v>
      </c>
      <c r="Z109" s="49">
        <v>213.70000000000002</v>
      </c>
      <c r="AA109" s="49">
        <v>210.8</v>
      </c>
      <c r="AB109" s="49">
        <v>2.9</v>
      </c>
      <c r="AC109" s="49" t="s">
        <v>264</v>
      </c>
      <c r="AD109" s="49" t="s">
        <v>264</v>
      </c>
      <c r="AE109" s="49"/>
      <c r="AF109" s="51"/>
      <c r="AG109" s="50" t="s">
        <v>264</v>
      </c>
      <c r="AH109" s="50" t="s">
        <v>264</v>
      </c>
      <c r="AI109" s="49">
        <v>132.1</v>
      </c>
      <c r="AJ109" s="49"/>
      <c r="AK109" s="49"/>
      <c r="AL109" s="51">
        <v>112.9</v>
      </c>
      <c r="AM109" s="49">
        <v>75.3</v>
      </c>
      <c r="AN109" s="49">
        <v>37.6</v>
      </c>
      <c r="AO109" s="49">
        <v>1766.5</v>
      </c>
      <c r="AP109" s="49">
        <v>227.1</v>
      </c>
      <c r="AQ109" s="49">
        <v>106.1</v>
      </c>
      <c r="AR109" s="49">
        <v>37.5</v>
      </c>
      <c r="AS109" s="50">
        <v>100.7</v>
      </c>
      <c r="AT109" s="50">
        <v>86.6</v>
      </c>
      <c r="AU109" s="50">
        <v>60.1</v>
      </c>
      <c r="AV109" s="50">
        <v>57.8</v>
      </c>
      <c r="AW109" s="50">
        <v>7.6</v>
      </c>
      <c r="AX109" s="50">
        <v>4.2</v>
      </c>
      <c r="AY109" s="50">
        <v>24.3</v>
      </c>
      <c r="AZ109" s="50" t="s">
        <v>264</v>
      </c>
      <c r="BA109" s="50" t="s">
        <v>264</v>
      </c>
      <c r="BB109" s="50" t="s">
        <v>264</v>
      </c>
      <c r="BC109" s="50"/>
      <c r="BD109" s="52">
        <v>116.3</v>
      </c>
      <c r="BE109" s="52">
        <v>58</v>
      </c>
      <c r="BF109" s="52"/>
      <c r="BG109" s="52"/>
      <c r="BH109" s="52">
        <v>369.3</v>
      </c>
      <c r="BI109" s="52"/>
      <c r="BJ109" s="52"/>
      <c r="BK109" s="52">
        <v>168</v>
      </c>
      <c r="BL109" s="52">
        <v>9.3000000000000007</v>
      </c>
      <c r="BM109" s="52">
        <v>546.5</v>
      </c>
      <c r="BN109" s="52">
        <v>412.9</v>
      </c>
      <c r="BO109" s="52"/>
      <c r="BP109" s="52"/>
      <c r="BQ109" s="52">
        <v>96.2</v>
      </c>
      <c r="BR109" s="52">
        <v>5.6</v>
      </c>
      <c r="BS109" s="53">
        <v>514.69999999999993</v>
      </c>
      <c r="BT109" s="52">
        <v>79</v>
      </c>
      <c r="BU109" s="52">
        <v>30.1</v>
      </c>
      <c r="BV109" s="50">
        <v>380.7</v>
      </c>
      <c r="BW109" s="50">
        <v>116.1</v>
      </c>
      <c r="BX109" s="49">
        <v>506.3</v>
      </c>
      <c r="BY109" s="50">
        <v>54.5</v>
      </c>
      <c r="BZ109" s="50">
        <v>16.8</v>
      </c>
      <c r="CA109" s="49">
        <v>71.3</v>
      </c>
      <c r="CB109" s="52"/>
      <c r="CC109" s="52"/>
      <c r="CD109" s="52"/>
      <c r="CE109" s="52"/>
      <c r="CF109" s="52">
        <v>116.4</v>
      </c>
      <c r="CG109" s="52">
        <v>115</v>
      </c>
      <c r="CH109" s="52">
        <v>22.9</v>
      </c>
      <c r="CI109" s="52"/>
      <c r="CJ109" s="52"/>
      <c r="CK109" s="52"/>
      <c r="CL109" s="52"/>
      <c r="CM109" s="52"/>
      <c r="CN109" s="52">
        <v>57</v>
      </c>
      <c r="CO109" s="52">
        <v>335</v>
      </c>
      <c r="CP109" s="52">
        <v>280.3</v>
      </c>
      <c r="CQ109" s="52">
        <v>54.7</v>
      </c>
      <c r="CR109" s="52" t="s">
        <v>264</v>
      </c>
      <c r="CS109" s="52">
        <v>44.8</v>
      </c>
      <c r="CT109" s="52">
        <v>29.3</v>
      </c>
      <c r="CU109" s="52">
        <v>15.5</v>
      </c>
      <c r="CV109" s="52">
        <v>43.7</v>
      </c>
      <c r="CW109" s="52">
        <v>16.3</v>
      </c>
      <c r="CX109" s="52">
        <v>27.4</v>
      </c>
      <c r="CY109" s="52" t="s">
        <v>264</v>
      </c>
      <c r="CZ109" s="52">
        <v>88.6</v>
      </c>
      <c r="DA109" s="52">
        <v>35.400000000000006</v>
      </c>
      <c r="DB109" s="52">
        <v>33.700000000000003</v>
      </c>
      <c r="DC109" s="52">
        <v>1.7</v>
      </c>
      <c r="DD109" s="52"/>
      <c r="DE109" s="52"/>
      <c r="DF109" s="53"/>
      <c r="DG109" s="53">
        <v>97.8</v>
      </c>
      <c r="DH109" s="53"/>
      <c r="DI109" s="53">
        <v>360.4</v>
      </c>
      <c r="DJ109" s="53"/>
      <c r="DK109" s="53">
        <v>417</v>
      </c>
      <c r="DL109" s="53"/>
      <c r="DM109" s="53">
        <v>199.4</v>
      </c>
      <c r="DN109" s="53"/>
      <c r="DO109" s="53">
        <v>125.2</v>
      </c>
      <c r="DP109" s="53">
        <v>183.6</v>
      </c>
      <c r="DQ109" s="53"/>
      <c r="DR109" s="53"/>
      <c r="DS109" s="53">
        <v>618.1</v>
      </c>
      <c r="DT109" s="53">
        <v>2438</v>
      </c>
      <c r="DU109" s="53">
        <v>-534.30000000000018</v>
      </c>
      <c r="DV109" s="53">
        <v>90</v>
      </c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  <c r="FB109" s="52"/>
      <c r="FC109" s="52"/>
      <c r="FD109" s="52"/>
      <c r="FE109" s="52"/>
      <c r="FF109" s="52"/>
      <c r="FG109" s="52"/>
      <c r="FH109" s="52"/>
      <c r="FI109" s="52"/>
      <c r="FJ109" s="52"/>
      <c r="FK109" s="52"/>
      <c r="FL109" s="52"/>
      <c r="FM109" s="52"/>
      <c r="FN109" s="52"/>
      <c r="FO109" s="52"/>
      <c r="FP109" s="52"/>
      <c r="FQ109" s="52"/>
      <c r="FR109" s="52"/>
      <c r="FS109" s="52"/>
      <c r="FT109" s="52"/>
      <c r="FU109" s="52"/>
      <c r="FV109" s="52"/>
      <c r="FW109" s="52"/>
      <c r="FX109" s="52"/>
      <c r="FY109" s="52"/>
      <c r="FZ109" s="52"/>
      <c r="GA109" s="52"/>
      <c r="GB109" s="52"/>
      <c r="GC109" s="52"/>
      <c r="GD109" s="52"/>
      <c r="GE109" s="52"/>
      <c r="GF109" s="52"/>
      <c r="GG109" s="52"/>
      <c r="GH109" s="52"/>
      <c r="GI109" s="52"/>
      <c r="GJ109" s="52"/>
      <c r="GK109" s="52"/>
      <c r="GL109" s="52"/>
      <c r="GM109" s="52"/>
      <c r="GN109" s="52"/>
      <c r="GO109" s="52"/>
      <c r="GP109" s="52"/>
      <c r="GQ109" s="52"/>
      <c r="GR109" s="52"/>
      <c r="GS109" s="52"/>
      <c r="GT109" s="52"/>
      <c r="GU109" s="52"/>
      <c r="GV109" s="52"/>
      <c r="GW109" s="52"/>
      <c r="GX109" s="52"/>
      <c r="GY109" s="17"/>
      <c r="GZ109" s="52">
        <v>903.6</v>
      </c>
      <c r="HA109" s="52"/>
      <c r="HB109" s="17"/>
      <c r="HC109" s="17"/>
      <c r="HD109" s="17"/>
      <c r="HE109" s="17"/>
      <c r="HF109" s="52"/>
      <c r="HG109" s="52"/>
      <c r="HH109" s="52"/>
      <c r="HI109" s="52"/>
      <c r="HJ109" s="52"/>
      <c r="HK109" s="52"/>
      <c r="HL109" s="52"/>
      <c r="HM109" s="52"/>
      <c r="HN109" s="52"/>
      <c r="HO109" s="52"/>
      <c r="HP109" s="52"/>
      <c r="HQ109" s="52"/>
      <c r="HR109" s="52"/>
      <c r="HS109" s="52"/>
      <c r="HT109" s="52"/>
      <c r="HU109" s="52"/>
      <c r="HV109" s="52"/>
      <c r="HW109" s="52"/>
      <c r="HX109" s="52"/>
      <c r="HY109" s="52"/>
      <c r="HZ109" s="52"/>
      <c r="IA109" s="52"/>
      <c r="IB109" s="52"/>
      <c r="IC109" s="52"/>
      <c r="ID109" s="52"/>
      <c r="IE109" s="52"/>
      <c r="IF109" s="52"/>
      <c r="IG109" s="52"/>
      <c r="IH109" s="53"/>
      <c r="II109" s="53"/>
      <c r="IJ109" s="53"/>
      <c r="IK109" s="53"/>
      <c r="IL109" s="53"/>
      <c r="IM109" s="52"/>
      <c r="IN109" s="52">
        <v>83.2</v>
      </c>
      <c r="IY109" s="48">
        <f t="shared" si="5"/>
        <v>47.851788756388416</v>
      </c>
      <c r="IZ109" s="48">
        <f>IY109-'NOPA Crush'!J109</f>
        <v>7.1788756388414754E-2</v>
      </c>
      <c r="JB109" s="63">
        <f t="shared" si="3"/>
        <v>11.22572402044293</v>
      </c>
      <c r="JC109" s="64">
        <f>JB109-'NOPA Crush'!O109</f>
        <v>3.5724020442930993E-2</v>
      </c>
      <c r="JD109" s="65"/>
      <c r="JE109" s="67">
        <f t="shared" si="4"/>
        <v>2212.4</v>
      </c>
      <c r="JF109" s="68">
        <f>'NOPA Crush'!Q109/'Census Crush'!JE109</f>
        <v>0.28861281865847044</v>
      </c>
    </row>
    <row r="110" spans="1:266">
      <c r="A110" s="39">
        <v>32387</v>
      </c>
      <c r="B110" s="49">
        <v>2396.6999999999998</v>
      </c>
      <c r="C110" s="50">
        <v>1841.5</v>
      </c>
      <c r="D110" s="50">
        <v>179.5</v>
      </c>
      <c r="E110" s="50">
        <v>607.20000000000005</v>
      </c>
      <c r="F110" s="50">
        <v>3.4</v>
      </c>
      <c r="G110" s="50">
        <v>32.299999999999997</v>
      </c>
      <c r="H110" s="50">
        <v>7.2</v>
      </c>
      <c r="I110" s="50" t="s">
        <v>264</v>
      </c>
      <c r="J110" s="50" t="s">
        <v>264</v>
      </c>
      <c r="K110" s="49">
        <v>901.3</v>
      </c>
      <c r="L110" s="49">
        <v>2092.2000000000003</v>
      </c>
      <c r="M110" s="49">
        <v>1833.9</v>
      </c>
      <c r="N110" s="49">
        <v>258.3</v>
      </c>
      <c r="O110" s="50">
        <v>56.9</v>
      </c>
      <c r="P110" s="51">
        <v>160.39999999999998</v>
      </c>
      <c r="Q110" s="49">
        <v>83.1</v>
      </c>
      <c r="R110" s="49">
        <v>77.3</v>
      </c>
      <c r="S110" s="49"/>
      <c r="T110" s="49">
        <v>2.8</v>
      </c>
      <c r="U110" s="51">
        <v>14.7</v>
      </c>
      <c r="V110" s="49">
        <v>10.9</v>
      </c>
      <c r="W110" s="49">
        <v>3.8</v>
      </c>
      <c r="X110" s="49">
        <v>26.6</v>
      </c>
      <c r="Y110" s="49">
        <v>5.8</v>
      </c>
      <c r="Z110" s="49">
        <v>157.29999999999998</v>
      </c>
      <c r="AA110" s="49">
        <v>155.19999999999999</v>
      </c>
      <c r="AB110" s="49">
        <v>2.1</v>
      </c>
      <c r="AC110" s="49" t="s">
        <v>264</v>
      </c>
      <c r="AD110" s="49" t="s">
        <v>264</v>
      </c>
      <c r="AE110" s="49"/>
      <c r="AF110" s="51"/>
      <c r="AG110" s="50" t="s">
        <v>264</v>
      </c>
      <c r="AH110" s="50" t="s">
        <v>264</v>
      </c>
      <c r="AI110" s="49">
        <v>124.5</v>
      </c>
      <c r="AJ110" s="49"/>
      <c r="AK110" s="49"/>
      <c r="AL110" s="51">
        <v>111.1</v>
      </c>
      <c r="AM110" s="49">
        <v>74.7</v>
      </c>
      <c r="AN110" s="49">
        <v>36.4</v>
      </c>
      <c r="AO110" s="49">
        <v>1789.5</v>
      </c>
      <c r="AP110" s="49">
        <v>122.4</v>
      </c>
      <c r="AQ110" s="49">
        <v>108.3</v>
      </c>
      <c r="AR110" s="49">
        <v>31.1</v>
      </c>
      <c r="AS110" s="50">
        <v>80.099999999999994</v>
      </c>
      <c r="AT110" s="50">
        <v>44.1</v>
      </c>
      <c r="AU110" s="50">
        <v>47.3</v>
      </c>
      <c r="AV110" s="50">
        <v>39.299999999999997</v>
      </c>
      <c r="AW110" s="50">
        <v>2</v>
      </c>
      <c r="AX110" s="50">
        <v>2.2999999999999998</v>
      </c>
      <c r="AY110" s="50">
        <v>16.600000000000001</v>
      </c>
      <c r="AZ110" s="50">
        <v>4.5</v>
      </c>
      <c r="BA110" s="50" t="s">
        <v>264</v>
      </c>
      <c r="BB110" s="50" t="s">
        <v>264</v>
      </c>
      <c r="BC110" s="50"/>
      <c r="BD110" s="52">
        <v>113.8</v>
      </c>
      <c r="BE110" s="52">
        <v>56.6</v>
      </c>
      <c r="BF110" s="52"/>
      <c r="BG110" s="52"/>
      <c r="BH110" s="52">
        <v>383.4</v>
      </c>
      <c r="BI110" s="52"/>
      <c r="BJ110" s="52"/>
      <c r="BK110" s="52">
        <v>174.9</v>
      </c>
      <c r="BL110" s="52">
        <v>4.7</v>
      </c>
      <c r="BM110" s="52">
        <v>563</v>
      </c>
      <c r="BN110" s="52">
        <v>320.7</v>
      </c>
      <c r="BO110" s="52"/>
      <c r="BP110" s="52"/>
      <c r="BQ110" s="52">
        <v>100.7</v>
      </c>
      <c r="BR110" s="52">
        <v>4.8</v>
      </c>
      <c r="BS110" s="53">
        <v>426.2</v>
      </c>
      <c r="BT110" s="52">
        <v>81</v>
      </c>
      <c r="BU110" s="52">
        <v>39</v>
      </c>
      <c r="BV110" s="50">
        <v>358.3</v>
      </c>
      <c r="BW110" s="50">
        <v>118.7</v>
      </c>
      <c r="BX110" s="49">
        <v>484.1</v>
      </c>
      <c r="BY110" s="50">
        <v>49.4</v>
      </c>
      <c r="BZ110" s="50">
        <v>19.100000000000001</v>
      </c>
      <c r="CA110" s="49">
        <v>68.5</v>
      </c>
      <c r="CB110" s="52"/>
      <c r="CC110" s="52"/>
      <c r="CD110" s="52"/>
      <c r="CE110" s="52"/>
      <c r="CF110" s="52">
        <v>125.6</v>
      </c>
      <c r="CG110" s="52">
        <v>109.7</v>
      </c>
      <c r="CH110" s="52">
        <v>22.3</v>
      </c>
      <c r="CI110" s="52"/>
      <c r="CJ110" s="52"/>
      <c r="CK110" s="52"/>
      <c r="CL110" s="52"/>
      <c r="CM110" s="52"/>
      <c r="CN110" s="52">
        <v>46.3</v>
      </c>
      <c r="CO110" s="52">
        <v>333.3</v>
      </c>
      <c r="CP110" s="52">
        <v>287.10000000000002</v>
      </c>
      <c r="CQ110" s="52">
        <v>46.2</v>
      </c>
      <c r="CR110" s="52" t="s">
        <v>264</v>
      </c>
      <c r="CS110" s="52">
        <v>24.4</v>
      </c>
      <c r="CT110" s="52">
        <v>15.8</v>
      </c>
      <c r="CU110" s="52">
        <v>8.6</v>
      </c>
      <c r="CV110" s="52">
        <v>62.3</v>
      </c>
      <c r="CW110" s="52">
        <v>32.299999999999997</v>
      </c>
      <c r="CX110" s="52">
        <v>30</v>
      </c>
      <c r="CY110" s="52" t="s">
        <v>264</v>
      </c>
      <c r="CZ110" s="52">
        <v>82.1</v>
      </c>
      <c r="DA110" s="52">
        <v>50.9</v>
      </c>
      <c r="DB110" s="52">
        <v>45.5</v>
      </c>
      <c r="DC110" s="52">
        <v>5.4</v>
      </c>
      <c r="DD110" s="52"/>
      <c r="DE110" s="52"/>
      <c r="DF110" s="53"/>
      <c r="DG110" s="53"/>
      <c r="DH110" s="53"/>
      <c r="DI110" s="53">
        <v>486.5</v>
      </c>
      <c r="DJ110" s="53">
        <v>161.4</v>
      </c>
      <c r="DK110" s="53">
        <v>409.8</v>
      </c>
      <c r="DL110" s="53">
        <v>85.9</v>
      </c>
      <c r="DM110" s="53">
        <v>193.7</v>
      </c>
      <c r="DN110" s="53"/>
      <c r="DO110" s="53">
        <v>115.2</v>
      </c>
      <c r="DP110" s="53">
        <v>157.30000000000001</v>
      </c>
      <c r="DQ110" s="53"/>
      <c r="DR110" s="53"/>
      <c r="DS110" s="53">
        <v>676</v>
      </c>
      <c r="DT110" s="53">
        <v>2396.6999999999998</v>
      </c>
      <c r="DU110" s="53">
        <v>-110.89999999999964</v>
      </c>
      <c r="DV110" s="53">
        <v>0</v>
      </c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  <c r="FB110" s="52"/>
      <c r="FC110" s="52"/>
      <c r="FD110" s="52"/>
      <c r="FE110" s="52"/>
      <c r="FF110" s="52"/>
      <c r="FG110" s="52"/>
      <c r="FH110" s="52"/>
      <c r="FI110" s="52"/>
      <c r="FJ110" s="52"/>
      <c r="FK110" s="52"/>
      <c r="FL110" s="52"/>
      <c r="FM110" s="52"/>
      <c r="FN110" s="52"/>
      <c r="FO110" s="52"/>
      <c r="FP110" s="52"/>
      <c r="FQ110" s="52"/>
      <c r="FR110" s="52"/>
      <c r="FS110" s="52"/>
      <c r="FT110" s="52"/>
      <c r="FU110" s="52"/>
      <c r="FV110" s="52"/>
      <c r="FW110" s="52"/>
      <c r="FX110" s="52"/>
      <c r="FY110" s="52"/>
      <c r="FZ110" s="52"/>
      <c r="GA110" s="52"/>
      <c r="GB110" s="52"/>
      <c r="GC110" s="52"/>
      <c r="GD110" s="52"/>
      <c r="GE110" s="52"/>
      <c r="GF110" s="52"/>
      <c r="GG110" s="52"/>
      <c r="GH110" s="52"/>
      <c r="GI110" s="52"/>
      <c r="GJ110" s="52"/>
      <c r="GK110" s="52"/>
      <c r="GL110" s="52"/>
      <c r="GM110" s="52"/>
      <c r="GN110" s="52"/>
      <c r="GO110" s="52"/>
      <c r="GP110" s="52"/>
      <c r="GQ110" s="52"/>
      <c r="GR110" s="52"/>
      <c r="GS110" s="52"/>
      <c r="GT110" s="52"/>
      <c r="GU110" s="52"/>
      <c r="GV110" s="52"/>
      <c r="GW110" s="52"/>
      <c r="GX110" s="52"/>
      <c r="GY110" s="17"/>
      <c r="GZ110" s="52">
        <v>838.7</v>
      </c>
      <c r="HA110" s="52"/>
      <c r="HB110" s="17"/>
      <c r="HC110" s="17"/>
      <c r="HD110" s="17"/>
      <c r="HE110" s="17"/>
      <c r="HF110" s="52"/>
      <c r="HG110" s="52"/>
      <c r="HH110" s="52"/>
      <c r="HI110" s="52"/>
      <c r="HJ110" s="52"/>
      <c r="HK110" s="52"/>
      <c r="HL110" s="52"/>
      <c r="HM110" s="52"/>
      <c r="HN110" s="52"/>
      <c r="HO110" s="52"/>
      <c r="HP110" s="52"/>
      <c r="HQ110" s="52"/>
      <c r="HR110" s="52"/>
      <c r="HS110" s="52"/>
      <c r="HT110" s="52"/>
      <c r="HU110" s="52"/>
      <c r="HV110" s="52"/>
      <c r="HW110" s="52"/>
      <c r="HX110" s="52"/>
      <c r="HY110" s="52"/>
      <c r="HZ110" s="52"/>
      <c r="IA110" s="52"/>
      <c r="IB110" s="52"/>
      <c r="IC110" s="52"/>
      <c r="ID110" s="52"/>
      <c r="IE110" s="52"/>
      <c r="IF110" s="52"/>
      <c r="IG110" s="52"/>
      <c r="IH110" s="53"/>
      <c r="II110" s="53"/>
      <c r="IJ110" s="53"/>
      <c r="IK110" s="53"/>
      <c r="IL110" s="53"/>
      <c r="IM110" s="52"/>
      <c r="IN110" s="52">
        <v>61.7</v>
      </c>
      <c r="IY110" s="48">
        <f t="shared" si="5"/>
        <v>47.510326699211411</v>
      </c>
      <c r="IZ110" s="48">
        <f>IY110-'NOPA Crush'!J110</f>
        <v>-1.9673300788589643E-2</v>
      </c>
      <c r="JB110" s="63">
        <f t="shared" si="3"/>
        <v>11.281762423332081</v>
      </c>
      <c r="JC110" s="64">
        <f>JB110-'NOPA Crush'!O110</f>
        <v>-2.8237576667919484E-2</v>
      </c>
      <c r="JD110" s="65"/>
      <c r="JE110" s="67">
        <f t="shared" si="4"/>
        <v>2092.2000000000003</v>
      </c>
      <c r="JF110" s="68">
        <f>'NOPA Crush'!Q110/'Census Crush'!JE110</f>
        <v>0.28308001147117862</v>
      </c>
    </row>
    <row r="111" spans="1:266">
      <c r="A111" s="39">
        <v>32417</v>
      </c>
      <c r="B111" s="49">
        <v>2833.4</v>
      </c>
      <c r="C111" s="50">
        <v>4097.3999999999996</v>
      </c>
      <c r="D111" s="50">
        <v>299.3</v>
      </c>
      <c r="E111" s="50">
        <v>1320.2</v>
      </c>
      <c r="F111" s="50">
        <v>12.5</v>
      </c>
      <c r="G111" s="50">
        <v>67.900000000000006</v>
      </c>
      <c r="H111" s="50">
        <v>58.1</v>
      </c>
      <c r="I111" s="50" t="s">
        <v>264</v>
      </c>
      <c r="J111" s="50" t="s">
        <v>264</v>
      </c>
      <c r="K111" s="49">
        <v>1047.4000000000001</v>
      </c>
      <c r="L111" s="49">
        <v>2046.2</v>
      </c>
      <c r="M111" s="49">
        <v>1783</v>
      </c>
      <c r="N111" s="49">
        <v>263.2</v>
      </c>
      <c r="O111" s="50">
        <v>98.6</v>
      </c>
      <c r="P111" s="51">
        <v>163.9</v>
      </c>
      <c r="Q111" s="49">
        <v>77.400000000000006</v>
      </c>
      <c r="R111" s="49">
        <v>86.5</v>
      </c>
      <c r="S111" s="49"/>
      <c r="T111" s="49">
        <v>9.6999999999999993</v>
      </c>
      <c r="U111" s="51">
        <v>7.7</v>
      </c>
      <c r="V111" s="49">
        <v>5.2</v>
      </c>
      <c r="W111" s="49">
        <v>2.5</v>
      </c>
      <c r="X111" s="49">
        <v>56</v>
      </c>
      <c r="Y111" s="49">
        <v>10.7</v>
      </c>
      <c r="Z111" s="49">
        <v>147.5</v>
      </c>
      <c r="AA111" s="49">
        <v>128.5</v>
      </c>
      <c r="AB111" s="49">
        <v>19</v>
      </c>
      <c r="AC111" s="49" t="s">
        <v>264</v>
      </c>
      <c r="AD111" s="49" t="s">
        <v>264</v>
      </c>
      <c r="AE111" s="49"/>
      <c r="AF111" s="51"/>
      <c r="AG111" s="50" t="s">
        <v>264</v>
      </c>
      <c r="AH111" s="50" t="s">
        <v>264</v>
      </c>
      <c r="AI111" s="49">
        <v>123.8</v>
      </c>
      <c r="AJ111" s="49"/>
      <c r="AK111" s="49"/>
      <c r="AL111" s="51">
        <v>125.9</v>
      </c>
      <c r="AM111" s="49">
        <v>84.3</v>
      </c>
      <c r="AN111" s="49">
        <v>41.6</v>
      </c>
      <c r="AO111" s="49">
        <v>2110.9</v>
      </c>
      <c r="AP111" s="49">
        <v>227.1</v>
      </c>
      <c r="AQ111" s="49">
        <v>124.6</v>
      </c>
      <c r="AR111" s="49">
        <v>40.799999999999997</v>
      </c>
      <c r="AS111" s="50">
        <v>135.4</v>
      </c>
      <c r="AT111" s="50">
        <v>58.8</v>
      </c>
      <c r="AU111" s="50">
        <v>76.400000000000006</v>
      </c>
      <c r="AV111" s="50">
        <v>34.200000000000003</v>
      </c>
      <c r="AW111" s="50">
        <v>7.2</v>
      </c>
      <c r="AX111" s="50">
        <v>3.6</v>
      </c>
      <c r="AY111" s="50">
        <v>35.4</v>
      </c>
      <c r="AZ111" s="50">
        <v>5.6</v>
      </c>
      <c r="BA111" s="50" t="s">
        <v>264</v>
      </c>
      <c r="BB111" s="50" t="s">
        <v>264</v>
      </c>
      <c r="BC111" s="50"/>
      <c r="BD111" s="52">
        <v>108.8</v>
      </c>
      <c r="BE111" s="52">
        <v>53.9</v>
      </c>
      <c r="BF111" s="52"/>
      <c r="BG111" s="52"/>
      <c r="BH111" s="52">
        <v>338.5</v>
      </c>
      <c r="BI111" s="52"/>
      <c r="BJ111" s="52"/>
      <c r="BK111" s="52">
        <v>172.4</v>
      </c>
      <c r="BL111" s="52">
        <v>4.7</v>
      </c>
      <c r="BM111" s="52">
        <v>515.5</v>
      </c>
      <c r="BN111" s="52">
        <v>362.2</v>
      </c>
      <c r="BO111" s="52"/>
      <c r="BP111" s="52"/>
      <c r="BQ111" s="52">
        <v>91.9</v>
      </c>
      <c r="BR111" s="52">
        <v>5.0999999999999996</v>
      </c>
      <c r="BS111" s="53">
        <v>459.20000000000005</v>
      </c>
      <c r="BT111" s="52">
        <v>84</v>
      </c>
      <c r="BU111" s="52">
        <v>41.7</v>
      </c>
      <c r="BV111" s="50">
        <v>350</v>
      </c>
      <c r="BW111" s="50">
        <v>114.6</v>
      </c>
      <c r="BX111" s="49">
        <v>471.5</v>
      </c>
      <c r="BY111" s="50">
        <v>51.8</v>
      </c>
      <c r="BZ111" s="50">
        <v>20</v>
      </c>
      <c r="CA111" s="49">
        <v>71.8</v>
      </c>
      <c r="CB111" s="52"/>
      <c r="CC111" s="52"/>
      <c r="CD111" s="52"/>
      <c r="CE111" s="52"/>
      <c r="CF111" s="52">
        <v>120.9</v>
      </c>
      <c r="CG111" s="52">
        <v>107.6</v>
      </c>
      <c r="CH111" s="52">
        <v>22.1</v>
      </c>
      <c r="CI111" s="52"/>
      <c r="CJ111" s="52"/>
      <c r="CK111" s="52"/>
      <c r="CL111" s="52"/>
      <c r="CM111" s="52"/>
      <c r="CN111" s="52">
        <v>74.2</v>
      </c>
      <c r="CO111" s="52">
        <v>332.7</v>
      </c>
      <c r="CP111" s="52">
        <v>302.8</v>
      </c>
      <c r="CQ111" s="52">
        <v>29.9</v>
      </c>
      <c r="CR111" s="52" t="s">
        <v>264</v>
      </c>
      <c r="CS111" s="52">
        <v>33.5</v>
      </c>
      <c r="CT111" s="52">
        <v>26.6</v>
      </c>
      <c r="CU111" s="52">
        <v>6.9</v>
      </c>
      <c r="CV111" s="52">
        <v>72</v>
      </c>
      <c r="CW111" s="52">
        <v>28.4</v>
      </c>
      <c r="CX111" s="52">
        <v>43.6</v>
      </c>
      <c r="CY111" s="52" t="s">
        <v>264</v>
      </c>
      <c r="CZ111" s="52">
        <v>126.2</v>
      </c>
      <c r="DA111" s="52">
        <v>42.5</v>
      </c>
      <c r="DB111" s="52">
        <v>39.1</v>
      </c>
      <c r="DC111" s="52">
        <v>3.4</v>
      </c>
      <c r="DD111" s="52"/>
      <c r="DE111" s="52"/>
      <c r="DF111" s="53"/>
      <c r="DG111" s="53">
        <v>97.7</v>
      </c>
      <c r="DH111" s="53"/>
      <c r="DI111" s="53">
        <v>554.70000000000005</v>
      </c>
      <c r="DJ111" s="53">
        <v>182</v>
      </c>
      <c r="DK111" s="53">
        <v>471.8</v>
      </c>
      <c r="DL111" s="53">
        <v>137.19999999999999</v>
      </c>
      <c r="DM111" s="53">
        <v>185.5</v>
      </c>
      <c r="DN111" s="53"/>
      <c r="DO111" s="53">
        <v>165.7</v>
      </c>
      <c r="DP111" s="53">
        <v>188.9</v>
      </c>
      <c r="DQ111" s="53"/>
      <c r="DR111" s="53"/>
      <c r="DS111" s="53">
        <v>712.2</v>
      </c>
      <c r="DT111" s="53">
        <v>2833.4</v>
      </c>
      <c r="DU111" s="53">
        <v>-235.40000000000009</v>
      </c>
      <c r="DV111" s="53">
        <v>0</v>
      </c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  <c r="FB111" s="52"/>
      <c r="FC111" s="52"/>
      <c r="FD111" s="52"/>
      <c r="FE111" s="52"/>
      <c r="FF111" s="52"/>
      <c r="FG111" s="52"/>
      <c r="FH111" s="52"/>
      <c r="FI111" s="52"/>
      <c r="FJ111" s="52"/>
      <c r="FK111" s="52"/>
      <c r="FL111" s="52"/>
      <c r="FM111" s="52"/>
      <c r="FN111" s="52"/>
      <c r="FO111" s="52"/>
      <c r="FP111" s="52"/>
      <c r="FQ111" s="52"/>
      <c r="FR111" s="52"/>
      <c r="FS111" s="52"/>
      <c r="FT111" s="52"/>
      <c r="FU111" s="52"/>
      <c r="FV111" s="52"/>
      <c r="FW111" s="52"/>
      <c r="FX111" s="52"/>
      <c r="FY111" s="52"/>
      <c r="FZ111" s="52"/>
      <c r="GA111" s="52"/>
      <c r="GB111" s="52"/>
      <c r="GC111" s="52"/>
      <c r="GD111" s="52"/>
      <c r="GE111" s="52"/>
      <c r="GF111" s="52"/>
      <c r="GG111" s="52"/>
      <c r="GH111" s="52"/>
      <c r="GI111" s="52"/>
      <c r="GJ111" s="52"/>
      <c r="GK111" s="52"/>
      <c r="GL111" s="52"/>
      <c r="GM111" s="52"/>
      <c r="GN111" s="52"/>
      <c r="GO111" s="52"/>
      <c r="GP111" s="52"/>
      <c r="GQ111" s="52"/>
      <c r="GR111" s="52"/>
      <c r="GS111" s="52"/>
      <c r="GT111" s="52"/>
      <c r="GU111" s="52"/>
      <c r="GV111" s="52"/>
      <c r="GW111" s="52"/>
      <c r="GX111" s="52"/>
      <c r="GY111" s="17"/>
      <c r="GZ111" s="52">
        <v>867.1</v>
      </c>
      <c r="HA111" s="52"/>
      <c r="HB111" s="17"/>
      <c r="HC111" s="17"/>
      <c r="HD111" s="17"/>
      <c r="HE111" s="17"/>
      <c r="HF111" s="52"/>
      <c r="HG111" s="52"/>
      <c r="HH111" s="52"/>
      <c r="HI111" s="52"/>
      <c r="HJ111" s="52"/>
      <c r="HK111" s="52"/>
      <c r="HL111" s="52"/>
      <c r="HM111" s="52"/>
      <c r="HN111" s="52"/>
      <c r="HO111" s="52"/>
      <c r="HP111" s="52"/>
      <c r="HQ111" s="52"/>
      <c r="HR111" s="52"/>
      <c r="HS111" s="52"/>
      <c r="HT111" s="52"/>
      <c r="HU111" s="52"/>
      <c r="HV111" s="52"/>
      <c r="HW111" s="52"/>
      <c r="HX111" s="52"/>
      <c r="HY111" s="52"/>
      <c r="HZ111" s="52"/>
      <c r="IA111" s="52"/>
      <c r="IB111" s="52"/>
      <c r="IC111" s="52"/>
      <c r="ID111" s="52"/>
      <c r="IE111" s="52"/>
      <c r="IF111" s="52"/>
      <c r="IG111" s="52"/>
      <c r="IH111" s="53"/>
      <c r="II111" s="53"/>
      <c r="IJ111" s="53"/>
      <c r="IK111" s="53"/>
      <c r="IL111" s="53"/>
      <c r="IM111" s="52"/>
      <c r="IN111" s="52">
        <v>94.1</v>
      </c>
      <c r="IY111" s="48">
        <f t="shared" si="5"/>
        <v>47.338886143855433</v>
      </c>
      <c r="IZ111" s="48">
        <f>IY111-'NOPA Crush'!J111</f>
        <v>9.888614385543093E-2</v>
      </c>
      <c r="JB111" s="63">
        <f t="shared" si="3"/>
        <v>11.089856709253899</v>
      </c>
      <c r="JC111" s="64">
        <f>JB111-'NOPA Crush'!O111</f>
        <v>-5.0143290746101243E-2</v>
      </c>
      <c r="JD111" s="65"/>
      <c r="JE111" s="67">
        <f t="shared" si="4"/>
        <v>2046.2</v>
      </c>
      <c r="JF111" s="68">
        <f>'NOPA Crush'!Q111/'Census Crush'!JE111</f>
        <v>0.30133906753982992</v>
      </c>
    </row>
    <row r="112" spans="1:266">
      <c r="A112" s="39">
        <v>32448</v>
      </c>
      <c r="B112" s="49">
        <v>3031</v>
      </c>
      <c r="C112" s="50">
        <v>4423.3</v>
      </c>
      <c r="D112" s="50">
        <v>375.3</v>
      </c>
      <c r="E112" s="50">
        <v>2337</v>
      </c>
      <c r="F112" s="50">
        <v>21.1</v>
      </c>
      <c r="G112" s="50">
        <v>84.1</v>
      </c>
      <c r="H112" s="50">
        <v>61.2</v>
      </c>
      <c r="I112" s="50" t="s">
        <v>264</v>
      </c>
      <c r="J112" s="50" t="s">
        <v>264</v>
      </c>
      <c r="K112" s="49">
        <v>1108.5999999999999</v>
      </c>
      <c r="L112" s="49">
        <v>2303.1</v>
      </c>
      <c r="M112" s="49">
        <v>2042.9</v>
      </c>
      <c r="N112" s="49">
        <v>260.2</v>
      </c>
      <c r="O112" s="50">
        <v>125.3</v>
      </c>
      <c r="P112" s="51">
        <v>188.6</v>
      </c>
      <c r="Q112" s="49">
        <v>83.3</v>
      </c>
      <c r="R112" s="49">
        <v>105.3</v>
      </c>
      <c r="S112" s="49"/>
      <c r="T112" s="49">
        <v>17</v>
      </c>
      <c r="U112" s="51">
        <v>11.2</v>
      </c>
      <c r="V112" s="49">
        <v>7.6</v>
      </c>
      <c r="W112" s="49">
        <v>3.6</v>
      </c>
      <c r="X112" s="49">
        <v>69.2</v>
      </c>
      <c r="Y112" s="49">
        <v>8.6</v>
      </c>
      <c r="Z112" s="49">
        <v>186.1</v>
      </c>
      <c r="AA112" s="49">
        <v>181.6</v>
      </c>
      <c r="AB112" s="49">
        <v>4.5</v>
      </c>
      <c r="AC112" s="49" t="s">
        <v>264</v>
      </c>
      <c r="AD112" s="49" t="s">
        <v>264</v>
      </c>
      <c r="AE112" s="49"/>
      <c r="AF112" s="51"/>
      <c r="AG112" s="50" t="s">
        <v>264</v>
      </c>
      <c r="AH112" s="50" t="s">
        <v>264</v>
      </c>
      <c r="AI112" s="49">
        <v>107.5</v>
      </c>
      <c r="AJ112" s="49"/>
      <c r="AK112" s="49"/>
      <c r="AL112" s="51">
        <v>93.699999999999989</v>
      </c>
      <c r="AM112" s="49">
        <v>54.9</v>
      </c>
      <c r="AN112" s="49">
        <v>38.799999999999997</v>
      </c>
      <c r="AO112" s="49">
        <v>2227.6</v>
      </c>
      <c r="AP112" s="49">
        <v>258.39999999999998</v>
      </c>
      <c r="AQ112" s="49">
        <v>121.8</v>
      </c>
      <c r="AR112" s="49">
        <v>37.1</v>
      </c>
      <c r="AS112" s="50">
        <v>170</v>
      </c>
      <c r="AT112" s="50">
        <v>58.7</v>
      </c>
      <c r="AU112" s="50">
        <v>100.3</v>
      </c>
      <c r="AV112" s="50">
        <v>25.6</v>
      </c>
      <c r="AW112" s="50">
        <v>12.3</v>
      </c>
      <c r="AX112" s="50">
        <v>4.3</v>
      </c>
      <c r="AY112" s="50">
        <v>42.5</v>
      </c>
      <c r="AZ112" s="50">
        <v>4.5</v>
      </c>
      <c r="BA112" s="50" t="s">
        <v>264</v>
      </c>
      <c r="BB112" s="50" t="s">
        <v>264</v>
      </c>
      <c r="BC112" s="50"/>
      <c r="BD112" s="52">
        <v>107.3</v>
      </c>
      <c r="BE112" s="52">
        <v>71.599999999999994</v>
      </c>
      <c r="BF112" s="52"/>
      <c r="BG112" s="52"/>
      <c r="BH112" s="52">
        <v>340.2</v>
      </c>
      <c r="BI112" s="52"/>
      <c r="BJ112" s="52"/>
      <c r="BK112" s="52">
        <v>168.3</v>
      </c>
      <c r="BL112" s="52">
        <v>4.7</v>
      </c>
      <c r="BM112" s="52">
        <v>513.20000000000005</v>
      </c>
      <c r="BN112" s="52">
        <v>365.7</v>
      </c>
      <c r="BO112" s="52"/>
      <c r="BP112" s="52"/>
      <c r="BQ112" s="52">
        <v>86.3</v>
      </c>
      <c r="BR112" s="52">
        <v>6.4</v>
      </c>
      <c r="BS112" s="53">
        <v>458.4</v>
      </c>
      <c r="BT112" s="52">
        <v>84</v>
      </c>
      <c r="BU112" s="52">
        <v>36.700000000000003</v>
      </c>
      <c r="BV112" s="50">
        <v>342.7</v>
      </c>
      <c r="BW112" s="50">
        <v>114.4</v>
      </c>
      <c r="BX112" s="49">
        <v>464.1</v>
      </c>
      <c r="BY112" s="50">
        <v>58</v>
      </c>
      <c r="BZ112" s="50">
        <v>18.600000000000001</v>
      </c>
      <c r="CA112" s="49">
        <v>76.599999999999994</v>
      </c>
      <c r="CB112" s="52"/>
      <c r="CC112" s="52"/>
      <c r="CD112" s="52"/>
      <c r="CE112" s="52"/>
      <c r="CF112" s="52">
        <v>122.8</v>
      </c>
      <c r="CG112" s="52">
        <v>103.1</v>
      </c>
      <c r="CH112" s="52">
        <v>23.4</v>
      </c>
      <c r="CI112" s="52"/>
      <c r="CJ112" s="52"/>
      <c r="CK112" s="52"/>
      <c r="CL112" s="52"/>
      <c r="CM112" s="52"/>
      <c r="CN112" s="52">
        <v>62.4</v>
      </c>
      <c r="CO112" s="52">
        <v>307</v>
      </c>
      <c r="CP112" s="52">
        <v>270.10000000000002</v>
      </c>
      <c r="CQ112" s="52">
        <v>36.9</v>
      </c>
      <c r="CR112" s="52" t="s">
        <v>264</v>
      </c>
      <c r="CS112" s="52">
        <v>36.6</v>
      </c>
      <c r="CT112" s="52">
        <v>26.8</v>
      </c>
      <c r="CU112" s="52">
        <v>9.8000000000000007</v>
      </c>
      <c r="CV112" s="52">
        <v>70.599999999999994</v>
      </c>
      <c r="CW112" s="52">
        <v>27.4</v>
      </c>
      <c r="CX112" s="52">
        <v>43.2</v>
      </c>
      <c r="CY112" s="52">
        <v>7.8</v>
      </c>
      <c r="CZ112" s="52">
        <v>134.9</v>
      </c>
      <c r="DA112" s="52">
        <v>43.3</v>
      </c>
      <c r="DB112" s="52">
        <v>41.8</v>
      </c>
      <c r="DC112" s="52">
        <v>1.5</v>
      </c>
      <c r="DD112" s="52"/>
      <c r="DE112" s="52"/>
      <c r="DF112" s="53"/>
      <c r="DG112" s="53">
        <v>121</v>
      </c>
      <c r="DH112" s="53"/>
      <c r="DI112" s="53">
        <v>571.70000000000005</v>
      </c>
      <c r="DJ112" s="53">
        <v>200.2</v>
      </c>
      <c r="DK112" s="53">
        <v>504.1</v>
      </c>
      <c r="DL112" s="53">
        <v>132.6</v>
      </c>
      <c r="DM112" s="53">
        <v>206.9</v>
      </c>
      <c r="DN112" s="53"/>
      <c r="DO112" s="53">
        <v>178.3</v>
      </c>
      <c r="DP112" s="53">
        <v>188</v>
      </c>
      <c r="DQ112" s="53"/>
      <c r="DR112" s="53"/>
      <c r="DS112" s="53">
        <v>765.1</v>
      </c>
      <c r="DT112" s="53">
        <v>3031</v>
      </c>
      <c r="DU112" s="53">
        <v>-284.09999999999991</v>
      </c>
      <c r="DV112" s="53">
        <v>0</v>
      </c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2"/>
      <c r="FE112" s="52"/>
      <c r="FF112" s="52"/>
      <c r="FG112" s="52"/>
      <c r="FH112" s="52"/>
      <c r="FI112" s="52"/>
      <c r="FJ112" s="52"/>
      <c r="FK112" s="52"/>
      <c r="FL112" s="52"/>
      <c r="FM112" s="52"/>
      <c r="FN112" s="52"/>
      <c r="FO112" s="52"/>
      <c r="FP112" s="52"/>
      <c r="FQ112" s="52"/>
      <c r="FR112" s="52"/>
      <c r="FS112" s="52"/>
      <c r="FT112" s="52"/>
      <c r="FU112" s="52"/>
      <c r="FV112" s="52"/>
      <c r="FW112" s="52"/>
      <c r="FX112" s="52"/>
      <c r="FY112" s="52"/>
      <c r="FZ112" s="52"/>
      <c r="GA112" s="52"/>
      <c r="GB112" s="52"/>
      <c r="GC112" s="52"/>
      <c r="GD112" s="52"/>
      <c r="GE112" s="52"/>
      <c r="GF112" s="52"/>
      <c r="GG112" s="52"/>
      <c r="GH112" s="52"/>
      <c r="GI112" s="52"/>
      <c r="GJ112" s="52"/>
      <c r="GK112" s="52"/>
      <c r="GL112" s="52"/>
      <c r="GM112" s="52"/>
      <c r="GN112" s="52"/>
      <c r="GO112" s="52"/>
      <c r="GP112" s="52"/>
      <c r="GQ112" s="52"/>
      <c r="GR112" s="52"/>
      <c r="GS112" s="52"/>
      <c r="GT112" s="52"/>
      <c r="GU112" s="52"/>
      <c r="GV112" s="52"/>
      <c r="GW112" s="52"/>
      <c r="GX112" s="52"/>
      <c r="GY112" s="17"/>
      <c r="GZ112" s="52">
        <v>826.9</v>
      </c>
      <c r="HA112" s="52"/>
      <c r="HB112" s="17"/>
      <c r="HC112" s="17"/>
      <c r="HD112" s="17"/>
      <c r="HE112" s="17"/>
      <c r="HF112" s="52"/>
      <c r="HG112" s="52"/>
      <c r="HH112" s="52"/>
      <c r="HI112" s="52"/>
      <c r="HJ112" s="52"/>
      <c r="HK112" s="52"/>
      <c r="HL112" s="52"/>
      <c r="HM112" s="52"/>
      <c r="HN112" s="52"/>
      <c r="HO112" s="52"/>
      <c r="HP112" s="52"/>
      <c r="HQ112" s="52"/>
      <c r="HR112" s="52"/>
      <c r="HS112" s="52"/>
      <c r="HT112" s="52"/>
      <c r="HU112" s="52"/>
      <c r="HV112" s="52"/>
      <c r="HW112" s="52"/>
      <c r="HX112" s="52"/>
      <c r="HY112" s="52"/>
      <c r="HZ112" s="52"/>
      <c r="IA112" s="52"/>
      <c r="IB112" s="52"/>
      <c r="IC112" s="52"/>
      <c r="ID112" s="52"/>
      <c r="IE112" s="52"/>
      <c r="IF112" s="52"/>
      <c r="IG112" s="52"/>
      <c r="IH112" s="53"/>
      <c r="II112" s="53"/>
      <c r="IJ112" s="53"/>
      <c r="IK112" s="53"/>
      <c r="IL112" s="53"/>
      <c r="IM112" s="52"/>
      <c r="IN112" s="52">
        <v>124.8</v>
      </c>
      <c r="IY112" s="48">
        <f t="shared" si="5"/>
        <v>46.507423292642692</v>
      </c>
      <c r="IZ112" s="48">
        <f>IY112-'NOPA Crush'!J112</f>
        <v>-0.96257670735730727</v>
      </c>
      <c r="JB112" s="63">
        <f t="shared" si="3"/>
        <v>10.972616298251401</v>
      </c>
      <c r="JC112" s="64">
        <f>JB112-'NOPA Crush'!O112</f>
        <v>-7.7383701748599876E-2</v>
      </c>
      <c r="JD112" s="65"/>
      <c r="JE112" s="67">
        <f t="shared" si="4"/>
        <v>2303.1</v>
      </c>
      <c r="JF112" s="68">
        <f>'NOPA Crush'!Q112/'Census Crush'!JE112</f>
        <v>0.31280317832486648</v>
      </c>
    </row>
    <row r="113" spans="1:266">
      <c r="A113" s="39">
        <v>32478</v>
      </c>
      <c r="B113" s="49">
        <v>3021.5</v>
      </c>
      <c r="C113" s="50">
        <v>4159.5</v>
      </c>
      <c r="D113" s="50">
        <v>376.7</v>
      </c>
      <c r="E113" s="50">
        <v>2832.5</v>
      </c>
      <c r="F113" s="50">
        <v>22.6</v>
      </c>
      <c r="G113" s="50">
        <v>67.2</v>
      </c>
      <c r="H113" s="50">
        <v>48.9</v>
      </c>
      <c r="I113" s="50" t="s">
        <v>264</v>
      </c>
      <c r="J113" s="50" t="s">
        <v>264</v>
      </c>
      <c r="K113" s="49">
        <v>1110.4000000000001</v>
      </c>
      <c r="L113" s="49">
        <v>2539.9</v>
      </c>
      <c r="M113" s="49">
        <v>2294.3000000000002</v>
      </c>
      <c r="N113" s="49">
        <v>245.6</v>
      </c>
      <c r="O113" s="50">
        <v>125</v>
      </c>
      <c r="P113" s="51">
        <v>206.1</v>
      </c>
      <c r="Q113" s="49">
        <v>85.8</v>
      </c>
      <c r="R113" s="49">
        <v>120.3</v>
      </c>
      <c r="S113" s="49"/>
      <c r="T113" s="49">
        <v>18.399999999999999</v>
      </c>
      <c r="U113" s="51">
        <v>9</v>
      </c>
      <c r="V113" s="49">
        <v>6.1</v>
      </c>
      <c r="W113" s="49">
        <v>2.9</v>
      </c>
      <c r="X113" s="49">
        <v>55.7</v>
      </c>
      <c r="Y113" s="49">
        <v>10.1</v>
      </c>
      <c r="Z113" s="49">
        <v>213.3</v>
      </c>
      <c r="AA113" s="49">
        <v>209.8</v>
      </c>
      <c r="AB113" s="49">
        <v>3.5</v>
      </c>
      <c r="AC113" s="49" t="s">
        <v>264</v>
      </c>
      <c r="AD113" s="49" t="s">
        <v>264</v>
      </c>
      <c r="AE113" s="49"/>
      <c r="AF113" s="51"/>
      <c r="AG113" s="50" t="s">
        <v>264</v>
      </c>
      <c r="AH113" s="50" t="s">
        <v>264</v>
      </c>
      <c r="AI113" s="49">
        <v>127.8</v>
      </c>
      <c r="AJ113" s="49"/>
      <c r="AK113" s="49"/>
      <c r="AL113" s="51">
        <v>97.4</v>
      </c>
      <c r="AM113" s="49">
        <v>62.4</v>
      </c>
      <c r="AN113" s="49">
        <v>35</v>
      </c>
      <c r="AO113" s="49">
        <v>2269.8000000000002</v>
      </c>
      <c r="AP113" s="49">
        <v>322.10000000000002</v>
      </c>
      <c r="AQ113" s="49">
        <v>120.2</v>
      </c>
      <c r="AR113" s="49">
        <v>31.5</v>
      </c>
      <c r="AS113" s="50">
        <v>172.5</v>
      </c>
      <c r="AT113" s="50">
        <v>52.9</v>
      </c>
      <c r="AU113" s="50">
        <v>101.3</v>
      </c>
      <c r="AV113" s="50">
        <v>24.8</v>
      </c>
      <c r="AW113" s="50">
        <v>13.4</v>
      </c>
      <c r="AX113" s="50">
        <v>4.5999999999999996</v>
      </c>
      <c r="AY113" s="50">
        <v>34.9</v>
      </c>
      <c r="AZ113" s="50">
        <v>3</v>
      </c>
      <c r="BA113" s="50" t="s">
        <v>264</v>
      </c>
      <c r="BB113" s="50" t="s">
        <v>264</v>
      </c>
      <c r="BC113" s="50"/>
      <c r="BD113" s="52">
        <v>100.5</v>
      </c>
      <c r="BE113" s="52">
        <v>48.3</v>
      </c>
      <c r="BF113" s="52"/>
      <c r="BG113" s="52"/>
      <c r="BH113" s="52">
        <v>338</v>
      </c>
      <c r="BI113" s="52"/>
      <c r="BJ113" s="52"/>
      <c r="BK113" s="52">
        <v>152.5</v>
      </c>
      <c r="BL113" s="52">
        <v>4.5</v>
      </c>
      <c r="BM113" s="52">
        <v>494.9</v>
      </c>
      <c r="BN113" s="52">
        <v>304</v>
      </c>
      <c r="BO113" s="52"/>
      <c r="BP113" s="52"/>
      <c r="BQ113" s="52">
        <v>89.3</v>
      </c>
      <c r="BR113" s="52">
        <v>5.4</v>
      </c>
      <c r="BS113" s="53">
        <v>398.7</v>
      </c>
      <c r="BT113" s="52">
        <v>82</v>
      </c>
      <c r="BU113" s="52">
        <v>37.4</v>
      </c>
      <c r="BV113" s="50">
        <v>343.8</v>
      </c>
      <c r="BW113" s="50">
        <v>106.9</v>
      </c>
      <c r="BX113" s="49">
        <v>457.4</v>
      </c>
      <c r="BY113" s="50">
        <v>55</v>
      </c>
      <c r="BZ113" s="50">
        <v>17</v>
      </c>
      <c r="CA113" s="49">
        <v>72</v>
      </c>
      <c r="CB113" s="52"/>
      <c r="CC113" s="52"/>
      <c r="CD113" s="52"/>
      <c r="CE113" s="52"/>
      <c r="CF113" s="52">
        <v>125.9</v>
      </c>
      <c r="CG113" s="52">
        <v>106.4</v>
      </c>
      <c r="CH113" s="52">
        <v>23.2</v>
      </c>
      <c r="CI113" s="52"/>
      <c r="CJ113" s="52"/>
      <c r="CK113" s="52"/>
      <c r="CL113" s="52"/>
      <c r="CM113" s="52"/>
      <c r="CN113" s="52">
        <v>60.2</v>
      </c>
      <c r="CO113" s="52">
        <v>275.7</v>
      </c>
      <c r="CP113" s="52">
        <v>249</v>
      </c>
      <c r="CQ113" s="52">
        <v>26.7</v>
      </c>
      <c r="CR113" s="52" t="s">
        <v>264</v>
      </c>
      <c r="CS113" s="52">
        <v>46.8</v>
      </c>
      <c r="CT113" s="52">
        <v>33</v>
      </c>
      <c r="CU113" s="52">
        <v>13.8</v>
      </c>
      <c r="CV113" s="52">
        <v>69.099999999999994</v>
      </c>
      <c r="CW113" s="52">
        <v>27</v>
      </c>
      <c r="CX113" s="52">
        <v>42.1</v>
      </c>
      <c r="CY113" s="52" t="s">
        <v>264</v>
      </c>
      <c r="CZ113" s="52">
        <v>139.5</v>
      </c>
      <c r="DA113" s="52">
        <v>42.199999999999996</v>
      </c>
      <c r="DB113" s="52">
        <v>38.9</v>
      </c>
      <c r="DC113" s="52">
        <v>3.3</v>
      </c>
      <c r="DD113" s="52"/>
      <c r="DE113" s="52"/>
      <c r="DF113" s="53"/>
      <c r="DG113" s="53">
        <v>115.2</v>
      </c>
      <c r="DH113" s="53"/>
      <c r="DI113" s="53">
        <v>574</v>
      </c>
      <c r="DJ113" s="53">
        <v>197.1</v>
      </c>
      <c r="DK113" s="53">
        <v>505</v>
      </c>
      <c r="DL113" s="53">
        <v>128.5</v>
      </c>
      <c r="DM113" s="53">
        <v>196.6</v>
      </c>
      <c r="DN113" s="53"/>
      <c r="DO113" s="53">
        <v>168.3</v>
      </c>
      <c r="DP113" s="53">
        <v>196.7</v>
      </c>
      <c r="DQ113" s="53"/>
      <c r="DR113" s="53"/>
      <c r="DS113" s="53">
        <v>775.9</v>
      </c>
      <c r="DT113" s="53">
        <v>3021.5</v>
      </c>
      <c r="DU113" s="53">
        <v>-279.40000000000009</v>
      </c>
      <c r="DV113" s="53">
        <v>0</v>
      </c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2"/>
      <c r="FE113" s="52"/>
      <c r="FF113" s="52"/>
      <c r="FG113" s="52"/>
      <c r="FH113" s="52"/>
      <c r="FI113" s="52"/>
      <c r="FJ113" s="52"/>
      <c r="FK113" s="52"/>
      <c r="FL113" s="52"/>
      <c r="FM113" s="52"/>
      <c r="FN113" s="52"/>
      <c r="FO113" s="52"/>
      <c r="FP113" s="52"/>
      <c r="FQ113" s="52"/>
      <c r="FR113" s="52"/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17"/>
      <c r="GZ113" s="52">
        <v>800.8</v>
      </c>
      <c r="HA113" s="52"/>
      <c r="HB113" s="17"/>
      <c r="HC113" s="17"/>
      <c r="HD113" s="17"/>
      <c r="HE113" s="17"/>
      <c r="HF113" s="52"/>
      <c r="HG113" s="52"/>
      <c r="HH113" s="52"/>
      <c r="HI113" s="52"/>
      <c r="HJ113" s="52"/>
      <c r="HK113" s="52"/>
      <c r="HL113" s="52"/>
      <c r="HM113" s="52"/>
      <c r="HN113" s="52"/>
      <c r="HO113" s="52"/>
      <c r="HP113" s="52"/>
      <c r="HQ113" s="52"/>
      <c r="HR113" s="52"/>
      <c r="HS113" s="52"/>
      <c r="HT113" s="52"/>
      <c r="HU113" s="52"/>
      <c r="HV113" s="52"/>
      <c r="HW113" s="52"/>
      <c r="HX113" s="52"/>
      <c r="HY113" s="52"/>
      <c r="HZ113" s="52"/>
      <c r="IA113" s="52"/>
      <c r="IB113" s="52"/>
      <c r="IC113" s="52"/>
      <c r="ID113" s="52"/>
      <c r="IE113" s="52"/>
      <c r="IF113" s="52"/>
      <c r="IG113" s="52"/>
      <c r="IH113" s="53"/>
      <c r="II113" s="53"/>
      <c r="IJ113" s="53"/>
      <c r="IK113" s="53"/>
      <c r="IL113" s="53"/>
      <c r="IM113" s="52"/>
      <c r="IN113" s="52">
        <v>127.8</v>
      </c>
      <c r="IY113" s="48">
        <f t="shared" si="5"/>
        <v>47.459870925037229</v>
      </c>
      <c r="IZ113" s="48">
        <f>IY113-'NOPA Crush'!J113</f>
        <v>7.9870925037226925E-2</v>
      </c>
      <c r="JB113" s="63">
        <f t="shared" si="3"/>
        <v>11.024987588945889</v>
      </c>
      <c r="JC113" s="64">
        <f>JB113-'NOPA Crush'!O113</f>
        <v>0.11498758894588867</v>
      </c>
      <c r="JD113" s="65"/>
      <c r="JE113" s="67">
        <f t="shared" si="4"/>
        <v>2539.9</v>
      </c>
      <c r="JF113" s="68">
        <f>'NOPA Crush'!Q113/'Census Crush'!JE113</f>
        <v>0.32815386432536708</v>
      </c>
    </row>
    <row r="114" spans="1:266">
      <c r="A114" s="39">
        <v>32509</v>
      </c>
      <c r="B114" s="49">
        <v>2993.3</v>
      </c>
      <c r="C114" s="50">
        <v>3958.4</v>
      </c>
      <c r="D114" s="50">
        <v>399.7</v>
      </c>
      <c r="E114" s="50">
        <v>2616.6999999999998</v>
      </c>
      <c r="F114" s="50">
        <v>13</v>
      </c>
      <c r="G114" s="50">
        <v>65</v>
      </c>
      <c r="H114" s="50">
        <v>30.4</v>
      </c>
      <c r="I114" s="50" t="s">
        <v>264</v>
      </c>
      <c r="J114" s="50" t="s">
        <v>264</v>
      </c>
      <c r="K114" s="49">
        <v>1105.8</v>
      </c>
      <c r="L114" s="49">
        <v>2703.1</v>
      </c>
      <c r="M114" s="49">
        <v>2446</v>
      </c>
      <c r="N114" s="49">
        <v>257.10000000000002</v>
      </c>
      <c r="O114" s="50">
        <v>129.30000000000001</v>
      </c>
      <c r="P114" s="51">
        <v>266.3</v>
      </c>
      <c r="Q114" s="49">
        <v>127</v>
      </c>
      <c r="R114" s="49">
        <v>139.30000000000001</v>
      </c>
      <c r="S114" s="49"/>
      <c r="T114" s="49">
        <v>10.5</v>
      </c>
      <c r="U114" s="51">
        <v>12.600000000000001</v>
      </c>
      <c r="V114" s="49">
        <v>9.4</v>
      </c>
      <c r="W114" s="49">
        <v>3.2</v>
      </c>
      <c r="X114" s="49">
        <v>53</v>
      </c>
      <c r="Y114" s="49">
        <v>6.7</v>
      </c>
      <c r="Z114" s="49">
        <v>138.9</v>
      </c>
      <c r="AA114" s="49">
        <v>135.4</v>
      </c>
      <c r="AB114" s="49">
        <v>3.5</v>
      </c>
      <c r="AC114" s="49" t="s">
        <v>264</v>
      </c>
      <c r="AD114" s="49" t="s">
        <v>264</v>
      </c>
      <c r="AE114" s="49"/>
      <c r="AF114" s="51"/>
      <c r="AG114" s="50" t="s">
        <v>264</v>
      </c>
      <c r="AH114" s="49">
        <v>10.1</v>
      </c>
      <c r="AI114" s="49">
        <v>125.5</v>
      </c>
      <c r="AJ114" s="49"/>
      <c r="AK114" s="49"/>
      <c r="AL114" s="51">
        <v>101.9</v>
      </c>
      <c r="AM114" s="49">
        <v>61.7</v>
      </c>
      <c r="AN114" s="49">
        <v>40.200000000000003</v>
      </c>
      <c r="AO114" s="49">
        <v>2247.1</v>
      </c>
      <c r="AP114" s="49">
        <v>410.1</v>
      </c>
      <c r="AQ114" s="49">
        <v>112.7</v>
      </c>
      <c r="AR114" s="49">
        <v>32.200000000000003</v>
      </c>
      <c r="AS114" s="50">
        <v>183.2</v>
      </c>
      <c r="AT114" s="50">
        <v>70.8</v>
      </c>
      <c r="AU114" s="50">
        <v>106.3</v>
      </c>
      <c r="AV114" s="50">
        <v>38.700000000000003</v>
      </c>
      <c r="AW114" s="50">
        <v>7.6</v>
      </c>
      <c r="AX114" s="50">
        <v>5.7</v>
      </c>
      <c r="AY114" s="50">
        <v>33.6</v>
      </c>
      <c r="AZ114" s="50">
        <v>5.3</v>
      </c>
      <c r="BA114" s="50" t="s">
        <v>264</v>
      </c>
      <c r="BB114" s="50" t="s">
        <v>264</v>
      </c>
      <c r="BC114" s="50"/>
      <c r="BD114" s="52">
        <v>97.5</v>
      </c>
      <c r="BE114" s="52">
        <v>55.4</v>
      </c>
      <c r="BF114" s="52"/>
      <c r="BG114" s="52"/>
      <c r="BH114" s="52">
        <v>328.2</v>
      </c>
      <c r="BI114" s="52"/>
      <c r="BJ114" s="52"/>
      <c r="BK114" s="52">
        <v>151.9</v>
      </c>
      <c r="BL114" s="52">
        <v>4.3</v>
      </c>
      <c r="BM114" s="52">
        <v>484.4</v>
      </c>
      <c r="BN114" s="52">
        <v>347.8</v>
      </c>
      <c r="BO114" s="52"/>
      <c r="BP114" s="52"/>
      <c r="BQ114" s="52">
        <v>81.900000000000006</v>
      </c>
      <c r="BR114" s="52">
        <v>4.9000000000000004</v>
      </c>
      <c r="BS114" s="53">
        <v>434.6</v>
      </c>
      <c r="BT114" s="52">
        <v>77</v>
      </c>
      <c r="BU114" s="52">
        <v>38.200000000000003</v>
      </c>
      <c r="BV114" s="50">
        <v>318.60000000000002</v>
      </c>
      <c r="BW114" s="50">
        <v>100.2</v>
      </c>
      <c r="BX114" s="49">
        <v>425</v>
      </c>
      <c r="BY114" s="50">
        <v>55.8</v>
      </c>
      <c r="BZ114" s="50">
        <v>16.5</v>
      </c>
      <c r="CA114" s="49">
        <v>72.3</v>
      </c>
      <c r="CB114" s="52"/>
      <c r="CC114" s="52"/>
      <c r="CD114" s="52"/>
      <c r="CE114" s="52"/>
      <c r="CF114" s="52">
        <v>144.19999999999999</v>
      </c>
      <c r="CG114" s="52">
        <v>120.1</v>
      </c>
      <c r="CH114" s="52">
        <v>25.3</v>
      </c>
      <c r="CI114" s="52"/>
      <c r="CJ114" s="52"/>
      <c r="CK114" s="52"/>
      <c r="CL114" s="52"/>
      <c r="CM114" s="52"/>
      <c r="CN114" s="52">
        <v>46.9</v>
      </c>
      <c r="CO114" s="52">
        <v>278.90000000000003</v>
      </c>
      <c r="CP114" s="52">
        <v>256.8</v>
      </c>
      <c r="CQ114" s="52">
        <v>22.1</v>
      </c>
      <c r="CR114" s="52" t="s">
        <v>264</v>
      </c>
      <c r="CS114" s="52">
        <v>54.6</v>
      </c>
      <c r="CT114" s="52">
        <v>39.1</v>
      </c>
      <c r="CU114" s="52">
        <v>15.5</v>
      </c>
      <c r="CV114" s="52">
        <v>67</v>
      </c>
      <c r="CW114" s="52">
        <v>30.6</v>
      </c>
      <c r="CX114" s="52">
        <v>36.4</v>
      </c>
      <c r="CY114" s="52">
        <v>4.8</v>
      </c>
      <c r="CZ114" s="52">
        <v>140.69999999999999</v>
      </c>
      <c r="DA114" s="52">
        <v>43.4</v>
      </c>
      <c r="DB114" s="52">
        <v>40.4</v>
      </c>
      <c r="DC114" s="52">
        <v>3</v>
      </c>
      <c r="DD114" s="52"/>
      <c r="DE114" s="52"/>
      <c r="DF114" s="53"/>
      <c r="DG114" s="53">
        <v>114.5</v>
      </c>
      <c r="DH114" s="53"/>
      <c r="DI114" s="53">
        <v>585</v>
      </c>
      <c r="DJ114" s="53">
        <v>198</v>
      </c>
      <c r="DK114" s="53">
        <v>510.5</v>
      </c>
      <c r="DL114" s="53">
        <v>132.9</v>
      </c>
      <c r="DM114" s="53">
        <v>193.9</v>
      </c>
      <c r="DN114" s="53"/>
      <c r="DO114" s="53">
        <v>169</v>
      </c>
      <c r="DP114" s="53">
        <v>190.4</v>
      </c>
      <c r="DQ114" s="53"/>
      <c r="DR114" s="53"/>
      <c r="DS114" s="53">
        <v>739.8</v>
      </c>
      <c r="DT114" s="53">
        <v>2993.3</v>
      </c>
      <c r="DU114" s="53">
        <v>-273.80000000000018</v>
      </c>
      <c r="DV114" s="53">
        <v>0</v>
      </c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  <c r="FB114" s="52"/>
      <c r="FC114" s="52"/>
      <c r="FD114" s="52"/>
      <c r="FE114" s="52"/>
      <c r="FF114" s="52"/>
      <c r="FG114" s="52"/>
      <c r="FH114" s="52"/>
      <c r="FI114" s="52"/>
      <c r="FJ114" s="52"/>
      <c r="FK114" s="52"/>
      <c r="FL114" s="52"/>
      <c r="FM114" s="52"/>
      <c r="FN114" s="52"/>
      <c r="FO114" s="52"/>
      <c r="FP114" s="52"/>
      <c r="FQ114" s="52"/>
      <c r="FR114" s="52"/>
      <c r="FS114" s="52"/>
      <c r="FT114" s="52"/>
      <c r="FU114" s="52"/>
      <c r="FV114" s="52"/>
      <c r="FW114" s="52"/>
      <c r="FX114" s="52"/>
      <c r="FY114" s="52"/>
      <c r="FZ114" s="52"/>
      <c r="GA114" s="52"/>
      <c r="GB114" s="52"/>
      <c r="GC114" s="52"/>
      <c r="GD114" s="52"/>
      <c r="GE114" s="52"/>
      <c r="GF114" s="52"/>
      <c r="GG114" s="52"/>
      <c r="GH114" s="52"/>
      <c r="GI114" s="52"/>
      <c r="GJ114" s="52"/>
      <c r="GK114" s="52"/>
      <c r="GL114" s="52"/>
      <c r="GM114" s="52"/>
      <c r="GN114" s="52"/>
      <c r="GO114" s="52"/>
      <c r="GP114" s="52"/>
      <c r="GQ114" s="52"/>
      <c r="GR114" s="52"/>
      <c r="GS114" s="52"/>
      <c r="GT114" s="52"/>
      <c r="GU114" s="52"/>
      <c r="GV114" s="52"/>
      <c r="GW114" s="52"/>
      <c r="GX114" s="52"/>
      <c r="GY114" s="17"/>
      <c r="GZ114" s="52">
        <v>776.7</v>
      </c>
      <c r="HA114" s="52"/>
      <c r="HB114" s="17"/>
      <c r="HC114" s="17"/>
      <c r="HD114" s="17"/>
      <c r="HE114" s="17"/>
      <c r="HF114" s="52"/>
      <c r="HG114" s="52"/>
      <c r="HH114" s="52"/>
      <c r="HI114" s="52"/>
      <c r="HJ114" s="52"/>
      <c r="HK114" s="52"/>
      <c r="HL114" s="52"/>
      <c r="HM114" s="52"/>
      <c r="HN114" s="52"/>
      <c r="HO114" s="52"/>
      <c r="HP114" s="52"/>
      <c r="HQ114" s="52"/>
      <c r="HR114" s="52"/>
      <c r="HS114" s="52"/>
      <c r="HT114" s="52"/>
      <c r="HU114" s="52"/>
      <c r="HV114" s="52"/>
      <c r="HW114" s="52"/>
      <c r="HX114" s="52"/>
      <c r="HY114" s="52"/>
      <c r="HZ114" s="52"/>
      <c r="IA114" s="52"/>
      <c r="IB114" s="52"/>
      <c r="IC114" s="52"/>
      <c r="ID114" s="52"/>
      <c r="IE114" s="52"/>
      <c r="IF114" s="52"/>
      <c r="IG114" s="52"/>
      <c r="IH114" s="53"/>
      <c r="II114" s="53"/>
      <c r="IJ114" s="53"/>
      <c r="IK114" s="53"/>
      <c r="IL114" s="53"/>
      <c r="IM114" s="52"/>
      <c r="IN114" s="52">
        <v>139.69999999999999</v>
      </c>
      <c r="IY114" s="48">
        <f t="shared" si="5"/>
        <v>47.301640330070484</v>
      </c>
      <c r="IZ114" s="48">
        <f>IY114-'NOPA Crush'!J114</f>
        <v>-0.16835966992951512</v>
      </c>
      <c r="JB114" s="63">
        <f t="shared" si="3"/>
        <v>11.082751478301539</v>
      </c>
      <c r="JC114" s="64">
        <f>JB114-'NOPA Crush'!O114</f>
        <v>-5.724852169846173E-2</v>
      </c>
      <c r="JD114" s="65"/>
      <c r="JE114" s="67">
        <f t="shared" si="4"/>
        <v>2703.1</v>
      </c>
      <c r="JF114" s="68">
        <f>'NOPA Crush'!Q114/'Census Crush'!JE114</f>
        <v>0.35710665532166769</v>
      </c>
    </row>
    <row r="115" spans="1:266">
      <c r="A115" s="39">
        <v>32540</v>
      </c>
      <c r="B115" s="49">
        <v>2574.1</v>
      </c>
      <c r="C115" s="50">
        <v>3359.3</v>
      </c>
      <c r="D115" s="50">
        <v>325.39999999999998</v>
      </c>
      <c r="E115" s="50">
        <v>2358.6999999999998</v>
      </c>
      <c r="F115" s="50">
        <v>25.6</v>
      </c>
      <c r="G115" s="50">
        <v>53.3</v>
      </c>
      <c r="H115" s="50">
        <v>31.4</v>
      </c>
      <c r="I115" s="50" t="s">
        <v>264</v>
      </c>
      <c r="J115" s="50" t="s">
        <v>264</v>
      </c>
      <c r="K115" s="49">
        <v>952.3</v>
      </c>
      <c r="L115" s="49">
        <v>2902.3</v>
      </c>
      <c r="M115" s="49">
        <v>2634.4</v>
      </c>
      <c r="N115" s="49">
        <v>267.89999999999998</v>
      </c>
      <c r="O115" s="50">
        <v>106</v>
      </c>
      <c r="P115" s="51">
        <v>273.89999999999998</v>
      </c>
      <c r="Q115" s="49">
        <v>118.2</v>
      </c>
      <c r="R115" s="49">
        <v>155.69999999999999</v>
      </c>
      <c r="S115" s="49"/>
      <c r="T115" s="49">
        <v>20.8</v>
      </c>
      <c r="U115" s="51">
        <v>15.9</v>
      </c>
      <c r="V115" s="49">
        <v>11.5</v>
      </c>
      <c r="W115" s="49">
        <v>4.4000000000000004</v>
      </c>
      <c r="X115" s="49">
        <v>44</v>
      </c>
      <c r="Y115" s="49">
        <v>5.0999999999999996</v>
      </c>
      <c r="Z115" s="49">
        <v>155.69999999999999</v>
      </c>
      <c r="AA115" s="49">
        <v>154.1</v>
      </c>
      <c r="AB115" s="49">
        <v>1.6</v>
      </c>
      <c r="AC115" s="49" t="s">
        <v>264</v>
      </c>
      <c r="AD115" s="49" t="s">
        <v>264</v>
      </c>
      <c r="AE115" s="49"/>
      <c r="AF115" s="51"/>
      <c r="AG115" s="50" t="s">
        <v>264</v>
      </c>
      <c r="AH115" s="49">
        <v>13.7</v>
      </c>
      <c r="AI115" s="49">
        <v>108.6</v>
      </c>
      <c r="AJ115" s="49"/>
      <c r="AK115" s="49"/>
      <c r="AL115" s="51">
        <v>100.5</v>
      </c>
      <c r="AM115" s="49">
        <v>61.2</v>
      </c>
      <c r="AN115" s="49">
        <v>39.299999999999997</v>
      </c>
      <c r="AO115" s="49">
        <v>1941</v>
      </c>
      <c r="AP115" s="49">
        <v>364.5</v>
      </c>
      <c r="AQ115" s="49">
        <v>95.3</v>
      </c>
      <c r="AR115" s="49">
        <v>31.2</v>
      </c>
      <c r="AS115" s="50">
        <v>151.6</v>
      </c>
      <c r="AT115" s="50">
        <v>57.6</v>
      </c>
      <c r="AU115" s="50">
        <v>83.8</v>
      </c>
      <c r="AV115" s="50">
        <v>36.9</v>
      </c>
      <c r="AW115" s="50">
        <v>14.9</v>
      </c>
      <c r="AX115" s="50">
        <v>3.9</v>
      </c>
      <c r="AY115" s="50">
        <v>26.6</v>
      </c>
      <c r="AZ115" s="50">
        <v>7.2</v>
      </c>
      <c r="BA115" s="50" t="s">
        <v>264</v>
      </c>
      <c r="BB115" s="50" t="s">
        <v>264</v>
      </c>
      <c r="BC115" s="50"/>
      <c r="BD115" s="52">
        <v>100.1</v>
      </c>
      <c r="BE115" s="52">
        <v>53.3</v>
      </c>
      <c r="BF115" s="52"/>
      <c r="BG115" s="52"/>
      <c r="BH115" s="52">
        <v>330.1</v>
      </c>
      <c r="BI115" s="52"/>
      <c r="BJ115" s="52"/>
      <c r="BK115" s="52">
        <v>148.80000000000001</v>
      </c>
      <c r="BL115" s="52">
        <v>4.4000000000000004</v>
      </c>
      <c r="BM115" s="52">
        <v>483.3</v>
      </c>
      <c r="BN115" s="52">
        <v>341.9</v>
      </c>
      <c r="BO115" s="52"/>
      <c r="BP115" s="52"/>
      <c r="BQ115" s="52">
        <v>86.9</v>
      </c>
      <c r="BR115" s="52">
        <v>5.4</v>
      </c>
      <c r="BS115" s="53">
        <v>434.19999999999993</v>
      </c>
      <c r="BT115" s="52">
        <v>71</v>
      </c>
      <c r="BU115" s="52">
        <v>37.1</v>
      </c>
      <c r="BV115" s="50">
        <v>304.10000000000002</v>
      </c>
      <c r="BW115" s="50">
        <v>95.7</v>
      </c>
      <c r="BX115" s="49">
        <v>405.8</v>
      </c>
      <c r="BY115" s="50">
        <v>55.2</v>
      </c>
      <c r="BZ115" s="50">
        <v>16.399999999999999</v>
      </c>
      <c r="CA115" s="49">
        <v>71.599999999999994</v>
      </c>
      <c r="CB115" s="52"/>
      <c r="CC115" s="52"/>
      <c r="CD115" s="52"/>
      <c r="CE115" s="52"/>
      <c r="CF115" s="52">
        <v>121.9</v>
      </c>
      <c r="CG115" s="52">
        <v>122.5</v>
      </c>
      <c r="CH115" s="52">
        <v>26.5</v>
      </c>
      <c r="CI115" s="52"/>
      <c r="CJ115" s="52"/>
      <c r="CK115" s="52"/>
      <c r="CL115" s="52"/>
      <c r="CM115" s="52"/>
      <c r="CN115" s="52">
        <v>47.8</v>
      </c>
      <c r="CO115" s="52">
        <v>247.39999999999998</v>
      </c>
      <c r="CP115" s="52">
        <v>228.7</v>
      </c>
      <c r="CQ115" s="52">
        <v>18.7</v>
      </c>
      <c r="CR115" s="52" t="s">
        <v>264</v>
      </c>
      <c r="CS115" s="52">
        <v>47.6</v>
      </c>
      <c r="CT115" s="52">
        <v>33</v>
      </c>
      <c r="CU115" s="52">
        <v>14.6</v>
      </c>
      <c r="CV115" s="52">
        <v>75.400000000000006</v>
      </c>
      <c r="CW115" s="52">
        <v>34.799999999999997</v>
      </c>
      <c r="CX115" s="52">
        <v>40.6</v>
      </c>
      <c r="CY115" s="52">
        <v>8.1999999999999993</v>
      </c>
      <c r="CZ115" s="52">
        <v>131.1</v>
      </c>
      <c r="DA115" s="52">
        <v>49.9</v>
      </c>
      <c r="DB115" s="52">
        <v>47.6</v>
      </c>
      <c r="DC115" s="52">
        <v>2.2999999999999998</v>
      </c>
      <c r="DD115" s="52"/>
      <c r="DE115" s="52"/>
      <c r="DF115" s="53"/>
      <c r="DG115" s="53">
        <v>104.4</v>
      </c>
      <c r="DH115" s="53"/>
      <c r="DI115" s="53">
        <v>497.3</v>
      </c>
      <c r="DJ115" s="53">
        <v>155.9</v>
      </c>
      <c r="DK115" s="53">
        <v>404.8</v>
      </c>
      <c r="DL115" s="53">
        <v>105.2</v>
      </c>
      <c r="DM115" s="53">
        <v>177.7</v>
      </c>
      <c r="DN115" s="53"/>
      <c r="DO115" s="53">
        <v>142.4</v>
      </c>
      <c r="DP115" s="53">
        <v>159.19999999999999</v>
      </c>
      <c r="DQ115" s="53"/>
      <c r="DR115" s="53"/>
      <c r="DS115" s="53">
        <v>681.7</v>
      </c>
      <c r="DT115" s="53">
        <v>2574.1</v>
      </c>
      <c r="DU115" s="53">
        <v>-249.89999999999964</v>
      </c>
      <c r="DV115" s="53">
        <v>0</v>
      </c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  <c r="FB115" s="52"/>
      <c r="FC115" s="52"/>
      <c r="FD115" s="52"/>
      <c r="FE115" s="52"/>
      <c r="FF115" s="52"/>
      <c r="FG115" s="52"/>
      <c r="FH115" s="52"/>
      <c r="FI115" s="52"/>
      <c r="FJ115" s="52"/>
      <c r="FK115" s="52"/>
      <c r="FL115" s="52"/>
      <c r="FM115" s="52"/>
      <c r="FN115" s="52"/>
      <c r="FO115" s="52"/>
      <c r="FP115" s="52"/>
      <c r="FQ115" s="52"/>
      <c r="FR115" s="52"/>
      <c r="FS115" s="52"/>
      <c r="FT115" s="52"/>
      <c r="FU115" s="52"/>
      <c r="FV115" s="52"/>
      <c r="FW115" s="52"/>
      <c r="FX115" s="52"/>
      <c r="FY115" s="52"/>
      <c r="FZ115" s="52"/>
      <c r="GA115" s="52"/>
      <c r="GB115" s="52"/>
      <c r="GC115" s="52"/>
      <c r="GD115" s="52"/>
      <c r="GE115" s="52"/>
      <c r="GF115" s="52"/>
      <c r="GG115" s="52"/>
      <c r="GH115" s="52"/>
      <c r="GI115" s="52"/>
      <c r="GJ115" s="52"/>
      <c r="GK115" s="52"/>
      <c r="GL115" s="52"/>
      <c r="GM115" s="52"/>
      <c r="GN115" s="52"/>
      <c r="GO115" s="52"/>
      <c r="GP115" s="52"/>
      <c r="GQ115" s="52"/>
      <c r="GR115" s="52"/>
      <c r="GS115" s="52"/>
      <c r="GT115" s="52"/>
      <c r="GU115" s="52"/>
      <c r="GV115" s="52"/>
      <c r="GW115" s="52"/>
      <c r="GX115" s="52"/>
      <c r="GY115" s="17"/>
      <c r="GZ115" s="52">
        <v>709.6</v>
      </c>
      <c r="HA115" s="52"/>
      <c r="HB115" s="17"/>
      <c r="HC115" s="17"/>
      <c r="HD115" s="17"/>
      <c r="HE115" s="17"/>
      <c r="HF115" s="52"/>
      <c r="HG115" s="52"/>
      <c r="HH115" s="52"/>
      <c r="HI115" s="52"/>
      <c r="HJ115" s="52"/>
      <c r="HK115" s="52"/>
      <c r="HL115" s="52"/>
      <c r="HM115" s="52"/>
      <c r="HN115" s="52"/>
      <c r="HO115" s="52"/>
      <c r="HP115" s="52"/>
      <c r="HQ115" s="52"/>
      <c r="HR115" s="52"/>
      <c r="HS115" s="52"/>
      <c r="HT115" s="52"/>
      <c r="HU115" s="52"/>
      <c r="HV115" s="52"/>
      <c r="HW115" s="52"/>
      <c r="HX115" s="52"/>
      <c r="HY115" s="52"/>
      <c r="HZ115" s="52"/>
      <c r="IA115" s="52"/>
      <c r="IB115" s="52"/>
      <c r="IC115" s="52"/>
      <c r="ID115" s="52"/>
      <c r="IE115" s="52"/>
      <c r="IF115" s="52"/>
      <c r="IG115" s="52"/>
      <c r="IH115" s="53"/>
      <c r="II115" s="53"/>
      <c r="IJ115" s="53"/>
      <c r="IK115" s="53"/>
      <c r="IL115" s="53"/>
      <c r="IM115" s="52"/>
      <c r="IN115" s="52">
        <v>121.9</v>
      </c>
      <c r="IY115" s="48">
        <f t="shared" si="5"/>
        <v>47.464356474107454</v>
      </c>
      <c r="IZ115" s="48">
        <f>IY115-'NOPA Crush'!J115</f>
        <v>0.13435647410745588</v>
      </c>
      <c r="JB115" s="63">
        <f t="shared" si="3"/>
        <v>11.098636416611631</v>
      </c>
      <c r="JC115" s="64">
        <f>JB115-'NOPA Crush'!O115</f>
        <v>0.13863641661163051</v>
      </c>
      <c r="JD115" s="65"/>
      <c r="JE115" s="67">
        <f t="shared" si="4"/>
        <v>2902.3</v>
      </c>
      <c r="JF115" s="68">
        <f>'NOPA Crush'!Q115/'Census Crush'!JE115</f>
        <v>0.34172070426902795</v>
      </c>
    </row>
    <row r="116" spans="1:266">
      <c r="A116" s="39">
        <v>32568</v>
      </c>
      <c r="B116" s="49">
        <v>2806.1</v>
      </c>
      <c r="C116" s="50">
        <v>2976.1</v>
      </c>
      <c r="D116" s="50">
        <v>383.3</v>
      </c>
      <c r="E116" s="50">
        <v>1981.9</v>
      </c>
      <c r="F116" s="50">
        <v>34.4</v>
      </c>
      <c r="G116" s="50">
        <v>65.099999999999994</v>
      </c>
      <c r="H116" s="50">
        <v>39.4</v>
      </c>
      <c r="I116" s="50" t="s">
        <v>264</v>
      </c>
      <c r="J116" s="50" t="s">
        <v>264</v>
      </c>
      <c r="K116" s="49">
        <v>1041.2</v>
      </c>
      <c r="L116" s="49">
        <v>2893.3999999999996</v>
      </c>
      <c r="M116" s="49">
        <v>2643.2</v>
      </c>
      <c r="N116" s="49">
        <v>250.2</v>
      </c>
      <c r="O116" s="50">
        <v>127.1</v>
      </c>
      <c r="P116" s="51">
        <v>276.60000000000002</v>
      </c>
      <c r="Q116" s="49">
        <v>123.6</v>
      </c>
      <c r="R116" s="49">
        <v>153</v>
      </c>
      <c r="S116" s="49"/>
      <c r="T116" s="49">
        <v>27.8</v>
      </c>
      <c r="U116" s="51">
        <v>20.100000000000001</v>
      </c>
      <c r="V116" s="49">
        <v>16.5</v>
      </c>
      <c r="W116" s="49">
        <v>3.6</v>
      </c>
      <c r="X116" s="49">
        <v>55.1</v>
      </c>
      <c r="Y116" s="49">
        <v>6.5</v>
      </c>
      <c r="Z116" s="49">
        <v>162.29999999999998</v>
      </c>
      <c r="AA116" s="49">
        <v>160.19999999999999</v>
      </c>
      <c r="AB116" s="49">
        <v>2.1</v>
      </c>
      <c r="AC116" s="49" t="s">
        <v>264</v>
      </c>
      <c r="AD116" s="49" t="s">
        <v>264</v>
      </c>
      <c r="AE116" s="49"/>
      <c r="AF116" s="51"/>
      <c r="AG116" s="50" t="s">
        <v>264</v>
      </c>
      <c r="AH116" s="49">
        <v>18.399999999999999</v>
      </c>
      <c r="AI116" s="49">
        <v>128.9</v>
      </c>
      <c r="AJ116" s="49"/>
      <c r="AK116" s="49"/>
      <c r="AL116" s="51">
        <v>89.2</v>
      </c>
      <c r="AM116" s="49">
        <v>54</v>
      </c>
      <c r="AN116" s="49">
        <v>35.200000000000003</v>
      </c>
      <c r="AO116" s="49">
        <v>2112.1</v>
      </c>
      <c r="AP116" s="49">
        <v>209.6</v>
      </c>
      <c r="AQ116" s="49">
        <v>106.7</v>
      </c>
      <c r="AR116" s="49">
        <v>28.3</v>
      </c>
      <c r="AS116" s="50">
        <v>175.3</v>
      </c>
      <c r="AT116" s="50">
        <v>53.4</v>
      </c>
      <c r="AU116" s="50">
        <v>102.9</v>
      </c>
      <c r="AV116" s="50">
        <v>30.9</v>
      </c>
      <c r="AW116" s="50">
        <v>20.100000000000001</v>
      </c>
      <c r="AX116" s="50">
        <v>4.5</v>
      </c>
      <c r="AY116" s="50">
        <v>33</v>
      </c>
      <c r="AZ116" s="50" t="s">
        <v>264</v>
      </c>
      <c r="BA116" s="50" t="s">
        <v>264</v>
      </c>
      <c r="BB116" s="50" t="s">
        <v>264</v>
      </c>
      <c r="BC116" s="50"/>
      <c r="BD116" s="52">
        <v>99</v>
      </c>
      <c r="BE116" s="52">
        <v>43.2</v>
      </c>
      <c r="BF116" s="52"/>
      <c r="BG116" s="52"/>
      <c r="BH116" s="52">
        <v>338.1</v>
      </c>
      <c r="BI116" s="52"/>
      <c r="BJ116" s="52"/>
      <c r="BK116" s="52">
        <v>157.9</v>
      </c>
      <c r="BL116" s="52">
        <v>4.5999999999999996</v>
      </c>
      <c r="BM116" s="52">
        <v>500.6</v>
      </c>
      <c r="BN116" s="52">
        <v>304</v>
      </c>
      <c r="BO116" s="52"/>
      <c r="BP116" s="52"/>
      <c r="BQ116" s="52">
        <v>85.6</v>
      </c>
      <c r="BR116" s="52">
        <v>5.4</v>
      </c>
      <c r="BS116" s="53">
        <v>395</v>
      </c>
      <c r="BT116" s="52">
        <v>82</v>
      </c>
      <c r="BU116" s="52">
        <v>27.3</v>
      </c>
      <c r="BV116" s="50">
        <v>332.1</v>
      </c>
      <c r="BW116" s="50">
        <v>104.4</v>
      </c>
      <c r="BX116" s="49">
        <v>443</v>
      </c>
      <c r="BY116" s="50">
        <v>52.4</v>
      </c>
      <c r="BZ116" s="50">
        <v>21.1</v>
      </c>
      <c r="CA116" s="49">
        <v>73.5</v>
      </c>
      <c r="CB116" s="52"/>
      <c r="CC116" s="52"/>
      <c r="CD116" s="52"/>
      <c r="CE116" s="52"/>
      <c r="CF116" s="52">
        <v>142.4</v>
      </c>
      <c r="CG116" s="52">
        <v>125.9</v>
      </c>
      <c r="CH116" s="52">
        <v>27</v>
      </c>
      <c r="CI116" s="52"/>
      <c r="CJ116" s="52"/>
      <c r="CK116" s="52"/>
      <c r="CL116" s="52"/>
      <c r="CM116" s="52"/>
      <c r="CN116" s="52">
        <v>69.099999999999994</v>
      </c>
      <c r="CO116" s="52">
        <v>205.3</v>
      </c>
      <c r="CP116" s="52">
        <v>186.9</v>
      </c>
      <c r="CQ116" s="52">
        <v>18.399999999999999</v>
      </c>
      <c r="CR116" s="52" t="s">
        <v>264</v>
      </c>
      <c r="CS116" s="52">
        <v>49.1</v>
      </c>
      <c r="CT116" s="52">
        <v>35.5</v>
      </c>
      <c r="CU116" s="52">
        <v>13.6</v>
      </c>
      <c r="CV116" s="52">
        <v>73.599999999999994</v>
      </c>
      <c r="CW116" s="52">
        <v>33.5</v>
      </c>
      <c r="CX116" s="52">
        <v>40.1</v>
      </c>
      <c r="CY116" s="52">
        <v>12.1</v>
      </c>
      <c r="CZ116" s="52">
        <v>118.5</v>
      </c>
      <c r="DA116" s="52">
        <v>41.5</v>
      </c>
      <c r="DB116" s="52">
        <v>39.799999999999997</v>
      </c>
      <c r="DC116" s="52">
        <v>1.7</v>
      </c>
      <c r="DD116" s="52"/>
      <c r="DE116" s="52"/>
      <c r="DF116" s="53"/>
      <c r="DG116" s="53">
        <v>122.1</v>
      </c>
      <c r="DH116" s="53"/>
      <c r="DI116" s="53">
        <v>542.4</v>
      </c>
      <c r="DJ116" s="53">
        <v>148.6</v>
      </c>
      <c r="DK116" s="53">
        <v>451</v>
      </c>
      <c r="DL116" s="53">
        <v>119.2</v>
      </c>
      <c r="DM116" s="53">
        <v>205.9</v>
      </c>
      <c r="DN116" s="53"/>
      <c r="DO116" s="53">
        <v>161.6</v>
      </c>
      <c r="DP116" s="53">
        <v>171.2</v>
      </c>
      <c r="DQ116" s="53"/>
      <c r="DR116" s="53"/>
      <c r="DS116" s="53">
        <v>731.7</v>
      </c>
      <c r="DT116" s="53">
        <v>2806.1</v>
      </c>
      <c r="DU116" s="53">
        <v>-274.49999999999955</v>
      </c>
      <c r="DV116" s="53">
        <v>0</v>
      </c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2"/>
      <c r="FN116" s="52"/>
      <c r="FO116" s="52"/>
      <c r="FP116" s="52"/>
      <c r="FQ116" s="52"/>
      <c r="FR116" s="52"/>
      <c r="FS116" s="52"/>
      <c r="FT116" s="52"/>
      <c r="FU116" s="52"/>
      <c r="FV116" s="52"/>
      <c r="FW116" s="52"/>
      <c r="FX116" s="52"/>
      <c r="FY116" s="52"/>
      <c r="FZ116" s="52"/>
      <c r="GA116" s="52"/>
      <c r="GB116" s="52"/>
      <c r="GC116" s="52"/>
      <c r="GD116" s="52"/>
      <c r="GE116" s="52"/>
      <c r="GF116" s="52"/>
      <c r="GG116" s="52"/>
      <c r="GH116" s="52"/>
      <c r="GI116" s="52"/>
      <c r="GJ116" s="52"/>
      <c r="GK116" s="52"/>
      <c r="GL116" s="52"/>
      <c r="GM116" s="52"/>
      <c r="GN116" s="52"/>
      <c r="GO116" s="52"/>
      <c r="GP116" s="52"/>
      <c r="GQ116" s="52"/>
      <c r="GR116" s="52"/>
      <c r="GS116" s="52"/>
      <c r="GT116" s="52"/>
      <c r="GU116" s="52"/>
      <c r="GV116" s="52"/>
      <c r="GW116" s="52"/>
      <c r="GX116" s="52"/>
      <c r="GY116" s="17"/>
      <c r="GZ116" s="52">
        <v>830.1</v>
      </c>
      <c r="HA116" s="52"/>
      <c r="HB116" s="17"/>
      <c r="HC116" s="17"/>
      <c r="HD116" s="17"/>
      <c r="HE116" s="17"/>
      <c r="HF116" s="52"/>
      <c r="HG116" s="52"/>
      <c r="HH116" s="52"/>
      <c r="HI116" s="52"/>
      <c r="HJ116" s="52"/>
      <c r="HK116" s="52"/>
      <c r="HL116" s="52"/>
      <c r="HM116" s="52"/>
      <c r="HN116" s="52"/>
      <c r="HO116" s="52"/>
      <c r="HP116" s="52"/>
      <c r="HQ116" s="52"/>
      <c r="HR116" s="52"/>
      <c r="HS116" s="52"/>
      <c r="HT116" s="52"/>
      <c r="HU116" s="52"/>
      <c r="HV116" s="52"/>
      <c r="HW116" s="52"/>
      <c r="HX116" s="52"/>
      <c r="HY116" s="52"/>
      <c r="HZ116" s="52"/>
      <c r="IA116" s="52"/>
      <c r="IB116" s="52"/>
      <c r="IC116" s="52"/>
      <c r="ID116" s="52"/>
      <c r="IE116" s="52"/>
      <c r="IF116" s="52"/>
      <c r="IG116" s="52"/>
      <c r="IH116" s="53"/>
      <c r="II116" s="53"/>
      <c r="IJ116" s="53"/>
      <c r="IK116" s="53"/>
      <c r="IL116" s="53"/>
      <c r="IM116" s="52"/>
      <c r="IN116" s="52">
        <v>137</v>
      </c>
      <c r="IY116" s="48">
        <f t="shared" si="5"/>
        <v>47.442357720679944</v>
      </c>
      <c r="IZ116" s="48">
        <f>IY116-'NOPA Crush'!J116</f>
        <v>3.2357720679947022E-2</v>
      </c>
      <c r="JB116" s="63">
        <f t="shared" si="3"/>
        <v>11.131463597163323</v>
      </c>
      <c r="JC116" s="64">
        <f>JB116-'NOPA Crush'!O116</f>
        <v>-0.11853640283667666</v>
      </c>
      <c r="JD116" s="65"/>
      <c r="JE116" s="67">
        <f t="shared" si="4"/>
        <v>2893.3999999999996</v>
      </c>
      <c r="JF116" s="68">
        <f>'NOPA Crush'!Q116/'Census Crush'!JE116</f>
        <v>0.33890371189603929</v>
      </c>
    </row>
    <row r="117" spans="1:266">
      <c r="A117" s="39">
        <v>32599</v>
      </c>
      <c r="B117" s="49">
        <v>2687.4</v>
      </c>
      <c r="C117" s="50">
        <v>2183.1999999999998</v>
      </c>
      <c r="D117" s="50">
        <v>336.6</v>
      </c>
      <c r="E117" s="50">
        <v>1635</v>
      </c>
      <c r="F117" s="50">
        <v>29.1</v>
      </c>
      <c r="G117" s="50">
        <v>57.9</v>
      </c>
      <c r="H117" s="50">
        <v>23.3</v>
      </c>
      <c r="I117" s="50" t="s">
        <v>264</v>
      </c>
      <c r="J117" s="50" t="s">
        <v>264</v>
      </c>
      <c r="K117" s="49">
        <v>1004</v>
      </c>
      <c r="L117" s="49">
        <v>2758.9</v>
      </c>
      <c r="M117" s="49">
        <v>2496.3000000000002</v>
      </c>
      <c r="N117" s="49">
        <v>262.60000000000002</v>
      </c>
      <c r="O117" s="50">
        <v>111.7</v>
      </c>
      <c r="P117" s="51">
        <v>263.7</v>
      </c>
      <c r="Q117" s="49">
        <v>117.7</v>
      </c>
      <c r="R117" s="49">
        <v>146</v>
      </c>
      <c r="S117" s="49"/>
      <c r="T117" s="49">
        <v>24.3</v>
      </c>
      <c r="U117" s="51">
        <v>25.099999999999998</v>
      </c>
      <c r="V117" s="49">
        <v>22.7</v>
      </c>
      <c r="W117" s="49">
        <v>2.4</v>
      </c>
      <c r="X117" s="49">
        <v>48.3</v>
      </c>
      <c r="Y117" s="49">
        <v>5.8</v>
      </c>
      <c r="Z117" s="49">
        <v>122</v>
      </c>
      <c r="AA117" s="49">
        <v>119.5</v>
      </c>
      <c r="AB117" s="49">
        <v>2.5</v>
      </c>
      <c r="AC117" s="49" t="s">
        <v>264</v>
      </c>
      <c r="AD117" s="49" t="s">
        <v>264</v>
      </c>
      <c r="AE117" s="49"/>
      <c r="AF117" s="51"/>
      <c r="AG117" s="50" t="s">
        <v>264</v>
      </c>
      <c r="AH117" s="49">
        <v>12.4</v>
      </c>
      <c r="AI117" s="49">
        <v>122</v>
      </c>
      <c r="AJ117" s="49"/>
      <c r="AK117" s="49"/>
      <c r="AL117" s="51">
        <v>100.1</v>
      </c>
      <c r="AM117" s="49">
        <v>63.3</v>
      </c>
      <c r="AN117" s="49">
        <v>36.799999999999997</v>
      </c>
      <c r="AO117" s="49">
        <v>2023.5</v>
      </c>
      <c r="AP117" s="49">
        <v>263.3</v>
      </c>
      <c r="AQ117" s="49">
        <v>103.1</v>
      </c>
      <c r="AR117" s="49">
        <v>33.5</v>
      </c>
      <c r="AS117" s="50">
        <v>152.69999999999999</v>
      </c>
      <c r="AT117" s="50">
        <v>89.3</v>
      </c>
      <c r="AU117" s="50">
        <v>88.9</v>
      </c>
      <c r="AV117" s="50">
        <v>36.799999999999997</v>
      </c>
      <c r="AW117" s="50">
        <v>16.8</v>
      </c>
      <c r="AX117" s="50">
        <v>5.0999999999999996</v>
      </c>
      <c r="AY117" s="50">
        <v>29.8</v>
      </c>
      <c r="AZ117" s="50" t="s">
        <v>264</v>
      </c>
      <c r="BA117" s="50" t="s">
        <v>264</v>
      </c>
      <c r="BB117" s="50" t="s">
        <v>264</v>
      </c>
      <c r="BC117" s="50"/>
      <c r="BD117" s="52">
        <v>87.5</v>
      </c>
      <c r="BE117" s="52">
        <v>43.3</v>
      </c>
      <c r="BF117" s="52"/>
      <c r="BG117" s="52"/>
      <c r="BH117" s="52">
        <v>308.10000000000002</v>
      </c>
      <c r="BI117" s="52"/>
      <c r="BJ117" s="52"/>
      <c r="BK117" s="52">
        <v>155.6</v>
      </c>
      <c r="BL117" s="52">
        <v>4.9000000000000004</v>
      </c>
      <c r="BM117" s="52">
        <v>468.5</v>
      </c>
      <c r="BN117" s="52">
        <v>344.7</v>
      </c>
      <c r="BO117" s="52"/>
      <c r="BP117" s="52"/>
      <c r="BQ117" s="52">
        <v>82.5</v>
      </c>
      <c r="BR117" s="52">
        <v>3.8</v>
      </c>
      <c r="BS117" s="53">
        <v>431</v>
      </c>
      <c r="BT117" s="52">
        <v>78</v>
      </c>
      <c r="BU117" s="52">
        <v>34.200000000000003</v>
      </c>
      <c r="BV117" s="50">
        <v>295.10000000000002</v>
      </c>
      <c r="BW117" s="50">
        <v>95.9</v>
      </c>
      <c r="BX117" s="49">
        <v>397</v>
      </c>
      <c r="BY117" s="50">
        <v>57.5</v>
      </c>
      <c r="BZ117" s="50">
        <v>18.399999999999999</v>
      </c>
      <c r="CA117" s="49">
        <v>75.900000000000006</v>
      </c>
      <c r="CB117" s="52"/>
      <c r="CC117" s="52"/>
      <c r="CD117" s="52"/>
      <c r="CE117" s="52"/>
      <c r="CF117" s="52">
        <v>133.19999999999999</v>
      </c>
      <c r="CG117" s="52">
        <v>127.7</v>
      </c>
      <c r="CH117" s="52">
        <v>28.3</v>
      </c>
      <c r="CI117" s="52"/>
      <c r="CJ117" s="52"/>
      <c r="CK117" s="52"/>
      <c r="CL117" s="52"/>
      <c r="CM117" s="52"/>
      <c r="CN117" s="52">
        <v>60.3</v>
      </c>
      <c r="CO117" s="52">
        <v>167.70000000000002</v>
      </c>
      <c r="CP117" s="52">
        <v>149.4</v>
      </c>
      <c r="CQ117" s="52">
        <v>18.3</v>
      </c>
      <c r="CR117" s="52" t="s">
        <v>264</v>
      </c>
      <c r="CS117" s="52">
        <v>54.599999999999994</v>
      </c>
      <c r="CT117" s="52">
        <v>39.299999999999997</v>
      </c>
      <c r="CU117" s="52">
        <v>15.3</v>
      </c>
      <c r="CV117" s="52">
        <v>69.8</v>
      </c>
      <c r="CW117" s="52">
        <v>26.9</v>
      </c>
      <c r="CX117" s="52">
        <v>42.9</v>
      </c>
      <c r="CY117" s="52">
        <v>7.2</v>
      </c>
      <c r="CZ117" s="52">
        <v>113.7</v>
      </c>
      <c r="DA117" s="52">
        <v>31.7</v>
      </c>
      <c r="DB117" s="52">
        <v>29</v>
      </c>
      <c r="DC117" s="52">
        <v>2.7</v>
      </c>
      <c r="DD117" s="52"/>
      <c r="DE117" s="52"/>
      <c r="DF117" s="53"/>
      <c r="DG117" s="53">
        <v>114.6</v>
      </c>
      <c r="DH117" s="53"/>
      <c r="DI117" s="53">
        <v>523.4</v>
      </c>
      <c r="DJ117" s="53"/>
      <c r="DK117" s="53">
        <v>463.9</v>
      </c>
      <c r="DL117" s="53">
        <v>120</v>
      </c>
      <c r="DM117" s="53">
        <v>167.1</v>
      </c>
      <c r="DN117" s="53"/>
      <c r="DO117" s="53">
        <v>146.19999999999999</v>
      </c>
      <c r="DP117" s="53">
        <v>161.4</v>
      </c>
      <c r="DQ117" s="53"/>
      <c r="DR117" s="53"/>
      <c r="DS117" s="53">
        <v>719.7</v>
      </c>
      <c r="DT117" s="53">
        <v>2687.4</v>
      </c>
      <c r="DU117" s="53">
        <v>-385.70000000000027</v>
      </c>
      <c r="DV117" s="53">
        <v>0</v>
      </c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2"/>
      <c r="FO117" s="52"/>
      <c r="FP117" s="52"/>
      <c r="FQ117" s="52"/>
      <c r="FR117" s="52"/>
      <c r="FS117" s="52"/>
      <c r="FT117" s="52"/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2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17"/>
      <c r="GZ117" s="52">
        <v>800.6</v>
      </c>
      <c r="HA117" s="52"/>
      <c r="HB117" s="17"/>
      <c r="HC117" s="17"/>
      <c r="HD117" s="17"/>
      <c r="HE117" s="17"/>
      <c r="HF117" s="52"/>
      <c r="HG117" s="52"/>
      <c r="HH117" s="52"/>
      <c r="HI117" s="52"/>
      <c r="HJ117" s="52"/>
      <c r="HK117" s="52"/>
      <c r="HL117" s="52"/>
      <c r="HM117" s="52"/>
      <c r="HN117" s="52"/>
      <c r="HO117" s="52"/>
      <c r="HP117" s="52"/>
      <c r="HQ117" s="52"/>
      <c r="HR117" s="52"/>
      <c r="HS117" s="52"/>
      <c r="HT117" s="52"/>
      <c r="HU117" s="52"/>
      <c r="HV117" s="52"/>
      <c r="HW117" s="52"/>
      <c r="HX117" s="52"/>
      <c r="HY117" s="52"/>
      <c r="HZ117" s="52"/>
      <c r="IA117" s="52"/>
      <c r="IB117" s="52"/>
      <c r="IC117" s="52"/>
      <c r="ID117" s="52"/>
      <c r="IE117" s="52"/>
      <c r="IF117" s="52"/>
      <c r="IG117" s="52"/>
      <c r="IH117" s="53"/>
      <c r="II117" s="53"/>
      <c r="IJ117" s="53"/>
      <c r="IK117" s="53"/>
      <c r="IL117" s="53"/>
      <c r="IM117" s="52"/>
      <c r="IN117" s="52">
        <v>116.3</v>
      </c>
      <c r="IY117" s="48">
        <f t="shared" si="5"/>
        <v>47.479348068765347</v>
      </c>
      <c r="IZ117" s="48">
        <f>IY117-'NOPA Crush'!J117</f>
        <v>3.9348068765349353E-2</v>
      </c>
      <c r="JB117" s="63">
        <f t="shared" si="3"/>
        <v>11.207858897075241</v>
      </c>
      <c r="JC117" s="64">
        <f>JB117-'NOPA Crush'!O117</f>
        <v>-6.214110292475894E-2</v>
      </c>
      <c r="JD117" s="65"/>
      <c r="JE117" s="67">
        <f t="shared" si="4"/>
        <v>2758.9</v>
      </c>
      <c r="JF117" s="68">
        <f>'NOPA Crush'!Q117/'Census Crush'!JE117</f>
        <v>0.36278843017144513</v>
      </c>
    </row>
    <row r="118" spans="1:266">
      <c r="A118" s="39">
        <v>32629</v>
      </c>
      <c r="B118" s="49">
        <v>2608.6999999999998</v>
      </c>
      <c r="C118" s="50">
        <v>1575.7</v>
      </c>
      <c r="D118" s="50">
        <v>321.7</v>
      </c>
      <c r="E118" s="50">
        <v>1268.7</v>
      </c>
      <c r="F118" s="50">
        <v>23.4</v>
      </c>
      <c r="G118" s="50" t="s">
        <v>264</v>
      </c>
      <c r="H118" s="50">
        <v>21.1</v>
      </c>
      <c r="I118" s="50" t="s">
        <v>264</v>
      </c>
      <c r="J118" s="50" t="s">
        <v>264</v>
      </c>
      <c r="K118" s="49">
        <v>977.4</v>
      </c>
      <c r="L118" s="49">
        <v>2743.3</v>
      </c>
      <c r="M118" s="49">
        <v>2487.5</v>
      </c>
      <c r="N118" s="49">
        <v>255.8</v>
      </c>
      <c r="O118" s="50">
        <v>109.7</v>
      </c>
      <c r="P118" s="51">
        <v>249.3</v>
      </c>
      <c r="Q118" s="49">
        <v>87.8</v>
      </c>
      <c r="R118" s="49">
        <v>161.5</v>
      </c>
      <c r="S118" s="49"/>
      <c r="T118" s="49">
        <v>19</v>
      </c>
      <c r="U118" s="51">
        <v>31</v>
      </c>
      <c r="V118" s="49">
        <v>27.6</v>
      </c>
      <c r="W118" s="49">
        <v>3.4</v>
      </c>
      <c r="X118" s="50" t="s">
        <v>264</v>
      </c>
      <c r="Y118" s="49">
        <v>6.7</v>
      </c>
      <c r="Z118" s="49">
        <v>127.3</v>
      </c>
      <c r="AA118" s="49">
        <v>124.6</v>
      </c>
      <c r="AB118" s="49">
        <v>2.7</v>
      </c>
      <c r="AC118" s="49" t="s">
        <v>264</v>
      </c>
      <c r="AD118" s="49" t="s">
        <v>264</v>
      </c>
      <c r="AE118" s="49"/>
      <c r="AF118" s="51">
        <v>21.7</v>
      </c>
      <c r="AG118" s="49">
        <v>7.7</v>
      </c>
      <c r="AH118" s="49">
        <v>14</v>
      </c>
      <c r="AI118" s="49">
        <v>125.1</v>
      </c>
      <c r="AJ118" s="49"/>
      <c r="AK118" s="49"/>
      <c r="AL118" s="51">
        <v>108.69999999999999</v>
      </c>
      <c r="AM118" s="49">
        <v>74.3</v>
      </c>
      <c r="AN118" s="49">
        <v>34.4</v>
      </c>
      <c r="AO118" s="49">
        <v>1956.3</v>
      </c>
      <c r="AP118" s="49">
        <v>231.2</v>
      </c>
      <c r="AQ118" s="49">
        <v>104.9</v>
      </c>
      <c r="AR118" s="49">
        <v>29.2</v>
      </c>
      <c r="AS118" s="50">
        <v>147.6</v>
      </c>
      <c r="AT118" s="50">
        <v>117.7</v>
      </c>
      <c r="AU118" s="50">
        <v>78.599999999999994</v>
      </c>
      <c r="AV118" s="50">
        <v>37.6</v>
      </c>
      <c r="AW118" s="50">
        <v>13.7</v>
      </c>
      <c r="AX118" s="50">
        <v>6</v>
      </c>
      <c r="AY118" s="50">
        <v>20.6</v>
      </c>
      <c r="AZ118" s="50" t="s">
        <v>264</v>
      </c>
      <c r="BA118" s="50" t="s">
        <v>264</v>
      </c>
      <c r="BB118" s="50" t="s">
        <v>264</v>
      </c>
      <c r="BC118" s="50"/>
      <c r="BD118" s="52">
        <v>108.7</v>
      </c>
      <c r="BE118" s="52">
        <v>35.299999999999997</v>
      </c>
      <c r="BF118" s="52"/>
      <c r="BG118" s="52"/>
      <c r="BH118" s="52">
        <v>355.3</v>
      </c>
      <c r="BI118" s="52"/>
      <c r="BJ118" s="52"/>
      <c r="BK118" s="52">
        <v>152.4</v>
      </c>
      <c r="BL118" s="52">
        <v>5.7</v>
      </c>
      <c r="BM118" s="52">
        <v>513.4</v>
      </c>
      <c r="BN118" s="52">
        <v>315.2</v>
      </c>
      <c r="BO118" s="52"/>
      <c r="BP118" s="52"/>
      <c r="BQ118" s="52">
        <v>68.099999999999994</v>
      </c>
      <c r="BR118" s="52">
        <v>5</v>
      </c>
      <c r="BS118" s="53">
        <v>388.29999999999995</v>
      </c>
      <c r="BT118" s="52">
        <v>80</v>
      </c>
      <c r="BU118" s="52">
        <v>37.6</v>
      </c>
      <c r="BV118" s="50">
        <v>320.3</v>
      </c>
      <c r="BW118" s="50">
        <v>107.1</v>
      </c>
      <c r="BX118" s="49">
        <v>436</v>
      </c>
      <c r="BY118" s="50">
        <v>55</v>
      </c>
      <c r="BZ118" s="50">
        <v>9.1999999999999993</v>
      </c>
      <c r="CA118" s="49">
        <v>64.2</v>
      </c>
      <c r="CB118" s="52"/>
      <c r="CC118" s="52"/>
      <c r="CD118" s="52"/>
      <c r="CE118" s="52"/>
      <c r="CF118" s="52">
        <v>123.7</v>
      </c>
      <c r="CG118" s="52">
        <v>134.1</v>
      </c>
      <c r="CH118" s="52">
        <v>25.8</v>
      </c>
      <c r="CI118" s="52"/>
      <c r="CJ118" s="52"/>
      <c r="CK118" s="52"/>
      <c r="CL118" s="52"/>
      <c r="CM118" s="52"/>
      <c r="CN118" s="52">
        <v>59.2</v>
      </c>
      <c r="CO118" s="52">
        <v>134.69999999999999</v>
      </c>
      <c r="CP118" s="52">
        <v>121.8</v>
      </c>
      <c r="CQ118" s="52">
        <v>12.9</v>
      </c>
      <c r="CR118" s="52" t="s">
        <v>264</v>
      </c>
      <c r="CS118" s="52">
        <v>47.5</v>
      </c>
      <c r="CT118" s="52">
        <v>35.1</v>
      </c>
      <c r="CU118" s="52">
        <v>12.4</v>
      </c>
      <c r="CV118" s="52">
        <v>55.7</v>
      </c>
      <c r="CW118" s="52">
        <v>18.8</v>
      </c>
      <c r="CX118" s="52">
        <v>36.9</v>
      </c>
      <c r="CY118" s="52">
        <v>8.1</v>
      </c>
      <c r="CZ118" s="52">
        <v>127.7</v>
      </c>
      <c r="DA118" s="52">
        <v>24.5</v>
      </c>
      <c r="DB118" s="52">
        <v>22.2</v>
      </c>
      <c r="DC118" s="52">
        <v>2.2999999999999998</v>
      </c>
      <c r="DD118" s="52"/>
      <c r="DE118" s="52"/>
      <c r="DF118" s="53"/>
      <c r="DG118" s="53">
        <v>106.5</v>
      </c>
      <c r="DH118" s="53"/>
      <c r="DI118" s="53">
        <v>475.9</v>
      </c>
      <c r="DJ118" s="53"/>
      <c r="DK118" s="53">
        <v>424.9</v>
      </c>
      <c r="DL118" s="53">
        <v>119.4</v>
      </c>
      <c r="DM118" s="53">
        <v>200.8</v>
      </c>
      <c r="DN118" s="53"/>
      <c r="DO118" s="53">
        <v>148.30000000000001</v>
      </c>
      <c r="DP118" s="53">
        <v>142.9</v>
      </c>
      <c r="DQ118" s="53"/>
      <c r="DR118" s="53"/>
      <c r="DS118" s="53">
        <v>685.1</v>
      </c>
      <c r="DT118" s="53">
        <v>2608.6999999999998</v>
      </c>
      <c r="DU118" s="53">
        <v>-411.39999999999964</v>
      </c>
      <c r="DV118" s="53">
        <v>0</v>
      </c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2"/>
      <c r="FP118" s="52"/>
      <c r="FQ118" s="52"/>
      <c r="FR118" s="52"/>
      <c r="FS118" s="52"/>
      <c r="FT118" s="52"/>
      <c r="FU118" s="52"/>
      <c r="FV118" s="52"/>
      <c r="FW118" s="52"/>
      <c r="FX118" s="52"/>
      <c r="FY118" s="52"/>
      <c r="FZ118" s="52"/>
      <c r="GA118" s="52"/>
      <c r="GB118" s="52"/>
      <c r="GC118" s="52"/>
      <c r="GD118" s="52"/>
      <c r="GE118" s="52"/>
      <c r="GF118" s="52"/>
      <c r="GG118" s="52"/>
      <c r="GH118" s="52"/>
      <c r="GI118" s="52"/>
      <c r="GJ118" s="52"/>
      <c r="GK118" s="52"/>
      <c r="GL118" s="52"/>
      <c r="GM118" s="52"/>
      <c r="GN118" s="52"/>
      <c r="GO118" s="52"/>
      <c r="GP118" s="52"/>
      <c r="GQ118" s="52"/>
      <c r="GR118" s="52"/>
      <c r="GS118" s="52"/>
      <c r="GT118" s="52"/>
      <c r="GU118" s="52"/>
      <c r="GV118" s="52"/>
      <c r="GW118" s="52"/>
      <c r="GX118" s="52"/>
      <c r="GY118" s="17"/>
      <c r="GZ118" s="52">
        <v>867.4</v>
      </c>
      <c r="HA118" s="52"/>
      <c r="HB118" s="17"/>
      <c r="HC118" s="17"/>
      <c r="HD118" s="17"/>
      <c r="HE118" s="17"/>
      <c r="HF118" s="52"/>
      <c r="HG118" s="52"/>
      <c r="HH118" s="52"/>
      <c r="HI118" s="52"/>
      <c r="HJ118" s="52"/>
      <c r="HK118" s="52"/>
      <c r="HL118" s="52"/>
      <c r="HM118" s="52"/>
      <c r="HN118" s="52"/>
      <c r="HO118" s="52"/>
      <c r="HP118" s="52"/>
      <c r="HQ118" s="52"/>
      <c r="HR118" s="52"/>
      <c r="HS118" s="52"/>
      <c r="HT118" s="52"/>
      <c r="HU118" s="52"/>
      <c r="HV118" s="52"/>
      <c r="HW118" s="52"/>
      <c r="HX118" s="52"/>
      <c r="HY118" s="52"/>
      <c r="HZ118" s="52"/>
      <c r="IA118" s="52"/>
      <c r="IB118" s="52"/>
      <c r="IC118" s="52"/>
      <c r="ID118" s="52"/>
      <c r="IE118" s="52"/>
      <c r="IF118" s="52"/>
      <c r="IG118" s="52"/>
      <c r="IH118" s="53"/>
      <c r="II118" s="53"/>
      <c r="IJ118" s="53"/>
      <c r="IK118" s="53"/>
      <c r="IL118" s="53"/>
      <c r="IM118" s="52"/>
      <c r="IN118" s="52">
        <v>119.1</v>
      </c>
      <c r="IY118" s="48">
        <f t="shared" si="5"/>
        <v>47.40752098746502</v>
      </c>
      <c r="IZ118" s="48">
        <f>IY118-'NOPA Crush'!J118</f>
        <v>-2.9924790125349787</v>
      </c>
      <c r="JB118" s="63">
        <f t="shared" si="3"/>
        <v>11.240081266531222</v>
      </c>
      <c r="JC118" s="64">
        <f>JB118-'NOPA Crush'!O118</f>
        <v>-9.9918733468777887E-2</v>
      </c>
      <c r="JD118" s="65"/>
      <c r="JE118" s="67">
        <f t="shared" si="4"/>
        <v>2743.3</v>
      </c>
      <c r="JF118" s="68">
        <f>'NOPA Crush'!Q118/'Census Crush'!JE118</f>
        <v>0.36041665147814672</v>
      </c>
    </row>
    <row r="119" spans="1:266">
      <c r="A119" s="39">
        <v>32660</v>
      </c>
      <c r="B119" s="49">
        <v>2280.4</v>
      </c>
      <c r="C119" s="50">
        <v>1384</v>
      </c>
      <c r="D119" s="50">
        <v>287</v>
      </c>
      <c r="E119" s="50">
        <v>840.7</v>
      </c>
      <c r="F119" s="50">
        <v>40.700000000000003</v>
      </c>
      <c r="G119" s="50">
        <v>35.6</v>
      </c>
      <c r="H119" s="50">
        <v>27.2</v>
      </c>
      <c r="I119" s="50" t="s">
        <v>264</v>
      </c>
      <c r="J119" s="50" t="s">
        <v>264</v>
      </c>
      <c r="K119" s="49">
        <v>856.1</v>
      </c>
      <c r="L119" s="49">
        <v>2683.1</v>
      </c>
      <c r="M119" s="49">
        <v>2437.6999999999998</v>
      </c>
      <c r="N119" s="49">
        <v>245.4</v>
      </c>
      <c r="O119" s="50">
        <v>94.5</v>
      </c>
      <c r="P119" s="51">
        <v>266.7</v>
      </c>
      <c r="Q119" s="49">
        <v>88.1</v>
      </c>
      <c r="R119" s="49">
        <v>178.6</v>
      </c>
      <c r="S119" s="49"/>
      <c r="T119" s="49">
        <v>33.4</v>
      </c>
      <c r="U119" s="51">
        <v>38</v>
      </c>
      <c r="V119" s="49">
        <v>34.6</v>
      </c>
      <c r="W119" s="49">
        <v>3.4</v>
      </c>
      <c r="X119" s="49">
        <v>28.9</v>
      </c>
      <c r="Y119" s="49">
        <v>5</v>
      </c>
      <c r="Z119" s="49">
        <v>136</v>
      </c>
      <c r="AA119" s="49">
        <v>132.80000000000001</v>
      </c>
      <c r="AB119" s="49">
        <v>3.2</v>
      </c>
      <c r="AC119" s="49" t="s">
        <v>264</v>
      </c>
      <c r="AD119" s="49" t="s">
        <v>264</v>
      </c>
      <c r="AE119" s="49"/>
      <c r="AF119" s="51">
        <v>20.8</v>
      </c>
      <c r="AG119" s="49">
        <v>6.9</v>
      </c>
      <c r="AH119" s="49">
        <v>13.9</v>
      </c>
      <c r="AI119" s="49">
        <v>119.9</v>
      </c>
      <c r="AJ119" s="49"/>
      <c r="AK119" s="49"/>
      <c r="AL119" s="51">
        <v>102.3</v>
      </c>
      <c r="AM119" s="49">
        <v>61.9</v>
      </c>
      <c r="AN119" s="49">
        <v>40.4</v>
      </c>
      <c r="AO119" s="49">
        <v>1705.8</v>
      </c>
      <c r="AP119" s="49">
        <v>191.7</v>
      </c>
      <c r="AQ119" s="49">
        <v>97.1</v>
      </c>
      <c r="AR119" s="49">
        <v>26.3</v>
      </c>
      <c r="AS119" s="50">
        <v>126.7</v>
      </c>
      <c r="AT119" s="50">
        <v>141.5</v>
      </c>
      <c r="AU119" s="50">
        <v>73.7</v>
      </c>
      <c r="AV119" s="50">
        <v>42.9</v>
      </c>
      <c r="AW119" s="50">
        <v>33.4</v>
      </c>
      <c r="AX119" s="50">
        <v>25.2</v>
      </c>
      <c r="AY119" s="50">
        <v>18</v>
      </c>
      <c r="AZ119" s="50" t="s">
        <v>264</v>
      </c>
      <c r="BA119" s="50" t="s">
        <v>264</v>
      </c>
      <c r="BB119" s="50" t="s">
        <v>264</v>
      </c>
      <c r="BC119" s="50"/>
      <c r="BD119" s="52">
        <v>103</v>
      </c>
      <c r="BE119" s="52">
        <v>42.2</v>
      </c>
      <c r="BF119" s="52"/>
      <c r="BG119" s="52"/>
      <c r="BH119" s="52">
        <v>334.8</v>
      </c>
      <c r="BI119" s="52"/>
      <c r="BJ119" s="52"/>
      <c r="BK119" s="52">
        <v>142</v>
      </c>
      <c r="BL119" s="52">
        <v>5.7</v>
      </c>
      <c r="BM119" s="52">
        <v>482.5</v>
      </c>
      <c r="BN119" s="52">
        <v>306.3</v>
      </c>
      <c r="BO119" s="52"/>
      <c r="BP119" s="52"/>
      <c r="BQ119" s="52">
        <v>71.8</v>
      </c>
      <c r="BR119" s="52">
        <v>4.8</v>
      </c>
      <c r="BS119" s="53">
        <v>382.90000000000003</v>
      </c>
      <c r="BT119" s="52">
        <v>73</v>
      </c>
      <c r="BU119" s="52">
        <v>41.3</v>
      </c>
      <c r="BV119" s="50">
        <v>326.3</v>
      </c>
      <c r="BW119" s="50">
        <v>115.9</v>
      </c>
      <c r="BX119" s="49">
        <v>451.1</v>
      </c>
      <c r="BY119" s="50">
        <v>44.2</v>
      </c>
      <c r="BZ119" s="50">
        <v>8.9</v>
      </c>
      <c r="CA119" s="49">
        <v>53.1</v>
      </c>
      <c r="CB119" s="52"/>
      <c r="CC119" s="52"/>
      <c r="CD119" s="52"/>
      <c r="CE119" s="52"/>
      <c r="CF119" s="52">
        <v>132</v>
      </c>
      <c r="CG119" s="52">
        <v>127.9</v>
      </c>
      <c r="CH119" s="52">
        <v>25.9</v>
      </c>
      <c r="CI119" s="52"/>
      <c r="CJ119" s="52"/>
      <c r="CK119" s="52"/>
      <c r="CL119" s="52"/>
      <c r="CM119" s="52"/>
      <c r="CN119" s="52">
        <v>67.8</v>
      </c>
      <c r="CO119" s="52">
        <v>189.9</v>
      </c>
      <c r="CP119" s="52">
        <v>173.4</v>
      </c>
      <c r="CQ119" s="52">
        <v>16.5</v>
      </c>
      <c r="CR119" s="52" t="s">
        <v>264</v>
      </c>
      <c r="CS119" s="52">
        <v>48.400000000000006</v>
      </c>
      <c r="CT119" s="52">
        <v>30.3</v>
      </c>
      <c r="CU119" s="52">
        <v>18.100000000000001</v>
      </c>
      <c r="CV119" s="52">
        <v>45.8</v>
      </c>
      <c r="CW119" s="52">
        <v>14.4</v>
      </c>
      <c r="CX119" s="52">
        <v>31.4</v>
      </c>
      <c r="CY119" s="52">
        <v>10.6</v>
      </c>
      <c r="CZ119" s="52">
        <v>111.3</v>
      </c>
      <c r="DA119" s="52">
        <v>22.3</v>
      </c>
      <c r="DB119" s="52">
        <v>19.600000000000001</v>
      </c>
      <c r="DC119" s="52">
        <v>2.7</v>
      </c>
      <c r="DD119" s="52"/>
      <c r="DE119" s="52"/>
      <c r="DF119" s="53"/>
      <c r="DG119" s="53">
        <v>77.099999999999994</v>
      </c>
      <c r="DH119" s="53"/>
      <c r="DI119" s="53">
        <v>434.9</v>
      </c>
      <c r="DJ119" s="53"/>
      <c r="DK119" s="53">
        <v>397.9</v>
      </c>
      <c r="DL119" s="53">
        <v>92.1</v>
      </c>
      <c r="DM119" s="53">
        <v>205.6</v>
      </c>
      <c r="DN119" s="53"/>
      <c r="DO119" s="53">
        <v>148.80000000000001</v>
      </c>
      <c r="DP119" s="53">
        <v>171.3</v>
      </c>
      <c r="DQ119" s="53"/>
      <c r="DR119" s="53"/>
      <c r="DS119" s="53">
        <v>475.6</v>
      </c>
      <c r="DT119" s="53">
        <v>2280.4</v>
      </c>
      <c r="DU119" s="53">
        <v>-354.20000000000027</v>
      </c>
      <c r="DV119" s="53">
        <v>0</v>
      </c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2"/>
      <c r="FO119" s="52"/>
      <c r="FP119" s="52"/>
      <c r="FQ119" s="52"/>
      <c r="FR119" s="52"/>
      <c r="FS119" s="52"/>
      <c r="FT119" s="52"/>
      <c r="FU119" s="52"/>
      <c r="FV119" s="52"/>
      <c r="FW119" s="52"/>
      <c r="FX119" s="52"/>
      <c r="FY119" s="52"/>
      <c r="FZ119" s="52"/>
      <c r="GA119" s="52"/>
      <c r="GB119" s="52"/>
      <c r="GC119" s="52"/>
      <c r="GD119" s="52"/>
      <c r="GE119" s="52"/>
      <c r="GF119" s="52"/>
      <c r="GG119" s="52"/>
      <c r="GH119" s="52"/>
      <c r="GI119" s="52"/>
      <c r="GJ119" s="52"/>
      <c r="GK119" s="52"/>
      <c r="GL119" s="52"/>
      <c r="GM119" s="52"/>
      <c r="GN119" s="52"/>
      <c r="GO119" s="52"/>
      <c r="GP119" s="52"/>
      <c r="GQ119" s="52"/>
      <c r="GR119" s="52"/>
      <c r="GS119" s="52"/>
      <c r="GT119" s="52"/>
      <c r="GU119" s="52"/>
      <c r="GV119" s="52"/>
      <c r="GW119" s="52"/>
      <c r="GX119" s="52"/>
      <c r="GY119" s="17"/>
      <c r="GZ119" s="52">
        <v>801.4</v>
      </c>
      <c r="HA119" s="52"/>
      <c r="HB119" s="17"/>
      <c r="HC119" s="17"/>
      <c r="HD119" s="17"/>
      <c r="HE119" s="17"/>
      <c r="HF119" s="52"/>
      <c r="HG119" s="52"/>
      <c r="HH119" s="52"/>
      <c r="HI119" s="52"/>
      <c r="HJ119" s="52"/>
      <c r="HK119" s="52"/>
      <c r="HL119" s="52"/>
      <c r="HM119" s="52"/>
      <c r="HN119" s="52"/>
      <c r="HO119" s="52"/>
      <c r="HP119" s="52"/>
      <c r="HQ119" s="52"/>
      <c r="HR119" s="52"/>
      <c r="HS119" s="52"/>
      <c r="HT119" s="52"/>
      <c r="HU119" s="52"/>
      <c r="HV119" s="52"/>
      <c r="HW119" s="52"/>
      <c r="HX119" s="52"/>
      <c r="HY119" s="52"/>
      <c r="HZ119" s="52"/>
      <c r="IA119" s="52"/>
      <c r="IB119" s="52"/>
      <c r="IC119" s="52"/>
      <c r="ID119" s="52"/>
      <c r="IE119" s="52"/>
      <c r="IF119" s="52"/>
      <c r="IG119" s="52"/>
      <c r="IH119" s="53"/>
      <c r="II119" s="53"/>
      <c r="IJ119" s="53"/>
      <c r="IK119" s="53"/>
      <c r="IL119" s="53"/>
      <c r="IM119" s="52"/>
      <c r="IN119" s="52">
        <v>102.8</v>
      </c>
      <c r="IY119" s="48">
        <f t="shared" si="5"/>
        <v>47.436414664094016</v>
      </c>
      <c r="IZ119" s="48">
        <f>IY119-'NOPA Crush'!J119</f>
        <v>7.6414664094016871E-2</v>
      </c>
      <c r="JB119" s="63">
        <f t="shared" si="3"/>
        <v>11.262497807402211</v>
      </c>
      <c r="JC119" s="64">
        <f>JB119-'NOPA Crush'!O119</f>
        <v>-5.7502192597789659E-2</v>
      </c>
      <c r="JD119" s="65"/>
      <c r="JE119" s="67">
        <f t="shared" si="4"/>
        <v>2683.1</v>
      </c>
      <c r="JF119" s="68">
        <f>'NOPA Crush'!Q119/'Census Crush'!JE119</f>
        <v>0.34430733107226719</v>
      </c>
    </row>
    <row r="120" spans="1:266">
      <c r="A120" s="39">
        <v>32690</v>
      </c>
      <c r="B120" s="49">
        <v>2220.9</v>
      </c>
      <c r="C120" s="50">
        <v>929.8</v>
      </c>
      <c r="D120" s="50">
        <v>228.9</v>
      </c>
      <c r="E120" s="50">
        <v>664.9</v>
      </c>
      <c r="F120" s="50">
        <v>31.1</v>
      </c>
      <c r="G120" s="50">
        <v>36.799999999999997</v>
      </c>
      <c r="H120" s="50" t="s">
        <v>264</v>
      </c>
      <c r="I120" s="50" t="s">
        <v>264</v>
      </c>
      <c r="J120" s="50" t="s">
        <v>264</v>
      </c>
      <c r="K120" s="49">
        <v>835.9</v>
      </c>
      <c r="L120" s="49">
        <v>2426.8999999999996</v>
      </c>
      <c r="M120" s="49">
        <v>2178.1999999999998</v>
      </c>
      <c r="N120" s="49">
        <v>248.7</v>
      </c>
      <c r="O120" s="50">
        <v>76.599999999999994</v>
      </c>
      <c r="P120" s="51">
        <v>247.6</v>
      </c>
      <c r="Q120" s="49">
        <v>91.1</v>
      </c>
      <c r="R120" s="49">
        <v>156.5</v>
      </c>
      <c r="S120" s="49"/>
      <c r="T120" s="49">
        <v>26.6</v>
      </c>
      <c r="U120" s="51">
        <v>37.700000000000003</v>
      </c>
      <c r="V120" s="49">
        <v>32.6</v>
      </c>
      <c r="W120" s="49">
        <v>5.0999999999999996</v>
      </c>
      <c r="X120" s="49">
        <v>31.9</v>
      </c>
      <c r="Y120" s="49">
        <v>4.7</v>
      </c>
      <c r="Z120" s="49">
        <v>146.60000000000002</v>
      </c>
      <c r="AA120" s="49">
        <v>144.80000000000001</v>
      </c>
      <c r="AB120" s="49">
        <v>1.8</v>
      </c>
      <c r="AC120" s="49" t="s">
        <v>264</v>
      </c>
      <c r="AD120" s="49" t="s">
        <v>264</v>
      </c>
      <c r="AE120" s="49"/>
      <c r="AF120" s="51">
        <v>20.5</v>
      </c>
      <c r="AG120" s="49">
        <v>6.4</v>
      </c>
      <c r="AH120" s="49">
        <v>14.1</v>
      </c>
      <c r="AI120" s="49">
        <v>118.6</v>
      </c>
      <c r="AJ120" s="49"/>
      <c r="AK120" s="49"/>
      <c r="AL120" s="51">
        <v>99.9</v>
      </c>
      <c r="AM120" s="49">
        <v>58.9</v>
      </c>
      <c r="AN120" s="49">
        <v>41</v>
      </c>
      <c r="AO120" s="49">
        <v>1652.1</v>
      </c>
      <c r="AP120" s="49">
        <v>232.9</v>
      </c>
      <c r="AQ120" s="49">
        <v>97.1</v>
      </c>
      <c r="AR120" s="49">
        <v>32</v>
      </c>
      <c r="AS120" s="50">
        <v>106.1</v>
      </c>
      <c r="AT120" s="50">
        <v>143.1</v>
      </c>
      <c r="AU120" s="50">
        <v>59.5</v>
      </c>
      <c r="AV120" s="50">
        <v>42.8</v>
      </c>
      <c r="AW120" s="50">
        <v>17.600000000000001</v>
      </c>
      <c r="AX120" s="50">
        <v>10.5</v>
      </c>
      <c r="AY120" s="50">
        <v>19.8</v>
      </c>
      <c r="AZ120" s="50" t="s">
        <v>264</v>
      </c>
      <c r="BA120" s="50" t="s">
        <v>264</v>
      </c>
      <c r="BB120" s="50" t="s">
        <v>264</v>
      </c>
      <c r="BC120" s="50"/>
      <c r="BD120" s="52">
        <v>94.6</v>
      </c>
      <c r="BE120" s="52">
        <v>41.9</v>
      </c>
      <c r="BF120" s="52"/>
      <c r="BG120" s="52"/>
      <c r="BH120" s="52">
        <v>373.5</v>
      </c>
      <c r="BI120" s="52"/>
      <c r="BJ120" s="52"/>
      <c r="BK120" s="52">
        <v>72.400000000000006</v>
      </c>
      <c r="BL120" s="52">
        <v>5.4</v>
      </c>
      <c r="BM120" s="52">
        <v>451.4</v>
      </c>
      <c r="BN120" s="52">
        <v>373.5</v>
      </c>
      <c r="BO120" s="52"/>
      <c r="BP120" s="52"/>
      <c r="BQ120" s="52">
        <v>72.400000000000006</v>
      </c>
      <c r="BR120" s="52">
        <v>5.4</v>
      </c>
      <c r="BS120" s="53">
        <v>451.29999999999995</v>
      </c>
      <c r="BT120" s="52" t="s">
        <v>264</v>
      </c>
      <c r="BU120" s="52">
        <v>32.4</v>
      </c>
      <c r="BV120" s="50">
        <v>301.7</v>
      </c>
      <c r="BW120" s="50">
        <v>109</v>
      </c>
      <c r="BX120" s="49">
        <v>418.8</v>
      </c>
      <c r="BY120" s="50">
        <v>56.7</v>
      </c>
      <c r="BZ120" s="50">
        <v>9.6</v>
      </c>
      <c r="CA120" s="49">
        <v>66.3</v>
      </c>
      <c r="CB120" s="52"/>
      <c r="CC120" s="52"/>
      <c r="CD120" s="52"/>
      <c r="CE120" s="52"/>
      <c r="CF120" s="52">
        <v>123.7</v>
      </c>
      <c r="CG120" s="52">
        <v>133.4</v>
      </c>
      <c r="CH120" s="52">
        <v>25.8</v>
      </c>
      <c r="CI120" s="52"/>
      <c r="CJ120" s="52"/>
      <c r="CK120" s="52"/>
      <c r="CL120" s="52"/>
      <c r="CM120" s="52"/>
      <c r="CN120" s="52">
        <v>57.3</v>
      </c>
      <c r="CO120" s="52">
        <v>177.5</v>
      </c>
      <c r="CP120" s="52">
        <v>159.69999999999999</v>
      </c>
      <c r="CQ120" s="52">
        <v>17.8</v>
      </c>
      <c r="CR120" s="52" t="s">
        <v>264</v>
      </c>
      <c r="CS120" s="52">
        <v>43.8</v>
      </c>
      <c r="CT120" s="52">
        <v>27.5</v>
      </c>
      <c r="CU120" s="52">
        <v>16.3</v>
      </c>
      <c r="CV120" s="52">
        <v>45.199999999999996</v>
      </c>
      <c r="CW120" s="52">
        <v>12.9</v>
      </c>
      <c r="CX120" s="52">
        <v>32.299999999999997</v>
      </c>
      <c r="CY120" s="52" t="s">
        <v>264</v>
      </c>
      <c r="CZ120" s="52">
        <v>95.9</v>
      </c>
      <c r="DA120" s="52">
        <v>25.599999999999998</v>
      </c>
      <c r="DB120" s="52">
        <v>23.2</v>
      </c>
      <c r="DC120" s="52">
        <v>2.4</v>
      </c>
      <c r="DD120" s="52"/>
      <c r="DE120" s="52"/>
      <c r="DF120" s="53"/>
      <c r="DG120" s="53">
        <v>67.900000000000006</v>
      </c>
      <c r="DH120" s="53"/>
      <c r="DI120" s="53">
        <v>400</v>
      </c>
      <c r="DJ120" s="53"/>
      <c r="DK120" s="53">
        <v>392.2</v>
      </c>
      <c r="DL120" s="53">
        <v>110.7</v>
      </c>
      <c r="DM120" s="53">
        <v>203.4</v>
      </c>
      <c r="DN120" s="53"/>
      <c r="DO120" s="53">
        <v>147.4</v>
      </c>
      <c r="DP120" s="53">
        <v>169.8</v>
      </c>
      <c r="DQ120" s="53"/>
      <c r="DR120" s="53"/>
      <c r="DS120" s="53">
        <v>451.9</v>
      </c>
      <c r="DT120" s="53">
        <v>2220.9</v>
      </c>
      <c r="DU120" s="53">
        <v>-345.5</v>
      </c>
      <c r="DV120" s="53">
        <v>0</v>
      </c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2"/>
      <c r="FO120" s="52"/>
      <c r="FP120" s="52"/>
      <c r="FQ120" s="52"/>
      <c r="FR120" s="52"/>
      <c r="FS120" s="52"/>
      <c r="FT120" s="52"/>
      <c r="FU120" s="52"/>
      <c r="FV120" s="52"/>
      <c r="FW120" s="52"/>
      <c r="FX120" s="52"/>
      <c r="FY120" s="52"/>
      <c r="FZ120" s="52"/>
      <c r="GA120" s="52"/>
      <c r="GB120" s="52"/>
      <c r="GC120" s="52"/>
      <c r="GD120" s="52"/>
      <c r="GE120" s="52"/>
      <c r="GF120" s="52"/>
      <c r="GG120" s="52"/>
      <c r="GH120" s="52"/>
      <c r="GI120" s="52"/>
      <c r="GJ120" s="52"/>
      <c r="GK120" s="52"/>
      <c r="GL120" s="52"/>
      <c r="GM120" s="52"/>
      <c r="GN120" s="52"/>
      <c r="GO120" s="52"/>
      <c r="GP120" s="52"/>
      <c r="GQ120" s="52"/>
      <c r="GR120" s="52"/>
      <c r="GS120" s="52"/>
      <c r="GT120" s="52"/>
      <c r="GU120" s="52"/>
      <c r="GV120" s="52"/>
      <c r="GW120" s="52"/>
      <c r="GX120" s="52"/>
      <c r="GY120" s="17"/>
      <c r="GZ120" s="52">
        <v>791.4</v>
      </c>
      <c r="HA120" s="52"/>
      <c r="HB120" s="17"/>
      <c r="HC120" s="17"/>
      <c r="HD120" s="17"/>
      <c r="HE120" s="17"/>
      <c r="HF120" s="52"/>
      <c r="HG120" s="52"/>
      <c r="HH120" s="52"/>
      <c r="HI120" s="52"/>
      <c r="HJ120" s="52"/>
      <c r="HK120" s="52"/>
      <c r="HL120" s="52"/>
      <c r="HM120" s="52"/>
      <c r="HN120" s="52"/>
      <c r="HO120" s="52"/>
      <c r="HP120" s="52"/>
      <c r="HQ120" s="52"/>
      <c r="HR120" s="52"/>
      <c r="HS120" s="52"/>
      <c r="HT120" s="52"/>
      <c r="HU120" s="52"/>
      <c r="HV120" s="52"/>
      <c r="HW120" s="52"/>
      <c r="HX120" s="52"/>
      <c r="HY120" s="52"/>
      <c r="HZ120" s="52"/>
      <c r="IA120" s="52"/>
      <c r="IB120" s="52"/>
      <c r="IC120" s="52"/>
      <c r="ID120" s="52"/>
      <c r="IE120" s="52"/>
      <c r="IF120" s="52"/>
      <c r="IG120" s="52"/>
      <c r="IH120" s="53"/>
      <c r="II120" s="53"/>
      <c r="IJ120" s="53"/>
      <c r="IK120" s="53"/>
      <c r="IL120" s="53"/>
      <c r="IM120" s="52"/>
      <c r="IN120" s="52">
        <v>71.599999999999994</v>
      </c>
      <c r="IY120" s="48">
        <f t="shared" si="5"/>
        <v>47.25651762798865</v>
      </c>
      <c r="IZ120" s="48">
        <f>IY120-'NOPA Crush'!J120</f>
        <v>-0.74348237201134992</v>
      </c>
      <c r="JB120" s="63">
        <f t="shared" si="3"/>
        <v>11.291368364176684</v>
      </c>
      <c r="JC120" s="64">
        <f>JB120-'NOPA Crush'!O120</f>
        <v>-0.2286316358233158</v>
      </c>
      <c r="JD120" s="65"/>
      <c r="JE120" s="67">
        <f t="shared" si="4"/>
        <v>2426.8999999999996</v>
      </c>
      <c r="JF120" s="68">
        <f>'NOPA Crush'!Q120/'Census Crush'!JE120</f>
        <v>0.3268956281676213</v>
      </c>
    </row>
    <row r="121" spans="1:266">
      <c r="A121" s="39">
        <v>32721</v>
      </c>
      <c r="B121" s="49">
        <v>2275.9</v>
      </c>
      <c r="C121" s="50">
        <v>712.9</v>
      </c>
      <c r="D121" s="50">
        <v>218.6</v>
      </c>
      <c r="E121" s="50">
        <v>532.20000000000005</v>
      </c>
      <c r="F121" s="50">
        <v>26.7</v>
      </c>
      <c r="G121" s="50">
        <v>34.799999999999997</v>
      </c>
      <c r="H121" s="50">
        <v>8</v>
      </c>
      <c r="I121" s="50" t="s">
        <v>264</v>
      </c>
      <c r="J121" s="50" t="s">
        <v>264</v>
      </c>
      <c r="K121" s="49">
        <v>855</v>
      </c>
      <c r="L121" s="49">
        <v>2069.6</v>
      </c>
      <c r="M121" s="49">
        <v>1836.1</v>
      </c>
      <c r="N121" s="49">
        <v>233.5</v>
      </c>
      <c r="O121" s="50">
        <v>81.900000000000006</v>
      </c>
      <c r="P121" s="51">
        <v>191.4</v>
      </c>
      <c r="Q121" s="49">
        <v>68.2</v>
      </c>
      <c r="R121" s="49">
        <v>123.2</v>
      </c>
      <c r="S121" s="49"/>
      <c r="T121" s="49">
        <v>22.4</v>
      </c>
      <c r="U121" s="51">
        <v>33.299999999999997</v>
      </c>
      <c r="V121" s="49">
        <v>28.9</v>
      </c>
      <c r="W121" s="49">
        <v>4.4000000000000004</v>
      </c>
      <c r="X121" s="49">
        <v>30.9</v>
      </c>
      <c r="Y121" s="49">
        <v>7.2</v>
      </c>
      <c r="Z121" s="49">
        <v>74.199999999999989</v>
      </c>
      <c r="AA121" s="49">
        <v>71.599999999999994</v>
      </c>
      <c r="AB121" s="49">
        <v>2.6</v>
      </c>
      <c r="AC121" s="49" t="s">
        <v>264</v>
      </c>
      <c r="AD121" s="49" t="s">
        <v>264</v>
      </c>
      <c r="AE121" s="49"/>
      <c r="AF121" s="51"/>
      <c r="AG121" s="50" t="s">
        <v>264</v>
      </c>
      <c r="AH121" s="49">
        <v>15</v>
      </c>
      <c r="AI121" s="49">
        <v>98.7</v>
      </c>
      <c r="AJ121" s="49"/>
      <c r="AK121" s="49"/>
      <c r="AL121" s="51">
        <v>97.699999999999989</v>
      </c>
      <c r="AM121" s="49">
        <v>37.4</v>
      </c>
      <c r="AN121" s="49">
        <v>60.3</v>
      </c>
      <c r="AO121" s="49">
        <v>1701.3</v>
      </c>
      <c r="AP121" s="49">
        <v>127.9</v>
      </c>
      <c r="AQ121" s="49">
        <v>103.1</v>
      </c>
      <c r="AR121" s="49">
        <v>24.1</v>
      </c>
      <c r="AS121" s="50">
        <v>98.5</v>
      </c>
      <c r="AT121" s="50">
        <v>138.19999999999999</v>
      </c>
      <c r="AU121" s="50">
        <v>60.2</v>
      </c>
      <c r="AV121" s="50">
        <v>46.1</v>
      </c>
      <c r="AW121" s="50">
        <v>15</v>
      </c>
      <c r="AX121" s="50">
        <v>7.6</v>
      </c>
      <c r="AY121" s="50">
        <v>17.8</v>
      </c>
      <c r="AZ121" s="50" t="s">
        <v>264</v>
      </c>
      <c r="BA121" s="50" t="s">
        <v>264</v>
      </c>
      <c r="BB121" s="50" t="s">
        <v>264</v>
      </c>
      <c r="BC121" s="50"/>
      <c r="BD121" s="52">
        <v>102.4</v>
      </c>
      <c r="BE121" s="52">
        <v>35.799999999999997</v>
      </c>
      <c r="BF121" s="52"/>
      <c r="BG121" s="52"/>
      <c r="BH121" s="52">
        <v>340.7</v>
      </c>
      <c r="BI121" s="52"/>
      <c r="BJ121" s="52"/>
      <c r="BK121" s="52">
        <v>168.3</v>
      </c>
      <c r="BL121" s="52">
        <v>4.3</v>
      </c>
      <c r="BM121" s="52">
        <v>513.29999999999995</v>
      </c>
      <c r="BN121" s="52">
        <v>272.8</v>
      </c>
      <c r="BO121" s="52"/>
      <c r="BP121" s="52"/>
      <c r="BQ121" s="52">
        <v>70.7</v>
      </c>
      <c r="BR121" s="52">
        <v>4.5999999999999996</v>
      </c>
      <c r="BS121" s="53">
        <v>348.1</v>
      </c>
      <c r="BT121" s="52" t="s">
        <v>264</v>
      </c>
      <c r="BU121" s="52">
        <v>28.9</v>
      </c>
      <c r="BV121" s="50">
        <v>313.8</v>
      </c>
      <c r="BW121" s="50">
        <v>118.9</v>
      </c>
      <c r="BX121" s="49">
        <v>439.5</v>
      </c>
      <c r="BY121" s="50">
        <v>44.3</v>
      </c>
      <c r="BZ121" s="50">
        <v>6.7</v>
      </c>
      <c r="CA121" s="49">
        <v>51</v>
      </c>
      <c r="CB121" s="52"/>
      <c r="CC121" s="52"/>
      <c r="CD121" s="52"/>
      <c r="CE121" s="52"/>
      <c r="CF121" s="52">
        <v>138.4</v>
      </c>
      <c r="CG121" s="52">
        <v>125</v>
      </c>
      <c r="CH121" s="52">
        <v>22.5</v>
      </c>
      <c r="CI121" s="52"/>
      <c r="CJ121" s="52"/>
      <c r="CK121" s="52"/>
      <c r="CL121" s="52"/>
      <c r="CM121" s="52"/>
      <c r="CN121" s="52">
        <v>57.1</v>
      </c>
      <c r="CO121" s="52">
        <v>149.80000000000001</v>
      </c>
      <c r="CP121" s="52">
        <v>128</v>
      </c>
      <c r="CQ121" s="52">
        <v>21.8</v>
      </c>
      <c r="CR121" s="52" t="s">
        <v>264</v>
      </c>
      <c r="CS121" s="52">
        <v>23.200000000000003</v>
      </c>
      <c r="CT121" s="52">
        <v>13.8</v>
      </c>
      <c r="CU121" s="52">
        <v>9.4</v>
      </c>
      <c r="CV121" s="52">
        <v>48.8</v>
      </c>
      <c r="CW121" s="52">
        <v>22.8</v>
      </c>
      <c r="CX121" s="52">
        <v>26</v>
      </c>
      <c r="CY121" s="52">
        <v>8.6999999999999993</v>
      </c>
      <c r="CZ121" s="52">
        <v>108.2</v>
      </c>
      <c r="DA121" s="52">
        <v>40.799999999999997</v>
      </c>
      <c r="DB121" s="52">
        <v>37.4</v>
      </c>
      <c r="DC121" s="52">
        <v>3.4</v>
      </c>
      <c r="DD121" s="52"/>
      <c r="DE121" s="52"/>
      <c r="DF121" s="53"/>
      <c r="DG121" s="53">
        <v>85.7</v>
      </c>
      <c r="DH121" s="53"/>
      <c r="DI121" s="53">
        <v>445.9</v>
      </c>
      <c r="DJ121" s="53"/>
      <c r="DK121" s="53">
        <v>375.8</v>
      </c>
      <c r="DL121" s="53">
        <v>111.6</v>
      </c>
      <c r="DM121" s="53">
        <v>211.3</v>
      </c>
      <c r="DN121" s="53"/>
      <c r="DO121" s="53">
        <v>157.5</v>
      </c>
      <c r="DP121" s="53">
        <v>186</v>
      </c>
      <c r="DQ121" s="53"/>
      <c r="DR121" s="53"/>
      <c r="DS121" s="53">
        <v>430</v>
      </c>
      <c r="DT121" s="53">
        <v>2275.9</v>
      </c>
      <c r="DU121" s="53">
        <v>-357.79999999999995</v>
      </c>
      <c r="DV121" s="53">
        <v>0</v>
      </c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2"/>
      <c r="FE121" s="52"/>
      <c r="FF121" s="52"/>
      <c r="FG121" s="52"/>
      <c r="FH121" s="52"/>
      <c r="FI121" s="52"/>
      <c r="FJ121" s="52"/>
      <c r="FK121" s="52"/>
      <c r="FL121" s="52"/>
      <c r="FM121" s="52"/>
      <c r="FN121" s="52"/>
      <c r="FO121" s="52"/>
      <c r="FP121" s="52"/>
      <c r="FQ121" s="52"/>
      <c r="FR121" s="52"/>
      <c r="FS121" s="52"/>
      <c r="FT121" s="52"/>
      <c r="FU121" s="52"/>
      <c r="FV121" s="52"/>
      <c r="FW121" s="52"/>
      <c r="FX121" s="52"/>
      <c r="FY121" s="52"/>
      <c r="FZ121" s="52"/>
      <c r="GA121" s="52"/>
      <c r="GB121" s="52"/>
      <c r="GC121" s="52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2"/>
      <c r="GO121" s="52"/>
      <c r="GP121" s="52"/>
      <c r="GQ121" s="52"/>
      <c r="GR121" s="52"/>
      <c r="GS121" s="52"/>
      <c r="GT121" s="52"/>
      <c r="GU121" s="52"/>
      <c r="GV121" s="52"/>
      <c r="GW121" s="52"/>
      <c r="GX121" s="52"/>
      <c r="GY121" s="17"/>
      <c r="GZ121" s="52">
        <v>866.6</v>
      </c>
      <c r="HA121" s="52"/>
      <c r="HB121" s="17"/>
      <c r="HC121" s="17"/>
      <c r="HD121" s="17"/>
      <c r="HE121" s="17"/>
      <c r="HF121" s="52"/>
      <c r="HG121" s="52"/>
      <c r="HH121" s="52"/>
      <c r="HI121" s="52"/>
      <c r="HJ121" s="52"/>
      <c r="HK121" s="52"/>
      <c r="HL121" s="52"/>
      <c r="HM121" s="52"/>
      <c r="HN121" s="52"/>
      <c r="HO121" s="52"/>
      <c r="HP121" s="52"/>
      <c r="HQ121" s="52"/>
      <c r="HR121" s="52"/>
      <c r="HS121" s="52"/>
      <c r="HT121" s="52"/>
      <c r="HU121" s="52"/>
      <c r="HV121" s="52"/>
      <c r="HW121" s="52"/>
      <c r="HX121" s="52"/>
      <c r="HY121" s="52"/>
      <c r="HZ121" s="52"/>
      <c r="IA121" s="52"/>
      <c r="IB121" s="52"/>
      <c r="IC121" s="52"/>
      <c r="ID121" s="52"/>
      <c r="IE121" s="52"/>
      <c r="IF121" s="52"/>
      <c r="IG121" s="52"/>
      <c r="IH121" s="53"/>
      <c r="II121" s="53"/>
      <c r="IJ121" s="53"/>
      <c r="IK121" s="53"/>
      <c r="IL121" s="53"/>
      <c r="IM121" s="52"/>
      <c r="IN121" s="52">
        <v>86.6</v>
      </c>
      <c r="IY121" s="48">
        <f t="shared" si="5"/>
        <v>47.569752625335028</v>
      </c>
      <c r="IZ121" s="48">
        <f>IY121-'NOPA Crush'!J121</f>
        <v>0.22975262533502416</v>
      </c>
      <c r="JB121" s="63">
        <f t="shared" si="3"/>
        <v>11.270266707676084</v>
      </c>
      <c r="JC121" s="64">
        <f>JB121-'NOPA Crush'!O121</f>
        <v>-4.973329232391599E-2</v>
      </c>
      <c r="JD121" s="65"/>
      <c r="JE121" s="67">
        <f t="shared" si="4"/>
        <v>2069.6</v>
      </c>
      <c r="JF121" s="68">
        <f>'NOPA Crush'!Q121/'Census Crush'!JE121</f>
        <v>0.28363017008117508</v>
      </c>
    </row>
    <row r="122" spans="1:266">
      <c r="A122" s="39">
        <v>32752</v>
      </c>
      <c r="B122" s="49">
        <v>2224</v>
      </c>
      <c r="C122" s="50">
        <v>734.1</v>
      </c>
      <c r="D122" s="50">
        <v>150.6</v>
      </c>
      <c r="E122" s="50">
        <v>449.3</v>
      </c>
      <c r="F122" s="50">
        <v>8.6</v>
      </c>
      <c r="G122" s="50">
        <v>23</v>
      </c>
      <c r="H122" s="50" t="s">
        <v>264</v>
      </c>
      <c r="I122" s="50" t="s">
        <v>264</v>
      </c>
      <c r="J122" s="50" t="s">
        <v>264</v>
      </c>
      <c r="K122" s="49">
        <v>843</v>
      </c>
      <c r="L122" s="49">
        <v>1715.4</v>
      </c>
      <c r="M122" s="49">
        <v>1455.4</v>
      </c>
      <c r="N122" s="49">
        <v>260</v>
      </c>
      <c r="O122" s="50">
        <v>56.8</v>
      </c>
      <c r="P122" s="51">
        <v>147.30000000000001</v>
      </c>
      <c r="Q122" s="49">
        <v>49.6</v>
      </c>
      <c r="R122" s="49">
        <v>97.7</v>
      </c>
      <c r="S122" s="49"/>
      <c r="T122" s="50" t="s">
        <v>264</v>
      </c>
      <c r="U122" s="51">
        <v>23</v>
      </c>
      <c r="V122" s="49">
        <v>18.600000000000001</v>
      </c>
      <c r="W122" s="49">
        <v>4.4000000000000004</v>
      </c>
      <c r="X122" s="49">
        <v>18.399999999999999</v>
      </c>
      <c r="Y122" s="49">
        <v>5.5</v>
      </c>
      <c r="Z122" s="49">
        <v>82</v>
      </c>
      <c r="AA122" s="49">
        <v>71</v>
      </c>
      <c r="AB122" s="49">
        <v>11</v>
      </c>
      <c r="AC122" s="49" t="s">
        <v>264</v>
      </c>
      <c r="AD122" s="49" t="s">
        <v>264</v>
      </c>
      <c r="AE122" s="49"/>
      <c r="AF122" s="51"/>
      <c r="AG122" s="50" t="s">
        <v>264</v>
      </c>
      <c r="AH122" s="49">
        <v>16.899999999999999</v>
      </c>
      <c r="AI122" s="49">
        <v>108.5</v>
      </c>
      <c r="AJ122" s="49"/>
      <c r="AK122" s="49"/>
      <c r="AL122" s="51">
        <v>98.5</v>
      </c>
      <c r="AM122" s="49">
        <v>64.8</v>
      </c>
      <c r="AN122" s="49">
        <v>33.700000000000003</v>
      </c>
      <c r="AO122" s="49">
        <v>1658.8</v>
      </c>
      <c r="AP122" s="49">
        <v>146.80000000000001</v>
      </c>
      <c r="AQ122" s="49">
        <v>99.8</v>
      </c>
      <c r="AR122" s="49">
        <v>26.1</v>
      </c>
      <c r="AS122" s="50">
        <v>69.3</v>
      </c>
      <c r="AT122" s="50">
        <v>80.900000000000006</v>
      </c>
      <c r="AU122" s="50">
        <v>40.299999999999997</v>
      </c>
      <c r="AV122" s="50">
        <v>24.4</v>
      </c>
      <c r="AW122" s="50" t="s">
        <v>264</v>
      </c>
      <c r="AX122" s="50">
        <v>4.7</v>
      </c>
      <c r="AY122" s="50">
        <v>13</v>
      </c>
      <c r="AZ122" s="50">
        <v>3.4</v>
      </c>
      <c r="BA122" s="50" t="s">
        <v>264</v>
      </c>
      <c r="BB122" s="50" t="s">
        <v>264</v>
      </c>
      <c r="BC122" s="50"/>
      <c r="BD122" s="52">
        <v>91.7</v>
      </c>
      <c r="BE122" s="52">
        <v>36.200000000000003</v>
      </c>
      <c r="BF122" s="52"/>
      <c r="BG122" s="52"/>
      <c r="BH122" s="52">
        <v>311.39999999999998</v>
      </c>
      <c r="BI122" s="52"/>
      <c r="BJ122" s="52"/>
      <c r="BK122" s="52">
        <v>151.6</v>
      </c>
      <c r="BL122" s="52">
        <v>3.9</v>
      </c>
      <c r="BM122" s="52">
        <v>466.9</v>
      </c>
      <c r="BN122" s="52">
        <v>308.3</v>
      </c>
      <c r="BO122" s="52"/>
      <c r="BP122" s="52"/>
      <c r="BQ122" s="52">
        <v>76</v>
      </c>
      <c r="BR122" s="52">
        <v>4.9000000000000004</v>
      </c>
      <c r="BS122" s="53">
        <v>389.2</v>
      </c>
      <c r="BT122" s="52" t="s">
        <v>264</v>
      </c>
      <c r="BU122" s="52">
        <v>41.6</v>
      </c>
      <c r="BV122" s="50">
        <v>287.10000000000002</v>
      </c>
      <c r="BW122" s="50">
        <v>107.7</v>
      </c>
      <c r="BX122" s="49">
        <v>401</v>
      </c>
      <c r="BY122" s="50">
        <v>34.700000000000003</v>
      </c>
      <c r="BZ122" s="50">
        <v>7.5</v>
      </c>
      <c r="CA122" s="49">
        <v>42.2</v>
      </c>
      <c r="CB122" s="52"/>
      <c r="CC122" s="52"/>
      <c r="CD122" s="52"/>
      <c r="CE122" s="52"/>
      <c r="CF122" s="52">
        <v>112.6</v>
      </c>
      <c r="CG122" s="52">
        <v>112.7</v>
      </c>
      <c r="CH122" s="52">
        <v>23.4</v>
      </c>
      <c r="CI122" s="52"/>
      <c r="CJ122" s="52"/>
      <c r="CK122" s="52"/>
      <c r="CL122" s="52"/>
      <c r="CM122" s="52"/>
      <c r="CN122" s="52">
        <v>42.2</v>
      </c>
      <c r="CO122" s="52">
        <v>150.80000000000001</v>
      </c>
      <c r="CP122" s="52">
        <v>130.5</v>
      </c>
      <c r="CQ122" s="52">
        <v>20.3</v>
      </c>
      <c r="CR122" s="52" t="s">
        <v>264</v>
      </c>
      <c r="CS122" s="52">
        <v>21.5</v>
      </c>
      <c r="CT122" s="52">
        <v>15.7</v>
      </c>
      <c r="CU122" s="52">
        <v>5.8</v>
      </c>
      <c r="CV122" s="52">
        <v>37.200000000000003</v>
      </c>
      <c r="CW122" s="52">
        <v>15.8</v>
      </c>
      <c r="CX122" s="52">
        <v>21.4</v>
      </c>
      <c r="CY122" s="52">
        <v>4</v>
      </c>
      <c r="CZ122" s="52">
        <v>86.7</v>
      </c>
      <c r="DA122" s="52">
        <v>62.4</v>
      </c>
      <c r="DB122" s="52">
        <v>58.9</v>
      </c>
      <c r="DC122" s="52">
        <v>3.5</v>
      </c>
      <c r="DD122" s="52"/>
      <c r="DE122" s="52"/>
      <c r="DF122" s="53"/>
      <c r="DG122" s="53"/>
      <c r="DH122" s="53"/>
      <c r="DI122" s="53">
        <v>397.8</v>
      </c>
      <c r="DJ122" s="53"/>
      <c r="DK122" s="53">
        <v>469.4</v>
      </c>
      <c r="DL122" s="53">
        <v>92.9</v>
      </c>
      <c r="DM122" s="53">
        <v>196.2</v>
      </c>
      <c r="DN122" s="53"/>
      <c r="DO122" s="53">
        <v>95.1</v>
      </c>
      <c r="DP122" s="53">
        <v>153.4</v>
      </c>
      <c r="DQ122" s="53"/>
      <c r="DR122" s="53"/>
      <c r="DS122" s="53">
        <v>559</v>
      </c>
      <c r="DT122" s="53">
        <v>2224</v>
      </c>
      <c r="DU122" s="53">
        <v>-260.20000000000005</v>
      </c>
      <c r="DV122" s="53">
        <v>0</v>
      </c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2"/>
      <c r="FO122" s="52"/>
      <c r="FP122" s="52"/>
      <c r="FQ122" s="52"/>
      <c r="FR122" s="52"/>
      <c r="FS122" s="52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17"/>
      <c r="GZ122" s="52">
        <v>866.6</v>
      </c>
      <c r="HA122" s="52"/>
      <c r="HB122" s="17"/>
      <c r="HC122" s="17"/>
      <c r="HD122" s="17"/>
      <c r="HE122" s="17"/>
      <c r="HF122" s="52"/>
      <c r="HG122" s="52"/>
      <c r="HH122" s="52"/>
      <c r="HI122" s="52"/>
      <c r="HJ122" s="52"/>
      <c r="HK122" s="52"/>
      <c r="HL122" s="52"/>
      <c r="HM122" s="52"/>
      <c r="HN122" s="52"/>
      <c r="HO122" s="52"/>
      <c r="HP122" s="52"/>
      <c r="HQ122" s="52"/>
      <c r="HR122" s="52"/>
      <c r="HS122" s="52"/>
      <c r="HT122" s="52"/>
      <c r="HU122" s="52"/>
      <c r="HV122" s="52"/>
      <c r="HW122" s="52"/>
      <c r="HX122" s="52"/>
      <c r="HY122" s="52"/>
      <c r="HZ122" s="52"/>
      <c r="IA122" s="52"/>
      <c r="IB122" s="52"/>
      <c r="IC122" s="52"/>
      <c r="ID122" s="52"/>
      <c r="IE122" s="52"/>
      <c r="IF122" s="52"/>
      <c r="IG122" s="52"/>
      <c r="IH122" s="53"/>
      <c r="II122" s="53"/>
      <c r="IJ122" s="53"/>
      <c r="IK122" s="53"/>
      <c r="IL122" s="53"/>
      <c r="IM122" s="52"/>
      <c r="IN122" s="52">
        <v>69.099999999999994</v>
      </c>
      <c r="IY122" s="48">
        <f t="shared" si="5"/>
        <v>47.444244604316538</v>
      </c>
      <c r="IZ122" s="48">
        <f>IY122-'NOPA Crush'!J122</f>
        <v>0.10424460431653415</v>
      </c>
      <c r="JB122" s="63">
        <f t="shared" si="3"/>
        <v>11.371402877697841</v>
      </c>
      <c r="JC122" s="64">
        <f>JB122-'NOPA Crush'!O122</f>
        <v>-5.8597122302158411E-2</v>
      </c>
      <c r="JD122" s="65"/>
      <c r="JE122" s="67">
        <f t="shared" si="4"/>
        <v>1715.4</v>
      </c>
      <c r="JF122" s="68">
        <f>'NOPA Crush'!Q122/'Census Crush'!JE122</f>
        <v>0.26726536084878161</v>
      </c>
    </row>
    <row r="123" spans="1:266">
      <c r="A123" s="39">
        <v>32782</v>
      </c>
      <c r="B123" s="49">
        <v>2843.2</v>
      </c>
      <c r="C123" s="50">
        <v>2887.8</v>
      </c>
      <c r="D123" s="50">
        <v>275.39999999999998</v>
      </c>
      <c r="E123" s="50">
        <v>1201.0999999999999</v>
      </c>
      <c r="F123" s="50">
        <v>9.6</v>
      </c>
      <c r="G123" s="50">
        <v>56.6</v>
      </c>
      <c r="H123" s="50">
        <v>91.1</v>
      </c>
      <c r="I123" s="50" t="s">
        <v>264</v>
      </c>
      <c r="J123" s="50" t="s">
        <v>264</v>
      </c>
      <c r="K123" s="49">
        <v>1057.3</v>
      </c>
      <c r="L123" s="49">
        <v>1514.6</v>
      </c>
      <c r="M123" s="49">
        <v>1282.5999999999999</v>
      </c>
      <c r="N123" s="49">
        <v>232</v>
      </c>
      <c r="O123" s="50">
        <v>90.7</v>
      </c>
      <c r="P123" s="51">
        <v>138.30000000000001</v>
      </c>
      <c r="Q123" s="49">
        <v>43.7</v>
      </c>
      <c r="R123" s="49">
        <v>94.6</v>
      </c>
      <c r="S123" s="49"/>
      <c r="T123" s="49">
        <v>7.4</v>
      </c>
      <c r="U123" s="51">
        <v>10.8</v>
      </c>
      <c r="V123" s="49">
        <v>7.2</v>
      </c>
      <c r="W123" s="49">
        <v>3.6</v>
      </c>
      <c r="X123" s="49">
        <v>45.2</v>
      </c>
      <c r="Y123" s="49">
        <v>5.6</v>
      </c>
      <c r="Z123" s="49">
        <v>71.2</v>
      </c>
      <c r="AA123" s="49">
        <v>59</v>
      </c>
      <c r="AB123" s="49">
        <v>12.2</v>
      </c>
      <c r="AC123" s="49" t="s">
        <v>264</v>
      </c>
      <c r="AD123" s="49">
        <v>7.9</v>
      </c>
      <c r="AE123" s="49"/>
      <c r="AF123" s="51"/>
      <c r="AG123" s="50" t="s">
        <v>264</v>
      </c>
      <c r="AH123" s="49">
        <v>15.4</v>
      </c>
      <c r="AI123" s="49">
        <v>130.19999999999999</v>
      </c>
      <c r="AJ123" s="49"/>
      <c r="AK123" s="49"/>
      <c r="AL123" s="51">
        <v>85.7</v>
      </c>
      <c r="AM123" s="50">
        <v>45.5</v>
      </c>
      <c r="AN123" s="50">
        <v>40.200000000000003</v>
      </c>
      <c r="AO123" s="49">
        <v>2133.3000000000002</v>
      </c>
      <c r="AP123" s="49">
        <v>188.8</v>
      </c>
      <c r="AQ123" s="49">
        <v>112.9</v>
      </c>
      <c r="AR123" s="49">
        <v>31.7</v>
      </c>
      <c r="AS123" s="50">
        <v>126.1</v>
      </c>
      <c r="AT123" s="50">
        <v>49.4</v>
      </c>
      <c r="AU123" s="50">
        <v>67.3</v>
      </c>
      <c r="AV123" s="50">
        <v>22.5</v>
      </c>
      <c r="AW123" s="50">
        <v>5.3</v>
      </c>
      <c r="AX123" s="50">
        <v>3.3</v>
      </c>
      <c r="AY123" s="50">
        <v>30</v>
      </c>
      <c r="AZ123" s="50">
        <v>3.9</v>
      </c>
      <c r="BA123" s="50" t="s">
        <v>264</v>
      </c>
      <c r="BB123" s="50" t="s">
        <v>264</v>
      </c>
      <c r="BC123" s="50"/>
      <c r="BD123" s="52">
        <v>100</v>
      </c>
      <c r="BE123" s="52">
        <v>36.5</v>
      </c>
      <c r="BF123" s="52"/>
      <c r="BG123" s="52"/>
      <c r="BH123" s="52">
        <v>342.4</v>
      </c>
      <c r="BI123" s="52"/>
      <c r="BJ123" s="52"/>
      <c r="BK123" s="52">
        <v>161.6</v>
      </c>
      <c r="BL123" s="52">
        <v>5</v>
      </c>
      <c r="BM123" s="52">
        <v>509</v>
      </c>
      <c r="BN123" s="52">
        <v>274.3</v>
      </c>
      <c r="BO123" s="52"/>
      <c r="BP123" s="52"/>
      <c r="BQ123" s="52">
        <v>85.3</v>
      </c>
      <c r="BR123" s="52">
        <v>5.4</v>
      </c>
      <c r="BS123" s="53">
        <v>365</v>
      </c>
      <c r="BT123" s="52" t="s">
        <v>264</v>
      </c>
      <c r="BU123" s="52">
        <v>29</v>
      </c>
      <c r="BV123" s="50">
        <v>302.5</v>
      </c>
      <c r="BW123" s="50">
        <v>113.2</v>
      </c>
      <c r="BX123" s="49">
        <v>422.2</v>
      </c>
      <c r="BY123" s="50">
        <v>46.5</v>
      </c>
      <c r="BZ123" s="50">
        <v>8.3000000000000007</v>
      </c>
      <c r="CA123" s="49">
        <v>54.8</v>
      </c>
      <c r="CB123" s="52"/>
      <c r="CC123" s="52"/>
      <c r="CD123" s="52"/>
      <c r="CE123" s="52"/>
      <c r="CF123" s="52">
        <v>123.2</v>
      </c>
      <c r="CG123" s="53">
        <v>130.4</v>
      </c>
      <c r="CH123" s="52">
        <v>25.8</v>
      </c>
      <c r="CI123" s="52"/>
      <c r="CJ123" s="52"/>
      <c r="CK123" s="52"/>
      <c r="CL123" s="52"/>
      <c r="CM123" s="52"/>
      <c r="CN123" s="52">
        <v>42</v>
      </c>
      <c r="CO123" s="52">
        <v>218.60000000000002</v>
      </c>
      <c r="CP123" s="52">
        <v>198.3</v>
      </c>
      <c r="CQ123" s="52">
        <v>20.3</v>
      </c>
      <c r="CR123" s="52" t="s">
        <v>264</v>
      </c>
      <c r="CS123" s="52">
        <v>24</v>
      </c>
      <c r="CT123" s="52">
        <v>14</v>
      </c>
      <c r="CU123" s="52">
        <v>10</v>
      </c>
      <c r="CV123" s="52">
        <v>31.8</v>
      </c>
      <c r="CW123" s="52">
        <v>14.5</v>
      </c>
      <c r="CX123" s="52">
        <v>17.3</v>
      </c>
      <c r="CY123" s="52" t="s">
        <v>264</v>
      </c>
      <c r="CZ123" s="52">
        <v>90.2</v>
      </c>
      <c r="DA123" s="52">
        <v>60.9</v>
      </c>
      <c r="DB123" s="52">
        <v>54.1</v>
      </c>
      <c r="DC123" s="52">
        <v>6.8</v>
      </c>
      <c r="DD123" s="52"/>
      <c r="DE123" s="52"/>
      <c r="DF123" s="53"/>
      <c r="DG123" s="53"/>
      <c r="DH123" s="53"/>
      <c r="DI123" s="53">
        <v>574.29999999999995</v>
      </c>
      <c r="DJ123" s="53">
        <v>182.2</v>
      </c>
      <c r="DK123" s="53">
        <v>497.2</v>
      </c>
      <c r="DL123" s="53">
        <v>136.80000000000001</v>
      </c>
      <c r="DM123" s="53">
        <v>214.2</v>
      </c>
      <c r="DN123" s="53"/>
      <c r="DO123" s="53">
        <v>164.3</v>
      </c>
      <c r="DP123" s="53">
        <v>196.7</v>
      </c>
      <c r="DQ123" s="53"/>
      <c r="DR123" s="53"/>
      <c r="DS123" s="53">
        <v>684.6</v>
      </c>
      <c r="DT123" s="53">
        <v>2843.2</v>
      </c>
      <c r="DU123" s="53">
        <v>-192.89999999999964</v>
      </c>
      <c r="DV123" s="53">
        <v>0</v>
      </c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2"/>
      <c r="FP123" s="52"/>
      <c r="FQ123" s="52"/>
      <c r="FR123" s="52"/>
      <c r="FS123" s="52"/>
      <c r="FT123" s="52"/>
      <c r="FU123" s="52"/>
      <c r="FV123" s="52"/>
      <c r="FW123" s="52"/>
      <c r="FX123" s="52"/>
      <c r="FY123" s="52"/>
      <c r="FZ123" s="52"/>
      <c r="GA123" s="52"/>
      <c r="GB123" s="52"/>
      <c r="GC123" s="52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2"/>
      <c r="GO123" s="52"/>
      <c r="GP123" s="52"/>
      <c r="GQ123" s="52"/>
      <c r="GR123" s="52"/>
      <c r="GS123" s="52"/>
      <c r="GT123" s="52"/>
      <c r="GU123" s="52"/>
      <c r="GV123" s="52"/>
      <c r="GW123" s="52"/>
      <c r="GX123" s="52"/>
      <c r="GY123" s="17"/>
      <c r="GZ123" s="52">
        <v>936.8</v>
      </c>
      <c r="HA123" s="52"/>
      <c r="HB123" s="17"/>
      <c r="HC123" s="17"/>
      <c r="HD123" s="17"/>
      <c r="HE123" s="17"/>
      <c r="HF123" s="52"/>
      <c r="HG123" s="52"/>
      <c r="HH123" s="52"/>
      <c r="HI123" s="52"/>
      <c r="HJ123" s="52"/>
      <c r="HK123" s="52"/>
      <c r="HL123" s="52"/>
      <c r="HM123" s="52"/>
      <c r="HN123" s="52"/>
      <c r="HO123" s="52"/>
      <c r="HP123" s="52"/>
      <c r="HQ123" s="52"/>
      <c r="HR123" s="52"/>
      <c r="HS123" s="52"/>
      <c r="HT123" s="52"/>
      <c r="HU123" s="52"/>
      <c r="HV123" s="52"/>
      <c r="HW123" s="52"/>
      <c r="HX123" s="52"/>
      <c r="HY123" s="52"/>
      <c r="HZ123" s="52"/>
      <c r="IA123" s="52"/>
      <c r="IB123" s="52"/>
      <c r="IC123" s="52"/>
      <c r="ID123" s="52"/>
      <c r="IE123" s="52"/>
      <c r="IF123" s="52"/>
      <c r="IG123" s="52"/>
      <c r="IH123" s="53"/>
      <c r="II123" s="53"/>
      <c r="IJ123" s="53"/>
      <c r="IK123" s="53"/>
      <c r="IL123" s="53"/>
      <c r="IM123" s="52"/>
      <c r="IN123" s="52">
        <v>79.8</v>
      </c>
      <c r="IY123" s="48">
        <f t="shared" si="5"/>
        <v>47.401519414743959</v>
      </c>
      <c r="IZ123" s="48">
        <f>IY123-'NOPA Crush'!J123</f>
        <v>-0.27848058525604102</v>
      </c>
      <c r="JB123" s="63">
        <f t="shared" si="3"/>
        <v>11.156091727630839</v>
      </c>
      <c r="JC123" s="64">
        <f>JB123-'NOPA Crush'!O123</f>
        <v>-5.3908272369161736E-2</v>
      </c>
      <c r="JD123" s="65"/>
      <c r="JE123" s="67">
        <f t="shared" si="4"/>
        <v>1514.6</v>
      </c>
      <c r="JF123" s="68">
        <f>'NOPA Crush'!Q123/'Census Crush'!JE123</f>
        <v>0.29199458602931466</v>
      </c>
    </row>
    <row r="124" spans="1:266">
      <c r="A124" s="39">
        <v>32813</v>
      </c>
      <c r="B124" s="49">
        <v>3122.3</v>
      </c>
      <c r="C124" s="50">
        <v>3254.1</v>
      </c>
      <c r="D124" s="50">
        <v>335.9</v>
      </c>
      <c r="E124" s="50">
        <v>2050.1</v>
      </c>
      <c r="F124" s="50">
        <v>14.1</v>
      </c>
      <c r="G124" s="50">
        <v>78</v>
      </c>
      <c r="H124" s="50">
        <v>106.8</v>
      </c>
      <c r="I124" s="50" t="s">
        <v>264</v>
      </c>
      <c r="J124" s="50" t="s">
        <v>264</v>
      </c>
      <c r="K124" s="49">
        <v>1145.7</v>
      </c>
      <c r="L124" s="49">
        <v>1532.5</v>
      </c>
      <c r="M124" s="49">
        <v>1296.5999999999999</v>
      </c>
      <c r="N124" s="49">
        <v>235.9</v>
      </c>
      <c r="O124" s="50">
        <v>110.8</v>
      </c>
      <c r="P124" s="51">
        <v>163.19999999999999</v>
      </c>
      <c r="Q124" s="49">
        <v>50.6</v>
      </c>
      <c r="R124" s="49">
        <v>112.6</v>
      </c>
      <c r="S124" s="49"/>
      <c r="T124" s="49">
        <v>11.6</v>
      </c>
      <c r="U124" s="51">
        <v>10.9</v>
      </c>
      <c r="V124" s="49">
        <v>7.4</v>
      </c>
      <c r="W124" s="49">
        <v>3.5</v>
      </c>
      <c r="X124" s="49">
        <v>62.4</v>
      </c>
      <c r="Y124" s="49">
        <v>5.8</v>
      </c>
      <c r="Z124" s="49">
        <v>121.3</v>
      </c>
      <c r="AA124" s="49">
        <v>109.1</v>
      </c>
      <c r="AB124" s="49">
        <v>12.2</v>
      </c>
      <c r="AC124" s="49" t="s">
        <v>264</v>
      </c>
      <c r="AD124" s="49">
        <v>5.7</v>
      </c>
      <c r="AE124" s="49"/>
      <c r="AF124" s="51"/>
      <c r="AG124" s="50" t="s">
        <v>264</v>
      </c>
      <c r="AH124" s="49">
        <v>13.4</v>
      </c>
      <c r="AI124" s="49">
        <v>106.1</v>
      </c>
      <c r="AJ124" s="49"/>
      <c r="AK124" s="49"/>
      <c r="AL124" s="51">
        <v>99.4</v>
      </c>
      <c r="AM124" s="50">
        <v>46.4</v>
      </c>
      <c r="AN124" s="50">
        <v>53</v>
      </c>
      <c r="AO124" s="49">
        <v>2374.6999999999998</v>
      </c>
      <c r="AP124" s="49">
        <v>164.9</v>
      </c>
      <c r="AQ124" s="49">
        <v>117.8</v>
      </c>
      <c r="AR124" s="49">
        <v>29.4</v>
      </c>
      <c r="AS124" s="50">
        <v>154.9</v>
      </c>
      <c r="AT124" s="50">
        <v>61.8</v>
      </c>
      <c r="AU124" s="50">
        <v>84.9</v>
      </c>
      <c r="AV124" s="50">
        <v>34.200000000000003</v>
      </c>
      <c r="AW124" s="50">
        <v>7.2</v>
      </c>
      <c r="AX124" s="50">
        <v>2.7</v>
      </c>
      <c r="AY124" s="50">
        <v>39.1</v>
      </c>
      <c r="AZ124" s="50">
        <v>3.2</v>
      </c>
      <c r="BA124" s="50" t="s">
        <v>264</v>
      </c>
      <c r="BB124" s="50" t="s">
        <v>264</v>
      </c>
      <c r="BC124" s="50"/>
      <c r="BD124" s="52">
        <v>80.599999999999994</v>
      </c>
      <c r="BE124" s="52">
        <v>39.4</v>
      </c>
      <c r="BF124" s="52"/>
      <c r="BG124" s="52"/>
      <c r="BH124" s="52">
        <v>323.39999999999998</v>
      </c>
      <c r="BI124" s="52"/>
      <c r="BJ124" s="52"/>
      <c r="BK124" s="52">
        <v>152.9</v>
      </c>
      <c r="BL124" s="52">
        <v>4.5</v>
      </c>
      <c r="BM124" s="52">
        <v>480.8</v>
      </c>
      <c r="BN124" s="52">
        <v>275.2</v>
      </c>
      <c r="BO124" s="52"/>
      <c r="BP124" s="52"/>
      <c r="BQ124" s="52">
        <v>84.6</v>
      </c>
      <c r="BR124" s="52">
        <v>6.1</v>
      </c>
      <c r="BS124" s="53">
        <v>365.9</v>
      </c>
      <c r="BT124" s="52" t="s">
        <v>264</v>
      </c>
      <c r="BU124" s="52">
        <v>36.6</v>
      </c>
      <c r="BV124" s="50">
        <v>299.2</v>
      </c>
      <c r="BW124" s="50">
        <v>110.5</v>
      </c>
      <c r="BX124" s="49">
        <v>416.1</v>
      </c>
      <c r="BY124" s="50">
        <v>49.2</v>
      </c>
      <c r="BZ124" s="50">
        <v>9</v>
      </c>
      <c r="CA124" s="49">
        <v>58.2</v>
      </c>
      <c r="CB124" s="52"/>
      <c r="CC124" s="52"/>
      <c r="CD124" s="52"/>
      <c r="CE124" s="52"/>
      <c r="CF124" s="52">
        <v>121.2</v>
      </c>
      <c r="CG124" s="53">
        <v>145.19999999999999</v>
      </c>
      <c r="CH124" s="52">
        <v>28.5</v>
      </c>
      <c r="CI124" s="52"/>
      <c r="CJ124" s="52"/>
      <c r="CK124" s="52"/>
      <c r="CL124" s="52"/>
      <c r="CM124" s="52"/>
      <c r="CN124" s="52">
        <v>46.7</v>
      </c>
      <c r="CO124" s="52">
        <v>238.5</v>
      </c>
      <c r="CP124" s="52">
        <v>211.9</v>
      </c>
      <c r="CQ124" s="52">
        <v>26.6</v>
      </c>
      <c r="CR124" s="52" t="s">
        <v>264</v>
      </c>
      <c r="CS124" s="52">
        <v>30.3</v>
      </c>
      <c r="CT124" s="52">
        <v>18.3</v>
      </c>
      <c r="CU124" s="52">
        <v>12</v>
      </c>
      <c r="CV124" s="52">
        <v>22.1</v>
      </c>
      <c r="CW124" s="52">
        <v>8</v>
      </c>
      <c r="CX124" s="52">
        <v>14.1</v>
      </c>
      <c r="CY124" s="52" t="s">
        <v>264</v>
      </c>
      <c r="CZ124" s="52">
        <v>84.1</v>
      </c>
      <c r="DA124" s="52">
        <v>68.7</v>
      </c>
      <c r="DB124" s="52">
        <v>58.2</v>
      </c>
      <c r="DC124" s="52">
        <v>10.5</v>
      </c>
      <c r="DD124" s="52"/>
      <c r="DE124" s="52"/>
      <c r="DF124" s="53"/>
      <c r="DG124" s="53">
        <v>116.6</v>
      </c>
      <c r="DH124" s="53"/>
      <c r="DI124" s="53">
        <v>588</v>
      </c>
      <c r="DJ124" s="53">
        <v>200.6</v>
      </c>
      <c r="DK124" s="53">
        <v>530.29999999999995</v>
      </c>
      <c r="DL124" s="53">
        <v>141.1</v>
      </c>
      <c r="DM124" s="53">
        <v>204.8</v>
      </c>
      <c r="DN124" s="53"/>
      <c r="DO124" s="53">
        <v>173</v>
      </c>
      <c r="DP124" s="53">
        <v>200.6</v>
      </c>
      <c r="DQ124" s="53"/>
      <c r="DR124" s="53"/>
      <c r="DS124" s="53">
        <v>799.4</v>
      </c>
      <c r="DT124" s="53">
        <v>3122.3</v>
      </c>
      <c r="DU124" s="53">
        <v>-284.50000000000045</v>
      </c>
      <c r="DV124" s="53">
        <v>0</v>
      </c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2"/>
      <c r="FE124" s="52"/>
      <c r="FF124" s="52"/>
      <c r="FG124" s="52"/>
      <c r="FH124" s="52"/>
      <c r="FI124" s="52"/>
      <c r="FJ124" s="52"/>
      <c r="FK124" s="52"/>
      <c r="FL124" s="52"/>
      <c r="FM124" s="52"/>
      <c r="FN124" s="52"/>
      <c r="FO124" s="52"/>
      <c r="FP124" s="52"/>
      <c r="FQ124" s="52"/>
      <c r="FR124" s="52"/>
      <c r="FS124" s="52"/>
      <c r="FT124" s="52"/>
      <c r="FU124" s="52"/>
      <c r="FV124" s="52"/>
      <c r="FW124" s="52"/>
      <c r="FX124" s="52"/>
      <c r="FY124" s="52"/>
      <c r="FZ124" s="52"/>
      <c r="GA124" s="52"/>
      <c r="GB124" s="52"/>
      <c r="GC124" s="52"/>
      <c r="GD124" s="52"/>
      <c r="GE124" s="52"/>
      <c r="GF124" s="52"/>
      <c r="GG124" s="52"/>
      <c r="GH124" s="52"/>
      <c r="GI124" s="52"/>
      <c r="GJ124" s="52"/>
      <c r="GK124" s="52"/>
      <c r="GL124" s="52"/>
      <c r="GM124" s="52"/>
      <c r="GN124" s="52"/>
      <c r="GO124" s="52"/>
      <c r="GP124" s="52"/>
      <c r="GQ124" s="52"/>
      <c r="GR124" s="52"/>
      <c r="GS124" s="52"/>
      <c r="GT124" s="52"/>
      <c r="GU124" s="52"/>
      <c r="GV124" s="52"/>
      <c r="GW124" s="52"/>
      <c r="GX124" s="52"/>
      <c r="GY124" s="17"/>
      <c r="GZ124" s="52">
        <v>912</v>
      </c>
      <c r="HA124" s="52"/>
      <c r="HB124" s="17"/>
      <c r="HC124" s="17"/>
      <c r="HD124" s="17"/>
      <c r="HE124" s="17"/>
      <c r="HF124" s="52"/>
      <c r="HG124" s="52"/>
      <c r="HH124" s="52"/>
      <c r="HI124" s="52"/>
      <c r="HJ124" s="52"/>
      <c r="HK124" s="52"/>
      <c r="HL124" s="52"/>
      <c r="HM124" s="52"/>
      <c r="HN124" s="52"/>
      <c r="HO124" s="52"/>
      <c r="HP124" s="52"/>
      <c r="HQ124" s="52"/>
      <c r="HR124" s="52"/>
      <c r="HS124" s="52"/>
      <c r="HT124" s="52"/>
      <c r="HU124" s="52"/>
      <c r="HV124" s="52"/>
      <c r="HW124" s="52"/>
      <c r="HX124" s="52"/>
      <c r="HY124" s="52"/>
      <c r="HZ124" s="52"/>
      <c r="IA124" s="52"/>
      <c r="IB124" s="52"/>
      <c r="IC124" s="52"/>
      <c r="ID124" s="52"/>
      <c r="IE124" s="52"/>
      <c r="IF124" s="52"/>
      <c r="IG124" s="52"/>
      <c r="IH124" s="53"/>
      <c r="II124" s="53"/>
      <c r="IJ124" s="53"/>
      <c r="IK124" s="53"/>
      <c r="IL124" s="53"/>
      <c r="IM124" s="52"/>
      <c r="IN124" s="52">
        <v>111.8</v>
      </c>
      <c r="IY124" s="48">
        <f t="shared" si="5"/>
        <v>47.897383339205071</v>
      </c>
      <c r="IZ124" s="48">
        <f>IY124-'NOPA Crush'!J124</f>
        <v>0.1973833392050679</v>
      </c>
      <c r="JB124" s="63">
        <f t="shared" si="3"/>
        <v>11.008231111680493</v>
      </c>
      <c r="JC124" s="64">
        <f>JB124-'NOPA Crush'!O124</f>
        <v>-4.176888831950798E-2</v>
      </c>
      <c r="JD124" s="65"/>
      <c r="JE124" s="67">
        <f t="shared" si="4"/>
        <v>1532.5</v>
      </c>
      <c r="JF124" s="68">
        <f>'NOPA Crush'!Q124/'Census Crush'!JE124</f>
        <v>0.23313670473083195</v>
      </c>
    </row>
    <row r="125" spans="1:266">
      <c r="A125" s="39">
        <v>32843</v>
      </c>
      <c r="B125" s="49">
        <v>3161</v>
      </c>
      <c r="C125" s="50">
        <v>2692.3</v>
      </c>
      <c r="D125" s="50">
        <v>332.4</v>
      </c>
      <c r="E125" s="50">
        <v>2062.5</v>
      </c>
      <c r="F125" s="50">
        <v>12.6</v>
      </c>
      <c r="G125" s="50">
        <v>78.400000000000006</v>
      </c>
      <c r="H125" s="50" t="s">
        <v>264</v>
      </c>
      <c r="I125" s="50" t="s">
        <v>264</v>
      </c>
      <c r="J125" s="50" t="s">
        <v>264</v>
      </c>
      <c r="K125" s="49">
        <v>1161.2</v>
      </c>
      <c r="L125" s="49">
        <v>1604.92</v>
      </c>
      <c r="M125" s="49">
        <v>1362.5050000000001</v>
      </c>
      <c r="N125" s="49">
        <v>242.41499999999999</v>
      </c>
      <c r="O125" s="50">
        <v>110.4</v>
      </c>
      <c r="P125" s="51">
        <v>189.6</v>
      </c>
      <c r="Q125" s="49">
        <v>57.4</v>
      </c>
      <c r="R125" s="49">
        <v>132.19999999999999</v>
      </c>
      <c r="S125" s="49"/>
      <c r="T125" s="49">
        <v>9.8000000000000007</v>
      </c>
      <c r="U125" s="51">
        <v>10.899999999999999</v>
      </c>
      <c r="V125" s="49">
        <v>8.1</v>
      </c>
      <c r="W125" s="49">
        <v>2.8</v>
      </c>
      <c r="X125" s="49">
        <v>65.900000000000006</v>
      </c>
      <c r="Y125" s="49">
        <v>8.1999999999999993</v>
      </c>
      <c r="Z125" s="49"/>
      <c r="AA125" s="50" t="s">
        <v>264</v>
      </c>
      <c r="AB125" s="50" t="s">
        <v>264</v>
      </c>
      <c r="AC125" s="50" t="s">
        <v>264</v>
      </c>
      <c r="AD125" s="50">
        <v>6.2</v>
      </c>
      <c r="AE125" s="50"/>
      <c r="AF125" s="51"/>
      <c r="AG125" s="50" t="s">
        <v>264</v>
      </c>
      <c r="AH125" s="49">
        <v>17.3</v>
      </c>
      <c r="AI125" s="49">
        <v>128.6</v>
      </c>
      <c r="AJ125" s="49"/>
      <c r="AK125" s="49"/>
      <c r="AL125" s="51">
        <v>81.199999999999989</v>
      </c>
      <c r="AM125" s="50">
        <v>51.3</v>
      </c>
      <c r="AN125" s="50">
        <v>29.9</v>
      </c>
      <c r="AO125" s="49">
        <v>2408</v>
      </c>
      <c r="AP125" s="49">
        <v>292.7</v>
      </c>
      <c r="AQ125" s="49">
        <v>111.6</v>
      </c>
      <c r="AR125" s="49">
        <v>35.4</v>
      </c>
      <c r="AS125" s="50">
        <v>152.6</v>
      </c>
      <c r="AT125" s="50">
        <v>60.7</v>
      </c>
      <c r="AU125" s="50">
        <v>86.3</v>
      </c>
      <c r="AV125" s="50">
        <v>49.1</v>
      </c>
      <c r="AW125" s="50">
        <v>7.3</v>
      </c>
      <c r="AX125" s="50">
        <v>2</v>
      </c>
      <c r="AY125" s="50">
        <v>39.700000000000003</v>
      </c>
      <c r="AZ125" s="50" t="s">
        <v>264</v>
      </c>
      <c r="BA125" s="50" t="s">
        <v>264</v>
      </c>
      <c r="BB125" s="50" t="s">
        <v>264</v>
      </c>
      <c r="BC125" s="50"/>
      <c r="BD125" s="52">
        <v>91.9</v>
      </c>
      <c r="BE125" s="52">
        <v>38.4</v>
      </c>
      <c r="BF125" s="52"/>
      <c r="BG125" s="52"/>
      <c r="BH125" s="52">
        <v>320.5</v>
      </c>
      <c r="BI125" s="52"/>
      <c r="BJ125" s="52"/>
      <c r="BK125" s="52">
        <v>143.6</v>
      </c>
      <c r="BL125" s="52">
        <v>4.4000000000000004</v>
      </c>
      <c r="BM125" s="52">
        <v>468.5</v>
      </c>
      <c r="BN125" s="52">
        <v>281.89999999999998</v>
      </c>
      <c r="BO125" s="52"/>
      <c r="BP125" s="52"/>
      <c r="BQ125" s="52">
        <v>73.900000000000006</v>
      </c>
      <c r="BR125" s="52">
        <v>4.8</v>
      </c>
      <c r="BS125" s="53">
        <v>360.59999999999997</v>
      </c>
      <c r="BT125" s="52" t="s">
        <v>264</v>
      </c>
      <c r="BU125" s="52">
        <v>32</v>
      </c>
      <c r="BV125" s="50">
        <v>292.60000000000002</v>
      </c>
      <c r="BW125" s="50">
        <v>106.3</v>
      </c>
      <c r="BX125" s="49">
        <v>404.7</v>
      </c>
      <c r="BY125" s="50">
        <v>38.9</v>
      </c>
      <c r="BZ125" s="50">
        <v>13.7</v>
      </c>
      <c r="CA125" s="49">
        <v>52.599999999999994</v>
      </c>
      <c r="CB125" s="52"/>
      <c r="CC125" s="52"/>
      <c r="CD125" s="52"/>
      <c r="CE125" s="52"/>
      <c r="CF125" s="52">
        <v>107</v>
      </c>
      <c r="CG125" s="53">
        <v>133.9</v>
      </c>
      <c r="CH125" s="52">
        <v>23.3</v>
      </c>
      <c r="CI125" s="52"/>
      <c r="CJ125" s="52"/>
      <c r="CK125" s="52"/>
      <c r="CL125" s="52"/>
      <c r="CM125" s="52"/>
      <c r="CN125" s="52">
        <v>51.4</v>
      </c>
      <c r="CO125" s="52">
        <v>297.3</v>
      </c>
      <c r="CP125" s="52">
        <v>263.7</v>
      </c>
      <c r="CQ125" s="52">
        <v>33.6</v>
      </c>
      <c r="CR125" s="52" t="s">
        <v>264</v>
      </c>
      <c r="CS125" s="52">
        <v>29.900000000000002</v>
      </c>
      <c r="CT125" s="52">
        <v>20.100000000000001</v>
      </c>
      <c r="CU125" s="52">
        <v>9.8000000000000007</v>
      </c>
      <c r="CV125" s="52">
        <v>34</v>
      </c>
      <c r="CW125" s="52">
        <v>11.5</v>
      </c>
      <c r="CX125" s="52">
        <v>22.5</v>
      </c>
      <c r="CY125" s="52" t="s">
        <v>264</v>
      </c>
      <c r="CZ125" s="52">
        <v>84.6</v>
      </c>
      <c r="DA125" s="52">
        <v>75.099999999999994</v>
      </c>
      <c r="DB125" s="52">
        <v>65.599999999999994</v>
      </c>
      <c r="DC125" s="52">
        <v>9.5</v>
      </c>
      <c r="DD125" s="52"/>
      <c r="DE125" s="52"/>
      <c r="DF125" s="53"/>
      <c r="DG125" s="53">
        <v>125.2</v>
      </c>
      <c r="DH125" s="53"/>
      <c r="DI125" s="53">
        <v>611.1</v>
      </c>
      <c r="DJ125" s="53">
        <v>211.6</v>
      </c>
      <c r="DK125" s="53">
        <v>542.4</v>
      </c>
      <c r="DL125" s="53">
        <v>136.9</v>
      </c>
      <c r="DM125" s="53">
        <v>215.2</v>
      </c>
      <c r="DN125" s="53"/>
      <c r="DO125" s="53">
        <v>171.2</v>
      </c>
      <c r="DP125" s="53">
        <v>201.7</v>
      </c>
      <c r="DQ125" s="53"/>
      <c r="DR125" s="53"/>
      <c r="DS125" s="53">
        <v>786.9</v>
      </c>
      <c r="DT125" s="53">
        <v>3161</v>
      </c>
      <c r="DU125" s="53">
        <v>-284</v>
      </c>
      <c r="DV125" s="53">
        <v>0</v>
      </c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2"/>
      <c r="FN125" s="52"/>
      <c r="FO125" s="52"/>
      <c r="FP125" s="52"/>
      <c r="FQ125" s="52"/>
      <c r="FR125" s="52"/>
      <c r="FS125" s="52"/>
      <c r="FT125" s="52"/>
      <c r="FU125" s="52"/>
      <c r="FV125" s="52"/>
      <c r="FW125" s="52"/>
      <c r="FX125" s="52"/>
      <c r="FY125" s="52"/>
      <c r="FZ125" s="52"/>
      <c r="GA125" s="52"/>
      <c r="GB125" s="52"/>
      <c r="GC125" s="52"/>
      <c r="GD125" s="52"/>
      <c r="GE125" s="52"/>
      <c r="GF125" s="52"/>
      <c r="GG125" s="52"/>
      <c r="GH125" s="52"/>
      <c r="GI125" s="52"/>
      <c r="GJ125" s="52"/>
      <c r="GK125" s="52"/>
      <c r="GL125" s="52"/>
      <c r="GM125" s="52"/>
      <c r="GN125" s="52"/>
      <c r="GO125" s="52"/>
      <c r="GP125" s="52"/>
      <c r="GQ125" s="52"/>
      <c r="GR125" s="52"/>
      <c r="GS125" s="52"/>
      <c r="GT125" s="52"/>
      <c r="GU125" s="52"/>
      <c r="GV125" s="52"/>
      <c r="GW125" s="52"/>
      <c r="GX125" s="52"/>
      <c r="GY125" s="17"/>
      <c r="GZ125" s="52">
        <v>873.9</v>
      </c>
      <c r="HA125" s="52"/>
      <c r="HB125" s="17"/>
      <c r="HC125" s="17"/>
      <c r="HD125" s="17"/>
      <c r="HE125" s="17"/>
      <c r="HF125" s="52"/>
      <c r="HG125" s="52"/>
      <c r="HH125" s="52"/>
      <c r="HI125" s="52"/>
      <c r="HJ125" s="52"/>
      <c r="HK125" s="52"/>
      <c r="HL125" s="52"/>
      <c r="HM125" s="52"/>
      <c r="HN125" s="52"/>
      <c r="HO125" s="52"/>
      <c r="HP125" s="52"/>
      <c r="HQ125" s="52"/>
      <c r="HR125" s="52"/>
      <c r="HS125" s="52"/>
      <c r="HT125" s="52"/>
      <c r="HU125" s="52"/>
      <c r="HV125" s="52"/>
      <c r="HW125" s="52"/>
      <c r="HX125" s="52"/>
      <c r="HY125" s="52"/>
      <c r="HZ125" s="52"/>
      <c r="IA125" s="52"/>
      <c r="IB125" s="52"/>
      <c r="IC125" s="52"/>
      <c r="ID125" s="52"/>
      <c r="IE125" s="52"/>
      <c r="IF125" s="52"/>
      <c r="IG125" s="52"/>
      <c r="IH125" s="53"/>
      <c r="II125" s="53"/>
      <c r="IJ125" s="53"/>
      <c r="IK125" s="53"/>
      <c r="IL125" s="53"/>
      <c r="IM125" s="52"/>
      <c r="IN125" s="52">
        <v>111.6</v>
      </c>
      <c r="IY125" s="48">
        <f t="shared" si="5"/>
        <v>47.825371717810818</v>
      </c>
      <c r="IZ125" s="48">
        <f>IY125-'NOPA Crush'!J125</f>
        <v>0.16537171781082094</v>
      </c>
      <c r="JB125" s="63">
        <f t="shared" si="3"/>
        <v>11.020563112938945</v>
      </c>
      <c r="JC125" s="64">
        <f>JB125-'NOPA Crush'!O125</f>
        <v>-8.9436887061054904E-2</v>
      </c>
      <c r="JD125" s="65"/>
      <c r="JE125" s="67">
        <f t="shared" si="4"/>
        <v>1604.92</v>
      </c>
      <c r="JF125" s="68">
        <f>'NOPA Crush'!Q125/'Census Crush'!JE125</f>
        <v>0.26408294494429629</v>
      </c>
    </row>
    <row r="126" spans="1:266">
      <c r="A126" s="39">
        <v>32874</v>
      </c>
      <c r="B126" s="49">
        <v>3217</v>
      </c>
      <c r="C126" s="50">
        <v>2808.6</v>
      </c>
      <c r="D126" s="50">
        <v>344.7</v>
      </c>
      <c r="E126" s="50">
        <v>1876.9</v>
      </c>
      <c r="F126" s="50">
        <v>13.7</v>
      </c>
      <c r="G126" s="50">
        <v>65.3</v>
      </c>
      <c r="H126" s="50" t="s">
        <v>264</v>
      </c>
      <c r="I126" s="50" t="s">
        <v>264</v>
      </c>
      <c r="J126" s="50" t="s">
        <v>264</v>
      </c>
      <c r="K126" s="49">
        <v>1187.4000000000001</v>
      </c>
      <c r="L126" s="49">
        <v>1717.528</v>
      </c>
      <c r="M126" s="49">
        <v>1479.816</v>
      </c>
      <c r="N126" s="49">
        <v>237.71199999999999</v>
      </c>
      <c r="O126" s="50">
        <v>111.9</v>
      </c>
      <c r="P126" s="51">
        <v>186.8</v>
      </c>
      <c r="Q126" s="49">
        <v>51.4</v>
      </c>
      <c r="R126" s="49">
        <v>135.4</v>
      </c>
      <c r="S126" s="49"/>
      <c r="T126" s="49">
        <v>11.1</v>
      </c>
      <c r="U126" s="51">
        <v>8.5</v>
      </c>
      <c r="V126" s="49">
        <v>5.7</v>
      </c>
      <c r="W126" s="49">
        <v>2.8</v>
      </c>
      <c r="X126" s="49">
        <v>51.5</v>
      </c>
      <c r="Y126" s="49">
        <v>5.6</v>
      </c>
      <c r="Z126" s="49"/>
      <c r="AA126" s="50" t="s">
        <v>264</v>
      </c>
      <c r="AB126" s="50" t="s">
        <v>264</v>
      </c>
      <c r="AC126" s="50" t="s">
        <v>264</v>
      </c>
      <c r="AD126" s="50">
        <v>6.9</v>
      </c>
      <c r="AE126" s="50"/>
      <c r="AF126" s="51"/>
      <c r="AG126" s="50" t="s">
        <v>264</v>
      </c>
      <c r="AH126" s="49">
        <v>14.2</v>
      </c>
      <c r="AI126" s="49">
        <v>127.7</v>
      </c>
      <c r="AJ126" s="49"/>
      <c r="AK126" s="49"/>
      <c r="AL126" s="51">
        <v>77.8</v>
      </c>
      <c r="AM126" s="50">
        <v>40.9</v>
      </c>
      <c r="AN126" s="50">
        <v>36.9</v>
      </c>
      <c r="AO126" s="49">
        <v>2437.3000000000002</v>
      </c>
      <c r="AP126" s="49">
        <v>230.5</v>
      </c>
      <c r="AQ126" s="49">
        <v>111.4</v>
      </c>
      <c r="AR126" s="49">
        <v>23.5</v>
      </c>
      <c r="AS126" s="50">
        <v>157.1</v>
      </c>
      <c r="AT126" s="50">
        <v>61.5</v>
      </c>
      <c r="AU126" s="50">
        <v>91.3</v>
      </c>
      <c r="AV126" s="50">
        <v>57</v>
      </c>
      <c r="AW126" s="50">
        <v>7.5</v>
      </c>
      <c r="AX126" s="50">
        <v>3.7</v>
      </c>
      <c r="AY126" s="50">
        <v>32.200000000000003</v>
      </c>
      <c r="AZ126" s="50">
        <v>1.2</v>
      </c>
      <c r="BA126" s="50" t="s">
        <v>264</v>
      </c>
      <c r="BB126" s="50" t="s">
        <v>264</v>
      </c>
      <c r="BC126" s="50"/>
      <c r="BD126" s="52">
        <v>90.2</v>
      </c>
      <c r="BE126" s="52">
        <v>37.799999999999997</v>
      </c>
      <c r="BF126" s="52"/>
      <c r="BG126" s="52"/>
      <c r="BH126" s="52">
        <v>339.1</v>
      </c>
      <c r="BI126" s="52"/>
      <c r="BJ126" s="52"/>
      <c r="BK126" s="52">
        <v>163.5</v>
      </c>
      <c r="BL126" s="52">
        <v>4.5</v>
      </c>
      <c r="BM126" s="52">
        <v>507.1</v>
      </c>
      <c r="BN126" s="52">
        <v>307.10000000000002</v>
      </c>
      <c r="BO126" s="52"/>
      <c r="BP126" s="52"/>
      <c r="BQ126" s="52">
        <v>78</v>
      </c>
      <c r="BR126" s="52">
        <v>4.8</v>
      </c>
      <c r="BS126" s="53">
        <v>389.90000000000003</v>
      </c>
      <c r="BT126" s="52" t="s">
        <v>264</v>
      </c>
      <c r="BU126" s="52">
        <v>33.700000000000003</v>
      </c>
      <c r="BV126" s="50">
        <v>339.3</v>
      </c>
      <c r="BW126" s="50">
        <v>110.4</v>
      </c>
      <c r="BX126" s="49">
        <v>454.5</v>
      </c>
      <c r="BY126" s="50">
        <v>47.4</v>
      </c>
      <c r="BZ126" s="50">
        <v>16</v>
      </c>
      <c r="CA126" s="49">
        <v>63.4</v>
      </c>
      <c r="CB126" s="52"/>
      <c r="CC126" s="52"/>
      <c r="CD126" s="52"/>
      <c r="CE126" s="52"/>
      <c r="CF126" s="52">
        <v>119.6</v>
      </c>
      <c r="CG126" s="53">
        <v>114</v>
      </c>
      <c r="CH126" s="52">
        <v>22.2</v>
      </c>
      <c r="CI126" s="52"/>
      <c r="CJ126" s="52"/>
      <c r="CK126" s="52"/>
      <c r="CL126" s="52"/>
      <c r="CM126" s="52"/>
      <c r="CN126" s="52">
        <v>47.2</v>
      </c>
      <c r="CO126" s="52">
        <v>304.39999999999998</v>
      </c>
      <c r="CP126" s="52">
        <v>263.7</v>
      </c>
      <c r="CQ126" s="52">
        <v>40.700000000000003</v>
      </c>
      <c r="CR126" s="52" t="s">
        <v>264</v>
      </c>
      <c r="CS126" s="52">
        <v>39.5</v>
      </c>
      <c r="CT126" s="52">
        <v>25.5</v>
      </c>
      <c r="CU126" s="52">
        <v>14</v>
      </c>
      <c r="CV126" s="52">
        <v>39</v>
      </c>
      <c r="CW126" s="52">
        <v>14.8</v>
      </c>
      <c r="CX126" s="52">
        <v>24.2</v>
      </c>
      <c r="CY126" s="52" t="s">
        <v>264</v>
      </c>
      <c r="CZ126" s="52">
        <v>76.2</v>
      </c>
      <c r="DA126" s="52">
        <v>66.8</v>
      </c>
      <c r="DB126" s="52">
        <v>58.1</v>
      </c>
      <c r="DC126" s="52">
        <v>8.6999999999999993</v>
      </c>
      <c r="DD126" s="52"/>
      <c r="DE126" s="52"/>
      <c r="DF126" s="53"/>
      <c r="DG126" s="53">
        <v>110.9</v>
      </c>
      <c r="DH126" s="53"/>
      <c r="DI126" s="53">
        <v>587.70000000000005</v>
      </c>
      <c r="DJ126" s="53">
        <v>205.9</v>
      </c>
      <c r="DK126" s="53">
        <v>555.79999999999995</v>
      </c>
      <c r="DL126" s="53">
        <v>146.6</v>
      </c>
      <c r="DM126" s="53">
        <v>215.1</v>
      </c>
      <c r="DN126" s="53"/>
      <c r="DO126" s="53">
        <v>165.3</v>
      </c>
      <c r="DP126" s="53">
        <v>204.8</v>
      </c>
      <c r="DQ126" s="53"/>
      <c r="DR126" s="53"/>
      <c r="DS126" s="53">
        <v>851.3</v>
      </c>
      <c r="DT126" s="53">
        <v>3217</v>
      </c>
      <c r="DU126" s="53">
        <v>-284.5</v>
      </c>
      <c r="DV126" s="53">
        <v>0</v>
      </c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2"/>
      <c r="FE126" s="52"/>
      <c r="FF126" s="52"/>
      <c r="FG126" s="52"/>
      <c r="FH126" s="52"/>
      <c r="FI126" s="52"/>
      <c r="FJ126" s="52"/>
      <c r="FK126" s="52"/>
      <c r="FL126" s="52"/>
      <c r="FM126" s="52"/>
      <c r="FN126" s="52"/>
      <c r="FO126" s="52"/>
      <c r="FP126" s="52"/>
      <c r="FQ126" s="52"/>
      <c r="FR126" s="52"/>
      <c r="FS126" s="52"/>
      <c r="FT126" s="52"/>
      <c r="FU126" s="52"/>
      <c r="FV126" s="52"/>
      <c r="FW126" s="52"/>
      <c r="FX126" s="52"/>
      <c r="FY126" s="52"/>
      <c r="FZ126" s="52"/>
      <c r="GA126" s="52"/>
      <c r="GB126" s="52"/>
      <c r="GC126" s="52"/>
      <c r="GD126" s="52"/>
      <c r="GE126" s="52"/>
      <c r="GF126" s="52"/>
      <c r="GG126" s="52"/>
      <c r="GH126" s="52"/>
      <c r="GI126" s="52"/>
      <c r="GJ126" s="52"/>
      <c r="GK126" s="52"/>
      <c r="GL126" s="52"/>
      <c r="GM126" s="52"/>
      <c r="GN126" s="52"/>
      <c r="GO126" s="52"/>
      <c r="GP126" s="52"/>
      <c r="GQ126" s="52"/>
      <c r="GR126" s="52"/>
      <c r="GS126" s="52"/>
      <c r="GT126" s="52"/>
      <c r="GU126" s="52"/>
      <c r="GV126" s="52"/>
      <c r="GW126" s="52"/>
      <c r="GX126" s="52"/>
      <c r="GY126" s="17"/>
      <c r="GZ126" s="52">
        <v>887.8</v>
      </c>
      <c r="HA126" s="52"/>
      <c r="HB126" s="17"/>
      <c r="HC126" s="17"/>
      <c r="HD126" s="17"/>
      <c r="HE126" s="17"/>
      <c r="HF126" s="52"/>
      <c r="HG126" s="52"/>
      <c r="HH126" s="52"/>
      <c r="HI126" s="52"/>
      <c r="HJ126" s="52"/>
      <c r="HK126" s="52"/>
      <c r="HL126" s="52"/>
      <c r="HM126" s="52"/>
      <c r="HN126" s="52"/>
      <c r="HO126" s="52"/>
      <c r="HP126" s="52"/>
      <c r="HQ126" s="52"/>
      <c r="HR126" s="52"/>
      <c r="HS126" s="52"/>
      <c r="HT126" s="52"/>
      <c r="HU126" s="52"/>
      <c r="HV126" s="52"/>
      <c r="HW126" s="52"/>
      <c r="HX126" s="52"/>
      <c r="HY126" s="52"/>
      <c r="HZ126" s="52"/>
      <c r="IA126" s="52"/>
      <c r="IB126" s="52"/>
      <c r="IC126" s="52"/>
      <c r="ID126" s="52"/>
      <c r="IE126" s="52"/>
      <c r="IF126" s="52"/>
      <c r="IG126" s="52"/>
      <c r="IH126" s="53"/>
      <c r="II126" s="53"/>
      <c r="IJ126" s="53"/>
      <c r="IK126" s="53"/>
      <c r="IL126" s="53"/>
      <c r="IM126" s="52"/>
      <c r="IN126" s="52">
        <v>122.3</v>
      </c>
      <c r="IY126" s="48">
        <f t="shared" si="5"/>
        <v>47.535592166614862</v>
      </c>
      <c r="IZ126" s="48">
        <f>IY126-'NOPA Crush'!J126</f>
        <v>7.5592166614860901E-2</v>
      </c>
      <c r="JB126" s="63">
        <f t="shared" si="3"/>
        <v>11.07304942493006</v>
      </c>
      <c r="JC126" s="64">
        <f>JB126-'NOPA Crush'!O126</f>
        <v>-9.6950575069939759E-2</v>
      </c>
      <c r="JD126" s="65"/>
      <c r="JE126" s="67">
        <f t="shared" si="4"/>
        <v>1717.528</v>
      </c>
      <c r="JF126" s="68">
        <f>'NOPA Crush'!Q126/'Census Crush'!JE126</f>
        <v>0.26794090110903579</v>
      </c>
    </row>
    <row r="127" spans="1:266">
      <c r="A127" s="39">
        <v>32905</v>
      </c>
      <c r="B127" s="49">
        <v>2752.8</v>
      </c>
      <c r="C127" s="50">
        <v>2740.9</v>
      </c>
      <c r="D127" s="50">
        <v>280.3</v>
      </c>
      <c r="E127" s="50">
        <v>1592.8</v>
      </c>
      <c r="F127" s="50">
        <v>19.7</v>
      </c>
      <c r="G127" s="50">
        <v>78.5</v>
      </c>
      <c r="H127" s="50" t="s">
        <v>264</v>
      </c>
      <c r="I127" s="50" t="s">
        <v>264</v>
      </c>
      <c r="J127" s="50" t="s">
        <v>264</v>
      </c>
      <c r="K127" s="49">
        <v>1021.7</v>
      </c>
      <c r="L127" s="49">
        <v>1702.9379999999999</v>
      </c>
      <c r="M127" s="49">
        <v>1475.069</v>
      </c>
      <c r="N127" s="49">
        <v>227.869</v>
      </c>
      <c r="O127" s="50">
        <v>92.6</v>
      </c>
      <c r="P127" s="51">
        <v>180.89999999999998</v>
      </c>
      <c r="Q127" s="49">
        <v>49.7</v>
      </c>
      <c r="R127" s="52">
        <v>131.19999999999999</v>
      </c>
      <c r="S127" s="52"/>
      <c r="T127" s="49">
        <v>15.8</v>
      </c>
      <c r="U127" s="51">
        <v>14.6</v>
      </c>
      <c r="V127" s="49">
        <v>11.5</v>
      </c>
      <c r="W127" s="49">
        <v>3.1</v>
      </c>
      <c r="X127" s="49">
        <v>66</v>
      </c>
      <c r="Y127" s="49">
        <v>7.9</v>
      </c>
      <c r="Z127" s="49"/>
      <c r="AA127" s="50" t="s">
        <v>264</v>
      </c>
      <c r="AB127" s="50" t="s">
        <v>264</v>
      </c>
      <c r="AC127" s="50" t="s">
        <v>264</v>
      </c>
      <c r="AD127" s="50">
        <v>6.6</v>
      </c>
      <c r="AE127" s="50"/>
      <c r="AF127" s="51"/>
      <c r="AG127" s="50" t="s">
        <v>264</v>
      </c>
      <c r="AH127" s="49">
        <v>16.3</v>
      </c>
      <c r="AI127" s="49">
        <v>122</v>
      </c>
      <c r="AJ127" s="49"/>
      <c r="AK127" s="49"/>
      <c r="AL127" s="51">
        <v>84.4</v>
      </c>
      <c r="AM127" s="50">
        <v>48.9</v>
      </c>
      <c r="AN127" s="50">
        <v>35.5</v>
      </c>
      <c r="AO127" s="49">
        <v>2093.4</v>
      </c>
      <c r="AP127" s="49">
        <v>240.6</v>
      </c>
      <c r="AQ127" s="49">
        <v>93.8</v>
      </c>
      <c r="AR127" s="49">
        <v>21.4</v>
      </c>
      <c r="AS127" s="50">
        <v>130.6</v>
      </c>
      <c r="AT127" s="50">
        <v>75.5</v>
      </c>
      <c r="AU127" s="50">
        <v>71.8</v>
      </c>
      <c r="AV127" s="50">
        <v>57.9</v>
      </c>
      <c r="AW127" s="50">
        <v>11</v>
      </c>
      <c r="AX127" s="50">
        <v>5.7</v>
      </c>
      <c r="AY127" s="50" t="s">
        <v>264</v>
      </c>
      <c r="AZ127" s="50" t="s">
        <v>264</v>
      </c>
      <c r="BA127" s="50" t="s">
        <v>264</v>
      </c>
      <c r="BB127" s="50" t="s">
        <v>264</v>
      </c>
      <c r="BC127" s="50"/>
      <c r="BD127" s="52">
        <v>90.7</v>
      </c>
      <c r="BE127" s="52">
        <v>40</v>
      </c>
      <c r="BF127" s="52"/>
      <c r="BG127" s="52"/>
      <c r="BH127" s="52">
        <v>291.89999999999998</v>
      </c>
      <c r="BI127" s="52"/>
      <c r="BJ127" s="52"/>
      <c r="BK127" s="52">
        <v>153.19999999999999</v>
      </c>
      <c r="BL127" s="52">
        <v>3.9</v>
      </c>
      <c r="BM127" s="52">
        <v>449</v>
      </c>
      <c r="BN127" s="52">
        <v>325.7</v>
      </c>
      <c r="BO127" s="52"/>
      <c r="BP127" s="52"/>
      <c r="BQ127" s="52">
        <v>70.099999999999994</v>
      </c>
      <c r="BR127" s="52">
        <v>4.5999999999999996</v>
      </c>
      <c r="BS127" s="53">
        <v>400.4</v>
      </c>
      <c r="BT127" s="52" t="s">
        <v>264</v>
      </c>
      <c r="BU127" s="52">
        <v>37.6</v>
      </c>
      <c r="BV127" s="50">
        <v>325.39999999999998</v>
      </c>
      <c r="BW127" s="50">
        <v>99.6</v>
      </c>
      <c r="BX127" s="49">
        <v>429.9</v>
      </c>
      <c r="BY127" s="50">
        <v>41.3</v>
      </c>
      <c r="BZ127" s="50">
        <v>16.600000000000001</v>
      </c>
      <c r="CA127" s="49">
        <v>57.9</v>
      </c>
      <c r="CB127" s="52"/>
      <c r="CC127" s="52"/>
      <c r="CD127" s="52"/>
      <c r="CE127" s="52"/>
      <c r="CF127" s="52">
        <v>120</v>
      </c>
      <c r="CG127" s="53">
        <v>112.6</v>
      </c>
      <c r="CH127" s="52">
        <v>21.4</v>
      </c>
      <c r="CI127" s="52"/>
      <c r="CJ127" s="52"/>
      <c r="CK127" s="52"/>
      <c r="CL127" s="52"/>
      <c r="CM127" s="52"/>
      <c r="CN127" s="52">
        <v>44.3</v>
      </c>
      <c r="CO127" s="52">
        <v>307</v>
      </c>
      <c r="CP127" s="52">
        <v>261.7</v>
      </c>
      <c r="CQ127" s="52">
        <v>45.3</v>
      </c>
      <c r="CR127" s="52" t="s">
        <v>264</v>
      </c>
      <c r="CS127" s="52">
        <v>36.700000000000003</v>
      </c>
      <c r="CT127" s="52">
        <v>23.1</v>
      </c>
      <c r="CU127" s="52">
        <v>13.6</v>
      </c>
      <c r="CV127" s="52">
        <v>55.400000000000006</v>
      </c>
      <c r="CW127" s="52">
        <v>28.3</v>
      </c>
      <c r="CX127" s="52">
        <v>27.1</v>
      </c>
      <c r="CY127" s="52" t="s">
        <v>264</v>
      </c>
      <c r="CZ127" s="52">
        <v>61.9</v>
      </c>
      <c r="DA127" s="52">
        <v>65.099999999999994</v>
      </c>
      <c r="DB127" s="52">
        <v>57.6</v>
      </c>
      <c r="DC127" s="52">
        <v>7.5</v>
      </c>
      <c r="DD127" s="52"/>
      <c r="DE127" s="52"/>
      <c r="DF127" s="53"/>
      <c r="DG127" s="53">
        <v>104</v>
      </c>
      <c r="DH127" s="53"/>
      <c r="DI127" s="53">
        <v>504.9</v>
      </c>
      <c r="DJ127" s="53">
        <v>168.4</v>
      </c>
      <c r="DK127" s="53">
        <v>477.6</v>
      </c>
      <c r="DL127" s="53">
        <v>121.7</v>
      </c>
      <c r="DM127" s="53">
        <v>187.4</v>
      </c>
      <c r="DN127" s="53"/>
      <c r="DO127" s="53">
        <v>148.30000000000001</v>
      </c>
      <c r="DP127" s="53">
        <v>170.6</v>
      </c>
      <c r="DQ127" s="53"/>
      <c r="DR127" s="53"/>
      <c r="DS127" s="53">
        <v>720.5</v>
      </c>
      <c r="DT127" s="53">
        <v>2752.8</v>
      </c>
      <c r="DU127" s="53">
        <v>-253.40000000000009</v>
      </c>
      <c r="DV127" s="53">
        <v>0</v>
      </c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2"/>
      <c r="FB127" s="52"/>
      <c r="FC127" s="52"/>
      <c r="FD127" s="52"/>
      <c r="FE127" s="52"/>
      <c r="FF127" s="52"/>
      <c r="FG127" s="52"/>
      <c r="FH127" s="52"/>
      <c r="FI127" s="52"/>
      <c r="FJ127" s="52"/>
      <c r="FK127" s="52"/>
      <c r="FL127" s="52"/>
      <c r="FM127" s="52"/>
      <c r="FN127" s="52"/>
      <c r="FO127" s="52"/>
      <c r="FP127" s="52"/>
      <c r="FQ127" s="52"/>
      <c r="FR127" s="52"/>
      <c r="FS127" s="52"/>
      <c r="FT127" s="52"/>
      <c r="FU127" s="52"/>
      <c r="FV127" s="52"/>
      <c r="FW127" s="52"/>
      <c r="FX127" s="52"/>
      <c r="FY127" s="52"/>
      <c r="FZ127" s="52"/>
      <c r="GA127" s="52"/>
      <c r="GB127" s="52"/>
      <c r="GC127" s="52"/>
      <c r="GD127" s="52"/>
      <c r="GE127" s="52"/>
      <c r="GF127" s="52"/>
      <c r="GG127" s="52"/>
      <c r="GH127" s="52"/>
      <c r="GI127" s="52"/>
      <c r="GJ127" s="52"/>
      <c r="GK127" s="52"/>
      <c r="GL127" s="52"/>
      <c r="GM127" s="52"/>
      <c r="GN127" s="52"/>
      <c r="GO127" s="52"/>
      <c r="GP127" s="52"/>
      <c r="GQ127" s="52"/>
      <c r="GR127" s="52"/>
      <c r="GS127" s="52"/>
      <c r="GT127" s="52"/>
      <c r="GU127" s="52"/>
      <c r="GV127" s="52"/>
      <c r="GW127" s="52"/>
      <c r="GX127" s="52"/>
      <c r="GY127" s="17"/>
      <c r="GZ127" s="52">
        <v>800.6</v>
      </c>
      <c r="HA127" s="52"/>
      <c r="HB127" s="17"/>
      <c r="HC127" s="17"/>
      <c r="HD127" s="17"/>
      <c r="HE127" s="17"/>
      <c r="HF127" s="52"/>
      <c r="HG127" s="52"/>
      <c r="HH127" s="52"/>
      <c r="HI127" s="52"/>
      <c r="HJ127" s="52"/>
      <c r="HK127" s="52"/>
      <c r="HL127" s="52"/>
      <c r="HM127" s="52"/>
      <c r="HN127" s="52"/>
      <c r="HO127" s="52"/>
      <c r="HP127" s="52"/>
      <c r="HQ127" s="52"/>
      <c r="HR127" s="52"/>
      <c r="HS127" s="52"/>
      <c r="HT127" s="52"/>
      <c r="HU127" s="52"/>
      <c r="HV127" s="52"/>
      <c r="HW127" s="52"/>
      <c r="HX127" s="52"/>
      <c r="HY127" s="52"/>
      <c r="HZ127" s="52"/>
      <c r="IA127" s="52"/>
      <c r="IB127" s="52"/>
      <c r="IC127" s="52"/>
      <c r="ID127" s="52"/>
      <c r="IE127" s="52"/>
      <c r="IF127" s="52"/>
      <c r="IG127" s="52"/>
      <c r="IH127" s="53"/>
      <c r="II127" s="53"/>
      <c r="IJ127" s="53"/>
      <c r="IK127" s="53"/>
      <c r="IL127" s="53"/>
      <c r="IM127" s="52"/>
      <c r="IN127" s="52">
        <v>94.4</v>
      </c>
      <c r="IY127" s="48">
        <f t="shared" si="5"/>
        <v>47.672188317349608</v>
      </c>
      <c r="IZ127" s="48">
        <f>IY127-'NOPA Crush'!J127</f>
        <v>0.13218831734960901</v>
      </c>
      <c r="JB127" s="63">
        <f t="shared" si="3"/>
        <v>11.134481255448998</v>
      </c>
      <c r="JC127" s="64">
        <f>JB127-'NOPA Crush'!O127</f>
        <v>-0.23551874455100119</v>
      </c>
      <c r="JD127" s="65"/>
      <c r="JE127" s="67">
        <f t="shared" si="4"/>
        <v>1702.9379999999999</v>
      </c>
      <c r="JF127" s="68">
        <f>'NOPA Crush'!Q127/'Census Crush'!JE127</f>
        <v>0.26417990555146459</v>
      </c>
    </row>
    <row r="128" spans="1:266">
      <c r="A128" s="39">
        <v>32933</v>
      </c>
      <c r="B128" s="49">
        <v>3064.2</v>
      </c>
      <c r="C128" s="50">
        <v>2503.4</v>
      </c>
      <c r="D128" s="50">
        <v>254.6</v>
      </c>
      <c r="E128" s="50">
        <v>1289.4000000000001</v>
      </c>
      <c r="F128" s="50">
        <v>17.600000000000001</v>
      </c>
      <c r="G128" s="50" t="s">
        <v>264</v>
      </c>
      <c r="H128" s="50" t="s">
        <v>264</v>
      </c>
      <c r="I128" s="50" t="s">
        <v>264</v>
      </c>
      <c r="J128" s="50" t="s">
        <v>264</v>
      </c>
      <c r="K128" s="49">
        <v>1142.4000000000001</v>
      </c>
      <c r="L128" s="49">
        <v>1694.921</v>
      </c>
      <c r="M128" s="49">
        <v>1477.289</v>
      </c>
      <c r="N128" s="49">
        <v>217.63200000000001</v>
      </c>
      <c r="O128" s="50">
        <v>83.9</v>
      </c>
      <c r="P128" s="51">
        <v>174.8</v>
      </c>
      <c r="Q128" s="49">
        <v>43.4</v>
      </c>
      <c r="R128" s="49">
        <v>131.4</v>
      </c>
      <c r="S128" s="49"/>
      <c r="T128" s="49">
        <v>14.2</v>
      </c>
      <c r="U128" s="51">
        <v>8.6999999999999993</v>
      </c>
      <c r="V128" s="49">
        <v>6.1</v>
      </c>
      <c r="W128" s="49">
        <v>2.6</v>
      </c>
      <c r="X128" s="49">
        <v>37.9</v>
      </c>
      <c r="Y128" s="49">
        <v>11.3</v>
      </c>
      <c r="Z128" s="49"/>
      <c r="AA128" s="50" t="s">
        <v>264</v>
      </c>
      <c r="AB128" s="50" t="s">
        <v>264</v>
      </c>
      <c r="AC128" s="50" t="s">
        <v>264</v>
      </c>
      <c r="AD128" s="50">
        <v>3</v>
      </c>
      <c r="AE128" s="50"/>
      <c r="AF128" s="51"/>
      <c r="AG128" s="50" t="s">
        <v>264</v>
      </c>
      <c r="AH128" s="49">
        <v>14.8</v>
      </c>
      <c r="AI128" s="49">
        <v>131.4</v>
      </c>
      <c r="AJ128" s="49"/>
      <c r="AK128" s="49"/>
      <c r="AL128" s="51">
        <v>87.2</v>
      </c>
      <c r="AM128" s="50">
        <v>56.6</v>
      </c>
      <c r="AN128" s="50">
        <v>30.6</v>
      </c>
      <c r="AO128" s="49">
        <v>2324.6999999999998</v>
      </c>
      <c r="AP128" s="49">
        <v>283.89999999999998</v>
      </c>
      <c r="AQ128" s="49">
        <v>107.6</v>
      </c>
      <c r="AR128" s="49">
        <v>27.9</v>
      </c>
      <c r="AS128" s="50">
        <v>116.6</v>
      </c>
      <c r="AT128" s="50">
        <v>69</v>
      </c>
      <c r="AU128" s="50">
        <v>65</v>
      </c>
      <c r="AV128" s="50">
        <v>41.9</v>
      </c>
      <c r="AW128" s="50">
        <v>9.8000000000000007</v>
      </c>
      <c r="AX128" s="50">
        <v>4.5999999999999996</v>
      </c>
      <c r="AY128" s="50">
        <v>22.6</v>
      </c>
      <c r="AZ128" s="50">
        <v>2.4</v>
      </c>
      <c r="BA128" s="50" t="s">
        <v>264</v>
      </c>
      <c r="BB128" s="50" t="s">
        <v>264</v>
      </c>
      <c r="BC128" s="50"/>
      <c r="BD128" s="52">
        <v>101.2</v>
      </c>
      <c r="BE128" s="52">
        <v>43.4</v>
      </c>
      <c r="BF128" s="52"/>
      <c r="BG128" s="52"/>
      <c r="BH128" s="52">
        <v>336.2</v>
      </c>
      <c r="BI128" s="52"/>
      <c r="BJ128" s="52"/>
      <c r="BK128" s="52">
        <v>163.6</v>
      </c>
      <c r="BL128" s="52">
        <v>4.5</v>
      </c>
      <c r="BM128" s="52">
        <v>504.3</v>
      </c>
      <c r="BN128" s="52">
        <v>297.89999999999998</v>
      </c>
      <c r="BO128" s="52"/>
      <c r="BP128" s="52"/>
      <c r="BQ128" s="52">
        <v>70.099999999999994</v>
      </c>
      <c r="BR128" s="52">
        <v>4.8</v>
      </c>
      <c r="BS128" s="53">
        <v>372.8</v>
      </c>
      <c r="BT128" s="52" t="s">
        <v>264</v>
      </c>
      <c r="BU128" s="52">
        <v>28.5</v>
      </c>
      <c r="BV128" s="50">
        <v>360.5</v>
      </c>
      <c r="BW128" s="50">
        <v>114.2</v>
      </c>
      <c r="BX128" s="49">
        <v>479.9</v>
      </c>
      <c r="BY128" s="50">
        <v>43.9</v>
      </c>
      <c r="BZ128" s="50">
        <v>18.600000000000001</v>
      </c>
      <c r="CA128" s="49">
        <v>62.5</v>
      </c>
      <c r="CB128" s="52"/>
      <c r="CC128" s="52"/>
      <c r="CD128" s="52"/>
      <c r="CE128" s="52"/>
      <c r="CF128" s="52">
        <v>136.69999999999999</v>
      </c>
      <c r="CG128" s="53">
        <v>106.6</v>
      </c>
      <c r="CH128" s="52">
        <v>20.3</v>
      </c>
      <c r="CI128" s="52"/>
      <c r="CJ128" s="52"/>
      <c r="CK128" s="52"/>
      <c r="CL128" s="52"/>
      <c r="CM128" s="52"/>
      <c r="CN128" s="52">
        <v>51.3</v>
      </c>
      <c r="CO128" s="52">
        <v>348</v>
      </c>
      <c r="CP128" s="52">
        <v>310.89999999999998</v>
      </c>
      <c r="CQ128" s="52">
        <v>37.1</v>
      </c>
      <c r="CR128" s="52" t="s">
        <v>264</v>
      </c>
      <c r="CS128" s="52">
        <v>37.5</v>
      </c>
      <c r="CT128" s="52">
        <v>24.1</v>
      </c>
      <c r="CU128" s="52">
        <v>13.4</v>
      </c>
      <c r="CV128" s="52">
        <v>58.7</v>
      </c>
      <c r="CW128" s="52">
        <v>34.200000000000003</v>
      </c>
      <c r="CX128" s="52">
        <v>24.5</v>
      </c>
      <c r="CY128" s="52" t="s">
        <v>264</v>
      </c>
      <c r="CZ128" s="52">
        <v>56.2</v>
      </c>
      <c r="DA128" s="52">
        <v>65.5</v>
      </c>
      <c r="DB128" s="52">
        <v>57.2</v>
      </c>
      <c r="DC128" s="52">
        <v>8.3000000000000007</v>
      </c>
      <c r="DD128" s="52"/>
      <c r="DE128" s="52"/>
      <c r="DF128" s="53"/>
      <c r="DG128" s="53">
        <v>111</v>
      </c>
      <c r="DH128" s="53"/>
      <c r="DI128" s="53">
        <v>558.20000000000005</v>
      </c>
      <c r="DJ128" s="53">
        <v>181.8</v>
      </c>
      <c r="DK128" s="53">
        <v>519.6</v>
      </c>
      <c r="DL128" s="53">
        <v>118.6</v>
      </c>
      <c r="DM128" s="53">
        <v>224.4</v>
      </c>
      <c r="DN128" s="53"/>
      <c r="DO128" s="53">
        <v>166.4</v>
      </c>
      <c r="DP128" s="53">
        <v>195.2</v>
      </c>
      <c r="DQ128" s="53"/>
      <c r="DR128" s="53"/>
      <c r="DS128" s="53">
        <v>835.3</v>
      </c>
      <c r="DT128" s="53">
        <v>3064.2</v>
      </c>
      <c r="DU128" s="53">
        <v>-264.69999999999982</v>
      </c>
      <c r="DV128" s="53">
        <v>0</v>
      </c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  <c r="FB128" s="52"/>
      <c r="FC128" s="52"/>
      <c r="FD128" s="52"/>
      <c r="FE128" s="52"/>
      <c r="FF128" s="52"/>
      <c r="FG128" s="52"/>
      <c r="FH128" s="52"/>
      <c r="FI128" s="52"/>
      <c r="FJ128" s="52"/>
      <c r="FK128" s="52"/>
      <c r="FL128" s="52"/>
      <c r="FM128" s="52"/>
      <c r="FN128" s="52"/>
      <c r="FO128" s="52"/>
      <c r="FP128" s="52"/>
      <c r="FQ128" s="52"/>
      <c r="FR128" s="52"/>
      <c r="FS128" s="52"/>
      <c r="FT128" s="52"/>
      <c r="FU128" s="52"/>
      <c r="FV128" s="52"/>
      <c r="FW128" s="52"/>
      <c r="FX128" s="52"/>
      <c r="FY128" s="52"/>
      <c r="FZ128" s="52"/>
      <c r="GA128" s="52"/>
      <c r="GB128" s="52"/>
      <c r="GC128" s="52"/>
      <c r="GD128" s="52"/>
      <c r="GE128" s="52"/>
      <c r="GF128" s="52"/>
      <c r="GG128" s="52"/>
      <c r="GH128" s="52"/>
      <c r="GI128" s="52"/>
      <c r="GJ128" s="52"/>
      <c r="GK128" s="52"/>
      <c r="GL128" s="52"/>
      <c r="GM128" s="52"/>
      <c r="GN128" s="52"/>
      <c r="GO128" s="52"/>
      <c r="GP128" s="52"/>
      <c r="GQ128" s="52"/>
      <c r="GR128" s="52"/>
      <c r="GS128" s="52"/>
      <c r="GT128" s="52"/>
      <c r="GU128" s="52"/>
      <c r="GV128" s="52"/>
      <c r="GW128" s="52"/>
      <c r="GX128" s="52"/>
      <c r="GY128" s="17"/>
      <c r="GZ128" s="52">
        <v>908.2</v>
      </c>
      <c r="HA128" s="52"/>
      <c r="HB128" s="17"/>
      <c r="HC128" s="17"/>
      <c r="HD128" s="17"/>
      <c r="HE128" s="17"/>
      <c r="HF128" s="52"/>
      <c r="HG128" s="52"/>
      <c r="HH128" s="52"/>
      <c r="HI128" s="52"/>
      <c r="HJ128" s="52"/>
      <c r="HK128" s="52"/>
      <c r="HL128" s="52"/>
      <c r="HM128" s="52"/>
      <c r="HN128" s="52"/>
      <c r="HO128" s="52"/>
      <c r="HP128" s="52"/>
      <c r="HQ128" s="52"/>
      <c r="HR128" s="52"/>
      <c r="HS128" s="52"/>
      <c r="HT128" s="52"/>
      <c r="HU128" s="52"/>
      <c r="HV128" s="52"/>
      <c r="HW128" s="52"/>
      <c r="HX128" s="52"/>
      <c r="HY128" s="52"/>
      <c r="HZ128" s="52"/>
      <c r="IA128" s="52"/>
      <c r="IB128" s="52"/>
      <c r="IC128" s="52"/>
      <c r="ID128" s="52"/>
      <c r="IE128" s="52"/>
      <c r="IF128" s="52"/>
      <c r="IG128" s="52"/>
      <c r="IH128" s="53"/>
      <c r="II128" s="53"/>
      <c r="IJ128" s="53"/>
      <c r="IK128" s="53"/>
      <c r="IL128" s="53"/>
      <c r="IM128" s="52"/>
      <c r="IN128" s="52">
        <v>109.7</v>
      </c>
      <c r="IY128" s="48">
        <f t="shared" si="5"/>
        <v>47.626786763266097</v>
      </c>
      <c r="IZ128" s="48">
        <f>IY128-'NOPA Crush'!J128</f>
        <v>-1.3213236733903955E-2</v>
      </c>
      <c r="JB128" s="63">
        <f t="shared" si="3"/>
        <v>11.184648521636969</v>
      </c>
      <c r="JC128" s="64">
        <f>JB128-'NOPA Crush'!O128</f>
        <v>-7.5351478363030466E-2</v>
      </c>
      <c r="JD128" s="65"/>
      <c r="JE128" s="67">
        <f t="shared" si="4"/>
        <v>1694.921</v>
      </c>
      <c r="JF128" s="68">
        <f>'NOPA Crush'!Q128/'Census Crush'!JE128</f>
        <v>0.24663096392103229</v>
      </c>
    </row>
    <row r="129" spans="1:266">
      <c r="A129" s="39">
        <v>32964</v>
      </c>
      <c r="B129" s="49">
        <v>2854.3</v>
      </c>
      <c r="C129" s="50">
        <v>2190.5</v>
      </c>
      <c r="D129" s="50">
        <v>245.5</v>
      </c>
      <c r="E129" s="50">
        <v>1073.7</v>
      </c>
      <c r="F129" s="50">
        <v>27.2</v>
      </c>
      <c r="G129" s="50">
        <v>62.6</v>
      </c>
      <c r="H129" s="50">
        <v>29.7</v>
      </c>
      <c r="I129" s="50" t="s">
        <v>264</v>
      </c>
      <c r="J129" s="50" t="s">
        <v>264</v>
      </c>
      <c r="K129" s="49">
        <v>1066.5999999999999</v>
      </c>
      <c r="L129" s="49">
        <v>1715.923</v>
      </c>
      <c r="M129" s="49">
        <v>1516.6980000000001</v>
      </c>
      <c r="N129" s="49">
        <v>199.22499999999999</v>
      </c>
      <c r="O129" s="50">
        <v>83.3</v>
      </c>
      <c r="P129" s="51">
        <v>168.79999999999998</v>
      </c>
      <c r="Q129" s="49">
        <v>40.6</v>
      </c>
      <c r="R129" s="49">
        <v>128.19999999999999</v>
      </c>
      <c r="S129" s="49"/>
      <c r="T129" s="49">
        <v>22.2</v>
      </c>
      <c r="U129" s="51">
        <v>13.899999999999999</v>
      </c>
      <c r="V129" s="49">
        <v>11.7</v>
      </c>
      <c r="W129" s="49">
        <v>2.2000000000000002</v>
      </c>
      <c r="X129" s="49">
        <v>51.5</v>
      </c>
      <c r="Y129" s="49">
        <v>7.2</v>
      </c>
      <c r="Z129" s="49"/>
      <c r="AA129" s="50" t="s">
        <v>264</v>
      </c>
      <c r="AB129" s="50" t="s">
        <v>264</v>
      </c>
      <c r="AC129" s="50" t="s">
        <v>264</v>
      </c>
      <c r="AD129" s="50">
        <v>6.6</v>
      </c>
      <c r="AE129" s="50"/>
      <c r="AF129" s="51"/>
      <c r="AG129" s="50" t="s">
        <v>264</v>
      </c>
      <c r="AH129" s="49">
        <v>18.2</v>
      </c>
      <c r="AI129" s="49">
        <v>135.6</v>
      </c>
      <c r="AJ129" s="49"/>
      <c r="AK129" s="49"/>
      <c r="AL129" s="51">
        <v>88.5</v>
      </c>
      <c r="AM129" s="50">
        <v>61.1</v>
      </c>
      <c r="AN129" s="50">
        <v>27.4</v>
      </c>
      <c r="AO129" s="49">
        <v>2154.1999999999998</v>
      </c>
      <c r="AP129" s="49">
        <v>280.10000000000002</v>
      </c>
      <c r="AQ129" s="49">
        <v>109.5</v>
      </c>
      <c r="AR129" s="49">
        <v>27.5</v>
      </c>
      <c r="AS129" s="50">
        <v>111.9</v>
      </c>
      <c r="AT129" s="50">
        <v>85.5</v>
      </c>
      <c r="AU129" s="50">
        <v>62.3</v>
      </c>
      <c r="AV129" s="50">
        <v>53.8</v>
      </c>
      <c r="AW129" s="50">
        <v>15.2</v>
      </c>
      <c r="AX129" s="50">
        <v>6.2</v>
      </c>
      <c r="AY129" s="50">
        <v>30.4</v>
      </c>
      <c r="AZ129" s="50" t="s">
        <v>264</v>
      </c>
      <c r="BA129" s="50" t="s">
        <v>264</v>
      </c>
      <c r="BB129" s="50" t="s">
        <v>264</v>
      </c>
      <c r="BC129" s="50"/>
      <c r="BD129" s="52">
        <v>97.8</v>
      </c>
      <c r="BE129" s="52">
        <v>36</v>
      </c>
      <c r="BF129" s="52"/>
      <c r="BG129" s="52"/>
      <c r="BH129" s="52">
        <v>300.39999999999998</v>
      </c>
      <c r="BI129" s="52"/>
      <c r="BJ129" s="52"/>
      <c r="BK129" s="52">
        <v>150.80000000000001</v>
      </c>
      <c r="BL129" s="52">
        <v>4.0999999999999996</v>
      </c>
      <c r="BM129" s="52">
        <v>455.3</v>
      </c>
      <c r="BN129" s="52">
        <v>299.60000000000002</v>
      </c>
      <c r="BO129" s="52"/>
      <c r="BP129" s="52"/>
      <c r="BQ129" s="52">
        <v>69.900000000000006</v>
      </c>
      <c r="BR129" s="52">
        <v>5.2</v>
      </c>
      <c r="BS129" s="53">
        <v>374.7</v>
      </c>
      <c r="BT129" s="52" t="s">
        <v>264</v>
      </c>
      <c r="BU129" s="52">
        <v>31.6</v>
      </c>
      <c r="BV129" s="50">
        <v>306.5</v>
      </c>
      <c r="BW129" s="50">
        <v>108.4</v>
      </c>
      <c r="BX129" s="49">
        <v>419.4</v>
      </c>
      <c r="BY129" s="50">
        <v>45.1</v>
      </c>
      <c r="BZ129" s="50">
        <v>18.3</v>
      </c>
      <c r="CA129" s="49">
        <v>63.400000000000006</v>
      </c>
      <c r="CB129" s="52"/>
      <c r="CC129" s="52"/>
      <c r="CD129" s="52"/>
      <c r="CE129" s="52"/>
      <c r="CF129" s="52">
        <v>134.6</v>
      </c>
      <c r="CG129" s="53">
        <v>114.1</v>
      </c>
      <c r="CH129" s="52">
        <v>16.600000000000001</v>
      </c>
      <c r="CI129" s="52"/>
      <c r="CJ129" s="52"/>
      <c r="CK129" s="52"/>
      <c r="CL129" s="52"/>
      <c r="CM129" s="52"/>
      <c r="CN129" s="52">
        <v>43.6</v>
      </c>
      <c r="CO129" s="52">
        <v>305.60000000000002</v>
      </c>
      <c r="CP129" s="52">
        <v>271.10000000000002</v>
      </c>
      <c r="CQ129" s="52">
        <v>34.5</v>
      </c>
      <c r="CR129" s="52" t="s">
        <v>264</v>
      </c>
      <c r="CS129" s="52">
        <v>38.4</v>
      </c>
      <c r="CT129" s="52">
        <v>20.9</v>
      </c>
      <c r="CU129" s="52">
        <v>17.5</v>
      </c>
      <c r="CV129" s="52">
        <v>51.6</v>
      </c>
      <c r="CW129" s="52">
        <v>30.3</v>
      </c>
      <c r="CX129" s="52">
        <v>21.3</v>
      </c>
      <c r="CY129" s="52" t="s">
        <v>264</v>
      </c>
      <c r="CZ129" s="52">
        <v>68</v>
      </c>
      <c r="DA129" s="52">
        <v>53</v>
      </c>
      <c r="DB129" s="52">
        <v>46.1</v>
      </c>
      <c r="DC129" s="52">
        <v>6.9</v>
      </c>
      <c r="DD129" s="52"/>
      <c r="DE129" s="52"/>
      <c r="DF129" s="53"/>
      <c r="DG129" s="53">
        <v>107.4</v>
      </c>
      <c r="DH129" s="53"/>
      <c r="DI129" s="53">
        <v>512.20000000000005</v>
      </c>
      <c r="DJ129" s="53">
        <v>173.5</v>
      </c>
      <c r="DK129" s="53">
        <v>500</v>
      </c>
      <c r="DL129" s="53">
        <v>134.5</v>
      </c>
      <c r="DM129" s="53">
        <v>204.8</v>
      </c>
      <c r="DN129" s="53"/>
      <c r="DO129" s="53">
        <v>150.6</v>
      </c>
      <c r="DP129" s="53">
        <v>183</v>
      </c>
      <c r="DQ129" s="53"/>
      <c r="DR129" s="53"/>
      <c r="DS129" s="53">
        <v>733</v>
      </c>
      <c r="DT129" s="53">
        <v>2854.3</v>
      </c>
      <c r="DU129" s="53">
        <v>-262.70000000000027</v>
      </c>
      <c r="DV129" s="53">
        <v>0</v>
      </c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  <c r="FB129" s="52"/>
      <c r="FC129" s="52"/>
      <c r="FD129" s="52"/>
      <c r="FE129" s="52"/>
      <c r="FF129" s="52"/>
      <c r="FG129" s="52"/>
      <c r="FH129" s="52"/>
      <c r="FI129" s="52"/>
      <c r="FJ129" s="52"/>
      <c r="FK129" s="52"/>
      <c r="FL129" s="52"/>
      <c r="FM129" s="52"/>
      <c r="FN129" s="52"/>
      <c r="FO129" s="52"/>
      <c r="FP129" s="52"/>
      <c r="FQ129" s="52"/>
      <c r="FR129" s="52"/>
      <c r="FS129" s="52"/>
      <c r="FT129" s="52"/>
      <c r="FU129" s="52"/>
      <c r="FV129" s="52"/>
      <c r="FW129" s="52"/>
      <c r="FX129" s="52"/>
      <c r="FY129" s="52"/>
      <c r="FZ129" s="52"/>
      <c r="GA129" s="52"/>
      <c r="GB129" s="52"/>
      <c r="GC129" s="52"/>
      <c r="GD129" s="52"/>
      <c r="GE129" s="52"/>
      <c r="GF129" s="52"/>
      <c r="GG129" s="52"/>
      <c r="GH129" s="52"/>
      <c r="GI129" s="52"/>
      <c r="GJ129" s="52"/>
      <c r="GK129" s="52"/>
      <c r="GL129" s="52"/>
      <c r="GM129" s="52"/>
      <c r="GN129" s="52"/>
      <c r="GO129" s="52"/>
      <c r="GP129" s="52"/>
      <c r="GQ129" s="52"/>
      <c r="GR129" s="52"/>
      <c r="GS129" s="52"/>
      <c r="GT129" s="52"/>
      <c r="GU129" s="52"/>
      <c r="GV129" s="52"/>
      <c r="GW129" s="52"/>
      <c r="GX129" s="52"/>
      <c r="GY129" s="17"/>
      <c r="GZ129" s="52">
        <v>812.7</v>
      </c>
      <c r="HA129" s="52"/>
      <c r="HB129" s="17"/>
      <c r="HC129" s="17"/>
      <c r="HD129" s="17"/>
      <c r="HE129" s="17"/>
      <c r="HF129" s="52"/>
      <c r="HG129" s="52"/>
      <c r="HH129" s="52"/>
      <c r="HI129" s="52"/>
      <c r="HJ129" s="52"/>
      <c r="HK129" s="52"/>
      <c r="HL129" s="52"/>
      <c r="HM129" s="52"/>
      <c r="HN129" s="52"/>
      <c r="HO129" s="52"/>
      <c r="HP129" s="52"/>
      <c r="HQ129" s="52"/>
      <c r="HR129" s="52"/>
      <c r="HS129" s="52"/>
      <c r="HT129" s="52"/>
      <c r="HU129" s="52"/>
      <c r="HV129" s="52"/>
      <c r="HW129" s="52"/>
      <c r="HX129" s="52"/>
      <c r="HY129" s="52"/>
      <c r="HZ129" s="52"/>
      <c r="IA129" s="52"/>
      <c r="IB129" s="52"/>
      <c r="IC129" s="52"/>
      <c r="ID129" s="52"/>
      <c r="IE129" s="52"/>
      <c r="IF129" s="52"/>
      <c r="IG129" s="52"/>
      <c r="IH129" s="53"/>
      <c r="II129" s="53"/>
      <c r="IJ129" s="53"/>
      <c r="IK129" s="53"/>
      <c r="IL129" s="53"/>
      <c r="IM129" s="52"/>
      <c r="IN129" s="52">
        <v>80.400000000000006</v>
      </c>
      <c r="IY129" s="48">
        <f t="shared" si="5"/>
        <v>47.585047121886269</v>
      </c>
      <c r="IZ129" s="48">
        <f>IY129-'NOPA Crush'!J129</f>
        <v>2.5047121886267121E-2</v>
      </c>
      <c r="JB129" s="63">
        <f t="shared" si="3"/>
        <v>11.210454402130118</v>
      </c>
      <c r="JC129" s="64">
        <f>JB129-'NOPA Crush'!O129</f>
        <v>-9.5455978698826272E-3</v>
      </c>
      <c r="JD129" s="65"/>
      <c r="JE129" s="67">
        <f t="shared" si="4"/>
        <v>1715.923</v>
      </c>
      <c r="JF129" s="68">
        <f>'NOPA Crush'!Q129/'Census Crush'!JE129</f>
        <v>0.25296881037202718</v>
      </c>
    </row>
    <row r="130" spans="1:266">
      <c r="A130" s="39">
        <v>32994</v>
      </c>
      <c r="B130" s="49">
        <v>2801.9</v>
      </c>
      <c r="C130" s="50">
        <v>2026.3</v>
      </c>
      <c r="D130" s="50">
        <v>201.5</v>
      </c>
      <c r="E130" s="50">
        <v>783.9</v>
      </c>
      <c r="F130" s="50">
        <v>29.8</v>
      </c>
      <c r="G130" s="50">
        <v>33</v>
      </c>
      <c r="H130" s="50" t="s">
        <v>264</v>
      </c>
      <c r="I130" s="50" t="s">
        <v>264</v>
      </c>
      <c r="J130" s="50" t="s">
        <v>264</v>
      </c>
      <c r="K130" s="49">
        <v>1050.0999999999999</v>
      </c>
      <c r="L130" s="49">
        <v>1550.8810000000001</v>
      </c>
      <c r="M130" s="49">
        <v>1352.171</v>
      </c>
      <c r="N130" s="49">
        <v>198.71</v>
      </c>
      <c r="O130" s="50">
        <v>68.8</v>
      </c>
      <c r="P130" s="51">
        <v>156.1</v>
      </c>
      <c r="Q130" s="49">
        <v>43.6</v>
      </c>
      <c r="R130" s="49">
        <v>112.5</v>
      </c>
      <c r="S130" s="49"/>
      <c r="T130" s="49">
        <v>24.9</v>
      </c>
      <c r="U130" s="51">
        <v>21.2</v>
      </c>
      <c r="V130" s="49">
        <v>18.3</v>
      </c>
      <c r="W130" s="49">
        <v>2.9</v>
      </c>
      <c r="X130" s="49">
        <v>27.2</v>
      </c>
      <c r="Y130" s="49">
        <v>9.6</v>
      </c>
      <c r="Z130" s="49"/>
      <c r="AA130" s="50" t="s">
        <v>264</v>
      </c>
      <c r="AB130" s="50" t="s">
        <v>264</v>
      </c>
      <c r="AC130" s="50" t="s">
        <v>264</v>
      </c>
      <c r="AD130" s="50">
        <v>7</v>
      </c>
      <c r="AE130" s="50"/>
      <c r="AF130" s="51"/>
      <c r="AG130" s="50" t="s">
        <v>264</v>
      </c>
      <c r="AH130" s="49">
        <v>17.600000000000001</v>
      </c>
      <c r="AI130" s="49">
        <v>115.5</v>
      </c>
      <c r="AJ130" s="49"/>
      <c r="AK130" s="49"/>
      <c r="AL130" s="51">
        <v>88.2</v>
      </c>
      <c r="AM130" s="49">
        <v>59.4</v>
      </c>
      <c r="AN130" s="50">
        <v>28.8</v>
      </c>
      <c r="AO130" s="49">
        <v>2107.3000000000002</v>
      </c>
      <c r="AP130" s="49">
        <v>221.2</v>
      </c>
      <c r="AQ130" s="49">
        <v>117</v>
      </c>
      <c r="AR130" s="49">
        <v>31.3</v>
      </c>
      <c r="AS130" s="50">
        <v>90.7</v>
      </c>
      <c r="AT130" s="50">
        <v>93.7</v>
      </c>
      <c r="AU130" s="50">
        <v>51.9</v>
      </c>
      <c r="AV130" s="50">
        <v>42.9</v>
      </c>
      <c r="AW130" s="50">
        <v>15.9</v>
      </c>
      <c r="AX130" s="50">
        <v>8.6</v>
      </c>
      <c r="AY130" s="50">
        <v>17.399999999999999</v>
      </c>
      <c r="AZ130" s="50" t="s">
        <v>264</v>
      </c>
      <c r="BA130" s="50" t="s">
        <v>264</v>
      </c>
      <c r="BB130" s="50" t="s">
        <v>264</v>
      </c>
      <c r="BC130" s="50"/>
      <c r="BD130" s="52">
        <v>115.9</v>
      </c>
      <c r="BE130" s="52">
        <v>38.1</v>
      </c>
      <c r="BF130" s="52"/>
      <c r="BG130" s="52"/>
      <c r="BH130" s="52">
        <v>338.2</v>
      </c>
      <c r="BI130" s="52"/>
      <c r="BJ130" s="52"/>
      <c r="BK130" s="52">
        <v>177.3</v>
      </c>
      <c r="BL130" s="52">
        <v>4.5</v>
      </c>
      <c r="BM130" s="52">
        <v>520</v>
      </c>
      <c r="BN130" s="52">
        <v>245.1</v>
      </c>
      <c r="BO130" s="52"/>
      <c r="BP130" s="52"/>
      <c r="BQ130" s="52">
        <v>67.2</v>
      </c>
      <c r="BR130" s="52">
        <v>4.4000000000000004</v>
      </c>
      <c r="BS130" s="53">
        <v>316.7</v>
      </c>
      <c r="BT130" s="52" t="s">
        <v>264</v>
      </c>
      <c r="BU130" s="52">
        <v>27.4</v>
      </c>
      <c r="BV130" s="50">
        <v>349.1</v>
      </c>
      <c r="BW130" s="50">
        <v>123.7</v>
      </c>
      <c r="BX130" s="49">
        <v>477.7</v>
      </c>
      <c r="BY130" s="50">
        <v>42</v>
      </c>
      <c r="BZ130" s="50">
        <v>19.600000000000001</v>
      </c>
      <c r="CA130" s="49">
        <v>61.6</v>
      </c>
      <c r="CB130" s="52"/>
      <c r="CC130" s="52"/>
      <c r="CD130" s="52"/>
      <c r="CE130" s="52"/>
      <c r="CF130" s="52">
        <v>126.7</v>
      </c>
      <c r="CG130" s="53">
        <v>106.9</v>
      </c>
      <c r="CH130" s="52">
        <v>17.2</v>
      </c>
      <c r="CI130" s="52"/>
      <c r="CJ130" s="52"/>
      <c r="CK130" s="52"/>
      <c r="CL130" s="52"/>
      <c r="CM130" s="52"/>
      <c r="CN130" s="52">
        <v>43.9</v>
      </c>
      <c r="CO130" s="52">
        <v>306.60000000000002</v>
      </c>
      <c r="CP130" s="52">
        <v>270.8</v>
      </c>
      <c r="CQ130" s="52">
        <v>35.799999999999997</v>
      </c>
      <c r="CR130" s="52" t="s">
        <v>264</v>
      </c>
      <c r="CS130" s="52">
        <v>36.799999999999997</v>
      </c>
      <c r="CT130" s="52">
        <v>16.5</v>
      </c>
      <c r="CU130" s="52">
        <v>20.3</v>
      </c>
      <c r="CV130" s="52">
        <v>44.099999999999994</v>
      </c>
      <c r="CW130" s="52">
        <v>22.7</v>
      </c>
      <c r="CX130" s="52">
        <v>21.4</v>
      </c>
      <c r="CY130" s="52" t="s">
        <v>264</v>
      </c>
      <c r="CZ130" s="52">
        <v>80.3</v>
      </c>
      <c r="DA130" s="52">
        <v>53.2</v>
      </c>
      <c r="DB130" s="52">
        <v>46.7</v>
      </c>
      <c r="DC130" s="52">
        <v>6.5</v>
      </c>
      <c r="DD130" s="52"/>
      <c r="DE130" s="52"/>
      <c r="DF130" s="53"/>
      <c r="DG130" s="53"/>
      <c r="DH130" s="53"/>
      <c r="DI130" s="53">
        <v>543.79999999999995</v>
      </c>
      <c r="DJ130" s="53">
        <v>197.2</v>
      </c>
      <c r="DK130" s="53">
        <v>492.9</v>
      </c>
      <c r="DL130" s="53">
        <v>142.30000000000001</v>
      </c>
      <c r="DM130" s="53">
        <v>206.2</v>
      </c>
      <c r="DN130" s="53"/>
      <c r="DO130" s="53">
        <v>169.9</v>
      </c>
      <c r="DP130" s="53">
        <v>147.9</v>
      </c>
      <c r="DQ130" s="53"/>
      <c r="DR130" s="53"/>
      <c r="DS130" s="53">
        <v>698.2</v>
      </c>
      <c r="DT130" s="53">
        <v>2801.9</v>
      </c>
      <c r="DU130" s="53">
        <v>-203.49999999999955</v>
      </c>
      <c r="DV130" s="53">
        <v>0</v>
      </c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2"/>
      <c r="FB130" s="52"/>
      <c r="FC130" s="52"/>
      <c r="FD130" s="52"/>
      <c r="FE130" s="52"/>
      <c r="FF130" s="52"/>
      <c r="FG130" s="52"/>
      <c r="FH130" s="52"/>
      <c r="FI130" s="52"/>
      <c r="FJ130" s="52"/>
      <c r="FK130" s="52"/>
      <c r="FL130" s="52"/>
      <c r="FM130" s="52"/>
      <c r="FN130" s="52"/>
      <c r="FO130" s="52"/>
      <c r="FP130" s="52"/>
      <c r="FQ130" s="52"/>
      <c r="FR130" s="52"/>
      <c r="FS130" s="52"/>
      <c r="FT130" s="52"/>
      <c r="FU130" s="52"/>
      <c r="FV130" s="52"/>
      <c r="FW130" s="52"/>
      <c r="FX130" s="52"/>
      <c r="FY130" s="52"/>
      <c r="FZ130" s="52"/>
      <c r="GA130" s="52"/>
      <c r="GB130" s="52"/>
      <c r="GC130" s="52"/>
      <c r="GD130" s="52"/>
      <c r="GE130" s="52"/>
      <c r="GF130" s="52"/>
      <c r="GG130" s="52"/>
      <c r="GH130" s="52"/>
      <c r="GI130" s="52"/>
      <c r="GJ130" s="52"/>
      <c r="GK130" s="52"/>
      <c r="GL130" s="52"/>
      <c r="GM130" s="52"/>
      <c r="GN130" s="52"/>
      <c r="GO130" s="52"/>
      <c r="GP130" s="52"/>
      <c r="GQ130" s="52"/>
      <c r="GR130" s="52"/>
      <c r="GS130" s="52"/>
      <c r="GT130" s="52"/>
      <c r="GU130" s="52"/>
      <c r="GV130" s="52"/>
      <c r="GW130" s="52"/>
      <c r="GX130" s="52"/>
      <c r="GY130" s="17"/>
      <c r="GZ130" s="52">
        <v>952.8</v>
      </c>
      <c r="HA130" s="52"/>
      <c r="HB130" s="17"/>
      <c r="HC130" s="17"/>
      <c r="HD130" s="17"/>
      <c r="HE130" s="17"/>
      <c r="HF130" s="52"/>
      <c r="HG130" s="52"/>
      <c r="HH130" s="52"/>
      <c r="HI130" s="52"/>
      <c r="HJ130" s="52"/>
      <c r="HK130" s="52"/>
      <c r="HL130" s="52"/>
      <c r="HM130" s="52"/>
      <c r="HN130" s="52"/>
      <c r="HO130" s="52"/>
      <c r="HP130" s="52"/>
      <c r="HQ130" s="52"/>
      <c r="HR130" s="52"/>
      <c r="HS130" s="52"/>
      <c r="HT130" s="52"/>
      <c r="HU130" s="52"/>
      <c r="HV130" s="52"/>
      <c r="HW130" s="52"/>
      <c r="HX130" s="52"/>
      <c r="HY130" s="52"/>
      <c r="HZ130" s="52"/>
      <c r="IA130" s="52"/>
      <c r="IB130" s="52"/>
      <c r="IC130" s="52"/>
      <c r="ID130" s="52"/>
      <c r="IE130" s="52"/>
      <c r="IF130" s="52"/>
      <c r="IG130" s="52"/>
      <c r="IH130" s="53"/>
      <c r="II130" s="53"/>
      <c r="IJ130" s="53"/>
      <c r="IK130" s="53"/>
      <c r="IL130" s="53"/>
      <c r="IM130" s="52"/>
      <c r="IN130" s="52">
        <v>74.8</v>
      </c>
      <c r="IY130" s="48">
        <f t="shared" si="5"/>
        <v>47.631250223062921</v>
      </c>
      <c r="IZ130" s="48">
        <f>IY130-'NOPA Crush'!J130</f>
        <v>0.12125022306292266</v>
      </c>
      <c r="JB130" s="63">
        <f t="shared" ref="JB130:JB193" si="6">K130/(B130/30)</f>
        <v>11.243441950105284</v>
      </c>
      <c r="JC130" s="64">
        <f>JB130-'NOPA Crush'!O130</f>
        <v>-5.6558049894716689E-2</v>
      </c>
      <c r="JD130" s="65"/>
      <c r="JE130" s="67">
        <f t="shared" si="4"/>
        <v>1550.8810000000001</v>
      </c>
      <c r="JF130" s="68">
        <f>'NOPA Crush'!Q130/'Census Crush'!JE130</f>
        <v>0.28218863987630255</v>
      </c>
    </row>
    <row r="131" spans="1:266">
      <c r="A131" s="39">
        <v>33025</v>
      </c>
      <c r="B131" s="49">
        <v>2759.8</v>
      </c>
      <c r="C131" s="50">
        <v>1863.2</v>
      </c>
      <c r="D131" s="50">
        <v>191.9</v>
      </c>
      <c r="E131" s="50">
        <v>515.79999999999995</v>
      </c>
      <c r="F131" s="50">
        <v>28.2</v>
      </c>
      <c r="G131" s="50">
        <v>41.1</v>
      </c>
      <c r="H131" s="50">
        <v>22.3</v>
      </c>
      <c r="I131" s="50" t="s">
        <v>264</v>
      </c>
      <c r="J131" s="50" t="s">
        <v>264</v>
      </c>
      <c r="K131" s="49">
        <v>1035.8</v>
      </c>
      <c r="L131" s="49">
        <v>1421.7470000000001</v>
      </c>
      <c r="M131" s="49">
        <v>1216.951</v>
      </c>
      <c r="N131" s="49">
        <v>204.79599999999999</v>
      </c>
      <c r="O131" s="50">
        <v>66.099999999999994</v>
      </c>
      <c r="P131" s="51">
        <v>135.6</v>
      </c>
      <c r="Q131" s="49">
        <v>39</v>
      </c>
      <c r="R131" s="49">
        <v>96.6</v>
      </c>
      <c r="S131" s="49"/>
      <c r="T131" s="49">
        <v>24.1</v>
      </c>
      <c r="U131" s="51">
        <v>23.9</v>
      </c>
      <c r="V131" s="49">
        <v>20.5</v>
      </c>
      <c r="W131" s="49">
        <v>3.4</v>
      </c>
      <c r="X131" s="49">
        <v>33.9</v>
      </c>
      <c r="Y131" s="49">
        <v>7.6</v>
      </c>
      <c r="Z131" s="49"/>
      <c r="AA131" s="50" t="s">
        <v>264</v>
      </c>
      <c r="AB131" s="50" t="s">
        <v>264</v>
      </c>
      <c r="AC131" s="50" t="s">
        <v>264</v>
      </c>
      <c r="AD131" s="50">
        <v>5</v>
      </c>
      <c r="AE131" s="50"/>
      <c r="AF131" s="51"/>
      <c r="AG131" s="50" t="s">
        <v>264</v>
      </c>
      <c r="AH131" s="49">
        <v>20</v>
      </c>
      <c r="AI131" s="49">
        <v>140.69999999999999</v>
      </c>
      <c r="AJ131" s="49"/>
      <c r="AK131" s="49"/>
      <c r="AL131" s="51">
        <v>92</v>
      </c>
      <c r="AM131" s="49">
        <v>52.9</v>
      </c>
      <c r="AN131" s="49">
        <v>39.1</v>
      </c>
      <c r="AO131" s="49">
        <v>2061.3000000000002</v>
      </c>
      <c r="AP131" s="49">
        <v>219.6</v>
      </c>
      <c r="AQ131" s="49">
        <v>122.2</v>
      </c>
      <c r="AR131" s="49">
        <v>42.9</v>
      </c>
      <c r="AS131" s="50">
        <v>86.6</v>
      </c>
      <c r="AT131" s="50">
        <v>85.4</v>
      </c>
      <c r="AU131" s="50">
        <v>49.1</v>
      </c>
      <c r="AV131" s="50">
        <v>34.200000000000003</v>
      </c>
      <c r="AW131" s="50">
        <v>15.4</v>
      </c>
      <c r="AX131" s="50">
        <v>11.3</v>
      </c>
      <c r="AY131" s="50">
        <v>20.5</v>
      </c>
      <c r="AZ131" s="50">
        <v>7.1</v>
      </c>
      <c r="BA131" s="50" t="s">
        <v>264</v>
      </c>
      <c r="BB131" s="50" t="s">
        <v>264</v>
      </c>
      <c r="BC131" s="50"/>
      <c r="BD131" s="52">
        <v>101.1</v>
      </c>
      <c r="BE131" s="52">
        <v>40.200000000000003</v>
      </c>
      <c r="BF131" s="52"/>
      <c r="BG131" s="52"/>
      <c r="BH131" s="52">
        <v>294.7</v>
      </c>
      <c r="BI131" s="52"/>
      <c r="BJ131" s="52"/>
      <c r="BK131" s="52">
        <v>171.3</v>
      </c>
      <c r="BL131" s="52">
        <v>4.5</v>
      </c>
      <c r="BM131" s="52">
        <v>470.5</v>
      </c>
      <c r="BN131" s="52">
        <v>254.9</v>
      </c>
      <c r="BO131" s="52"/>
      <c r="BP131" s="52"/>
      <c r="BQ131" s="52">
        <v>69.5</v>
      </c>
      <c r="BR131" s="52">
        <v>4.5999999999999996</v>
      </c>
      <c r="BS131" s="53">
        <v>329</v>
      </c>
      <c r="BT131" s="52" t="s">
        <v>264</v>
      </c>
      <c r="BU131" s="52">
        <v>25.2</v>
      </c>
      <c r="BV131" s="50">
        <v>319.5</v>
      </c>
      <c r="BW131" s="50">
        <v>108.7</v>
      </c>
      <c r="BX131" s="49">
        <v>432.9</v>
      </c>
      <c r="BY131" s="50">
        <v>44.6</v>
      </c>
      <c r="BZ131" s="50">
        <v>23.3</v>
      </c>
      <c r="CA131" s="49">
        <v>67.900000000000006</v>
      </c>
      <c r="CB131" s="52"/>
      <c r="CC131" s="52"/>
      <c r="CD131" s="52"/>
      <c r="CE131" s="52"/>
      <c r="CF131" s="52">
        <v>122.1</v>
      </c>
      <c r="CG131" s="53">
        <v>102.5</v>
      </c>
      <c r="CH131" s="52">
        <v>17.2</v>
      </c>
      <c r="CI131" s="52"/>
      <c r="CJ131" s="52"/>
      <c r="CK131" s="52"/>
      <c r="CL131" s="52"/>
      <c r="CM131" s="52"/>
      <c r="CN131" s="52">
        <v>54.3</v>
      </c>
      <c r="CO131" s="52">
        <v>292.2</v>
      </c>
      <c r="CP131" s="52">
        <v>253</v>
      </c>
      <c r="CQ131" s="52">
        <v>39.200000000000003</v>
      </c>
      <c r="CR131" s="52" t="s">
        <v>264</v>
      </c>
      <c r="CS131" s="52">
        <v>28.2</v>
      </c>
      <c r="CT131" s="52">
        <v>16.5</v>
      </c>
      <c r="CU131" s="52">
        <v>11.7</v>
      </c>
      <c r="CV131" s="52">
        <v>44.099999999999994</v>
      </c>
      <c r="CW131" s="52">
        <v>17.2</v>
      </c>
      <c r="CX131" s="52">
        <v>26.9</v>
      </c>
      <c r="CY131" s="52" t="s">
        <v>264</v>
      </c>
      <c r="CZ131" s="52">
        <v>107.6</v>
      </c>
      <c r="DA131" s="52">
        <v>57.8</v>
      </c>
      <c r="DB131" s="52">
        <v>53.9</v>
      </c>
      <c r="DC131" s="52">
        <v>3.9</v>
      </c>
      <c r="DD131" s="52"/>
      <c r="DE131" s="52"/>
      <c r="DF131" s="53"/>
      <c r="DG131" s="53"/>
      <c r="DH131" s="53"/>
      <c r="DI131" s="53">
        <v>516.1</v>
      </c>
      <c r="DJ131" s="53">
        <v>182.7</v>
      </c>
      <c r="DK131" s="53">
        <v>500.3</v>
      </c>
      <c r="DL131" s="53">
        <v>134.69999999999999</v>
      </c>
      <c r="DM131" s="53">
        <v>218.3</v>
      </c>
      <c r="DN131" s="53"/>
      <c r="DO131" s="53">
        <v>156.1</v>
      </c>
      <c r="DP131" s="53">
        <v>189.1</v>
      </c>
      <c r="DQ131" s="53"/>
      <c r="DR131" s="53"/>
      <c r="DS131" s="53">
        <v>660.1</v>
      </c>
      <c r="DT131" s="53">
        <v>2758.8</v>
      </c>
      <c r="DU131" s="53">
        <v>-201.40000000000055</v>
      </c>
      <c r="DV131" s="53">
        <v>-1</v>
      </c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  <c r="FB131" s="52"/>
      <c r="FC131" s="52"/>
      <c r="FD131" s="52"/>
      <c r="FE131" s="52"/>
      <c r="FF131" s="52"/>
      <c r="FG131" s="52"/>
      <c r="FH131" s="52"/>
      <c r="FI131" s="52"/>
      <c r="FJ131" s="52"/>
      <c r="FK131" s="52"/>
      <c r="FL131" s="52"/>
      <c r="FM131" s="52"/>
      <c r="FN131" s="52"/>
      <c r="FO131" s="52"/>
      <c r="FP131" s="52"/>
      <c r="FQ131" s="52"/>
      <c r="FR131" s="52"/>
      <c r="FS131" s="52"/>
      <c r="FT131" s="52"/>
      <c r="FU131" s="52"/>
      <c r="FV131" s="52"/>
      <c r="FW131" s="52"/>
      <c r="FX131" s="52"/>
      <c r="FY131" s="52"/>
      <c r="FZ131" s="52"/>
      <c r="GA131" s="52"/>
      <c r="GB131" s="52"/>
      <c r="GC131" s="52"/>
      <c r="GD131" s="52"/>
      <c r="GE131" s="52"/>
      <c r="GF131" s="52"/>
      <c r="GG131" s="52"/>
      <c r="GH131" s="52"/>
      <c r="GI131" s="52"/>
      <c r="GJ131" s="52"/>
      <c r="GK131" s="52"/>
      <c r="GL131" s="52"/>
      <c r="GM131" s="52"/>
      <c r="GN131" s="52"/>
      <c r="GO131" s="52"/>
      <c r="GP131" s="52"/>
      <c r="GQ131" s="52"/>
      <c r="GR131" s="52"/>
      <c r="GS131" s="52"/>
      <c r="GT131" s="52"/>
      <c r="GU131" s="52"/>
      <c r="GV131" s="52"/>
      <c r="GW131" s="52"/>
      <c r="GX131" s="52"/>
      <c r="GY131" s="17"/>
      <c r="GZ131" s="52">
        <v>915.1</v>
      </c>
      <c r="HA131" s="52"/>
      <c r="HB131" s="17"/>
      <c r="HC131" s="17"/>
      <c r="HD131" s="17"/>
      <c r="HE131" s="17"/>
      <c r="HF131" s="52"/>
      <c r="HG131" s="52"/>
      <c r="HH131" s="52"/>
      <c r="HI131" s="52"/>
      <c r="HJ131" s="52"/>
      <c r="HK131" s="52"/>
      <c r="HL131" s="52"/>
      <c r="HM131" s="52"/>
      <c r="HN131" s="52"/>
      <c r="HO131" s="52"/>
      <c r="HP131" s="52"/>
      <c r="HQ131" s="52"/>
      <c r="HR131" s="52"/>
      <c r="HS131" s="52"/>
      <c r="HT131" s="52"/>
      <c r="HU131" s="52"/>
      <c r="HV131" s="52"/>
      <c r="HW131" s="52"/>
      <c r="HX131" s="52"/>
      <c r="HY131" s="52"/>
      <c r="HZ131" s="52"/>
      <c r="IA131" s="52"/>
      <c r="IB131" s="52"/>
      <c r="IC131" s="52"/>
      <c r="ID131" s="52"/>
      <c r="IE131" s="52"/>
      <c r="IF131" s="52"/>
      <c r="IG131" s="52"/>
      <c r="IH131" s="53"/>
      <c r="II131" s="53"/>
      <c r="IJ131" s="53"/>
      <c r="IK131" s="53"/>
      <c r="IL131" s="53"/>
      <c r="IM131" s="52"/>
      <c r="IN131" s="52">
        <v>65</v>
      </c>
      <c r="IY131" s="48">
        <f t="shared" si="5"/>
        <v>47.470831219653597</v>
      </c>
      <c r="IZ131" s="48">
        <f>IY131-'NOPA Crush'!J131</f>
        <v>7.0831219653598509E-2</v>
      </c>
      <c r="JB131" s="63">
        <f t="shared" si="6"/>
        <v>11.259511558808608</v>
      </c>
      <c r="JC131" s="64">
        <f>JB131-'NOPA Crush'!O131</f>
        <v>-5.0488441191392397E-2</v>
      </c>
      <c r="JD131" s="65"/>
      <c r="JE131" s="67">
        <f t="shared" ref="JE131:JE194" si="7">L131</f>
        <v>1421.7470000000001</v>
      </c>
      <c r="JF131" s="68">
        <f>'NOPA Crush'!Q131/'Census Crush'!JE131</f>
        <v>0.29245569007706712</v>
      </c>
    </row>
    <row r="132" spans="1:266">
      <c r="A132" s="39">
        <v>33055</v>
      </c>
      <c r="B132" s="49">
        <v>2766</v>
      </c>
      <c r="C132" s="50">
        <v>1413.5</v>
      </c>
      <c r="D132" s="50">
        <v>130.9</v>
      </c>
      <c r="E132" s="50">
        <v>366.4</v>
      </c>
      <c r="F132" s="50">
        <v>16.899999999999999</v>
      </c>
      <c r="G132" s="50">
        <v>30.2</v>
      </c>
      <c r="H132" s="50">
        <v>10.7</v>
      </c>
      <c r="I132" s="50" t="s">
        <v>264</v>
      </c>
      <c r="J132" s="50" t="s">
        <v>264</v>
      </c>
      <c r="K132" s="49">
        <v>1038</v>
      </c>
      <c r="L132" s="49">
        <v>1433.241</v>
      </c>
      <c r="M132" s="49">
        <v>1197.0239999999999</v>
      </c>
      <c r="N132" s="49">
        <v>236.21700000000001</v>
      </c>
      <c r="O132" s="50">
        <v>40.6</v>
      </c>
      <c r="P132" s="51">
        <v>111.80000000000001</v>
      </c>
      <c r="Q132" s="49">
        <v>24.9</v>
      </c>
      <c r="R132" s="49">
        <v>86.9</v>
      </c>
      <c r="S132" s="49"/>
      <c r="T132" s="49">
        <v>14</v>
      </c>
      <c r="U132" s="51">
        <v>24.2</v>
      </c>
      <c r="V132" s="49">
        <v>20.5</v>
      </c>
      <c r="W132" s="49">
        <v>3.7</v>
      </c>
      <c r="X132" s="49">
        <v>25</v>
      </c>
      <c r="Y132" s="49">
        <v>7.1</v>
      </c>
      <c r="Z132" s="49"/>
      <c r="AA132" s="50" t="s">
        <v>264</v>
      </c>
      <c r="AB132" s="50" t="s">
        <v>264</v>
      </c>
      <c r="AC132" s="50" t="s">
        <v>264</v>
      </c>
      <c r="AD132" s="50">
        <v>7</v>
      </c>
      <c r="AE132" s="50"/>
      <c r="AF132" s="51"/>
      <c r="AG132" s="50" t="s">
        <v>264</v>
      </c>
      <c r="AH132" s="49">
        <v>17.7</v>
      </c>
      <c r="AI132" s="49">
        <v>150.4</v>
      </c>
      <c r="AJ132" s="49"/>
      <c r="AK132" s="49"/>
      <c r="AL132" s="51">
        <v>101.1</v>
      </c>
      <c r="AM132" s="49">
        <v>61.9</v>
      </c>
      <c r="AN132" s="49">
        <v>39.200000000000003</v>
      </c>
      <c r="AO132" s="49">
        <v>2072.5</v>
      </c>
      <c r="AP132" s="49">
        <v>216.1</v>
      </c>
      <c r="AQ132" s="49">
        <v>124.1</v>
      </c>
      <c r="AR132" s="49">
        <v>51.6</v>
      </c>
      <c r="AS132" s="50">
        <v>56.6</v>
      </c>
      <c r="AT132" s="50">
        <v>56.4</v>
      </c>
      <c r="AU132" s="50">
        <v>33.5</v>
      </c>
      <c r="AV132" s="50">
        <v>23.8</v>
      </c>
      <c r="AW132" s="50">
        <v>9.6999999999999993</v>
      </c>
      <c r="AX132" s="50">
        <v>6.8</v>
      </c>
      <c r="AY132" s="50">
        <v>15.1</v>
      </c>
      <c r="AZ132" s="50" t="s">
        <v>264</v>
      </c>
      <c r="BA132" s="50" t="s">
        <v>264</v>
      </c>
      <c r="BB132" s="50" t="s">
        <v>264</v>
      </c>
      <c r="BC132" s="50"/>
      <c r="BD132" s="52">
        <v>101.4</v>
      </c>
      <c r="BE132" s="52">
        <v>39.799999999999997</v>
      </c>
      <c r="BF132" s="52"/>
      <c r="BG132" s="52"/>
      <c r="BH132" s="52">
        <v>278.39999999999998</v>
      </c>
      <c r="BI132" s="52"/>
      <c r="BJ132" s="52"/>
      <c r="BK132" s="52">
        <v>161.6</v>
      </c>
      <c r="BL132" s="52">
        <v>4.4000000000000004</v>
      </c>
      <c r="BM132" s="52">
        <v>444.4</v>
      </c>
      <c r="BN132" s="52">
        <v>265.60000000000002</v>
      </c>
      <c r="BO132" s="52"/>
      <c r="BP132" s="52"/>
      <c r="BQ132" s="52">
        <v>68.3</v>
      </c>
      <c r="BR132" s="52">
        <v>5.0999999999999996</v>
      </c>
      <c r="BS132" s="53">
        <v>339.00000000000006</v>
      </c>
      <c r="BT132" s="52" t="s">
        <v>264</v>
      </c>
      <c r="BU132" s="52">
        <v>25.9</v>
      </c>
      <c r="BV132" s="50">
        <v>319.8</v>
      </c>
      <c r="BW132" s="50">
        <v>105</v>
      </c>
      <c r="BX132" s="49">
        <v>429.6</v>
      </c>
      <c r="BY132" s="50">
        <v>44.7</v>
      </c>
      <c r="BZ132" s="50">
        <v>21.1</v>
      </c>
      <c r="CA132" s="49">
        <v>65.800000000000011</v>
      </c>
      <c r="CB132" s="52"/>
      <c r="CC132" s="52"/>
      <c r="CD132" s="52"/>
      <c r="CE132" s="52"/>
      <c r="CF132" s="52">
        <v>118</v>
      </c>
      <c r="CG132" s="53">
        <v>108.3</v>
      </c>
      <c r="CH132" s="52">
        <v>18</v>
      </c>
      <c r="CI132" s="52"/>
      <c r="CJ132" s="52"/>
      <c r="CK132" s="52"/>
      <c r="CL132" s="52"/>
      <c r="CM132" s="52"/>
      <c r="CN132" s="52">
        <v>43.5</v>
      </c>
      <c r="CO132" s="52">
        <v>264.3</v>
      </c>
      <c r="CP132" s="52">
        <v>228.4</v>
      </c>
      <c r="CQ132" s="52">
        <v>35.9</v>
      </c>
      <c r="CR132" s="52" t="s">
        <v>264</v>
      </c>
      <c r="CS132" s="52">
        <v>21.9</v>
      </c>
      <c r="CT132" s="52">
        <v>11.8</v>
      </c>
      <c r="CU132" s="52">
        <v>10.1</v>
      </c>
      <c r="CV132" s="52">
        <v>33.299999999999997</v>
      </c>
      <c r="CW132" s="52">
        <v>8.9</v>
      </c>
      <c r="CX132" s="52">
        <v>24.4</v>
      </c>
      <c r="CY132" s="52" t="s">
        <v>264</v>
      </c>
      <c r="CZ132" s="52">
        <v>81.3</v>
      </c>
      <c r="DA132" s="52">
        <v>55.5</v>
      </c>
      <c r="DB132" s="52">
        <v>51.8</v>
      </c>
      <c r="DC132" s="52">
        <v>3.7</v>
      </c>
      <c r="DD132" s="52"/>
      <c r="DE132" s="52"/>
      <c r="DF132" s="53"/>
      <c r="DG132" s="53"/>
      <c r="DH132" s="53"/>
      <c r="DI132" s="53">
        <v>565.1</v>
      </c>
      <c r="DJ132" s="53">
        <v>193.9</v>
      </c>
      <c r="DK132" s="53">
        <v>489</v>
      </c>
      <c r="DL132" s="53">
        <v>136.30000000000001</v>
      </c>
      <c r="DM132" s="53">
        <v>188.4</v>
      </c>
      <c r="DN132" s="53"/>
      <c r="DO132" s="53">
        <v>140</v>
      </c>
      <c r="DP132" s="53">
        <v>194.9</v>
      </c>
      <c r="DQ132" s="53"/>
      <c r="DR132" s="53"/>
      <c r="DS132" s="53">
        <v>613.79999999999995</v>
      </c>
      <c r="DT132" s="53">
        <v>2766</v>
      </c>
      <c r="DU132" s="53">
        <v>-244.59999999999991</v>
      </c>
      <c r="DV132" s="53">
        <v>0</v>
      </c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2"/>
      <c r="FB132" s="52"/>
      <c r="FC132" s="52"/>
      <c r="FD132" s="52"/>
      <c r="FE132" s="52"/>
      <c r="FF132" s="52"/>
      <c r="FG132" s="52"/>
      <c r="FH132" s="52"/>
      <c r="FI132" s="52"/>
      <c r="FJ132" s="52"/>
      <c r="FK132" s="52"/>
      <c r="FL132" s="52"/>
      <c r="FM132" s="52"/>
      <c r="FN132" s="52"/>
      <c r="FO132" s="52"/>
      <c r="FP132" s="52"/>
      <c r="FQ132" s="52"/>
      <c r="FR132" s="52"/>
      <c r="FS132" s="52"/>
      <c r="FT132" s="52"/>
      <c r="FU132" s="52"/>
      <c r="FV132" s="52"/>
      <c r="FW132" s="52"/>
      <c r="FX132" s="52"/>
      <c r="FY132" s="52"/>
      <c r="FZ132" s="52"/>
      <c r="GA132" s="52"/>
      <c r="GB132" s="52"/>
      <c r="GC132" s="52"/>
      <c r="GD132" s="52"/>
      <c r="GE132" s="52"/>
      <c r="GF132" s="52"/>
      <c r="GG132" s="52"/>
      <c r="GH132" s="52"/>
      <c r="GI132" s="52"/>
      <c r="GJ132" s="52"/>
      <c r="GK132" s="52"/>
      <c r="GL132" s="52"/>
      <c r="GM132" s="52"/>
      <c r="GN132" s="52"/>
      <c r="GO132" s="52"/>
      <c r="GP132" s="52"/>
      <c r="GQ132" s="52"/>
      <c r="GR132" s="52"/>
      <c r="GS132" s="52"/>
      <c r="GT132" s="52"/>
      <c r="GU132" s="52"/>
      <c r="GV132" s="52"/>
      <c r="GW132" s="52"/>
      <c r="GX132" s="52"/>
      <c r="GY132" s="17"/>
      <c r="GZ132" s="52">
        <v>903.7</v>
      </c>
      <c r="HA132" s="52"/>
      <c r="HB132" s="17"/>
      <c r="HC132" s="17"/>
      <c r="HD132" s="17"/>
      <c r="HE132" s="17"/>
      <c r="HF132" s="52"/>
      <c r="HG132" s="52"/>
      <c r="HH132" s="52"/>
      <c r="HI132" s="52"/>
      <c r="HJ132" s="52"/>
      <c r="HK132" s="52"/>
      <c r="HL132" s="52"/>
      <c r="HM132" s="52"/>
      <c r="HN132" s="52"/>
      <c r="HO132" s="52"/>
      <c r="HP132" s="52"/>
      <c r="HQ132" s="52"/>
      <c r="HR132" s="52"/>
      <c r="HS132" s="52"/>
      <c r="HT132" s="52"/>
      <c r="HU132" s="52"/>
      <c r="HV132" s="52"/>
      <c r="HW132" s="52"/>
      <c r="HX132" s="52"/>
      <c r="HY132" s="52"/>
      <c r="HZ132" s="52"/>
      <c r="IA132" s="52"/>
      <c r="IB132" s="52"/>
      <c r="IC132" s="52"/>
      <c r="ID132" s="52"/>
      <c r="IE132" s="52"/>
      <c r="IF132" s="52"/>
      <c r="IG132" s="52"/>
      <c r="IH132" s="53"/>
      <c r="II132" s="53"/>
      <c r="IJ132" s="53"/>
      <c r="IK132" s="53"/>
      <c r="IL132" s="53"/>
      <c r="IM132" s="52"/>
      <c r="IN132" s="52">
        <v>50.8</v>
      </c>
      <c r="IY132" s="48">
        <f t="shared" ref="IY132:IY195" si="8">((AO132+AQ132)*2)/(B132/30)</f>
        <v>47.648590021691973</v>
      </c>
      <c r="IZ132" s="48">
        <f>IY132-'NOPA Crush'!J132</f>
        <v>-9.1409978308028883E-2</v>
      </c>
      <c r="JB132" s="63">
        <f t="shared" si="6"/>
        <v>11.258134490238611</v>
      </c>
      <c r="JC132" s="64">
        <f>JB132-'NOPA Crush'!O132</f>
        <v>-5.1865509761389816E-2</v>
      </c>
      <c r="JD132" s="65"/>
      <c r="JE132" s="67">
        <f t="shared" si="7"/>
        <v>1433.241</v>
      </c>
      <c r="JF132" s="68">
        <f>'NOPA Crush'!Q132/'Census Crush'!JE132</f>
        <v>0.28712337980842023</v>
      </c>
    </row>
    <row r="133" spans="1:266">
      <c r="A133" s="39">
        <v>33086</v>
      </c>
      <c r="B133" s="49">
        <v>2826.9</v>
      </c>
      <c r="C133" s="50">
        <v>1312.8</v>
      </c>
      <c r="D133" s="50">
        <v>157.30000000000001</v>
      </c>
      <c r="E133" s="50">
        <v>308.2</v>
      </c>
      <c r="F133" s="50">
        <v>10.5</v>
      </c>
      <c r="G133" s="50">
        <v>8.1999999999999993</v>
      </c>
      <c r="H133" s="50">
        <v>5.0999999999999996</v>
      </c>
      <c r="I133" s="50" t="s">
        <v>264</v>
      </c>
      <c r="J133" s="50" t="s">
        <v>264</v>
      </c>
      <c r="K133" s="49">
        <v>1059.2</v>
      </c>
      <c r="L133" s="49">
        <v>1380.18</v>
      </c>
      <c r="M133" s="49">
        <v>1153.365</v>
      </c>
      <c r="N133" s="49">
        <v>226.815</v>
      </c>
      <c r="O133" s="50">
        <v>48.2</v>
      </c>
      <c r="P133" s="51">
        <v>75.900000000000006</v>
      </c>
      <c r="Q133" s="49">
        <v>18.2</v>
      </c>
      <c r="R133" s="49">
        <v>57.7</v>
      </c>
      <c r="S133" s="49"/>
      <c r="T133" s="49">
        <v>8.5</v>
      </c>
      <c r="U133" s="51">
        <v>17</v>
      </c>
      <c r="V133" s="49">
        <v>12.8</v>
      </c>
      <c r="W133" s="49">
        <v>4.2</v>
      </c>
      <c r="X133" s="49">
        <v>6.6</v>
      </c>
      <c r="Y133" s="49">
        <v>9.5</v>
      </c>
      <c r="Z133" s="49"/>
      <c r="AA133" s="50" t="s">
        <v>264</v>
      </c>
      <c r="AB133" s="50" t="s">
        <v>264</v>
      </c>
      <c r="AC133" s="50" t="s">
        <v>264</v>
      </c>
      <c r="AD133" s="50">
        <v>9.4</v>
      </c>
      <c r="AE133" s="50"/>
      <c r="AF133" s="51"/>
      <c r="AG133" s="50" t="s">
        <v>264</v>
      </c>
      <c r="AH133" s="49">
        <v>30.4</v>
      </c>
      <c r="AI133" s="49">
        <v>145.19999999999999</v>
      </c>
      <c r="AJ133" s="49"/>
      <c r="AK133" s="49"/>
      <c r="AL133" s="51">
        <v>131.19999999999999</v>
      </c>
      <c r="AM133" s="49">
        <v>90.7</v>
      </c>
      <c r="AN133" s="49">
        <v>40.5</v>
      </c>
      <c r="AO133" s="49">
        <v>2110.8000000000002</v>
      </c>
      <c r="AP133" s="49">
        <v>194.2</v>
      </c>
      <c r="AQ133" s="49">
        <v>126.3</v>
      </c>
      <c r="AR133" s="49">
        <v>37.799999999999997</v>
      </c>
      <c r="AS133" s="50">
        <v>68.7</v>
      </c>
      <c r="AT133" s="50">
        <v>42.8</v>
      </c>
      <c r="AU133" s="50">
        <v>41.3</v>
      </c>
      <c r="AV133" s="50">
        <v>20.5</v>
      </c>
      <c r="AW133" s="50">
        <v>5.6</v>
      </c>
      <c r="AX133" s="50">
        <v>4.8</v>
      </c>
      <c r="AY133" s="50">
        <v>4.5</v>
      </c>
      <c r="AZ133" s="50" t="s">
        <v>264</v>
      </c>
      <c r="BA133" s="50" t="s">
        <v>264</v>
      </c>
      <c r="BB133" s="50" t="s">
        <v>264</v>
      </c>
      <c r="BC133" s="50"/>
      <c r="BD133" s="52">
        <v>109.6</v>
      </c>
      <c r="BE133" s="52">
        <v>35.799999999999997</v>
      </c>
      <c r="BF133" s="52"/>
      <c r="BG133" s="52"/>
      <c r="BH133" s="52">
        <v>317.7</v>
      </c>
      <c r="BI133" s="52"/>
      <c r="BJ133" s="52"/>
      <c r="BK133" s="52">
        <v>174.7</v>
      </c>
      <c r="BL133" s="52">
        <v>4.5999999999999996</v>
      </c>
      <c r="BM133" s="52">
        <v>497</v>
      </c>
      <c r="BN133" s="52">
        <v>258.89999999999998</v>
      </c>
      <c r="BO133" s="52"/>
      <c r="BP133" s="52"/>
      <c r="BQ133" s="52">
        <v>80</v>
      </c>
      <c r="BR133" s="52">
        <v>4.5999999999999996</v>
      </c>
      <c r="BS133" s="53">
        <v>343.5</v>
      </c>
      <c r="BT133" s="52" t="s">
        <v>264</v>
      </c>
      <c r="BU133" s="52">
        <v>22.8</v>
      </c>
      <c r="BV133" s="50">
        <v>341.2</v>
      </c>
      <c r="BW133" s="50">
        <v>111.5</v>
      </c>
      <c r="BX133" s="49">
        <v>456.9</v>
      </c>
      <c r="BY133" s="50">
        <v>41.2</v>
      </c>
      <c r="BZ133" s="50">
        <v>16.7</v>
      </c>
      <c r="CA133" s="49">
        <v>57.900000000000006</v>
      </c>
      <c r="CB133" s="52"/>
      <c r="CC133" s="52"/>
      <c r="CD133" s="52"/>
      <c r="CE133" s="52"/>
      <c r="CF133" s="52">
        <v>120.6</v>
      </c>
      <c r="CG133" s="53">
        <v>104.8</v>
      </c>
      <c r="CH133" s="52">
        <v>15.7</v>
      </c>
      <c r="CI133" s="52"/>
      <c r="CJ133" s="52"/>
      <c r="CK133" s="52"/>
      <c r="CL133" s="52"/>
      <c r="CM133" s="52"/>
      <c r="CN133" s="52">
        <v>43</v>
      </c>
      <c r="CO133" s="52">
        <v>315.39999999999998</v>
      </c>
      <c r="CP133" s="52">
        <v>270.39999999999998</v>
      </c>
      <c r="CQ133" s="52">
        <v>45</v>
      </c>
      <c r="CR133" s="52" t="s">
        <v>264</v>
      </c>
      <c r="CS133" s="52">
        <v>17.2</v>
      </c>
      <c r="CT133" s="52">
        <v>8.5</v>
      </c>
      <c r="CU133" s="52">
        <v>8.6999999999999993</v>
      </c>
      <c r="CV133" s="52">
        <v>32.4</v>
      </c>
      <c r="CW133" s="52">
        <v>10.199999999999999</v>
      </c>
      <c r="CX133" s="52">
        <v>22.2</v>
      </c>
      <c r="CY133" s="52" t="s">
        <v>264</v>
      </c>
      <c r="CZ133" s="52">
        <v>98.7</v>
      </c>
      <c r="DA133" s="52">
        <v>41.7</v>
      </c>
      <c r="DB133" s="52">
        <v>39.1</v>
      </c>
      <c r="DC133" s="52">
        <v>2.6</v>
      </c>
      <c r="DD133" s="52"/>
      <c r="DE133" s="52"/>
      <c r="DF133" s="53"/>
      <c r="DG133" s="53"/>
      <c r="DH133" s="53"/>
      <c r="DI133" s="53">
        <v>483</v>
      </c>
      <c r="DJ133" s="53">
        <v>191.5</v>
      </c>
      <c r="DK133" s="53">
        <v>541.70000000000005</v>
      </c>
      <c r="DL133" s="53">
        <v>103.6</v>
      </c>
      <c r="DM133" s="53">
        <v>235.9</v>
      </c>
      <c r="DN133" s="53"/>
      <c r="DO133" s="53">
        <v>176.5</v>
      </c>
      <c r="DP133" s="53">
        <v>197.8</v>
      </c>
      <c r="DQ133" s="53"/>
      <c r="DR133" s="53"/>
      <c r="DS133" s="53">
        <v>636.5</v>
      </c>
      <c r="DT133" s="53">
        <v>2826.9</v>
      </c>
      <c r="DU133" s="53">
        <v>-260.40000000000009</v>
      </c>
      <c r="DV133" s="53">
        <v>0</v>
      </c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2"/>
      <c r="FB133" s="52"/>
      <c r="FC133" s="52"/>
      <c r="FD133" s="52"/>
      <c r="FE133" s="52"/>
      <c r="FF133" s="52"/>
      <c r="FG133" s="52"/>
      <c r="FH133" s="52"/>
      <c r="FI133" s="52"/>
      <c r="FJ133" s="52"/>
      <c r="FK133" s="52"/>
      <c r="FL133" s="52"/>
      <c r="FM133" s="52"/>
      <c r="FN133" s="52"/>
      <c r="FO133" s="52"/>
      <c r="FP133" s="52"/>
      <c r="FQ133" s="52"/>
      <c r="FR133" s="52"/>
      <c r="FS133" s="52"/>
      <c r="FT133" s="52"/>
      <c r="FU133" s="52"/>
      <c r="FV133" s="52"/>
      <c r="FW133" s="52"/>
      <c r="FX133" s="52"/>
      <c r="FY133" s="52"/>
      <c r="FZ133" s="52"/>
      <c r="GA133" s="52"/>
      <c r="GB133" s="52"/>
      <c r="GC133" s="52"/>
      <c r="GD133" s="52"/>
      <c r="GE133" s="52"/>
      <c r="GF133" s="52"/>
      <c r="GG133" s="52"/>
      <c r="GH133" s="52"/>
      <c r="GI133" s="52"/>
      <c r="GJ133" s="52"/>
      <c r="GK133" s="52"/>
      <c r="GL133" s="52"/>
      <c r="GM133" s="52"/>
      <c r="GN133" s="52"/>
      <c r="GO133" s="52"/>
      <c r="GP133" s="52"/>
      <c r="GQ133" s="52"/>
      <c r="GR133" s="52"/>
      <c r="GS133" s="52"/>
      <c r="GT133" s="52"/>
      <c r="GU133" s="52"/>
      <c r="GV133" s="52"/>
      <c r="GW133" s="52"/>
      <c r="GX133" s="52"/>
      <c r="GY133" s="17"/>
      <c r="GZ133" s="52">
        <v>931.1</v>
      </c>
      <c r="HA133" s="52"/>
      <c r="HB133" s="17"/>
      <c r="HC133" s="17"/>
      <c r="HD133" s="17"/>
      <c r="HE133" s="17"/>
      <c r="HF133" s="52"/>
      <c r="HG133" s="52"/>
      <c r="HH133" s="52"/>
      <c r="HI133" s="52"/>
      <c r="HJ133" s="52"/>
      <c r="HK133" s="52"/>
      <c r="HL133" s="52"/>
      <c r="HM133" s="52"/>
      <c r="HN133" s="52"/>
      <c r="HO133" s="52"/>
      <c r="HP133" s="52"/>
      <c r="HQ133" s="52"/>
      <c r="HR133" s="52"/>
      <c r="HS133" s="52"/>
      <c r="HT133" s="52"/>
      <c r="HU133" s="52"/>
      <c r="HV133" s="52"/>
      <c r="HW133" s="52"/>
      <c r="HX133" s="52"/>
      <c r="HY133" s="52"/>
      <c r="HZ133" s="52"/>
      <c r="IA133" s="52"/>
      <c r="IB133" s="52"/>
      <c r="IC133" s="52"/>
      <c r="ID133" s="52"/>
      <c r="IE133" s="52"/>
      <c r="IF133" s="52"/>
      <c r="IG133" s="52"/>
      <c r="IH133" s="53"/>
      <c r="II133" s="53"/>
      <c r="IJ133" s="53"/>
      <c r="IK133" s="53"/>
      <c r="IL133" s="53"/>
      <c r="IM133" s="52"/>
      <c r="IN133" s="52">
        <v>57.8</v>
      </c>
      <c r="IY133" s="48">
        <f t="shared" si="8"/>
        <v>47.48169372811207</v>
      </c>
      <c r="IZ133" s="48">
        <f>IY133-'NOPA Crush'!J133</f>
        <v>1.693728112073245E-3</v>
      </c>
      <c r="JB133" s="63">
        <f t="shared" si="6"/>
        <v>11.240581555767802</v>
      </c>
      <c r="JC133" s="64">
        <f>JB133-'NOPA Crush'!O133</f>
        <v>-0.18941844423219756</v>
      </c>
      <c r="JD133" s="65"/>
      <c r="JE133" s="67">
        <f t="shared" si="7"/>
        <v>1380.18</v>
      </c>
      <c r="JF133" s="68">
        <f>'NOPA Crush'!Q133/'Census Crush'!JE133</f>
        <v>0.32237099508759726</v>
      </c>
    </row>
    <row r="134" spans="1:266">
      <c r="A134" s="39">
        <v>33117</v>
      </c>
      <c r="B134" s="49">
        <v>2762</v>
      </c>
      <c r="C134" s="50">
        <v>1035.7</v>
      </c>
      <c r="D134" s="50">
        <v>176.1</v>
      </c>
      <c r="E134" s="50">
        <v>566.9</v>
      </c>
      <c r="F134" s="50">
        <v>2.5</v>
      </c>
      <c r="G134" s="50" t="s">
        <v>264</v>
      </c>
      <c r="H134" s="50">
        <v>3.8</v>
      </c>
      <c r="I134" s="50" t="s">
        <v>264</v>
      </c>
      <c r="J134" s="50" t="s">
        <v>264</v>
      </c>
      <c r="K134" s="49">
        <v>1038.0999999999999</v>
      </c>
      <c r="L134" s="49">
        <v>1305.0239999999999</v>
      </c>
      <c r="M134" s="49">
        <v>1096.3499999999999</v>
      </c>
      <c r="N134" s="49">
        <v>208.67400000000001</v>
      </c>
      <c r="O134" s="50">
        <v>57.6</v>
      </c>
      <c r="P134" s="51">
        <v>80.400000000000006</v>
      </c>
      <c r="Q134" s="49">
        <v>22.6</v>
      </c>
      <c r="R134" s="49">
        <v>57.8</v>
      </c>
      <c r="S134" s="49"/>
      <c r="T134" s="49">
        <v>2.1</v>
      </c>
      <c r="U134" s="51">
        <v>18</v>
      </c>
      <c r="V134" s="49">
        <v>14.4</v>
      </c>
      <c r="W134" s="49">
        <v>3.6</v>
      </c>
      <c r="X134" s="50" t="s">
        <v>264</v>
      </c>
      <c r="Y134" s="49">
        <v>7.4</v>
      </c>
      <c r="Z134" s="49"/>
      <c r="AA134" s="50" t="s">
        <v>264</v>
      </c>
      <c r="AB134" s="50" t="s">
        <v>264</v>
      </c>
      <c r="AC134" s="50" t="s">
        <v>264</v>
      </c>
      <c r="AD134" s="50">
        <v>9.3000000000000007</v>
      </c>
      <c r="AE134" s="50"/>
      <c r="AF134" s="51"/>
      <c r="AG134" s="50" t="s">
        <v>264</v>
      </c>
      <c r="AH134" s="49">
        <v>21</v>
      </c>
      <c r="AI134" s="49">
        <v>132.19999999999999</v>
      </c>
      <c r="AJ134" s="49"/>
      <c r="AK134" s="49"/>
      <c r="AL134" s="51">
        <v>127.5</v>
      </c>
      <c r="AM134" s="49">
        <v>95.3</v>
      </c>
      <c r="AN134" s="49">
        <v>32.200000000000003</v>
      </c>
      <c r="AO134" s="49">
        <v>2060.3000000000002</v>
      </c>
      <c r="AP134" s="49">
        <v>274.2</v>
      </c>
      <c r="AQ134" s="49">
        <v>126.9</v>
      </c>
      <c r="AR134" s="49">
        <v>44.1</v>
      </c>
      <c r="AS134" s="50">
        <v>77.400000000000006</v>
      </c>
      <c r="AT134" s="50">
        <v>47.7</v>
      </c>
      <c r="AU134" s="50">
        <v>46.3</v>
      </c>
      <c r="AV134" s="50">
        <v>19.100000000000001</v>
      </c>
      <c r="AW134" s="50">
        <v>1.4</v>
      </c>
      <c r="AX134" s="50">
        <v>3.3</v>
      </c>
      <c r="AY134" s="50" t="s">
        <v>264</v>
      </c>
      <c r="AZ134" s="50" t="s">
        <v>264</v>
      </c>
      <c r="BA134" s="50" t="s">
        <v>264</v>
      </c>
      <c r="BB134" s="50" t="s">
        <v>264</v>
      </c>
      <c r="BC134" s="50"/>
      <c r="BD134" s="52">
        <v>102.4</v>
      </c>
      <c r="BE134" s="52">
        <v>33.5</v>
      </c>
      <c r="BF134" s="52"/>
      <c r="BG134" s="52"/>
      <c r="BH134" s="52">
        <v>283.60000000000002</v>
      </c>
      <c r="BI134" s="52"/>
      <c r="BJ134" s="52"/>
      <c r="BK134" s="52">
        <v>153.6</v>
      </c>
      <c r="BL134" s="52">
        <v>4.0999999999999996</v>
      </c>
      <c r="BM134" s="52">
        <v>441.3</v>
      </c>
      <c r="BN134" s="52">
        <v>234.1</v>
      </c>
      <c r="BO134" s="52"/>
      <c r="BP134" s="52"/>
      <c r="BQ134" s="52">
        <v>101.9</v>
      </c>
      <c r="BR134" s="52">
        <v>4.5999999999999996</v>
      </c>
      <c r="BS134" s="53">
        <v>340.6</v>
      </c>
      <c r="BT134" s="52" t="s">
        <v>264</v>
      </c>
      <c r="BU134" s="52">
        <v>22.9</v>
      </c>
      <c r="BV134" s="50">
        <v>307.39999999999998</v>
      </c>
      <c r="BW134" s="50">
        <v>97.1</v>
      </c>
      <c r="BX134" s="49">
        <v>408.1</v>
      </c>
      <c r="BY134" s="50">
        <v>42.4</v>
      </c>
      <c r="BZ134" s="50">
        <v>18</v>
      </c>
      <c r="CA134" s="49">
        <v>60.4</v>
      </c>
      <c r="CB134" s="52"/>
      <c r="CC134" s="52"/>
      <c r="CD134" s="52"/>
      <c r="CE134" s="52"/>
      <c r="CF134" s="52">
        <v>115.4</v>
      </c>
      <c r="CG134" s="53">
        <v>101.5</v>
      </c>
      <c r="CH134" s="52">
        <v>15.3</v>
      </c>
      <c r="CI134" s="52"/>
      <c r="CJ134" s="52"/>
      <c r="CK134" s="52"/>
      <c r="CL134" s="52"/>
      <c r="CM134" s="52"/>
      <c r="CN134" s="52">
        <v>36.9</v>
      </c>
      <c r="CO134" s="52">
        <v>281.09999999999997</v>
      </c>
      <c r="CP134" s="52">
        <v>232.2</v>
      </c>
      <c r="CQ134" s="52">
        <v>48.9</v>
      </c>
      <c r="CR134" s="52" t="s">
        <v>264</v>
      </c>
      <c r="CS134" s="52">
        <v>41.8</v>
      </c>
      <c r="CT134" s="52">
        <v>29</v>
      </c>
      <c r="CU134" s="52">
        <v>12.8</v>
      </c>
      <c r="CV134" s="52">
        <v>28.2</v>
      </c>
      <c r="CW134" s="52">
        <v>6.8</v>
      </c>
      <c r="CX134" s="52">
        <v>21.4</v>
      </c>
      <c r="CY134" s="52" t="s">
        <v>264</v>
      </c>
      <c r="CZ134" s="52">
        <v>110</v>
      </c>
      <c r="DA134" s="52">
        <v>42.2</v>
      </c>
      <c r="DB134" s="52">
        <v>37.6</v>
      </c>
      <c r="DC134" s="52">
        <v>4.5999999999999996</v>
      </c>
      <c r="DD134" s="52"/>
      <c r="DE134" s="52"/>
      <c r="DF134" s="53"/>
      <c r="DG134" s="53"/>
      <c r="DH134" s="53"/>
      <c r="DI134" s="53">
        <v>549</v>
      </c>
      <c r="DJ134" s="53">
        <v>171.1</v>
      </c>
      <c r="DK134" s="53">
        <v>543.6</v>
      </c>
      <c r="DL134" s="53">
        <v>119.4</v>
      </c>
      <c r="DM134" s="53">
        <v>212.5</v>
      </c>
      <c r="DN134" s="53"/>
      <c r="DO134" s="53">
        <v>136.1</v>
      </c>
      <c r="DP134" s="53">
        <v>170.2</v>
      </c>
      <c r="DQ134" s="53"/>
      <c r="DR134" s="53"/>
      <c r="DS134" s="53">
        <v>638</v>
      </c>
      <c r="DT134" s="53">
        <v>2762</v>
      </c>
      <c r="DU134" s="53">
        <v>-222.09999999999991</v>
      </c>
      <c r="DV134" s="53">
        <v>0</v>
      </c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  <c r="FB134" s="52"/>
      <c r="FC134" s="52"/>
      <c r="FD134" s="52"/>
      <c r="FE134" s="52"/>
      <c r="FF134" s="52"/>
      <c r="FG134" s="52"/>
      <c r="FH134" s="52"/>
      <c r="FI134" s="52"/>
      <c r="FJ134" s="52"/>
      <c r="FK134" s="52"/>
      <c r="FL134" s="52"/>
      <c r="FM134" s="52"/>
      <c r="FN134" s="52"/>
      <c r="FO134" s="52"/>
      <c r="FP134" s="52"/>
      <c r="FQ134" s="52"/>
      <c r="FR134" s="52"/>
      <c r="FS134" s="52"/>
      <c r="FT134" s="52"/>
      <c r="FU134" s="52"/>
      <c r="FV134" s="52"/>
      <c r="FW134" s="52"/>
      <c r="FX134" s="52"/>
      <c r="FY134" s="52"/>
      <c r="FZ134" s="52"/>
      <c r="GA134" s="52"/>
      <c r="GB134" s="52"/>
      <c r="GC134" s="52"/>
      <c r="GD134" s="52"/>
      <c r="GE134" s="52"/>
      <c r="GF134" s="52"/>
      <c r="GG134" s="52"/>
      <c r="GH134" s="52"/>
      <c r="GI134" s="52"/>
      <c r="GJ134" s="52"/>
      <c r="GK134" s="52"/>
      <c r="GL134" s="52"/>
      <c r="GM134" s="52"/>
      <c r="GN134" s="52"/>
      <c r="GO134" s="52"/>
      <c r="GP134" s="52"/>
      <c r="GQ134" s="52"/>
      <c r="GR134" s="52"/>
      <c r="GS134" s="52"/>
      <c r="GT134" s="52"/>
      <c r="GU134" s="52"/>
      <c r="GV134" s="52"/>
      <c r="GW134" s="52"/>
      <c r="GX134" s="52"/>
      <c r="GY134" s="17"/>
      <c r="GZ134" s="52">
        <v>935.7</v>
      </c>
      <c r="HA134" s="52"/>
      <c r="HB134" s="17"/>
      <c r="HC134" s="17"/>
      <c r="HD134" s="17"/>
      <c r="HE134" s="17"/>
      <c r="HF134" s="52"/>
      <c r="HG134" s="52"/>
      <c r="HH134" s="52"/>
      <c r="HI134" s="52"/>
      <c r="HJ134" s="52"/>
      <c r="HK134" s="52"/>
      <c r="HL134" s="52"/>
      <c r="HM134" s="52"/>
      <c r="HN134" s="52"/>
      <c r="HO134" s="52"/>
      <c r="HP134" s="52"/>
      <c r="HQ134" s="52"/>
      <c r="HR134" s="52"/>
      <c r="HS134" s="52"/>
      <c r="HT134" s="52"/>
      <c r="HU134" s="52"/>
      <c r="HV134" s="52"/>
      <c r="HW134" s="52"/>
      <c r="HX134" s="52"/>
      <c r="HY134" s="52"/>
      <c r="HZ134" s="52"/>
      <c r="IA134" s="52"/>
      <c r="IB134" s="52"/>
      <c r="IC134" s="52"/>
      <c r="ID134" s="52"/>
      <c r="IE134" s="52"/>
      <c r="IF134" s="52"/>
      <c r="IG134" s="52"/>
      <c r="IH134" s="53"/>
      <c r="II134" s="53"/>
      <c r="IJ134" s="53"/>
      <c r="IK134" s="53"/>
      <c r="IL134" s="53"/>
      <c r="IM134" s="52"/>
      <c r="IN134" s="52">
        <v>53.7</v>
      </c>
      <c r="IY134" s="48">
        <f t="shared" si="8"/>
        <v>47.513396089790014</v>
      </c>
      <c r="IZ134" s="48">
        <f>IY134-'NOPA Crush'!J134</f>
        <v>-3.6603910209983326E-2</v>
      </c>
      <c r="JB134" s="63">
        <f t="shared" si="6"/>
        <v>11.275524981897176</v>
      </c>
      <c r="JC134" s="64">
        <f>JB134-'NOPA Crush'!O134</f>
        <v>-6.4475018102823967E-2</v>
      </c>
      <c r="JD134" s="65"/>
      <c r="JE134" s="67">
        <f t="shared" si="7"/>
        <v>1305.0239999999999</v>
      </c>
      <c r="JF134" s="68">
        <f>'NOPA Crush'!Q134/'Census Crush'!JE134</f>
        <v>0.34925411333431422</v>
      </c>
    </row>
    <row r="135" spans="1:266">
      <c r="A135" s="39">
        <v>33147</v>
      </c>
      <c r="B135" s="49">
        <v>3182.1640000000002</v>
      </c>
      <c r="C135" s="50">
        <v>3568.1509999999998</v>
      </c>
      <c r="D135" s="50">
        <v>274.87299999999999</v>
      </c>
      <c r="E135" s="50">
        <v>1660.633</v>
      </c>
      <c r="F135" s="50">
        <v>17.471</v>
      </c>
      <c r="G135" s="50">
        <v>63.628</v>
      </c>
      <c r="H135" s="50">
        <v>107.69199999999999</v>
      </c>
      <c r="I135" s="50" t="s">
        <v>264</v>
      </c>
      <c r="J135" s="50" t="s">
        <v>264</v>
      </c>
      <c r="K135" s="49">
        <v>1188.0999999999999</v>
      </c>
      <c r="L135" s="49">
        <v>1215.9369999999999</v>
      </c>
      <c r="M135" s="49">
        <v>1019.052</v>
      </c>
      <c r="N135" s="49">
        <v>196.88499999999999</v>
      </c>
      <c r="O135" s="50">
        <v>86.2</v>
      </c>
      <c r="P135" s="51">
        <v>82.957999999999998</v>
      </c>
      <c r="Q135" s="49">
        <v>27.404</v>
      </c>
      <c r="R135" s="49">
        <v>55.554000000000002</v>
      </c>
      <c r="S135" s="49"/>
      <c r="T135" s="49">
        <v>14.413</v>
      </c>
      <c r="U135" s="51">
        <v>18.375</v>
      </c>
      <c r="V135" s="49">
        <v>14.885999999999999</v>
      </c>
      <c r="W135" s="49">
        <v>3.4889999999999999</v>
      </c>
      <c r="X135" s="49">
        <v>51.68</v>
      </c>
      <c r="Y135" s="49">
        <v>6.2519999999999998</v>
      </c>
      <c r="Z135" s="49"/>
      <c r="AA135" s="50" t="s">
        <v>264</v>
      </c>
      <c r="AB135" s="50" t="s">
        <v>264</v>
      </c>
      <c r="AC135" s="50" t="s">
        <v>264</v>
      </c>
      <c r="AD135" s="50">
        <v>10.087999999999999</v>
      </c>
      <c r="AE135" s="50"/>
      <c r="AF135" s="51"/>
      <c r="AG135" s="50" t="s">
        <v>264</v>
      </c>
      <c r="AH135" s="52">
        <v>24.891999999999999</v>
      </c>
      <c r="AI135" s="49">
        <v>142</v>
      </c>
      <c r="AJ135" s="49"/>
      <c r="AK135" s="49"/>
      <c r="AL135" s="51">
        <v>107.452</v>
      </c>
      <c r="AM135" s="49">
        <v>75.557000000000002</v>
      </c>
      <c r="AN135" s="49">
        <v>31.895</v>
      </c>
      <c r="AO135" s="49">
        <v>2385.5129999999999</v>
      </c>
      <c r="AP135" s="49">
        <v>266.19099999999997</v>
      </c>
      <c r="AQ135" s="49">
        <v>123.249</v>
      </c>
      <c r="AR135" s="49">
        <v>24.747</v>
      </c>
      <c r="AS135" s="50">
        <v>128.226</v>
      </c>
      <c r="AT135" s="50">
        <v>67.435000000000002</v>
      </c>
      <c r="AU135" s="50">
        <v>69.236999999999995</v>
      </c>
      <c r="AV135" s="50">
        <v>23.507000000000001</v>
      </c>
      <c r="AW135" s="50">
        <v>14.413</v>
      </c>
      <c r="AX135" s="50">
        <v>11.321999999999999</v>
      </c>
      <c r="AY135" s="50">
        <v>33.307000000000002</v>
      </c>
      <c r="AZ135" s="50" t="s">
        <v>264</v>
      </c>
      <c r="BA135" s="50" t="s">
        <v>264</v>
      </c>
      <c r="BB135" s="50" t="s">
        <v>264</v>
      </c>
      <c r="BC135" s="50"/>
      <c r="BD135" s="52">
        <v>109.172</v>
      </c>
      <c r="BE135" s="52">
        <v>37.396999999999998</v>
      </c>
      <c r="BF135" s="52"/>
      <c r="BG135" s="52"/>
      <c r="BH135" s="52">
        <v>330.697</v>
      </c>
      <c r="BI135" s="52"/>
      <c r="BJ135" s="52"/>
      <c r="BK135" s="52">
        <v>181.226</v>
      </c>
      <c r="BL135" s="52">
        <v>4.7610000000000001</v>
      </c>
      <c r="BM135" s="52">
        <v>516.68399999999997</v>
      </c>
      <c r="BN135" s="53">
        <v>227.19499999999999</v>
      </c>
      <c r="BO135" s="53"/>
      <c r="BP135" s="53"/>
      <c r="BQ135" s="52">
        <v>113.608</v>
      </c>
      <c r="BR135" s="52">
        <v>5.8140000000000001</v>
      </c>
      <c r="BS135" s="53">
        <v>346.61700000000002</v>
      </c>
      <c r="BT135" s="52" t="s">
        <v>264</v>
      </c>
      <c r="BU135" s="52">
        <v>22.167000000000002</v>
      </c>
      <c r="BV135" s="50">
        <v>362.87200000000001</v>
      </c>
      <c r="BW135" s="50">
        <v>106.45699999999999</v>
      </c>
      <c r="BX135" s="49">
        <v>473.14</v>
      </c>
      <c r="BY135" s="50">
        <v>44.694000000000003</v>
      </c>
      <c r="BZ135" s="50">
        <v>18.324000000000002</v>
      </c>
      <c r="CA135" s="49">
        <v>63.018000000000001</v>
      </c>
      <c r="CB135" s="52"/>
      <c r="CC135" s="52"/>
      <c r="CD135" s="52"/>
      <c r="CE135" s="52"/>
      <c r="CF135" s="52">
        <v>120.75700000000001</v>
      </c>
      <c r="CG135" s="52">
        <v>83.094999999999999</v>
      </c>
      <c r="CH135" s="52">
        <v>34.014000000000003</v>
      </c>
      <c r="CI135" s="52"/>
      <c r="CJ135" s="52"/>
      <c r="CK135" s="52"/>
      <c r="CL135" s="52"/>
      <c r="CM135" s="52"/>
      <c r="CN135" s="52">
        <v>53.841000000000001</v>
      </c>
      <c r="CO135" s="52">
        <v>309.34100000000001</v>
      </c>
      <c r="CP135" s="52">
        <v>270.30099999999999</v>
      </c>
      <c r="CQ135" s="52">
        <v>39.04</v>
      </c>
      <c r="CR135" s="52" t="s">
        <v>264</v>
      </c>
      <c r="CS135" s="52">
        <v>41.372</v>
      </c>
      <c r="CT135" s="52">
        <v>23.327000000000002</v>
      </c>
      <c r="CU135" s="52">
        <v>18.045000000000002</v>
      </c>
      <c r="CV135" s="52">
        <v>37.335000000000001</v>
      </c>
      <c r="CW135" s="52">
        <v>12.77</v>
      </c>
      <c r="CX135" s="52">
        <v>24.565000000000001</v>
      </c>
      <c r="CY135" s="52" t="s">
        <v>264</v>
      </c>
      <c r="CZ135" s="52">
        <v>117.023</v>
      </c>
      <c r="DA135" s="52">
        <v>41.655999999999999</v>
      </c>
      <c r="DB135" s="52">
        <v>37.134</v>
      </c>
      <c r="DC135" s="52">
        <v>4.5220000000000002</v>
      </c>
      <c r="DD135" s="52"/>
      <c r="DE135" s="52"/>
      <c r="DF135" s="53"/>
      <c r="DG135" s="53"/>
      <c r="DH135" s="53"/>
      <c r="DI135" s="53">
        <v>626.20000000000005</v>
      </c>
      <c r="DJ135" s="53">
        <v>227.4</v>
      </c>
      <c r="DK135" s="53">
        <v>580.79999999999995</v>
      </c>
      <c r="DL135" s="53">
        <v>133.6</v>
      </c>
      <c r="DM135" s="53">
        <v>228.4</v>
      </c>
      <c r="DN135" s="53"/>
      <c r="DO135" s="53">
        <v>185.9</v>
      </c>
      <c r="DP135" s="53">
        <v>212.8</v>
      </c>
      <c r="DQ135" s="53"/>
      <c r="DR135" s="53"/>
      <c r="DS135" s="53">
        <v>746.6</v>
      </c>
      <c r="DT135" s="53">
        <v>3182.2</v>
      </c>
      <c r="DU135" s="53">
        <v>-240.49999999999955</v>
      </c>
      <c r="DV135" s="53">
        <v>3.599999999960346E-2</v>
      </c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2"/>
      <c r="FB135" s="52"/>
      <c r="FC135" s="52"/>
      <c r="FD135" s="52"/>
      <c r="FE135" s="52"/>
      <c r="FF135" s="52"/>
      <c r="FG135" s="52"/>
      <c r="FH135" s="52"/>
      <c r="FI135" s="52"/>
      <c r="FJ135" s="52"/>
      <c r="FK135" s="52"/>
      <c r="FL135" s="52"/>
      <c r="FM135" s="52"/>
      <c r="FN135" s="52"/>
      <c r="FO135" s="52"/>
      <c r="FP135" s="52"/>
      <c r="FQ135" s="52"/>
      <c r="FR135" s="52"/>
      <c r="FS135" s="52"/>
      <c r="FT135" s="52"/>
      <c r="FU135" s="52"/>
      <c r="FV135" s="52"/>
      <c r="FW135" s="52"/>
      <c r="FX135" s="52"/>
      <c r="FY135" s="52"/>
      <c r="FZ135" s="52"/>
      <c r="GA135" s="52"/>
      <c r="GB135" s="52"/>
      <c r="GC135" s="52"/>
      <c r="GD135" s="52"/>
      <c r="GE135" s="52"/>
      <c r="GF135" s="52"/>
      <c r="GG135" s="52"/>
      <c r="GH135" s="52"/>
      <c r="GI135" s="52"/>
      <c r="GJ135" s="52"/>
      <c r="GK135" s="52"/>
      <c r="GL135" s="52"/>
      <c r="GM135" s="52"/>
      <c r="GN135" s="52"/>
      <c r="GO135" s="52"/>
      <c r="GP135" s="52"/>
      <c r="GQ135" s="52"/>
      <c r="GR135" s="52"/>
      <c r="GS135" s="52"/>
      <c r="GT135" s="52"/>
      <c r="GU135" s="52"/>
      <c r="GV135" s="52"/>
      <c r="GW135" s="52"/>
      <c r="GX135" s="52"/>
      <c r="GY135" s="17"/>
      <c r="GZ135" s="52">
        <v>1027.5409999999999</v>
      </c>
      <c r="HA135" s="52"/>
      <c r="HB135" s="17"/>
      <c r="HC135" s="17"/>
      <c r="HD135" s="17"/>
      <c r="HE135" s="17"/>
      <c r="HF135" s="52"/>
      <c r="HG135" s="52"/>
      <c r="HH135" s="52"/>
      <c r="HI135" s="52"/>
      <c r="HJ135" s="52"/>
      <c r="HK135" s="52"/>
      <c r="HL135" s="52"/>
      <c r="HM135" s="52"/>
      <c r="HN135" s="52"/>
      <c r="HO135" s="52"/>
      <c r="HP135" s="52"/>
      <c r="HQ135" s="52"/>
      <c r="HR135" s="52"/>
      <c r="HS135" s="52"/>
      <c r="HT135" s="52"/>
      <c r="HU135" s="52"/>
      <c r="HV135" s="52"/>
      <c r="HW135" s="52"/>
      <c r="HX135" s="52"/>
      <c r="HY135" s="52"/>
      <c r="HZ135" s="52"/>
      <c r="IA135" s="52"/>
      <c r="IB135" s="52"/>
      <c r="IC135" s="52"/>
      <c r="ID135" s="52"/>
      <c r="IE135" s="52"/>
      <c r="IF135" s="52"/>
      <c r="IG135" s="52"/>
      <c r="IH135" s="53"/>
      <c r="II135" s="53"/>
      <c r="IJ135" s="53"/>
      <c r="IK135" s="53"/>
      <c r="IL135" s="53"/>
      <c r="IM135" s="52"/>
      <c r="IN135" s="52">
        <v>75.366</v>
      </c>
      <c r="IY135" s="48">
        <f t="shared" si="8"/>
        <v>47.302942274502499</v>
      </c>
      <c r="IZ135" s="48">
        <f>IY135-'NOPA Crush'!J135</f>
        <v>0.14294227450250219</v>
      </c>
      <c r="JB135" s="63">
        <f t="shared" si="6"/>
        <v>11.200868339909569</v>
      </c>
      <c r="JC135" s="64">
        <f>JB135-'NOPA Crush'!O135</f>
        <v>0.12086833990956869</v>
      </c>
      <c r="JD135" s="65"/>
      <c r="JE135" s="67">
        <f t="shared" si="7"/>
        <v>1215.9369999999999</v>
      </c>
      <c r="JF135" s="68">
        <f>'NOPA Crush'!Q135/'Census Crush'!JE135</f>
        <v>0.36039778376675768</v>
      </c>
    </row>
    <row r="136" spans="1:266">
      <c r="A136" s="39">
        <v>33178</v>
      </c>
      <c r="B136" s="49">
        <v>3179.6579999999999</v>
      </c>
      <c r="C136" s="50">
        <v>3919.7510000000002</v>
      </c>
      <c r="D136" s="50">
        <v>339.423</v>
      </c>
      <c r="E136" s="50">
        <v>2459.7829999999999</v>
      </c>
      <c r="F136" s="50">
        <v>15.21</v>
      </c>
      <c r="G136" s="50">
        <v>95.01</v>
      </c>
      <c r="H136" s="50">
        <v>159.95699999999999</v>
      </c>
      <c r="I136" s="50" t="s">
        <v>264</v>
      </c>
      <c r="J136" s="50" t="s">
        <v>264</v>
      </c>
      <c r="K136" s="49">
        <v>1167.9000000000001</v>
      </c>
      <c r="L136" s="49">
        <v>1320.902</v>
      </c>
      <c r="M136" s="49">
        <v>1107.2560000000001</v>
      </c>
      <c r="N136" s="49">
        <v>213.64599999999999</v>
      </c>
      <c r="O136" s="50">
        <v>108.8</v>
      </c>
      <c r="P136" s="51">
        <v>93.52600000000001</v>
      </c>
      <c r="Q136" s="49">
        <v>31.89</v>
      </c>
      <c r="R136" s="49">
        <v>61.636000000000003</v>
      </c>
      <c r="S136" s="49"/>
      <c r="T136" s="49">
        <v>12.468</v>
      </c>
      <c r="U136" s="51">
        <v>14.041</v>
      </c>
      <c r="V136" s="49">
        <v>10.507</v>
      </c>
      <c r="W136" s="49">
        <v>3.5339999999999998</v>
      </c>
      <c r="X136" s="49">
        <v>76.972999999999999</v>
      </c>
      <c r="Y136" s="49">
        <v>9.4510000000000005</v>
      </c>
      <c r="Z136" s="49">
        <v>89.608999999999995</v>
      </c>
      <c r="AA136" s="49">
        <v>83.134</v>
      </c>
      <c r="AB136" s="49">
        <v>6.4749999999999996</v>
      </c>
      <c r="AC136" s="49" t="s">
        <v>264</v>
      </c>
      <c r="AD136" s="49">
        <v>10.727</v>
      </c>
      <c r="AE136" s="49"/>
      <c r="AF136" s="51"/>
      <c r="AG136" s="50" t="s">
        <v>264</v>
      </c>
      <c r="AH136" s="49">
        <v>25.007000000000001</v>
      </c>
      <c r="AI136" s="49">
        <v>129.4</v>
      </c>
      <c r="AJ136" s="49"/>
      <c r="AK136" s="49"/>
      <c r="AL136" s="51">
        <v>110.816</v>
      </c>
      <c r="AM136" s="49">
        <v>71.001000000000005</v>
      </c>
      <c r="AN136" s="49">
        <v>39.814999999999998</v>
      </c>
      <c r="AO136" s="49">
        <v>2391.9430000000002</v>
      </c>
      <c r="AP136" s="49">
        <v>286.70400000000001</v>
      </c>
      <c r="AQ136" s="49">
        <v>121.223</v>
      </c>
      <c r="AR136" s="49">
        <v>26.870999999999999</v>
      </c>
      <c r="AS136" s="50">
        <v>160.07499999999999</v>
      </c>
      <c r="AT136" s="50">
        <v>106.02800000000001</v>
      </c>
      <c r="AU136" s="50">
        <v>84.554000000000002</v>
      </c>
      <c r="AV136" s="50">
        <v>35.994999999999997</v>
      </c>
      <c r="AW136" s="50">
        <v>12.468</v>
      </c>
      <c r="AX136" s="50">
        <v>7.3259999999999996</v>
      </c>
      <c r="AY136" s="50">
        <v>46.920999999999999</v>
      </c>
      <c r="AZ136" s="50">
        <v>6.5119999999999996</v>
      </c>
      <c r="BA136" s="50" t="s">
        <v>264</v>
      </c>
      <c r="BB136" s="50" t="s">
        <v>264</v>
      </c>
      <c r="BC136" s="50"/>
      <c r="BD136" s="52">
        <v>97.162999999999997</v>
      </c>
      <c r="BE136" s="52">
        <v>33.216000000000001</v>
      </c>
      <c r="BF136" s="52"/>
      <c r="BG136" s="52"/>
      <c r="BH136" s="52">
        <v>300.47500000000002</v>
      </c>
      <c r="BI136" s="52"/>
      <c r="BJ136" s="52"/>
      <c r="BK136" s="52">
        <v>167.50700000000001</v>
      </c>
      <c r="BL136" s="52">
        <v>4.2729999999999997</v>
      </c>
      <c r="BM136" s="52">
        <v>472.255</v>
      </c>
      <c r="BN136" s="52">
        <v>241.411</v>
      </c>
      <c r="BO136" s="52"/>
      <c r="BP136" s="52"/>
      <c r="BQ136" s="52">
        <v>119.426</v>
      </c>
      <c r="BR136" s="52">
        <v>5.1440000000000001</v>
      </c>
      <c r="BS136" s="53">
        <v>365.98099999999999</v>
      </c>
      <c r="BT136" s="52" t="s">
        <v>264</v>
      </c>
      <c r="BU136" s="52">
        <v>30.341000000000001</v>
      </c>
      <c r="BV136" s="50">
        <v>332.21600000000001</v>
      </c>
      <c r="BW136" s="50">
        <v>99.575999999999993</v>
      </c>
      <c r="BX136" s="49">
        <v>435.52600000000001</v>
      </c>
      <c r="BY136" s="50">
        <v>53.618000000000002</v>
      </c>
      <c r="BZ136" s="50">
        <v>9.4830000000000005</v>
      </c>
      <c r="CA136" s="49">
        <v>63.100999999999999</v>
      </c>
      <c r="CB136" s="52"/>
      <c r="CC136" s="52"/>
      <c r="CD136" s="52"/>
      <c r="CE136" s="52"/>
      <c r="CF136" s="52">
        <v>119.116</v>
      </c>
      <c r="CG136" s="52">
        <v>76.582999999999998</v>
      </c>
      <c r="CH136" s="52">
        <v>35.774999999999999</v>
      </c>
      <c r="CI136" s="52"/>
      <c r="CJ136" s="52"/>
      <c r="CK136" s="52"/>
      <c r="CL136" s="52"/>
      <c r="CM136" s="52"/>
      <c r="CN136" s="52">
        <v>47.186</v>
      </c>
      <c r="CO136" s="52">
        <v>304.59300000000002</v>
      </c>
      <c r="CP136" s="52">
        <v>267.63200000000001</v>
      </c>
      <c r="CQ136" s="52">
        <v>36.960999999999999</v>
      </c>
      <c r="CR136" s="52" t="s">
        <v>264</v>
      </c>
      <c r="CS136" s="52">
        <v>47.51</v>
      </c>
      <c r="CT136" s="52">
        <v>22.010999999999999</v>
      </c>
      <c r="CU136" s="52">
        <v>25.498999999999999</v>
      </c>
      <c r="CV136" s="52">
        <v>38.613999999999997</v>
      </c>
      <c r="CW136" s="52">
        <v>14.138</v>
      </c>
      <c r="CX136" s="52">
        <v>24.475999999999999</v>
      </c>
      <c r="CY136" s="52" t="s">
        <v>264</v>
      </c>
      <c r="CZ136" s="52">
        <v>97.728999999999999</v>
      </c>
      <c r="DA136" s="52">
        <v>36.85</v>
      </c>
      <c r="DB136" s="52">
        <v>32.338999999999999</v>
      </c>
      <c r="DC136" s="52">
        <v>4.5110000000000001</v>
      </c>
      <c r="DD136" s="52"/>
      <c r="DE136" s="52"/>
      <c r="DF136" s="53"/>
      <c r="DG136" s="53">
        <v>112.6</v>
      </c>
      <c r="DH136" s="53"/>
      <c r="DI136" s="53">
        <v>592.79999999999995</v>
      </c>
      <c r="DJ136" s="53">
        <v>217</v>
      </c>
      <c r="DK136" s="53">
        <v>569.20000000000005</v>
      </c>
      <c r="DL136" s="53">
        <v>144.4</v>
      </c>
      <c r="DM136" s="53">
        <v>227.4</v>
      </c>
      <c r="DN136" s="53"/>
      <c r="DO136" s="53">
        <v>180.3</v>
      </c>
      <c r="DP136" s="53">
        <v>205.2</v>
      </c>
      <c r="DQ136" s="53"/>
      <c r="DR136" s="53"/>
      <c r="DS136" s="53">
        <v>768.2</v>
      </c>
      <c r="DT136" s="53">
        <v>3179.7</v>
      </c>
      <c r="DU136" s="53">
        <v>-275.19999999999982</v>
      </c>
      <c r="DV136" s="53">
        <v>4.1999999999916326E-2</v>
      </c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2"/>
      <c r="FB136" s="52"/>
      <c r="FC136" s="52"/>
      <c r="FD136" s="52"/>
      <c r="FE136" s="52"/>
      <c r="FF136" s="52"/>
      <c r="FG136" s="52"/>
      <c r="FH136" s="52"/>
      <c r="FI136" s="52"/>
      <c r="FJ136" s="52"/>
      <c r="FK136" s="52"/>
      <c r="FL136" s="52"/>
      <c r="FM136" s="52"/>
      <c r="FN136" s="52"/>
      <c r="FO136" s="52"/>
      <c r="FP136" s="52"/>
      <c r="FQ136" s="52"/>
      <c r="FR136" s="52"/>
      <c r="FS136" s="52"/>
      <c r="FT136" s="52"/>
      <c r="FU136" s="52"/>
      <c r="FV136" s="52"/>
      <c r="FW136" s="52"/>
      <c r="FX136" s="52"/>
      <c r="FY136" s="52"/>
      <c r="FZ136" s="52"/>
      <c r="GA136" s="52"/>
      <c r="GB136" s="52"/>
      <c r="GC136" s="52"/>
      <c r="GD136" s="52"/>
      <c r="GE136" s="52"/>
      <c r="GF136" s="52"/>
      <c r="GG136" s="52"/>
      <c r="GH136" s="52"/>
      <c r="GI136" s="52"/>
      <c r="GJ136" s="52"/>
      <c r="GK136" s="52"/>
      <c r="GL136" s="52"/>
      <c r="GM136" s="52"/>
      <c r="GN136" s="52"/>
      <c r="GO136" s="52"/>
      <c r="GP136" s="52"/>
      <c r="GQ136" s="52"/>
      <c r="GR136" s="52"/>
      <c r="GS136" s="52"/>
      <c r="GT136" s="52"/>
      <c r="GU136" s="52"/>
      <c r="GV136" s="52"/>
      <c r="GW136" s="52"/>
      <c r="GX136" s="52"/>
      <c r="GY136" s="17"/>
      <c r="GZ136" s="52">
        <v>980.57399999999996</v>
      </c>
      <c r="HA136" s="52"/>
      <c r="HB136" s="17"/>
      <c r="HC136" s="17"/>
      <c r="HD136" s="17"/>
      <c r="HE136" s="17"/>
      <c r="HF136" s="52"/>
      <c r="HG136" s="52"/>
      <c r="HH136" s="52"/>
      <c r="HI136" s="52"/>
      <c r="HJ136" s="52"/>
      <c r="HK136" s="52"/>
      <c r="HL136" s="52"/>
      <c r="HM136" s="52"/>
      <c r="HN136" s="52"/>
      <c r="HO136" s="52"/>
      <c r="HP136" s="52"/>
      <c r="HQ136" s="52"/>
      <c r="HR136" s="52"/>
      <c r="HS136" s="52"/>
      <c r="HT136" s="52"/>
      <c r="HU136" s="52"/>
      <c r="HV136" s="52"/>
      <c r="HW136" s="52"/>
      <c r="HX136" s="52"/>
      <c r="HY136" s="52"/>
      <c r="HZ136" s="52"/>
      <c r="IA136" s="52"/>
      <c r="IB136" s="52"/>
      <c r="IC136" s="52"/>
      <c r="ID136" s="52"/>
      <c r="IE136" s="52"/>
      <c r="IF136" s="52"/>
      <c r="IG136" s="52"/>
      <c r="IH136" s="53"/>
      <c r="II136" s="53"/>
      <c r="IJ136" s="53"/>
      <c r="IK136" s="53"/>
      <c r="IL136" s="53"/>
      <c r="IM136" s="52"/>
      <c r="IN136" s="52">
        <v>96.027000000000001</v>
      </c>
      <c r="IY136" s="48">
        <f t="shared" si="8"/>
        <v>47.423326659659629</v>
      </c>
      <c r="IZ136" s="48">
        <f>IY136-'NOPA Crush'!J136</f>
        <v>8.3326659659626046E-2</v>
      </c>
      <c r="JB136" s="63">
        <f t="shared" si="6"/>
        <v>11.019109602353462</v>
      </c>
      <c r="JC136" s="64">
        <f>JB136-'NOPA Crush'!O136</f>
        <v>-0.11089039764653918</v>
      </c>
      <c r="JD136" s="65"/>
      <c r="JE136" s="67">
        <f t="shared" si="7"/>
        <v>1320.902</v>
      </c>
      <c r="JF136" s="68">
        <f>'NOPA Crush'!Q136/'Census Crush'!JE136</f>
        <v>0.34744591196016056</v>
      </c>
    </row>
    <row r="137" spans="1:266">
      <c r="A137" s="39">
        <v>33208</v>
      </c>
      <c r="B137" s="49">
        <v>3080.8539999999998</v>
      </c>
      <c r="C137" s="50">
        <v>3195.1</v>
      </c>
      <c r="D137" s="50">
        <v>320.791</v>
      </c>
      <c r="E137" s="50">
        <v>2476.6590000000001</v>
      </c>
      <c r="F137" s="50">
        <v>19.041</v>
      </c>
      <c r="G137" s="50">
        <v>78.614999999999995</v>
      </c>
      <c r="H137" s="50" t="s">
        <v>264</v>
      </c>
      <c r="I137" s="50" t="s">
        <v>264</v>
      </c>
      <c r="J137" s="50" t="s">
        <v>264</v>
      </c>
      <c r="K137" s="49">
        <v>1138</v>
      </c>
      <c r="L137" s="49">
        <v>1473.038</v>
      </c>
      <c r="M137" s="49">
        <v>1233.5039999999999</v>
      </c>
      <c r="N137" s="49">
        <v>239.53399999999999</v>
      </c>
      <c r="O137" s="50">
        <v>102.3</v>
      </c>
      <c r="P137" s="51">
        <v>102.741</v>
      </c>
      <c r="Q137" s="49">
        <v>38.860999999999997</v>
      </c>
      <c r="R137" s="49">
        <v>63.88</v>
      </c>
      <c r="S137" s="49"/>
      <c r="T137" s="49">
        <v>15.888999999999999</v>
      </c>
      <c r="U137" s="51">
        <v>13.851000000000001</v>
      </c>
      <c r="V137" s="49">
        <v>10.701000000000001</v>
      </c>
      <c r="W137" s="49">
        <v>3.15</v>
      </c>
      <c r="X137" s="49">
        <v>65.082999999999998</v>
      </c>
      <c r="Y137" s="49">
        <v>19.863</v>
      </c>
      <c r="Z137" s="49">
        <v>167.34399999999999</v>
      </c>
      <c r="AA137" s="49">
        <v>159.874</v>
      </c>
      <c r="AB137" s="49">
        <v>7.47</v>
      </c>
      <c r="AC137" s="49" t="s">
        <v>264</v>
      </c>
      <c r="AD137" s="49">
        <v>8.9</v>
      </c>
      <c r="AE137" s="49"/>
      <c r="AF137" s="51"/>
      <c r="AG137" s="50" t="s">
        <v>264</v>
      </c>
      <c r="AH137" s="49">
        <v>25.001000000000001</v>
      </c>
      <c r="AI137" s="49">
        <v>129.30000000000001</v>
      </c>
      <c r="AJ137" s="49"/>
      <c r="AK137" s="49"/>
      <c r="AL137" s="51">
        <v>105.946</v>
      </c>
      <c r="AM137" s="49">
        <v>72.245999999999995</v>
      </c>
      <c r="AN137" s="49">
        <v>33.700000000000003</v>
      </c>
      <c r="AO137" s="49">
        <v>2310.7460000000001</v>
      </c>
      <c r="AP137" s="49">
        <v>419.33300000000003</v>
      </c>
      <c r="AQ137" s="49">
        <v>120.788</v>
      </c>
      <c r="AR137" s="49">
        <v>36.476999999999997</v>
      </c>
      <c r="AS137" s="50">
        <v>148.76</v>
      </c>
      <c r="AT137" s="50">
        <v>124.614</v>
      </c>
      <c r="AU137" s="50">
        <v>78.39</v>
      </c>
      <c r="AV137" s="50">
        <v>44.01</v>
      </c>
      <c r="AW137" s="50">
        <v>15.888999999999999</v>
      </c>
      <c r="AX137" s="50">
        <v>5.6929999999999996</v>
      </c>
      <c r="AY137" s="50">
        <v>39.719000000000001</v>
      </c>
      <c r="AZ137" s="50">
        <v>8.11</v>
      </c>
      <c r="BA137" s="50" t="s">
        <v>264</v>
      </c>
      <c r="BB137" s="50" t="s">
        <v>264</v>
      </c>
      <c r="BC137" s="50"/>
      <c r="BD137" s="52">
        <v>90.158000000000001</v>
      </c>
      <c r="BE137" s="52">
        <v>37.241999999999997</v>
      </c>
      <c r="BF137" s="52"/>
      <c r="BG137" s="52"/>
      <c r="BH137" s="52">
        <v>296.89299999999997</v>
      </c>
      <c r="BI137" s="52"/>
      <c r="BJ137" s="52"/>
      <c r="BK137" s="52">
        <v>148.976</v>
      </c>
      <c r="BL137" s="52">
        <v>3.8540000000000001</v>
      </c>
      <c r="BM137" s="52">
        <v>449.72300000000001</v>
      </c>
      <c r="BN137" s="53">
        <v>231.76300000000001</v>
      </c>
      <c r="BO137" s="53"/>
      <c r="BP137" s="53"/>
      <c r="BQ137" s="52">
        <v>119.872</v>
      </c>
      <c r="BR137" s="52">
        <v>5.5650000000000004</v>
      </c>
      <c r="BS137" s="53">
        <v>357.2</v>
      </c>
      <c r="BT137" s="52" t="s">
        <v>264</v>
      </c>
      <c r="BU137" s="52">
        <v>25.26</v>
      </c>
      <c r="BV137" s="50">
        <v>316.60300000000001</v>
      </c>
      <c r="BW137" s="50">
        <v>94.866</v>
      </c>
      <c r="BX137" s="49">
        <v>415.029</v>
      </c>
      <c r="BY137" s="50">
        <v>44.085999999999999</v>
      </c>
      <c r="BZ137" s="50">
        <v>8.782</v>
      </c>
      <c r="CA137" s="49">
        <v>52.867999999999995</v>
      </c>
      <c r="CB137" s="52"/>
      <c r="CC137" s="52"/>
      <c r="CD137" s="52"/>
      <c r="CE137" s="52"/>
      <c r="CF137" s="52">
        <v>126.515</v>
      </c>
      <c r="CG137" s="52">
        <v>81.954999999999998</v>
      </c>
      <c r="CH137" s="52">
        <v>35.146999999999998</v>
      </c>
      <c r="CI137" s="52"/>
      <c r="CJ137" s="52"/>
      <c r="CK137" s="52"/>
      <c r="CL137" s="52"/>
      <c r="CM137" s="52"/>
      <c r="CN137" s="52">
        <v>46.673000000000002</v>
      </c>
      <c r="CO137" s="52">
        <v>361.90800000000002</v>
      </c>
      <c r="CP137" s="52">
        <v>328.125</v>
      </c>
      <c r="CQ137" s="52">
        <v>33.783000000000001</v>
      </c>
      <c r="CR137" s="52" t="s">
        <v>264</v>
      </c>
      <c r="CS137" s="52">
        <v>61.664000000000001</v>
      </c>
      <c r="CT137" s="52">
        <v>35.874000000000002</v>
      </c>
      <c r="CU137" s="52">
        <v>25.79</v>
      </c>
      <c r="CV137" s="52">
        <v>27.900999999999996</v>
      </c>
      <c r="CW137" s="52">
        <v>9.3379999999999992</v>
      </c>
      <c r="CX137" s="52">
        <v>18.562999999999999</v>
      </c>
      <c r="CY137" s="52" t="s">
        <v>264</v>
      </c>
      <c r="CZ137" s="52">
        <v>92.406999999999996</v>
      </c>
      <c r="DA137" s="52">
        <v>44.806000000000004</v>
      </c>
      <c r="DB137" s="52">
        <v>41.045000000000002</v>
      </c>
      <c r="DC137" s="52">
        <v>3.7610000000000001</v>
      </c>
      <c r="DD137" s="52"/>
      <c r="DE137" s="52"/>
      <c r="DF137" s="53"/>
      <c r="DG137" s="53"/>
      <c r="DH137" s="53"/>
      <c r="DI137" s="53">
        <v>567.29999999999995</v>
      </c>
      <c r="DJ137" s="53">
        <v>199</v>
      </c>
      <c r="DK137" s="53">
        <v>560.20000000000005</v>
      </c>
      <c r="DL137" s="53">
        <v>143.5</v>
      </c>
      <c r="DM137" s="53">
        <v>199.7</v>
      </c>
      <c r="DN137" s="53"/>
      <c r="DO137" s="53">
        <v>164.5</v>
      </c>
      <c r="DP137" s="53">
        <v>200.2</v>
      </c>
      <c r="DQ137" s="53"/>
      <c r="DR137" s="53"/>
      <c r="DS137" s="53">
        <v>819</v>
      </c>
      <c r="DT137" s="53">
        <v>3080.8</v>
      </c>
      <c r="DU137" s="53">
        <v>-227.40000000000009</v>
      </c>
      <c r="DV137" s="53">
        <v>-5.3999999999632564E-2</v>
      </c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2"/>
      <c r="FB137" s="52"/>
      <c r="FC137" s="52"/>
      <c r="FD137" s="52"/>
      <c r="FE137" s="52"/>
      <c r="FF137" s="52"/>
      <c r="FG137" s="52"/>
      <c r="FH137" s="52"/>
      <c r="FI137" s="52"/>
      <c r="FJ137" s="52"/>
      <c r="FK137" s="52"/>
      <c r="FL137" s="52"/>
      <c r="FM137" s="52"/>
      <c r="FN137" s="52"/>
      <c r="FO137" s="52"/>
      <c r="FP137" s="52"/>
      <c r="FQ137" s="52"/>
      <c r="FR137" s="52"/>
      <c r="FS137" s="52"/>
      <c r="FT137" s="52"/>
      <c r="FU137" s="52"/>
      <c r="FV137" s="52"/>
      <c r="FW137" s="52"/>
      <c r="FX137" s="52"/>
      <c r="FY137" s="52"/>
      <c r="FZ137" s="52"/>
      <c r="GA137" s="52"/>
      <c r="GB137" s="52"/>
      <c r="GC137" s="52"/>
      <c r="GD137" s="52"/>
      <c r="GE137" s="52"/>
      <c r="GF137" s="52"/>
      <c r="GG137" s="52"/>
      <c r="GH137" s="52"/>
      <c r="GI137" s="52"/>
      <c r="GJ137" s="52"/>
      <c r="GK137" s="52"/>
      <c r="GL137" s="52"/>
      <c r="GM137" s="52"/>
      <c r="GN137" s="52"/>
      <c r="GO137" s="52"/>
      <c r="GP137" s="52"/>
      <c r="GQ137" s="52"/>
      <c r="GR137" s="52"/>
      <c r="GS137" s="52"/>
      <c r="GT137" s="52"/>
      <c r="GU137" s="52"/>
      <c r="GV137" s="52"/>
      <c r="GW137" s="52"/>
      <c r="GX137" s="52"/>
      <c r="GY137" s="17"/>
      <c r="GZ137" s="52">
        <v>934.73900000000003</v>
      </c>
      <c r="HA137" s="52"/>
      <c r="HB137" s="17"/>
      <c r="HC137" s="17"/>
      <c r="HD137" s="17"/>
      <c r="HE137" s="17"/>
      <c r="HF137" s="52"/>
      <c r="HG137" s="52"/>
      <c r="HH137" s="52"/>
      <c r="HI137" s="52"/>
      <c r="HJ137" s="52"/>
      <c r="HK137" s="52"/>
      <c r="HL137" s="52"/>
      <c r="HM137" s="52"/>
      <c r="HN137" s="52"/>
      <c r="HO137" s="52"/>
      <c r="HP137" s="52"/>
      <c r="HQ137" s="52"/>
      <c r="HR137" s="52"/>
      <c r="HS137" s="52"/>
      <c r="HT137" s="52"/>
      <c r="HU137" s="52"/>
      <c r="HV137" s="52"/>
      <c r="HW137" s="52"/>
      <c r="HX137" s="52"/>
      <c r="HY137" s="52"/>
      <c r="HZ137" s="52"/>
      <c r="IA137" s="52"/>
      <c r="IB137" s="52"/>
      <c r="IC137" s="52"/>
      <c r="ID137" s="52"/>
      <c r="IE137" s="52"/>
      <c r="IF137" s="52"/>
      <c r="IG137" s="52"/>
      <c r="IH137" s="53"/>
      <c r="II137" s="53"/>
      <c r="IJ137" s="53"/>
      <c r="IK137" s="53"/>
      <c r="IL137" s="53"/>
      <c r="IM137" s="52"/>
      <c r="IN137" s="52">
        <v>90.013000000000005</v>
      </c>
      <c r="IY137" s="48">
        <f t="shared" si="8"/>
        <v>47.35441536664834</v>
      </c>
      <c r="IZ137" s="48">
        <f>IY137-'NOPA Crush'!J137</f>
        <v>0.12441536664834274</v>
      </c>
      <c r="JB137" s="63">
        <f t="shared" si="6"/>
        <v>11.081343030211753</v>
      </c>
      <c r="JC137" s="64">
        <f>JB137-'NOPA Crush'!O137</f>
        <v>-6.8656969788246869E-2</v>
      </c>
      <c r="JD137" s="65"/>
      <c r="JE137" s="67">
        <f t="shared" si="7"/>
        <v>1473.038</v>
      </c>
      <c r="JF137" s="68">
        <f>'NOPA Crush'!Q137/'Census Crush'!JE137</f>
        <v>0.3598542603788904</v>
      </c>
    </row>
    <row r="138" spans="1:266">
      <c r="A138" s="39">
        <v>33239</v>
      </c>
      <c r="B138" s="10">
        <v>3149.82</v>
      </c>
      <c r="C138" s="11">
        <v>2800</v>
      </c>
      <c r="D138" s="11">
        <v>350</v>
      </c>
      <c r="E138" s="11">
        <v>2000</v>
      </c>
      <c r="F138" s="11">
        <v>20</v>
      </c>
      <c r="G138" s="11">
        <v>60</v>
      </c>
      <c r="H138" s="11" t="s">
        <v>264</v>
      </c>
      <c r="I138" s="11" t="s">
        <v>264</v>
      </c>
      <c r="J138" s="50" t="s">
        <v>264</v>
      </c>
      <c r="K138" s="10">
        <v>1173.9379140000001</v>
      </c>
      <c r="L138" s="49">
        <v>1640</v>
      </c>
      <c r="M138" s="11">
        <v>1400</v>
      </c>
      <c r="N138" s="11">
        <v>240</v>
      </c>
      <c r="O138" s="11">
        <v>110</v>
      </c>
      <c r="P138" s="51">
        <v>115</v>
      </c>
      <c r="Q138" s="11">
        <v>40</v>
      </c>
      <c r="R138" s="11">
        <v>75</v>
      </c>
      <c r="S138" s="11"/>
      <c r="T138" s="10">
        <v>16.8</v>
      </c>
      <c r="U138" s="51">
        <v>18.2</v>
      </c>
      <c r="V138" s="11">
        <v>15</v>
      </c>
      <c r="W138" s="11">
        <v>3.2</v>
      </c>
      <c r="X138" s="10">
        <v>45</v>
      </c>
      <c r="Y138" s="10">
        <v>11.3</v>
      </c>
      <c r="Z138" s="49">
        <v>158</v>
      </c>
      <c r="AA138" s="11">
        <v>150</v>
      </c>
      <c r="AB138" s="11">
        <v>8</v>
      </c>
      <c r="AC138" s="11" t="s">
        <v>264</v>
      </c>
      <c r="AD138" s="11">
        <v>10</v>
      </c>
      <c r="AE138" s="11"/>
      <c r="AF138" s="51"/>
      <c r="AG138" s="11" t="s">
        <v>264</v>
      </c>
      <c r="AH138" s="11">
        <v>30</v>
      </c>
      <c r="AI138" s="10">
        <v>125</v>
      </c>
      <c r="AJ138" s="10"/>
      <c r="AK138" s="10"/>
      <c r="AL138" s="51">
        <v>104</v>
      </c>
      <c r="AM138" s="11">
        <v>70</v>
      </c>
      <c r="AN138" s="11">
        <v>34</v>
      </c>
      <c r="AO138" s="10">
        <v>2383.4687940000003</v>
      </c>
      <c r="AP138" s="11">
        <v>430</v>
      </c>
      <c r="AQ138" s="10">
        <v>112.44857400000001</v>
      </c>
      <c r="AR138" s="11">
        <v>37</v>
      </c>
      <c r="AS138" s="11">
        <v>160</v>
      </c>
      <c r="AT138" s="11">
        <v>120</v>
      </c>
      <c r="AU138" s="11">
        <v>90</v>
      </c>
      <c r="AV138" s="11">
        <v>50</v>
      </c>
      <c r="AW138" s="11"/>
      <c r="AX138" s="11"/>
      <c r="AY138" s="11">
        <v>35</v>
      </c>
      <c r="AZ138" s="11">
        <v>7</v>
      </c>
      <c r="BA138" s="11" t="s">
        <v>264</v>
      </c>
      <c r="BB138" s="11" t="s">
        <v>264</v>
      </c>
      <c r="BC138" s="50"/>
      <c r="BD138" s="8">
        <v>93.73</v>
      </c>
      <c r="BE138" s="8">
        <v>38</v>
      </c>
      <c r="BF138" s="52"/>
      <c r="BG138" s="52"/>
      <c r="BH138" s="8">
        <v>306.26</v>
      </c>
      <c r="BI138" s="8"/>
      <c r="BJ138" s="8"/>
      <c r="BK138" s="8">
        <v>164.73</v>
      </c>
      <c r="BL138" s="8">
        <v>4.26</v>
      </c>
      <c r="BM138" s="8">
        <v>475.267</v>
      </c>
      <c r="BN138" s="8">
        <v>245</v>
      </c>
      <c r="BO138" s="8"/>
      <c r="BP138" s="8"/>
      <c r="BQ138" s="8">
        <v>110</v>
      </c>
      <c r="BR138" s="8">
        <v>6</v>
      </c>
      <c r="BS138" s="12">
        <v>361</v>
      </c>
      <c r="BT138" s="52" t="s">
        <v>264</v>
      </c>
      <c r="BU138" s="8">
        <v>25</v>
      </c>
      <c r="BV138" s="11">
        <v>319.3</v>
      </c>
      <c r="BW138" s="11">
        <v>90</v>
      </c>
      <c r="BX138" s="10">
        <v>413</v>
      </c>
      <c r="BY138" s="11">
        <v>46</v>
      </c>
      <c r="BZ138" s="11">
        <v>10</v>
      </c>
      <c r="CA138" s="49">
        <v>56</v>
      </c>
      <c r="CB138" s="8"/>
      <c r="CC138" s="52"/>
      <c r="CD138" s="52"/>
      <c r="CE138" s="52"/>
      <c r="CF138" s="8">
        <v>129.83000000000001</v>
      </c>
      <c r="CG138" s="8">
        <v>100</v>
      </c>
      <c r="CH138" s="8">
        <v>33</v>
      </c>
      <c r="CI138" s="8"/>
      <c r="CJ138" s="8"/>
      <c r="CK138" s="52"/>
      <c r="CL138" s="52"/>
      <c r="CM138" s="52"/>
      <c r="CN138" s="8">
        <v>52</v>
      </c>
      <c r="CO138" s="52">
        <v>413</v>
      </c>
      <c r="CP138" s="8">
        <v>375</v>
      </c>
      <c r="CQ138" s="8">
        <v>38</v>
      </c>
      <c r="CR138" s="52" t="s">
        <v>264</v>
      </c>
      <c r="CS138" s="8">
        <v>66</v>
      </c>
      <c r="CT138" s="8">
        <v>38</v>
      </c>
      <c r="CU138" s="8">
        <v>28</v>
      </c>
      <c r="CV138" s="8">
        <v>30</v>
      </c>
      <c r="CW138" s="8">
        <v>10</v>
      </c>
      <c r="CX138" s="8">
        <v>20</v>
      </c>
      <c r="CY138" s="52" t="s">
        <v>264</v>
      </c>
      <c r="CZ138" s="8">
        <v>100</v>
      </c>
      <c r="DA138" s="52">
        <v>42.5</v>
      </c>
      <c r="DB138" s="8">
        <v>39</v>
      </c>
      <c r="DC138" s="8">
        <v>3.5</v>
      </c>
      <c r="DD138" s="52"/>
      <c r="DE138" s="52"/>
      <c r="DF138" s="53"/>
      <c r="DG138" s="53">
        <v>115.13468128087685</v>
      </c>
      <c r="DH138" s="53"/>
      <c r="DI138" s="53">
        <v>600.62454027241631</v>
      </c>
      <c r="DJ138" s="53">
        <v>186.1114942896574</v>
      </c>
      <c r="DK138" s="53">
        <v>554.28168570114201</v>
      </c>
      <c r="DL138" s="53">
        <v>139.48670600236014</v>
      </c>
      <c r="DM138" s="53">
        <v>219.90829849790987</v>
      </c>
      <c r="DN138" s="53"/>
      <c r="DO138" s="53">
        <v>168.56112046722805</v>
      </c>
      <c r="DP138" s="53">
        <v>190.51670860251616</v>
      </c>
      <c r="DQ138" s="53"/>
      <c r="DR138" s="53"/>
      <c r="DS138" s="53">
        <v>821.48436506190376</v>
      </c>
      <c r="DT138" s="53">
        <v>3149.8692005520329</v>
      </c>
      <c r="DU138" s="53">
        <v>-268.89428165689969</v>
      </c>
      <c r="DV138" s="53">
        <v>4.9200552032743872E-2</v>
      </c>
      <c r="DW138" s="52"/>
      <c r="DX138" s="52"/>
      <c r="DY138" s="52"/>
      <c r="DZ138" s="52"/>
      <c r="EA138" s="52"/>
      <c r="EB138" s="52"/>
      <c r="EC138" s="52"/>
      <c r="ED138" s="52"/>
      <c r="EE138" s="52"/>
      <c r="EF138" s="52"/>
      <c r="EG138" s="52"/>
      <c r="EH138" s="52"/>
      <c r="EI138" s="52"/>
      <c r="EJ138" s="52"/>
      <c r="EK138" s="52"/>
      <c r="EL138" s="52"/>
      <c r="EM138" s="52"/>
      <c r="EN138" s="52"/>
      <c r="EO138" s="52"/>
      <c r="EP138" s="52"/>
      <c r="EQ138" s="52"/>
      <c r="ER138" s="52"/>
      <c r="ES138" s="52"/>
      <c r="ET138" s="52"/>
      <c r="EU138" s="52"/>
      <c r="EV138" s="52"/>
      <c r="EW138" s="52"/>
      <c r="EX138" s="52"/>
      <c r="EY138" s="52"/>
      <c r="EZ138" s="52"/>
      <c r="FA138" s="52"/>
      <c r="FB138" s="52"/>
      <c r="FC138" s="52"/>
      <c r="FD138" s="52"/>
      <c r="FE138" s="52"/>
      <c r="FF138" s="52"/>
      <c r="FG138" s="52"/>
      <c r="FH138" s="52"/>
      <c r="FI138" s="52"/>
      <c r="FJ138" s="52"/>
      <c r="FK138" s="52"/>
      <c r="FL138" s="52"/>
      <c r="FM138" s="52"/>
      <c r="FN138" s="52"/>
      <c r="FO138" s="52"/>
      <c r="FP138" s="52"/>
      <c r="FQ138" s="52"/>
      <c r="FR138" s="52"/>
      <c r="FS138" s="52"/>
      <c r="FT138" s="52"/>
      <c r="FU138" s="52"/>
      <c r="FV138" s="52"/>
      <c r="FW138" s="52"/>
      <c r="FX138" s="52"/>
      <c r="FY138" s="52"/>
      <c r="FZ138" s="52"/>
      <c r="GA138" s="52"/>
      <c r="GB138" s="52"/>
      <c r="GC138" s="52"/>
      <c r="GD138" s="52"/>
      <c r="GE138" s="52"/>
      <c r="GF138" s="52"/>
      <c r="GG138" s="52"/>
      <c r="GH138" s="52"/>
      <c r="GI138" s="52"/>
      <c r="GJ138" s="52"/>
      <c r="GK138" s="52"/>
      <c r="GL138" s="52"/>
      <c r="GM138" s="52"/>
      <c r="GN138" s="52"/>
      <c r="GO138" s="52"/>
      <c r="GP138" s="52"/>
      <c r="GQ138" s="52"/>
      <c r="GR138" s="52"/>
      <c r="GS138" s="52"/>
      <c r="GT138" s="52"/>
      <c r="GU138" s="52"/>
      <c r="GV138" s="52"/>
      <c r="GW138" s="52"/>
      <c r="GX138" s="52"/>
      <c r="GY138" s="17"/>
      <c r="GZ138" s="52">
        <v>940</v>
      </c>
      <c r="HA138" s="52"/>
      <c r="HB138" s="17"/>
      <c r="HC138" s="17"/>
      <c r="HD138" s="17"/>
      <c r="HE138" s="17"/>
      <c r="HF138" s="52"/>
      <c r="HG138" s="52"/>
      <c r="HH138" s="52"/>
      <c r="HI138" s="52"/>
      <c r="HJ138" s="52"/>
      <c r="HK138" s="52"/>
      <c r="HL138" s="52"/>
      <c r="HM138" s="52"/>
      <c r="HN138" s="52"/>
      <c r="HO138" s="52"/>
      <c r="HP138" s="52"/>
      <c r="HQ138" s="52"/>
      <c r="HR138" s="52"/>
      <c r="HS138" s="52"/>
      <c r="HT138" s="52"/>
      <c r="HU138" s="52"/>
      <c r="HV138" s="52"/>
      <c r="HW138" s="52"/>
      <c r="HX138" s="52"/>
      <c r="HY138" s="52"/>
      <c r="HZ138" s="52"/>
      <c r="IA138" s="52"/>
      <c r="IB138" s="52"/>
      <c r="IC138" s="52"/>
      <c r="ID138" s="52"/>
      <c r="IE138" s="52"/>
      <c r="IF138" s="52"/>
      <c r="IG138" s="52"/>
      <c r="IH138" s="53"/>
      <c r="II138" s="53"/>
      <c r="IJ138" s="53"/>
      <c r="IK138" s="53"/>
      <c r="IL138" s="53"/>
      <c r="IM138" s="52"/>
      <c r="IN138" s="52">
        <v>92.2</v>
      </c>
      <c r="IY138" s="48">
        <f t="shared" si="8"/>
        <v>47.544000000000004</v>
      </c>
      <c r="IZ138" s="48">
        <f>IY138-'NOPA Crush'!J138</f>
        <v>0.12400000000000233</v>
      </c>
      <c r="JB138" s="63">
        <f t="shared" si="6"/>
        <v>11.181000000000001</v>
      </c>
      <c r="JC138" s="64">
        <f>JB138-'NOPA Crush'!O138</f>
        <v>-2.8999999999999915E-2</v>
      </c>
      <c r="JD138" s="65"/>
      <c r="JE138" s="67">
        <f t="shared" si="7"/>
        <v>1640</v>
      </c>
      <c r="JF138" s="68">
        <f>'NOPA Crush'!Q138/'Census Crush'!JE138</f>
        <v>0.32465731707317075</v>
      </c>
    </row>
    <row r="139" spans="1:266">
      <c r="A139" s="39">
        <v>33270</v>
      </c>
      <c r="B139" s="10">
        <v>2748.0299999999997</v>
      </c>
      <c r="C139" s="11">
        <v>2400</v>
      </c>
      <c r="D139" s="11">
        <v>328</v>
      </c>
      <c r="E139" s="11">
        <v>1700</v>
      </c>
      <c r="F139" s="11">
        <v>35</v>
      </c>
      <c r="G139" s="11">
        <v>70</v>
      </c>
      <c r="H139" s="11" t="s">
        <v>264</v>
      </c>
      <c r="I139" s="11" t="s">
        <v>264</v>
      </c>
      <c r="J139" s="50" t="s">
        <v>264</v>
      </c>
      <c r="K139" s="10">
        <v>1024.1907809999998</v>
      </c>
      <c r="L139" s="49">
        <v>1742</v>
      </c>
      <c r="M139" s="11">
        <v>1500</v>
      </c>
      <c r="N139" s="11">
        <v>242</v>
      </c>
      <c r="O139" s="11">
        <v>105</v>
      </c>
      <c r="P139" s="51">
        <v>136</v>
      </c>
      <c r="Q139" s="11">
        <v>41</v>
      </c>
      <c r="R139" s="11">
        <v>95</v>
      </c>
      <c r="S139" s="11"/>
      <c r="T139" s="10">
        <v>32</v>
      </c>
      <c r="U139" s="51">
        <v>21.2</v>
      </c>
      <c r="V139" s="11">
        <v>18</v>
      </c>
      <c r="W139" s="11">
        <v>3.2</v>
      </c>
      <c r="X139" s="10">
        <v>58</v>
      </c>
      <c r="Y139" s="10">
        <v>13</v>
      </c>
      <c r="Z139" s="49">
        <v>149</v>
      </c>
      <c r="AA139" s="11">
        <v>140</v>
      </c>
      <c r="AB139" s="11">
        <v>9</v>
      </c>
      <c r="AC139" s="11" t="s">
        <v>264</v>
      </c>
      <c r="AD139" s="11">
        <v>10</v>
      </c>
      <c r="AE139" s="11"/>
      <c r="AF139" s="51"/>
      <c r="AG139" s="11" t="s">
        <v>264</v>
      </c>
      <c r="AH139" s="11">
        <v>30</v>
      </c>
      <c r="AI139" s="10">
        <v>135</v>
      </c>
      <c r="AJ139" s="10"/>
      <c r="AK139" s="10"/>
      <c r="AL139" s="51">
        <v>100</v>
      </c>
      <c r="AM139" s="11">
        <v>65</v>
      </c>
      <c r="AN139" s="11">
        <v>35</v>
      </c>
      <c r="AO139" s="10">
        <v>2079.4343009999998</v>
      </c>
      <c r="AP139" s="11">
        <v>450</v>
      </c>
      <c r="AQ139" s="10">
        <v>98.104670999999996</v>
      </c>
      <c r="AR139" s="11">
        <v>37</v>
      </c>
      <c r="AS139" s="11">
        <v>150</v>
      </c>
      <c r="AT139" s="11">
        <v>118</v>
      </c>
      <c r="AU139" s="11">
        <v>80</v>
      </c>
      <c r="AV139" s="11">
        <v>55</v>
      </c>
      <c r="AW139" s="11"/>
      <c r="AX139" s="11"/>
      <c r="AY139" s="11">
        <v>35</v>
      </c>
      <c r="AZ139" s="11">
        <v>6</v>
      </c>
      <c r="BA139" s="11" t="s">
        <v>264</v>
      </c>
      <c r="BB139" s="11" t="s">
        <v>264</v>
      </c>
      <c r="BC139" s="50"/>
      <c r="BD139" s="8">
        <v>93.73</v>
      </c>
      <c r="BE139" s="8">
        <v>38</v>
      </c>
      <c r="BF139" s="52"/>
      <c r="BG139" s="52"/>
      <c r="BH139" s="8">
        <v>306.26</v>
      </c>
      <c r="BI139" s="8"/>
      <c r="BJ139" s="8"/>
      <c r="BK139" s="8">
        <v>164.73</v>
      </c>
      <c r="BL139" s="8">
        <v>4.26</v>
      </c>
      <c r="BM139" s="8">
        <v>475.267</v>
      </c>
      <c r="BN139" s="8">
        <v>260</v>
      </c>
      <c r="BO139" s="8"/>
      <c r="BP139" s="8"/>
      <c r="BQ139" s="8">
        <v>100</v>
      </c>
      <c r="BR139" s="8">
        <v>6</v>
      </c>
      <c r="BS139" s="12">
        <v>366</v>
      </c>
      <c r="BT139" s="52" t="s">
        <v>264</v>
      </c>
      <c r="BU139" s="8">
        <v>24.5</v>
      </c>
      <c r="BV139" s="11">
        <v>330</v>
      </c>
      <c r="BW139" s="11">
        <v>95</v>
      </c>
      <c r="BX139" s="10">
        <v>429.5</v>
      </c>
      <c r="BY139" s="11">
        <v>47</v>
      </c>
      <c r="BZ139" s="11">
        <v>11</v>
      </c>
      <c r="CA139" s="49">
        <v>58</v>
      </c>
      <c r="CB139" s="8"/>
      <c r="CC139" s="52"/>
      <c r="CD139" s="52"/>
      <c r="CE139" s="52"/>
      <c r="CF139" s="8">
        <v>129.83000000000001</v>
      </c>
      <c r="CG139" s="8">
        <v>120</v>
      </c>
      <c r="CH139" s="8">
        <v>31</v>
      </c>
      <c r="CI139" s="8"/>
      <c r="CJ139" s="8"/>
      <c r="CK139" s="52"/>
      <c r="CL139" s="52"/>
      <c r="CM139" s="52"/>
      <c r="CN139" s="8">
        <v>52</v>
      </c>
      <c r="CO139" s="52">
        <v>464</v>
      </c>
      <c r="CP139" s="8">
        <v>425</v>
      </c>
      <c r="CQ139" s="8">
        <v>39</v>
      </c>
      <c r="CR139" s="52" t="s">
        <v>264</v>
      </c>
      <c r="CS139" s="8">
        <v>71</v>
      </c>
      <c r="CT139" s="8">
        <v>39</v>
      </c>
      <c r="CU139" s="8">
        <v>32</v>
      </c>
      <c r="CV139" s="8">
        <v>31</v>
      </c>
      <c r="CW139" s="8">
        <v>10</v>
      </c>
      <c r="CX139" s="8">
        <v>21</v>
      </c>
      <c r="CY139" s="52" t="s">
        <v>264</v>
      </c>
      <c r="CZ139" s="8">
        <v>110</v>
      </c>
      <c r="DA139" s="52">
        <v>39</v>
      </c>
      <c r="DB139" s="8">
        <v>36</v>
      </c>
      <c r="DC139" s="8">
        <v>3</v>
      </c>
      <c r="DD139" s="52"/>
      <c r="DE139" s="52"/>
      <c r="DF139" s="53"/>
      <c r="DG139" s="53">
        <v>100.44798167890073</v>
      </c>
      <c r="DH139" s="53"/>
      <c r="DI139" s="53">
        <v>524.00824969498171</v>
      </c>
      <c r="DJ139" s="53">
        <v>162.37091865511931</v>
      </c>
      <c r="DK139" s="53">
        <v>483.57693781626898</v>
      </c>
      <c r="DL139" s="53">
        <v>121.6936368182091</v>
      </c>
      <c r="DM139" s="53">
        <v>191.85656739404365</v>
      </c>
      <c r="DN139" s="53"/>
      <c r="DO139" s="53">
        <v>147.05928875732545</v>
      </c>
      <c r="DP139" s="53">
        <v>166.21419925195514</v>
      </c>
      <c r="DQ139" s="53"/>
      <c r="DR139" s="53"/>
      <c r="DS139" s="53">
        <v>716.69496569794183</v>
      </c>
      <c r="DT139" s="53">
        <v>2748.0686117167029</v>
      </c>
      <c r="DU139" s="53">
        <v>-234.59384763085791</v>
      </c>
      <c r="DV139" s="53">
        <v>3.8611716703144339E-2</v>
      </c>
      <c r="DW139" s="52"/>
      <c r="DX139" s="52"/>
      <c r="DY139" s="52"/>
      <c r="DZ139" s="52"/>
      <c r="EA139" s="52"/>
      <c r="EB139" s="52"/>
      <c r="EC139" s="52"/>
      <c r="ED139" s="52"/>
      <c r="EE139" s="52"/>
      <c r="EF139" s="52"/>
      <c r="EG139" s="52"/>
      <c r="EH139" s="52"/>
      <c r="EI139" s="52"/>
      <c r="EJ139" s="52"/>
      <c r="EK139" s="52"/>
      <c r="EL139" s="52"/>
      <c r="EM139" s="52"/>
      <c r="EN139" s="52"/>
      <c r="EO139" s="52"/>
      <c r="EP139" s="52"/>
      <c r="EQ139" s="52"/>
      <c r="ER139" s="52"/>
      <c r="ES139" s="52"/>
      <c r="ET139" s="52"/>
      <c r="EU139" s="52"/>
      <c r="EV139" s="52"/>
      <c r="EW139" s="52"/>
      <c r="EX139" s="52"/>
      <c r="EY139" s="52"/>
      <c r="EZ139" s="52"/>
      <c r="FA139" s="52"/>
      <c r="FB139" s="52"/>
      <c r="FC139" s="52"/>
      <c r="FD139" s="52"/>
      <c r="FE139" s="52"/>
      <c r="FF139" s="52"/>
      <c r="FG139" s="52"/>
      <c r="FH139" s="52"/>
      <c r="FI139" s="52"/>
      <c r="FJ139" s="52"/>
      <c r="FK139" s="52"/>
      <c r="FL139" s="52"/>
      <c r="FM139" s="52"/>
      <c r="FN139" s="52"/>
      <c r="FO139" s="52"/>
      <c r="FP139" s="52"/>
      <c r="FQ139" s="52"/>
      <c r="FR139" s="52"/>
      <c r="FS139" s="52"/>
      <c r="FT139" s="52"/>
      <c r="FU139" s="52"/>
      <c r="FV139" s="52"/>
      <c r="FW139" s="52"/>
      <c r="FX139" s="52"/>
      <c r="FY139" s="52"/>
      <c r="FZ139" s="52"/>
      <c r="GA139" s="52"/>
      <c r="GB139" s="52"/>
      <c r="GC139" s="52"/>
      <c r="GD139" s="52"/>
      <c r="GE139" s="52"/>
      <c r="GF139" s="52"/>
      <c r="GG139" s="52"/>
      <c r="GH139" s="52"/>
      <c r="GI139" s="52"/>
      <c r="GJ139" s="52"/>
      <c r="GK139" s="52"/>
      <c r="GL139" s="52"/>
      <c r="GM139" s="52"/>
      <c r="GN139" s="52"/>
      <c r="GO139" s="52"/>
      <c r="GP139" s="52"/>
      <c r="GQ139" s="52"/>
      <c r="GR139" s="52"/>
      <c r="GS139" s="52"/>
      <c r="GT139" s="52"/>
      <c r="GU139" s="52"/>
      <c r="GV139" s="52"/>
      <c r="GW139" s="52"/>
      <c r="GX139" s="52"/>
      <c r="GY139" s="17"/>
      <c r="GZ139" s="52">
        <v>870</v>
      </c>
      <c r="HA139" s="52"/>
      <c r="HB139" s="17"/>
      <c r="HC139" s="17"/>
      <c r="HD139" s="17"/>
      <c r="HE139" s="17"/>
      <c r="HF139" s="52"/>
      <c r="HG139" s="52"/>
      <c r="HH139" s="52"/>
      <c r="HI139" s="52"/>
      <c r="HJ139" s="52"/>
      <c r="HK139" s="52"/>
      <c r="HL139" s="52"/>
      <c r="HM139" s="52"/>
      <c r="HN139" s="52"/>
      <c r="HO139" s="52"/>
      <c r="HP139" s="52"/>
      <c r="HQ139" s="52"/>
      <c r="HR139" s="52"/>
      <c r="HS139" s="52"/>
      <c r="HT139" s="52"/>
      <c r="HU139" s="52"/>
      <c r="HV139" s="52"/>
      <c r="HW139" s="52"/>
      <c r="HX139" s="52"/>
      <c r="HY139" s="52"/>
      <c r="HZ139" s="52"/>
      <c r="IA139" s="52"/>
      <c r="IB139" s="52"/>
      <c r="IC139" s="52"/>
      <c r="ID139" s="52"/>
      <c r="IE139" s="52"/>
      <c r="IF139" s="52"/>
      <c r="IG139" s="52"/>
      <c r="IH139" s="53"/>
      <c r="II139" s="53"/>
      <c r="IJ139" s="53"/>
      <c r="IK139" s="53"/>
      <c r="IL139" s="53"/>
      <c r="IM139" s="52"/>
      <c r="IN139" s="52">
        <v>80</v>
      </c>
      <c r="IY139" s="48">
        <f t="shared" si="8"/>
        <v>47.544000000000004</v>
      </c>
      <c r="IZ139" s="48">
        <f>IY139-'NOPA Crush'!J139</f>
        <v>0.20400000000000063</v>
      </c>
      <c r="JB139" s="63">
        <f t="shared" si="6"/>
        <v>11.180999999999999</v>
      </c>
      <c r="JC139" s="64">
        <f>JB139-'NOPA Crush'!O139</f>
        <v>-3.9000000000001478E-2</v>
      </c>
      <c r="JD139" s="65"/>
      <c r="JE139" s="67">
        <f t="shared" si="7"/>
        <v>1742</v>
      </c>
      <c r="JF139" s="68">
        <f>'NOPA Crush'!Q139/'Census Crush'!JE139</f>
        <v>0.32289552238805974</v>
      </c>
    </row>
    <row r="140" spans="1:266">
      <c r="A140" s="39">
        <v>33298</v>
      </c>
      <c r="B140" s="10">
        <v>3040.05</v>
      </c>
      <c r="C140" s="50">
        <v>2355.3000000000002</v>
      </c>
      <c r="D140" s="11">
        <v>295</v>
      </c>
      <c r="E140" s="50">
        <v>1563</v>
      </c>
      <c r="F140" s="11">
        <v>29.4</v>
      </c>
      <c r="G140" s="11">
        <v>90.9</v>
      </c>
      <c r="H140" s="50">
        <v>91</v>
      </c>
      <c r="I140" s="11" t="s">
        <v>264</v>
      </c>
      <c r="J140" s="50" t="s">
        <v>264</v>
      </c>
      <c r="K140" s="13">
        <v>1132.971305</v>
      </c>
      <c r="L140" s="49">
        <v>1874.6</v>
      </c>
      <c r="M140" s="49">
        <v>1629</v>
      </c>
      <c r="N140" s="49">
        <v>245.6</v>
      </c>
      <c r="O140" s="11">
        <v>95</v>
      </c>
      <c r="P140" s="51">
        <v>146.80000000000001</v>
      </c>
      <c r="Q140" s="49">
        <v>43.5</v>
      </c>
      <c r="R140" s="49">
        <v>103.3</v>
      </c>
      <c r="S140" s="49"/>
      <c r="T140" s="10">
        <v>22</v>
      </c>
      <c r="U140" s="51">
        <v>24.599999999999998</v>
      </c>
      <c r="V140" s="49">
        <v>21.2</v>
      </c>
      <c r="W140" s="49">
        <v>3.4</v>
      </c>
      <c r="X140" s="10">
        <v>79.099999999999994</v>
      </c>
      <c r="Y140" s="10">
        <v>15</v>
      </c>
      <c r="Z140" s="49">
        <v>150.19999999999999</v>
      </c>
      <c r="AA140" s="49">
        <v>139.5</v>
      </c>
      <c r="AB140" s="49">
        <v>10.7</v>
      </c>
      <c r="AC140" s="49" t="s">
        <v>264</v>
      </c>
      <c r="AD140" s="49">
        <v>10.1</v>
      </c>
      <c r="AE140" s="49"/>
      <c r="AF140" s="51">
        <v>74</v>
      </c>
      <c r="AG140" s="49">
        <v>44.2</v>
      </c>
      <c r="AH140" s="49">
        <v>29.8</v>
      </c>
      <c r="AI140" s="10">
        <v>145</v>
      </c>
      <c r="AJ140" s="10"/>
      <c r="AK140" s="10"/>
      <c r="AL140" s="51">
        <v>98.1</v>
      </c>
      <c r="AM140" s="49">
        <v>62</v>
      </c>
      <c r="AN140" s="49">
        <v>36.1</v>
      </c>
      <c r="AO140" s="13">
        <v>2300.0969050000003</v>
      </c>
      <c r="AP140" s="49">
        <v>490.2</v>
      </c>
      <c r="AQ140" s="13">
        <v>108.54675500000002</v>
      </c>
      <c r="AR140" s="49">
        <v>37.6</v>
      </c>
      <c r="AS140" s="11">
        <v>146.19999999999999</v>
      </c>
      <c r="AT140" s="50">
        <v>116.9</v>
      </c>
      <c r="AU140" s="11">
        <v>71.400000000000006</v>
      </c>
      <c r="AV140" s="50">
        <v>57.8</v>
      </c>
      <c r="AW140" s="11"/>
      <c r="AX140" s="11"/>
      <c r="AY140" s="11">
        <v>35.6</v>
      </c>
      <c r="AZ140" s="50">
        <v>5.0999999999999996</v>
      </c>
      <c r="BA140" s="11" t="s">
        <v>264</v>
      </c>
      <c r="BB140" s="11" t="s">
        <v>264</v>
      </c>
      <c r="BC140" s="50"/>
      <c r="BD140" s="8">
        <v>93.73</v>
      </c>
      <c r="BE140" s="52">
        <v>38.4</v>
      </c>
      <c r="BF140" s="52"/>
      <c r="BG140" s="52"/>
      <c r="BH140" s="8">
        <v>306.26</v>
      </c>
      <c r="BI140" s="8"/>
      <c r="BJ140" s="8"/>
      <c r="BK140" s="8">
        <v>164.73</v>
      </c>
      <c r="BL140" s="8">
        <v>4.26</v>
      </c>
      <c r="BM140" s="8">
        <v>475.267</v>
      </c>
      <c r="BN140" s="52">
        <v>280.10000000000002</v>
      </c>
      <c r="BO140" s="52"/>
      <c r="BP140" s="52"/>
      <c r="BQ140" s="52">
        <v>90.2</v>
      </c>
      <c r="BR140" s="52">
        <v>6.3</v>
      </c>
      <c r="BS140" s="53">
        <v>376.6</v>
      </c>
      <c r="BT140" s="52" t="s">
        <v>264</v>
      </c>
      <c r="BU140" s="52">
        <v>24.4</v>
      </c>
      <c r="BV140" s="11">
        <v>340</v>
      </c>
      <c r="BW140" s="11">
        <v>101.4</v>
      </c>
      <c r="BX140" s="10">
        <v>444</v>
      </c>
      <c r="BY140" s="50">
        <v>48.8</v>
      </c>
      <c r="BZ140" s="50">
        <v>13.1</v>
      </c>
      <c r="CA140" s="49">
        <v>61.9</v>
      </c>
      <c r="CB140" s="52"/>
      <c r="CC140" s="52"/>
      <c r="CD140" s="52"/>
      <c r="CE140" s="52"/>
      <c r="CF140" s="8">
        <v>129.83000000000001</v>
      </c>
      <c r="CG140" s="52">
        <v>144.5</v>
      </c>
      <c r="CH140" s="52">
        <v>29.7</v>
      </c>
      <c r="CI140" s="52"/>
      <c r="CJ140" s="52"/>
      <c r="CK140" s="52"/>
      <c r="CL140" s="52"/>
      <c r="CM140" s="52"/>
      <c r="CN140" s="8">
        <v>50.4</v>
      </c>
      <c r="CO140" s="52">
        <v>486</v>
      </c>
      <c r="CP140" s="52">
        <v>445.4</v>
      </c>
      <c r="CQ140" s="52">
        <v>40.6</v>
      </c>
      <c r="CR140" s="52" t="s">
        <v>264</v>
      </c>
      <c r="CS140" s="52">
        <v>74.599999999999994</v>
      </c>
      <c r="CT140" s="52">
        <v>40.4</v>
      </c>
      <c r="CU140" s="52">
        <v>34.200000000000003</v>
      </c>
      <c r="CV140" s="52">
        <v>33.4</v>
      </c>
      <c r="CW140" s="52">
        <v>10.7</v>
      </c>
      <c r="CX140" s="52">
        <v>22.7</v>
      </c>
      <c r="CY140" s="52" t="s">
        <v>264</v>
      </c>
      <c r="CZ140" s="52">
        <v>115.5</v>
      </c>
      <c r="DA140" s="52">
        <v>35.9</v>
      </c>
      <c r="DB140" s="52">
        <v>33</v>
      </c>
      <c r="DC140" s="52">
        <v>2.9</v>
      </c>
      <c r="DD140" s="52"/>
      <c r="DE140" s="52"/>
      <c r="DF140" s="53"/>
      <c r="DG140" s="53">
        <v>111.1173370402224</v>
      </c>
      <c r="DH140" s="53"/>
      <c r="DI140" s="53">
        <v>579.66721003260182</v>
      </c>
      <c r="DJ140" s="53">
        <v>179.61758705522331</v>
      </c>
      <c r="DK140" s="53">
        <v>534.94137648258902</v>
      </c>
      <c r="DL140" s="53">
        <v>134.61965717943082</v>
      </c>
      <c r="DM140" s="53">
        <v>212.23513410804648</v>
      </c>
      <c r="DN140" s="53"/>
      <c r="DO140" s="53">
        <v>162.67959077544654</v>
      </c>
      <c r="DP140" s="53">
        <v>183.86909214552875</v>
      </c>
      <c r="DQ140" s="53"/>
      <c r="DR140" s="53"/>
      <c r="DS140" s="53">
        <v>792.82066924015453</v>
      </c>
      <c r="DT140" s="53">
        <v>3039.9621877312634</v>
      </c>
      <c r="DU140" s="53">
        <v>-259.5118707122424</v>
      </c>
      <c r="DV140" s="53">
        <v>-8.7812268736797705E-2</v>
      </c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  <c r="EN140" s="52"/>
      <c r="EO140" s="52"/>
      <c r="EP140" s="52"/>
      <c r="EQ140" s="52"/>
      <c r="ER140" s="52"/>
      <c r="ES140" s="52"/>
      <c r="ET140" s="52"/>
      <c r="EU140" s="52"/>
      <c r="EV140" s="52"/>
      <c r="EW140" s="52"/>
      <c r="EX140" s="52"/>
      <c r="EY140" s="52"/>
      <c r="EZ140" s="52"/>
      <c r="FA140" s="52"/>
      <c r="FB140" s="52"/>
      <c r="FC140" s="52"/>
      <c r="FD140" s="52"/>
      <c r="FE140" s="52"/>
      <c r="FF140" s="52"/>
      <c r="FG140" s="52"/>
      <c r="FH140" s="52"/>
      <c r="FI140" s="52"/>
      <c r="FJ140" s="52"/>
      <c r="FK140" s="52"/>
      <c r="FL140" s="52"/>
      <c r="FM140" s="52"/>
      <c r="FN140" s="52"/>
      <c r="FO140" s="52"/>
      <c r="FP140" s="52"/>
      <c r="FQ140" s="52"/>
      <c r="FR140" s="52"/>
      <c r="FS140" s="52"/>
      <c r="FT140" s="52"/>
      <c r="FU140" s="52"/>
      <c r="FV140" s="52"/>
      <c r="FW140" s="52"/>
      <c r="FX140" s="52"/>
      <c r="FY140" s="52"/>
      <c r="FZ140" s="52"/>
      <c r="GA140" s="52"/>
      <c r="GB140" s="52"/>
      <c r="GC140" s="52"/>
      <c r="GD140" s="52"/>
      <c r="GE140" s="52"/>
      <c r="GF140" s="52"/>
      <c r="GG140" s="52"/>
      <c r="GH140" s="52"/>
      <c r="GI140" s="52"/>
      <c r="GJ140" s="52"/>
      <c r="GK140" s="52"/>
      <c r="GL140" s="52"/>
      <c r="GM140" s="52"/>
      <c r="GN140" s="52"/>
      <c r="GO140" s="52"/>
      <c r="GP140" s="52"/>
      <c r="GQ140" s="52"/>
      <c r="GR140" s="52"/>
      <c r="GS140" s="52"/>
      <c r="GT140" s="52"/>
      <c r="GU140" s="52"/>
      <c r="GV140" s="52"/>
      <c r="GW140" s="52"/>
      <c r="GX140" s="52"/>
      <c r="GY140" s="17"/>
      <c r="GZ140" s="52">
        <v>907.1</v>
      </c>
      <c r="HA140" s="52"/>
      <c r="HB140" s="17"/>
      <c r="HC140" s="17"/>
      <c r="HD140" s="17"/>
      <c r="HE140" s="17"/>
      <c r="HF140" s="52"/>
      <c r="HG140" s="52"/>
      <c r="HH140" s="52"/>
      <c r="HI140" s="52"/>
      <c r="HJ140" s="52"/>
      <c r="HK140" s="52"/>
      <c r="HL140" s="52"/>
      <c r="HM140" s="52"/>
      <c r="HN140" s="52"/>
      <c r="HO140" s="52"/>
      <c r="HP140" s="52"/>
      <c r="HQ140" s="52"/>
      <c r="HR140" s="52"/>
      <c r="HS140" s="52"/>
      <c r="HT140" s="52"/>
      <c r="HU140" s="52"/>
      <c r="HV140" s="52"/>
      <c r="HW140" s="52"/>
      <c r="HX140" s="52"/>
      <c r="HY140" s="52"/>
      <c r="HZ140" s="52"/>
      <c r="IA140" s="52"/>
      <c r="IB140" s="52"/>
      <c r="IC140" s="52"/>
      <c r="ID140" s="52"/>
      <c r="IE140" s="52"/>
      <c r="IF140" s="52"/>
      <c r="IG140" s="52"/>
      <c r="IH140" s="53"/>
      <c r="II140" s="53"/>
      <c r="IJ140" s="53"/>
      <c r="IK140" s="53"/>
      <c r="IL140" s="53"/>
      <c r="IM140" s="52"/>
      <c r="IN140" s="52">
        <v>70</v>
      </c>
      <c r="IY140" s="48">
        <f t="shared" si="8"/>
        <v>47.538237726353188</v>
      </c>
      <c r="IZ140" s="48">
        <f>IY140-'NOPA Crush'!J140</f>
        <v>0.26823772635318477</v>
      </c>
      <c r="JB140" s="63">
        <f t="shared" si="6"/>
        <v>11.180453989243597</v>
      </c>
      <c r="JC140" s="64">
        <f>JB140-'NOPA Crush'!O140</f>
        <v>-0.13954601075640305</v>
      </c>
      <c r="JD140" s="65"/>
      <c r="JE140" s="67">
        <f t="shared" si="7"/>
        <v>1874.6</v>
      </c>
      <c r="JF140" s="68">
        <f>'NOPA Crush'!Q140/'Census Crush'!JE140</f>
        <v>0.34295743091859598</v>
      </c>
    </row>
    <row r="141" spans="1:266">
      <c r="A141" s="39">
        <v>33329</v>
      </c>
      <c r="B141" s="10">
        <v>2929.29</v>
      </c>
      <c r="C141" s="11">
        <v>2100</v>
      </c>
      <c r="D141" s="11">
        <v>295</v>
      </c>
      <c r="E141" s="11">
        <v>1300</v>
      </c>
      <c r="F141" s="11">
        <v>30</v>
      </c>
      <c r="G141" s="11">
        <v>60</v>
      </c>
      <c r="H141" s="11" t="s">
        <v>264</v>
      </c>
      <c r="I141" s="11" t="s">
        <v>264</v>
      </c>
      <c r="J141" s="50" t="s">
        <v>264</v>
      </c>
      <c r="K141" s="10">
        <v>1105.514046</v>
      </c>
      <c r="L141" s="49">
        <v>1840</v>
      </c>
      <c r="M141" s="11">
        <v>1600</v>
      </c>
      <c r="N141" s="11">
        <v>240</v>
      </c>
      <c r="O141" s="11">
        <v>97</v>
      </c>
      <c r="P141" s="51">
        <v>137</v>
      </c>
      <c r="Q141" s="11">
        <v>42</v>
      </c>
      <c r="R141" s="11">
        <v>95</v>
      </c>
      <c r="S141" s="11"/>
      <c r="T141" s="10">
        <v>25</v>
      </c>
      <c r="U141" s="51">
        <v>24</v>
      </c>
      <c r="V141" s="11">
        <v>20</v>
      </c>
      <c r="W141" s="11">
        <v>4</v>
      </c>
      <c r="X141" s="10">
        <v>57</v>
      </c>
      <c r="Y141" s="10">
        <v>14</v>
      </c>
      <c r="Z141" s="49">
        <v>154</v>
      </c>
      <c r="AA141" s="11">
        <v>145</v>
      </c>
      <c r="AB141" s="11">
        <v>9</v>
      </c>
      <c r="AC141" s="11" t="s">
        <v>264</v>
      </c>
      <c r="AD141" s="11">
        <v>10</v>
      </c>
      <c r="AE141" s="11"/>
      <c r="AF141" s="51">
        <v>75</v>
      </c>
      <c r="AG141" s="11">
        <v>40</v>
      </c>
      <c r="AH141" s="11">
        <v>35</v>
      </c>
      <c r="AI141" s="10">
        <v>145</v>
      </c>
      <c r="AJ141" s="10"/>
      <c r="AK141" s="10"/>
      <c r="AL141" s="51">
        <v>107</v>
      </c>
      <c r="AM141" s="11">
        <v>70</v>
      </c>
      <c r="AN141" s="11">
        <v>37</v>
      </c>
      <c r="AO141" s="10">
        <v>2196.674571</v>
      </c>
      <c r="AP141" s="11">
        <v>450</v>
      </c>
      <c r="AQ141" s="10">
        <v>118.636245</v>
      </c>
      <c r="AR141" s="11">
        <v>40</v>
      </c>
      <c r="AS141" s="11">
        <v>140</v>
      </c>
      <c r="AT141" s="11">
        <v>130</v>
      </c>
      <c r="AU141" s="11">
        <v>70</v>
      </c>
      <c r="AV141" s="11">
        <v>65</v>
      </c>
      <c r="AW141" s="11"/>
      <c r="AX141" s="11"/>
      <c r="AY141" s="11">
        <v>25.2</v>
      </c>
      <c r="AZ141" s="11">
        <v>6</v>
      </c>
      <c r="BA141" s="11" t="s">
        <v>264</v>
      </c>
      <c r="BB141" s="11" t="s">
        <v>264</v>
      </c>
      <c r="BC141" s="50"/>
      <c r="BD141" s="8">
        <v>96.033000000000001</v>
      </c>
      <c r="BE141" s="8">
        <v>40</v>
      </c>
      <c r="BF141" s="52"/>
      <c r="BG141" s="52"/>
      <c r="BH141" s="8">
        <v>302.5</v>
      </c>
      <c r="BI141" s="8"/>
      <c r="BJ141" s="8"/>
      <c r="BK141" s="8">
        <v>165.5</v>
      </c>
      <c r="BL141" s="8">
        <v>4.1669999999999998</v>
      </c>
      <c r="BM141" s="8">
        <v>472.16699999999997</v>
      </c>
      <c r="BN141" s="8">
        <v>275</v>
      </c>
      <c r="BO141" s="8"/>
      <c r="BP141" s="8"/>
      <c r="BQ141" s="8">
        <v>95</v>
      </c>
      <c r="BR141" s="8">
        <v>7</v>
      </c>
      <c r="BS141" s="12">
        <v>377</v>
      </c>
      <c r="BT141" s="52" t="s">
        <v>264</v>
      </c>
      <c r="BU141" s="8">
        <v>25</v>
      </c>
      <c r="BV141" s="11">
        <v>337.2</v>
      </c>
      <c r="BW141" s="11">
        <v>100</v>
      </c>
      <c r="BX141" s="10">
        <v>440</v>
      </c>
      <c r="BY141" s="11">
        <v>49</v>
      </c>
      <c r="BZ141" s="11">
        <v>12</v>
      </c>
      <c r="CA141" s="49">
        <v>61</v>
      </c>
      <c r="CB141" s="8"/>
      <c r="CC141" s="52"/>
      <c r="CD141" s="52"/>
      <c r="CE141" s="52"/>
      <c r="CF141" s="8">
        <v>120.8</v>
      </c>
      <c r="CG141" s="8">
        <v>135</v>
      </c>
      <c r="CH141" s="8">
        <v>30</v>
      </c>
      <c r="CI141" s="8"/>
      <c r="CJ141" s="8"/>
      <c r="CK141" s="52"/>
      <c r="CL141" s="52"/>
      <c r="CM141" s="52"/>
      <c r="CN141" s="8">
        <v>53</v>
      </c>
      <c r="CO141" s="52">
        <v>440</v>
      </c>
      <c r="CP141" s="8">
        <v>400</v>
      </c>
      <c r="CQ141" s="8">
        <v>40</v>
      </c>
      <c r="CR141" s="52" t="s">
        <v>264</v>
      </c>
      <c r="CS141" s="8">
        <v>74</v>
      </c>
      <c r="CT141" s="8">
        <v>42</v>
      </c>
      <c r="CU141" s="8">
        <v>32</v>
      </c>
      <c r="CV141" s="8">
        <v>36</v>
      </c>
      <c r="CW141" s="8">
        <v>11</v>
      </c>
      <c r="CX141" s="8">
        <v>25</v>
      </c>
      <c r="CY141" s="52" t="s">
        <v>264</v>
      </c>
      <c r="CZ141" s="8">
        <v>118</v>
      </c>
      <c r="DA141" s="52">
        <v>36.700000000000003</v>
      </c>
      <c r="DB141" s="8">
        <v>34</v>
      </c>
      <c r="DC141" s="8">
        <v>2.7</v>
      </c>
      <c r="DD141" s="52"/>
      <c r="DE141" s="52"/>
      <c r="DF141" s="53"/>
      <c r="DG141" s="53">
        <v>89.774884836648482</v>
      </c>
      <c r="DH141" s="53"/>
      <c r="DI141" s="53">
        <v>525.81934489566311</v>
      </c>
      <c r="DJ141" s="53">
        <v>201.93247882480313</v>
      </c>
      <c r="DK141" s="53">
        <v>517.38224892266544</v>
      </c>
      <c r="DL141" s="53">
        <v>138.13129853312671</v>
      </c>
      <c r="DM141" s="53">
        <v>216.81942089286093</v>
      </c>
      <c r="DN141" s="53"/>
      <c r="DO141" s="53">
        <v>174.7733971596578</v>
      </c>
      <c r="DP141" s="53">
        <v>178.95708111321034</v>
      </c>
      <c r="DQ141" s="53"/>
      <c r="DR141" s="53"/>
      <c r="DS141" s="53">
        <v>744.80033583119291</v>
      </c>
      <c r="DT141" s="53">
        <v>2929.3109121786574</v>
      </c>
      <c r="DU141" s="53">
        <v>-230.69530600547705</v>
      </c>
      <c r="DV141" s="53">
        <v>2.0912178657454206E-2</v>
      </c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2"/>
      <c r="FB141" s="52"/>
      <c r="FC141" s="52"/>
      <c r="FD141" s="52"/>
      <c r="FE141" s="52"/>
      <c r="FF141" s="52"/>
      <c r="FG141" s="52"/>
      <c r="FH141" s="52"/>
      <c r="FI141" s="52"/>
      <c r="FJ141" s="52"/>
      <c r="FK141" s="52"/>
      <c r="FL141" s="52"/>
      <c r="FM141" s="52"/>
      <c r="FN141" s="52"/>
      <c r="FO141" s="52"/>
      <c r="FP141" s="52"/>
      <c r="FQ141" s="52"/>
      <c r="FR141" s="52"/>
      <c r="FS141" s="52"/>
      <c r="FT141" s="52"/>
      <c r="FU141" s="52"/>
      <c r="FV141" s="52"/>
      <c r="FW141" s="52"/>
      <c r="FX141" s="52"/>
      <c r="FY141" s="52"/>
      <c r="FZ141" s="52"/>
      <c r="GA141" s="52"/>
      <c r="GB141" s="52"/>
      <c r="GC141" s="52"/>
      <c r="GD141" s="52"/>
      <c r="GE141" s="52"/>
      <c r="GF141" s="52"/>
      <c r="GG141" s="52"/>
      <c r="GH141" s="52"/>
      <c r="GI141" s="52"/>
      <c r="GJ141" s="52"/>
      <c r="GK141" s="52"/>
      <c r="GL141" s="52"/>
      <c r="GM141" s="52"/>
      <c r="GN141" s="52"/>
      <c r="GO141" s="52"/>
      <c r="GP141" s="52"/>
      <c r="GQ141" s="52"/>
      <c r="GR141" s="52"/>
      <c r="GS141" s="52"/>
      <c r="GT141" s="52"/>
      <c r="GU141" s="52"/>
      <c r="GV141" s="52"/>
      <c r="GW141" s="52"/>
      <c r="GX141" s="52"/>
      <c r="GY141" s="17"/>
      <c r="GZ141" s="52">
        <v>975</v>
      </c>
      <c r="HA141" s="52"/>
      <c r="HB141" s="17"/>
      <c r="HC141" s="17"/>
      <c r="HD141" s="17"/>
      <c r="HE141" s="17"/>
      <c r="HF141" s="52"/>
      <c r="HG141" s="52"/>
      <c r="HH141" s="52"/>
      <c r="HI141" s="52"/>
      <c r="HJ141" s="52"/>
      <c r="HK141" s="52"/>
      <c r="HL141" s="52"/>
      <c r="HM141" s="52"/>
      <c r="HN141" s="52"/>
      <c r="HO141" s="52"/>
      <c r="HP141" s="52"/>
      <c r="HQ141" s="52"/>
      <c r="HR141" s="52"/>
      <c r="HS141" s="52"/>
      <c r="HT141" s="52"/>
      <c r="HU141" s="52"/>
      <c r="HV141" s="52"/>
      <c r="HW141" s="52"/>
      <c r="HX141" s="52"/>
      <c r="HY141" s="52"/>
      <c r="HZ141" s="52"/>
      <c r="IA141" s="52"/>
      <c r="IB141" s="52"/>
      <c r="IC141" s="52"/>
      <c r="ID141" s="52"/>
      <c r="IE141" s="52"/>
      <c r="IF141" s="52"/>
      <c r="IG141" s="52"/>
      <c r="IH141" s="53"/>
      <c r="II141" s="53"/>
      <c r="IJ141" s="53"/>
      <c r="IK141" s="53"/>
      <c r="IL141" s="53"/>
      <c r="IM141" s="52"/>
      <c r="IN141" s="52">
        <v>78.5</v>
      </c>
      <c r="IY141" s="48">
        <f t="shared" si="8"/>
        <v>47.423999999999999</v>
      </c>
      <c r="IZ141" s="48">
        <f>IY141-'NOPA Crush'!J141</f>
        <v>0.16400000000000148</v>
      </c>
      <c r="JB141" s="63">
        <f t="shared" si="6"/>
        <v>11.321999999999999</v>
      </c>
      <c r="JC141" s="64">
        <f>JB141-'NOPA Crush'!O141</f>
        <v>1.1999999999998678E-2</v>
      </c>
      <c r="JD141" s="65"/>
      <c r="JE141" s="67">
        <f t="shared" si="7"/>
        <v>1840</v>
      </c>
      <c r="JF141" s="68">
        <f>'NOPA Crush'!Q141/'Census Crush'!JE141</f>
        <v>0.36216413043478257</v>
      </c>
    </row>
    <row r="142" spans="1:266">
      <c r="A142" s="39">
        <v>33359</v>
      </c>
      <c r="B142" s="10">
        <v>2780.19</v>
      </c>
      <c r="C142" s="11">
        <v>1900</v>
      </c>
      <c r="D142" s="11">
        <v>289</v>
      </c>
      <c r="E142" s="11">
        <v>1000</v>
      </c>
      <c r="F142" s="11">
        <v>25</v>
      </c>
      <c r="G142" s="11">
        <v>35</v>
      </c>
      <c r="H142" s="11" t="s">
        <v>264</v>
      </c>
      <c r="I142" s="11" t="s">
        <v>264</v>
      </c>
      <c r="J142" s="50" t="s">
        <v>264</v>
      </c>
      <c r="K142" s="10">
        <v>1049.243706</v>
      </c>
      <c r="L142" s="49">
        <v>1835</v>
      </c>
      <c r="M142" s="11">
        <v>1600</v>
      </c>
      <c r="N142" s="11">
        <v>235</v>
      </c>
      <c r="O142" s="11">
        <v>95</v>
      </c>
      <c r="P142" s="51">
        <v>131</v>
      </c>
      <c r="Q142" s="11">
        <v>41</v>
      </c>
      <c r="R142" s="11">
        <v>90</v>
      </c>
      <c r="S142" s="11"/>
      <c r="T142" s="10">
        <v>21</v>
      </c>
      <c r="U142" s="51">
        <v>23</v>
      </c>
      <c r="V142" s="11">
        <v>18</v>
      </c>
      <c r="W142" s="11">
        <v>5</v>
      </c>
      <c r="X142" s="10">
        <v>27</v>
      </c>
      <c r="Y142" s="10">
        <v>13.8</v>
      </c>
      <c r="Z142" s="49">
        <v>159</v>
      </c>
      <c r="AA142" s="11">
        <v>150</v>
      </c>
      <c r="AB142" s="11">
        <v>9</v>
      </c>
      <c r="AC142" s="11" t="s">
        <v>264</v>
      </c>
      <c r="AD142" s="11">
        <v>9.1999999999999993</v>
      </c>
      <c r="AE142" s="11"/>
      <c r="AF142" s="51">
        <v>58</v>
      </c>
      <c r="AG142" s="11">
        <v>38</v>
      </c>
      <c r="AH142" s="11">
        <v>20</v>
      </c>
      <c r="AI142" s="10">
        <v>140</v>
      </c>
      <c r="AJ142" s="10"/>
      <c r="AK142" s="10"/>
      <c r="AL142" s="51">
        <v>113</v>
      </c>
      <c r="AM142" s="11">
        <v>75</v>
      </c>
      <c r="AN142" s="11">
        <v>38</v>
      </c>
      <c r="AO142" s="10">
        <v>2084.8644810000001</v>
      </c>
      <c r="AP142" s="11">
        <v>400</v>
      </c>
      <c r="AQ142" s="10">
        <v>112.597695</v>
      </c>
      <c r="AR142" s="11">
        <v>41</v>
      </c>
      <c r="AS142" s="11">
        <v>138</v>
      </c>
      <c r="AT142" s="11">
        <v>145</v>
      </c>
      <c r="AU142" s="11">
        <v>72</v>
      </c>
      <c r="AV142" s="11">
        <v>70</v>
      </c>
      <c r="AW142" s="11"/>
      <c r="AX142" s="11"/>
      <c r="AY142" s="11">
        <v>20</v>
      </c>
      <c r="AZ142" s="11">
        <v>7</v>
      </c>
      <c r="BA142" s="11" t="s">
        <v>264</v>
      </c>
      <c r="BB142" s="11" t="s">
        <v>264</v>
      </c>
      <c r="BC142" s="50"/>
      <c r="BD142" s="8">
        <v>96.033000000000001</v>
      </c>
      <c r="BE142" s="8">
        <v>42</v>
      </c>
      <c r="BF142" s="52"/>
      <c r="BG142" s="52"/>
      <c r="BH142" s="8">
        <v>302.5</v>
      </c>
      <c r="BI142" s="8"/>
      <c r="BJ142" s="8"/>
      <c r="BK142" s="8">
        <v>165.5</v>
      </c>
      <c r="BL142" s="8">
        <v>4.1669999999999998</v>
      </c>
      <c r="BM142" s="8">
        <v>472.16699999999997</v>
      </c>
      <c r="BN142" s="8">
        <v>270</v>
      </c>
      <c r="BO142" s="8"/>
      <c r="BP142" s="8"/>
      <c r="BQ142" s="8">
        <v>100</v>
      </c>
      <c r="BR142" s="8">
        <v>7.5</v>
      </c>
      <c r="BS142" s="12">
        <v>377.5</v>
      </c>
      <c r="BT142" s="52" t="s">
        <v>264</v>
      </c>
      <c r="BU142" s="8">
        <v>26</v>
      </c>
      <c r="BV142" s="11">
        <v>325</v>
      </c>
      <c r="BW142" s="11">
        <v>96.7</v>
      </c>
      <c r="BX142" s="10">
        <v>425.5</v>
      </c>
      <c r="BY142" s="11">
        <v>50</v>
      </c>
      <c r="BZ142" s="11">
        <v>12</v>
      </c>
      <c r="CA142" s="49">
        <v>62</v>
      </c>
      <c r="CB142" s="8"/>
      <c r="CC142" s="52"/>
      <c r="CD142" s="52"/>
      <c r="CE142" s="52"/>
      <c r="CF142" s="8">
        <v>120.8</v>
      </c>
      <c r="CG142" s="8">
        <v>125</v>
      </c>
      <c r="CH142" s="8">
        <v>30</v>
      </c>
      <c r="CI142" s="8"/>
      <c r="CJ142" s="8"/>
      <c r="CK142" s="52"/>
      <c r="CL142" s="52"/>
      <c r="CM142" s="52"/>
      <c r="CN142" s="8">
        <v>53</v>
      </c>
      <c r="CO142" s="52">
        <v>389</v>
      </c>
      <c r="CP142" s="8">
        <v>350</v>
      </c>
      <c r="CQ142" s="8">
        <v>39</v>
      </c>
      <c r="CR142" s="52" t="s">
        <v>264</v>
      </c>
      <c r="CS142" s="8">
        <v>75</v>
      </c>
      <c r="CT142" s="8">
        <v>44</v>
      </c>
      <c r="CU142" s="8">
        <v>31</v>
      </c>
      <c r="CV142" s="8">
        <v>40</v>
      </c>
      <c r="CW142" s="8">
        <v>12</v>
      </c>
      <c r="CX142" s="8">
        <v>28</v>
      </c>
      <c r="CY142" s="52" t="s">
        <v>264</v>
      </c>
      <c r="CZ142" s="8">
        <v>120</v>
      </c>
      <c r="DA142" s="52">
        <v>39.299999999999997</v>
      </c>
      <c r="DB142" s="8">
        <v>37</v>
      </c>
      <c r="DC142" s="8">
        <v>2.2999999999999998</v>
      </c>
      <c r="DD142" s="52"/>
      <c r="DE142" s="52"/>
      <c r="DF142" s="53"/>
      <c r="DG142" s="53">
        <v>85.205075678773852</v>
      </c>
      <c r="DH142" s="53"/>
      <c r="DI142" s="53">
        <v>499.05357335427857</v>
      </c>
      <c r="DJ142" s="53">
        <v>191.65351391512939</v>
      </c>
      <c r="DK142" s="53">
        <v>491.04595070796273</v>
      </c>
      <c r="DL142" s="53">
        <v>131.10000382108817</v>
      </c>
      <c r="DM142" s="53">
        <v>205.78266627040566</v>
      </c>
      <c r="DN142" s="53"/>
      <c r="DO142" s="53">
        <v>165.87691043793916</v>
      </c>
      <c r="DP142" s="53">
        <v>169.8476324113189</v>
      </c>
      <c r="DQ142" s="53"/>
      <c r="DR142" s="53"/>
      <c r="DS142" s="53">
        <v>706.88777931093045</v>
      </c>
      <c r="DT142" s="53">
        <v>2780.2002577111684</v>
      </c>
      <c r="DU142" s="53">
        <v>-218.95222748211518</v>
      </c>
      <c r="DV142" s="53">
        <v>1.0257711168378592E-2</v>
      </c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2"/>
      <c r="FB142" s="52"/>
      <c r="FC142" s="52"/>
      <c r="FD142" s="52"/>
      <c r="FE142" s="52"/>
      <c r="FF142" s="52"/>
      <c r="FG142" s="52"/>
      <c r="FH142" s="52"/>
      <c r="FI142" s="52"/>
      <c r="FJ142" s="52"/>
      <c r="FK142" s="52"/>
      <c r="FL142" s="52"/>
      <c r="FM142" s="52"/>
      <c r="FN142" s="52"/>
      <c r="FO142" s="52"/>
      <c r="FP142" s="52"/>
      <c r="FQ142" s="52"/>
      <c r="FR142" s="52"/>
      <c r="FS142" s="52"/>
      <c r="FT142" s="52"/>
      <c r="FU142" s="52"/>
      <c r="FV142" s="52"/>
      <c r="FW142" s="52"/>
      <c r="FX142" s="52"/>
      <c r="FY142" s="52"/>
      <c r="FZ142" s="52"/>
      <c r="GA142" s="52"/>
      <c r="GB142" s="52"/>
      <c r="GC142" s="52"/>
      <c r="GD142" s="52"/>
      <c r="GE142" s="52"/>
      <c r="GF142" s="52"/>
      <c r="GG142" s="52"/>
      <c r="GH142" s="52"/>
      <c r="GI142" s="52"/>
      <c r="GJ142" s="52"/>
      <c r="GK142" s="52"/>
      <c r="GL142" s="52"/>
      <c r="GM142" s="52"/>
      <c r="GN142" s="52"/>
      <c r="GO142" s="52"/>
      <c r="GP142" s="52"/>
      <c r="GQ142" s="52"/>
      <c r="GR142" s="52"/>
      <c r="GS142" s="52"/>
      <c r="GT142" s="52"/>
      <c r="GU142" s="52"/>
      <c r="GV142" s="52"/>
      <c r="GW142" s="52"/>
      <c r="GX142" s="52"/>
      <c r="GY142" s="17"/>
      <c r="GZ142" s="52">
        <v>910</v>
      </c>
      <c r="HA142" s="52"/>
      <c r="HB142" s="17"/>
      <c r="HC142" s="17"/>
      <c r="HD142" s="17"/>
      <c r="HE142" s="17"/>
      <c r="HF142" s="52"/>
      <c r="HG142" s="52"/>
      <c r="HH142" s="52"/>
      <c r="HI142" s="52"/>
      <c r="HJ142" s="52"/>
      <c r="HK142" s="52"/>
      <c r="HL142" s="52"/>
      <c r="HM142" s="52"/>
      <c r="HN142" s="52"/>
      <c r="HO142" s="52"/>
      <c r="HP142" s="52"/>
      <c r="HQ142" s="52"/>
      <c r="HR142" s="52"/>
      <c r="HS142" s="52"/>
      <c r="HT142" s="52"/>
      <c r="HU142" s="52"/>
      <c r="HV142" s="52"/>
      <c r="HW142" s="52"/>
      <c r="HX142" s="52"/>
      <c r="HY142" s="52"/>
      <c r="HZ142" s="52"/>
      <c r="IA142" s="52"/>
      <c r="IB142" s="52"/>
      <c r="IC142" s="52"/>
      <c r="ID142" s="52"/>
      <c r="IE142" s="52"/>
      <c r="IF142" s="52"/>
      <c r="IG142" s="52"/>
      <c r="IH142" s="53"/>
      <c r="II142" s="53"/>
      <c r="IJ142" s="53"/>
      <c r="IK142" s="53"/>
      <c r="IL142" s="53"/>
      <c r="IM142" s="52"/>
      <c r="IN142" s="52">
        <v>90</v>
      </c>
      <c r="IY142" s="48">
        <f t="shared" si="8"/>
        <v>47.423999999999999</v>
      </c>
      <c r="IZ142" s="48">
        <f>IY142-'NOPA Crush'!J142</f>
        <v>0.15399999999999636</v>
      </c>
      <c r="JB142" s="63">
        <f t="shared" si="6"/>
        <v>11.321999999999999</v>
      </c>
      <c r="JC142" s="64">
        <f>JB142-'NOPA Crush'!O142</f>
        <v>-1.8000000000000682E-2</v>
      </c>
      <c r="JD142" s="65"/>
      <c r="JE142" s="67">
        <f t="shared" si="7"/>
        <v>1835</v>
      </c>
      <c r="JF142" s="68">
        <f>'NOPA Crush'!Q142/'Census Crush'!JE142</f>
        <v>0.35029046321525886</v>
      </c>
    </row>
    <row r="143" spans="1:266">
      <c r="A143" s="39">
        <v>33390</v>
      </c>
      <c r="B143" s="10">
        <v>2692.6200000000003</v>
      </c>
      <c r="C143" s="50">
        <v>1834.8</v>
      </c>
      <c r="D143" s="11">
        <v>280.5</v>
      </c>
      <c r="E143" s="50">
        <v>879.8</v>
      </c>
      <c r="F143" s="11">
        <v>29.2</v>
      </c>
      <c r="G143" s="11">
        <v>30.9</v>
      </c>
      <c r="H143" s="50">
        <v>47.6</v>
      </c>
      <c r="I143" s="11" t="s">
        <v>264</v>
      </c>
      <c r="J143" s="50" t="s">
        <v>264</v>
      </c>
      <c r="K143" s="13">
        <v>1016.042248</v>
      </c>
      <c r="L143" s="49">
        <v>1828.1</v>
      </c>
      <c r="M143" s="49">
        <v>1596.6</v>
      </c>
      <c r="N143" s="49">
        <v>231.5</v>
      </c>
      <c r="O143" s="11">
        <v>91</v>
      </c>
      <c r="P143" s="51">
        <v>124.6</v>
      </c>
      <c r="Q143" s="49">
        <v>42.8</v>
      </c>
      <c r="R143" s="49">
        <v>81.8</v>
      </c>
      <c r="S143" s="49"/>
      <c r="T143" s="10">
        <v>25.1</v>
      </c>
      <c r="U143" s="51">
        <v>23.8</v>
      </c>
      <c r="V143" s="49">
        <v>16.600000000000001</v>
      </c>
      <c r="W143" s="49">
        <v>7.2</v>
      </c>
      <c r="X143" s="10">
        <v>21.4</v>
      </c>
      <c r="Y143" s="10">
        <v>15</v>
      </c>
      <c r="Z143" s="49">
        <v>165.10000000000002</v>
      </c>
      <c r="AA143" s="49">
        <v>156.80000000000001</v>
      </c>
      <c r="AB143" s="49">
        <v>8.3000000000000007</v>
      </c>
      <c r="AC143" s="49" t="s">
        <v>264</v>
      </c>
      <c r="AD143" s="49">
        <v>10</v>
      </c>
      <c r="AE143" s="49"/>
      <c r="AF143" s="51">
        <v>58.5</v>
      </c>
      <c r="AG143" s="49">
        <v>37.799999999999997</v>
      </c>
      <c r="AH143" s="49">
        <v>20.7</v>
      </c>
      <c r="AI143" s="10">
        <v>137.30000000000001</v>
      </c>
      <c r="AJ143" s="10"/>
      <c r="AK143" s="10"/>
      <c r="AL143" s="51">
        <v>126.9</v>
      </c>
      <c r="AM143" s="49">
        <v>87.3</v>
      </c>
      <c r="AN143" s="49">
        <v>39.6</v>
      </c>
      <c r="AO143" s="13">
        <v>2019.2609479999996</v>
      </c>
      <c r="AP143" s="49">
        <v>382.7</v>
      </c>
      <c r="AQ143" s="13">
        <v>108.66605999999997</v>
      </c>
      <c r="AR143" s="49">
        <v>42.2</v>
      </c>
      <c r="AS143" s="11">
        <v>131.1</v>
      </c>
      <c r="AT143" s="50">
        <v>161.9</v>
      </c>
      <c r="AU143" s="11">
        <v>75.7</v>
      </c>
      <c r="AV143" s="50">
        <v>73.099999999999994</v>
      </c>
      <c r="AW143" s="11"/>
      <c r="AX143" s="11"/>
      <c r="AY143" s="11">
        <v>15</v>
      </c>
      <c r="AZ143" s="50">
        <v>7.9</v>
      </c>
      <c r="BA143" s="11" t="s">
        <v>264</v>
      </c>
      <c r="BB143" s="11" t="s">
        <v>264</v>
      </c>
      <c r="BC143" s="50"/>
      <c r="BD143" s="8">
        <v>96.033000000000001</v>
      </c>
      <c r="BE143" s="52">
        <v>45.8</v>
      </c>
      <c r="BF143" s="52"/>
      <c r="BG143" s="52"/>
      <c r="BH143" s="8">
        <v>302.5</v>
      </c>
      <c r="BI143" s="8"/>
      <c r="BJ143" s="8"/>
      <c r="BK143" s="8">
        <v>165.5</v>
      </c>
      <c r="BL143" s="8">
        <v>4.1669999999999998</v>
      </c>
      <c r="BM143" s="8">
        <v>472.16699999999997</v>
      </c>
      <c r="BN143" s="52">
        <v>263.8</v>
      </c>
      <c r="BO143" s="52"/>
      <c r="BP143" s="52"/>
      <c r="BQ143" s="52">
        <v>109.1</v>
      </c>
      <c r="BR143" s="52">
        <v>8.3000000000000007</v>
      </c>
      <c r="BS143" s="53">
        <v>381.2</v>
      </c>
      <c r="BT143" s="52" t="s">
        <v>264</v>
      </c>
      <c r="BU143" s="52">
        <v>28.3</v>
      </c>
      <c r="BV143" s="11">
        <v>320</v>
      </c>
      <c r="BW143" s="11">
        <v>95</v>
      </c>
      <c r="BX143" s="10">
        <v>419</v>
      </c>
      <c r="BY143" s="50">
        <v>50.6</v>
      </c>
      <c r="BZ143" s="50">
        <v>11.6</v>
      </c>
      <c r="CA143" s="49">
        <v>62.2</v>
      </c>
      <c r="CB143" s="52"/>
      <c r="CC143" s="52"/>
      <c r="CD143" s="52"/>
      <c r="CE143" s="52"/>
      <c r="CF143" s="8">
        <v>120.8</v>
      </c>
      <c r="CG143" s="52">
        <v>119.8</v>
      </c>
      <c r="CH143" s="52">
        <v>30.2</v>
      </c>
      <c r="CI143" s="52"/>
      <c r="CJ143" s="52"/>
      <c r="CK143" s="52"/>
      <c r="CL143" s="52"/>
      <c r="CM143" s="52"/>
      <c r="CN143" s="8">
        <v>53.3</v>
      </c>
      <c r="CO143" s="52">
        <v>364.29999999999995</v>
      </c>
      <c r="CP143" s="52">
        <v>325.39999999999998</v>
      </c>
      <c r="CQ143" s="52">
        <v>38.9</v>
      </c>
      <c r="CR143" s="52" t="s">
        <v>264</v>
      </c>
      <c r="CS143" s="52">
        <v>76.400000000000006</v>
      </c>
      <c r="CT143" s="52">
        <v>47</v>
      </c>
      <c r="CU143" s="52">
        <v>29.4</v>
      </c>
      <c r="CV143" s="52">
        <v>47.5</v>
      </c>
      <c r="CW143" s="52">
        <v>13.6</v>
      </c>
      <c r="CX143" s="52">
        <v>33.9</v>
      </c>
      <c r="CY143" s="52" t="s">
        <v>264</v>
      </c>
      <c r="CZ143" s="52">
        <v>121.5</v>
      </c>
      <c r="DA143" s="52">
        <v>42.6</v>
      </c>
      <c r="DB143" s="52">
        <v>40.5</v>
      </c>
      <c r="DC143" s="52">
        <v>2.1</v>
      </c>
      <c r="DD143" s="52"/>
      <c r="DE143" s="52"/>
      <c r="DF143" s="53"/>
      <c r="DG143" s="53">
        <v>82.520039484577666</v>
      </c>
      <c r="DH143" s="53"/>
      <c r="DI143" s="53">
        <v>483.32708175005837</v>
      </c>
      <c r="DJ143" s="53">
        <v>185.61400726006752</v>
      </c>
      <c r="DK143" s="53">
        <v>475.57180036937183</v>
      </c>
      <c r="DL143" s="53">
        <v>126.96869764578511</v>
      </c>
      <c r="DM143" s="53">
        <v>199.29791283673339</v>
      </c>
      <c r="DN143" s="53"/>
      <c r="DO143" s="53">
        <v>160.64969240240305</v>
      </c>
      <c r="DP143" s="53">
        <v>164.49528647547072</v>
      </c>
      <c r="DQ143" s="53"/>
      <c r="DR143" s="53"/>
      <c r="DS143" s="53">
        <v>684.6118848578767</v>
      </c>
      <c r="DT143" s="53">
        <v>2692.5888301101745</v>
      </c>
      <c r="DU143" s="53">
        <v>-212.05246651240805</v>
      </c>
      <c r="DV143" s="53">
        <v>-3.1169889825832797E-2</v>
      </c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  <c r="FB143" s="52"/>
      <c r="FC143" s="52"/>
      <c r="FD143" s="52"/>
      <c r="FE143" s="52"/>
      <c r="FF143" s="52"/>
      <c r="FG143" s="52"/>
      <c r="FH143" s="52"/>
      <c r="FI143" s="52"/>
      <c r="FJ143" s="52"/>
      <c r="FK143" s="52"/>
      <c r="FL143" s="52"/>
      <c r="FM143" s="52"/>
      <c r="FN143" s="52"/>
      <c r="FO143" s="52"/>
      <c r="FP143" s="52"/>
      <c r="FQ143" s="52"/>
      <c r="FR143" s="52"/>
      <c r="FS143" s="52"/>
      <c r="FT143" s="52"/>
      <c r="FU143" s="52"/>
      <c r="FV143" s="52"/>
      <c r="FW143" s="52"/>
      <c r="FX143" s="52"/>
      <c r="FY143" s="52"/>
      <c r="FZ143" s="52"/>
      <c r="GA143" s="52"/>
      <c r="GB143" s="52"/>
      <c r="GC143" s="52"/>
      <c r="GD143" s="52"/>
      <c r="GE143" s="52"/>
      <c r="GF143" s="52"/>
      <c r="GG143" s="52"/>
      <c r="GH143" s="52"/>
      <c r="GI143" s="52"/>
      <c r="GJ143" s="52"/>
      <c r="GK143" s="52"/>
      <c r="GL143" s="52"/>
      <c r="GM143" s="52"/>
      <c r="GN143" s="52"/>
      <c r="GO143" s="52"/>
      <c r="GP143" s="52"/>
      <c r="GQ143" s="52"/>
      <c r="GR143" s="52"/>
      <c r="GS143" s="52"/>
      <c r="GT143" s="52"/>
      <c r="GU143" s="52"/>
      <c r="GV143" s="52"/>
      <c r="GW143" s="52"/>
      <c r="GX143" s="52"/>
      <c r="GY143" s="17"/>
      <c r="GZ143" s="52">
        <v>980.5</v>
      </c>
      <c r="HA143" s="52"/>
      <c r="HB143" s="17"/>
      <c r="HC143" s="17"/>
      <c r="HD143" s="17"/>
      <c r="HE143" s="17"/>
      <c r="HF143" s="52"/>
      <c r="HG143" s="52"/>
      <c r="HH143" s="52"/>
      <c r="HI143" s="52"/>
      <c r="HJ143" s="52"/>
      <c r="HK143" s="52"/>
      <c r="HL143" s="52"/>
      <c r="HM143" s="52"/>
      <c r="HN143" s="52"/>
      <c r="HO143" s="52"/>
      <c r="HP143" s="52"/>
      <c r="HQ143" s="52"/>
      <c r="HR143" s="52"/>
      <c r="HS143" s="52"/>
      <c r="HT143" s="52"/>
      <c r="HU143" s="52"/>
      <c r="HV143" s="52"/>
      <c r="HW143" s="52"/>
      <c r="HX143" s="52"/>
      <c r="HY143" s="52"/>
      <c r="HZ143" s="52"/>
      <c r="IA143" s="52"/>
      <c r="IB143" s="52"/>
      <c r="IC143" s="52"/>
      <c r="ID143" s="52"/>
      <c r="IE143" s="52"/>
      <c r="IF143" s="52"/>
      <c r="IG143" s="52"/>
      <c r="IH143" s="53"/>
      <c r="II143" s="53"/>
      <c r="IJ143" s="53"/>
      <c r="IK143" s="53"/>
      <c r="IL143" s="53"/>
      <c r="IM143" s="52"/>
      <c r="IN143" s="52">
        <v>85</v>
      </c>
      <c r="IY143" s="48">
        <f t="shared" si="8"/>
        <v>47.416872963879037</v>
      </c>
      <c r="IZ143" s="48">
        <f>IY143-'NOPA Crush'!J143</f>
        <v>-0.17312703612096669</v>
      </c>
      <c r="JB143" s="63">
        <f t="shared" si="6"/>
        <v>11.320300465717404</v>
      </c>
      <c r="JC143" s="64">
        <f>JB143-'NOPA Crush'!O143</f>
        <v>-0.21969953428259537</v>
      </c>
      <c r="JD143" s="65"/>
      <c r="JE143" s="67">
        <f t="shared" si="7"/>
        <v>1828.1</v>
      </c>
      <c r="JF143" s="68">
        <f>'NOPA Crush'!Q143/'Census Crush'!JE143</f>
        <v>0.31107543351020189</v>
      </c>
    </row>
    <row r="144" spans="1:266">
      <c r="A144" s="39">
        <v>33420</v>
      </c>
      <c r="B144" s="10">
        <v>2954.79</v>
      </c>
      <c r="C144" s="11">
        <v>1900</v>
      </c>
      <c r="D144" s="11">
        <v>280</v>
      </c>
      <c r="E144" s="11">
        <v>800</v>
      </c>
      <c r="F144" s="11">
        <v>30</v>
      </c>
      <c r="G144" s="11" t="s">
        <v>264</v>
      </c>
      <c r="H144" s="11" t="s">
        <v>264</v>
      </c>
      <c r="I144" s="11" t="s">
        <v>264</v>
      </c>
      <c r="J144" s="50" t="s">
        <v>264</v>
      </c>
      <c r="K144" s="10">
        <v>1115.433225</v>
      </c>
      <c r="L144" s="49">
        <v>1795</v>
      </c>
      <c r="M144" s="11">
        <v>1550</v>
      </c>
      <c r="N144" s="11">
        <v>245</v>
      </c>
      <c r="O144" s="11">
        <v>92.7</v>
      </c>
      <c r="P144" s="51">
        <v>126</v>
      </c>
      <c r="Q144" s="11">
        <v>41</v>
      </c>
      <c r="R144" s="11">
        <v>85</v>
      </c>
      <c r="S144" s="11"/>
      <c r="T144" s="10">
        <v>27</v>
      </c>
      <c r="U144" s="51">
        <v>21</v>
      </c>
      <c r="V144" s="11">
        <v>16</v>
      </c>
      <c r="W144" s="11">
        <v>5</v>
      </c>
      <c r="X144" s="10">
        <v>18</v>
      </c>
      <c r="Y144" s="10">
        <v>16</v>
      </c>
      <c r="Z144" s="49">
        <v>128.19999999999999</v>
      </c>
      <c r="AA144" s="11">
        <v>120</v>
      </c>
      <c r="AB144" s="11">
        <v>8.1999999999999993</v>
      </c>
      <c r="AC144" s="11" t="s">
        <v>264</v>
      </c>
      <c r="AD144" s="11">
        <v>10</v>
      </c>
      <c r="AE144" s="11"/>
      <c r="AF144" s="51">
        <v>53</v>
      </c>
      <c r="AG144" s="11">
        <v>35</v>
      </c>
      <c r="AH144" s="11">
        <v>18</v>
      </c>
      <c r="AI144" s="10">
        <v>140</v>
      </c>
      <c r="AJ144" s="10"/>
      <c r="AK144" s="10"/>
      <c r="AL144" s="51">
        <v>130</v>
      </c>
      <c r="AM144" s="11">
        <v>85</v>
      </c>
      <c r="AN144" s="11">
        <v>45</v>
      </c>
      <c r="AO144" s="10">
        <v>2223.4794749999996</v>
      </c>
      <c r="AP144" s="11">
        <v>350</v>
      </c>
      <c r="AQ144" s="10">
        <v>113.168457</v>
      </c>
      <c r="AR144" s="11">
        <v>40</v>
      </c>
      <c r="AS144" s="11">
        <v>125</v>
      </c>
      <c r="AT144" s="11">
        <v>140</v>
      </c>
      <c r="AU144" s="11">
        <v>75</v>
      </c>
      <c r="AV144" s="11">
        <v>65</v>
      </c>
      <c r="AW144" s="11"/>
      <c r="AX144" s="11"/>
      <c r="AY144" s="11">
        <v>10</v>
      </c>
      <c r="AZ144" s="11" t="s">
        <v>264</v>
      </c>
      <c r="BA144" s="11" t="s">
        <v>264</v>
      </c>
      <c r="BB144" s="11" t="s">
        <v>264</v>
      </c>
      <c r="BC144" s="50"/>
      <c r="BD144" s="8">
        <v>111.967</v>
      </c>
      <c r="BE144" s="8">
        <v>43</v>
      </c>
      <c r="BF144" s="52"/>
      <c r="BG144" s="52"/>
      <c r="BH144" s="8">
        <v>302.13</v>
      </c>
      <c r="BI144" s="8"/>
      <c r="BJ144" s="8"/>
      <c r="BK144" s="8">
        <v>172.7</v>
      </c>
      <c r="BL144" s="8">
        <v>4.2</v>
      </c>
      <c r="BM144" s="8">
        <v>479.03300000000002</v>
      </c>
      <c r="BN144" s="8">
        <v>270</v>
      </c>
      <c r="BO144" s="8"/>
      <c r="BP144" s="8"/>
      <c r="BQ144" s="8">
        <v>109</v>
      </c>
      <c r="BR144" s="8">
        <v>9</v>
      </c>
      <c r="BS144" s="12">
        <v>388</v>
      </c>
      <c r="BT144" s="52" t="s">
        <v>264</v>
      </c>
      <c r="BU144" s="8">
        <v>27</v>
      </c>
      <c r="BV144" s="11">
        <v>330</v>
      </c>
      <c r="BW144" s="11">
        <v>96.9</v>
      </c>
      <c r="BX144" s="10">
        <v>430</v>
      </c>
      <c r="BY144" s="11">
        <v>51</v>
      </c>
      <c r="BZ144" s="11">
        <v>11</v>
      </c>
      <c r="CA144" s="49">
        <v>62</v>
      </c>
      <c r="CB144" s="8"/>
      <c r="CC144" s="52"/>
      <c r="CD144" s="52"/>
      <c r="CE144" s="52"/>
      <c r="CF144" s="8">
        <v>125</v>
      </c>
      <c r="CG144" s="8">
        <v>125</v>
      </c>
      <c r="CH144" s="8">
        <v>31</v>
      </c>
      <c r="CI144" s="8"/>
      <c r="CJ144" s="8"/>
      <c r="CK144" s="52"/>
      <c r="CL144" s="52"/>
      <c r="CM144" s="52"/>
      <c r="CN144" s="8">
        <v>53</v>
      </c>
      <c r="CO144" s="52">
        <v>335</v>
      </c>
      <c r="CP144" s="8">
        <v>300</v>
      </c>
      <c r="CQ144" s="8">
        <v>35</v>
      </c>
      <c r="CR144" s="52" t="s">
        <v>264</v>
      </c>
      <c r="CS144" s="8">
        <v>70</v>
      </c>
      <c r="CT144" s="8">
        <v>45</v>
      </c>
      <c r="CU144" s="8">
        <v>25</v>
      </c>
      <c r="CV144" s="8">
        <v>49</v>
      </c>
      <c r="CW144" s="8">
        <v>14</v>
      </c>
      <c r="CX144" s="8">
        <v>35</v>
      </c>
      <c r="CY144" s="52" t="s">
        <v>264</v>
      </c>
      <c r="CZ144" s="8">
        <v>100</v>
      </c>
      <c r="DA144" s="52">
        <v>37.200000000000003</v>
      </c>
      <c r="DB144" s="8">
        <v>35</v>
      </c>
      <c r="DC144" s="8">
        <v>2.2000000000000002</v>
      </c>
      <c r="DD144" s="52"/>
      <c r="DE144" s="52"/>
      <c r="DF144" s="53"/>
      <c r="DG144" s="53">
        <v>110.15226949109564</v>
      </c>
      <c r="DH144" s="53"/>
      <c r="DI144" s="53">
        <v>562.49566933895096</v>
      </c>
      <c r="DJ144" s="53">
        <v>185.88604053289643</v>
      </c>
      <c r="DK144" s="53">
        <v>538.79822263834433</v>
      </c>
      <c r="DL144" s="53">
        <v>114.72832816431622</v>
      </c>
      <c r="DM144" s="53">
        <v>218.73560457994424</v>
      </c>
      <c r="DN144" s="53"/>
      <c r="DO144" s="53">
        <v>160.8811484970839</v>
      </c>
      <c r="DP144" s="53">
        <v>190.91970507343908</v>
      </c>
      <c r="DQ144" s="53"/>
      <c r="DR144" s="53"/>
      <c r="DS144" s="53">
        <v>711.28294848538042</v>
      </c>
      <c r="DT144" s="53">
        <v>2954.8264575652956</v>
      </c>
      <c r="DU144" s="53">
        <v>-271.09879025494001</v>
      </c>
      <c r="DV144" s="53">
        <v>3.6457565295677341E-2</v>
      </c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  <c r="EN144" s="52"/>
      <c r="EO144" s="52"/>
      <c r="EP144" s="52"/>
      <c r="EQ144" s="52"/>
      <c r="ER144" s="52"/>
      <c r="ES144" s="52"/>
      <c r="ET144" s="52"/>
      <c r="EU144" s="52"/>
      <c r="EV144" s="52"/>
      <c r="EW144" s="52"/>
      <c r="EX144" s="52"/>
      <c r="EY144" s="52"/>
      <c r="EZ144" s="52"/>
      <c r="FA144" s="52"/>
      <c r="FB144" s="52"/>
      <c r="FC144" s="52"/>
      <c r="FD144" s="52"/>
      <c r="FE144" s="52"/>
      <c r="FF144" s="52"/>
      <c r="FG144" s="52"/>
      <c r="FH144" s="52"/>
      <c r="FI144" s="52"/>
      <c r="FJ144" s="52"/>
      <c r="FK144" s="52"/>
      <c r="FL144" s="52"/>
      <c r="FM144" s="52"/>
      <c r="FN144" s="52"/>
      <c r="FO144" s="52"/>
      <c r="FP144" s="52"/>
      <c r="FQ144" s="52"/>
      <c r="FR144" s="52"/>
      <c r="FS144" s="52"/>
      <c r="FT144" s="52"/>
      <c r="FU144" s="52"/>
      <c r="FV144" s="52"/>
      <c r="FW144" s="52"/>
      <c r="FX144" s="52"/>
      <c r="FY144" s="52"/>
      <c r="FZ144" s="52"/>
      <c r="GA144" s="52"/>
      <c r="GB144" s="52"/>
      <c r="GC144" s="52"/>
      <c r="GD144" s="52"/>
      <c r="GE144" s="52"/>
      <c r="GF144" s="52"/>
      <c r="GG144" s="52"/>
      <c r="GH144" s="52"/>
      <c r="GI144" s="52"/>
      <c r="GJ144" s="52"/>
      <c r="GK144" s="52"/>
      <c r="GL144" s="52"/>
      <c r="GM144" s="52"/>
      <c r="GN144" s="52"/>
      <c r="GO144" s="52"/>
      <c r="GP144" s="52"/>
      <c r="GQ144" s="52"/>
      <c r="GR144" s="52"/>
      <c r="GS144" s="52"/>
      <c r="GT144" s="52"/>
      <c r="GU144" s="52"/>
      <c r="GV144" s="52"/>
      <c r="GW144" s="52"/>
      <c r="GX144" s="52"/>
      <c r="GY144" s="17"/>
      <c r="GZ144" s="52">
        <v>960</v>
      </c>
      <c r="HA144" s="52"/>
      <c r="HB144" s="17"/>
      <c r="HC144" s="17"/>
      <c r="HD144" s="17"/>
      <c r="HE144" s="17"/>
      <c r="HF144" s="52"/>
      <c r="HG144" s="52"/>
      <c r="HH144" s="52"/>
      <c r="HI144" s="52"/>
      <c r="HJ144" s="52"/>
      <c r="HK144" s="52"/>
      <c r="HL144" s="52"/>
      <c r="HM144" s="52"/>
      <c r="HN144" s="52"/>
      <c r="HO144" s="52"/>
      <c r="HP144" s="52"/>
      <c r="HQ144" s="52"/>
      <c r="HR144" s="52"/>
      <c r="HS144" s="52"/>
      <c r="HT144" s="52"/>
      <c r="HU144" s="52"/>
      <c r="HV144" s="52"/>
      <c r="HW144" s="52"/>
      <c r="HX144" s="52"/>
      <c r="HY144" s="52"/>
      <c r="HZ144" s="52"/>
      <c r="IA144" s="52"/>
      <c r="IB144" s="52"/>
      <c r="IC144" s="52"/>
      <c r="ID144" s="52"/>
      <c r="IE144" s="52"/>
      <c r="IF144" s="52"/>
      <c r="IG144" s="52"/>
      <c r="IH144" s="53"/>
      <c r="II144" s="53"/>
      <c r="IJ144" s="53"/>
      <c r="IK144" s="53"/>
      <c r="IL144" s="53"/>
      <c r="IM144" s="52"/>
      <c r="IN144" s="52">
        <v>75</v>
      </c>
      <c r="IY144" s="48">
        <f t="shared" si="8"/>
        <v>47.448</v>
      </c>
      <c r="IZ144" s="48">
        <f>IY144-'NOPA Crush'!J144</f>
        <v>0.26800000000000068</v>
      </c>
      <c r="JB144" s="63">
        <f t="shared" si="6"/>
        <v>11.325000000000001</v>
      </c>
      <c r="JC144" s="64">
        <f>JB144-'NOPA Crush'!O144</f>
        <v>-3.4999999999998366E-2</v>
      </c>
      <c r="JD144" s="65"/>
      <c r="JE144" s="67">
        <f t="shared" si="7"/>
        <v>1795</v>
      </c>
      <c r="JF144" s="68">
        <f>'NOPA Crush'!Q144/'Census Crush'!JE144</f>
        <v>0.30738384401114205</v>
      </c>
    </row>
    <row r="145" spans="1:266">
      <c r="A145" s="39">
        <v>33451</v>
      </c>
      <c r="B145" s="10">
        <v>3119.1</v>
      </c>
      <c r="C145" s="11">
        <v>2000</v>
      </c>
      <c r="D145" s="11">
        <v>270</v>
      </c>
      <c r="E145" s="11">
        <v>700</v>
      </c>
      <c r="F145" s="11">
        <v>23.7</v>
      </c>
      <c r="G145" s="11" t="s">
        <v>264</v>
      </c>
      <c r="H145" s="11" t="s">
        <v>264</v>
      </c>
      <c r="I145" s="11" t="s">
        <v>264</v>
      </c>
      <c r="J145" s="50" t="s">
        <v>264</v>
      </c>
      <c r="K145" s="10">
        <v>1177.4602499999999</v>
      </c>
      <c r="L145" s="49">
        <v>1775</v>
      </c>
      <c r="M145" s="11">
        <v>1525</v>
      </c>
      <c r="N145" s="11">
        <v>250</v>
      </c>
      <c r="O145" s="11">
        <v>88</v>
      </c>
      <c r="P145" s="51">
        <v>131</v>
      </c>
      <c r="Q145" s="11">
        <v>41</v>
      </c>
      <c r="R145" s="11">
        <v>90</v>
      </c>
      <c r="S145" s="11"/>
      <c r="T145" s="10">
        <v>17.5</v>
      </c>
      <c r="U145" s="51">
        <v>21</v>
      </c>
      <c r="V145" s="11">
        <v>17</v>
      </c>
      <c r="W145" s="11">
        <v>4</v>
      </c>
      <c r="X145" s="10">
        <v>17.100000000000001</v>
      </c>
      <c r="Y145" s="10">
        <v>14</v>
      </c>
      <c r="Z145" s="49">
        <v>88.2</v>
      </c>
      <c r="AA145" s="11">
        <v>80</v>
      </c>
      <c r="AB145" s="11">
        <v>8.1999999999999993</v>
      </c>
      <c r="AC145" s="11" t="s">
        <v>264</v>
      </c>
      <c r="AD145" s="11">
        <v>10</v>
      </c>
      <c r="AE145" s="11"/>
      <c r="AF145" s="51">
        <v>46</v>
      </c>
      <c r="AG145" s="11">
        <v>30</v>
      </c>
      <c r="AH145" s="11">
        <v>16</v>
      </c>
      <c r="AI145" s="10">
        <v>142.6</v>
      </c>
      <c r="AJ145" s="10"/>
      <c r="AK145" s="10"/>
      <c r="AL145" s="51">
        <v>133</v>
      </c>
      <c r="AM145" s="11">
        <v>85</v>
      </c>
      <c r="AN145" s="11">
        <v>48</v>
      </c>
      <c r="AO145" s="10">
        <v>2347.1227499999995</v>
      </c>
      <c r="AP145" s="11">
        <v>300</v>
      </c>
      <c r="AQ145" s="10">
        <v>119.46153</v>
      </c>
      <c r="AR145" s="11">
        <v>41</v>
      </c>
      <c r="AS145" s="11">
        <v>125</v>
      </c>
      <c r="AT145" s="11">
        <v>120</v>
      </c>
      <c r="AU145" s="11">
        <v>65</v>
      </c>
      <c r="AV145" s="11">
        <v>60</v>
      </c>
      <c r="AW145" s="11"/>
      <c r="AX145" s="11"/>
      <c r="AY145" s="11">
        <v>12.1</v>
      </c>
      <c r="AZ145" s="11" t="s">
        <v>264</v>
      </c>
      <c r="BA145" s="11" t="s">
        <v>264</v>
      </c>
      <c r="BB145" s="11" t="s">
        <v>264</v>
      </c>
      <c r="BC145" s="50"/>
      <c r="BD145" s="8">
        <v>111.967</v>
      </c>
      <c r="BE145" s="8">
        <v>42</v>
      </c>
      <c r="BF145" s="52"/>
      <c r="BG145" s="52"/>
      <c r="BH145" s="8">
        <v>302.13</v>
      </c>
      <c r="BI145" s="8"/>
      <c r="BJ145" s="8"/>
      <c r="BK145" s="8">
        <v>172.7</v>
      </c>
      <c r="BL145" s="8">
        <v>4.2</v>
      </c>
      <c r="BM145" s="8">
        <v>479.03300000000002</v>
      </c>
      <c r="BN145" s="8">
        <v>275</v>
      </c>
      <c r="BO145" s="8"/>
      <c r="BP145" s="8"/>
      <c r="BQ145" s="8">
        <v>109</v>
      </c>
      <c r="BR145" s="8">
        <v>10</v>
      </c>
      <c r="BS145" s="12">
        <v>394</v>
      </c>
      <c r="BT145" s="52" t="s">
        <v>264</v>
      </c>
      <c r="BU145" s="8">
        <v>26</v>
      </c>
      <c r="BV145" s="11">
        <v>340</v>
      </c>
      <c r="BW145" s="11">
        <v>96</v>
      </c>
      <c r="BX145" s="10">
        <v>439</v>
      </c>
      <c r="BY145" s="11">
        <v>52</v>
      </c>
      <c r="BZ145" s="11">
        <v>11</v>
      </c>
      <c r="CA145" s="49">
        <v>63</v>
      </c>
      <c r="CB145" s="8"/>
      <c r="CC145" s="52"/>
      <c r="CD145" s="52"/>
      <c r="CE145" s="52"/>
      <c r="CF145" s="8">
        <v>125</v>
      </c>
      <c r="CG145" s="8">
        <v>135</v>
      </c>
      <c r="CH145" s="8">
        <v>32</v>
      </c>
      <c r="CI145" s="8"/>
      <c r="CJ145" s="8"/>
      <c r="CK145" s="52"/>
      <c r="CL145" s="52"/>
      <c r="CM145" s="52"/>
      <c r="CN145" s="8">
        <v>53</v>
      </c>
      <c r="CO145" s="52">
        <v>308</v>
      </c>
      <c r="CP145" s="8">
        <v>275</v>
      </c>
      <c r="CQ145" s="8">
        <v>33</v>
      </c>
      <c r="CR145" s="52" t="s">
        <v>264</v>
      </c>
      <c r="CS145" s="8">
        <v>65</v>
      </c>
      <c r="CT145" s="8">
        <v>44</v>
      </c>
      <c r="CU145" s="8">
        <v>21</v>
      </c>
      <c r="CV145" s="8">
        <v>50</v>
      </c>
      <c r="CW145" s="8">
        <v>14</v>
      </c>
      <c r="CX145" s="8">
        <v>36</v>
      </c>
      <c r="CY145" s="52" t="s">
        <v>264</v>
      </c>
      <c r="CZ145" s="8">
        <v>75</v>
      </c>
      <c r="DA145" s="52">
        <v>32.4</v>
      </c>
      <c r="DB145" s="8">
        <v>30</v>
      </c>
      <c r="DC145" s="8">
        <v>2.4</v>
      </c>
      <c r="DD145" s="52"/>
      <c r="DE145" s="52"/>
      <c r="DF145" s="53"/>
      <c r="DG145" s="53">
        <v>116.27739091423332</v>
      </c>
      <c r="DH145" s="53"/>
      <c r="DI145" s="53">
        <v>593.77377455283124</v>
      </c>
      <c r="DJ145" s="53">
        <v>196.2224101273724</v>
      </c>
      <c r="DK145" s="53">
        <v>568.758608851698</v>
      </c>
      <c r="DL145" s="53">
        <v>121.10790567031424</v>
      </c>
      <c r="DM145" s="53">
        <v>230.8986053406675</v>
      </c>
      <c r="DN145" s="53"/>
      <c r="DO145" s="53">
        <v>169.82709735307313</v>
      </c>
      <c r="DP145" s="53">
        <v>201.53597635906138</v>
      </c>
      <c r="DQ145" s="53"/>
      <c r="DR145" s="53"/>
      <c r="DS145" s="53">
        <v>750.8345114791191</v>
      </c>
      <c r="DT145" s="53">
        <v>3119.1323853551016</v>
      </c>
      <c r="DU145" s="53">
        <v>-286.17349562096433</v>
      </c>
      <c r="DV145" s="53">
        <v>3.238535510172369E-2</v>
      </c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2"/>
      <c r="FB145" s="52"/>
      <c r="FC145" s="52"/>
      <c r="FD145" s="52"/>
      <c r="FE145" s="52"/>
      <c r="FF145" s="52"/>
      <c r="FG145" s="52"/>
      <c r="FH145" s="52"/>
      <c r="FI145" s="52"/>
      <c r="FJ145" s="52"/>
      <c r="FK145" s="52"/>
      <c r="FL145" s="52"/>
      <c r="FM145" s="52"/>
      <c r="FN145" s="52"/>
      <c r="FO145" s="52"/>
      <c r="FP145" s="52"/>
      <c r="FQ145" s="52"/>
      <c r="FR145" s="52"/>
      <c r="FS145" s="52"/>
      <c r="FT145" s="52"/>
      <c r="FU145" s="52"/>
      <c r="FV145" s="52"/>
      <c r="FW145" s="52"/>
      <c r="FX145" s="52"/>
      <c r="FY145" s="52"/>
      <c r="FZ145" s="52"/>
      <c r="GA145" s="52"/>
      <c r="GB145" s="52"/>
      <c r="GC145" s="52"/>
      <c r="GD145" s="52"/>
      <c r="GE145" s="52"/>
      <c r="GF145" s="52"/>
      <c r="GG145" s="52"/>
      <c r="GH145" s="52"/>
      <c r="GI145" s="52"/>
      <c r="GJ145" s="52"/>
      <c r="GK145" s="52"/>
      <c r="GL145" s="52"/>
      <c r="GM145" s="52"/>
      <c r="GN145" s="52"/>
      <c r="GO145" s="52"/>
      <c r="GP145" s="52"/>
      <c r="GQ145" s="52"/>
      <c r="GR145" s="52"/>
      <c r="GS145" s="52"/>
      <c r="GT145" s="52"/>
      <c r="GU145" s="52"/>
      <c r="GV145" s="52"/>
      <c r="GW145" s="52"/>
      <c r="GX145" s="52"/>
      <c r="GY145" s="17"/>
      <c r="GZ145" s="52">
        <v>982.8</v>
      </c>
      <c r="HA145" s="52"/>
      <c r="HB145" s="17"/>
      <c r="HC145" s="17"/>
      <c r="HD145" s="17"/>
      <c r="HE145" s="17"/>
      <c r="HF145" s="52"/>
      <c r="HG145" s="52"/>
      <c r="HH145" s="52"/>
      <c r="HI145" s="52"/>
      <c r="HJ145" s="52"/>
      <c r="HK145" s="52"/>
      <c r="HL145" s="52"/>
      <c r="HM145" s="52"/>
      <c r="HN145" s="52"/>
      <c r="HO145" s="52"/>
      <c r="HP145" s="52"/>
      <c r="HQ145" s="52"/>
      <c r="HR145" s="52"/>
      <c r="HS145" s="52"/>
      <c r="HT145" s="52"/>
      <c r="HU145" s="52"/>
      <c r="HV145" s="52"/>
      <c r="HW145" s="52"/>
      <c r="HX145" s="52"/>
      <c r="HY145" s="52"/>
      <c r="HZ145" s="52"/>
      <c r="IA145" s="52"/>
      <c r="IB145" s="52"/>
      <c r="IC145" s="52"/>
      <c r="ID145" s="52"/>
      <c r="IE145" s="52"/>
      <c r="IF145" s="52"/>
      <c r="IG145" s="52"/>
      <c r="IH145" s="53"/>
      <c r="II145" s="53"/>
      <c r="IJ145" s="53"/>
      <c r="IK145" s="53"/>
      <c r="IL145" s="53"/>
      <c r="IM145" s="52"/>
      <c r="IN145" s="52">
        <v>60</v>
      </c>
      <c r="IY145" s="48">
        <f t="shared" si="8"/>
        <v>47.447999999999993</v>
      </c>
      <c r="IZ145" s="48">
        <f>IY145-'NOPA Crush'!J145</f>
        <v>0.12799999999999301</v>
      </c>
      <c r="JB145" s="63">
        <f t="shared" si="6"/>
        <v>11.324999999999999</v>
      </c>
      <c r="JC145" s="64">
        <f>JB145-'NOPA Crush'!O145</f>
        <v>-8.5000000000000853E-2</v>
      </c>
      <c r="JD145" s="65"/>
      <c r="JE145" s="67">
        <f t="shared" si="7"/>
        <v>1775</v>
      </c>
      <c r="JF145" s="68">
        <f>'NOPA Crush'!Q145/'Census Crush'!JE145</f>
        <v>0.3002918309859155</v>
      </c>
    </row>
    <row r="146" spans="1:266">
      <c r="A146" s="39">
        <v>33482</v>
      </c>
      <c r="B146" s="10">
        <v>2966.11</v>
      </c>
      <c r="C146" s="50">
        <v>2009.3</v>
      </c>
      <c r="D146" s="11">
        <v>263</v>
      </c>
      <c r="E146" s="50">
        <v>686.6</v>
      </c>
      <c r="F146" s="11">
        <v>20</v>
      </c>
      <c r="G146" s="11" t="s">
        <v>264</v>
      </c>
      <c r="H146" s="50" t="s">
        <v>264</v>
      </c>
      <c r="I146" s="11" t="s">
        <v>264</v>
      </c>
      <c r="J146" s="50" t="s">
        <v>264</v>
      </c>
      <c r="K146" s="13">
        <v>1119.3065250000002</v>
      </c>
      <c r="L146" s="49">
        <v>1786.3000000000002</v>
      </c>
      <c r="M146" s="49">
        <v>1518.4</v>
      </c>
      <c r="N146" s="49">
        <v>267.89999999999998</v>
      </c>
      <c r="O146" s="11">
        <v>83</v>
      </c>
      <c r="P146" s="51">
        <v>136.9</v>
      </c>
      <c r="Q146" s="49">
        <v>40.6</v>
      </c>
      <c r="R146" s="49">
        <v>96.3</v>
      </c>
      <c r="S146" s="49"/>
      <c r="T146" s="10">
        <v>15</v>
      </c>
      <c r="U146" s="51">
        <v>21.2</v>
      </c>
      <c r="V146" s="49">
        <v>17.3</v>
      </c>
      <c r="W146" s="49">
        <v>3.9</v>
      </c>
      <c r="X146" s="10">
        <v>20</v>
      </c>
      <c r="Y146" s="10">
        <v>13.1</v>
      </c>
      <c r="Z146" s="49">
        <v>47.5</v>
      </c>
      <c r="AA146" s="49">
        <v>39.1</v>
      </c>
      <c r="AB146" s="49">
        <v>8.4</v>
      </c>
      <c r="AC146" s="49" t="s">
        <v>264</v>
      </c>
      <c r="AD146" s="49">
        <v>10.5</v>
      </c>
      <c r="AE146" s="49"/>
      <c r="AF146" s="51">
        <v>40.799999999999997</v>
      </c>
      <c r="AG146" s="49">
        <v>25.3</v>
      </c>
      <c r="AH146" s="49">
        <v>15.5</v>
      </c>
      <c r="AI146" s="10">
        <v>145</v>
      </c>
      <c r="AJ146" s="10"/>
      <c r="AK146" s="10"/>
      <c r="AL146" s="51">
        <v>138.19999999999999</v>
      </c>
      <c r="AM146" s="49">
        <v>86.6</v>
      </c>
      <c r="AN146" s="49">
        <v>51.6</v>
      </c>
      <c r="AO146" s="13">
        <v>2232.0977750000006</v>
      </c>
      <c r="AP146" s="49">
        <v>247.4</v>
      </c>
      <c r="AQ146" s="13">
        <v>113.67001300000003</v>
      </c>
      <c r="AR146" s="49">
        <v>37.6</v>
      </c>
      <c r="AS146" s="11">
        <v>138.6</v>
      </c>
      <c r="AT146" s="50">
        <v>93.7</v>
      </c>
      <c r="AU146" s="11">
        <v>60.2</v>
      </c>
      <c r="AV146" s="50">
        <v>51.1</v>
      </c>
      <c r="AW146" s="11"/>
      <c r="AX146" s="11"/>
      <c r="AY146" s="11">
        <v>15</v>
      </c>
      <c r="AZ146" s="50" t="s">
        <v>264</v>
      </c>
      <c r="BA146" s="11" t="s">
        <v>264</v>
      </c>
      <c r="BB146" s="11" t="s">
        <v>264</v>
      </c>
      <c r="BC146" s="50"/>
      <c r="BD146" s="8">
        <v>111.967</v>
      </c>
      <c r="BE146" s="52">
        <v>41.2</v>
      </c>
      <c r="BF146" s="52"/>
      <c r="BG146" s="52"/>
      <c r="BH146" s="8">
        <v>302.13</v>
      </c>
      <c r="BI146" s="8"/>
      <c r="BJ146" s="8"/>
      <c r="BK146" s="8">
        <v>172.7</v>
      </c>
      <c r="BL146" s="8">
        <v>4.2</v>
      </c>
      <c r="BM146" s="8">
        <v>479.03300000000002</v>
      </c>
      <c r="BN146" s="52">
        <v>281.3</v>
      </c>
      <c r="BO146" s="52"/>
      <c r="BP146" s="52"/>
      <c r="BQ146" s="52">
        <v>108.5</v>
      </c>
      <c r="BR146" s="52">
        <v>10.4</v>
      </c>
      <c r="BS146" s="53">
        <v>400.2</v>
      </c>
      <c r="BT146" s="52" t="s">
        <v>264</v>
      </c>
      <c r="BU146" s="52">
        <v>24.1</v>
      </c>
      <c r="BV146" s="11">
        <v>358.7</v>
      </c>
      <c r="BW146" s="11">
        <v>96</v>
      </c>
      <c r="BX146" s="10">
        <v>459.7</v>
      </c>
      <c r="BY146" s="50">
        <v>55.9</v>
      </c>
      <c r="BZ146" s="50">
        <v>11.6</v>
      </c>
      <c r="CA146" s="49">
        <v>67.5</v>
      </c>
      <c r="CB146" s="52"/>
      <c r="CC146" s="52"/>
      <c r="CD146" s="52"/>
      <c r="CE146" s="52"/>
      <c r="CF146" s="8">
        <v>125</v>
      </c>
      <c r="CG146" s="52">
        <v>140.4</v>
      </c>
      <c r="CH146" s="52">
        <v>33.9</v>
      </c>
      <c r="CI146" s="52"/>
      <c r="CJ146" s="52"/>
      <c r="CK146" s="52"/>
      <c r="CL146" s="52"/>
      <c r="CM146" s="52"/>
      <c r="CN146" s="8">
        <v>53.6</v>
      </c>
      <c r="CO146" s="52">
        <v>279.3</v>
      </c>
      <c r="CP146" s="52">
        <v>247.6</v>
      </c>
      <c r="CQ146" s="52">
        <v>31.7</v>
      </c>
      <c r="CR146" s="52" t="s">
        <v>264</v>
      </c>
      <c r="CS146" s="52">
        <v>60.599999999999994</v>
      </c>
      <c r="CT146" s="52">
        <v>42.8</v>
      </c>
      <c r="CU146" s="52">
        <v>17.8</v>
      </c>
      <c r="CV146" s="52">
        <v>52.2</v>
      </c>
      <c r="CW146" s="52">
        <v>14.6</v>
      </c>
      <c r="CX146" s="52">
        <v>37.6</v>
      </c>
      <c r="CY146" s="52" t="s">
        <v>264</v>
      </c>
      <c r="CZ146" s="52">
        <v>54.2</v>
      </c>
      <c r="DA146" s="52">
        <v>28</v>
      </c>
      <c r="DB146" s="52">
        <v>25.5</v>
      </c>
      <c r="DC146" s="52">
        <v>2.5</v>
      </c>
      <c r="DD146" s="52"/>
      <c r="DE146" s="52"/>
      <c r="DF146" s="53"/>
      <c r="DG146" s="53">
        <v>110.57033959467104</v>
      </c>
      <c r="DH146" s="53"/>
      <c r="DI146" s="53">
        <v>564.630556108218</v>
      </c>
      <c r="DJ146" s="53">
        <v>186.59154933973119</v>
      </c>
      <c r="DK146" s="53">
        <v>540.84316850995788</v>
      </c>
      <c r="DL146" s="53">
        <v>115.16376616536954</v>
      </c>
      <c r="DM146" s="53">
        <v>219.56579007938828</v>
      </c>
      <c r="DN146" s="53"/>
      <c r="DO146" s="53">
        <v>161.49175414984299</v>
      </c>
      <c r="DP146" s="53">
        <v>191.64431856749954</v>
      </c>
      <c r="DQ146" s="53"/>
      <c r="DR146" s="53"/>
      <c r="DS146" s="53">
        <v>713.98254003550028</v>
      </c>
      <c r="DT146" s="53">
        <v>2966.0411570796027</v>
      </c>
      <c r="DU146" s="53">
        <v>-272.12771412409484</v>
      </c>
      <c r="DV146" s="53">
        <v>-6.8842920397401031E-2</v>
      </c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  <c r="FB146" s="52"/>
      <c r="FC146" s="52"/>
      <c r="FD146" s="52"/>
      <c r="FE146" s="52"/>
      <c r="FF146" s="52"/>
      <c r="FG146" s="52"/>
      <c r="FH146" s="52"/>
      <c r="FI146" s="52"/>
      <c r="FJ146" s="52"/>
      <c r="FK146" s="52"/>
      <c r="FL146" s="52"/>
      <c r="FM146" s="52"/>
      <c r="FN146" s="52"/>
      <c r="FO146" s="52"/>
      <c r="FP146" s="52"/>
      <c r="FQ146" s="52"/>
      <c r="FR146" s="52"/>
      <c r="FS146" s="52"/>
      <c r="FT146" s="52"/>
      <c r="FU146" s="52"/>
      <c r="FV146" s="52"/>
      <c r="FW146" s="52"/>
      <c r="FX146" s="52"/>
      <c r="FY146" s="52"/>
      <c r="FZ146" s="52"/>
      <c r="GA146" s="52"/>
      <c r="GB146" s="52"/>
      <c r="GC146" s="52"/>
      <c r="GD146" s="52"/>
      <c r="GE146" s="52"/>
      <c r="GF146" s="52"/>
      <c r="GG146" s="52"/>
      <c r="GH146" s="52"/>
      <c r="GI146" s="52"/>
      <c r="GJ146" s="52"/>
      <c r="GK146" s="52"/>
      <c r="GL146" s="52"/>
      <c r="GM146" s="52"/>
      <c r="GN146" s="52"/>
      <c r="GO146" s="52"/>
      <c r="GP146" s="52"/>
      <c r="GQ146" s="52"/>
      <c r="GR146" s="52"/>
      <c r="GS146" s="52"/>
      <c r="GT146" s="52"/>
      <c r="GU146" s="52"/>
      <c r="GV146" s="52"/>
      <c r="GW146" s="52"/>
      <c r="GX146" s="52"/>
      <c r="GY146" s="17"/>
      <c r="GZ146" s="52">
        <v>1010</v>
      </c>
      <c r="HA146" s="52"/>
      <c r="HB146" s="17"/>
      <c r="HC146" s="17"/>
      <c r="HD146" s="17"/>
      <c r="HE146" s="17"/>
      <c r="HF146" s="52"/>
      <c r="HG146" s="52"/>
      <c r="HH146" s="52"/>
      <c r="HI146" s="52"/>
      <c r="HJ146" s="52"/>
      <c r="HK146" s="52"/>
      <c r="HL146" s="52"/>
      <c r="HM146" s="52"/>
      <c r="HN146" s="52"/>
      <c r="HO146" s="52"/>
      <c r="HP146" s="52"/>
      <c r="HQ146" s="52"/>
      <c r="HR146" s="52"/>
      <c r="HS146" s="52"/>
      <c r="HT146" s="52"/>
      <c r="HU146" s="52"/>
      <c r="HV146" s="52"/>
      <c r="HW146" s="52"/>
      <c r="HX146" s="52"/>
      <c r="HY146" s="52"/>
      <c r="HZ146" s="52"/>
      <c r="IA146" s="52"/>
      <c r="IB146" s="52"/>
      <c r="IC146" s="52"/>
      <c r="ID146" s="52"/>
      <c r="IE146" s="52"/>
      <c r="IF146" s="52"/>
      <c r="IG146" s="52"/>
      <c r="IH146" s="53"/>
      <c r="II146" s="53"/>
      <c r="IJ146" s="53"/>
      <c r="IK146" s="53"/>
      <c r="IL146" s="53"/>
      <c r="IM146" s="52"/>
      <c r="IN146" s="52">
        <v>68.900000000000006</v>
      </c>
      <c r="IY146" s="48">
        <f t="shared" si="8"/>
        <v>47.45139839048452</v>
      </c>
      <c r="IZ146" s="48">
        <f>IY146-'NOPA Crush'!J146</f>
        <v>4.1398390484523873E-2</v>
      </c>
      <c r="JB146" s="63">
        <f t="shared" si="6"/>
        <v>11.320954297042256</v>
      </c>
      <c r="JC146" s="64">
        <f>JB146-'NOPA Crush'!O146</f>
        <v>-0.10904570295774363</v>
      </c>
      <c r="JD146" s="65"/>
      <c r="JE146" s="67">
        <f t="shared" si="7"/>
        <v>1786.3000000000002</v>
      </c>
      <c r="JF146" s="68">
        <f>'NOPA Crush'!Q146/'Census Crush'!JE146</f>
        <v>0.28615686054973966</v>
      </c>
    </row>
    <row r="147" spans="1:266">
      <c r="A147" s="39">
        <v>33512</v>
      </c>
      <c r="B147" s="10">
        <v>3333.15</v>
      </c>
      <c r="C147" s="11">
        <v>2800</v>
      </c>
      <c r="D147" s="11">
        <v>350</v>
      </c>
      <c r="E147" s="11">
        <v>1400</v>
      </c>
      <c r="F147" s="11">
        <v>22</v>
      </c>
      <c r="G147" s="11" t="s">
        <v>264</v>
      </c>
      <c r="H147" s="11" t="s">
        <v>264</v>
      </c>
      <c r="I147" s="11" t="s">
        <v>264</v>
      </c>
      <c r="J147" s="50" t="s">
        <v>264</v>
      </c>
      <c r="K147" s="10">
        <v>1257.2641799999999</v>
      </c>
      <c r="L147" s="49">
        <v>1965</v>
      </c>
      <c r="M147" s="11">
        <v>1700</v>
      </c>
      <c r="N147" s="11">
        <v>265</v>
      </c>
      <c r="O147" s="11">
        <v>122</v>
      </c>
      <c r="P147" s="51">
        <v>140</v>
      </c>
      <c r="Q147" s="11">
        <v>45</v>
      </c>
      <c r="R147" s="11">
        <v>95</v>
      </c>
      <c r="S147" s="11"/>
      <c r="T147" s="10">
        <v>19</v>
      </c>
      <c r="U147" s="51">
        <v>23.5</v>
      </c>
      <c r="V147" s="11">
        <v>20</v>
      </c>
      <c r="W147" s="11">
        <v>3.5</v>
      </c>
      <c r="X147" s="10">
        <v>60</v>
      </c>
      <c r="Y147" s="10">
        <v>11</v>
      </c>
      <c r="Z147" s="49">
        <v>85</v>
      </c>
      <c r="AA147" s="11">
        <v>75</v>
      </c>
      <c r="AB147" s="11">
        <v>10</v>
      </c>
      <c r="AC147" s="11" t="s">
        <v>264</v>
      </c>
      <c r="AD147" s="11">
        <v>17</v>
      </c>
      <c r="AE147" s="11"/>
      <c r="AF147" s="51">
        <v>55</v>
      </c>
      <c r="AG147" s="11">
        <v>35</v>
      </c>
      <c r="AH147" s="11">
        <v>20</v>
      </c>
      <c r="AI147" s="10">
        <v>145</v>
      </c>
      <c r="AJ147" s="10"/>
      <c r="AK147" s="10"/>
      <c r="AL147" s="51">
        <v>130</v>
      </c>
      <c r="AM147" s="11">
        <v>80</v>
      </c>
      <c r="AN147" s="11">
        <v>50</v>
      </c>
      <c r="AO147" s="10">
        <v>2514.1950449999999</v>
      </c>
      <c r="AP147" s="11">
        <v>240</v>
      </c>
      <c r="AQ147" s="10">
        <v>125.65975499999999</v>
      </c>
      <c r="AR147" s="11">
        <v>36</v>
      </c>
      <c r="AS147" s="11">
        <v>153.9</v>
      </c>
      <c r="AT147" s="11">
        <v>60</v>
      </c>
      <c r="AU147" s="11">
        <v>90</v>
      </c>
      <c r="AV147" s="11">
        <v>50</v>
      </c>
      <c r="AW147" s="11"/>
      <c r="AX147" s="11"/>
      <c r="AY147" s="11">
        <v>25</v>
      </c>
      <c r="AZ147" s="11" t="s">
        <v>264</v>
      </c>
      <c r="BA147" s="11" t="s">
        <v>264</v>
      </c>
      <c r="BB147" s="11" t="s">
        <v>264</v>
      </c>
      <c r="BC147" s="50"/>
      <c r="BD147" s="8">
        <v>115.367</v>
      </c>
      <c r="BE147" s="8">
        <v>40</v>
      </c>
      <c r="BF147" s="52"/>
      <c r="BG147" s="52"/>
      <c r="BH147" s="8">
        <v>315.89999999999998</v>
      </c>
      <c r="BI147" s="8"/>
      <c r="BJ147" s="8"/>
      <c r="BK147" s="8">
        <v>173.03</v>
      </c>
      <c r="BL147" s="8">
        <v>4.2670000000000003</v>
      </c>
      <c r="BM147" s="8">
        <v>493.2</v>
      </c>
      <c r="BN147" s="8">
        <v>300</v>
      </c>
      <c r="BO147" s="8"/>
      <c r="BP147" s="8"/>
      <c r="BQ147" s="8">
        <v>115</v>
      </c>
      <c r="BR147" s="8">
        <v>10.5</v>
      </c>
      <c r="BS147" s="12">
        <v>425.5</v>
      </c>
      <c r="BT147" s="52" t="s">
        <v>264</v>
      </c>
      <c r="BU147" s="8">
        <v>29</v>
      </c>
      <c r="BV147" s="11">
        <v>357.5</v>
      </c>
      <c r="BW147" s="11">
        <v>100</v>
      </c>
      <c r="BX147" s="10">
        <v>461.3</v>
      </c>
      <c r="BY147" s="11">
        <v>58</v>
      </c>
      <c r="BZ147" s="11">
        <v>12</v>
      </c>
      <c r="CA147" s="49">
        <v>70</v>
      </c>
      <c r="CB147" s="8"/>
      <c r="CC147" s="52"/>
      <c r="CD147" s="52"/>
      <c r="CE147" s="52"/>
      <c r="CF147" s="8">
        <v>114.23</v>
      </c>
      <c r="CG147" s="8">
        <v>137</v>
      </c>
      <c r="CH147" s="8">
        <v>35</v>
      </c>
      <c r="CI147" s="8"/>
      <c r="CJ147" s="8"/>
      <c r="CK147" s="52"/>
      <c r="CL147" s="52"/>
      <c r="CM147" s="52"/>
      <c r="CN147" s="8">
        <v>48</v>
      </c>
      <c r="CO147" s="52">
        <v>280</v>
      </c>
      <c r="CP147" s="8">
        <v>240</v>
      </c>
      <c r="CQ147" s="8">
        <v>40</v>
      </c>
      <c r="CR147" s="52" t="s">
        <v>264</v>
      </c>
      <c r="CS147" s="8">
        <v>61.8</v>
      </c>
      <c r="CT147" s="8">
        <v>42.8</v>
      </c>
      <c r="CU147" s="8">
        <v>19</v>
      </c>
      <c r="CV147" s="8">
        <v>43</v>
      </c>
      <c r="CW147" s="8">
        <v>13</v>
      </c>
      <c r="CX147" s="8">
        <v>30</v>
      </c>
      <c r="CY147" s="52" t="s">
        <v>264</v>
      </c>
      <c r="CZ147" s="8">
        <v>65</v>
      </c>
      <c r="DA147" s="52">
        <v>27</v>
      </c>
      <c r="DB147" s="8">
        <v>24</v>
      </c>
      <c r="DC147" s="8">
        <v>3</v>
      </c>
      <c r="DD147" s="52"/>
      <c r="DE147" s="52"/>
      <c r="DF147" s="53"/>
      <c r="DG147" s="53">
        <v>107.92481754704328</v>
      </c>
      <c r="DH147" s="53"/>
      <c r="DI147" s="53">
        <v>660.51454889739239</v>
      </c>
      <c r="DJ147" s="53">
        <v>220.81590989782634</v>
      </c>
      <c r="DK147" s="53">
        <v>589.72013491656469</v>
      </c>
      <c r="DL147" s="53">
        <v>144.05530001183479</v>
      </c>
      <c r="DM147" s="53">
        <v>222.00914907885914</v>
      </c>
      <c r="DN147" s="53"/>
      <c r="DO147" s="53">
        <v>193.45140242218628</v>
      </c>
      <c r="DP147" s="53">
        <v>222.8490828040554</v>
      </c>
      <c r="DQ147" s="53"/>
      <c r="DR147" s="53"/>
      <c r="DS147" s="53">
        <v>805.46977790050892</v>
      </c>
      <c r="DT147" s="53">
        <v>3333.17033019054</v>
      </c>
      <c r="DU147" s="53">
        <v>-274.28502426131217</v>
      </c>
      <c r="DV147" s="53">
        <v>2.0330190539880277E-2</v>
      </c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  <c r="EM147" s="52"/>
      <c r="EN147" s="52"/>
      <c r="EO147" s="52"/>
      <c r="EP147" s="52"/>
      <c r="EQ147" s="52"/>
      <c r="ER147" s="52"/>
      <c r="ES147" s="52"/>
      <c r="ET147" s="52"/>
      <c r="EU147" s="52"/>
      <c r="EV147" s="52"/>
      <c r="EW147" s="52"/>
      <c r="EX147" s="52"/>
      <c r="EY147" s="52"/>
      <c r="EZ147" s="52"/>
      <c r="FA147" s="52"/>
      <c r="FB147" s="52"/>
      <c r="FC147" s="52"/>
      <c r="FD147" s="52"/>
      <c r="FE147" s="52"/>
      <c r="FF147" s="52"/>
      <c r="FG147" s="52"/>
      <c r="FH147" s="52"/>
      <c r="FI147" s="52"/>
      <c r="FJ147" s="52"/>
      <c r="FK147" s="52"/>
      <c r="FL147" s="52"/>
      <c r="FM147" s="52"/>
      <c r="FN147" s="52"/>
      <c r="FO147" s="52"/>
      <c r="FP147" s="52"/>
      <c r="FQ147" s="52"/>
      <c r="FR147" s="52"/>
      <c r="FS147" s="52"/>
      <c r="FT147" s="52"/>
      <c r="FU147" s="52"/>
      <c r="FV147" s="52"/>
      <c r="FW147" s="52"/>
      <c r="FX147" s="52"/>
      <c r="FY147" s="52"/>
      <c r="FZ147" s="52"/>
      <c r="GA147" s="52"/>
      <c r="GB147" s="52"/>
      <c r="GC147" s="52"/>
      <c r="GD147" s="52"/>
      <c r="GE147" s="52"/>
      <c r="GF147" s="52"/>
      <c r="GG147" s="52"/>
      <c r="GH147" s="52"/>
      <c r="GI147" s="52"/>
      <c r="GJ147" s="52"/>
      <c r="GK147" s="52"/>
      <c r="GL147" s="52"/>
      <c r="GM147" s="52"/>
      <c r="GN147" s="52"/>
      <c r="GO147" s="52"/>
      <c r="GP147" s="52"/>
      <c r="GQ147" s="52"/>
      <c r="GR147" s="52"/>
      <c r="GS147" s="52"/>
      <c r="GT147" s="52"/>
      <c r="GU147" s="52"/>
      <c r="GV147" s="52"/>
      <c r="GW147" s="52"/>
      <c r="GX147" s="52"/>
      <c r="GY147" s="17"/>
      <c r="GZ147" s="52">
        <v>980</v>
      </c>
      <c r="HA147" s="52"/>
      <c r="HB147" s="17"/>
      <c r="HC147" s="17"/>
      <c r="HD147" s="17"/>
      <c r="HE147" s="17"/>
      <c r="HF147" s="52"/>
      <c r="HG147" s="52"/>
      <c r="HH147" s="52"/>
      <c r="HI147" s="52"/>
      <c r="HJ147" s="52"/>
      <c r="HK147" s="52"/>
      <c r="HL147" s="52"/>
      <c r="HM147" s="52"/>
      <c r="HN147" s="52"/>
      <c r="HO147" s="52"/>
      <c r="HP147" s="52"/>
      <c r="HQ147" s="52"/>
      <c r="HR147" s="52"/>
      <c r="HS147" s="52"/>
      <c r="HT147" s="52"/>
      <c r="HU147" s="52"/>
      <c r="HV147" s="52"/>
      <c r="HW147" s="52"/>
      <c r="HX147" s="52"/>
      <c r="HY147" s="52"/>
      <c r="HZ147" s="52"/>
      <c r="IA147" s="52"/>
      <c r="IB147" s="52"/>
      <c r="IC147" s="52"/>
      <c r="ID147" s="52"/>
      <c r="IE147" s="52"/>
      <c r="IF147" s="52"/>
      <c r="IG147" s="52"/>
      <c r="IH147" s="53"/>
      <c r="II147" s="53"/>
      <c r="IJ147" s="53"/>
      <c r="IK147" s="53"/>
      <c r="IL147" s="53"/>
      <c r="IM147" s="52"/>
      <c r="IN147" s="52">
        <v>80</v>
      </c>
      <c r="IY147" s="48">
        <f t="shared" si="8"/>
        <v>47.519999999999996</v>
      </c>
      <c r="IZ147" s="48">
        <f>IY147-'NOPA Crush'!J147</f>
        <v>9.9999999999994316E-2</v>
      </c>
      <c r="JB147" s="63">
        <f t="shared" si="6"/>
        <v>11.315999999999999</v>
      </c>
      <c r="JC147" s="64">
        <f>JB147-'NOPA Crush'!O147</f>
        <v>-0.11400000000000077</v>
      </c>
      <c r="JD147" s="65"/>
      <c r="JE147" s="67">
        <f t="shared" si="7"/>
        <v>1965</v>
      </c>
      <c r="JF147" s="68">
        <f>'NOPA Crush'!Q147/'Census Crush'!JE147</f>
        <v>0.28463409669211198</v>
      </c>
    </row>
    <row r="148" spans="1:266">
      <c r="A148" s="39">
        <v>33543</v>
      </c>
      <c r="B148" s="10">
        <v>3312.6</v>
      </c>
      <c r="C148" s="11">
        <v>3300</v>
      </c>
      <c r="D148" s="11">
        <v>385</v>
      </c>
      <c r="E148" s="11">
        <v>2000</v>
      </c>
      <c r="F148" s="11">
        <v>22.7</v>
      </c>
      <c r="G148" s="11" t="s">
        <v>264</v>
      </c>
      <c r="H148" s="11" t="s">
        <v>264</v>
      </c>
      <c r="I148" s="11" t="s">
        <v>264</v>
      </c>
      <c r="J148" s="50" t="s">
        <v>264</v>
      </c>
      <c r="K148" s="10">
        <v>1249.5127199999999</v>
      </c>
      <c r="L148" s="49">
        <v>2112</v>
      </c>
      <c r="M148" s="11">
        <v>1850</v>
      </c>
      <c r="N148" s="11">
        <v>262</v>
      </c>
      <c r="O148" s="11">
        <v>134.9</v>
      </c>
      <c r="P148" s="51">
        <v>150</v>
      </c>
      <c r="Q148" s="11">
        <v>55</v>
      </c>
      <c r="R148" s="11">
        <v>95</v>
      </c>
      <c r="S148" s="11"/>
      <c r="T148" s="10">
        <v>20</v>
      </c>
      <c r="U148" s="51">
        <v>28.5</v>
      </c>
      <c r="V148" s="11">
        <v>25</v>
      </c>
      <c r="W148" s="11">
        <v>3.5</v>
      </c>
      <c r="X148" s="10">
        <v>90</v>
      </c>
      <c r="Y148" s="10">
        <v>10.4</v>
      </c>
      <c r="Z148" s="49">
        <v>147</v>
      </c>
      <c r="AA148" s="11">
        <v>135</v>
      </c>
      <c r="AB148" s="11">
        <v>12</v>
      </c>
      <c r="AC148" s="11" t="s">
        <v>264</v>
      </c>
      <c r="AD148" s="11">
        <v>17</v>
      </c>
      <c r="AE148" s="11"/>
      <c r="AF148" s="51">
        <v>70</v>
      </c>
      <c r="AG148" s="11">
        <v>45</v>
      </c>
      <c r="AH148" s="11">
        <v>25</v>
      </c>
      <c r="AI148" s="10">
        <v>141.69999999999999</v>
      </c>
      <c r="AJ148" s="10"/>
      <c r="AK148" s="10"/>
      <c r="AL148" s="51">
        <v>128</v>
      </c>
      <c r="AM148" s="11">
        <v>80</v>
      </c>
      <c r="AN148" s="11">
        <v>48</v>
      </c>
      <c r="AO148" s="10">
        <v>2498.69418</v>
      </c>
      <c r="AP148" s="11">
        <v>240</v>
      </c>
      <c r="AQ148" s="10">
        <v>124.88501999999998</v>
      </c>
      <c r="AR148" s="11">
        <v>36</v>
      </c>
      <c r="AS148" s="11">
        <v>180</v>
      </c>
      <c r="AT148" s="11">
        <v>40</v>
      </c>
      <c r="AU148" s="11">
        <v>100</v>
      </c>
      <c r="AV148" s="11">
        <v>49</v>
      </c>
      <c r="AW148" s="11"/>
      <c r="AX148" s="11"/>
      <c r="AY148" s="11">
        <v>55</v>
      </c>
      <c r="AZ148" s="11" t="s">
        <v>264</v>
      </c>
      <c r="BA148" s="11" t="s">
        <v>264</v>
      </c>
      <c r="BB148" s="11" t="s">
        <v>264</v>
      </c>
      <c r="BC148" s="50"/>
      <c r="BD148" s="8">
        <v>115.367</v>
      </c>
      <c r="BE148" s="8">
        <v>39</v>
      </c>
      <c r="BF148" s="52"/>
      <c r="BG148" s="52"/>
      <c r="BH148" s="8">
        <v>315.89999999999998</v>
      </c>
      <c r="BI148" s="8"/>
      <c r="BJ148" s="8"/>
      <c r="BK148" s="8">
        <v>173.03</v>
      </c>
      <c r="BL148" s="8">
        <v>4.2670000000000003</v>
      </c>
      <c r="BM148" s="8">
        <v>493.2</v>
      </c>
      <c r="BN148" s="8">
        <v>320</v>
      </c>
      <c r="BO148" s="8"/>
      <c r="BP148" s="8"/>
      <c r="BQ148" s="8">
        <v>125</v>
      </c>
      <c r="BR148" s="8">
        <v>11</v>
      </c>
      <c r="BS148" s="12">
        <v>456</v>
      </c>
      <c r="BT148" s="52" t="s">
        <v>264</v>
      </c>
      <c r="BU148" s="8">
        <v>33</v>
      </c>
      <c r="BV148" s="11">
        <v>360</v>
      </c>
      <c r="BW148" s="11">
        <v>105</v>
      </c>
      <c r="BX148" s="10">
        <v>469</v>
      </c>
      <c r="BY148" s="11">
        <v>60</v>
      </c>
      <c r="BZ148" s="11">
        <v>12</v>
      </c>
      <c r="CA148" s="49">
        <v>72</v>
      </c>
      <c r="CB148" s="8"/>
      <c r="CC148" s="52"/>
      <c r="CD148" s="52"/>
      <c r="CE148" s="52"/>
      <c r="CF148" s="8">
        <v>114.23</v>
      </c>
      <c r="CG148" s="8">
        <v>135</v>
      </c>
      <c r="CH148" s="8">
        <v>35</v>
      </c>
      <c r="CI148" s="8"/>
      <c r="CJ148" s="8"/>
      <c r="CK148" s="52"/>
      <c r="CL148" s="52"/>
      <c r="CM148" s="52"/>
      <c r="CN148" s="8">
        <v>48</v>
      </c>
      <c r="CO148" s="52">
        <v>285</v>
      </c>
      <c r="CP148" s="8">
        <v>230</v>
      </c>
      <c r="CQ148" s="8">
        <v>55</v>
      </c>
      <c r="CR148" s="52" t="s">
        <v>264</v>
      </c>
      <c r="CS148" s="8">
        <v>62.8</v>
      </c>
      <c r="CT148" s="8">
        <v>42.8</v>
      </c>
      <c r="CU148" s="8">
        <v>20</v>
      </c>
      <c r="CV148" s="8">
        <v>37</v>
      </c>
      <c r="CW148" s="8">
        <v>12</v>
      </c>
      <c r="CX148" s="8">
        <v>25</v>
      </c>
      <c r="CY148" s="52" t="s">
        <v>264</v>
      </c>
      <c r="CZ148" s="8">
        <v>75</v>
      </c>
      <c r="DA148" s="52">
        <v>27</v>
      </c>
      <c r="DB148" s="8">
        <v>23</v>
      </c>
      <c r="DC148" s="8">
        <v>4</v>
      </c>
      <c r="DD148" s="52"/>
      <c r="DE148" s="52"/>
      <c r="DF148" s="53"/>
      <c r="DG148" s="53">
        <v>107.25942497283378</v>
      </c>
      <c r="DH148" s="53"/>
      <c r="DI148" s="53">
        <v>656.4422559254624</v>
      </c>
      <c r="DJ148" s="53">
        <v>219.45450600525751</v>
      </c>
      <c r="DK148" s="53">
        <v>586.08431316996541</v>
      </c>
      <c r="DL148" s="53">
        <v>143.16715093656197</v>
      </c>
      <c r="DM148" s="53">
        <v>220.64038846789725</v>
      </c>
      <c r="DN148" s="53"/>
      <c r="DO148" s="53">
        <v>192.25870986483238</v>
      </c>
      <c r="DP148" s="53">
        <v>221.47514372092857</v>
      </c>
      <c r="DQ148" s="53"/>
      <c r="DR148" s="53"/>
      <c r="DS148" s="53">
        <v>800.50378749027209</v>
      </c>
      <c r="DT148" s="53">
        <v>3312.6202209877383</v>
      </c>
      <c r="DU148" s="53">
        <v>-272.59396540656053</v>
      </c>
      <c r="DV148" s="53">
        <v>2.0220987738412077E-2</v>
      </c>
      <c r="DW148" s="52"/>
      <c r="DX148" s="52"/>
      <c r="DY148" s="52"/>
      <c r="DZ148" s="52"/>
      <c r="EA148" s="52"/>
      <c r="EB148" s="52"/>
      <c r="EC148" s="52"/>
      <c r="ED148" s="52"/>
      <c r="EE148" s="52"/>
      <c r="EF148" s="52"/>
      <c r="EG148" s="52"/>
      <c r="EH148" s="52"/>
      <c r="EI148" s="52"/>
      <c r="EJ148" s="52"/>
      <c r="EK148" s="52"/>
      <c r="EL148" s="52"/>
      <c r="EM148" s="52"/>
      <c r="EN148" s="52"/>
      <c r="EO148" s="52"/>
      <c r="EP148" s="52"/>
      <c r="EQ148" s="52"/>
      <c r="ER148" s="52"/>
      <c r="ES148" s="52"/>
      <c r="ET148" s="52"/>
      <c r="EU148" s="52"/>
      <c r="EV148" s="52"/>
      <c r="EW148" s="52"/>
      <c r="EX148" s="52"/>
      <c r="EY148" s="52"/>
      <c r="EZ148" s="52"/>
      <c r="FA148" s="52"/>
      <c r="FB148" s="52"/>
      <c r="FC148" s="52"/>
      <c r="FD148" s="52"/>
      <c r="FE148" s="52"/>
      <c r="FF148" s="52"/>
      <c r="FG148" s="52"/>
      <c r="FH148" s="52"/>
      <c r="FI148" s="52"/>
      <c r="FJ148" s="52"/>
      <c r="FK148" s="52"/>
      <c r="FL148" s="52"/>
      <c r="FM148" s="52"/>
      <c r="FN148" s="52"/>
      <c r="FO148" s="52"/>
      <c r="FP148" s="52"/>
      <c r="FQ148" s="52"/>
      <c r="FR148" s="52"/>
      <c r="FS148" s="52"/>
      <c r="FT148" s="52"/>
      <c r="FU148" s="52"/>
      <c r="FV148" s="52"/>
      <c r="FW148" s="52"/>
      <c r="FX148" s="52"/>
      <c r="FY148" s="52"/>
      <c r="FZ148" s="52"/>
      <c r="GA148" s="52"/>
      <c r="GB148" s="52"/>
      <c r="GC148" s="52"/>
      <c r="GD148" s="52"/>
      <c r="GE148" s="52"/>
      <c r="GF148" s="52"/>
      <c r="GG148" s="52"/>
      <c r="GH148" s="52"/>
      <c r="GI148" s="52"/>
      <c r="GJ148" s="52"/>
      <c r="GK148" s="52"/>
      <c r="GL148" s="52"/>
      <c r="GM148" s="52"/>
      <c r="GN148" s="52"/>
      <c r="GO148" s="52"/>
      <c r="GP148" s="52"/>
      <c r="GQ148" s="52"/>
      <c r="GR148" s="52"/>
      <c r="GS148" s="52"/>
      <c r="GT148" s="52"/>
      <c r="GU148" s="52"/>
      <c r="GV148" s="52"/>
      <c r="GW148" s="52"/>
      <c r="GX148" s="52"/>
      <c r="GY148" s="17"/>
      <c r="GZ148" s="52">
        <v>975</v>
      </c>
      <c r="HA148" s="52"/>
      <c r="HB148" s="17"/>
      <c r="HC148" s="17"/>
      <c r="HD148" s="17"/>
      <c r="HE148" s="17"/>
      <c r="HF148" s="52"/>
      <c r="HG148" s="52"/>
      <c r="HH148" s="52"/>
      <c r="HI148" s="52"/>
      <c r="HJ148" s="52"/>
      <c r="HK148" s="52"/>
      <c r="HL148" s="52"/>
      <c r="HM148" s="52"/>
      <c r="HN148" s="52"/>
      <c r="HO148" s="52"/>
      <c r="HP148" s="52"/>
      <c r="HQ148" s="52"/>
      <c r="HR148" s="52"/>
      <c r="HS148" s="52"/>
      <c r="HT148" s="52"/>
      <c r="HU148" s="52"/>
      <c r="HV148" s="52"/>
      <c r="HW148" s="52"/>
      <c r="HX148" s="52"/>
      <c r="HY148" s="52"/>
      <c r="HZ148" s="52"/>
      <c r="IA148" s="52"/>
      <c r="IB148" s="52"/>
      <c r="IC148" s="52"/>
      <c r="ID148" s="52"/>
      <c r="IE148" s="52"/>
      <c r="IF148" s="52"/>
      <c r="IG148" s="52"/>
      <c r="IH148" s="53"/>
      <c r="II148" s="53"/>
      <c r="IJ148" s="53"/>
      <c r="IK148" s="53"/>
      <c r="IL148" s="53"/>
      <c r="IM148" s="52"/>
      <c r="IN148" s="52">
        <v>95</v>
      </c>
      <c r="IY148" s="48">
        <f t="shared" si="8"/>
        <v>47.52</v>
      </c>
      <c r="IZ148" s="48">
        <f>IY148-'NOPA Crush'!J148</f>
        <v>-5.9999999999995168E-2</v>
      </c>
      <c r="JB148" s="63">
        <f t="shared" si="6"/>
        <v>11.315999999999999</v>
      </c>
      <c r="JC148" s="64">
        <f>JB148-'NOPA Crush'!O148</f>
        <v>-2.4000000000000909E-2</v>
      </c>
      <c r="JD148" s="65"/>
      <c r="JE148" s="67">
        <f t="shared" si="7"/>
        <v>2112</v>
      </c>
      <c r="JF148" s="68">
        <f>'NOPA Crush'!Q148/'Census Crush'!JE148</f>
        <v>0.2971316287878788</v>
      </c>
    </row>
    <row r="149" spans="1:266">
      <c r="A149" s="39">
        <v>33573</v>
      </c>
      <c r="B149" s="10">
        <v>3354.5499999999997</v>
      </c>
      <c r="C149" s="50">
        <v>3806.5</v>
      </c>
      <c r="D149" s="11">
        <v>410.2</v>
      </c>
      <c r="E149" s="50">
        <v>2380.5</v>
      </c>
      <c r="F149" s="11">
        <v>24</v>
      </c>
      <c r="G149" s="11" t="s">
        <v>264</v>
      </c>
      <c r="H149" s="50" t="s">
        <v>264</v>
      </c>
      <c r="I149" s="11" t="s">
        <v>264</v>
      </c>
      <c r="J149" s="50" t="s">
        <v>264</v>
      </c>
      <c r="K149" s="13">
        <v>1265.2230999999999</v>
      </c>
      <c r="L149" s="49">
        <v>2215.7000000000003</v>
      </c>
      <c r="M149" s="49">
        <v>1955.9</v>
      </c>
      <c r="N149" s="49">
        <v>259.8</v>
      </c>
      <c r="O149" s="11">
        <v>142</v>
      </c>
      <c r="P149" s="51">
        <v>163.30000000000001</v>
      </c>
      <c r="Q149" s="49">
        <v>68.8</v>
      </c>
      <c r="R149" s="49">
        <v>94.5</v>
      </c>
      <c r="S149" s="49"/>
      <c r="T149" s="10">
        <v>21.1</v>
      </c>
      <c r="U149" s="51">
        <v>30.6</v>
      </c>
      <c r="V149" s="49">
        <v>27.5</v>
      </c>
      <c r="W149" s="49">
        <v>3.1</v>
      </c>
      <c r="X149" s="10">
        <v>85.8</v>
      </c>
      <c r="Y149" s="10">
        <v>10</v>
      </c>
      <c r="Z149" s="49">
        <v>199.2</v>
      </c>
      <c r="AA149" s="49">
        <v>185.7</v>
      </c>
      <c r="AB149" s="49">
        <v>13.5</v>
      </c>
      <c r="AC149" s="49" t="s">
        <v>264</v>
      </c>
      <c r="AD149" s="49">
        <v>17.600000000000001</v>
      </c>
      <c r="AE149" s="49"/>
      <c r="AF149" s="51">
        <v>82.7</v>
      </c>
      <c r="AG149" s="49">
        <v>56.7</v>
      </c>
      <c r="AH149" s="49">
        <v>26</v>
      </c>
      <c r="AI149" s="10">
        <v>150</v>
      </c>
      <c r="AJ149" s="10"/>
      <c r="AK149" s="10"/>
      <c r="AL149" s="51">
        <v>123.60000000000001</v>
      </c>
      <c r="AM149" s="49">
        <v>75.900000000000006</v>
      </c>
      <c r="AN149" s="49">
        <v>47.7</v>
      </c>
      <c r="AO149" s="13">
        <v>2530.5107749999993</v>
      </c>
      <c r="AP149" s="49">
        <v>244.6</v>
      </c>
      <c r="AQ149" s="13">
        <v>126.45522500000003</v>
      </c>
      <c r="AR149" s="49">
        <v>36.4</v>
      </c>
      <c r="AS149" s="11">
        <v>200</v>
      </c>
      <c r="AT149" s="50">
        <v>35.5</v>
      </c>
      <c r="AU149" s="11">
        <v>111</v>
      </c>
      <c r="AV149" s="50">
        <v>47.1</v>
      </c>
      <c r="AW149" s="11"/>
      <c r="AX149" s="50"/>
      <c r="AY149" s="11">
        <v>67.599999999999994</v>
      </c>
      <c r="AZ149" s="50" t="s">
        <v>264</v>
      </c>
      <c r="BA149" s="11" t="s">
        <v>264</v>
      </c>
      <c r="BB149" s="50" t="s">
        <v>264</v>
      </c>
      <c r="BC149" s="50"/>
      <c r="BD149" s="8">
        <v>115.367</v>
      </c>
      <c r="BE149" s="52">
        <v>38.700000000000003</v>
      </c>
      <c r="BF149" s="52"/>
      <c r="BG149" s="52"/>
      <c r="BH149" s="8">
        <v>315.89999999999998</v>
      </c>
      <c r="BI149" s="8"/>
      <c r="BJ149" s="8"/>
      <c r="BK149" s="8">
        <v>173.03</v>
      </c>
      <c r="BL149" s="8">
        <v>4.2670000000000003</v>
      </c>
      <c r="BM149" s="8">
        <v>493.2</v>
      </c>
      <c r="BN149" s="52">
        <v>348.7</v>
      </c>
      <c r="BO149" s="52"/>
      <c r="BP149" s="52"/>
      <c r="BQ149" s="52">
        <v>136.30000000000001</v>
      </c>
      <c r="BR149" s="52">
        <v>11.3</v>
      </c>
      <c r="BS149" s="53">
        <v>496.3</v>
      </c>
      <c r="BT149" s="52" t="s">
        <v>264</v>
      </c>
      <c r="BU149" s="52">
        <v>37.4</v>
      </c>
      <c r="BV149" s="11">
        <v>360</v>
      </c>
      <c r="BW149" s="11">
        <v>103.2</v>
      </c>
      <c r="BX149" s="10">
        <v>467</v>
      </c>
      <c r="BY149" s="50">
        <v>65.3</v>
      </c>
      <c r="BZ149" s="50">
        <v>12.9</v>
      </c>
      <c r="CA149" s="49">
        <v>78.2</v>
      </c>
      <c r="CB149" s="52"/>
      <c r="CC149" s="52"/>
      <c r="CD149" s="52"/>
      <c r="CE149" s="52"/>
      <c r="CF149" s="8">
        <v>114.23</v>
      </c>
      <c r="CG149" s="52">
        <v>134.6</v>
      </c>
      <c r="CH149" s="52">
        <v>36</v>
      </c>
      <c r="CI149" s="52"/>
      <c r="CJ149" s="52"/>
      <c r="CK149" s="52"/>
      <c r="CL149" s="52"/>
      <c r="CM149" s="52"/>
      <c r="CN149" s="8">
        <v>47.4</v>
      </c>
      <c r="CO149" s="52">
        <v>298</v>
      </c>
      <c r="CP149" s="52">
        <v>230.5</v>
      </c>
      <c r="CQ149" s="52">
        <v>67.5</v>
      </c>
      <c r="CR149" s="52" t="s">
        <v>264</v>
      </c>
      <c r="CS149" s="52">
        <v>64.199999999999989</v>
      </c>
      <c r="CT149" s="52">
        <v>42.8</v>
      </c>
      <c r="CU149" s="52">
        <v>21.4</v>
      </c>
      <c r="CV149" s="52">
        <v>33</v>
      </c>
      <c r="CW149" s="52">
        <v>11.4</v>
      </c>
      <c r="CX149" s="52">
        <v>21.6</v>
      </c>
      <c r="CY149" s="52" t="s">
        <v>264</v>
      </c>
      <c r="CZ149" s="52">
        <v>86.4</v>
      </c>
      <c r="DA149" s="52">
        <v>26.4</v>
      </c>
      <c r="DB149" s="52">
        <v>22</v>
      </c>
      <c r="DC149" s="52">
        <v>4.4000000000000004</v>
      </c>
      <c r="DD149" s="52"/>
      <c r="DE149" s="52"/>
      <c r="DF149" s="53"/>
      <c r="DG149" s="53">
        <v>108.61575748012294</v>
      </c>
      <c r="DH149" s="53"/>
      <c r="DI149" s="53">
        <v>664.74319517714525</v>
      </c>
      <c r="DJ149" s="53">
        <v>222.22958409691611</v>
      </c>
      <c r="DK149" s="53">
        <v>593.49555191346997</v>
      </c>
      <c r="DL149" s="53">
        <v>144.97754905160323</v>
      </c>
      <c r="DM149" s="53">
        <v>223.43046245324365</v>
      </c>
      <c r="DN149" s="53"/>
      <c r="DO149" s="53">
        <v>194.68988771298132</v>
      </c>
      <c r="DP149" s="53">
        <v>224.27577347501605</v>
      </c>
      <c r="DQ149" s="53"/>
      <c r="DR149" s="53"/>
      <c r="DS149" s="53">
        <v>810.6264346092189</v>
      </c>
      <c r="DT149" s="53">
        <v>3354.509448821721</v>
      </c>
      <c r="DU149" s="53">
        <v>-276.04101033212646</v>
      </c>
      <c r="DV149" s="53">
        <v>-4.0551178278747102E-2</v>
      </c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  <c r="EN149" s="52"/>
      <c r="EO149" s="52"/>
      <c r="EP149" s="52"/>
      <c r="EQ149" s="52"/>
      <c r="ER149" s="52"/>
      <c r="ES149" s="52"/>
      <c r="ET149" s="52"/>
      <c r="EU149" s="52"/>
      <c r="EV149" s="52"/>
      <c r="EW149" s="52"/>
      <c r="EX149" s="52"/>
      <c r="EY149" s="52"/>
      <c r="EZ149" s="52"/>
      <c r="FA149" s="52"/>
      <c r="FB149" s="52"/>
      <c r="FC149" s="52"/>
      <c r="FD149" s="52"/>
      <c r="FE149" s="52"/>
      <c r="FF149" s="52"/>
      <c r="FG149" s="52"/>
      <c r="FH149" s="52"/>
      <c r="FI149" s="52"/>
      <c r="FJ149" s="52"/>
      <c r="FK149" s="52"/>
      <c r="FL149" s="52"/>
      <c r="FM149" s="52"/>
      <c r="FN149" s="52"/>
      <c r="FO149" s="52"/>
      <c r="FP149" s="52"/>
      <c r="FQ149" s="52"/>
      <c r="FR149" s="52"/>
      <c r="FS149" s="52"/>
      <c r="FT149" s="52"/>
      <c r="FU149" s="52"/>
      <c r="FV149" s="52"/>
      <c r="FW149" s="52"/>
      <c r="FX149" s="52"/>
      <c r="FY149" s="52"/>
      <c r="FZ149" s="52"/>
      <c r="GA149" s="52"/>
      <c r="GB149" s="52"/>
      <c r="GC149" s="52"/>
      <c r="GD149" s="52"/>
      <c r="GE149" s="52"/>
      <c r="GF149" s="52"/>
      <c r="GG149" s="52"/>
      <c r="GH149" s="52"/>
      <c r="GI149" s="52"/>
      <c r="GJ149" s="52"/>
      <c r="GK149" s="52"/>
      <c r="GL149" s="52"/>
      <c r="GM149" s="52"/>
      <c r="GN149" s="52"/>
      <c r="GO149" s="52"/>
      <c r="GP149" s="52"/>
      <c r="GQ149" s="52"/>
      <c r="GR149" s="52"/>
      <c r="GS149" s="52"/>
      <c r="GT149" s="52"/>
      <c r="GU149" s="52"/>
      <c r="GV149" s="52"/>
      <c r="GW149" s="52"/>
      <c r="GX149" s="52"/>
      <c r="GY149" s="17"/>
      <c r="GZ149" s="52">
        <v>963.1</v>
      </c>
      <c r="HA149" s="52"/>
      <c r="HB149" s="17"/>
      <c r="HC149" s="17"/>
      <c r="HD149" s="17"/>
      <c r="HE149" s="17"/>
      <c r="HF149" s="52"/>
      <c r="HG149" s="52"/>
      <c r="HH149" s="52"/>
      <c r="HI149" s="52"/>
      <c r="HJ149" s="52"/>
      <c r="HK149" s="52"/>
      <c r="HL149" s="52"/>
      <c r="HM149" s="52"/>
      <c r="HN149" s="52"/>
      <c r="HO149" s="52"/>
      <c r="HP149" s="52"/>
      <c r="HQ149" s="52"/>
      <c r="HR149" s="52"/>
      <c r="HS149" s="52"/>
      <c r="HT149" s="52"/>
      <c r="HU149" s="52"/>
      <c r="HV149" s="52"/>
      <c r="HW149" s="52"/>
      <c r="HX149" s="52"/>
      <c r="HY149" s="52"/>
      <c r="HZ149" s="52"/>
      <c r="IA149" s="52"/>
      <c r="IB149" s="52"/>
      <c r="IC149" s="52"/>
      <c r="ID149" s="52"/>
      <c r="IE149" s="52"/>
      <c r="IF149" s="52"/>
      <c r="IG149" s="52"/>
      <c r="IH149" s="53"/>
      <c r="II149" s="53"/>
      <c r="IJ149" s="53"/>
      <c r="IK149" s="53"/>
      <c r="IL149" s="53"/>
      <c r="IM149" s="52"/>
      <c r="IN149" s="52">
        <v>100</v>
      </c>
      <c r="IY149" s="48">
        <f t="shared" si="8"/>
        <v>47.522904711511224</v>
      </c>
      <c r="IZ149" s="48">
        <f>IY149-'NOPA Crush'!J149</f>
        <v>-3.7095288488778522E-2</v>
      </c>
      <c r="JB149" s="63">
        <f t="shared" si="6"/>
        <v>11.314988001371272</v>
      </c>
      <c r="JC149" s="64">
        <f>JB149-'NOPA Crush'!O149</f>
        <v>-7.5011998628728094E-2</v>
      </c>
      <c r="JD149" s="65"/>
      <c r="JE149" s="67">
        <f t="shared" si="7"/>
        <v>2215.7000000000003</v>
      </c>
      <c r="JF149" s="68">
        <f>'NOPA Crush'!Q149/'Census Crush'!JE149</f>
        <v>0.34468971431150425</v>
      </c>
    </row>
    <row r="150" spans="1:266">
      <c r="A150" s="39">
        <v>33604</v>
      </c>
      <c r="B150" s="51">
        <v>3361.2</v>
      </c>
      <c r="C150" s="51">
        <v>3641</v>
      </c>
      <c r="D150" s="51">
        <v>420.6</v>
      </c>
      <c r="E150" s="51">
        <v>2291.6</v>
      </c>
      <c r="F150" s="51">
        <v>34.6</v>
      </c>
      <c r="G150" s="51">
        <v>111.5</v>
      </c>
      <c r="H150" s="51">
        <v>124.4</v>
      </c>
      <c r="I150" s="51" t="s">
        <v>264</v>
      </c>
      <c r="J150" s="51" t="s">
        <v>264</v>
      </c>
      <c r="K150" s="51">
        <v>1270</v>
      </c>
      <c r="L150" s="49">
        <v>2159.5</v>
      </c>
      <c r="M150" s="51">
        <v>1915.8</v>
      </c>
      <c r="N150" s="51">
        <v>243.7</v>
      </c>
      <c r="O150" s="51">
        <v>137.4</v>
      </c>
      <c r="P150" s="51">
        <v>193.1</v>
      </c>
      <c r="Q150" s="51">
        <v>88.1</v>
      </c>
      <c r="R150" s="51">
        <v>105</v>
      </c>
      <c r="S150" s="51"/>
      <c r="T150" s="51">
        <v>28</v>
      </c>
      <c r="U150" s="51">
        <v>38.099999999999994</v>
      </c>
      <c r="V150" s="51">
        <v>33.299999999999997</v>
      </c>
      <c r="W150" s="51">
        <v>4.8</v>
      </c>
      <c r="X150" s="51">
        <v>96.2</v>
      </c>
      <c r="Y150" s="51">
        <v>6.7</v>
      </c>
      <c r="Z150" s="49">
        <v>209.9</v>
      </c>
      <c r="AA150" s="51">
        <v>195.1</v>
      </c>
      <c r="AB150" s="51">
        <v>14.8</v>
      </c>
      <c r="AC150" s="51" t="s">
        <v>264</v>
      </c>
      <c r="AD150" s="51">
        <v>14.3</v>
      </c>
      <c r="AE150" s="51"/>
      <c r="AF150" s="51">
        <v>101.4</v>
      </c>
      <c r="AG150" s="51">
        <v>68.900000000000006</v>
      </c>
      <c r="AH150" s="51">
        <v>32.5</v>
      </c>
      <c r="AI150" s="51">
        <v>138.1</v>
      </c>
      <c r="AJ150" s="51"/>
      <c r="AK150" s="51"/>
      <c r="AL150" s="51">
        <v>116.3</v>
      </c>
      <c r="AM150" s="51">
        <v>70.099999999999994</v>
      </c>
      <c r="AN150" s="51">
        <v>46.2</v>
      </c>
      <c r="AO150" s="51">
        <v>2525.3000000000002</v>
      </c>
      <c r="AP150" s="51">
        <v>224.3</v>
      </c>
      <c r="AQ150" s="51">
        <v>140.19999999999999</v>
      </c>
      <c r="AR150" s="51">
        <v>34</v>
      </c>
      <c r="AS150" s="51">
        <v>192.6</v>
      </c>
      <c r="AT150" s="51">
        <v>43.7</v>
      </c>
      <c r="AU150" s="51">
        <v>110.5</v>
      </c>
      <c r="AV150" s="51">
        <v>46.5</v>
      </c>
      <c r="AW150" s="51">
        <v>19</v>
      </c>
      <c r="AX150" s="51">
        <v>5</v>
      </c>
      <c r="AY150" s="51">
        <v>53.1</v>
      </c>
      <c r="AZ150" s="51">
        <v>9.6</v>
      </c>
      <c r="BA150" s="51">
        <v>0.2</v>
      </c>
      <c r="BB150" s="51">
        <v>0.1</v>
      </c>
      <c r="BC150" s="51"/>
      <c r="BD150" s="53">
        <v>121.8</v>
      </c>
      <c r="BE150" s="53">
        <v>53.1</v>
      </c>
      <c r="BF150" s="55"/>
      <c r="BG150" s="55"/>
      <c r="BH150" s="53">
        <v>316.2</v>
      </c>
      <c r="BI150" s="55"/>
      <c r="BJ150" s="55"/>
      <c r="BK150" s="53">
        <v>179.7</v>
      </c>
      <c r="BL150" s="53">
        <v>4</v>
      </c>
      <c r="BM150" s="53">
        <v>499.9</v>
      </c>
      <c r="BN150" s="53">
        <v>319.3</v>
      </c>
      <c r="BO150" s="55"/>
      <c r="BP150" s="55"/>
      <c r="BQ150" s="53">
        <v>82.6</v>
      </c>
      <c r="BR150" s="53">
        <v>8.6</v>
      </c>
      <c r="BS150" s="53">
        <v>410.5</v>
      </c>
      <c r="BT150" s="52" t="s">
        <v>264</v>
      </c>
      <c r="BU150" s="53">
        <v>27.2</v>
      </c>
      <c r="BV150" s="51">
        <v>356.5</v>
      </c>
      <c r="BW150" s="51">
        <v>107.8</v>
      </c>
      <c r="BX150" s="51">
        <v>464.7</v>
      </c>
      <c r="BY150" s="51">
        <v>50.5</v>
      </c>
      <c r="BZ150" s="51">
        <v>16.7</v>
      </c>
      <c r="CA150" s="49">
        <v>67.2</v>
      </c>
      <c r="CB150" s="55"/>
      <c r="CC150" s="55"/>
      <c r="CD150" s="55"/>
      <c r="CE150" s="55"/>
      <c r="CF150" s="53">
        <v>131.4</v>
      </c>
      <c r="CG150" s="53">
        <v>153.9</v>
      </c>
      <c r="CH150" s="53">
        <v>35</v>
      </c>
      <c r="CI150" s="55"/>
      <c r="CJ150" s="55"/>
      <c r="CK150" s="55"/>
      <c r="CL150" s="55"/>
      <c r="CM150" s="55"/>
      <c r="CN150" s="53">
        <v>58</v>
      </c>
      <c r="CO150" s="52">
        <v>266.3</v>
      </c>
      <c r="CP150" s="53">
        <v>220.2</v>
      </c>
      <c r="CQ150" s="53">
        <v>46.1</v>
      </c>
      <c r="CR150" s="52" t="s">
        <v>264</v>
      </c>
      <c r="CS150" s="52">
        <v>73.099999999999994</v>
      </c>
      <c r="CT150" s="52">
        <v>51.2</v>
      </c>
      <c r="CU150" s="52">
        <v>21.9</v>
      </c>
      <c r="CV150" s="52">
        <v>34.900000000000006</v>
      </c>
      <c r="CW150" s="53">
        <v>12.8</v>
      </c>
      <c r="CX150" s="53">
        <v>22.1</v>
      </c>
      <c r="CY150" s="53" t="s">
        <v>264</v>
      </c>
      <c r="CZ150" s="53">
        <v>64.2</v>
      </c>
      <c r="DA150" s="52">
        <v>23.8</v>
      </c>
      <c r="DB150" s="53">
        <v>21.5</v>
      </c>
      <c r="DC150" s="53">
        <v>2.2999999999999998</v>
      </c>
      <c r="DD150" s="55"/>
      <c r="DE150" s="55"/>
      <c r="DF150" s="55"/>
      <c r="DG150" s="53">
        <v>115.8</v>
      </c>
      <c r="DH150" s="55"/>
      <c r="DI150" s="53">
        <v>644.6</v>
      </c>
      <c r="DJ150" s="53">
        <v>221.7</v>
      </c>
      <c r="DK150" s="53">
        <v>612.5</v>
      </c>
      <c r="DL150" s="53">
        <v>142.30000000000001</v>
      </c>
      <c r="DM150" s="53">
        <v>218.8</v>
      </c>
      <c r="DN150" s="55"/>
      <c r="DO150" s="53">
        <v>203.2</v>
      </c>
      <c r="DP150" s="53">
        <v>214.3</v>
      </c>
      <c r="DQ150" s="55"/>
      <c r="DR150" s="55"/>
      <c r="DS150" s="53">
        <v>817.3</v>
      </c>
      <c r="DT150" s="53">
        <v>3361.2</v>
      </c>
      <c r="DU150" s="53">
        <v>-286.5</v>
      </c>
      <c r="DV150" s="53">
        <v>0</v>
      </c>
      <c r="DW150" s="55"/>
      <c r="DX150" s="55"/>
      <c r="DY150" s="55"/>
      <c r="DZ150" s="55"/>
      <c r="EA150" s="55"/>
      <c r="EB150" s="55"/>
      <c r="EC150" s="55"/>
      <c r="ED150" s="55"/>
      <c r="EE150" s="55"/>
      <c r="EF150" s="55"/>
      <c r="EG150" s="55"/>
      <c r="EH150" s="55"/>
      <c r="EI150" s="55"/>
      <c r="EJ150" s="55"/>
      <c r="EK150" s="55"/>
      <c r="EL150" s="55"/>
      <c r="EM150" s="55"/>
      <c r="EN150" s="55"/>
      <c r="EO150" s="55"/>
      <c r="EP150" s="55"/>
      <c r="EQ150" s="55"/>
      <c r="ER150" s="55"/>
      <c r="ES150" s="55"/>
      <c r="ET150" s="55"/>
      <c r="EU150" s="55"/>
      <c r="EV150" s="55"/>
      <c r="EW150" s="55"/>
      <c r="EX150" s="55"/>
      <c r="EY150" s="55"/>
      <c r="EZ150" s="55"/>
      <c r="FA150" s="55"/>
      <c r="FB150" s="55"/>
      <c r="FC150" s="55"/>
      <c r="FD150" s="55"/>
      <c r="FE150" s="55"/>
      <c r="FF150" s="55"/>
      <c r="FG150" s="55"/>
      <c r="FH150" s="55"/>
      <c r="FI150" s="55"/>
      <c r="FJ150" s="55"/>
      <c r="FK150" s="55"/>
      <c r="FL150" s="55"/>
      <c r="FM150" s="55"/>
      <c r="FN150" s="55"/>
      <c r="FO150" s="55"/>
      <c r="FP150" s="55"/>
      <c r="FQ150" s="55"/>
      <c r="FR150" s="55"/>
      <c r="FS150" s="55"/>
      <c r="FT150" s="55"/>
      <c r="FU150" s="55"/>
      <c r="FV150" s="55"/>
      <c r="FW150" s="55"/>
      <c r="FX150" s="55"/>
      <c r="FY150" s="55"/>
      <c r="FZ150" s="55"/>
      <c r="GA150" s="55"/>
      <c r="GB150" s="55"/>
      <c r="GC150" s="55"/>
      <c r="GD150" s="55"/>
      <c r="GE150" s="55"/>
      <c r="GF150" s="55"/>
      <c r="GG150" s="55"/>
      <c r="GH150" s="55"/>
      <c r="GI150" s="55"/>
      <c r="GJ150" s="55"/>
      <c r="GK150" s="55"/>
      <c r="GL150" s="55"/>
      <c r="GM150" s="55"/>
      <c r="GN150" s="55"/>
      <c r="GO150" s="55"/>
      <c r="GP150" s="55"/>
      <c r="GQ150" s="55"/>
      <c r="GR150" s="55"/>
      <c r="GS150" s="55"/>
      <c r="GT150" s="55"/>
      <c r="GU150" s="55"/>
      <c r="GV150" s="55"/>
      <c r="GW150" s="55"/>
      <c r="GX150" s="55"/>
      <c r="GY150" s="55"/>
      <c r="GZ150" s="53">
        <v>933.8</v>
      </c>
      <c r="HA150" s="55"/>
      <c r="HB150" s="55"/>
      <c r="HC150" s="55"/>
      <c r="HD150" s="55"/>
      <c r="HE150" s="55"/>
      <c r="HF150" s="55"/>
      <c r="HG150" s="55"/>
      <c r="HH150" s="55"/>
      <c r="HI150" s="55"/>
      <c r="HJ150" s="55"/>
      <c r="HK150" s="55"/>
      <c r="HL150" s="55"/>
      <c r="HM150" s="55"/>
      <c r="HN150" s="55"/>
      <c r="HO150" s="55"/>
      <c r="HP150" s="55"/>
      <c r="HQ150" s="55"/>
      <c r="HR150" s="55"/>
      <c r="HS150" s="55"/>
      <c r="HT150" s="55"/>
      <c r="HU150" s="55"/>
      <c r="HV150" s="55"/>
      <c r="HW150" s="55"/>
      <c r="HX150" s="55"/>
      <c r="HY150" s="55"/>
      <c r="HZ150" s="55"/>
      <c r="IA150" s="55"/>
      <c r="IB150" s="55"/>
      <c r="IC150" s="55"/>
      <c r="ID150" s="55"/>
      <c r="IE150" s="55"/>
      <c r="IF150" s="55"/>
      <c r="IG150" s="55"/>
      <c r="IH150" s="55"/>
      <c r="II150" s="55"/>
      <c r="IJ150" s="55"/>
      <c r="IK150" s="55"/>
      <c r="IL150" s="55"/>
      <c r="IM150" s="55"/>
      <c r="IN150" s="53">
        <v>103.2</v>
      </c>
      <c r="IY150" s="48">
        <f t="shared" si="8"/>
        <v>47.581220992502679</v>
      </c>
      <c r="IZ150" s="48">
        <f>IY150-'NOPA Crush'!J150</f>
        <v>1.1220992502678939E-2</v>
      </c>
      <c r="JB150" s="63">
        <f t="shared" si="6"/>
        <v>11.335237415208855</v>
      </c>
      <c r="JC150" s="64">
        <f>JB150-'NOPA Crush'!O150</f>
        <v>-8.4762584791144846E-2</v>
      </c>
      <c r="JD150" s="65"/>
      <c r="JE150" s="67">
        <f t="shared" si="7"/>
        <v>2159.5</v>
      </c>
      <c r="JF150" s="68">
        <f>'NOPA Crush'!Q150/'Census Crush'!JE150</f>
        <v>0.36253623523963885</v>
      </c>
    </row>
    <row r="151" spans="1:266">
      <c r="A151" s="39">
        <v>33635</v>
      </c>
      <c r="B151" s="51">
        <v>3022.6</v>
      </c>
      <c r="C151" s="51">
        <v>3288.9</v>
      </c>
      <c r="D151" s="51">
        <v>378.3</v>
      </c>
      <c r="E151" s="51">
        <v>2037.5</v>
      </c>
      <c r="F151" s="51">
        <v>32</v>
      </c>
      <c r="G151" s="51">
        <v>103.9</v>
      </c>
      <c r="H151" s="51">
        <v>103.4</v>
      </c>
      <c r="I151" s="51" t="s">
        <v>264</v>
      </c>
      <c r="J151" s="51" t="s">
        <v>264</v>
      </c>
      <c r="K151" s="51">
        <v>1147</v>
      </c>
      <c r="L151" s="49">
        <v>2402.5</v>
      </c>
      <c r="M151" s="51">
        <v>2156.8000000000002</v>
      </c>
      <c r="N151" s="51">
        <v>245.7</v>
      </c>
      <c r="O151" s="51">
        <v>127.2</v>
      </c>
      <c r="P151" s="51">
        <v>183.7</v>
      </c>
      <c r="Q151" s="51">
        <v>65.2</v>
      </c>
      <c r="R151" s="51">
        <v>118.5</v>
      </c>
      <c r="S151" s="51"/>
      <c r="T151" s="51">
        <v>26.8</v>
      </c>
      <c r="U151" s="51">
        <v>43</v>
      </c>
      <c r="V151" s="51">
        <v>39</v>
      </c>
      <c r="W151" s="51">
        <v>4</v>
      </c>
      <c r="X151" s="51">
        <v>88</v>
      </c>
      <c r="Y151" s="51">
        <v>6.8</v>
      </c>
      <c r="Z151" s="49">
        <v>265.5</v>
      </c>
      <c r="AA151" s="51">
        <v>255.7</v>
      </c>
      <c r="AB151" s="51">
        <v>9.8000000000000007</v>
      </c>
      <c r="AC151" s="51" t="s">
        <v>264</v>
      </c>
      <c r="AD151" s="51">
        <v>18.600000000000001</v>
      </c>
      <c r="AE151" s="51"/>
      <c r="AF151" s="51">
        <v>72.3</v>
      </c>
      <c r="AG151" s="51">
        <v>51.3</v>
      </c>
      <c r="AH151" s="51">
        <v>21</v>
      </c>
      <c r="AI151" s="51">
        <v>137.5</v>
      </c>
      <c r="AJ151" s="51"/>
      <c r="AK151" s="51"/>
      <c r="AL151" s="51">
        <v>110</v>
      </c>
      <c r="AM151" s="51">
        <v>68.8</v>
      </c>
      <c r="AN151" s="51">
        <v>41.2</v>
      </c>
      <c r="AO151" s="51">
        <v>2259.4</v>
      </c>
      <c r="AP151" s="51">
        <v>250</v>
      </c>
      <c r="AQ151" s="51">
        <v>134.4</v>
      </c>
      <c r="AR151" s="51">
        <v>41.3</v>
      </c>
      <c r="AS151" s="51">
        <v>170.5</v>
      </c>
      <c r="AT151" s="51">
        <v>59.9</v>
      </c>
      <c r="AU151" s="51">
        <v>102</v>
      </c>
      <c r="AV151" s="51">
        <v>49.8</v>
      </c>
      <c r="AW151" s="51">
        <v>17</v>
      </c>
      <c r="AX151" s="51">
        <v>5</v>
      </c>
      <c r="AY151" s="51">
        <v>50</v>
      </c>
      <c r="AZ151" s="51">
        <v>13.7</v>
      </c>
      <c r="BA151" s="51">
        <v>0.1</v>
      </c>
      <c r="BB151" s="51">
        <v>0.1</v>
      </c>
      <c r="BC151" s="51"/>
      <c r="BD151" s="53">
        <v>116.9</v>
      </c>
      <c r="BE151" s="53">
        <v>40</v>
      </c>
      <c r="BF151" s="55"/>
      <c r="BG151" s="55"/>
      <c r="BH151" s="53">
        <v>281.39999999999998</v>
      </c>
      <c r="BI151" s="55"/>
      <c r="BJ151" s="55"/>
      <c r="BK151" s="53">
        <v>154.1</v>
      </c>
      <c r="BL151" s="53">
        <v>1.6</v>
      </c>
      <c r="BM151" s="53">
        <v>437.1</v>
      </c>
      <c r="BN151" s="53">
        <v>383.2</v>
      </c>
      <c r="BO151" s="55"/>
      <c r="BP151" s="55"/>
      <c r="BQ151" s="53">
        <v>84.6</v>
      </c>
      <c r="BR151" s="53">
        <v>8.1999999999999993</v>
      </c>
      <c r="BS151" s="53">
        <v>475.99999999999994</v>
      </c>
      <c r="BT151" s="52" t="s">
        <v>264</v>
      </c>
      <c r="BU151" s="53">
        <v>28.9</v>
      </c>
      <c r="BV151" s="51">
        <v>308.60000000000002</v>
      </c>
      <c r="BW151" s="51">
        <v>100.8</v>
      </c>
      <c r="BX151" s="51">
        <v>409.5</v>
      </c>
      <c r="BY151" s="51">
        <v>45.9</v>
      </c>
      <c r="BZ151" s="51">
        <v>15.9</v>
      </c>
      <c r="CA151" s="49">
        <v>61.8</v>
      </c>
      <c r="CB151" s="55"/>
      <c r="CC151" s="55"/>
      <c r="CD151" s="55"/>
      <c r="CE151" s="55"/>
      <c r="CF151" s="53">
        <v>121.5</v>
      </c>
      <c r="CG151" s="53">
        <v>163.1</v>
      </c>
      <c r="CH151" s="53">
        <v>35.700000000000003</v>
      </c>
      <c r="CI151" s="55"/>
      <c r="CJ151" s="55"/>
      <c r="CK151" s="55"/>
      <c r="CL151" s="55"/>
      <c r="CM151" s="55"/>
      <c r="CN151" s="53">
        <v>49.5</v>
      </c>
      <c r="CO151" s="52">
        <v>274.09999999999997</v>
      </c>
      <c r="CP151" s="53">
        <v>218.2</v>
      </c>
      <c r="CQ151" s="53">
        <v>55.9</v>
      </c>
      <c r="CR151" s="52" t="s">
        <v>264</v>
      </c>
      <c r="CS151" s="52">
        <v>84.1</v>
      </c>
      <c r="CT151" s="52">
        <v>62.3</v>
      </c>
      <c r="CU151" s="52">
        <v>21.8</v>
      </c>
      <c r="CV151" s="52">
        <v>43.7</v>
      </c>
      <c r="CW151" s="53">
        <v>9.5</v>
      </c>
      <c r="CX151" s="53">
        <v>34.200000000000003</v>
      </c>
      <c r="CY151" s="53" t="s">
        <v>264</v>
      </c>
      <c r="CZ151" s="53">
        <v>84.5</v>
      </c>
      <c r="DA151" s="52">
        <v>21.8</v>
      </c>
      <c r="DB151" s="53">
        <v>20.2</v>
      </c>
      <c r="DC151" s="53">
        <v>1.6</v>
      </c>
      <c r="DD151" s="55"/>
      <c r="DE151" s="55"/>
      <c r="DF151" s="55"/>
      <c r="DG151" s="53">
        <v>108</v>
      </c>
      <c r="DH151" s="55"/>
      <c r="DI151" s="53">
        <v>589.29999999999995</v>
      </c>
      <c r="DJ151" s="53">
        <v>198.4</v>
      </c>
      <c r="DK151" s="53">
        <v>545.20000000000005</v>
      </c>
      <c r="DL151" s="53">
        <v>131.19999999999999</v>
      </c>
      <c r="DM151" s="53">
        <v>193.3</v>
      </c>
      <c r="DN151" s="55"/>
      <c r="DO151" s="53">
        <v>180.7</v>
      </c>
      <c r="DP151" s="53">
        <v>202.6</v>
      </c>
      <c r="DQ151" s="55"/>
      <c r="DR151" s="55"/>
      <c r="DS151" s="53">
        <v>721.7</v>
      </c>
      <c r="DT151" s="53">
        <v>3022.6</v>
      </c>
      <c r="DU151" s="53">
        <v>-260.19999999999982</v>
      </c>
      <c r="DV151" s="53">
        <v>0</v>
      </c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3">
        <v>876.7</v>
      </c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3">
        <v>105.6</v>
      </c>
      <c r="IY151" s="48">
        <f t="shared" si="8"/>
        <v>47.518030834381001</v>
      </c>
      <c r="IZ151" s="48">
        <f>IY151-'NOPA Crush'!J151</f>
        <v>3.8030834381004297E-2</v>
      </c>
      <c r="JB151" s="63">
        <f t="shared" si="6"/>
        <v>11.384238734864025</v>
      </c>
      <c r="JC151" s="64">
        <f>JB151-'NOPA Crush'!O151</f>
        <v>-7.5761265135975364E-2</v>
      </c>
      <c r="JD151" s="65"/>
      <c r="JE151" s="67">
        <f t="shared" si="7"/>
        <v>2402.5</v>
      </c>
      <c r="JF151" s="68">
        <f>'NOPA Crush'!Q151/'Census Crush'!JE151</f>
        <v>0.3588437044745057</v>
      </c>
    </row>
    <row r="152" spans="1:266">
      <c r="A152" s="39">
        <v>33664</v>
      </c>
      <c r="B152" s="51">
        <v>3214.9</v>
      </c>
      <c r="C152" s="51">
        <v>2841</v>
      </c>
      <c r="D152" s="51">
        <v>381.3</v>
      </c>
      <c r="E152" s="51">
        <v>1675.3</v>
      </c>
      <c r="F152" s="51">
        <v>48.8</v>
      </c>
      <c r="G152" s="51">
        <v>107.5</v>
      </c>
      <c r="H152" s="51">
        <v>93.6</v>
      </c>
      <c r="I152" s="51" t="s">
        <v>264</v>
      </c>
      <c r="J152" s="51" t="s">
        <v>264</v>
      </c>
      <c r="K152" s="51">
        <v>1228.4000000000001</v>
      </c>
      <c r="L152" s="49">
        <v>2400.1000000000004</v>
      </c>
      <c r="M152" s="51">
        <v>2175.8000000000002</v>
      </c>
      <c r="N152" s="51">
        <v>224.3</v>
      </c>
      <c r="O152" s="51">
        <v>121.5</v>
      </c>
      <c r="P152" s="51">
        <v>180.3</v>
      </c>
      <c r="Q152" s="51">
        <v>76.3</v>
      </c>
      <c r="R152" s="51">
        <v>104</v>
      </c>
      <c r="S152" s="51"/>
      <c r="T152" s="51">
        <v>42.5</v>
      </c>
      <c r="U152" s="51">
        <v>32.1</v>
      </c>
      <c r="V152" s="51">
        <v>26.6</v>
      </c>
      <c r="W152" s="51">
        <v>5.5</v>
      </c>
      <c r="X152" s="51">
        <v>85</v>
      </c>
      <c r="Y152" s="51">
        <v>7.5</v>
      </c>
      <c r="Z152" s="49">
        <v>265.8</v>
      </c>
      <c r="AA152" s="51">
        <v>256.60000000000002</v>
      </c>
      <c r="AB152" s="51">
        <v>9.1999999999999993</v>
      </c>
      <c r="AC152" s="51" t="s">
        <v>264</v>
      </c>
      <c r="AD152" s="51">
        <v>25.1</v>
      </c>
      <c r="AE152" s="51"/>
      <c r="AF152" s="51">
        <v>68</v>
      </c>
      <c r="AG152" s="51">
        <v>44.2</v>
      </c>
      <c r="AH152" s="51">
        <v>23.8</v>
      </c>
      <c r="AI152" s="51">
        <v>164.5</v>
      </c>
      <c r="AJ152" s="51"/>
      <c r="AK152" s="51"/>
      <c r="AL152" s="51">
        <v>107.1</v>
      </c>
      <c r="AM152" s="51">
        <v>71</v>
      </c>
      <c r="AN152" s="51">
        <v>36.1</v>
      </c>
      <c r="AO152" s="51">
        <v>2405.6999999999998</v>
      </c>
      <c r="AP152" s="51">
        <v>280.60000000000002</v>
      </c>
      <c r="AQ152" s="51">
        <v>138.69999999999999</v>
      </c>
      <c r="AR152" s="51">
        <v>35</v>
      </c>
      <c r="AS152" s="51">
        <v>173.5</v>
      </c>
      <c r="AT152" s="51">
        <v>76.099999999999994</v>
      </c>
      <c r="AU152" s="51">
        <v>104.8</v>
      </c>
      <c r="AV152" s="51">
        <v>47</v>
      </c>
      <c r="AW152" s="51">
        <v>28.4</v>
      </c>
      <c r="AX152" s="51">
        <v>7.7</v>
      </c>
      <c r="AY152" s="51">
        <v>50.8</v>
      </c>
      <c r="AZ152" s="51">
        <v>11.8</v>
      </c>
      <c r="BA152" s="51">
        <v>0.6</v>
      </c>
      <c r="BB152" s="51">
        <v>0.1</v>
      </c>
      <c r="BC152" s="51"/>
      <c r="BD152" s="53">
        <v>132.69999999999999</v>
      </c>
      <c r="BE152" s="53">
        <v>44.1</v>
      </c>
      <c r="BF152" s="55"/>
      <c r="BG152" s="55"/>
      <c r="BH152" s="53">
        <v>303</v>
      </c>
      <c r="BI152" s="55"/>
      <c r="BJ152" s="55"/>
      <c r="BK152" s="53">
        <v>183.9</v>
      </c>
      <c r="BL152" s="53">
        <v>0.8</v>
      </c>
      <c r="BM152" s="53">
        <v>487.7</v>
      </c>
      <c r="BN152" s="53">
        <v>302.89999999999998</v>
      </c>
      <c r="BO152" s="55"/>
      <c r="BP152" s="55"/>
      <c r="BQ152" s="53">
        <v>92.6</v>
      </c>
      <c r="BR152" s="53">
        <v>6.9</v>
      </c>
      <c r="BS152" s="53">
        <v>402.4</v>
      </c>
      <c r="BT152" s="52" t="s">
        <v>264</v>
      </c>
      <c r="BU152" s="53">
        <v>28.3</v>
      </c>
      <c r="BV152" s="51">
        <v>339</v>
      </c>
      <c r="BW152" s="51">
        <v>109</v>
      </c>
      <c r="BX152" s="51">
        <v>448.1</v>
      </c>
      <c r="BY152" s="51">
        <v>47.4</v>
      </c>
      <c r="BZ152" s="51">
        <v>17.7</v>
      </c>
      <c r="CA152" s="49">
        <v>65.099999999999994</v>
      </c>
      <c r="CB152" s="55"/>
      <c r="CC152" s="55"/>
      <c r="CD152" s="55"/>
      <c r="CE152" s="55"/>
      <c r="CF152" s="53">
        <v>131.19999999999999</v>
      </c>
      <c r="CG152" s="53">
        <v>163.19999999999999</v>
      </c>
      <c r="CH152" s="53">
        <v>36.200000000000003</v>
      </c>
      <c r="CI152" s="55"/>
      <c r="CJ152" s="55"/>
      <c r="CK152" s="55"/>
      <c r="CL152" s="55"/>
      <c r="CM152" s="55"/>
      <c r="CN152" s="53">
        <v>51.3</v>
      </c>
      <c r="CO152" s="52">
        <v>239.7</v>
      </c>
      <c r="CP152" s="53">
        <v>196.7</v>
      </c>
      <c r="CQ152" s="53">
        <v>43</v>
      </c>
      <c r="CR152" s="52" t="s">
        <v>264</v>
      </c>
      <c r="CS152" s="52">
        <v>69.900000000000006</v>
      </c>
      <c r="CT152" s="52">
        <v>45.6</v>
      </c>
      <c r="CU152" s="52">
        <v>24.3</v>
      </c>
      <c r="CV152" s="52">
        <v>38.6</v>
      </c>
      <c r="CW152" s="53">
        <v>9.4</v>
      </c>
      <c r="CX152" s="53">
        <v>29.2</v>
      </c>
      <c r="CY152" s="53" t="s">
        <v>264</v>
      </c>
      <c r="CZ152" s="53">
        <v>91.9</v>
      </c>
      <c r="DA152" s="52">
        <v>19.799999999999997</v>
      </c>
      <c r="DB152" s="53">
        <v>18.899999999999999</v>
      </c>
      <c r="DC152" s="53">
        <v>0.9</v>
      </c>
      <c r="DD152" s="55"/>
      <c r="DE152" s="55"/>
      <c r="DF152" s="55"/>
      <c r="DG152" s="53">
        <v>117.5</v>
      </c>
      <c r="DH152" s="55"/>
      <c r="DI152" s="53">
        <v>609.29999999999995</v>
      </c>
      <c r="DJ152" s="53">
        <v>216</v>
      </c>
      <c r="DK152" s="53">
        <v>568.4</v>
      </c>
      <c r="DL152" s="53">
        <v>138.6</v>
      </c>
      <c r="DM152" s="53">
        <v>213.2</v>
      </c>
      <c r="DN152" s="55"/>
      <c r="DO152" s="53">
        <v>191.8</v>
      </c>
      <c r="DP152" s="53">
        <v>210.6</v>
      </c>
      <c r="DQ152" s="55"/>
      <c r="DR152" s="55"/>
      <c r="DS152" s="53">
        <v>788.8</v>
      </c>
      <c r="DT152" s="53">
        <v>3214.7</v>
      </c>
      <c r="DU152" s="53">
        <v>-278</v>
      </c>
      <c r="DV152" s="53">
        <v>-0.20000000000027285</v>
      </c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3">
        <v>1041.3</v>
      </c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55"/>
      <c r="II152" s="55"/>
      <c r="IJ152" s="55"/>
      <c r="IK152" s="55"/>
      <c r="IL152" s="55"/>
      <c r="IM152" s="55"/>
      <c r="IN152" s="53">
        <v>97.9</v>
      </c>
      <c r="IY152" s="48">
        <f t="shared" si="8"/>
        <v>47.486391489626413</v>
      </c>
      <c r="IZ152" s="48">
        <f>IY152-'NOPA Crush'!J152</f>
        <v>3.6391489626410589E-2</v>
      </c>
      <c r="JB152" s="63">
        <f t="shared" si="6"/>
        <v>11.462875983700894</v>
      </c>
      <c r="JC152" s="64">
        <f>JB152-'NOPA Crush'!O152</f>
        <v>-6.7124016299105804E-2</v>
      </c>
      <c r="JD152" s="65"/>
      <c r="JE152" s="67">
        <f t="shared" si="7"/>
        <v>2400.1000000000004</v>
      </c>
      <c r="JF152" s="68">
        <f>'NOPA Crush'!Q152/'Census Crush'!JE152</f>
        <v>0.38091871172034497</v>
      </c>
    </row>
    <row r="153" spans="1:266">
      <c r="A153" s="39">
        <v>33695</v>
      </c>
      <c r="B153" s="51">
        <v>3046.8</v>
      </c>
      <c r="C153" s="51">
        <v>2393.6</v>
      </c>
      <c r="D153" s="51">
        <v>297.8</v>
      </c>
      <c r="E153" s="51">
        <v>1345.5</v>
      </c>
      <c r="F153" s="51">
        <v>47.6</v>
      </c>
      <c r="G153" s="51">
        <v>102</v>
      </c>
      <c r="H153" s="51">
        <v>79.3</v>
      </c>
      <c r="I153" s="51" t="s">
        <v>264</v>
      </c>
      <c r="J153" s="51" t="s">
        <v>264</v>
      </c>
      <c r="K153" s="51">
        <v>1167.3</v>
      </c>
      <c r="L153" s="49">
        <v>2422.5</v>
      </c>
      <c r="M153" s="51">
        <v>2211.3000000000002</v>
      </c>
      <c r="N153" s="51">
        <v>211.2</v>
      </c>
      <c r="O153" s="51">
        <v>97.5</v>
      </c>
      <c r="P153" s="51">
        <v>171.5</v>
      </c>
      <c r="Q153" s="51">
        <v>72.900000000000006</v>
      </c>
      <c r="R153" s="51">
        <v>98.6</v>
      </c>
      <c r="S153" s="51"/>
      <c r="T153" s="51">
        <v>40.9</v>
      </c>
      <c r="U153" s="51">
        <v>35.200000000000003</v>
      </c>
      <c r="V153" s="51">
        <v>31</v>
      </c>
      <c r="W153" s="51">
        <v>4.2</v>
      </c>
      <c r="X153" s="51">
        <v>82.6</v>
      </c>
      <c r="Y153" s="51">
        <v>8.9</v>
      </c>
      <c r="Z153" s="49">
        <v>260.10000000000002</v>
      </c>
      <c r="AA153" s="51">
        <v>246.4</v>
      </c>
      <c r="AB153" s="51">
        <v>13.7</v>
      </c>
      <c r="AC153" s="51" t="s">
        <v>264</v>
      </c>
      <c r="AD153" s="51">
        <v>17.899999999999999</v>
      </c>
      <c r="AE153" s="51"/>
      <c r="AF153" s="51">
        <v>98.8</v>
      </c>
      <c r="AG153" s="51">
        <v>77.099999999999994</v>
      </c>
      <c r="AH153" s="51">
        <v>21.7</v>
      </c>
      <c r="AI153" s="51">
        <v>153.30000000000001</v>
      </c>
      <c r="AJ153" s="51"/>
      <c r="AK153" s="51"/>
      <c r="AL153" s="51">
        <v>107.80000000000001</v>
      </c>
      <c r="AM153" s="51">
        <v>70.400000000000006</v>
      </c>
      <c r="AN153" s="51">
        <v>37.4</v>
      </c>
      <c r="AO153" s="51">
        <v>2283.6999999999998</v>
      </c>
      <c r="AP153" s="51">
        <v>277.3</v>
      </c>
      <c r="AQ153" s="51">
        <v>127.6</v>
      </c>
      <c r="AR153" s="51">
        <v>33.1</v>
      </c>
      <c r="AS153" s="51">
        <v>138.19999999999999</v>
      </c>
      <c r="AT153" s="51">
        <v>73.099999999999994</v>
      </c>
      <c r="AU153" s="51">
        <v>76.8</v>
      </c>
      <c r="AV153" s="51">
        <v>38.1</v>
      </c>
      <c r="AW153" s="51">
        <v>27.1</v>
      </c>
      <c r="AX153" s="51">
        <v>10.1</v>
      </c>
      <c r="AY153" s="51">
        <v>50.3</v>
      </c>
      <c r="AZ153" s="51">
        <v>10.1</v>
      </c>
      <c r="BA153" s="51">
        <v>0.1</v>
      </c>
      <c r="BB153" s="51">
        <v>0.1</v>
      </c>
      <c r="BC153" s="51"/>
      <c r="BD153" s="53">
        <v>112.8</v>
      </c>
      <c r="BE153" s="53">
        <v>41.3</v>
      </c>
      <c r="BF153" s="55"/>
      <c r="BG153" s="55"/>
      <c r="BH153" s="53">
        <v>273.89999999999998</v>
      </c>
      <c r="BI153" s="55"/>
      <c r="BJ153" s="55"/>
      <c r="BK153" s="53">
        <v>183.3</v>
      </c>
      <c r="BL153" s="53">
        <v>1.2</v>
      </c>
      <c r="BM153" s="53">
        <v>458.3</v>
      </c>
      <c r="BN153" s="53">
        <v>289</v>
      </c>
      <c r="BO153" s="55"/>
      <c r="BP153" s="55"/>
      <c r="BQ153" s="53">
        <v>88.1</v>
      </c>
      <c r="BR153" s="53">
        <v>7.5</v>
      </c>
      <c r="BS153" s="53">
        <v>384.6</v>
      </c>
      <c r="BT153" s="52" t="s">
        <v>264</v>
      </c>
      <c r="BU153" s="53">
        <v>26.7</v>
      </c>
      <c r="BV153" s="51">
        <v>323.2</v>
      </c>
      <c r="BW153" s="51">
        <v>92.6</v>
      </c>
      <c r="BX153" s="51">
        <v>416.1</v>
      </c>
      <c r="BY153" s="51">
        <v>45.7</v>
      </c>
      <c r="BZ153" s="51">
        <v>17.2</v>
      </c>
      <c r="CA153" s="49">
        <v>62.900000000000006</v>
      </c>
      <c r="CB153" s="55"/>
      <c r="CC153" s="55"/>
      <c r="CD153" s="55"/>
      <c r="CE153" s="55"/>
      <c r="CF153" s="53">
        <v>133.19999999999999</v>
      </c>
      <c r="CG153" s="53">
        <v>156.9</v>
      </c>
      <c r="CH153" s="53">
        <v>13.5</v>
      </c>
      <c r="CI153" s="55"/>
      <c r="CJ153" s="55"/>
      <c r="CK153" s="55"/>
      <c r="CL153" s="55"/>
      <c r="CM153" s="55"/>
      <c r="CN153" s="53">
        <v>54.7</v>
      </c>
      <c r="CO153" s="52">
        <v>211.20000000000002</v>
      </c>
      <c r="CP153" s="53">
        <v>157.30000000000001</v>
      </c>
      <c r="CQ153" s="53">
        <v>53.9</v>
      </c>
      <c r="CR153" s="52" t="s">
        <v>264</v>
      </c>
      <c r="CS153" s="52">
        <v>70.5</v>
      </c>
      <c r="CT153" s="52">
        <v>45.7</v>
      </c>
      <c r="CU153" s="52">
        <v>24.8</v>
      </c>
      <c r="CV153" s="52">
        <v>43.8</v>
      </c>
      <c r="CW153" s="53">
        <v>11.3</v>
      </c>
      <c r="CX153" s="53">
        <v>32.5</v>
      </c>
      <c r="CY153" s="53" t="s">
        <v>264</v>
      </c>
      <c r="CZ153" s="53">
        <v>90.6</v>
      </c>
      <c r="DA153" s="52">
        <v>18</v>
      </c>
      <c r="DB153" s="53">
        <v>17.2</v>
      </c>
      <c r="DC153" s="53">
        <v>0.8</v>
      </c>
      <c r="DD153" s="55"/>
      <c r="DE153" s="55"/>
      <c r="DF153" s="55"/>
      <c r="DG153" s="55"/>
      <c r="DH153" s="55"/>
      <c r="DI153" s="53">
        <v>560.9</v>
      </c>
      <c r="DJ153" s="53">
        <v>171.7</v>
      </c>
      <c r="DK153" s="53">
        <v>564</v>
      </c>
      <c r="DL153" s="53">
        <v>133.9</v>
      </c>
      <c r="DM153" s="53">
        <v>210</v>
      </c>
      <c r="DN153" s="55"/>
      <c r="DO153" s="53">
        <v>196.9</v>
      </c>
      <c r="DP153" s="53">
        <v>203.2</v>
      </c>
      <c r="DQ153" s="55"/>
      <c r="DR153" s="55"/>
      <c r="DS153" s="53">
        <v>770.22699999999998</v>
      </c>
      <c r="DT153" s="53">
        <v>3046.8</v>
      </c>
      <c r="DU153" s="53">
        <v>-235.97299999999996</v>
      </c>
      <c r="DV153" s="53">
        <v>0</v>
      </c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3">
        <v>973.1</v>
      </c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55"/>
      <c r="II153" s="55"/>
      <c r="IJ153" s="55"/>
      <c r="IK153" s="55"/>
      <c r="IL153" s="55"/>
      <c r="IM153" s="55"/>
      <c r="IN153" s="53">
        <v>85.6</v>
      </c>
      <c r="IY153" s="48">
        <f t="shared" si="8"/>
        <v>47.485230405671516</v>
      </c>
      <c r="IZ153" s="48">
        <f>IY153-'NOPA Crush'!J153</f>
        <v>2.5230405671514688E-2</v>
      </c>
      <c r="JB153" s="63">
        <f t="shared" si="6"/>
        <v>11.49369830641985</v>
      </c>
      <c r="JC153" s="64">
        <f>JB153-'NOPA Crush'!O153</f>
        <v>-5.6301693580151024E-2</v>
      </c>
      <c r="JD153" s="65"/>
      <c r="JE153" s="67">
        <f t="shared" si="7"/>
        <v>2422.5</v>
      </c>
      <c r="JF153" s="68">
        <f>'NOPA Crush'!Q153/'Census Crush'!JE153</f>
        <v>0.3930262125902993</v>
      </c>
    </row>
    <row r="154" spans="1:266">
      <c r="A154" s="39">
        <v>33725</v>
      </c>
      <c r="B154" s="51">
        <v>2857.1</v>
      </c>
      <c r="C154" s="51">
        <v>2205.9</v>
      </c>
      <c r="D154" s="51">
        <v>245.4</v>
      </c>
      <c r="E154" s="51">
        <v>1066.5999999999999</v>
      </c>
      <c r="F154" s="51">
        <v>46</v>
      </c>
      <c r="G154" s="51">
        <v>103.7</v>
      </c>
      <c r="H154" s="51">
        <v>47</v>
      </c>
      <c r="I154" s="51" t="s">
        <v>264</v>
      </c>
      <c r="J154" s="51" t="s">
        <v>264</v>
      </c>
      <c r="K154" s="51">
        <v>1095.5999999999999</v>
      </c>
      <c r="L154" s="49">
        <v>2433.5</v>
      </c>
      <c r="M154" s="51">
        <v>2213.9</v>
      </c>
      <c r="N154" s="51">
        <v>219.6</v>
      </c>
      <c r="O154" s="51">
        <v>79.3</v>
      </c>
      <c r="P154" s="51">
        <v>154</v>
      </c>
      <c r="Q154" s="51">
        <v>70.7</v>
      </c>
      <c r="R154" s="51">
        <v>83.3</v>
      </c>
      <c r="S154" s="51"/>
      <c r="T154" s="51">
        <v>39.799999999999997</v>
      </c>
      <c r="U154" s="51">
        <v>34.4</v>
      </c>
      <c r="V154" s="51">
        <v>28.6</v>
      </c>
      <c r="W154" s="51">
        <v>5.8</v>
      </c>
      <c r="X154" s="51">
        <v>85</v>
      </c>
      <c r="Y154" s="51">
        <v>6.5</v>
      </c>
      <c r="Z154" s="49">
        <v>244.10000000000002</v>
      </c>
      <c r="AA154" s="51">
        <v>230.3</v>
      </c>
      <c r="AB154" s="51">
        <v>13.8</v>
      </c>
      <c r="AC154" s="51" t="s">
        <v>264</v>
      </c>
      <c r="AD154" s="51">
        <v>19.3</v>
      </c>
      <c r="AE154" s="51"/>
      <c r="AF154" s="51">
        <v>98.8</v>
      </c>
      <c r="AG154" s="51">
        <v>77.3</v>
      </c>
      <c r="AH154" s="51">
        <v>21.5</v>
      </c>
      <c r="AI154" s="51">
        <v>150.19999999999999</v>
      </c>
      <c r="AJ154" s="51"/>
      <c r="AK154" s="51"/>
      <c r="AL154" s="51">
        <v>119.2</v>
      </c>
      <c r="AM154" s="51">
        <v>79.900000000000006</v>
      </c>
      <c r="AN154" s="51">
        <v>39.299999999999997</v>
      </c>
      <c r="AO154" s="51">
        <v>2131.1999999999998</v>
      </c>
      <c r="AP154" s="51">
        <v>268.5</v>
      </c>
      <c r="AQ154" s="51">
        <v>131.30000000000001</v>
      </c>
      <c r="AR154" s="51">
        <v>41.7</v>
      </c>
      <c r="AS154" s="51">
        <v>111.7</v>
      </c>
      <c r="AT154" s="51">
        <v>68</v>
      </c>
      <c r="AU154" s="51">
        <v>61</v>
      </c>
      <c r="AV154" s="51">
        <v>23.1</v>
      </c>
      <c r="AW154" s="51">
        <v>26.2</v>
      </c>
      <c r="AX154" s="51">
        <v>7.1</v>
      </c>
      <c r="AY154" s="51">
        <v>51.4</v>
      </c>
      <c r="AZ154" s="51">
        <v>14.9</v>
      </c>
      <c r="BA154" s="51">
        <v>0.3</v>
      </c>
      <c r="BB154" s="51">
        <v>0.1</v>
      </c>
      <c r="BC154" s="51"/>
      <c r="BD154" s="53">
        <v>141.30000000000001</v>
      </c>
      <c r="BE154" s="53">
        <v>49</v>
      </c>
      <c r="BF154" s="55"/>
      <c r="BG154" s="55"/>
      <c r="BH154" s="53">
        <v>299.60000000000002</v>
      </c>
      <c r="BI154" s="55"/>
      <c r="BJ154" s="55"/>
      <c r="BK154" s="53">
        <v>170.6</v>
      </c>
      <c r="BL154" s="53">
        <v>1</v>
      </c>
      <c r="BM154" s="53">
        <v>471.2</v>
      </c>
      <c r="BN154" s="53">
        <v>255.1</v>
      </c>
      <c r="BO154" s="55"/>
      <c r="BP154" s="55"/>
      <c r="BQ154" s="53">
        <v>78.099999999999994</v>
      </c>
      <c r="BR154" s="53">
        <v>6.3</v>
      </c>
      <c r="BS154" s="53">
        <v>339.5</v>
      </c>
      <c r="BT154" s="52" t="s">
        <v>264</v>
      </c>
      <c r="BU154" s="53">
        <v>23.2</v>
      </c>
      <c r="BV154" s="51">
        <v>331</v>
      </c>
      <c r="BW154" s="51">
        <v>105.6</v>
      </c>
      <c r="BX154" s="51">
        <v>436.9</v>
      </c>
      <c r="BY154" s="51">
        <v>46.6</v>
      </c>
      <c r="BZ154" s="51">
        <v>15.6</v>
      </c>
      <c r="CA154" s="49">
        <v>62.2</v>
      </c>
      <c r="CB154" s="55"/>
      <c r="CC154" s="55"/>
      <c r="CD154" s="55"/>
      <c r="CE154" s="55"/>
      <c r="CF154" s="53">
        <v>121.9</v>
      </c>
      <c r="CG154" s="53">
        <v>158.4</v>
      </c>
      <c r="CH154" s="53">
        <v>16.100000000000001</v>
      </c>
      <c r="CI154" s="55"/>
      <c r="CJ154" s="55"/>
      <c r="CK154" s="55"/>
      <c r="CL154" s="55"/>
      <c r="CM154" s="55"/>
      <c r="CN154" s="53">
        <v>56.5</v>
      </c>
      <c r="CO154" s="52">
        <v>173.7</v>
      </c>
      <c r="CP154" s="53">
        <v>129.5</v>
      </c>
      <c r="CQ154" s="53">
        <v>44.2</v>
      </c>
      <c r="CR154" s="52" t="s">
        <v>264</v>
      </c>
      <c r="CS154" s="52">
        <v>58.3</v>
      </c>
      <c r="CT154" s="52">
        <v>41.4</v>
      </c>
      <c r="CU154" s="52">
        <v>16.899999999999999</v>
      </c>
      <c r="CV154" s="52">
        <v>37.9</v>
      </c>
      <c r="CW154" s="53">
        <v>7.5</v>
      </c>
      <c r="CX154" s="53">
        <v>30.4</v>
      </c>
      <c r="CY154" s="53" t="s">
        <v>264</v>
      </c>
      <c r="CZ154" s="53">
        <v>67.8</v>
      </c>
      <c r="DA154" s="52">
        <v>16.899999999999999</v>
      </c>
      <c r="DB154" s="53">
        <v>16.399999999999999</v>
      </c>
      <c r="DC154" s="53">
        <v>0.5</v>
      </c>
      <c r="DD154" s="55"/>
      <c r="DE154" s="55"/>
      <c r="DF154" s="55"/>
      <c r="DG154" s="55"/>
      <c r="DH154" s="55"/>
      <c r="DI154" s="53">
        <v>573.4</v>
      </c>
      <c r="DJ154" s="53">
        <v>226.6</v>
      </c>
      <c r="DK154" s="53">
        <v>474</v>
      </c>
      <c r="DL154" s="53">
        <v>112.5</v>
      </c>
      <c r="DM154" s="53">
        <v>216.2</v>
      </c>
      <c r="DN154" s="55"/>
      <c r="DO154" s="53">
        <v>172.5</v>
      </c>
      <c r="DP154" s="53">
        <v>165.5</v>
      </c>
      <c r="DQ154" s="55"/>
      <c r="DR154" s="55"/>
      <c r="DS154" s="53">
        <v>666.63400000000001</v>
      </c>
      <c r="DT154" s="53">
        <v>2857.1</v>
      </c>
      <c r="DU154" s="53">
        <v>-249.76600000000008</v>
      </c>
      <c r="DV154" s="53">
        <v>0</v>
      </c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5"/>
      <c r="GV154" s="55"/>
      <c r="GW154" s="55"/>
      <c r="GX154" s="55"/>
      <c r="GY154" s="55"/>
      <c r="GZ154" s="53">
        <v>993.3</v>
      </c>
      <c r="HA154" s="55"/>
      <c r="HB154" s="55"/>
      <c r="HC154" s="55"/>
      <c r="HD154" s="55"/>
      <c r="HE154" s="55"/>
      <c r="HF154" s="55"/>
      <c r="HG154" s="55"/>
      <c r="HH154" s="55"/>
      <c r="HI154" s="55"/>
      <c r="HJ154" s="55"/>
      <c r="HK154" s="55"/>
      <c r="HL154" s="55"/>
      <c r="HM154" s="55"/>
      <c r="HN154" s="55"/>
      <c r="HO154" s="55"/>
      <c r="HP154" s="55"/>
      <c r="HQ154" s="55"/>
      <c r="HR154" s="55"/>
      <c r="HS154" s="55"/>
      <c r="HT154" s="55"/>
      <c r="HU154" s="55"/>
      <c r="HV154" s="55"/>
      <c r="HW154" s="55"/>
      <c r="HX154" s="55"/>
      <c r="HY154" s="55"/>
      <c r="HZ154" s="55"/>
      <c r="IA154" s="55"/>
      <c r="IB154" s="55"/>
      <c r="IC154" s="55"/>
      <c r="ID154" s="55"/>
      <c r="IE154" s="55"/>
      <c r="IF154" s="55"/>
      <c r="IG154" s="55"/>
      <c r="IH154" s="55"/>
      <c r="II154" s="55"/>
      <c r="IJ154" s="55"/>
      <c r="IK154" s="55"/>
      <c r="IL154" s="55"/>
      <c r="IM154" s="55"/>
      <c r="IN154" s="53">
        <v>73.400000000000006</v>
      </c>
      <c r="IY154" s="48">
        <f t="shared" si="8"/>
        <v>47.513212698190472</v>
      </c>
      <c r="IZ154" s="48">
        <f>IY154-'NOPA Crush'!J154</f>
        <v>1.3212698190471883E-2</v>
      </c>
      <c r="JB154" s="63">
        <f t="shared" si="6"/>
        <v>11.503972559588393</v>
      </c>
      <c r="JC154" s="64">
        <f>JB154-'NOPA Crush'!O154</f>
        <v>-4.6027440411608112E-2</v>
      </c>
      <c r="JD154" s="65"/>
      <c r="JE154" s="67">
        <f t="shared" si="7"/>
        <v>2433.5</v>
      </c>
      <c r="JF154" s="68">
        <f>'NOPA Crush'!Q154/'Census Crush'!JE154</f>
        <v>0.38413314156564621</v>
      </c>
    </row>
    <row r="155" spans="1:266">
      <c r="A155" s="39">
        <v>33756</v>
      </c>
      <c r="B155" s="51">
        <v>2998.8</v>
      </c>
      <c r="C155" s="51">
        <v>1970.4</v>
      </c>
      <c r="D155" s="51">
        <v>292.10000000000002</v>
      </c>
      <c r="E155" s="51">
        <v>759.8</v>
      </c>
      <c r="F155" s="51">
        <v>46</v>
      </c>
      <c r="G155" s="51">
        <v>109.9</v>
      </c>
      <c r="H155" s="51">
        <v>47.7</v>
      </c>
      <c r="I155" s="51" t="s">
        <v>264</v>
      </c>
      <c r="J155" s="51" t="s">
        <v>264</v>
      </c>
      <c r="K155" s="51">
        <v>1151.5999999999999</v>
      </c>
      <c r="L155" s="49">
        <v>2426.5</v>
      </c>
      <c r="M155" s="51">
        <v>2216.8000000000002</v>
      </c>
      <c r="N155" s="51">
        <v>209.7</v>
      </c>
      <c r="O155" s="51">
        <v>91.8</v>
      </c>
      <c r="P155" s="51">
        <v>139.80000000000001</v>
      </c>
      <c r="Q155" s="51">
        <v>60</v>
      </c>
      <c r="R155" s="51">
        <v>79.8</v>
      </c>
      <c r="S155" s="51"/>
      <c r="T155" s="51">
        <v>40.6</v>
      </c>
      <c r="U155" s="51">
        <v>61</v>
      </c>
      <c r="V155" s="51">
        <v>56.1</v>
      </c>
      <c r="W155" s="51">
        <v>4.9000000000000004</v>
      </c>
      <c r="X155" s="51">
        <v>88.9</v>
      </c>
      <c r="Y155" s="51">
        <v>10.5</v>
      </c>
      <c r="Z155" s="49">
        <v>250</v>
      </c>
      <c r="AA155" s="51">
        <v>234.8</v>
      </c>
      <c r="AB155" s="51">
        <v>15.2</v>
      </c>
      <c r="AC155" s="51" t="s">
        <v>264</v>
      </c>
      <c r="AD155" s="51">
        <v>20.5</v>
      </c>
      <c r="AE155" s="51"/>
      <c r="AF155" s="51">
        <v>116.80000000000001</v>
      </c>
      <c r="AG155" s="51">
        <v>93.4</v>
      </c>
      <c r="AH155" s="51">
        <v>23.4</v>
      </c>
      <c r="AI155" s="51">
        <v>160</v>
      </c>
      <c r="AJ155" s="51"/>
      <c r="AK155" s="51"/>
      <c r="AL155" s="51">
        <v>111.5</v>
      </c>
      <c r="AM155" s="51">
        <v>69.400000000000006</v>
      </c>
      <c r="AN155" s="51">
        <v>42.1</v>
      </c>
      <c r="AO155" s="51">
        <v>2238.1999999999998</v>
      </c>
      <c r="AP155" s="51">
        <v>240.7</v>
      </c>
      <c r="AQ155" s="51">
        <v>134.19999999999999</v>
      </c>
      <c r="AR155" s="51">
        <v>34</v>
      </c>
      <c r="AS155" s="51">
        <v>129.9</v>
      </c>
      <c r="AT155" s="51">
        <v>70.099999999999994</v>
      </c>
      <c r="AU155" s="51">
        <v>76.7</v>
      </c>
      <c r="AV155" s="51">
        <v>29.3</v>
      </c>
      <c r="AW155" s="51">
        <v>25.6</v>
      </c>
      <c r="AX155" s="51">
        <v>7.4</v>
      </c>
      <c r="AY155" s="51">
        <v>54.8</v>
      </c>
      <c r="AZ155" s="51">
        <v>14</v>
      </c>
      <c r="BA155" s="51">
        <v>0</v>
      </c>
      <c r="BB155" s="51">
        <v>0.1</v>
      </c>
      <c r="BC155" s="51"/>
      <c r="BD155" s="53">
        <v>142.30000000000001</v>
      </c>
      <c r="BE155" s="53">
        <v>41.7</v>
      </c>
      <c r="BF155" s="55"/>
      <c r="BG155" s="55"/>
      <c r="BH155" s="53">
        <v>308.60000000000002</v>
      </c>
      <c r="BI155" s="55"/>
      <c r="BJ155" s="55"/>
      <c r="BK155" s="53">
        <v>182.6</v>
      </c>
      <c r="BL155" s="53">
        <v>1.3</v>
      </c>
      <c r="BM155" s="53">
        <v>492.4</v>
      </c>
      <c r="BN155" s="53">
        <v>304.5</v>
      </c>
      <c r="BO155" s="55"/>
      <c r="BP155" s="55"/>
      <c r="BQ155" s="53">
        <v>94.7</v>
      </c>
      <c r="BR155" s="53">
        <v>4.7</v>
      </c>
      <c r="BS155" s="53">
        <v>403.9</v>
      </c>
      <c r="BT155" s="52" t="s">
        <v>264</v>
      </c>
      <c r="BU155" s="53">
        <v>24.8</v>
      </c>
      <c r="BV155" s="51">
        <v>344.3</v>
      </c>
      <c r="BW155" s="51">
        <v>106.5</v>
      </c>
      <c r="BX155" s="51">
        <v>451</v>
      </c>
      <c r="BY155" s="51">
        <v>45</v>
      </c>
      <c r="BZ155" s="51">
        <v>15.4</v>
      </c>
      <c r="CA155" s="49">
        <v>60.4</v>
      </c>
      <c r="CB155" s="55"/>
      <c r="CC155" s="55"/>
      <c r="CD155" s="55"/>
      <c r="CE155" s="55"/>
      <c r="CF155" s="53">
        <v>129.80000000000001</v>
      </c>
      <c r="CG155" s="53">
        <v>161</v>
      </c>
      <c r="CH155" s="53">
        <v>15.2</v>
      </c>
      <c r="CI155" s="55"/>
      <c r="CJ155" s="55"/>
      <c r="CK155" s="55"/>
      <c r="CL155" s="55"/>
      <c r="CM155" s="55"/>
      <c r="CN155" s="53">
        <v>55.4</v>
      </c>
      <c r="CO155" s="52">
        <v>178.3</v>
      </c>
      <c r="CP155" s="53">
        <v>140.1</v>
      </c>
      <c r="CQ155" s="53">
        <v>38.200000000000003</v>
      </c>
      <c r="CR155" s="52" t="s">
        <v>264</v>
      </c>
      <c r="CS155" s="52">
        <v>63.5</v>
      </c>
      <c r="CT155" s="52">
        <v>34.6</v>
      </c>
      <c r="CU155" s="52">
        <v>28.9</v>
      </c>
      <c r="CV155" s="52">
        <v>38.700000000000003</v>
      </c>
      <c r="CW155" s="53">
        <v>15</v>
      </c>
      <c r="CX155" s="53">
        <v>23.7</v>
      </c>
      <c r="CY155" s="53" t="s">
        <v>264</v>
      </c>
      <c r="CZ155" s="53">
        <v>62.1</v>
      </c>
      <c r="DA155" s="52">
        <v>8.1</v>
      </c>
      <c r="DB155" s="53">
        <v>7.5</v>
      </c>
      <c r="DC155" s="53">
        <v>0.6</v>
      </c>
      <c r="DD155" s="55"/>
      <c r="DE155" s="55"/>
      <c r="DF155" s="55"/>
      <c r="DG155" s="55"/>
      <c r="DH155" s="55"/>
      <c r="DI155" s="53">
        <v>610.9</v>
      </c>
      <c r="DJ155" s="53">
        <v>216.9</v>
      </c>
      <c r="DK155" s="53">
        <v>509.9</v>
      </c>
      <c r="DL155" s="53">
        <v>104.5</v>
      </c>
      <c r="DM155" s="53">
        <v>220.6</v>
      </c>
      <c r="DN155" s="55"/>
      <c r="DO155" s="53">
        <v>187.1</v>
      </c>
      <c r="DP155" s="53">
        <v>194.8</v>
      </c>
      <c r="DQ155" s="55"/>
      <c r="DR155" s="55"/>
      <c r="DS155" s="53">
        <v>680.32500000000005</v>
      </c>
      <c r="DT155" s="53">
        <v>2998.8</v>
      </c>
      <c r="DU155" s="53">
        <v>-273.77500000000055</v>
      </c>
      <c r="DV155" s="53">
        <v>0</v>
      </c>
      <c r="DW155" s="55"/>
      <c r="DX155" s="55"/>
      <c r="DY155" s="55"/>
      <c r="DZ155" s="55"/>
      <c r="EA155" s="55"/>
      <c r="EB155" s="55"/>
      <c r="EC155" s="55"/>
      <c r="ED155" s="55"/>
      <c r="EE155" s="55"/>
      <c r="EF155" s="55"/>
      <c r="EG155" s="55"/>
      <c r="EH155" s="55"/>
      <c r="EI155" s="55"/>
      <c r="EJ155" s="55"/>
      <c r="EK155" s="55"/>
      <c r="EL155" s="55"/>
      <c r="EM155" s="55"/>
      <c r="EN155" s="55"/>
      <c r="EO155" s="55"/>
      <c r="EP155" s="55"/>
      <c r="EQ155" s="55"/>
      <c r="ER155" s="55"/>
      <c r="ES155" s="55"/>
      <c r="ET155" s="55"/>
      <c r="EU155" s="55"/>
      <c r="EV155" s="55"/>
      <c r="EW155" s="55"/>
      <c r="EX155" s="55"/>
      <c r="EY155" s="55"/>
      <c r="EZ155" s="55"/>
      <c r="FA155" s="55"/>
      <c r="FB155" s="55"/>
      <c r="FC155" s="55"/>
      <c r="FD155" s="55"/>
      <c r="FE155" s="55"/>
      <c r="FF155" s="55"/>
      <c r="FG155" s="55"/>
      <c r="FH155" s="55"/>
      <c r="FI155" s="55"/>
      <c r="FJ155" s="55"/>
      <c r="FK155" s="55"/>
      <c r="FL155" s="55"/>
      <c r="FM155" s="55"/>
      <c r="FN155" s="55"/>
      <c r="FO155" s="55"/>
      <c r="FP155" s="55"/>
      <c r="FQ155" s="55"/>
      <c r="FR155" s="55"/>
      <c r="FS155" s="55"/>
      <c r="FT155" s="55"/>
      <c r="FU155" s="55"/>
      <c r="FV155" s="55"/>
      <c r="FW155" s="55"/>
      <c r="FX155" s="55"/>
      <c r="FY155" s="55"/>
      <c r="FZ155" s="55"/>
      <c r="GA155" s="55"/>
      <c r="GB155" s="55"/>
      <c r="GC155" s="55"/>
      <c r="GD155" s="55"/>
      <c r="GE155" s="55"/>
      <c r="GF155" s="55"/>
      <c r="GG155" s="55"/>
      <c r="GH155" s="55"/>
      <c r="GI155" s="55"/>
      <c r="GJ155" s="55"/>
      <c r="GK155" s="55"/>
      <c r="GL155" s="55"/>
      <c r="GM155" s="55"/>
      <c r="GN155" s="55"/>
      <c r="GO155" s="55"/>
      <c r="GP155" s="55"/>
      <c r="GQ155" s="55"/>
      <c r="GR155" s="55"/>
      <c r="GS155" s="55"/>
      <c r="GT155" s="55"/>
      <c r="GU155" s="55"/>
      <c r="GV155" s="55"/>
      <c r="GW155" s="55"/>
      <c r="GX155" s="55"/>
      <c r="GY155" s="55"/>
      <c r="GZ155" s="53">
        <v>977.9</v>
      </c>
      <c r="HA155" s="55"/>
      <c r="HB155" s="55"/>
      <c r="HC155" s="55"/>
      <c r="HD155" s="55"/>
      <c r="HE155" s="55"/>
      <c r="HF155" s="55"/>
      <c r="HG155" s="55"/>
      <c r="HH155" s="55"/>
      <c r="HI155" s="55"/>
      <c r="HJ155" s="55"/>
      <c r="HK155" s="55"/>
      <c r="HL155" s="55"/>
      <c r="HM155" s="55"/>
      <c r="HN155" s="55"/>
      <c r="HO155" s="55"/>
      <c r="HP155" s="55"/>
      <c r="HQ155" s="55"/>
      <c r="HR155" s="55"/>
      <c r="HS155" s="55"/>
      <c r="HT155" s="55"/>
      <c r="HU155" s="55"/>
      <c r="HV155" s="55"/>
      <c r="HW155" s="55"/>
      <c r="HX155" s="55"/>
      <c r="HY155" s="55"/>
      <c r="HZ155" s="55"/>
      <c r="IA155" s="55"/>
      <c r="IB155" s="55"/>
      <c r="IC155" s="55"/>
      <c r="ID155" s="55"/>
      <c r="IE155" s="55"/>
      <c r="IF155" s="55"/>
      <c r="IG155" s="55"/>
      <c r="IH155" s="55"/>
      <c r="II155" s="55"/>
      <c r="IJ155" s="55"/>
      <c r="IK155" s="55"/>
      <c r="IL155" s="55"/>
      <c r="IM155" s="55"/>
      <c r="IN155" s="53">
        <v>82.1</v>
      </c>
      <c r="IY155" s="48">
        <f t="shared" si="8"/>
        <v>47.466986794717876</v>
      </c>
      <c r="IZ155" s="48">
        <f>IY155-'NOPA Crush'!J155</f>
        <v>2.6986794717878126E-2</v>
      </c>
      <c r="JB155" s="63">
        <f t="shared" si="6"/>
        <v>11.520608243297318</v>
      </c>
      <c r="JC155" s="64">
        <f>JB155-'NOPA Crush'!O155</f>
        <v>-6.9391756702682272E-2</v>
      </c>
      <c r="JD155" s="65"/>
      <c r="JE155" s="67">
        <f t="shared" si="7"/>
        <v>2426.5</v>
      </c>
      <c r="JF155" s="68">
        <f>'NOPA Crush'!Q155/'Census Crush'!JE155</f>
        <v>0.37208159901092108</v>
      </c>
    </row>
    <row r="156" spans="1:266">
      <c r="A156" s="39">
        <v>33786</v>
      </c>
      <c r="B156" s="51">
        <v>3068.7</v>
      </c>
      <c r="C156" s="51">
        <v>1684.8</v>
      </c>
      <c r="D156" s="51">
        <v>270.2</v>
      </c>
      <c r="E156" s="51">
        <v>459.9</v>
      </c>
      <c r="F156" s="51">
        <v>42.8</v>
      </c>
      <c r="G156" s="51">
        <v>68.7</v>
      </c>
      <c r="H156" s="51">
        <v>66.2</v>
      </c>
      <c r="I156" s="51" t="s">
        <v>264</v>
      </c>
      <c r="J156" s="51" t="s">
        <v>264</v>
      </c>
      <c r="K156" s="51">
        <v>1176.5999999999999</v>
      </c>
      <c r="L156" s="49">
        <v>2420.9</v>
      </c>
      <c r="M156" s="51">
        <v>2205</v>
      </c>
      <c r="N156" s="51">
        <v>215.9</v>
      </c>
      <c r="O156" s="51">
        <v>91.3</v>
      </c>
      <c r="P156" s="51">
        <v>119.80000000000001</v>
      </c>
      <c r="Q156" s="51">
        <v>41.6</v>
      </c>
      <c r="R156" s="51">
        <v>78.2</v>
      </c>
      <c r="S156" s="51"/>
      <c r="T156" s="51">
        <v>37.299999999999997</v>
      </c>
      <c r="U156" s="51">
        <v>51.5</v>
      </c>
      <c r="V156" s="51">
        <v>46.2</v>
      </c>
      <c r="W156" s="51">
        <v>5.3</v>
      </c>
      <c r="X156" s="51">
        <v>55.2</v>
      </c>
      <c r="Y156" s="51">
        <v>10.4</v>
      </c>
      <c r="Z156" s="49">
        <v>240.1</v>
      </c>
      <c r="AA156" s="51">
        <v>226</v>
      </c>
      <c r="AB156" s="51">
        <v>14.1</v>
      </c>
      <c r="AC156" s="51" t="s">
        <v>264</v>
      </c>
      <c r="AD156" s="51">
        <v>16.2</v>
      </c>
      <c r="AE156" s="51"/>
      <c r="AF156" s="51">
        <v>58.599999999999994</v>
      </c>
      <c r="AG156" s="51">
        <v>42.4</v>
      </c>
      <c r="AH156" s="51">
        <v>16.2</v>
      </c>
      <c r="AI156" s="51">
        <v>165</v>
      </c>
      <c r="AJ156" s="51"/>
      <c r="AK156" s="51"/>
      <c r="AL156" s="51">
        <v>137.80000000000001</v>
      </c>
      <c r="AM156" s="51">
        <v>97.9</v>
      </c>
      <c r="AN156" s="51">
        <v>39.9</v>
      </c>
      <c r="AO156" s="51">
        <v>2299.8000000000002</v>
      </c>
      <c r="AP156" s="51">
        <v>231.8</v>
      </c>
      <c r="AQ156" s="51">
        <v>134.4</v>
      </c>
      <c r="AR156" s="51">
        <v>28.7</v>
      </c>
      <c r="AS156" s="51">
        <v>127.8</v>
      </c>
      <c r="AT156" s="51">
        <v>58.8</v>
      </c>
      <c r="AU156" s="51">
        <v>73.2</v>
      </c>
      <c r="AV156" s="51">
        <v>35.5</v>
      </c>
      <c r="AW156" s="51">
        <v>24.4</v>
      </c>
      <c r="AX156" s="51">
        <v>5.2</v>
      </c>
      <c r="AY156" s="51">
        <v>34.9</v>
      </c>
      <c r="AZ156" s="51">
        <v>7.1</v>
      </c>
      <c r="BA156" s="51">
        <v>0.1</v>
      </c>
      <c r="BB156" s="51">
        <v>0.2</v>
      </c>
      <c r="BC156" s="51"/>
      <c r="BD156" s="53">
        <v>126.8</v>
      </c>
      <c r="BE156" s="53">
        <v>37.9</v>
      </c>
      <c r="BF156" s="55"/>
      <c r="BG156" s="55"/>
      <c r="BH156" s="53">
        <v>293.2</v>
      </c>
      <c r="BI156" s="55"/>
      <c r="BJ156" s="55"/>
      <c r="BK156" s="53">
        <v>203.5</v>
      </c>
      <c r="BL156" s="53">
        <v>1.3</v>
      </c>
      <c r="BM156" s="53">
        <v>497.9</v>
      </c>
      <c r="BN156" s="53">
        <v>275.7</v>
      </c>
      <c r="BO156" s="55"/>
      <c r="BP156" s="55"/>
      <c r="BQ156" s="53">
        <v>83.7</v>
      </c>
      <c r="BR156" s="53">
        <v>3.7</v>
      </c>
      <c r="BS156" s="53">
        <v>363.09999999999997</v>
      </c>
      <c r="BT156" s="52" t="s">
        <v>264</v>
      </c>
      <c r="BU156" s="53">
        <v>29.2</v>
      </c>
      <c r="BV156" s="51">
        <v>347.3</v>
      </c>
      <c r="BW156" s="51">
        <v>97.9</v>
      </c>
      <c r="BX156" s="51">
        <v>445.3</v>
      </c>
      <c r="BY156" s="51">
        <v>53.3</v>
      </c>
      <c r="BZ156" s="51">
        <v>11.7</v>
      </c>
      <c r="CA156" s="49">
        <v>65</v>
      </c>
      <c r="CB156" s="55"/>
      <c r="CC156" s="55"/>
      <c r="CD156" s="55"/>
      <c r="CE156" s="55"/>
      <c r="CF156" s="53">
        <v>130.6</v>
      </c>
      <c r="CG156" s="53">
        <v>190.7</v>
      </c>
      <c r="CH156" s="53">
        <v>15.9</v>
      </c>
      <c r="CI156" s="55"/>
      <c r="CJ156" s="55"/>
      <c r="CK156" s="55"/>
      <c r="CL156" s="55"/>
      <c r="CM156" s="55"/>
      <c r="CN156" s="53">
        <v>49.3</v>
      </c>
      <c r="CO156" s="52">
        <v>141.1</v>
      </c>
      <c r="CP156" s="53">
        <v>107.1</v>
      </c>
      <c r="CQ156" s="53">
        <v>34</v>
      </c>
      <c r="CR156" s="52" t="s">
        <v>264</v>
      </c>
      <c r="CS156" s="52">
        <v>60.8</v>
      </c>
      <c r="CT156" s="52">
        <v>35.5</v>
      </c>
      <c r="CU156" s="52">
        <v>25.3</v>
      </c>
      <c r="CV156" s="52">
        <v>32.299999999999997</v>
      </c>
      <c r="CW156" s="53">
        <v>12.2</v>
      </c>
      <c r="CX156" s="53">
        <v>20.100000000000001</v>
      </c>
      <c r="CY156" s="53" t="s">
        <v>264</v>
      </c>
      <c r="CZ156" s="53">
        <v>46</v>
      </c>
      <c r="DA156" s="52">
        <v>12.5</v>
      </c>
      <c r="DB156" s="53">
        <v>11.8</v>
      </c>
      <c r="DC156" s="53">
        <v>0.7</v>
      </c>
      <c r="DD156" s="55"/>
      <c r="DE156" s="55"/>
      <c r="DF156" s="55"/>
      <c r="DG156" s="55"/>
      <c r="DH156" s="55"/>
      <c r="DI156" s="53">
        <v>591.9</v>
      </c>
      <c r="DJ156" s="53">
        <v>200.4</v>
      </c>
      <c r="DK156" s="53">
        <v>571.6</v>
      </c>
      <c r="DL156" s="53">
        <v>84.5</v>
      </c>
      <c r="DM156" s="53">
        <v>233.9</v>
      </c>
      <c r="DN156" s="55"/>
      <c r="DO156" s="53">
        <v>187.2</v>
      </c>
      <c r="DP156" s="53">
        <v>204.4</v>
      </c>
      <c r="DQ156" s="55"/>
      <c r="DR156" s="55"/>
      <c r="DS156" s="53">
        <v>716.18600000000004</v>
      </c>
      <c r="DT156" s="53">
        <v>3068.7</v>
      </c>
      <c r="DU156" s="53">
        <v>-278.61399999999958</v>
      </c>
      <c r="DV156" s="53">
        <v>0</v>
      </c>
      <c r="DW156" s="55"/>
      <c r="DX156" s="55"/>
      <c r="DY156" s="55"/>
      <c r="DZ156" s="55"/>
      <c r="EA156" s="55"/>
      <c r="EB156" s="55"/>
      <c r="EC156" s="55"/>
      <c r="ED156" s="55"/>
      <c r="EE156" s="55"/>
      <c r="EF156" s="55"/>
      <c r="EG156" s="55"/>
      <c r="EH156" s="55"/>
      <c r="EI156" s="55"/>
      <c r="EJ156" s="55"/>
      <c r="EK156" s="55"/>
      <c r="EL156" s="55"/>
      <c r="EM156" s="55"/>
      <c r="EN156" s="55"/>
      <c r="EO156" s="55"/>
      <c r="EP156" s="55"/>
      <c r="EQ156" s="55"/>
      <c r="ER156" s="55"/>
      <c r="ES156" s="55"/>
      <c r="ET156" s="55"/>
      <c r="EU156" s="55"/>
      <c r="EV156" s="55"/>
      <c r="EW156" s="55"/>
      <c r="EX156" s="55"/>
      <c r="EY156" s="55"/>
      <c r="EZ156" s="55"/>
      <c r="FA156" s="55"/>
      <c r="FB156" s="55"/>
      <c r="FC156" s="55"/>
      <c r="FD156" s="55"/>
      <c r="FE156" s="55"/>
      <c r="FF156" s="55"/>
      <c r="FG156" s="55"/>
      <c r="FH156" s="55"/>
      <c r="FI156" s="55"/>
      <c r="FJ156" s="55"/>
      <c r="FK156" s="55"/>
      <c r="FL156" s="55"/>
      <c r="FM156" s="55"/>
      <c r="FN156" s="55"/>
      <c r="FO156" s="55"/>
      <c r="FP156" s="55"/>
      <c r="FQ156" s="55"/>
      <c r="FR156" s="55"/>
      <c r="FS156" s="55"/>
      <c r="FT156" s="55"/>
      <c r="FU156" s="55"/>
      <c r="FV156" s="55"/>
      <c r="FW156" s="55"/>
      <c r="FX156" s="55"/>
      <c r="FY156" s="55"/>
      <c r="FZ156" s="55"/>
      <c r="GA156" s="55"/>
      <c r="GB156" s="55"/>
      <c r="GC156" s="55"/>
      <c r="GD156" s="55"/>
      <c r="GE156" s="55"/>
      <c r="GF156" s="55"/>
      <c r="GG156" s="55"/>
      <c r="GH156" s="55"/>
      <c r="GI156" s="55"/>
      <c r="GJ156" s="55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3">
        <v>979.2</v>
      </c>
      <c r="HA156" s="55"/>
      <c r="HB156" s="55"/>
      <c r="HC156" s="55"/>
      <c r="HD156" s="55"/>
      <c r="HE156" s="55"/>
      <c r="HF156" s="55"/>
      <c r="HG156" s="55"/>
      <c r="HH156" s="55"/>
      <c r="HI156" s="55"/>
      <c r="HJ156" s="55"/>
      <c r="HK156" s="55"/>
      <c r="HL156" s="55"/>
      <c r="HM156" s="55"/>
      <c r="HN156" s="55"/>
      <c r="HO156" s="55"/>
      <c r="HP156" s="55"/>
      <c r="HQ156" s="55"/>
      <c r="HR156" s="55"/>
      <c r="HS156" s="55"/>
      <c r="HT156" s="55"/>
      <c r="HU156" s="55"/>
      <c r="HV156" s="55"/>
      <c r="HW156" s="55"/>
      <c r="HX156" s="55"/>
      <c r="HY156" s="55"/>
      <c r="HZ156" s="55"/>
      <c r="IA156" s="55"/>
      <c r="IB156" s="55"/>
      <c r="IC156" s="55"/>
      <c r="ID156" s="55"/>
      <c r="IE156" s="55"/>
      <c r="IF156" s="55"/>
      <c r="IG156" s="55"/>
      <c r="IH156" s="55"/>
      <c r="II156" s="55"/>
      <c r="IJ156" s="55"/>
      <c r="IK156" s="55"/>
      <c r="IL156" s="55"/>
      <c r="IM156" s="55"/>
      <c r="IN156" s="53">
        <v>81.099999999999994</v>
      </c>
      <c r="IY156" s="48">
        <f t="shared" si="8"/>
        <v>47.594095219474056</v>
      </c>
      <c r="IZ156" s="48">
        <f>IY156-'NOPA Crush'!J156</f>
        <v>0.10409521947405409</v>
      </c>
      <c r="JB156" s="63">
        <f t="shared" si="6"/>
        <v>11.50259067357513</v>
      </c>
      <c r="JC156" s="64">
        <f>JB156-'NOPA Crush'!O156</f>
        <v>-8.7409326424870315E-2</v>
      </c>
      <c r="JD156" s="65"/>
      <c r="JE156" s="67">
        <f t="shared" si="7"/>
        <v>2420.9</v>
      </c>
      <c r="JF156" s="68">
        <f>'NOPA Crush'!Q156/'Census Crush'!JE156</f>
        <v>0.37361105374034448</v>
      </c>
    </row>
    <row r="157" spans="1:266">
      <c r="A157" s="39">
        <v>33817</v>
      </c>
      <c r="B157" s="51">
        <v>3070.2</v>
      </c>
      <c r="C157" s="51">
        <v>1313.6</v>
      </c>
      <c r="D157" s="51">
        <v>245.7</v>
      </c>
      <c r="E157" s="51">
        <v>289.39999999999998</v>
      </c>
      <c r="F157" s="51">
        <v>35.5</v>
      </c>
      <c r="G157" s="51">
        <v>45</v>
      </c>
      <c r="H157" s="51">
        <v>53.8</v>
      </c>
      <c r="I157" s="51" t="s">
        <v>264</v>
      </c>
      <c r="J157" s="51" t="s">
        <v>264</v>
      </c>
      <c r="K157" s="51">
        <v>1178.5999999999999</v>
      </c>
      <c r="L157" s="49">
        <v>2362.8000000000002</v>
      </c>
      <c r="M157" s="51">
        <v>2126.8000000000002</v>
      </c>
      <c r="N157" s="51">
        <v>236</v>
      </c>
      <c r="O157" s="51">
        <v>77.8</v>
      </c>
      <c r="P157" s="51">
        <v>94.4</v>
      </c>
      <c r="Q157" s="51">
        <v>29.1</v>
      </c>
      <c r="R157" s="51">
        <v>65.3</v>
      </c>
      <c r="S157" s="51"/>
      <c r="T157" s="51">
        <v>31.3</v>
      </c>
      <c r="U157" s="51">
        <v>59.2</v>
      </c>
      <c r="V157" s="51">
        <v>53.5</v>
      </c>
      <c r="W157" s="51">
        <v>5.7</v>
      </c>
      <c r="X157" s="51">
        <v>35.799999999999997</v>
      </c>
      <c r="Y157" s="51">
        <v>9.4</v>
      </c>
      <c r="Z157" s="49">
        <v>148.5</v>
      </c>
      <c r="AA157" s="51">
        <v>136</v>
      </c>
      <c r="AB157" s="51">
        <v>12.5</v>
      </c>
      <c r="AC157" s="51" t="s">
        <v>264</v>
      </c>
      <c r="AD157" s="51">
        <v>30.2</v>
      </c>
      <c r="AE157" s="51"/>
      <c r="AF157" s="51">
        <v>92.5</v>
      </c>
      <c r="AG157" s="51">
        <v>69</v>
      </c>
      <c r="AH157" s="51">
        <v>23.5</v>
      </c>
      <c r="AI157" s="51">
        <v>162.4</v>
      </c>
      <c r="AJ157" s="51"/>
      <c r="AK157" s="51"/>
      <c r="AL157" s="51">
        <v>185.8</v>
      </c>
      <c r="AM157" s="51">
        <v>144.9</v>
      </c>
      <c r="AN157" s="51">
        <v>40.9</v>
      </c>
      <c r="AO157" s="51">
        <v>2290.6</v>
      </c>
      <c r="AP157" s="51">
        <v>257.10000000000002</v>
      </c>
      <c r="AQ157" s="51">
        <v>138.4</v>
      </c>
      <c r="AR157" s="51">
        <v>33.799999999999997</v>
      </c>
      <c r="AS157" s="51">
        <v>111.2</v>
      </c>
      <c r="AT157" s="51">
        <v>58.4</v>
      </c>
      <c r="AU157" s="51">
        <v>68.599999999999994</v>
      </c>
      <c r="AV157" s="51">
        <v>36.5</v>
      </c>
      <c r="AW157" s="51">
        <v>19.600000000000001</v>
      </c>
      <c r="AX157" s="51">
        <v>3.8</v>
      </c>
      <c r="AY157" s="51">
        <v>22.3</v>
      </c>
      <c r="AZ157" s="51">
        <v>5.6</v>
      </c>
      <c r="BA157" s="51">
        <v>0.7</v>
      </c>
      <c r="BB157" s="51">
        <v>0.3</v>
      </c>
      <c r="BC157" s="51"/>
      <c r="BD157" s="53">
        <v>133</v>
      </c>
      <c r="BE157" s="53">
        <v>35.1</v>
      </c>
      <c r="BF157" s="55"/>
      <c r="BG157" s="55"/>
      <c r="BH157" s="53">
        <v>284.10000000000002</v>
      </c>
      <c r="BI157" s="55"/>
      <c r="BJ157" s="55"/>
      <c r="BK157" s="53">
        <v>191</v>
      </c>
      <c r="BL157" s="53">
        <v>2.4</v>
      </c>
      <c r="BM157" s="53">
        <v>477.5</v>
      </c>
      <c r="BN157" s="53">
        <v>304.39999999999998</v>
      </c>
      <c r="BO157" s="55"/>
      <c r="BP157" s="55"/>
      <c r="BQ157" s="53">
        <v>91.6</v>
      </c>
      <c r="BR157" s="53">
        <v>3.7</v>
      </c>
      <c r="BS157" s="53">
        <v>399.7</v>
      </c>
      <c r="BT157" s="52" t="s">
        <v>264</v>
      </c>
      <c r="BU157" s="53">
        <v>26.9</v>
      </c>
      <c r="BV157" s="51">
        <v>322.5</v>
      </c>
      <c r="BW157" s="51">
        <v>96.9</v>
      </c>
      <c r="BX157" s="51">
        <v>419.5</v>
      </c>
      <c r="BY157" s="51">
        <v>43.3</v>
      </c>
      <c r="BZ157" s="51">
        <v>8.8000000000000007</v>
      </c>
      <c r="CA157" s="49">
        <v>52.099999999999994</v>
      </c>
      <c r="CB157" s="55"/>
      <c r="CC157" s="55"/>
      <c r="CD157" s="55"/>
      <c r="CE157" s="55"/>
      <c r="CF157" s="53">
        <v>129.9</v>
      </c>
      <c r="CG157" s="53">
        <v>186.1</v>
      </c>
      <c r="CH157" s="53">
        <v>28.4</v>
      </c>
      <c r="CI157" s="55"/>
      <c r="CJ157" s="55"/>
      <c r="CK157" s="55"/>
      <c r="CL157" s="55"/>
      <c r="CM157" s="55"/>
      <c r="CN157" s="53">
        <v>62.6</v>
      </c>
      <c r="CO157" s="52">
        <v>187.1</v>
      </c>
      <c r="CP157" s="53">
        <v>150</v>
      </c>
      <c r="CQ157" s="53">
        <v>37.1</v>
      </c>
      <c r="CR157" s="52" t="s">
        <v>264</v>
      </c>
      <c r="CS157" s="52">
        <v>47.3</v>
      </c>
      <c r="CT157" s="52">
        <v>29.7</v>
      </c>
      <c r="CU157" s="52">
        <v>17.600000000000001</v>
      </c>
      <c r="CV157" s="52">
        <v>38.1</v>
      </c>
      <c r="CW157" s="53">
        <v>16</v>
      </c>
      <c r="CX157" s="53">
        <v>22.1</v>
      </c>
      <c r="CY157" s="53" t="s">
        <v>264</v>
      </c>
      <c r="CZ157" s="53">
        <v>46.1</v>
      </c>
      <c r="DA157" s="52">
        <v>24</v>
      </c>
      <c r="DB157" s="53">
        <v>23.2</v>
      </c>
      <c r="DC157" s="53">
        <v>0.8</v>
      </c>
      <c r="DD157" s="55"/>
      <c r="DE157" s="55"/>
      <c r="DF157" s="55"/>
      <c r="DG157" s="55"/>
      <c r="DH157" s="55"/>
      <c r="DI157" s="53">
        <v>603.1</v>
      </c>
      <c r="DJ157" s="53">
        <v>203.3</v>
      </c>
      <c r="DK157" s="53">
        <v>600.29999999999995</v>
      </c>
      <c r="DL157" s="53">
        <v>125.7</v>
      </c>
      <c r="DM157" s="53">
        <v>232.1</v>
      </c>
      <c r="DN157" s="55"/>
      <c r="DO157" s="53">
        <v>182</v>
      </c>
      <c r="DP157" s="53">
        <v>228</v>
      </c>
      <c r="DQ157" s="55"/>
      <c r="DR157" s="55"/>
      <c r="DS157" s="53">
        <v>603.73500000000001</v>
      </c>
      <c r="DT157" s="53">
        <v>3070.2</v>
      </c>
      <c r="DU157" s="53">
        <v>-291.96499999999969</v>
      </c>
      <c r="DV157" s="53">
        <v>0</v>
      </c>
      <c r="DW157" s="55"/>
      <c r="DX157" s="55"/>
      <c r="DY157" s="55"/>
      <c r="DZ157" s="55"/>
      <c r="EA157" s="55"/>
      <c r="EB157" s="55"/>
      <c r="EC157" s="55"/>
      <c r="ED157" s="55"/>
      <c r="EE157" s="55"/>
      <c r="EF157" s="55"/>
      <c r="EG157" s="55"/>
      <c r="EH157" s="55"/>
      <c r="EI157" s="55"/>
      <c r="EJ157" s="55"/>
      <c r="EK157" s="55"/>
      <c r="EL157" s="55"/>
      <c r="EM157" s="55"/>
      <c r="EN157" s="55"/>
      <c r="EO157" s="55"/>
      <c r="EP157" s="55"/>
      <c r="EQ157" s="55"/>
      <c r="ER157" s="55"/>
      <c r="ES157" s="55"/>
      <c r="ET157" s="55"/>
      <c r="EU157" s="55"/>
      <c r="EV157" s="55"/>
      <c r="EW157" s="55"/>
      <c r="EX157" s="55"/>
      <c r="EY157" s="55"/>
      <c r="EZ157" s="55"/>
      <c r="FA157" s="55"/>
      <c r="FB157" s="55"/>
      <c r="FC157" s="55"/>
      <c r="FD157" s="55"/>
      <c r="FE157" s="55"/>
      <c r="FF157" s="55"/>
      <c r="FG157" s="55"/>
      <c r="FH157" s="55"/>
      <c r="FI157" s="55"/>
      <c r="FJ157" s="55"/>
      <c r="FK157" s="55"/>
      <c r="FL157" s="55"/>
      <c r="FM157" s="55"/>
      <c r="FN157" s="55"/>
      <c r="FO157" s="55"/>
      <c r="FP157" s="55"/>
      <c r="FQ157" s="55"/>
      <c r="FR157" s="55"/>
      <c r="FS157" s="55"/>
      <c r="FT157" s="55"/>
      <c r="FU157" s="55"/>
      <c r="FV157" s="55"/>
      <c r="FW157" s="55"/>
      <c r="FX157" s="55"/>
      <c r="FY157" s="55"/>
      <c r="FZ157" s="55"/>
      <c r="GA157" s="55"/>
      <c r="GB157" s="55"/>
      <c r="GC157" s="55"/>
      <c r="GD157" s="55"/>
      <c r="GE157" s="55"/>
      <c r="GF157" s="55"/>
      <c r="GG157" s="55"/>
      <c r="GH157" s="55"/>
      <c r="GI157" s="55"/>
      <c r="GJ157" s="55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3">
        <v>997.6</v>
      </c>
      <c r="HA157" s="55"/>
      <c r="HB157" s="55"/>
      <c r="HC157" s="55"/>
      <c r="HD157" s="55"/>
      <c r="HE157" s="55"/>
      <c r="HF157" s="55"/>
      <c r="HG157" s="55"/>
      <c r="HH157" s="55"/>
      <c r="HI157" s="55"/>
      <c r="HJ157" s="55"/>
      <c r="HK157" s="55"/>
      <c r="HL157" s="55"/>
      <c r="HM157" s="55"/>
      <c r="HN157" s="55"/>
      <c r="HO157" s="55"/>
      <c r="HP157" s="55"/>
      <c r="HQ157" s="55"/>
      <c r="HR157" s="55"/>
      <c r="HS157" s="55"/>
      <c r="HT157" s="55"/>
      <c r="HU157" s="55"/>
      <c r="HV157" s="55"/>
      <c r="HW157" s="55"/>
      <c r="HX157" s="55"/>
      <c r="HY157" s="55"/>
      <c r="HZ157" s="55"/>
      <c r="IA157" s="55"/>
      <c r="IB157" s="55"/>
      <c r="IC157" s="55"/>
      <c r="ID157" s="55"/>
      <c r="IE157" s="55"/>
      <c r="IF157" s="55"/>
      <c r="IG157" s="55"/>
      <c r="IH157" s="55"/>
      <c r="II157" s="55"/>
      <c r="IJ157" s="55"/>
      <c r="IK157" s="55"/>
      <c r="IL157" s="55"/>
      <c r="IM157" s="55"/>
      <c r="IN157" s="53">
        <v>69.3</v>
      </c>
      <c r="IY157" s="48">
        <f t="shared" si="8"/>
        <v>47.469220246238038</v>
      </c>
      <c r="IZ157" s="48">
        <f>IY157-'NOPA Crush'!J157</f>
        <v>4.9220246238036225E-2</v>
      </c>
      <c r="JB157" s="63">
        <f t="shared" si="6"/>
        <v>11.516513582177057</v>
      </c>
      <c r="JC157" s="64">
        <f>JB157-'NOPA Crush'!O157</f>
        <v>-6.3486417822943508E-2</v>
      </c>
      <c r="JD157" s="65"/>
      <c r="JE157" s="67">
        <f t="shared" si="7"/>
        <v>2362.8000000000002</v>
      </c>
      <c r="JF157" s="68">
        <f>'NOPA Crush'!Q157/'Census Crush'!JE157</f>
        <v>0.37933891992551211</v>
      </c>
    </row>
    <row r="158" spans="1:266">
      <c r="A158" s="39">
        <v>33848</v>
      </c>
      <c r="B158" s="51">
        <v>3037</v>
      </c>
      <c r="C158" s="51">
        <v>1390</v>
      </c>
      <c r="D158" s="51">
        <v>162.9</v>
      </c>
      <c r="E158" s="51">
        <v>353.1</v>
      </c>
      <c r="F158" s="51">
        <v>41.1</v>
      </c>
      <c r="G158" s="51">
        <v>72.400000000000006</v>
      </c>
      <c r="H158" s="51">
        <v>16.5</v>
      </c>
      <c r="I158" s="51" t="s">
        <v>264</v>
      </c>
      <c r="J158" s="51" t="s">
        <v>264</v>
      </c>
      <c r="K158" s="51">
        <v>1157.7</v>
      </c>
      <c r="L158" s="49">
        <v>2239.4</v>
      </c>
      <c r="M158" s="51">
        <v>2026.2</v>
      </c>
      <c r="N158" s="51">
        <v>213.2</v>
      </c>
      <c r="O158" s="51">
        <v>56.8</v>
      </c>
      <c r="P158" s="51">
        <v>77.599999999999994</v>
      </c>
      <c r="Q158" s="51">
        <v>24</v>
      </c>
      <c r="R158" s="51">
        <v>53.6</v>
      </c>
      <c r="S158" s="51"/>
      <c r="T158" s="51">
        <v>35.1</v>
      </c>
      <c r="U158" s="51">
        <v>55.800000000000004</v>
      </c>
      <c r="V158" s="51">
        <v>50.2</v>
      </c>
      <c r="W158" s="51">
        <v>5.6</v>
      </c>
      <c r="X158" s="51">
        <v>58.4</v>
      </c>
      <c r="Y158" s="51">
        <v>8.4</v>
      </c>
      <c r="Z158" s="49">
        <v>99.8</v>
      </c>
      <c r="AA158" s="51">
        <v>87.1</v>
      </c>
      <c r="AB158" s="51">
        <v>12.7</v>
      </c>
      <c r="AC158" s="51" t="s">
        <v>264</v>
      </c>
      <c r="AD158" s="51">
        <v>28.8</v>
      </c>
      <c r="AE158" s="51"/>
      <c r="AF158" s="51">
        <v>71.400000000000006</v>
      </c>
      <c r="AG158" s="51">
        <v>49.6</v>
      </c>
      <c r="AH158" s="51">
        <v>21.8</v>
      </c>
      <c r="AI158" s="51">
        <v>153.6</v>
      </c>
      <c r="AJ158" s="51"/>
      <c r="AK158" s="51"/>
      <c r="AL158" s="51">
        <v>196.5</v>
      </c>
      <c r="AM158" s="51">
        <v>156.30000000000001</v>
      </c>
      <c r="AN158" s="51">
        <v>40.200000000000003</v>
      </c>
      <c r="AO158" s="51">
        <v>2259.9</v>
      </c>
      <c r="AP158" s="51">
        <v>199.8</v>
      </c>
      <c r="AQ158" s="51">
        <v>137.4</v>
      </c>
      <c r="AR158" s="51">
        <v>30.2</v>
      </c>
      <c r="AS158" s="51">
        <v>76</v>
      </c>
      <c r="AT158" s="51">
        <v>42.7</v>
      </c>
      <c r="AU158" s="51">
        <v>43.4</v>
      </c>
      <c r="AV158" s="51">
        <v>13.8</v>
      </c>
      <c r="AW158" s="51">
        <v>23.5</v>
      </c>
      <c r="AX158" s="51">
        <v>5.3</v>
      </c>
      <c r="AY158" s="51">
        <v>33.299999999999997</v>
      </c>
      <c r="AZ158" s="51">
        <v>7.3</v>
      </c>
      <c r="BA158" s="51">
        <v>0.3</v>
      </c>
      <c r="BB158" s="51">
        <v>0.4</v>
      </c>
      <c r="BC158" s="51"/>
      <c r="BD158" s="53">
        <v>141.30000000000001</v>
      </c>
      <c r="BE158" s="53">
        <v>32.6</v>
      </c>
      <c r="BF158" s="55"/>
      <c r="BG158" s="55"/>
      <c r="BH158" s="53">
        <v>304.7</v>
      </c>
      <c r="BI158" s="55"/>
      <c r="BJ158" s="55"/>
      <c r="BK158" s="53">
        <v>199.2</v>
      </c>
      <c r="BL158" s="53">
        <v>1.5</v>
      </c>
      <c r="BM158" s="53">
        <v>505.4</v>
      </c>
      <c r="BN158" s="53">
        <v>248.2</v>
      </c>
      <c r="BO158" s="55"/>
      <c r="BP158" s="55"/>
      <c r="BQ158" s="53">
        <v>96.2</v>
      </c>
      <c r="BR158" s="53">
        <v>3.6</v>
      </c>
      <c r="BS158" s="53">
        <v>348</v>
      </c>
      <c r="BT158" s="52" t="s">
        <v>264</v>
      </c>
      <c r="BU158" s="53">
        <v>27.2</v>
      </c>
      <c r="BV158" s="51">
        <v>338.7</v>
      </c>
      <c r="BW158" s="51">
        <v>109.2</v>
      </c>
      <c r="BX158" s="51">
        <v>448.3</v>
      </c>
      <c r="BY158" s="51">
        <v>46.5</v>
      </c>
      <c r="BZ158" s="51">
        <v>7.9</v>
      </c>
      <c r="CA158" s="49">
        <v>54.4</v>
      </c>
      <c r="CB158" s="55"/>
      <c r="CC158" s="55"/>
      <c r="CD158" s="55"/>
      <c r="CE158" s="55"/>
      <c r="CF158" s="53">
        <v>119.7</v>
      </c>
      <c r="CG158" s="53">
        <v>173.3</v>
      </c>
      <c r="CH158" s="53">
        <v>17.399999999999999</v>
      </c>
      <c r="CI158" s="55"/>
      <c r="CJ158" s="55"/>
      <c r="CK158" s="55"/>
      <c r="CL158" s="55"/>
      <c r="CM158" s="55"/>
      <c r="CN158" s="53">
        <v>57.2</v>
      </c>
      <c r="CO158" s="52">
        <v>187.7</v>
      </c>
      <c r="CP158" s="53">
        <v>157.6</v>
      </c>
      <c r="CQ158" s="53">
        <v>30.1</v>
      </c>
      <c r="CR158" s="52" t="s">
        <v>264</v>
      </c>
      <c r="CS158" s="52">
        <v>64.8</v>
      </c>
      <c r="CT158" s="52">
        <v>41.3</v>
      </c>
      <c r="CU158" s="52">
        <v>23.5</v>
      </c>
      <c r="CV158" s="52">
        <v>44.3</v>
      </c>
      <c r="CW158" s="53">
        <v>19.100000000000001</v>
      </c>
      <c r="CX158" s="53">
        <v>25.2</v>
      </c>
      <c r="CY158" s="53" t="s">
        <v>264</v>
      </c>
      <c r="CZ158" s="53">
        <v>48</v>
      </c>
      <c r="DA158" s="52">
        <v>28.5</v>
      </c>
      <c r="DB158" s="53">
        <v>27.8</v>
      </c>
      <c r="DC158" s="53">
        <v>0.7</v>
      </c>
      <c r="DD158" s="55"/>
      <c r="DE158" s="55"/>
      <c r="DF158" s="55"/>
      <c r="DG158" s="53">
        <v>121.3</v>
      </c>
      <c r="DH158" s="55"/>
      <c r="DI158" s="53">
        <v>652.6</v>
      </c>
      <c r="DJ158" s="53">
        <v>199.9</v>
      </c>
      <c r="DK158" s="53">
        <v>558.6</v>
      </c>
      <c r="DL158" s="53">
        <v>123.8</v>
      </c>
      <c r="DM158" s="53">
        <v>220.7</v>
      </c>
      <c r="DN158" s="55"/>
      <c r="DO158" s="53">
        <v>150.6</v>
      </c>
      <c r="DP158" s="53">
        <v>221.8</v>
      </c>
      <c r="DQ158" s="55"/>
      <c r="DR158" s="55"/>
      <c r="DS158" s="53">
        <v>687.83199999999999</v>
      </c>
      <c r="DT158" s="53">
        <v>3037</v>
      </c>
      <c r="DU158" s="53">
        <v>-221.16800000000012</v>
      </c>
      <c r="DV158" s="53">
        <v>0</v>
      </c>
      <c r="DW158" s="55"/>
      <c r="DX158" s="55"/>
      <c r="DY158" s="55"/>
      <c r="DZ158" s="55"/>
      <c r="EA158" s="55"/>
      <c r="EB158" s="55"/>
      <c r="EC158" s="55"/>
      <c r="ED158" s="55"/>
      <c r="EE158" s="55"/>
      <c r="EF158" s="55"/>
      <c r="EG158" s="55"/>
      <c r="EH158" s="55"/>
      <c r="EI158" s="55"/>
      <c r="EJ158" s="55"/>
      <c r="EK158" s="55"/>
      <c r="EL158" s="55"/>
      <c r="EM158" s="55"/>
      <c r="EN158" s="55"/>
      <c r="EO158" s="55"/>
      <c r="EP158" s="55"/>
      <c r="EQ158" s="55"/>
      <c r="ER158" s="55"/>
      <c r="ES158" s="55"/>
      <c r="ET158" s="55"/>
      <c r="EU158" s="55"/>
      <c r="EV158" s="55"/>
      <c r="EW158" s="55"/>
      <c r="EX158" s="55"/>
      <c r="EY158" s="55"/>
      <c r="EZ158" s="55"/>
      <c r="FA158" s="55"/>
      <c r="FB158" s="55"/>
      <c r="FC158" s="55"/>
      <c r="FD158" s="55"/>
      <c r="FE158" s="55"/>
      <c r="FF158" s="55"/>
      <c r="FG158" s="55"/>
      <c r="FH158" s="55"/>
      <c r="FI158" s="55"/>
      <c r="FJ158" s="55"/>
      <c r="FK158" s="55"/>
      <c r="FL158" s="55"/>
      <c r="FM158" s="55"/>
      <c r="FN158" s="55"/>
      <c r="FO158" s="55"/>
      <c r="FP158" s="55"/>
      <c r="FQ158" s="55"/>
      <c r="FR158" s="55"/>
      <c r="FS158" s="55"/>
      <c r="FT158" s="55"/>
      <c r="FU158" s="55"/>
      <c r="FV158" s="55"/>
      <c r="FW158" s="55"/>
      <c r="FX158" s="55"/>
      <c r="FY158" s="55"/>
      <c r="FZ158" s="55"/>
      <c r="GA158" s="55"/>
      <c r="GB158" s="55"/>
      <c r="GC158" s="55"/>
      <c r="GD158" s="55"/>
      <c r="GE158" s="55"/>
      <c r="GF158" s="55"/>
      <c r="GG158" s="55"/>
      <c r="GH158" s="55"/>
      <c r="GI158" s="55"/>
      <c r="GJ158" s="55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3">
        <v>1040.7</v>
      </c>
      <c r="HA158" s="55"/>
      <c r="HB158" s="55"/>
      <c r="HC158" s="55"/>
      <c r="HD158" s="55"/>
      <c r="HE158" s="55"/>
      <c r="HF158" s="55"/>
      <c r="HG158" s="55"/>
      <c r="HH158" s="55"/>
      <c r="HI158" s="55"/>
      <c r="HJ158" s="55"/>
      <c r="HK158" s="55"/>
      <c r="HL158" s="55"/>
      <c r="HM158" s="55"/>
      <c r="HN158" s="55"/>
      <c r="HO158" s="55"/>
      <c r="HP158" s="55"/>
      <c r="HQ158" s="55"/>
      <c r="HR158" s="55"/>
      <c r="HS158" s="55"/>
      <c r="HT158" s="55"/>
      <c r="HU158" s="55"/>
      <c r="HV158" s="55"/>
      <c r="HW158" s="55"/>
      <c r="HX158" s="55"/>
      <c r="HY158" s="55"/>
      <c r="HZ158" s="55"/>
      <c r="IA158" s="55"/>
      <c r="IB158" s="55"/>
      <c r="IC158" s="55"/>
      <c r="ID158" s="55"/>
      <c r="IE158" s="55"/>
      <c r="IF158" s="55"/>
      <c r="IG158" s="55"/>
      <c r="IH158" s="55"/>
      <c r="II158" s="55"/>
      <c r="IJ158" s="55"/>
      <c r="IK158" s="55"/>
      <c r="IL158" s="55"/>
      <c r="IM158" s="55"/>
      <c r="IN158" s="53">
        <v>46.3</v>
      </c>
      <c r="IY158" s="48">
        <f t="shared" si="8"/>
        <v>47.361870266710575</v>
      </c>
      <c r="IZ158" s="48">
        <f>IY158-'NOPA Crush'!J158</f>
        <v>-1.8129733289427463E-2</v>
      </c>
      <c r="JB158" s="63">
        <f t="shared" si="6"/>
        <v>11.435956536055318</v>
      </c>
      <c r="JC158" s="64">
        <f>JB158-'NOPA Crush'!O158</f>
        <v>-7.404346394468142E-2</v>
      </c>
      <c r="JD158" s="65"/>
      <c r="JE158" s="67">
        <f t="shared" si="7"/>
        <v>2239.4</v>
      </c>
      <c r="JF158" s="68">
        <f>'NOPA Crush'!Q158/'Census Crush'!JE158</f>
        <v>0.37653255336250779</v>
      </c>
    </row>
    <row r="159" spans="1:266">
      <c r="A159" s="39">
        <v>33878</v>
      </c>
      <c r="B159" s="51">
        <v>3416.1</v>
      </c>
      <c r="C159" s="51">
        <v>3969.4</v>
      </c>
      <c r="D159" s="51">
        <v>323.2</v>
      </c>
      <c r="E159" s="51">
        <v>1333.5</v>
      </c>
      <c r="F159" s="51">
        <v>27.6</v>
      </c>
      <c r="G159" s="51">
        <v>74.5</v>
      </c>
      <c r="H159" s="51">
        <v>69.8</v>
      </c>
      <c r="I159" s="51" t="s">
        <v>264</v>
      </c>
      <c r="J159" s="51" t="s">
        <v>264</v>
      </c>
      <c r="K159" s="51">
        <v>1238</v>
      </c>
      <c r="L159" s="49">
        <v>2076.2999999999997</v>
      </c>
      <c r="M159" s="51">
        <v>1856.1</v>
      </c>
      <c r="N159" s="51">
        <v>220.2</v>
      </c>
      <c r="O159" s="51">
        <v>99.5</v>
      </c>
      <c r="P159" s="51">
        <v>81.800000000000011</v>
      </c>
      <c r="Q159" s="51">
        <v>32.6</v>
      </c>
      <c r="R159" s="51">
        <v>49.2</v>
      </c>
      <c r="S159" s="51"/>
      <c r="T159" s="51">
        <v>24.2</v>
      </c>
      <c r="U159" s="51">
        <v>60.3</v>
      </c>
      <c r="V159" s="51">
        <v>54.5</v>
      </c>
      <c r="W159" s="51">
        <v>5.8</v>
      </c>
      <c r="X159" s="51">
        <v>58.8</v>
      </c>
      <c r="Y159" s="51">
        <v>7.5</v>
      </c>
      <c r="Z159" s="49">
        <v>99.2</v>
      </c>
      <c r="AA159" s="51">
        <v>89.7</v>
      </c>
      <c r="AB159" s="51">
        <v>9.5</v>
      </c>
      <c r="AC159" s="51" t="s">
        <v>264</v>
      </c>
      <c r="AD159" s="51">
        <v>16.2</v>
      </c>
      <c r="AE159" s="51"/>
      <c r="AF159" s="51">
        <v>84.3</v>
      </c>
      <c r="AG159" s="51">
        <v>63.6</v>
      </c>
      <c r="AH159" s="51">
        <v>20.7</v>
      </c>
      <c r="AI159" s="51">
        <v>168.1</v>
      </c>
      <c r="AJ159" s="51"/>
      <c r="AK159" s="51"/>
      <c r="AL159" s="51">
        <v>186.1</v>
      </c>
      <c r="AM159" s="51">
        <v>152.19999999999999</v>
      </c>
      <c r="AN159" s="51">
        <v>33.9</v>
      </c>
      <c r="AO159" s="51">
        <v>2550.1</v>
      </c>
      <c r="AP159" s="51">
        <v>271.89999999999998</v>
      </c>
      <c r="AQ159" s="51">
        <v>148</v>
      </c>
      <c r="AR159" s="51">
        <v>36</v>
      </c>
      <c r="AS159" s="51">
        <v>143.69999999999999</v>
      </c>
      <c r="AT159" s="51">
        <v>61.5</v>
      </c>
      <c r="AU159" s="51">
        <v>87.5</v>
      </c>
      <c r="AV159" s="51">
        <v>17</v>
      </c>
      <c r="AW159" s="51">
        <v>15.5</v>
      </c>
      <c r="AX159" s="51">
        <v>3.2</v>
      </c>
      <c r="AY159" s="51">
        <v>36.700000000000003</v>
      </c>
      <c r="AZ159" s="51">
        <v>3.7</v>
      </c>
      <c r="BA159" s="51">
        <v>0</v>
      </c>
      <c r="BB159" s="51">
        <v>0.2</v>
      </c>
      <c r="BC159" s="51"/>
      <c r="BD159" s="53">
        <v>126.2</v>
      </c>
      <c r="BE159" s="53">
        <v>30.7</v>
      </c>
      <c r="BF159" s="55"/>
      <c r="BG159" s="55"/>
      <c r="BH159" s="53">
        <v>295</v>
      </c>
      <c r="BI159" s="55"/>
      <c r="BJ159" s="55"/>
      <c r="BK159" s="53">
        <v>190.9</v>
      </c>
      <c r="BL159" s="53">
        <v>1.8</v>
      </c>
      <c r="BM159" s="53">
        <v>487.7</v>
      </c>
      <c r="BN159" s="53">
        <v>233.4</v>
      </c>
      <c r="BO159" s="55"/>
      <c r="BP159" s="55"/>
      <c r="BQ159" s="53">
        <v>109.8</v>
      </c>
      <c r="BR159" s="53">
        <v>3.9</v>
      </c>
      <c r="BS159" s="53">
        <v>347.09999999999997</v>
      </c>
      <c r="BT159" s="52" t="s">
        <v>264</v>
      </c>
      <c r="BU159" s="53">
        <v>22.2</v>
      </c>
      <c r="BV159" s="51">
        <v>327.9</v>
      </c>
      <c r="BW159" s="51">
        <v>102.6</v>
      </c>
      <c r="BX159" s="51">
        <v>431.5</v>
      </c>
      <c r="BY159" s="51">
        <v>57.8</v>
      </c>
      <c r="BZ159" s="51">
        <v>9.6999999999999993</v>
      </c>
      <c r="CA159" s="49">
        <v>67.5</v>
      </c>
      <c r="CB159" s="55"/>
      <c r="CC159" s="55"/>
      <c r="CD159" s="55"/>
      <c r="CE159" s="55"/>
      <c r="CF159" s="53">
        <v>120.2</v>
      </c>
      <c r="CG159" s="53">
        <v>167.5</v>
      </c>
      <c r="CH159" s="53">
        <v>18.100000000000001</v>
      </c>
      <c r="CI159" s="55"/>
      <c r="CJ159" s="55"/>
      <c r="CK159" s="55"/>
      <c r="CL159" s="55"/>
      <c r="CM159" s="55"/>
      <c r="CN159" s="53">
        <v>52</v>
      </c>
      <c r="CO159" s="52">
        <v>225.1</v>
      </c>
      <c r="CP159" s="53">
        <v>184.7</v>
      </c>
      <c r="CQ159" s="53">
        <v>40.4</v>
      </c>
      <c r="CR159" s="52" t="s">
        <v>264</v>
      </c>
      <c r="CS159" s="52">
        <v>72.7</v>
      </c>
      <c r="CT159" s="52">
        <v>49.1</v>
      </c>
      <c r="CU159" s="52">
        <v>23.6</v>
      </c>
      <c r="CV159" s="52">
        <v>39.299999999999997</v>
      </c>
      <c r="CW159" s="53">
        <v>12.8</v>
      </c>
      <c r="CX159" s="53">
        <v>26.5</v>
      </c>
      <c r="CY159" s="53" t="s">
        <v>264</v>
      </c>
      <c r="CZ159" s="53">
        <v>59.6</v>
      </c>
      <c r="DA159" s="52">
        <v>31.9</v>
      </c>
      <c r="DB159" s="53">
        <v>30.5</v>
      </c>
      <c r="DC159" s="53">
        <v>1.4</v>
      </c>
      <c r="DD159" s="55"/>
      <c r="DE159" s="55"/>
      <c r="DF159" s="55"/>
      <c r="DG159" s="53">
        <v>100.4</v>
      </c>
      <c r="DH159" s="55"/>
      <c r="DI159" s="53">
        <v>669.3</v>
      </c>
      <c r="DJ159" s="53">
        <v>236.5</v>
      </c>
      <c r="DK159" s="53">
        <v>618.4</v>
      </c>
      <c r="DL159" s="53">
        <v>155.80000000000001</v>
      </c>
      <c r="DM159" s="53">
        <v>223.5</v>
      </c>
      <c r="DN159" s="55"/>
      <c r="DO159" s="53">
        <v>212.2</v>
      </c>
      <c r="DP159" s="53">
        <v>236.4</v>
      </c>
      <c r="DQ159" s="55"/>
      <c r="DR159" s="55"/>
      <c r="DS159" s="53">
        <v>791.16600000000005</v>
      </c>
      <c r="DT159" s="53">
        <v>3416.1</v>
      </c>
      <c r="DU159" s="53">
        <v>-272.83399999999983</v>
      </c>
      <c r="DV159" s="53">
        <v>0</v>
      </c>
      <c r="DW159" s="55"/>
      <c r="DX159" s="55"/>
      <c r="DY159" s="55"/>
      <c r="DZ159" s="55"/>
      <c r="EA159" s="55"/>
      <c r="EB159" s="55"/>
      <c r="EC159" s="55"/>
      <c r="ED159" s="55"/>
      <c r="EE159" s="55"/>
      <c r="EF159" s="55"/>
      <c r="EG159" s="55"/>
      <c r="EH159" s="55"/>
      <c r="EI159" s="55"/>
      <c r="EJ159" s="55"/>
      <c r="EK159" s="55"/>
      <c r="EL159" s="55"/>
      <c r="EM159" s="55"/>
      <c r="EN159" s="55"/>
      <c r="EO159" s="55"/>
      <c r="EP159" s="55"/>
      <c r="EQ159" s="55"/>
      <c r="ER159" s="55"/>
      <c r="ES159" s="55"/>
      <c r="ET159" s="55"/>
      <c r="EU159" s="55"/>
      <c r="EV159" s="55"/>
      <c r="EW159" s="55"/>
      <c r="EX159" s="55"/>
      <c r="EY159" s="55"/>
      <c r="EZ159" s="55"/>
      <c r="FA159" s="55"/>
      <c r="FB159" s="55"/>
      <c r="FC159" s="55"/>
      <c r="FD159" s="55"/>
      <c r="FE159" s="55"/>
      <c r="FF159" s="55"/>
      <c r="FG159" s="55"/>
      <c r="FH159" s="55"/>
      <c r="FI159" s="55"/>
      <c r="FJ159" s="55"/>
      <c r="FK159" s="55"/>
      <c r="FL159" s="55"/>
      <c r="FM159" s="55"/>
      <c r="FN159" s="55"/>
      <c r="FO159" s="55"/>
      <c r="FP159" s="55"/>
      <c r="FQ159" s="55"/>
      <c r="FR159" s="55"/>
      <c r="FS159" s="55"/>
      <c r="FT159" s="55"/>
      <c r="FU159" s="55"/>
      <c r="FV159" s="55"/>
      <c r="FW159" s="55"/>
      <c r="FX159" s="55"/>
      <c r="FY159" s="55"/>
      <c r="FZ159" s="55"/>
      <c r="GA159" s="55"/>
      <c r="GB159" s="55"/>
      <c r="GC159" s="55"/>
      <c r="GD159" s="55"/>
      <c r="GE159" s="55"/>
      <c r="GF159" s="55"/>
      <c r="GG159" s="55"/>
      <c r="GH159" s="55"/>
      <c r="GI159" s="55"/>
      <c r="GJ159" s="55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3">
        <v>1095.5999999999999</v>
      </c>
      <c r="HA159" s="55"/>
      <c r="HB159" s="55"/>
      <c r="HC159" s="55"/>
      <c r="HD159" s="55"/>
      <c r="HE159" s="55"/>
      <c r="HF159" s="55"/>
      <c r="HG159" s="55"/>
      <c r="HH159" s="55"/>
      <c r="HI159" s="55"/>
      <c r="HJ159" s="55"/>
      <c r="HK159" s="55"/>
      <c r="HL159" s="55"/>
      <c r="HM159" s="55"/>
      <c r="HN159" s="55"/>
      <c r="HO159" s="55"/>
      <c r="HP159" s="55"/>
      <c r="HQ159" s="55"/>
      <c r="HR159" s="55"/>
      <c r="HS159" s="55"/>
      <c r="HT159" s="55"/>
      <c r="HU159" s="55"/>
      <c r="HV159" s="55"/>
      <c r="HW159" s="55"/>
      <c r="HX159" s="55"/>
      <c r="HY159" s="55"/>
      <c r="HZ159" s="55"/>
      <c r="IA159" s="55"/>
      <c r="IB159" s="55"/>
      <c r="IC159" s="55"/>
      <c r="ID159" s="55"/>
      <c r="IE159" s="55"/>
      <c r="IF159" s="55"/>
      <c r="IG159" s="55"/>
      <c r="IH159" s="55"/>
      <c r="II159" s="55"/>
      <c r="IJ159" s="55"/>
      <c r="IK159" s="55"/>
      <c r="IL159" s="55"/>
      <c r="IM159" s="55"/>
      <c r="IN159" s="53">
        <v>72.599999999999994</v>
      </c>
      <c r="IY159" s="48">
        <f t="shared" si="8"/>
        <v>47.389127952928781</v>
      </c>
      <c r="IZ159" s="48">
        <f>IY159-'NOPA Crush'!J159</f>
        <v>0.36912795292877831</v>
      </c>
      <c r="JB159" s="63">
        <f t="shared" si="6"/>
        <v>10.872047071221569</v>
      </c>
      <c r="JC159" s="64">
        <f>JB159-'NOPA Crush'!O159</f>
        <v>-2.795292877843103E-2</v>
      </c>
      <c r="JD159" s="65"/>
      <c r="JE159" s="67">
        <f t="shared" si="7"/>
        <v>2076.2999999999997</v>
      </c>
      <c r="JF159" s="68">
        <f>'NOPA Crush'!Q159/'Census Crush'!JE159</f>
        <v>0.38335885950970477</v>
      </c>
    </row>
    <row r="160" spans="1:266">
      <c r="A160" s="39">
        <v>33909</v>
      </c>
      <c r="B160" s="51">
        <v>3393.7</v>
      </c>
      <c r="C160" s="51">
        <v>4121.8999999999996</v>
      </c>
      <c r="D160" s="51">
        <v>353.3</v>
      </c>
      <c r="E160" s="51">
        <v>2000.4</v>
      </c>
      <c r="F160" s="51">
        <v>24</v>
      </c>
      <c r="G160" s="51">
        <v>79.3</v>
      </c>
      <c r="H160" s="51">
        <v>126.2</v>
      </c>
      <c r="I160" s="51" t="s">
        <v>264</v>
      </c>
      <c r="J160" s="51" t="s">
        <v>264</v>
      </c>
      <c r="K160" s="51">
        <v>1200.3</v>
      </c>
      <c r="L160" s="49">
        <v>2105.1999999999998</v>
      </c>
      <c r="M160" s="51">
        <v>1885</v>
      </c>
      <c r="N160" s="51">
        <v>220.2</v>
      </c>
      <c r="O160" s="51">
        <v>110.2</v>
      </c>
      <c r="P160" s="51">
        <v>100.1</v>
      </c>
      <c r="Q160" s="51">
        <v>43.7</v>
      </c>
      <c r="R160" s="51">
        <v>56.4</v>
      </c>
      <c r="S160" s="51"/>
      <c r="T160" s="51">
        <v>19.2</v>
      </c>
      <c r="U160" s="51">
        <v>62.5</v>
      </c>
      <c r="V160" s="51">
        <v>56.6</v>
      </c>
      <c r="W160" s="51">
        <v>5.9</v>
      </c>
      <c r="X160" s="51">
        <v>59.9</v>
      </c>
      <c r="Y160" s="51">
        <v>7.8</v>
      </c>
      <c r="Z160" s="49">
        <v>90.7</v>
      </c>
      <c r="AA160" s="51">
        <v>81.8</v>
      </c>
      <c r="AB160" s="51">
        <v>8.9</v>
      </c>
      <c r="AC160" s="51" t="s">
        <v>264</v>
      </c>
      <c r="AD160" s="51">
        <v>19.899999999999999</v>
      </c>
      <c r="AE160" s="51"/>
      <c r="AF160" s="51">
        <v>73.8</v>
      </c>
      <c r="AG160" s="51">
        <v>50.5</v>
      </c>
      <c r="AH160" s="51">
        <v>23.3</v>
      </c>
      <c r="AI160" s="51">
        <v>151.80000000000001</v>
      </c>
      <c r="AJ160" s="51"/>
      <c r="AK160" s="51"/>
      <c r="AL160" s="51">
        <v>201.1</v>
      </c>
      <c r="AM160" s="51">
        <v>158.69999999999999</v>
      </c>
      <c r="AN160" s="51">
        <v>42.4</v>
      </c>
      <c r="AO160" s="51">
        <v>2543.9</v>
      </c>
      <c r="AP160" s="51">
        <v>368.9</v>
      </c>
      <c r="AQ160" s="51">
        <v>153.4</v>
      </c>
      <c r="AR160" s="51">
        <v>42.4</v>
      </c>
      <c r="AS160" s="51">
        <v>150.19999999999999</v>
      </c>
      <c r="AT160" s="51">
        <v>66.099999999999994</v>
      </c>
      <c r="AU160" s="51">
        <v>100.1</v>
      </c>
      <c r="AV160" s="51">
        <v>27.9</v>
      </c>
      <c r="AW160" s="51">
        <v>13.7</v>
      </c>
      <c r="AX160" s="51">
        <v>6.9</v>
      </c>
      <c r="AY160" s="51">
        <v>42.8</v>
      </c>
      <c r="AZ160" s="51">
        <v>1.8</v>
      </c>
      <c r="BA160" s="51">
        <v>0.8</v>
      </c>
      <c r="BB160" s="51">
        <v>0.3</v>
      </c>
      <c r="BC160" s="51"/>
      <c r="BD160" s="53">
        <v>119.2</v>
      </c>
      <c r="BE160" s="53">
        <v>42.2</v>
      </c>
      <c r="BF160" s="55"/>
      <c r="BG160" s="55"/>
      <c r="BH160" s="53">
        <v>287.5</v>
      </c>
      <c r="BI160" s="55"/>
      <c r="BJ160" s="55"/>
      <c r="BK160" s="53">
        <v>182.3</v>
      </c>
      <c r="BL160" s="53">
        <v>1.8</v>
      </c>
      <c r="BM160" s="53">
        <v>471.5</v>
      </c>
      <c r="BN160" s="53">
        <v>234.1</v>
      </c>
      <c r="BO160" s="55"/>
      <c r="BP160" s="55"/>
      <c r="BQ160" s="53">
        <v>110.4</v>
      </c>
      <c r="BR160" s="53">
        <v>5.0999999999999996</v>
      </c>
      <c r="BS160" s="53">
        <v>349.6</v>
      </c>
      <c r="BT160" s="52" t="s">
        <v>264</v>
      </c>
      <c r="BU160" s="53">
        <v>24.8</v>
      </c>
      <c r="BV160" s="51">
        <v>318.60000000000002</v>
      </c>
      <c r="BW160" s="51">
        <v>100.9</v>
      </c>
      <c r="BX160" s="51">
        <v>420.5</v>
      </c>
      <c r="BY160" s="51">
        <v>64.099999999999994</v>
      </c>
      <c r="BZ160" s="51">
        <v>9.3000000000000007</v>
      </c>
      <c r="CA160" s="49">
        <v>73.399999999999991</v>
      </c>
      <c r="CB160" s="55"/>
      <c r="CC160" s="55"/>
      <c r="CD160" s="55"/>
      <c r="CE160" s="55"/>
      <c r="CF160" s="53">
        <v>114.7</v>
      </c>
      <c r="CG160" s="53">
        <v>143.69999999999999</v>
      </c>
      <c r="CH160" s="53">
        <v>13.8</v>
      </c>
      <c r="CI160" s="55"/>
      <c r="CJ160" s="55"/>
      <c r="CK160" s="55"/>
      <c r="CL160" s="55"/>
      <c r="CM160" s="55"/>
      <c r="CN160" s="53">
        <v>52.9</v>
      </c>
      <c r="CO160" s="52">
        <v>278.8</v>
      </c>
      <c r="CP160" s="53">
        <v>227.9</v>
      </c>
      <c r="CQ160" s="53">
        <v>50.9</v>
      </c>
      <c r="CR160" s="52" t="s">
        <v>264</v>
      </c>
      <c r="CS160" s="52">
        <v>67.900000000000006</v>
      </c>
      <c r="CT160" s="52">
        <v>47.7</v>
      </c>
      <c r="CU160" s="52">
        <v>20.2</v>
      </c>
      <c r="CV160" s="52">
        <v>43.4</v>
      </c>
      <c r="CW160" s="53">
        <v>14.7</v>
      </c>
      <c r="CX160" s="53">
        <v>28.7</v>
      </c>
      <c r="CY160" s="53" t="s">
        <v>264</v>
      </c>
      <c r="CZ160" s="53">
        <v>87.3</v>
      </c>
      <c r="DA160" s="52">
        <v>30.7</v>
      </c>
      <c r="DB160" s="53">
        <v>28.7</v>
      </c>
      <c r="DC160" s="53">
        <v>2</v>
      </c>
      <c r="DD160" s="55"/>
      <c r="DE160" s="55"/>
      <c r="DF160" s="55"/>
      <c r="DG160" s="53">
        <v>118.4</v>
      </c>
      <c r="DH160" s="55"/>
      <c r="DI160" s="53">
        <v>645.4</v>
      </c>
      <c r="DJ160" s="53">
        <v>216</v>
      </c>
      <c r="DK160" s="53">
        <v>612.5</v>
      </c>
      <c r="DL160" s="53">
        <v>148.19999999999999</v>
      </c>
      <c r="DM160" s="53">
        <v>218.8</v>
      </c>
      <c r="DN160" s="55"/>
      <c r="DO160" s="53">
        <v>208.7</v>
      </c>
      <c r="DP160" s="53">
        <v>225.4</v>
      </c>
      <c r="DQ160" s="55"/>
      <c r="DR160" s="55"/>
      <c r="DS160" s="53">
        <v>823.33100000000002</v>
      </c>
      <c r="DT160" s="53">
        <v>3393.7</v>
      </c>
      <c r="DU160" s="53">
        <v>-295.36899999999969</v>
      </c>
      <c r="DV160" s="53">
        <v>0</v>
      </c>
      <c r="DW160" s="55"/>
      <c r="DX160" s="55"/>
      <c r="DY160" s="55"/>
      <c r="DZ160" s="55"/>
      <c r="EA160" s="55"/>
      <c r="EB160" s="55"/>
      <c r="EC160" s="55"/>
      <c r="ED160" s="55"/>
      <c r="EE160" s="55"/>
      <c r="EF160" s="55"/>
      <c r="EG160" s="55"/>
      <c r="EH160" s="55"/>
      <c r="EI160" s="55"/>
      <c r="EJ160" s="55"/>
      <c r="EK160" s="55"/>
      <c r="EL160" s="55"/>
      <c r="EM160" s="55"/>
      <c r="EN160" s="55"/>
      <c r="EO160" s="55"/>
      <c r="EP160" s="55"/>
      <c r="EQ160" s="55"/>
      <c r="ER160" s="55"/>
      <c r="ES160" s="55"/>
      <c r="ET160" s="55"/>
      <c r="EU160" s="55"/>
      <c r="EV160" s="55"/>
      <c r="EW160" s="55"/>
      <c r="EX160" s="55"/>
      <c r="EY160" s="55"/>
      <c r="EZ160" s="55"/>
      <c r="FA160" s="55"/>
      <c r="FB160" s="55"/>
      <c r="FC160" s="55"/>
      <c r="FD160" s="55"/>
      <c r="FE160" s="55"/>
      <c r="FF160" s="55"/>
      <c r="FG160" s="55"/>
      <c r="FH160" s="55"/>
      <c r="FI160" s="55"/>
      <c r="FJ160" s="55"/>
      <c r="FK160" s="55"/>
      <c r="FL160" s="55"/>
      <c r="FM160" s="55"/>
      <c r="FN160" s="55"/>
      <c r="FO160" s="55"/>
      <c r="FP160" s="55"/>
      <c r="FQ160" s="55"/>
      <c r="FR160" s="55"/>
      <c r="FS160" s="55"/>
      <c r="FT160" s="55"/>
      <c r="FU160" s="55"/>
      <c r="FV160" s="55"/>
      <c r="FW160" s="55"/>
      <c r="FX160" s="55"/>
      <c r="FY160" s="55"/>
      <c r="FZ160" s="55"/>
      <c r="GA160" s="55"/>
      <c r="GB160" s="55"/>
      <c r="GC160" s="55"/>
      <c r="GD160" s="55"/>
      <c r="GE160" s="55"/>
      <c r="GF160" s="55"/>
      <c r="GG160" s="55"/>
      <c r="GH160" s="55"/>
      <c r="GI160" s="55"/>
      <c r="GJ160" s="55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3">
        <v>999.4</v>
      </c>
      <c r="HA160" s="55"/>
      <c r="HB160" s="55"/>
      <c r="HC160" s="55"/>
      <c r="HD160" s="55"/>
      <c r="HE160" s="55"/>
      <c r="HF160" s="55"/>
      <c r="HG160" s="55"/>
      <c r="HH160" s="55"/>
      <c r="HI160" s="55"/>
      <c r="HJ160" s="55"/>
      <c r="HK160" s="55"/>
      <c r="HL160" s="55"/>
      <c r="HM160" s="55"/>
      <c r="HN160" s="55"/>
      <c r="HO160" s="55"/>
      <c r="HP160" s="55"/>
      <c r="HQ160" s="55"/>
      <c r="HR160" s="55"/>
      <c r="HS160" s="55"/>
      <c r="HT160" s="55"/>
      <c r="HU160" s="55"/>
      <c r="HV160" s="55"/>
      <c r="HW160" s="55"/>
      <c r="HX160" s="55"/>
      <c r="HY160" s="55"/>
      <c r="HZ160" s="55"/>
      <c r="IA160" s="55"/>
      <c r="IB160" s="55"/>
      <c r="IC160" s="55"/>
      <c r="ID160" s="55"/>
      <c r="IE160" s="55"/>
      <c r="IF160" s="55"/>
      <c r="IG160" s="55"/>
      <c r="IH160" s="55"/>
      <c r="II160" s="55"/>
      <c r="IJ160" s="55"/>
      <c r="IK160" s="55"/>
      <c r="IL160" s="55"/>
      <c r="IM160" s="55"/>
      <c r="IN160" s="53">
        <v>90.2</v>
      </c>
      <c r="IY160" s="48">
        <f t="shared" si="8"/>
        <v>47.687774405516109</v>
      </c>
      <c r="IZ160" s="48">
        <f>IY160-'NOPA Crush'!J160</f>
        <v>7.7774405516109368E-2</v>
      </c>
      <c r="JB160" s="63">
        <f t="shared" si="6"/>
        <v>10.6105430650912</v>
      </c>
      <c r="JC160" s="64">
        <f>JB160-'NOPA Crush'!O160</f>
        <v>-0.10945693490880082</v>
      </c>
      <c r="JD160" s="65"/>
      <c r="JE160" s="67">
        <f t="shared" si="7"/>
        <v>2105.1999999999998</v>
      </c>
      <c r="JF160" s="68">
        <f>'NOPA Crush'!Q160/'Census Crush'!JE160</f>
        <v>0.37474444233327003</v>
      </c>
    </row>
    <row r="161" spans="1:266">
      <c r="A161" s="39">
        <v>33939</v>
      </c>
      <c r="B161" s="51">
        <v>3486</v>
      </c>
      <c r="C161" s="51">
        <v>3573.8</v>
      </c>
      <c r="D161" s="51">
        <v>372.1</v>
      </c>
      <c r="E161" s="51">
        <v>2245.3000000000002</v>
      </c>
      <c r="F161" s="51">
        <v>19.8</v>
      </c>
      <c r="G161" s="51">
        <v>123.4</v>
      </c>
      <c r="H161" s="51">
        <v>89</v>
      </c>
      <c r="I161" s="51" t="s">
        <v>264</v>
      </c>
      <c r="J161" s="51" t="s">
        <v>264</v>
      </c>
      <c r="K161" s="51">
        <v>1238.5999999999999</v>
      </c>
      <c r="L161" s="49">
        <v>2280.1</v>
      </c>
      <c r="M161" s="51">
        <v>2041.5</v>
      </c>
      <c r="N161" s="51">
        <v>238.6</v>
      </c>
      <c r="O161" s="51">
        <v>117.6</v>
      </c>
      <c r="P161" s="51">
        <v>110.4</v>
      </c>
      <c r="Q161" s="51">
        <v>38.9</v>
      </c>
      <c r="R161" s="51">
        <v>71.5</v>
      </c>
      <c r="S161" s="51"/>
      <c r="T161" s="51">
        <v>15.6</v>
      </c>
      <c r="U161" s="51">
        <v>58.1</v>
      </c>
      <c r="V161" s="51">
        <v>50.2</v>
      </c>
      <c r="W161" s="51">
        <v>7.9</v>
      </c>
      <c r="X161" s="51">
        <v>96.5</v>
      </c>
      <c r="Y161" s="51">
        <v>6.6</v>
      </c>
      <c r="Z161" s="49">
        <v>110.89999999999999</v>
      </c>
      <c r="AA161" s="51">
        <v>101.6</v>
      </c>
      <c r="AB161" s="51">
        <v>9.3000000000000007</v>
      </c>
      <c r="AC161" s="51" t="s">
        <v>264</v>
      </c>
      <c r="AD161" s="51">
        <v>15.8</v>
      </c>
      <c r="AE161" s="51"/>
      <c r="AF161" s="51">
        <v>67.599999999999994</v>
      </c>
      <c r="AG161" s="51">
        <v>51.2</v>
      </c>
      <c r="AH161" s="51">
        <v>16.399999999999999</v>
      </c>
      <c r="AI161" s="51">
        <v>151.6</v>
      </c>
      <c r="AJ161" s="51"/>
      <c r="AK161" s="51"/>
      <c r="AL161" s="51">
        <v>225.3</v>
      </c>
      <c r="AM161" s="51">
        <v>185.8</v>
      </c>
      <c r="AN161" s="51">
        <v>39.5</v>
      </c>
      <c r="AO161" s="51">
        <v>2595.1999999999998</v>
      </c>
      <c r="AP161" s="51">
        <v>321.3</v>
      </c>
      <c r="AQ161" s="51">
        <v>168.3</v>
      </c>
      <c r="AR161" s="51">
        <v>39.5</v>
      </c>
      <c r="AS161" s="51">
        <v>160.5</v>
      </c>
      <c r="AT161" s="51">
        <v>49.6</v>
      </c>
      <c r="AU161" s="51">
        <v>111.9</v>
      </c>
      <c r="AV161" s="51">
        <v>37</v>
      </c>
      <c r="AW161" s="51">
        <v>11.3</v>
      </c>
      <c r="AX161" s="51">
        <v>2.4</v>
      </c>
      <c r="AY161" s="51">
        <v>60.3</v>
      </c>
      <c r="AZ161" s="51">
        <v>4.9000000000000004</v>
      </c>
      <c r="BA161" s="51">
        <v>0</v>
      </c>
      <c r="BB161" s="51">
        <v>0.3</v>
      </c>
      <c r="BC161" s="51"/>
      <c r="BD161" s="53">
        <v>112.4</v>
      </c>
      <c r="BE161" s="53">
        <v>33.299999999999997</v>
      </c>
      <c r="BF161" s="55"/>
      <c r="BG161" s="55"/>
      <c r="BH161" s="53">
        <v>288.7</v>
      </c>
      <c r="BI161" s="55"/>
      <c r="BJ161" s="55"/>
      <c r="BK161" s="53">
        <v>190.7</v>
      </c>
      <c r="BL161" s="53">
        <v>1.9</v>
      </c>
      <c r="BM161" s="53">
        <v>481.2</v>
      </c>
      <c r="BN161" s="53">
        <v>219.2</v>
      </c>
      <c r="BO161" s="55"/>
      <c r="BP161" s="55"/>
      <c r="BQ161" s="53">
        <v>85.5</v>
      </c>
      <c r="BR161" s="53">
        <v>3.8</v>
      </c>
      <c r="BS161" s="53">
        <v>308.5</v>
      </c>
      <c r="BT161" s="52" t="s">
        <v>264</v>
      </c>
      <c r="BU161" s="53">
        <v>22.7</v>
      </c>
      <c r="BV161" s="51">
        <v>322.7</v>
      </c>
      <c r="BW161" s="51">
        <v>111.4</v>
      </c>
      <c r="BX161" s="51">
        <v>434.9</v>
      </c>
      <c r="BY161" s="51">
        <v>51.8</v>
      </c>
      <c r="BZ161" s="51">
        <v>10.1</v>
      </c>
      <c r="CA161" s="49">
        <v>61.9</v>
      </c>
      <c r="CB161" s="55"/>
      <c r="CC161" s="55"/>
      <c r="CD161" s="55"/>
      <c r="CE161" s="55"/>
      <c r="CF161" s="53">
        <v>122.7</v>
      </c>
      <c r="CG161" s="53">
        <v>137.80000000000001</v>
      </c>
      <c r="CH161" s="53">
        <v>14.1</v>
      </c>
      <c r="CI161" s="55"/>
      <c r="CJ161" s="55"/>
      <c r="CK161" s="55"/>
      <c r="CL161" s="55"/>
      <c r="CM161" s="55"/>
      <c r="CN161" s="53">
        <v>50.7</v>
      </c>
      <c r="CO161" s="52">
        <v>355.7</v>
      </c>
      <c r="CP161" s="53">
        <v>301.8</v>
      </c>
      <c r="CQ161" s="53">
        <v>53.9</v>
      </c>
      <c r="CR161" s="52" t="s">
        <v>264</v>
      </c>
      <c r="CS161" s="52">
        <v>61.5</v>
      </c>
      <c r="CT161" s="52">
        <v>39.9</v>
      </c>
      <c r="CU161" s="52">
        <v>21.6</v>
      </c>
      <c r="CV161" s="52">
        <v>37.200000000000003</v>
      </c>
      <c r="CW161" s="53">
        <v>14.4</v>
      </c>
      <c r="CX161" s="53">
        <v>22.8</v>
      </c>
      <c r="CY161" s="53" t="s">
        <v>264</v>
      </c>
      <c r="CZ161" s="53">
        <v>76.099999999999994</v>
      </c>
      <c r="DA161" s="52">
        <v>24.299999999999997</v>
      </c>
      <c r="DB161" s="53">
        <v>22.9</v>
      </c>
      <c r="DC161" s="53">
        <v>1.4</v>
      </c>
      <c r="DD161" s="55"/>
      <c r="DE161" s="55"/>
      <c r="DF161" s="55"/>
      <c r="DG161" s="53">
        <v>123.2</v>
      </c>
      <c r="DH161" s="55"/>
      <c r="DI161" s="53">
        <v>635</v>
      </c>
      <c r="DJ161" s="53">
        <v>229.7</v>
      </c>
      <c r="DK161" s="53">
        <v>643.4</v>
      </c>
      <c r="DL161" s="53">
        <v>165.3</v>
      </c>
      <c r="DM161" s="53">
        <v>221</v>
      </c>
      <c r="DN161" s="55"/>
      <c r="DO161" s="53">
        <v>210.7</v>
      </c>
      <c r="DP161" s="53">
        <v>235.1</v>
      </c>
      <c r="DQ161" s="55"/>
      <c r="DR161" s="55"/>
      <c r="DS161" s="53">
        <v>845.82500000000005</v>
      </c>
      <c r="DT161" s="53">
        <v>3486</v>
      </c>
      <c r="DU161" s="53">
        <v>-299.97500000000036</v>
      </c>
      <c r="DV161" s="53">
        <v>0</v>
      </c>
      <c r="DW161" s="55"/>
      <c r="DX161" s="55"/>
      <c r="DY161" s="55"/>
      <c r="DZ161" s="55"/>
      <c r="EA161" s="55"/>
      <c r="EB161" s="55"/>
      <c r="EC161" s="55"/>
      <c r="ED161" s="55"/>
      <c r="EE161" s="55"/>
      <c r="EF161" s="55"/>
      <c r="EG161" s="55"/>
      <c r="EH161" s="55"/>
      <c r="EI161" s="55"/>
      <c r="EJ161" s="55"/>
      <c r="EK161" s="55"/>
      <c r="EL161" s="55"/>
      <c r="EM161" s="55"/>
      <c r="EN161" s="55"/>
      <c r="EO161" s="55"/>
      <c r="EP161" s="55"/>
      <c r="EQ161" s="55"/>
      <c r="ER161" s="55"/>
      <c r="ES161" s="55"/>
      <c r="ET161" s="55"/>
      <c r="EU161" s="55"/>
      <c r="EV161" s="55"/>
      <c r="EW161" s="55"/>
      <c r="EX161" s="55"/>
      <c r="EY161" s="55"/>
      <c r="EZ161" s="55"/>
      <c r="FA161" s="55"/>
      <c r="FB161" s="55"/>
      <c r="FC161" s="55"/>
      <c r="FD161" s="55"/>
      <c r="FE161" s="55"/>
      <c r="FF161" s="55"/>
      <c r="FG161" s="55"/>
      <c r="FH161" s="55"/>
      <c r="FI161" s="55"/>
      <c r="FJ161" s="55"/>
      <c r="FK161" s="55"/>
      <c r="FL161" s="55"/>
      <c r="FM161" s="55"/>
      <c r="FN161" s="55"/>
      <c r="FO161" s="55"/>
      <c r="FP161" s="55"/>
      <c r="FQ161" s="55"/>
      <c r="FR161" s="55"/>
      <c r="FS161" s="55"/>
      <c r="FT161" s="55"/>
      <c r="FU161" s="55"/>
      <c r="FV161" s="55"/>
      <c r="FW161" s="55"/>
      <c r="FX161" s="55"/>
      <c r="FY161" s="55"/>
      <c r="FZ161" s="55"/>
      <c r="GA161" s="55"/>
      <c r="GB161" s="55"/>
      <c r="GC161" s="55"/>
      <c r="GD161" s="55"/>
      <c r="GE161" s="55"/>
      <c r="GF161" s="55"/>
      <c r="GG161" s="55"/>
      <c r="GH161" s="55"/>
      <c r="GI161" s="55"/>
      <c r="GJ161" s="55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3">
        <v>951</v>
      </c>
      <c r="HA161" s="55"/>
      <c r="HB161" s="55"/>
      <c r="HC161" s="55"/>
      <c r="HD161" s="55"/>
      <c r="HE161" s="55"/>
      <c r="HF161" s="55"/>
      <c r="HG161" s="55"/>
      <c r="HH161" s="55"/>
      <c r="HI161" s="55"/>
      <c r="HJ161" s="55"/>
      <c r="HK161" s="55"/>
      <c r="HL161" s="55"/>
      <c r="HM161" s="55"/>
      <c r="HN161" s="55"/>
      <c r="HO161" s="55"/>
      <c r="HP161" s="55"/>
      <c r="HQ161" s="55"/>
      <c r="HR161" s="55"/>
      <c r="HS161" s="55"/>
      <c r="HT161" s="55"/>
      <c r="HU161" s="55"/>
      <c r="HV161" s="55"/>
      <c r="HW161" s="55"/>
      <c r="HX161" s="55"/>
      <c r="HY161" s="55"/>
      <c r="HZ161" s="55"/>
      <c r="IA161" s="55"/>
      <c r="IB161" s="55"/>
      <c r="IC161" s="55"/>
      <c r="ID161" s="55"/>
      <c r="IE161" s="55"/>
      <c r="IF161" s="55"/>
      <c r="IG161" s="55"/>
      <c r="IH161" s="55"/>
      <c r="II161" s="55"/>
      <c r="IJ161" s="55"/>
      <c r="IK161" s="55"/>
      <c r="IL161" s="55"/>
      <c r="IM161" s="55"/>
      <c r="IN161" s="53">
        <v>91.9</v>
      </c>
      <c r="IY161" s="48">
        <f t="shared" si="8"/>
        <v>47.564543889845091</v>
      </c>
      <c r="IZ161" s="48">
        <f>IY161-'NOPA Crush'!J161</f>
        <v>-0.32545611015491005</v>
      </c>
      <c r="JB161" s="63">
        <f t="shared" si="6"/>
        <v>10.659208261617898</v>
      </c>
      <c r="JC161" s="64">
        <f>JB161-'NOPA Crush'!O161</f>
        <v>-0.1107917383821011</v>
      </c>
      <c r="JD161" s="65"/>
      <c r="JE161" s="67">
        <f t="shared" si="7"/>
        <v>2280.1</v>
      </c>
      <c r="JF161" s="68">
        <f>'NOPA Crush'!Q161/'Census Crush'!JE161</f>
        <v>0.3644186658479891</v>
      </c>
    </row>
    <row r="162" spans="1:266">
      <c r="A162" s="39">
        <v>33970</v>
      </c>
      <c r="B162" s="51">
        <v>3505.29</v>
      </c>
      <c r="C162" s="51">
        <v>3335.5</v>
      </c>
      <c r="D162" s="51">
        <v>413.3</v>
      </c>
      <c r="E162" s="51">
        <v>2040.1</v>
      </c>
      <c r="F162" s="51">
        <v>21.1</v>
      </c>
      <c r="G162" s="51">
        <v>127.8</v>
      </c>
      <c r="H162" s="51">
        <v>82.4</v>
      </c>
      <c r="I162" s="51" t="s">
        <v>264</v>
      </c>
      <c r="J162" s="51" t="s">
        <v>264</v>
      </c>
      <c r="K162" s="51">
        <v>1246.5999999999999</v>
      </c>
      <c r="L162" s="49">
        <v>2410.1000000000004</v>
      </c>
      <c r="M162" s="51">
        <v>2177.8000000000002</v>
      </c>
      <c r="N162" s="51">
        <v>232.3</v>
      </c>
      <c r="O162" s="51">
        <v>134.69999999999999</v>
      </c>
      <c r="P162" s="51">
        <v>125.30000000000001</v>
      </c>
      <c r="Q162" s="51">
        <v>42.6</v>
      </c>
      <c r="R162" s="51">
        <v>82.7</v>
      </c>
      <c r="S162" s="51"/>
      <c r="T162" s="51">
        <v>16.899999999999999</v>
      </c>
      <c r="U162" s="51">
        <v>58.7</v>
      </c>
      <c r="V162" s="51">
        <v>51.5</v>
      </c>
      <c r="W162" s="51">
        <v>7.2</v>
      </c>
      <c r="X162" s="51">
        <v>98.3</v>
      </c>
      <c r="Y162" s="51">
        <v>2.5</v>
      </c>
      <c r="Z162" s="49">
        <v>109.30000000000001</v>
      </c>
      <c r="AA162" s="51">
        <v>96.9</v>
      </c>
      <c r="AB162" s="51">
        <v>12.4</v>
      </c>
      <c r="AC162" s="51" t="s">
        <v>264</v>
      </c>
      <c r="AD162" s="51">
        <v>17.100000000000001</v>
      </c>
      <c r="AE162" s="51"/>
      <c r="AF162" s="51">
        <v>82.6</v>
      </c>
      <c r="AG162" s="51">
        <v>61.1</v>
      </c>
      <c r="AH162" s="51">
        <v>21.5</v>
      </c>
      <c r="AI162" s="51">
        <v>135.5</v>
      </c>
      <c r="AJ162" s="51"/>
      <c r="AK162" s="51"/>
      <c r="AL162" s="51">
        <v>206.8</v>
      </c>
      <c r="AM162" s="51">
        <v>175.4</v>
      </c>
      <c r="AN162" s="51">
        <v>31.4</v>
      </c>
      <c r="AO162" s="51">
        <v>2614.6</v>
      </c>
      <c r="AP162" s="51">
        <v>395.2</v>
      </c>
      <c r="AQ162" s="51">
        <v>166.5</v>
      </c>
      <c r="AR162" s="51">
        <v>44.8</v>
      </c>
      <c r="AS162" s="51">
        <v>176.2</v>
      </c>
      <c r="AT162" s="51">
        <v>64.400000000000006</v>
      </c>
      <c r="AU162" s="51">
        <v>118.5</v>
      </c>
      <c r="AV162" s="51">
        <v>51.2</v>
      </c>
      <c r="AW162" s="51">
        <v>11.8</v>
      </c>
      <c r="AX162" s="51">
        <v>3.1</v>
      </c>
      <c r="AY162" s="51">
        <v>64.3</v>
      </c>
      <c r="AZ162" s="51">
        <v>8.6</v>
      </c>
      <c r="BA162" s="51" t="s">
        <v>264</v>
      </c>
      <c r="BB162" s="51" t="s">
        <v>264</v>
      </c>
      <c r="BC162" s="51"/>
      <c r="BD162" s="53">
        <v>117.7</v>
      </c>
      <c r="BE162" s="53">
        <v>41.3</v>
      </c>
      <c r="BF162" s="55"/>
      <c r="BG162" s="55"/>
      <c r="BH162" s="53">
        <v>323.60000000000002</v>
      </c>
      <c r="BI162" s="55"/>
      <c r="BJ162" s="55"/>
      <c r="BK162" s="53">
        <v>211.5</v>
      </c>
      <c r="BL162" s="53">
        <v>2.1</v>
      </c>
      <c r="BM162" s="53">
        <v>537.20000000000005</v>
      </c>
      <c r="BN162" s="53">
        <v>265.89999999999998</v>
      </c>
      <c r="BO162" s="55"/>
      <c r="BP162" s="55"/>
      <c r="BQ162" s="53">
        <v>86.9</v>
      </c>
      <c r="BR162" s="53">
        <v>4.5999999999999996</v>
      </c>
      <c r="BS162" s="53">
        <v>357.4</v>
      </c>
      <c r="BT162" s="52" t="s">
        <v>264</v>
      </c>
      <c r="BU162" s="53">
        <v>25.9</v>
      </c>
      <c r="BV162" s="51">
        <v>367.5</v>
      </c>
      <c r="BW162" s="51">
        <v>112.4</v>
      </c>
      <c r="BX162" s="51">
        <v>420.9</v>
      </c>
      <c r="BY162" s="51">
        <v>44.6</v>
      </c>
      <c r="BZ162" s="51">
        <v>10.8</v>
      </c>
      <c r="CA162" s="49">
        <v>55.400000000000006</v>
      </c>
      <c r="CB162" s="55"/>
      <c r="CC162" s="55"/>
      <c r="CD162" s="55"/>
      <c r="CE162" s="55"/>
      <c r="CF162" s="53">
        <v>119.4</v>
      </c>
      <c r="CG162" s="53">
        <v>162.5</v>
      </c>
      <c r="CH162" s="53">
        <v>14</v>
      </c>
      <c r="CI162" s="55"/>
      <c r="CJ162" s="55"/>
      <c r="CK162" s="55"/>
      <c r="CL162" s="55"/>
      <c r="CM162" s="55"/>
      <c r="CN162" s="53">
        <v>56.3</v>
      </c>
      <c r="CO162" s="52">
        <v>406.7</v>
      </c>
      <c r="CP162" s="53">
        <v>363.4</v>
      </c>
      <c r="CQ162" s="53">
        <v>43.3</v>
      </c>
      <c r="CR162" s="52" t="s">
        <v>264</v>
      </c>
      <c r="CS162" s="52">
        <v>64.400000000000006</v>
      </c>
      <c r="CT162" s="52">
        <v>44.4</v>
      </c>
      <c r="CU162" s="52">
        <v>20</v>
      </c>
      <c r="CV162" s="52">
        <v>45.4</v>
      </c>
      <c r="CW162" s="53">
        <v>13</v>
      </c>
      <c r="CX162" s="53">
        <v>32.4</v>
      </c>
      <c r="CY162" s="53" t="s">
        <v>264</v>
      </c>
      <c r="CZ162" s="53">
        <v>73.400000000000006</v>
      </c>
      <c r="DA162" s="52">
        <v>17.8</v>
      </c>
      <c r="DB162" s="53">
        <v>16.600000000000001</v>
      </c>
      <c r="DC162" s="53">
        <v>1.2</v>
      </c>
      <c r="DD162" s="55"/>
      <c r="DE162" s="55"/>
      <c r="DF162" s="55"/>
      <c r="DG162" s="53">
        <v>125.11499999999999</v>
      </c>
      <c r="DH162" s="55"/>
      <c r="DI162" s="53">
        <v>662.60299999999995</v>
      </c>
      <c r="DJ162" s="53">
        <v>224.78299999999999</v>
      </c>
      <c r="DK162" s="53">
        <v>639.36699999999996</v>
      </c>
      <c r="DL162" s="53">
        <v>153.41499999999999</v>
      </c>
      <c r="DM162" s="53">
        <v>225.40600000000001</v>
      </c>
      <c r="DN162" s="55"/>
      <c r="DO162" s="53">
        <v>202.72800000000001</v>
      </c>
      <c r="DP162" s="53">
        <v>229.81200000000001</v>
      </c>
      <c r="DQ162" s="55"/>
      <c r="DR162" s="55"/>
      <c r="DS162" s="53">
        <v>863.37199999999996</v>
      </c>
      <c r="DT162" s="53">
        <v>3505.2890000000002</v>
      </c>
      <c r="DU162" s="53">
        <v>-303.80300000000079</v>
      </c>
      <c r="DV162" s="53">
        <v>-9.9999999974897946E-4</v>
      </c>
      <c r="DW162" s="55"/>
      <c r="DX162" s="55"/>
      <c r="DY162" s="55"/>
      <c r="DZ162" s="55"/>
      <c r="EA162" s="55"/>
      <c r="EB162" s="55"/>
      <c r="EC162" s="55"/>
      <c r="ED162" s="55"/>
      <c r="EE162" s="55"/>
      <c r="EF162" s="55"/>
      <c r="EG162" s="55"/>
      <c r="EH162" s="55"/>
      <c r="EI162" s="55"/>
      <c r="EJ162" s="55"/>
      <c r="EK162" s="55"/>
      <c r="EL162" s="55"/>
      <c r="EM162" s="55"/>
      <c r="EN162" s="55"/>
      <c r="EO162" s="55"/>
      <c r="EP162" s="55"/>
      <c r="EQ162" s="55"/>
      <c r="ER162" s="55"/>
      <c r="ES162" s="55"/>
      <c r="ET162" s="55"/>
      <c r="EU162" s="55"/>
      <c r="EV162" s="55"/>
      <c r="EW162" s="55"/>
      <c r="EX162" s="55"/>
      <c r="EY162" s="55"/>
      <c r="EZ162" s="55"/>
      <c r="FA162" s="55"/>
      <c r="FB162" s="55"/>
      <c r="FC162" s="55"/>
      <c r="FD162" s="55"/>
      <c r="FE162" s="55"/>
      <c r="FF162" s="55"/>
      <c r="FG162" s="55"/>
      <c r="FH162" s="55"/>
      <c r="FI162" s="55"/>
      <c r="FJ162" s="55"/>
      <c r="FK162" s="55"/>
      <c r="FL162" s="55"/>
      <c r="FM162" s="55"/>
      <c r="FN162" s="55"/>
      <c r="FO162" s="55"/>
      <c r="FP162" s="55"/>
      <c r="FQ162" s="55"/>
      <c r="FR162" s="55"/>
      <c r="FS162" s="55"/>
      <c r="FT162" s="55"/>
      <c r="FU162" s="55"/>
      <c r="FV162" s="55"/>
      <c r="FW162" s="55"/>
      <c r="FX162" s="55"/>
      <c r="FY162" s="55"/>
      <c r="FZ162" s="55"/>
      <c r="GA162" s="55"/>
      <c r="GB162" s="55"/>
      <c r="GC162" s="55"/>
      <c r="GD162" s="55"/>
      <c r="GE162" s="55"/>
      <c r="GF162" s="55"/>
      <c r="GG162" s="55"/>
      <c r="GH162" s="55"/>
      <c r="GI162" s="55"/>
      <c r="GJ162" s="55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3">
        <v>960.1</v>
      </c>
      <c r="HA162" s="55"/>
      <c r="HB162" s="55"/>
      <c r="HC162" s="55"/>
      <c r="HD162" s="55"/>
      <c r="HE162" s="55"/>
      <c r="HF162" s="55"/>
      <c r="HG162" s="55"/>
      <c r="HH162" s="55"/>
      <c r="HI162" s="55"/>
      <c r="HJ162" s="55"/>
      <c r="HK162" s="55"/>
      <c r="HL162" s="55"/>
      <c r="HM162" s="55"/>
      <c r="HN162" s="55"/>
      <c r="HO162" s="55"/>
      <c r="HP162" s="55"/>
      <c r="HQ162" s="55"/>
      <c r="HR162" s="55"/>
      <c r="HS162" s="55"/>
      <c r="HT162" s="55"/>
      <c r="HU162" s="55"/>
      <c r="HV162" s="55"/>
      <c r="HW162" s="55"/>
      <c r="HX162" s="55"/>
      <c r="HY162" s="55"/>
      <c r="HZ162" s="55"/>
      <c r="IA162" s="55"/>
      <c r="IB162" s="55"/>
      <c r="IC162" s="55"/>
      <c r="ID162" s="55"/>
      <c r="IE162" s="55"/>
      <c r="IF162" s="55"/>
      <c r="IG162" s="55"/>
      <c r="IH162" s="55"/>
      <c r="II162" s="55"/>
      <c r="IJ162" s="55"/>
      <c r="IK162" s="55"/>
      <c r="IL162" s="55"/>
      <c r="IM162" s="55"/>
      <c r="IN162" s="53">
        <v>103.1</v>
      </c>
      <c r="IY162" s="48">
        <f t="shared" si="8"/>
        <v>47.604049878897321</v>
      </c>
      <c r="IZ162" s="48">
        <f>IY162-'NOPA Crush'!J162</f>
        <v>-3.5950121102679589E-2</v>
      </c>
      <c r="JB162" s="63">
        <f t="shared" si="6"/>
        <v>10.66901739941631</v>
      </c>
      <c r="JC162" s="64">
        <f>JB162-'NOPA Crush'!O162</f>
        <v>-3.098260058368929E-2</v>
      </c>
      <c r="JD162" s="65"/>
      <c r="JE162" s="67">
        <f t="shared" si="7"/>
        <v>2410.1000000000004</v>
      </c>
      <c r="JF162" s="68">
        <f>'NOPA Crush'!Q162/'Census Crush'!JE162</f>
        <v>0.37125969876768594</v>
      </c>
    </row>
    <row r="163" spans="1:266">
      <c r="A163" s="39">
        <v>34001</v>
      </c>
      <c r="B163" s="51">
        <v>3064.71</v>
      </c>
      <c r="C163" s="51">
        <v>2915.9</v>
      </c>
      <c r="D163" s="51">
        <v>334.6</v>
      </c>
      <c r="E163" s="51">
        <v>1797.6</v>
      </c>
      <c r="F163" s="51">
        <v>21.8</v>
      </c>
      <c r="G163" s="51">
        <v>114.9</v>
      </c>
      <c r="H163" s="51">
        <v>70.7</v>
      </c>
      <c r="I163" s="51" t="s">
        <v>264</v>
      </c>
      <c r="J163" s="51" t="s">
        <v>264</v>
      </c>
      <c r="K163" s="51">
        <v>1101.9000000000001</v>
      </c>
      <c r="L163" s="49">
        <v>2336.8000000000002</v>
      </c>
      <c r="M163" s="51">
        <v>2110.4</v>
      </c>
      <c r="N163" s="51">
        <v>226.4</v>
      </c>
      <c r="O163" s="51">
        <v>107.2</v>
      </c>
      <c r="P163" s="51">
        <v>133.69999999999999</v>
      </c>
      <c r="Q163" s="51">
        <v>48.7</v>
      </c>
      <c r="R163" s="51">
        <v>85</v>
      </c>
      <c r="S163" s="51"/>
      <c r="T163" s="51">
        <v>17</v>
      </c>
      <c r="U163" s="51">
        <v>61.4</v>
      </c>
      <c r="V163" s="51">
        <v>55.9</v>
      </c>
      <c r="W163" s="51">
        <v>5.5</v>
      </c>
      <c r="X163" s="51">
        <v>90</v>
      </c>
      <c r="Y163" s="51">
        <v>2.9</v>
      </c>
      <c r="Z163" s="49">
        <v>133.4</v>
      </c>
      <c r="AA163" s="51">
        <v>117.3</v>
      </c>
      <c r="AB163" s="51">
        <v>16.100000000000001</v>
      </c>
      <c r="AC163" s="51" t="s">
        <v>264</v>
      </c>
      <c r="AD163" s="51">
        <v>19.2</v>
      </c>
      <c r="AE163" s="51"/>
      <c r="AF163" s="51">
        <v>67.5</v>
      </c>
      <c r="AG163" s="51">
        <v>49.9</v>
      </c>
      <c r="AH163" s="51">
        <v>17.600000000000001</v>
      </c>
      <c r="AI163" s="51">
        <v>139</v>
      </c>
      <c r="AJ163" s="51"/>
      <c r="AK163" s="51"/>
      <c r="AL163" s="51">
        <v>166.3</v>
      </c>
      <c r="AM163" s="51">
        <v>131.4</v>
      </c>
      <c r="AN163" s="51">
        <v>34.9</v>
      </c>
      <c r="AO163" s="51">
        <v>2286.4</v>
      </c>
      <c r="AP163" s="51">
        <v>371.8</v>
      </c>
      <c r="AQ163" s="51">
        <v>144</v>
      </c>
      <c r="AR163" s="51">
        <v>48.7</v>
      </c>
      <c r="AS163" s="51">
        <v>146.6</v>
      </c>
      <c r="AT163" s="51">
        <v>65.599999999999994</v>
      </c>
      <c r="AU163" s="51">
        <v>98.9</v>
      </c>
      <c r="AV163" s="51">
        <v>55</v>
      </c>
      <c r="AW163" s="51">
        <v>12.3</v>
      </c>
      <c r="AX163" s="51">
        <v>6.7</v>
      </c>
      <c r="AY163" s="51">
        <v>57.6</v>
      </c>
      <c r="AZ163" s="51">
        <v>6.2</v>
      </c>
      <c r="BA163" s="51" t="s">
        <v>264</v>
      </c>
      <c r="BB163" s="51" t="s">
        <v>264</v>
      </c>
      <c r="BC163" s="51"/>
      <c r="BD163" s="53">
        <v>106.8</v>
      </c>
      <c r="BE163" s="53">
        <v>37.200000000000003</v>
      </c>
      <c r="BF163" s="55"/>
      <c r="BG163" s="55"/>
      <c r="BH163" s="53">
        <v>292</v>
      </c>
      <c r="BI163" s="55"/>
      <c r="BJ163" s="55"/>
      <c r="BK163" s="53">
        <v>189.2</v>
      </c>
      <c r="BL163" s="53">
        <v>1.7</v>
      </c>
      <c r="BM163" s="53">
        <v>482.9</v>
      </c>
      <c r="BN163" s="53">
        <v>274.10000000000002</v>
      </c>
      <c r="BO163" s="55"/>
      <c r="BP163" s="55"/>
      <c r="BQ163" s="53">
        <v>90.7</v>
      </c>
      <c r="BR163" s="53">
        <v>4.7</v>
      </c>
      <c r="BS163" s="53">
        <v>369.5</v>
      </c>
      <c r="BT163" s="52" t="s">
        <v>264</v>
      </c>
      <c r="BU163" s="53">
        <v>27.2</v>
      </c>
      <c r="BV163" s="51">
        <v>335.9</v>
      </c>
      <c r="BW163" s="51">
        <v>105.2</v>
      </c>
      <c r="BX163" s="51">
        <v>386.7</v>
      </c>
      <c r="BY163" s="51">
        <v>43.3</v>
      </c>
      <c r="BZ163" s="51">
        <v>9.1999999999999993</v>
      </c>
      <c r="CA163" s="49">
        <v>52.5</v>
      </c>
      <c r="CB163" s="55"/>
      <c r="CC163" s="55"/>
      <c r="CD163" s="55"/>
      <c r="CE163" s="55"/>
      <c r="CF163" s="53">
        <v>128.4</v>
      </c>
      <c r="CG163" s="53">
        <v>170.8</v>
      </c>
      <c r="CH163" s="53">
        <v>12.6</v>
      </c>
      <c r="CI163" s="55"/>
      <c r="CJ163" s="55"/>
      <c r="CK163" s="55"/>
      <c r="CL163" s="55"/>
      <c r="CM163" s="55"/>
      <c r="CN163" s="53">
        <v>50.2</v>
      </c>
      <c r="CO163" s="52">
        <v>418.90000000000003</v>
      </c>
      <c r="CP163" s="53">
        <v>359.3</v>
      </c>
      <c r="CQ163" s="53">
        <v>59.6</v>
      </c>
      <c r="CR163" s="52" t="s">
        <v>264</v>
      </c>
      <c r="CS163" s="52">
        <v>67.5</v>
      </c>
      <c r="CT163" s="52">
        <v>45.1</v>
      </c>
      <c r="CU163" s="52">
        <v>22.4</v>
      </c>
      <c r="CV163" s="52">
        <v>53.800000000000004</v>
      </c>
      <c r="CW163" s="53">
        <v>15.6</v>
      </c>
      <c r="CX163" s="53">
        <v>38.200000000000003</v>
      </c>
      <c r="CY163" s="53" t="s">
        <v>264</v>
      </c>
      <c r="CZ163" s="53">
        <v>91.4</v>
      </c>
      <c r="DA163" s="52">
        <v>21.599999999999998</v>
      </c>
      <c r="DB163" s="53">
        <v>20.9</v>
      </c>
      <c r="DC163" s="53">
        <v>0.7</v>
      </c>
      <c r="DD163" s="55"/>
      <c r="DE163" s="55"/>
      <c r="DF163" s="55"/>
      <c r="DG163" s="53">
        <v>106.31699999999999</v>
      </c>
      <c r="DH163" s="55"/>
      <c r="DI163" s="53">
        <v>576.59</v>
      </c>
      <c r="DJ163" s="53">
        <v>198.739</v>
      </c>
      <c r="DK163" s="53">
        <v>532.35</v>
      </c>
      <c r="DL163" s="53">
        <v>135.77099999999999</v>
      </c>
      <c r="DM163" s="53">
        <v>197.196</v>
      </c>
      <c r="DN163" s="55"/>
      <c r="DO163" s="53">
        <v>188.62</v>
      </c>
      <c r="DP163" s="53">
        <v>198.23099999999999</v>
      </c>
      <c r="DQ163" s="55"/>
      <c r="DR163" s="55"/>
      <c r="DS163" s="53">
        <v>771.25599999999997</v>
      </c>
      <c r="DT163" s="53">
        <v>3064.739</v>
      </c>
      <c r="DU163" s="53">
        <v>-265.98599999999988</v>
      </c>
      <c r="DV163" s="53">
        <v>2.8999999999996362E-2</v>
      </c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  <c r="EZ163" s="55"/>
      <c r="FA163" s="55"/>
      <c r="FB163" s="55"/>
      <c r="FC163" s="55"/>
      <c r="FD163" s="55"/>
      <c r="FE163" s="55"/>
      <c r="FF163" s="55"/>
      <c r="FG163" s="55"/>
      <c r="FH163" s="55"/>
      <c r="FI163" s="55"/>
      <c r="FJ163" s="55"/>
      <c r="FK163" s="55"/>
      <c r="FL163" s="55"/>
      <c r="FM163" s="55"/>
      <c r="FN163" s="55"/>
      <c r="FO163" s="55"/>
      <c r="FP163" s="55"/>
      <c r="FQ163" s="55"/>
      <c r="FR163" s="55"/>
      <c r="FS163" s="55"/>
      <c r="FT163" s="55"/>
      <c r="FU163" s="55"/>
      <c r="FV163" s="55"/>
      <c r="FW163" s="55"/>
      <c r="FX163" s="55"/>
      <c r="FY163" s="55"/>
      <c r="FZ163" s="55"/>
      <c r="GA163" s="55"/>
      <c r="GB163" s="55"/>
      <c r="GC163" s="55"/>
      <c r="GD163" s="55"/>
      <c r="GE163" s="55"/>
      <c r="GF163" s="55"/>
      <c r="GG163" s="55"/>
      <c r="GH163" s="55"/>
      <c r="GI163" s="55"/>
      <c r="GJ163" s="55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3">
        <v>935.4</v>
      </c>
      <c r="HA163" s="55"/>
      <c r="HB163" s="55"/>
      <c r="HC163" s="55"/>
      <c r="HD163" s="55"/>
      <c r="HE163" s="55"/>
      <c r="HF163" s="55"/>
      <c r="HG163" s="55"/>
      <c r="HH163" s="55"/>
      <c r="HI163" s="55"/>
      <c r="HJ163" s="55"/>
      <c r="HK163" s="55"/>
      <c r="HL163" s="55"/>
      <c r="HM163" s="55"/>
      <c r="HN163" s="55"/>
      <c r="HO163" s="55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3">
        <v>82</v>
      </c>
      <c r="IY163" s="48">
        <f t="shared" si="8"/>
        <v>47.5816635179185</v>
      </c>
      <c r="IZ163" s="48">
        <f>IY163-'NOPA Crush'!J163</f>
        <v>3.1663517918502748E-2</v>
      </c>
      <c r="JB163" s="63">
        <f t="shared" si="6"/>
        <v>10.786338674784892</v>
      </c>
      <c r="JC163" s="64">
        <f>JB163-'NOPA Crush'!O163</f>
        <v>-3.6613252151074249E-3</v>
      </c>
      <c r="JD163" s="65"/>
      <c r="JE163" s="67">
        <f t="shared" si="7"/>
        <v>2336.8000000000002</v>
      </c>
      <c r="JF163" s="68">
        <f>'NOPA Crush'!Q163/'Census Crush'!JE163</f>
        <v>0.37358267716535432</v>
      </c>
    </row>
    <row r="164" spans="1:266">
      <c r="A164" s="39">
        <v>34029</v>
      </c>
      <c r="B164" s="51">
        <v>3389.6</v>
      </c>
      <c r="C164" s="51">
        <v>2703</v>
      </c>
      <c r="D164" s="51">
        <v>324.10000000000002</v>
      </c>
      <c r="E164" s="51">
        <v>1491.2</v>
      </c>
      <c r="F164" s="51">
        <v>29.2</v>
      </c>
      <c r="G164" s="51">
        <v>115.6</v>
      </c>
      <c r="H164" s="51">
        <v>84.2</v>
      </c>
      <c r="I164" s="51" t="s">
        <v>264</v>
      </c>
      <c r="J164" s="51" t="s">
        <v>264</v>
      </c>
      <c r="K164" s="51">
        <v>1216.0999999999999</v>
      </c>
      <c r="L164" s="49">
        <v>2246.1</v>
      </c>
      <c r="M164" s="51">
        <v>2029</v>
      </c>
      <c r="N164" s="51">
        <v>217.1</v>
      </c>
      <c r="O164" s="51">
        <v>104.9</v>
      </c>
      <c r="P164" s="51">
        <v>135.60000000000002</v>
      </c>
      <c r="Q164" s="51">
        <v>47.7</v>
      </c>
      <c r="R164" s="51">
        <v>87.9</v>
      </c>
      <c r="S164" s="51"/>
      <c r="T164" s="51">
        <v>24.1</v>
      </c>
      <c r="U164" s="51">
        <v>67.400000000000006</v>
      </c>
      <c r="V164" s="51">
        <v>60.6</v>
      </c>
      <c r="W164" s="51">
        <v>6.8</v>
      </c>
      <c r="X164" s="51">
        <v>80.3</v>
      </c>
      <c r="Y164" s="51">
        <v>3.3</v>
      </c>
      <c r="Z164" s="49">
        <v>118.6</v>
      </c>
      <c r="AA164" s="51">
        <v>108.1</v>
      </c>
      <c r="AB164" s="51">
        <v>10.5</v>
      </c>
      <c r="AC164" s="51" t="s">
        <v>264</v>
      </c>
      <c r="AD164" s="51">
        <v>19.600000000000001</v>
      </c>
      <c r="AE164" s="51"/>
      <c r="AF164" s="51">
        <v>82.1</v>
      </c>
      <c r="AG164" s="51">
        <v>61.8</v>
      </c>
      <c r="AH164" s="51">
        <v>20.3</v>
      </c>
      <c r="AI164" s="51">
        <v>165.6</v>
      </c>
      <c r="AJ164" s="51"/>
      <c r="AK164" s="51"/>
      <c r="AL164" s="51">
        <v>174.7</v>
      </c>
      <c r="AM164" s="51">
        <v>127.7</v>
      </c>
      <c r="AN164" s="51">
        <v>47</v>
      </c>
      <c r="AO164" s="51">
        <v>2528.5</v>
      </c>
      <c r="AP164" s="51">
        <v>290.10000000000002</v>
      </c>
      <c r="AQ164" s="51">
        <v>162.80000000000001</v>
      </c>
      <c r="AR164" s="51">
        <v>46.8</v>
      </c>
      <c r="AS164" s="51">
        <v>136.4</v>
      </c>
      <c r="AT164" s="51">
        <v>36.1</v>
      </c>
      <c r="AU164" s="51">
        <v>99.9</v>
      </c>
      <c r="AV164" s="51">
        <v>43.8</v>
      </c>
      <c r="AW164" s="51">
        <v>17.3</v>
      </c>
      <c r="AX164" s="51">
        <v>12.9</v>
      </c>
      <c r="AY164" s="51">
        <v>58.6</v>
      </c>
      <c r="AZ164" s="51">
        <v>5.9</v>
      </c>
      <c r="BA164" s="51" t="s">
        <v>264</v>
      </c>
      <c r="BB164" s="51" t="s">
        <v>264</v>
      </c>
      <c r="BC164" s="51"/>
      <c r="BD164" s="53">
        <v>120.6</v>
      </c>
      <c r="BE164" s="53">
        <v>34.299999999999997</v>
      </c>
      <c r="BF164" s="55"/>
      <c r="BG164" s="55"/>
      <c r="BH164" s="53">
        <v>326.3</v>
      </c>
      <c r="BI164" s="55"/>
      <c r="BJ164" s="55"/>
      <c r="BK164" s="53">
        <v>221.5</v>
      </c>
      <c r="BL164" s="53">
        <v>2</v>
      </c>
      <c r="BM164" s="53">
        <v>549.79999999999995</v>
      </c>
      <c r="BN164" s="53">
        <v>258.2</v>
      </c>
      <c r="BO164" s="55"/>
      <c r="BP164" s="55"/>
      <c r="BQ164" s="53">
        <v>79.5</v>
      </c>
      <c r="BR164" s="53">
        <v>4.5999999999999996</v>
      </c>
      <c r="BS164" s="53">
        <v>342.3</v>
      </c>
      <c r="BT164" s="52" t="s">
        <v>264</v>
      </c>
      <c r="BU164" s="53">
        <v>24.6</v>
      </c>
      <c r="BV164" s="51">
        <v>379.9</v>
      </c>
      <c r="BW164" s="51">
        <v>120.4</v>
      </c>
      <c r="BX164" s="51">
        <v>438.7</v>
      </c>
      <c r="BY164" s="51">
        <v>42.5</v>
      </c>
      <c r="BZ164" s="51">
        <v>8.3000000000000007</v>
      </c>
      <c r="CA164" s="49">
        <v>50.8</v>
      </c>
      <c r="CB164" s="55"/>
      <c r="CC164" s="55"/>
      <c r="CD164" s="55"/>
      <c r="CE164" s="55"/>
      <c r="CF164" s="53">
        <v>142.1</v>
      </c>
      <c r="CG164" s="53">
        <v>184.7</v>
      </c>
      <c r="CH164" s="53">
        <v>13.7</v>
      </c>
      <c r="CI164" s="55"/>
      <c r="CJ164" s="55"/>
      <c r="CK164" s="55"/>
      <c r="CL164" s="55"/>
      <c r="CM164" s="55"/>
      <c r="CN164" s="53">
        <v>64.3</v>
      </c>
      <c r="CO164" s="52">
        <v>348.7</v>
      </c>
      <c r="CP164" s="53">
        <v>298.39999999999998</v>
      </c>
      <c r="CQ164" s="53">
        <v>50.3</v>
      </c>
      <c r="CR164" s="52" t="s">
        <v>264</v>
      </c>
      <c r="CS164" s="52">
        <v>71</v>
      </c>
      <c r="CT164" s="52">
        <v>49.1</v>
      </c>
      <c r="CU164" s="52">
        <v>21.9</v>
      </c>
      <c r="CV164" s="52">
        <v>47.9</v>
      </c>
      <c r="CW164" s="53">
        <v>9.4</v>
      </c>
      <c r="CX164" s="53">
        <v>38.5</v>
      </c>
      <c r="CY164" s="53" t="s">
        <v>264</v>
      </c>
      <c r="CZ164" s="53">
        <v>80.099999999999994</v>
      </c>
      <c r="DA164" s="52">
        <v>26.900000000000002</v>
      </c>
      <c r="DB164" s="53">
        <v>25.6</v>
      </c>
      <c r="DC164" s="53">
        <v>1.3</v>
      </c>
      <c r="DD164" s="55"/>
      <c r="DE164" s="55"/>
      <c r="DF164" s="55"/>
      <c r="DG164" s="53">
        <v>114.575</v>
      </c>
      <c r="DH164" s="55"/>
      <c r="DI164" s="53">
        <v>646.70699999999999</v>
      </c>
      <c r="DJ164" s="53">
        <v>213.64099999999999</v>
      </c>
      <c r="DK164" s="53">
        <v>575.29100000000005</v>
      </c>
      <c r="DL164" s="53">
        <v>144.00299999999999</v>
      </c>
      <c r="DM164" s="53">
        <v>225.25</v>
      </c>
      <c r="DN164" s="55"/>
      <c r="DO164" s="53">
        <v>204.251</v>
      </c>
      <c r="DP164" s="53">
        <v>231.35400000000001</v>
      </c>
      <c r="DQ164" s="55"/>
      <c r="DR164" s="55"/>
      <c r="DS164" s="53">
        <v>849.54499999999996</v>
      </c>
      <c r="DT164" s="53">
        <v>3389.56</v>
      </c>
      <c r="DU164" s="53">
        <v>-299.51800000000003</v>
      </c>
      <c r="DV164" s="53">
        <v>-3.999999999996362E-2</v>
      </c>
      <c r="DW164" s="55"/>
      <c r="DX164" s="55"/>
      <c r="DY164" s="55"/>
      <c r="DZ164" s="55"/>
      <c r="EA164" s="55"/>
      <c r="EB164" s="55"/>
      <c r="EC164" s="55"/>
      <c r="ED164" s="55"/>
      <c r="EE164" s="55"/>
      <c r="EF164" s="55"/>
      <c r="EG164" s="55"/>
      <c r="EH164" s="55"/>
      <c r="EI164" s="55"/>
      <c r="EJ164" s="55"/>
      <c r="EK164" s="55"/>
      <c r="EL164" s="55"/>
      <c r="EM164" s="55"/>
      <c r="EN164" s="55"/>
      <c r="EO164" s="55"/>
      <c r="EP164" s="55"/>
      <c r="EQ164" s="55"/>
      <c r="ER164" s="55"/>
      <c r="ES164" s="55"/>
      <c r="ET164" s="55"/>
      <c r="EU164" s="55"/>
      <c r="EV164" s="55"/>
      <c r="EW164" s="55"/>
      <c r="EX164" s="55"/>
      <c r="EY164" s="55"/>
      <c r="EZ164" s="55"/>
      <c r="FA164" s="55"/>
      <c r="FB164" s="55"/>
      <c r="FC164" s="55"/>
      <c r="FD164" s="55"/>
      <c r="FE164" s="55"/>
      <c r="FF164" s="55"/>
      <c r="FG164" s="55"/>
      <c r="FH164" s="55"/>
      <c r="FI164" s="55"/>
      <c r="FJ164" s="55"/>
      <c r="FK164" s="55"/>
      <c r="FL164" s="55"/>
      <c r="FM164" s="55"/>
      <c r="FN164" s="55"/>
      <c r="FO164" s="55"/>
      <c r="FP164" s="55"/>
      <c r="FQ164" s="55"/>
      <c r="FR164" s="55"/>
      <c r="FS164" s="55"/>
      <c r="FT164" s="55"/>
      <c r="FU164" s="55"/>
      <c r="FV164" s="55"/>
      <c r="FW164" s="55"/>
      <c r="FX164" s="55"/>
      <c r="FY164" s="55"/>
      <c r="FZ164" s="55"/>
      <c r="GA164" s="55"/>
      <c r="GB164" s="55"/>
      <c r="GC164" s="55"/>
      <c r="GD164" s="55"/>
      <c r="GE164" s="55"/>
      <c r="GF164" s="55"/>
      <c r="GG164" s="55"/>
      <c r="GH164" s="55"/>
      <c r="GI164" s="55"/>
      <c r="GJ164" s="55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3">
        <v>1054.9000000000001</v>
      </c>
      <c r="HA164" s="55"/>
      <c r="HB164" s="55"/>
      <c r="HC164" s="55"/>
      <c r="HD164" s="55"/>
      <c r="HE164" s="55"/>
      <c r="HF164" s="55"/>
      <c r="HG164" s="55"/>
      <c r="HH164" s="55"/>
      <c r="HI164" s="55"/>
      <c r="HJ164" s="55"/>
      <c r="HK164" s="55"/>
      <c r="HL164" s="55"/>
      <c r="HM164" s="55"/>
      <c r="HN164" s="55"/>
      <c r="HO164" s="55"/>
      <c r="HP164" s="55"/>
      <c r="HQ164" s="55"/>
      <c r="HR164" s="55"/>
      <c r="HS164" s="55"/>
      <c r="HT164" s="55"/>
      <c r="HU164" s="55"/>
      <c r="HV164" s="55"/>
      <c r="HW164" s="55"/>
      <c r="HX164" s="55"/>
      <c r="HY164" s="55"/>
      <c r="HZ164" s="55"/>
      <c r="IA164" s="55"/>
      <c r="IB164" s="55"/>
      <c r="IC164" s="55"/>
      <c r="ID164" s="55"/>
      <c r="IE164" s="55"/>
      <c r="IF164" s="55"/>
      <c r="IG164" s="55"/>
      <c r="IH164" s="55"/>
      <c r="II164" s="55"/>
      <c r="IJ164" s="55"/>
      <c r="IK164" s="55"/>
      <c r="IL164" s="55"/>
      <c r="IM164" s="55"/>
      <c r="IN164" s="53">
        <v>74.5</v>
      </c>
      <c r="IY164" s="48">
        <f t="shared" si="8"/>
        <v>47.639249468963897</v>
      </c>
      <c r="IZ164" s="48">
        <f>IY164-'NOPA Crush'!J164</f>
        <v>1.9249468963899119E-2</v>
      </c>
      <c r="JB164" s="63">
        <f t="shared" si="6"/>
        <v>10.763216898749114</v>
      </c>
      <c r="JC164" s="64">
        <f>JB164-'NOPA Crush'!O164</f>
        <v>-5.6783101250886148E-2</v>
      </c>
      <c r="JD164" s="65"/>
      <c r="JE164" s="67">
        <f t="shared" si="7"/>
        <v>2246.1</v>
      </c>
      <c r="JF164" s="68">
        <f>'NOPA Crush'!Q164/'Census Crush'!JE164</f>
        <v>0.37733137438226261</v>
      </c>
    </row>
    <row r="165" spans="1:266">
      <c r="A165" s="39">
        <v>34060</v>
      </c>
      <c r="B165" s="51">
        <v>3178.3</v>
      </c>
      <c r="C165" s="51">
        <v>2507.1999999999998</v>
      </c>
      <c r="D165" s="51">
        <v>323.8</v>
      </c>
      <c r="E165" s="51">
        <v>1181.5</v>
      </c>
      <c r="F165" s="51">
        <v>34.299999999999997</v>
      </c>
      <c r="G165" s="51">
        <v>109</v>
      </c>
      <c r="H165" s="51">
        <v>77</v>
      </c>
      <c r="I165" s="51" t="s">
        <v>264</v>
      </c>
      <c r="J165" s="51" t="s">
        <v>264</v>
      </c>
      <c r="K165" s="51">
        <v>1147.5</v>
      </c>
      <c r="L165" s="49">
        <v>2297.9</v>
      </c>
      <c r="M165" s="51">
        <v>2068.9</v>
      </c>
      <c r="N165" s="51">
        <v>229</v>
      </c>
      <c r="O165" s="51">
        <v>101.7</v>
      </c>
      <c r="P165" s="51">
        <v>126.7</v>
      </c>
      <c r="Q165" s="51">
        <v>40</v>
      </c>
      <c r="R165" s="51">
        <v>86.7</v>
      </c>
      <c r="S165" s="51"/>
      <c r="T165" s="51">
        <v>28.8</v>
      </c>
      <c r="U165" s="51">
        <v>67.599999999999994</v>
      </c>
      <c r="V165" s="51">
        <v>61.5</v>
      </c>
      <c r="W165" s="51">
        <v>6.1</v>
      </c>
      <c r="X165" s="51">
        <v>85.7</v>
      </c>
      <c r="Y165" s="51">
        <v>2.5</v>
      </c>
      <c r="Z165" s="49">
        <v>128</v>
      </c>
      <c r="AA165" s="51">
        <v>117.4</v>
      </c>
      <c r="AB165" s="51">
        <v>10.6</v>
      </c>
      <c r="AC165" s="51" t="s">
        <v>264</v>
      </c>
      <c r="AD165" s="51">
        <v>20.399999999999999</v>
      </c>
      <c r="AE165" s="51"/>
      <c r="AF165" s="51">
        <v>100</v>
      </c>
      <c r="AG165" s="51">
        <v>78.599999999999994</v>
      </c>
      <c r="AH165" s="51">
        <v>21.4</v>
      </c>
      <c r="AI165" s="51">
        <v>153.5</v>
      </c>
      <c r="AJ165" s="51"/>
      <c r="AK165" s="51"/>
      <c r="AL165" s="51">
        <v>148.80000000000001</v>
      </c>
      <c r="AM165" s="51">
        <v>113.8</v>
      </c>
      <c r="AN165" s="51">
        <v>35</v>
      </c>
      <c r="AO165" s="51">
        <v>2366.4</v>
      </c>
      <c r="AP165" s="51">
        <v>226.1</v>
      </c>
      <c r="AQ165" s="51">
        <v>152.6</v>
      </c>
      <c r="AR165" s="51">
        <v>42.4</v>
      </c>
      <c r="AS165" s="51">
        <v>140.9</v>
      </c>
      <c r="AT165" s="51">
        <v>54</v>
      </c>
      <c r="AU165" s="51">
        <v>99.7</v>
      </c>
      <c r="AV165" s="51">
        <v>51.2</v>
      </c>
      <c r="AW165" s="51">
        <v>20</v>
      </c>
      <c r="AX165" s="51">
        <v>11.6</v>
      </c>
      <c r="AY165" s="51">
        <v>55.2</v>
      </c>
      <c r="AZ165" s="51">
        <v>14.1</v>
      </c>
      <c r="BA165" s="51" t="s">
        <v>264</v>
      </c>
      <c r="BB165" s="51" t="s">
        <v>264</v>
      </c>
      <c r="BC165" s="51"/>
      <c r="BD165" s="53">
        <v>111.8</v>
      </c>
      <c r="BE165" s="53">
        <v>34.700000000000003</v>
      </c>
      <c r="BF165" s="55"/>
      <c r="BG165" s="55"/>
      <c r="BH165" s="53">
        <v>309.89999999999998</v>
      </c>
      <c r="BI165" s="55"/>
      <c r="BJ165" s="55"/>
      <c r="BK165" s="53">
        <v>211.6</v>
      </c>
      <c r="BL165" s="53">
        <v>2</v>
      </c>
      <c r="BM165" s="53">
        <v>523.4</v>
      </c>
      <c r="BN165" s="53">
        <v>225.1</v>
      </c>
      <c r="BO165" s="55"/>
      <c r="BP165" s="55"/>
      <c r="BQ165" s="53">
        <v>93.9</v>
      </c>
      <c r="BR165" s="53">
        <v>4.5999999999999996</v>
      </c>
      <c r="BS165" s="53">
        <v>323.60000000000002</v>
      </c>
      <c r="BT165" s="52" t="s">
        <v>264</v>
      </c>
      <c r="BU165" s="53">
        <v>22.8</v>
      </c>
      <c r="BV165" s="51">
        <v>368.6</v>
      </c>
      <c r="BW165" s="51">
        <v>104.9</v>
      </c>
      <c r="BX165" s="51">
        <v>414.6</v>
      </c>
      <c r="BY165" s="51">
        <v>50.4</v>
      </c>
      <c r="BZ165" s="51">
        <v>9.4</v>
      </c>
      <c r="CA165" s="49">
        <v>59.8</v>
      </c>
      <c r="CB165" s="55"/>
      <c r="CC165" s="55"/>
      <c r="CD165" s="55"/>
      <c r="CE165" s="55"/>
      <c r="CF165" s="53">
        <v>131.80000000000001</v>
      </c>
      <c r="CG165" s="53">
        <v>187.3</v>
      </c>
      <c r="CH165" s="53">
        <v>9.4</v>
      </c>
      <c r="CI165" s="55"/>
      <c r="CJ165" s="55"/>
      <c r="CK165" s="55"/>
      <c r="CL165" s="55"/>
      <c r="CM165" s="55"/>
      <c r="CN165" s="53">
        <v>70.2</v>
      </c>
      <c r="CO165" s="52">
        <v>338.3</v>
      </c>
      <c r="CP165" s="53">
        <v>286.3</v>
      </c>
      <c r="CQ165" s="53">
        <v>52</v>
      </c>
      <c r="CR165" s="52" t="s">
        <v>264</v>
      </c>
      <c r="CS165" s="52">
        <v>61.599999999999994</v>
      </c>
      <c r="CT165" s="52">
        <v>42.8</v>
      </c>
      <c r="CU165" s="52">
        <v>18.8</v>
      </c>
      <c r="CV165" s="52">
        <v>49.3</v>
      </c>
      <c r="CW165" s="53">
        <v>11</v>
      </c>
      <c r="CX165" s="53">
        <v>38.299999999999997</v>
      </c>
      <c r="CY165" s="53" t="s">
        <v>264</v>
      </c>
      <c r="CZ165" s="53">
        <v>73.7</v>
      </c>
      <c r="DA165" s="52">
        <v>19.3</v>
      </c>
      <c r="DB165" s="53">
        <v>18.2</v>
      </c>
      <c r="DC165" s="53">
        <v>1.1000000000000001</v>
      </c>
      <c r="DD165" s="55"/>
      <c r="DE165" s="55"/>
      <c r="DF165" s="55"/>
      <c r="DG165" s="53">
        <v>101.294</v>
      </c>
      <c r="DH165" s="55"/>
      <c r="DI165" s="53">
        <v>548.38</v>
      </c>
      <c r="DJ165" s="53">
        <v>207.518</v>
      </c>
      <c r="DK165" s="53">
        <v>559.73299999999995</v>
      </c>
      <c r="DL165" s="53">
        <v>139.99299999999999</v>
      </c>
      <c r="DM165" s="53">
        <v>216.73699999999999</v>
      </c>
      <c r="DN165" s="55"/>
      <c r="DO165" s="53">
        <v>191.30500000000001</v>
      </c>
      <c r="DP165" s="53">
        <v>224.09100000000001</v>
      </c>
      <c r="DQ165" s="55"/>
      <c r="DR165" s="55"/>
      <c r="DS165" s="53">
        <v>836.899</v>
      </c>
      <c r="DT165" s="53">
        <v>3178.3440000000001</v>
      </c>
      <c r="DU165" s="53">
        <v>-253.6880000000001</v>
      </c>
      <c r="DV165" s="53">
        <v>4.3999999999869033E-2</v>
      </c>
      <c r="DW165" s="55"/>
      <c r="DX165" s="55"/>
      <c r="DY165" s="55"/>
      <c r="DZ165" s="55"/>
      <c r="EA165" s="55"/>
      <c r="EB165" s="55"/>
      <c r="EC165" s="55"/>
      <c r="ED165" s="55"/>
      <c r="EE165" s="55"/>
      <c r="EF165" s="55"/>
      <c r="EG165" s="55"/>
      <c r="EH165" s="55"/>
      <c r="EI165" s="55"/>
      <c r="EJ165" s="55"/>
      <c r="EK165" s="55"/>
      <c r="EL165" s="55"/>
      <c r="EM165" s="55"/>
      <c r="EN165" s="55"/>
      <c r="EO165" s="55"/>
      <c r="EP165" s="55"/>
      <c r="EQ165" s="55"/>
      <c r="ER165" s="55"/>
      <c r="ES165" s="55"/>
      <c r="ET165" s="55"/>
      <c r="EU165" s="55"/>
      <c r="EV165" s="55"/>
      <c r="EW165" s="55"/>
      <c r="EX165" s="55"/>
      <c r="EY165" s="55"/>
      <c r="EZ165" s="55"/>
      <c r="FA165" s="55"/>
      <c r="FB165" s="55"/>
      <c r="FC165" s="55"/>
      <c r="FD165" s="55"/>
      <c r="FE165" s="55"/>
      <c r="FF165" s="55"/>
      <c r="FG165" s="55"/>
      <c r="FH165" s="55"/>
      <c r="FI165" s="55"/>
      <c r="FJ165" s="55"/>
      <c r="FK165" s="55"/>
      <c r="FL165" s="55"/>
      <c r="FM165" s="55"/>
      <c r="FN165" s="55"/>
      <c r="FO165" s="55"/>
      <c r="FP165" s="55"/>
      <c r="FQ165" s="55"/>
      <c r="FR165" s="55"/>
      <c r="FS165" s="55"/>
      <c r="FT165" s="55"/>
      <c r="FU165" s="55"/>
      <c r="FV165" s="55"/>
      <c r="FW165" s="55"/>
      <c r="FX165" s="55"/>
      <c r="FY165" s="55"/>
      <c r="FZ165" s="55"/>
      <c r="GA165" s="55"/>
      <c r="GB165" s="55"/>
      <c r="GC165" s="55"/>
      <c r="GD165" s="55"/>
      <c r="GE165" s="55"/>
      <c r="GF165" s="55"/>
      <c r="GG165" s="55"/>
      <c r="GH165" s="55"/>
      <c r="GI165" s="55"/>
      <c r="GJ165" s="55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3">
        <v>1039.7</v>
      </c>
      <c r="HA165" s="55"/>
      <c r="HB165" s="55"/>
      <c r="HC165" s="55"/>
      <c r="HD165" s="55"/>
      <c r="HE165" s="55"/>
      <c r="HF165" s="55"/>
      <c r="HG165" s="55"/>
      <c r="HH165" s="55"/>
      <c r="HI165" s="55"/>
      <c r="HJ165" s="55"/>
      <c r="HK165" s="55"/>
      <c r="HL165" s="55"/>
      <c r="HM165" s="55"/>
      <c r="HN165" s="55"/>
      <c r="HO165" s="55"/>
      <c r="HP165" s="55"/>
      <c r="HQ165" s="55"/>
      <c r="HR165" s="55"/>
      <c r="HS165" s="55"/>
      <c r="HT165" s="55"/>
      <c r="HU165" s="55"/>
      <c r="HV165" s="55"/>
      <c r="HW165" s="55"/>
      <c r="HX165" s="55"/>
      <c r="HY165" s="55"/>
      <c r="HZ165" s="55"/>
      <c r="IA165" s="55"/>
      <c r="IB165" s="55"/>
      <c r="IC165" s="55"/>
      <c r="ID165" s="55"/>
      <c r="IE165" s="55"/>
      <c r="IF165" s="55"/>
      <c r="IG165" s="55"/>
      <c r="IH165" s="55"/>
      <c r="II165" s="55"/>
      <c r="IJ165" s="55"/>
      <c r="IK165" s="55"/>
      <c r="IL165" s="55"/>
      <c r="IM165" s="55"/>
      <c r="IN165" s="53">
        <v>88.8</v>
      </c>
      <c r="IY165" s="48">
        <f t="shared" si="8"/>
        <v>47.553723688764428</v>
      </c>
      <c r="IZ165" s="48">
        <f>IY165-'NOPA Crush'!J165</f>
        <v>-7.6276311235574212E-2</v>
      </c>
      <c r="JB165" s="63">
        <f t="shared" si="6"/>
        <v>10.831261995406349</v>
      </c>
      <c r="JC165" s="64">
        <f>JB165-'NOPA Crush'!O165</f>
        <v>-5.8738004593651638E-2</v>
      </c>
      <c r="JD165" s="65"/>
      <c r="JE165" s="67">
        <f t="shared" si="7"/>
        <v>2297.9</v>
      </c>
      <c r="JF165" s="68">
        <f>'NOPA Crush'!Q165/'Census Crush'!JE165</f>
        <v>0.36619957352365201</v>
      </c>
    </row>
    <row r="166" spans="1:266">
      <c r="A166" s="39">
        <v>34090</v>
      </c>
      <c r="B166" s="51">
        <v>3195.1</v>
      </c>
      <c r="C166" s="51">
        <v>2029.8</v>
      </c>
      <c r="D166" s="51">
        <v>296.39999999999998</v>
      </c>
      <c r="E166" s="51">
        <v>914</v>
      </c>
      <c r="F166" s="51">
        <v>29.1</v>
      </c>
      <c r="G166" s="51">
        <v>95.2</v>
      </c>
      <c r="H166" s="51">
        <v>20.6</v>
      </c>
      <c r="I166" s="51" t="s">
        <v>264</v>
      </c>
      <c r="J166" s="51" t="s">
        <v>264</v>
      </c>
      <c r="K166" s="51">
        <v>1152.4000000000001</v>
      </c>
      <c r="L166" s="49">
        <v>2240.7000000000003</v>
      </c>
      <c r="M166" s="51">
        <v>2006.4</v>
      </c>
      <c r="N166" s="51">
        <v>234.3</v>
      </c>
      <c r="O166" s="51">
        <v>96.1</v>
      </c>
      <c r="P166" s="51">
        <v>131.5</v>
      </c>
      <c r="Q166" s="51">
        <v>43.2</v>
      </c>
      <c r="R166" s="51">
        <v>88.3</v>
      </c>
      <c r="S166" s="51"/>
      <c r="T166" s="51">
        <v>23.3</v>
      </c>
      <c r="U166" s="51">
        <v>58.9</v>
      </c>
      <c r="V166" s="51">
        <v>53.4</v>
      </c>
      <c r="W166" s="51">
        <v>5.5</v>
      </c>
      <c r="X166" s="51">
        <v>75.3</v>
      </c>
      <c r="Y166" s="51">
        <v>4.8</v>
      </c>
      <c r="Z166" s="49">
        <v>147</v>
      </c>
      <c r="AA166" s="51">
        <v>134.1</v>
      </c>
      <c r="AB166" s="51">
        <v>12.9</v>
      </c>
      <c r="AC166" s="51" t="s">
        <v>264</v>
      </c>
      <c r="AD166" s="51">
        <v>19.100000000000001</v>
      </c>
      <c r="AE166" s="51"/>
      <c r="AF166" s="51">
        <v>97.8</v>
      </c>
      <c r="AG166" s="51">
        <v>76.8</v>
      </c>
      <c r="AH166" s="51">
        <v>21</v>
      </c>
      <c r="AI166" s="51">
        <v>161.6</v>
      </c>
      <c r="AJ166" s="51"/>
      <c r="AK166" s="51"/>
      <c r="AL166" s="51">
        <v>156.80000000000001</v>
      </c>
      <c r="AM166" s="51">
        <v>112.2</v>
      </c>
      <c r="AN166" s="51">
        <v>44.6</v>
      </c>
      <c r="AO166" s="51">
        <v>2381.6</v>
      </c>
      <c r="AP166" s="51">
        <v>269.7</v>
      </c>
      <c r="AQ166" s="51">
        <v>154.69999999999999</v>
      </c>
      <c r="AR166" s="51">
        <v>58.7</v>
      </c>
      <c r="AS166" s="51">
        <v>126.1</v>
      </c>
      <c r="AT166" s="51">
        <v>83.6</v>
      </c>
      <c r="AU166" s="51">
        <v>83.2</v>
      </c>
      <c r="AV166" s="51">
        <v>47.4</v>
      </c>
      <c r="AW166" s="51">
        <v>16.899999999999999</v>
      </c>
      <c r="AX166" s="51">
        <v>9</v>
      </c>
      <c r="AY166" s="51">
        <v>47.4</v>
      </c>
      <c r="AZ166" s="51">
        <v>15.9</v>
      </c>
      <c r="BA166" s="51" t="s">
        <v>264</v>
      </c>
      <c r="BB166" s="51" t="s">
        <v>264</v>
      </c>
      <c r="BC166" s="51"/>
      <c r="BD166" s="53">
        <v>119.5</v>
      </c>
      <c r="BE166" s="53">
        <v>34.1</v>
      </c>
      <c r="BF166" s="55"/>
      <c r="BG166" s="55"/>
      <c r="BH166" s="53">
        <v>317.89999999999998</v>
      </c>
      <c r="BI166" s="55"/>
      <c r="BJ166" s="55"/>
      <c r="BK166" s="53">
        <v>207.5</v>
      </c>
      <c r="BL166" s="53">
        <v>0.9</v>
      </c>
      <c r="BM166" s="53">
        <v>526.29999999999995</v>
      </c>
      <c r="BN166" s="53">
        <v>237.5</v>
      </c>
      <c r="BO166" s="55"/>
      <c r="BP166" s="55"/>
      <c r="BQ166" s="53">
        <v>100.8</v>
      </c>
      <c r="BR166" s="53">
        <v>5.5</v>
      </c>
      <c r="BS166" s="53">
        <v>343.8</v>
      </c>
      <c r="BT166" s="52" t="s">
        <v>264</v>
      </c>
      <c r="BU166" s="53">
        <v>25.8</v>
      </c>
      <c r="BV166" s="51">
        <v>356.8</v>
      </c>
      <c r="BW166" s="51">
        <v>110.1</v>
      </c>
      <c r="BX166" s="51">
        <v>409.4</v>
      </c>
      <c r="BY166" s="51">
        <v>57</v>
      </c>
      <c r="BZ166" s="51">
        <v>8.5</v>
      </c>
      <c r="CA166" s="49">
        <v>65.5</v>
      </c>
      <c r="CB166" s="55"/>
      <c r="CC166" s="55"/>
      <c r="CD166" s="55"/>
      <c r="CE166" s="55"/>
      <c r="CF166" s="53">
        <v>120</v>
      </c>
      <c r="CG166" s="53">
        <v>165.3</v>
      </c>
      <c r="CH166" s="53">
        <v>7.7</v>
      </c>
      <c r="CI166" s="55"/>
      <c r="CJ166" s="55"/>
      <c r="CK166" s="55"/>
      <c r="CL166" s="55"/>
      <c r="CM166" s="55"/>
      <c r="CN166" s="53">
        <v>56</v>
      </c>
      <c r="CO166" s="52">
        <v>305.29999999999995</v>
      </c>
      <c r="CP166" s="53">
        <v>234.7</v>
      </c>
      <c r="CQ166" s="53">
        <v>70.599999999999994</v>
      </c>
      <c r="CR166" s="52" t="s">
        <v>264</v>
      </c>
      <c r="CS166" s="52">
        <v>54.2</v>
      </c>
      <c r="CT166" s="52">
        <v>43.1</v>
      </c>
      <c r="CU166" s="52">
        <v>11.1</v>
      </c>
      <c r="CV166" s="52">
        <v>52.2</v>
      </c>
      <c r="CW166" s="53">
        <v>13.5</v>
      </c>
      <c r="CX166" s="53">
        <v>38.700000000000003</v>
      </c>
      <c r="CY166" s="53" t="s">
        <v>264</v>
      </c>
      <c r="CZ166" s="53">
        <v>87.1</v>
      </c>
      <c r="DA166" s="52">
        <v>20.3</v>
      </c>
      <c r="DB166" s="53">
        <v>19</v>
      </c>
      <c r="DC166" s="53">
        <v>1.3</v>
      </c>
      <c r="DD166" s="55"/>
      <c r="DE166" s="55"/>
      <c r="DF166" s="55"/>
      <c r="DG166" s="53">
        <v>61.235999999999997</v>
      </c>
      <c r="DH166" s="55"/>
      <c r="DI166" s="53">
        <v>613.56899999999996</v>
      </c>
      <c r="DJ166" s="53">
        <v>230.66800000000001</v>
      </c>
      <c r="DK166" s="53">
        <v>503.09100000000001</v>
      </c>
      <c r="DL166" s="53">
        <v>147.863</v>
      </c>
      <c r="DM166" s="53">
        <v>204.97499999999999</v>
      </c>
      <c r="DN166" s="55"/>
      <c r="DO166" s="53">
        <v>188.97900000000001</v>
      </c>
      <c r="DP166" s="53">
        <v>219.86600000000001</v>
      </c>
      <c r="DQ166" s="55"/>
      <c r="DR166" s="55"/>
      <c r="DS166" s="53">
        <v>837.61300000000006</v>
      </c>
      <c r="DT166" s="53">
        <v>3195.4340000000002</v>
      </c>
      <c r="DU166" s="53">
        <v>-248.8100000000004</v>
      </c>
      <c r="DV166" s="53">
        <v>0.3340000000002874</v>
      </c>
      <c r="DW166" s="55"/>
      <c r="DX166" s="55"/>
      <c r="DY166" s="55"/>
      <c r="DZ166" s="55"/>
      <c r="EA166" s="55"/>
      <c r="EB166" s="55"/>
      <c r="EC166" s="55"/>
      <c r="ED166" s="55"/>
      <c r="EE166" s="55"/>
      <c r="EF166" s="55"/>
      <c r="EG166" s="55"/>
      <c r="EH166" s="55"/>
      <c r="EI166" s="55"/>
      <c r="EJ166" s="55"/>
      <c r="EK166" s="55"/>
      <c r="EL166" s="55"/>
      <c r="EM166" s="55"/>
      <c r="EN166" s="55"/>
      <c r="EO166" s="55"/>
      <c r="EP166" s="55"/>
      <c r="EQ166" s="55"/>
      <c r="ER166" s="55"/>
      <c r="ES166" s="55"/>
      <c r="ET166" s="55"/>
      <c r="EU166" s="55"/>
      <c r="EV166" s="55"/>
      <c r="EW166" s="55"/>
      <c r="EX166" s="55"/>
      <c r="EY166" s="55"/>
      <c r="EZ166" s="55"/>
      <c r="FA166" s="55"/>
      <c r="FB166" s="55"/>
      <c r="FC166" s="55"/>
      <c r="FD166" s="55"/>
      <c r="FE166" s="55"/>
      <c r="FF166" s="55"/>
      <c r="FG166" s="55"/>
      <c r="FH166" s="55"/>
      <c r="FI166" s="55"/>
      <c r="FJ166" s="55"/>
      <c r="FK166" s="55"/>
      <c r="FL166" s="55"/>
      <c r="FM166" s="55"/>
      <c r="FN166" s="55"/>
      <c r="FO166" s="55"/>
      <c r="FP166" s="55"/>
      <c r="FQ166" s="55"/>
      <c r="FR166" s="55"/>
      <c r="FS166" s="55"/>
      <c r="FT166" s="55"/>
      <c r="FU166" s="55"/>
      <c r="FV166" s="55"/>
      <c r="FW166" s="55"/>
      <c r="FX166" s="55"/>
      <c r="FY166" s="55"/>
      <c r="FZ166" s="55"/>
      <c r="GA166" s="55"/>
      <c r="GB166" s="55"/>
      <c r="GC166" s="55"/>
      <c r="GD166" s="55"/>
      <c r="GE166" s="55"/>
      <c r="GF166" s="55"/>
      <c r="GG166" s="55"/>
      <c r="GH166" s="55"/>
      <c r="GI166" s="55"/>
      <c r="GJ166" s="55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3">
        <v>950.6</v>
      </c>
      <c r="HA166" s="55"/>
      <c r="HB166" s="55"/>
      <c r="HC166" s="55"/>
      <c r="HD166" s="55"/>
      <c r="HE166" s="55"/>
      <c r="HF166" s="55"/>
      <c r="HG166" s="55"/>
      <c r="HH166" s="55"/>
      <c r="HI166" s="55"/>
      <c r="HJ166" s="55"/>
      <c r="HK166" s="55"/>
      <c r="HL166" s="55"/>
      <c r="HM166" s="55"/>
      <c r="HN166" s="55"/>
      <c r="HO166" s="55"/>
      <c r="HP166" s="55"/>
      <c r="HQ166" s="55"/>
      <c r="HR166" s="55"/>
      <c r="HS166" s="55"/>
      <c r="HT166" s="55"/>
      <c r="HU166" s="55"/>
      <c r="HV166" s="55"/>
      <c r="HW166" s="55"/>
      <c r="HX166" s="55"/>
      <c r="HY166" s="55"/>
      <c r="HZ166" s="55"/>
      <c r="IA166" s="55"/>
      <c r="IB166" s="55"/>
      <c r="IC166" s="55"/>
      <c r="ID166" s="55"/>
      <c r="IE166" s="55"/>
      <c r="IF166" s="55"/>
      <c r="IG166" s="55"/>
      <c r="IH166" s="55"/>
      <c r="II166" s="55"/>
      <c r="IJ166" s="55"/>
      <c r="IK166" s="55"/>
      <c r="IL166" s="55"/>
      <c r="IM166" s="55"/>
      <c r="IN166" s="53">
        <v>75.599999999999994</v>
      </c>
      <c r="IY166" s="48">
        <f t="shared" si="8"/>
        <v>47.628556226722168</v>
      </c>
      <c r="IZ166" s="48">
        <f>IY166-'NOPA Crush'!J166</f>
        <v>4.8556226722169527E-2</v>
      </c>
      <c r="JB166" s="63">
        <f t="shared" si="6"/>
        <v>10.820318612875967</v>
      </c>
      <c r="JC166" s="64">
        <f>JB166-'NOPA Crush'!O166</f>
        <v>-1.9681387124032668E-2</v>
      </c>
      <c r="JD166" s="65"/>
      <c r="JE166" s="67">
        <f t="shared" si="7"/>
        <v>2240.7000000000003</v>
      </c>
      <c r="JF166" s="68">
        <f>'NOPA Crush'!Q166/'Census Crush'!JE166</f>
        <v>0.35846699692060513</v>
      </c>
    </row>
    <row r="167" spans="1:266">
      <c r="A167" s="39">
        <v>34121</v>
      </c>
      <c r="B167" s="51">
        <v>2996.8</v>
      </c>
      <c r="C167" s="51">
        <v>2014.2</v>
      </c>
      <c r="D167" s="51">
        <v>242.7</v>
      </c>
      <c r="E167" s="51">
        <v>623.1</v>
      </c>
      <c r="F167" s="51">
        <v>34.9</v>
      </c>
      <c r="G167" s="51">
        <v>60.5</v>
      </c>
      <c r="H167" s="51">
        <v>25.3</v>
      </c>
      <c r="I167" s="51" t="s">
        <v>264</v>
      </c>
      <c r="J167" s="51" t="s">
        <v>264</v>
      </c>
      <c r="K167" s="51">
        <v>1083.0999999999999</v>
      </c>
      <c r="L167" s="49">
        <v>2174</v>
      </c>
      <c r="M167" s="51">
        <v>1967</v>
      </c>
      <c r="N167" s="51">
        <v>207</v>
      </c>
      <c r="O167" s="51">
        <v>77.7</v>
      </c>
      <c r="P167" s="51">
        <v>115.2</v>
      </c>
      <c r="Q167" s="51">
        <v>38.200000000000003</v>
      </c>
      <c r="R167" s="51">
        <v>77</v>
      </c>
      <c r="S167" s="51"/>
      <c r="T167" s="51">
        <v>29</v>
      </c>
      <c r="U167" s="51">
        <v>67.900000000000006</v>
      </c>
      <c r="V167" s="51">
        <v>62</v>
      </c>
      <c r="W167" s="51">
        <v>5.9</v>
      </c>
      <c r="X167" s="51">
        <v>46.8</v>
      </c>
      <c r="Y167" s="51">
        <v>3.5</v>
      </c>
      <c r="Z167" s="49">
        <v>131.1</v>
      </c>
      <c r="AA167" s="51">
        <v>120.7</v>
      </c>
      <c r="AB167" s="51">
        <v>10.4</v>
      </c>
      <c r="AC167" s="51" t="s">
        <v>264</v>
      </c>
      <c r="AD167" s="51">
        <v>21.1</v>
      </c>
      <c r="AE167" s="51"/>
      <c r="AF167" s="51">
        <v>81.5</v>
      </c>
      <c r="AG167" s="51">
        <v>62.9</v>
      </c>
      <c r="AH167" s="51">
        <v>18.600000000000001</v>
      </c>
      <c r="AI167" s="51">
        <v>164.5</v>
      </c>
      <c r="AJ167" s="51"/>
      <c r="AK167" s="51"/>
      <c r="AL167" s="51">
        <v>193.79999999999998</v>
      </c>
      <c r="AM167" s="51">
        <v>149.19999999999999</v>
      </c>
      <c r="AN167" s="51">
        <v>44.6</v>
      </c>
      <c r="AO167" s="51">
        <v>2221.4</v>
      </c>
      <c r="AP167" s="51">
        <v>203</v>
      </c>
      <c r="AQ167" s="51">
        <v>151.6</v>
      </c>
      <c r="AR167" s="51">
        <v>54.4</v>
      </c>
      <c r="AS167" s="51">
        <v>103</v>
      </c>
      <c r="AT167" s="51">
        <v>70.400000000000006</v>
      </c>
      <c r="AU167" s="51">
        <v>73.099999999999994</v>
      </c>
      <c r="AV167" s="51">
        <v>33.299999999999997</v>
      </c>
      <c r="AW167" s="51">
        <v>19.899999999999999</v>
      </c>
      <c r="AX167" s="51">
        <v>10.4</v>
      </c>
      <c r="AY167" s="51">
        <v>33.200000000000003</v>
      </c>
      <c r="AZ167" s="51">
        <v>10.199999999999999</v>
      </c>
      <c r="BA167" s="51" t="s">
        <v>264</v>
      </c>
      <c r="BB167" s="51" t="s">
        <v>264</v>
      </c>
      <c r="BC167" s="51"/>
      <c r="BD167" s="53">
        <v>126.5</v>
      </c>
      <c r="BE167" s="53">
        <v>42.4</v>
      </c>
      <c r="BF167" s="55"/>
      <c r="BG167" s="55"/>
      <c r="BH167" s="53">
        <v>338.4</v>
      </c>
      <c r="BI167" s="55"/>
      <c r="BJ167" s="55"/>
      <c r="BK167" s="53">
        <v>241.2</v>
      </c>
      <c r="BL167" s="53">
        <v>1.2</v>
      </c>
      <c r="BM167" s="53">
        <v>580.79999999999995</v>
      </c>
      <c r="BN167" s="53">
        <v>237.5</v>
      </c>
      <c r="BO167" s="55"/>
      <c r="BP167" s="55"/>
      <c r="BQ167" s="53">
        <v>90.6</v>
      </c>
      <c r="BR167" s="53">
        <v>5.6</v>
      </c>
      <c r="BS167" s="53">
        <v>333.70000000000005</v>
      </c>
      <c r="BT167" s="52" t="s">
        <v>264</v>
      </c>
      <c r="BU167" s="53">
        <v>31.1</v>
      </c>
      <c r="BV167" s="51">
        <v>377.3</v>
      </c>
      <c r="BW167" s="51">
        <v>117.8</v>
      </c>
      <c r="BX167" s="51">
        <v>434.1</v>
      </c>
      <c r="BY167" s="51">
        <v>42.1</v>
      </c>
      <c r="BZ167" s="51">
        <v>9.6999999999999993</v>
      </c>
      <c r="CA167" s="49">
        <v>51.8</v>
      </c>
      <c r="CB167" s="55"/>
      <c r="CC167" s="55"/>
      <c r="CD167" s="55"/>
      <c r="CE167" s="55"/>
      <c r="CF167" s="53">
        <v>126.6</v>
      </c>
      <c r="CG167" s="53">
        <v>179.2</v>
      </c>
      <c r="CH167" s="53">
        <v>7.3</v>
      </c>
      <c r="CI167" s="55"/>
      <c r="CJ167" s="55"/>
      <c r="CK167" s="55"/>
      <c r="CL167" s="55"/>
      <c r="CM167" s="55"/>
      <c r="CN167" s="53">
        <v>55.2</v>
      </c>
      <c r="CO167" s="52">
        <v>257.2</v>
      </c>
      <c r="CP167" s="53">
        <v>196</v>
      </c>
      <c r="CQ167" s="53">
        <v>61.2</v>
      </c>
      <c r="CR167" s="52" t="s">
        <v>264</v>
      </c>
      <c r="CS167" s="52">
        <v>58.5</v>
      </c>
      <c r="CT167" s="52">
        <v>45.2</v>
      </c>
      <c r="CU167" s="52">
        <v>13.3</v>
      </c>
      <c r="CV167" s="52">
        <v>32.6</v>
      </c>
      <c r="CW167" s="53">
        <v>12.4</v>
      </c>
      <c r="CX167" s="53">
        <v>20.2</v>
      </c>
      <c r="CY167" s="53" t="s">
        <v>264</v>
      </c>
      <c r="CZ167" s="53">
        <v>70.2</v>
      </c>
      <c r="DA167" s="52">
        <v>14.7</v>
      </c>
      <c r="DB167" s="53">
        <v>13.6</v>
      </c>
      <c r="DC167" s="53">
        <v>1.1000000000000001</v>
      </c>
      <c r="DD167" s="55"/>
      <c r="DE167" s="55"/>
      <c r="DF167" s="55"/>
      <c r="DG167" s="53">
        <v>105.55200000000001</v>
      </c>
      <c r="DH167" s="55"/>
      <c r="DI167" s="53">
        <v>535.96500000000003</v>
      </c>
      <c r="DJ167" s="53">
        <v>205.44499999999999</v>
      </c>
      <c r="DK167" s="53">
        <v>537.89599999999996</v>
      </c>
      <c r="DL167" s="53">
        <v>138.916</v>
      </c>
      <c r="DM167" s="53">
        <v>216.83799999999999</v>
      </c>
      <c r="DN167" s="55"/>
      <c r="DO167" s="53">
        <v>153.83799999999999</v>
      </c>
      <c r="DP167" s="53">
        <v>207.81700000000001</v>
      </c>
      <c r="DQ167" s="55"/>
      <c r="DR167" s="55"/>
      <c r="DS167" s="53">
        <v>723.30600000000004</v>
      </c>
      <c r="DT167" s="53">
        <v>2996.8180000000002</v>
      </c>
      <c r="DU167" s="53">
        <v>-276.79700000000048</v>
      </c>
      <c r="DV167" s="53">
        <v>1.8000000000029104E-2</v>
      </c>
      <c r="DW167" s="55"/>
      <c r="DX167" s="55"/>
      <c r="DY167" s="55"/>
      <c r="DZ167" s="55"/>
      <c r="EA167" s="55"/>
      <c r="EB167" s="55"/>
      <c r="EC167" s="55"/>
      <c r="ED167" s="55"/>
      <c r="EE167" s="55"/>
      <c r="EF167" s="55"/>
      <c r="EG167" s="55"/>
      <c r="EH167" s="55"/>
      <c r="EI167" s="55"/>
      <c r="EJ167" s="55"/>
      <c r="EK167" s="55"/>
      <c r="EL167" s="55"/>
      <c r="EM167" s="55"/>
      <c r="EN167" s="55"/>
      <c r="EO167" s="55"/>
      <c r="EP167" s="55"/>
      <c r="EQ167" s="55"/>
      <c r="ER167" s="55"/>
      <c r="ES167" s="55"/>
      <c r="ET167" s="55"/>
      <c r="EU167" s="55"/>
      <c r="EV167" s="55"/>
      <c r="EW167" s="55"/>
      <c r="EX167" s="55"/>
      <c r="EY167" s="55"/>
      <c r="EZ167" s="55"/>
      <c r="FA167" s="55"/>
      <c r="FB167" s="55"/>
      <c r="FC167" s="55"/>
      <c r="FD167" s="55"/>
      <c r="FE167" s="55"/>
      <c r="FF167" s="55"/>
      <c r="FG167" s="55"/>
      <c r="FH167" s="55"/>
      <c r="FI167" s="55"/>
      <c r="FJ167" s="55"/>
      <c r="FK167" s="55"/>
      <c r="FL167" s="55"/>
      <c r="FM167" s="55"/>
      <c r="FN167" s="55"/>
      <c r="FO167" s="55"/>
      <c r="FP167" s="55"/>
      <c r="FQ167" s="55"/>
      <c r="FR167" s="55"/>
      <c r="FS167" s="55"/>
      <c r="FT167" s="55"/>
      <c r="FU167" s="55"/>
      <c r="FV167" s="55"/>
      <c r="FW167" s="55"/>
      <c r="FX167" s="55"/>
      <c r="FY167" s="55"/>
      <c r="FZ167" s="55"/>
      <c r="GA167" s="55"/>
      <c r="GB167" s="55"/>
      <c r="GC167" s="55"/>
      <c r="GD167" s="55"/>
      <c r="GE167" s="55"/>
      <c r="GF167" s="55"/>
      <c r="GG167" s="55"/>
      <c r="GH167" s="55"/>
      <c r="GI167" s="55"/>
      <c r="GJ167" s="55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3">
        <v>1042.8</v>
      </c>
      <c r="HA167" s="55"/>
      <c r="HB167" s="55"/>
      <c r="HC167" s="55"/>
      <c r="HD167" s="55"/>
      <c r="HE167" s="55"/>
      <c r="HF167" s="55"/>
      <c r="HG167" s="55"/>
      <c r="HH167" s="55"/>
      <c r="HI167" s="55"/>
      <c r="HJ167" s="55"/>
      <c r="HK167" s="55"/>
      <c r="HL167" s="55"/>
      <c r="HM167" s="55"/>
      <c r="HN167" s="55"/>
      <c r="HO167" s="55"/>
      <c r="HP167" s="55"/>
      <c r="HQ167" s="55"/>
      <c r="HR167" s="55"/>
      <c r="HS167" s="55"/>
      <c r="HT167" s="55"/>
      <c r="HU167" s="55"/>
      <c r="HV167" s="55"/>
      <c r="HW167" s="55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3">
        <v>70.8</v>
      </c>
      <c r="IY167" s="48">
        <f t="shared" si="8"/>
        <v>47.510678056593697</v>
      </c>
      <c r="IZ167" s="48">
        <f>IY167-'NOPA Crush'!J167</f>
        <v>-4.9321943406305024E-2</v>
      </c>
      <c r="JB167" s="63">
        <f t="shared" si="6"/>
        <v>10.842565403096634</v>
      </c>
      <c r="JC167" s="64">
        <f>JB167-'NOPA Crush'!O167</f>
        <v>-3.7434596903366923E-2</v>
      </c>
      <c r="JD167" s="65"/>
      <c r="JE167" s="67">
        <f t="shared" si="7"/>
        <v>2174</v>
      </c>
      <c r="JF167" s="68">
        <f>'NOPA Crush'!Q167/'Census Crush'!JE167</f>
        <v>0.35704967801287946</v>
      </c>
    </row>
    <row r="168" spans="1:266">
      <c r="A168" s="39">
        <v>34151</v>
      </c>
      <c r="B168" s="51">
        <v>2939.5</v>
      </c>
      <c r="C168" s="51">
        <v>1659.6</v>
      </c>
      <c r="D168" s="51">
        <v>237.2</v>
      </c>
      <c r="E168" s="51">
        <v>365.3</v>
      </c>
      <c r="F168" s="51">
        <v>32.1</v>
      </c>
      <c r="G168" s="51">
        <v>41.6</v>
      </c>
      <c r="H168" s="51">
        <v>6.4</v>
      </c>
      <c r="I168" s="51" t="s">
        <v>264</v>
      </c>
      <c r="J168" s="51" t="s">
        <v>264</v>
      </c>
      <c r="K168" s="51">
        <v>1069.9000000000001</v>
      </c>
      <c r="L168" s="49">
        <v>2060.6</v>
      </c>
      <c r="M168" s="51">
        <v>1848.8</v>
      </c>
      <c r="N168" s="51">
        <v>211.8</v>
      </c>
      <c r="O168" s="51">
        <v>76.5</v>
      </c>
      <c r="P168" s="51">
        <v>95.3</v>
      </c>
      <c r="Q168" s="51">
        <v>37.9</v>
      </c>
      <c r="R168" s="51">
        <v>57.4</v>
      </c>
      <c r="S168" s="51"/>
      <c r="T168" s="51">
        <v>26.5</v>
      </c>
      <c r="U168" s="51">
        <v>50.1</v>
      </c>
      <c r="V168" s="51">
        <v>46.7</v>
      </c>
      <c r="W168" s="51">
        <v>3.4</v>
      </c>
      <c r="X168" s="51">
        <v>30.6</v>
      </c>
      <c r="Y168" s="51">
        <v>0.6</v>
      </c>
      <c r="Z168" s="49">
        <v>101.8</v>
      </c>
      <c r="AA168" s="51">
        <v>87.6</v>
      </c>
      <c r="AB168" s="51">
        <v>14.2</v>
      </c>
      <c r="AC168" s="51" t="s">
        <v>264</v>
      </c>
      <c r="AD168" s="51">
        <v>19.3</v>
      </c>
      <c r="AE168" s="51"/>
      <c r="AF168" s="51">
        <v>75.900000000000006</v>
      </c>
      <c r="AG168" s="51">
        <v>58.1</v>
      </c>
      <c r="AH168" s="51">
        <v>17.8</v>
      </c>
      <c r="AI168" s="51">
        <v>163</v>
      </c>
      <c r="AJ168" s="51"/>
      <c r="AK168" s="51"/>
      <c r="AL168" s="51">
        <v>143.69999999999999</v>
      </c>
      <c r="AM168" s="51">
        <v>108.3</v>
      </c>
      <c r="AN168" s="51">
        <v>35.4</v>
      </c>
      <c r="AO168" s="51">
        <v>2183.1</v>
      </c>
      <c r="AP168" s="51">
        <v>329.6</v>
      </c>
      <c r="AQ168" s="51">
        <v>141</v>
      </c>
      <c r="AR168" s="51">
        <v>56.5</v>
      </c>
      <c r="AS168" s="51">
        <v>101</v>
      </c>
      <c r="AT168" s="51">
        <v>70.599999999999994</v>
      </c>
      <c r="AU168" s="51">
        <v>70.3</v>
      </c>
      <c r="AV168" s="51">
        <v>30.9</v>
      </c>
      <c r="AW168" s="51">
        <v>18.600000000000001</v>
      </c>
      <c r="AX168" s="51">
        <v>6.1</v>
      </c>
      <c r="AY168" s="51">
        <v>22.8</v>
      </c>
      <c r="AZ168" s="51">
        <v>9</v>
      </c>
      <c r="BA168" s="51" t="s">
        <v>264</v>
      </c>
      <c r="BB168" s="51" t="s">
        <v>264</v>
      </c>
      <c r="BC168" s="51"/>
      <c r="BD168" s="53">
        <v>112.3</v>
      </c>
      <c r="BE168" s="53">
        <v>40.299999999999997</v>
      </c>
      <c r="BF168" s="55"/>
      <c r="BG168" s="55"/>
      <c r="BH168" s="53">
        <v>316.10000000000002</v>
      </c>
      <c r="BI168" s="55"/>
      <c r="BJ168" s="55"/>
      <c r="BK168" s="53">
        <v>218.6</v>
      </c>
      <c r="BL168" s="53">
        <v>0.6</v>
      </c>
      <c r="BM168" s="53">
        <v>535.29999999999995</v>
      </c>
      <c r="BN168" s="53">
        <v>236</v>
      </c>
      <c r="BO168" s="55"/>
      <c r="BP168" s="55"/>
      <c r="BQ168" s="53">
        <v>106.2</v>
      </c>
      <c r="BR168" s="53">
        <v>6.6</v>
      </c>
      <c r="BS168" s="53">
        <v>348.8</v>
      </c>
      <c r="BT168" s="52" t="s">
        <v>264</v>
      </c>
      <c r="BU168" s="53">
        <v>27.4</v>
      </c>
      <c r="BV168" s="51">
        <v>353.6</v>
      </c>
      <c r="BW168" s="51">
        <v>103.8</v>
      </c>
      <c r="BX168" s="51">
        <v>401</v>
      </c>
      <c r="BY168" s="51">
        <v>39.200000000000003</v>
      </c>
      <c r="BZ168" s="51">
        <v>8.5</v>
      </c>
      <c r="CA168" s="49">
        <v>47.7</v>
      </c>
      <c r="CB168" s="55"/>
      <c r="CC168" s="55"/>
      <c r="CD168" s="55"/>
      <c r="CE168" s="55"/>
      <c r="CF168" s="53">
        <v>117</v>
      </c>
      <c r="CG168" s="53">
        <v>173.1</v>
      </c>
      <c r="CH168" s="53">
        <v>7.5</v>
      </c>
      <c r="CI168" s="55"/>
      <c r="CJ168" s="55"/>
      <c r="CK168" s="55"/>
      <c r="CL168" s="55"/>
      <c r="CM168" s="55"/>
      <c r="CN168" s="53">
        <v>58.2</v>
      </c>
      <c r="CO168" s="52">
        <v>233.8</v>
      </c>
      <c r="CP168" s="53">
        <v>161.6</v>
      </c>
      <c r="CQ168" s="53">
        <v>72.2</v>
      </c>
      <c r="CR168" s="52" t="s">
        <v>264</v>
      </c>
      <c r="CS168" s="52">
        <v>62.5</v>
      </c>
      <c r="CT168" s="52">
        <v>39</v>
      </c>
      <c r="CU168" s="52">
        <v>23.5</v>
      </c>
      <c r="CV168" s="52">
        <v>28.299999999999997</v>
      </c>
      <c r="CW168" s="53">
        <v>10.9</v>
      </c>
      <c r="CX168" s="53">
        <v>17.399999999999999</v>
      </c>
      <c r="CY168" s="53" t="s">
        <v>264</v>
      </c>
      <c r="CZ168" s="53">
        <v>93.7</v>
      </c>
      <c r="DA168" s="52">
        <v>12.600000000000001</v>
      </c>
      <c r="DB168" s="53">
        <v>11.8</v>
      </c>
      <c r="DC168" s="53">
        <v>0.8</v>
      </c>
      <c r="DD168" s="55"/>
      <c r="DE168" s="55"/>
      <c r="DF168" s="55"/>
      <c r="DG168" s="53">
        <v>125.15300000000001</v>
      </c>
      <c r="DH168" s="55"/>
      <c r="DI168" s="53">
        <v>515.23099999999999</v>
      </c>
      <c r="DJ168" s="53">
        <v>210.77600000000001</v>
      </c>
      <c r="DK168" s="53">
        <v>491.15699999999998</v>
      </c>
      <c r="DL168" s="53">
        <v>142.417</v>
      </c>
      <c r="DM168" s="53">
        <v>183.12</v>
      </c>
      <c r="DN168" s="55"/>
      <c r="DO168" s="53">
        <v>188.38399999999999</v>
      </c>
      <c r="DP168" s="53">
        <v>179.43700000000001</v>
      </c>
      <c r="DQ168" s="55"/>
      <c r="DR168" s="55"/>
      <c r="DS168" s="53">
        <v>732.70699999999999</v>
      </c>
      <c r="DT168" s="53">
        <v>2939.538</v>
      </c>
      <c r="DU168" s="53">
        <v>-296.3090000000002</v>
      </c>
      <c r="DV168" s="53">
        <v>3.8000000000010914E-2</v>
      </c>
      <c r="DW168" s="55"/>
      <c r="DX168" s="55"/>
      <c r="DY168" s="55"/>
      <c r="DZ168" s="55"/>
      <c r="EA168" s="55"/>
      <c r="EB168" s="55"/>
      <c r="EC168" s="55"/>
      <c r="ED168" s="55"/>
      <c r="EE168" s="55"/>
      <c r="EF168" s="55"/>
      <c r="EG168" s="55"/>
      <c r="EH168" s="55"/>
      <c r="EI168" s="55"/>
      <c r="EJ168" s="55"/>
      <c r="EK168" s="55"/>
      <c r="EL168" s="55"/>
      <c r="EM168" s="55"/>
      <c r="EN168" s="55"/>
      <c r="EO168" s="55"/>
      <c r="EP168" s="55"/>
      <c r="EQ168" s="55"/>
      <c r="ER168" s="55"/>
      <c r="ES168" s="55"/>
      <c r="ET168" s="55"/>
      <c r="EU168" s="55"/>
      <c r="EV168" s="55"/>
      <c r="EW168" s="55"/>
      <c r="EX168" s="55"/>
      <c r="EY168" s="55"/>
      <c r="EZ168" s="55"/>
      <c r="FA168" s="55"/>
      <c r="FB168" s="55"/>
      <c r="FC168" s="55"/>
      <c r="FD168" s="55"/>
      <c r="FE168" s="55"/>
      <c r="FF168" s="55"/>
      <c r="FG168" s="55"/>
      <c r="FH168" s="55"/>
      <c r="FI168" s="55"/>
      <c r="FJ168" s="55"/>
      <c r="FK168" s="55"/>
      <c r="FL168" s="55"/>
      <c r="FM168" s="55"/>
      <c r="FN168" s="55"/>
      <c r="FO168" s="55"/>
      <c r="FP168" s="55"/>
      <c r="FQ168" s="55"/>
      <c r="FR168" s="55"/>
      <c r="FS168" s="55"/>
      <c r="FT168" s="55"/>
      <c r="FU168" s="55"/>
      <c r="FV168" s="55"/>
      <c r="FW168" s="55"/>
      <c r="FX168" s="55"/>
      <c r="FY168" s="55"/>
      <c r="FZ168" s="55"/>
      <c r="GA168" s="55"/>
      <c r="GB168" s="55"/>
      <c r="GC168" s="55"/>
      <c r="GD168" s="55"/>
      <c r="GE168" s="55"/>
      <c r="GF168" s="55"/>
      <c r="GG168" s="55"/>
      <c r="GH168" s="55"/>
      <c r="GI168" s="55"/>
      <c r="GJ168" s="55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3">
        <v>978.2</v>
      </c>
      <c r="HA168" s="55"/>
      <c r="HB168" s="55"/>
      <c r="HC168" s="55"/>
      <c r="HD168" s="55"/>
      <c r="HE168" s="55"/>
      <c r="HF168" s="55"/>
      <c r="HG168" s="55"/>
      <c r="HH168" s="55"/>
      <c r="HI168" s="55"/>
      <c r="HJ168" s="55"/>
      <c r="HK168" s="55"/>
      <c r="HL168" s="55"/>
      <c r="HM168" s="55"/>
      <c r="HN168" s="55"/>
      <c r="HO168" s="55"/>
      <c r="HP168" s="55"/>
      <c r="HQ168" s="55"/>
      <c r="HR168" s="55"/>
      <c r="HS168" s="55"/>
      <c r="HT168" s="55"/>
      <c r="HU168" s="55"/>
      <c r="HV168" s="55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3">
        <v>62.4</v>
      </c>
      <c r="IY168" s="48">
        <f t="shared" si="8"/>
        <v>47.438680047627145</v>
      </c>
      <c r="IZ168" s="48">
        <f>IY168-'NOPA Crush'!J168</f>
        <v>-0.14131995237285366</v>
      </c>
      <c r="JB168" s="63">
        <f t="shared" si="6"/>
        <v>10.919203946249363</v>
      </c>
      <c r="JC168" s="64">
        <f>JB168-'NOPA Crush'!O168</f>
        <v>-7.9605375063707129E-4</v>
      </c>
      <c r="JD168" s="65"/>
      <c r="JE168" s="67">
        <f t="shared" si="7"/>
        <v>2060.6</v>
      </c>
      <c r="JF168" s="68">
        <f>'NOPA Crush'!Q168/'Census Crush'!JE168</f>
        <v>0.34840386295253811</v>
      </c>
    </row>
    <row r="169" spans="1:266">
      <c r="A169" s="39">
        <v>34182</v>
      </c>
      <c r="B169" s="51">
        <v>2766.4</v>
      </c>
      <c r="C169" s="51">
        <v>1259.0999999999999</v>
      </c>
      <c r="D169" s="51">
        <v>182.9</v>
      </c>
      <c r="E169" s="51">
        <v>243</v>
      </c>
      <c r="F169" s="51">
        <v>27.1</v>
      </c>
      <c r="G169" s="51" t="s">
        <v>264</v>
      </c>
      <c r="H169" s="51" t="s">
        <v>264</v>
      </c>
      <c r="I169" s="51" t="s">
        <v>264</v>
      </c>
      <c r="J169" s="51" t="s">
        <v>264</v>
      </c>
      <c r="K169" s="51">
        <v>1006.2</v>
      </c>
      <c r="L169" s="49">
        <v>1719.8</v>
      </c>
      <c r="M169" s="51">
        <v>1518.6</v>
      </c>
      <c r="N169" s="51">
        <v>201.2</v>
      </c>
      <c r="O169" s="51">
        <v>59.1</v>
      </c>
      <c r="P169" s="51">
        <v>85.9</v>
      </c>
      <c r="Q169" s="51">
        <v>28</v>
      </c>
      <c r="R169" s="51">
        <v>57.9</v>
      </c>
      <c r="S169" s="51"/>
      <c r="T169" s="51">
        <v>23</v>
      </c>
      <c r="U169" s="51">
        <v>50.699999999999996</v>
      </c>
      <c r="V169" s="51">
        <v>45.8</v>
      </c>
      <c r="W169" s="51">
        <v>4.9000000000000004</v>
      </c>
      <c r="X169" s="51" t="s">
        <v>264</v>
      </c>
      <c r="Y169" s="51">
        <v>2.9</v>
      </c>
      <c r="Z169" s="49">
        <v>77.7</v>
      </c>
      <c r="AA169" s="51">
        <v>67.400000000000006</v>
      </c>
      <c r="AB169" s="51">
        <v>10.3</v>
      </c>
      <c r="AC169" s="51" t="s">
        <v>264</v>
      </c>
      <c r="AD169" s="51">
        <v>21.8</v>
      </c>
      <c r="AE169" s="51"/>
      <c r="AF169" s="51">
        <v>70.8</v>
      </c>
      <c r="AG169" s="51">
        <v>53.6</v>
      </c>
      <c r="AH169" s="51">
        <v>17.2</v>
      </c>
      <c r="AI169" s="51">
        <v>158.5</v>
      </c>
      <c r="AJ169" s="51"/>
      <c r="AK169" s="51"/>
      <c r="AL169" s="51">
        <v>124.30000000000001</v>
      </c>
      <c r="AM169" s="51">
        <v>94.4</v>
      </c>
      <c r="AN169" s="51">
        <v>29.9</v>
      </c>
      <c r="AO169" s="51">
        <v>2051.8000000000002</v>
      </c>
      <c r="AP169" s="51">
        <v>289.60000000000002</v>
      </c>
      <c r="AQ169" s="51">
        <v>136.5</v>
      </c>
      <c r="AR169" s="51">
        <v>64.2</v>
      </c>
      <c r="AS169" s="51">
        <v>76.7</v>
      </c>
      <c r="AT169" s="51">
        <v>48.4</v>
      </c>
      <c r="AU169" s="51">
        <v>53.3</v>
      </c>
      <c r="AV169" s="51">
        <v>23.5</v>
      </c>
      <c r="AW169" s="51">
        <v>15.8</v>
      </c>
      <c r="AX169" s="51">
        <v>10.199999999999999</v>
      </c>
      <c r="AY169" s="51" t="s">
        <v>264</v>
      </c>
      <c r="AZ169" s="51" t="s">
        <v>264</v>
      </c>
      <c r="BA169" s="51" t="s">
        <v>264</v>
      </c>
      <c r="BB169" s="51" t="s">
        <v>264</v>
      </c>
      <c r="BC169" s="51"/>
      <c r="BD169" s="53">
        <v>133.5</v>
      </c>
      <c r="BE169" s="53">
        <v>43.5</v>
      </c>
      <c r="BF169" s="55"/>
      <c r="BG169" s="55"/>
      <c r="BH169" s="53">
        <v>339.5</v>
      </c>
      <c r="BI169" s="55"/>
      <c r="BJ169" s="55"/>
      <c r="BK169" s="53">
        <v>231.2</v>
      </c>
      <c r="BL169" s="53">
        <v>1</v>
      </c>
      <c r="BM169" s="53">
        <v>571.70000000000005</v>
      </c>
      <c r="BN169" s="53">
        <v>258.39999999999998</v>
      </c>
      <c r="BO169" s="55"/>
      <c r="BP169" s="55"/>
      <c r="BQ169" s="53">
        <v>113.1</v>
      </c>
      <c r="BR169" s="53">
        <v>7.2</v>
      </c>
      <c r="BS169" s="53">
        <v>378.7</v>
      </c>
      <c r="BT169" s="52" t="s">
        <v>264</v>
      </c>
      <c r="BU169" s="53">
        <v>23.6</v>
      </c>
      <c r="BV169" s="51">
        <v>388.6</v>
      </c>
      <c r="BW169" s="51">
        <v>113</v>
      </c>
      <c r="BX169" s="51">
        <v>439.5</v>
      </c>
      <c r="BY169" s="51">
        <v>45.5</v>
      </c>
      <c r="BZ169" s="51">
        <v>10.5</v>
      </c>
      <c r="CA169" s="49">
        <v>56</v>
      </c>
      <c r="CB169" s="55"/>
      <c r="CC169" s="55"/>
      <c r="CD169" s="55"/>
      <c r="CE169" s="55"/>
      <c r="CF169" s="53">
        <v>104.3</v>
      </c>
      <c r="CG169" s="53">
        <v>149.9</v>
      </c>
      <c r="CH169" s="53">
        <v>7.2</v>
      </c>
      <c r="CI169" s="55"/>
      <c r="CJ169" s="55"/>
      <c r="CK169" s="55"/>
      <c r="CL169" s="55"/>
      <c r="CM169" s="55"/>
      <c r="CN169" s="53">
        <v>49.9</v>
      </c>
      <c r="CO169" s="52">
        <v>231.4</v>
      </c>
      <c r="CP169" s="53">
        <v>179.4</v>
      </c>
      <c r="CQ169" s="53">
        <v>52</v>
      </c>
      <c r="CR169" s="52" t="s">
        <v>264</v>
      </c>
      <c r="CS169" s="52">
        <v>62.6</v>
      </c>
      <c r="CT169" s="52">
        <v>42.1</v>
      </c>
      <c r="CU169" s="52">
        <v>20.5</v>
      </c>
      <c r="CV169" s="52">
        <v>27.400000000000002</v>
      </c>
      <c r="CW169" s="53">
        <v>9.8000000000000007</v>
      </c>
      <c r="CX169" s="53">
        <v>17.600000000000001</v>
      </c>
      <c r="CY169" s="53" t="s">
        <v>264</v>
      </c>
      <c r="CZ169" s="53">
        <v>74.900000000000006</v>
      </c>
      <c r="DA169" s="52">
        <v>19.100000000000001</v>
      </c>
      <c r="DB169" s="53">
        <v>18</v>
      </c>
      <c r="DC169" s="53">
        <v>1.1000000000000001</v>
      </c>
      <c r="DD169" s="55"/>
      <c r="DE169" s="55"/>
      <c r="DF169" s="55"/>
      <c r="DG169" s="53">
        <v>112.595</v>
      </c>
      <c r="DH169" s="55"/>
      <c r="DI169" s="53">
        <v>501.58300000000003</v>
      </c>
      <c r="DJ169" s="53">
        <v>170.755</v>
      </c>
      <c r="DK169" s="53">
        <v>557.50199999999995</v>
      </c>
      <c r="DL169" s="53">
        <v>87.855000000000004</v>
      </c>
      <c r="DM169" s="53">
        <v>158.40299999999999</v>
      </c>
      <c r="DN169" s="55"/>
      <c r="DO169" s="53">
        <v>194.19399999999999</v>
      </c>
      <c r="DP169" s="53">
        <v>204.46899999999999</v>
      </c>
      <c r="DQ169" s="55"/>
      <c r="DR169" s="55"/>
      <c r="DS169" s="53">
        <v>618.77800000000002</v>
      </c>
      <c r="DT169" s="53">
        <v>2766.4009999999998</v>
      </c>
      <c r="DU169" s="53">
        <v>-272.86200000000008</v>
      </c>
      <c r="DV169" s="53">
        <v>9.9999999974897946E-4</v>
      </c>
      <c r="DW169" s="55"/>
      <c r="DX169" s="55"/>
      <c r="DY169" s="55"/>
      <c r="DZ169" s="55"/>
      <c r="EA169" s="55"/>
      <c r="EB169" s="55"/>
      <c r="EC169" s="55"/>
      <c r="ED169" s="55"/>
      <c r="EE169" s="55"/>
      <c r="EF169" s="55"/>
      <c r="EG169" s="55"/>
      <c r="EH169" s="55"/>
      <c r="EI169" s="55"/>
      <c r="EJ169" s="55"/>
      <c r="EK169" s="55"/>
      <c r="EL169" s="55"/>
      <c r="EM169" s="55"/>
      <c r="EN169" s="55"/>
      <c r="EO169" s="55"/>
      <c r="EP169" s="55"/>
      <c r="EQ169" s="55"/>
      <c r="ER169" s="55"/>
      <c r="ES169" s="55"/>
      <c r="ET169" s="55"/>
      <c r="EU169" s="55"/>
      <c r="EV169" s="55"/>
      <c r="EW169" s="55"/>
      <c r="EX169" s="55"/>
      <c r="EY169" s="55"/>
      <c r="EZ169" s="55"/>
      <c r="FA169" s="55"/>
      <c r="FB169" s="55"/>
      <c r="FC169" s="55"/>
      <c r="FD169" s="55"/>
      <c r="FE169" s="55"/>
      <c r="FF169" s="55"/>
      <c r="FG169" s="55"/>
      <c r="FH169" s="55"/>
      <c r="FI169" s="55"/>
      <c r="FJ169" s="55"/>
      <c r="FK169" s="55"/>
      <c r="FL169" s="55"/>
      <c r="FM169" s="55"/>
      <c r="FN169" s="55"/>
      <c r="FO169" s="55"/>
      <c r="FP169" s="55"/>
      <c r="FQ169" s="55"/>
      <c r="FR169" s="55"/>
      <c r="FS169" s="55"/>
      <c r="FT169" s="55"/>
      <c r="FU169" s="55"/>
      <c r="FV169" s="55"/>
      <c r="FW169" s="55"/>
      <c r="FX169" s="55"/>
      <c r="FY169" s="55"/>
      <c r="FZ169" s="55"/>
      <c r="GA169" s="55"/>
      <c r="GB169" s="55"/>
      <c r="GC169" s="55"/>
      <c r="GD169" s="55"/>
      <c r="GE169" s="55"/>
      <c r="GF169" s="55"/>
      <c r="GG169" s="55"/>
      <c r="GH169" s="55"/>
      <c r="GI169" s="55"/>
      <c r="GJ169" s="55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3">
        <v>1066.7</v>
      </c>
      <c r="HA169" s="55"/>
      <c r="HB169" s="55"/>
      <c r="HC169" s="55"/>
      <c r="HD169" s="55"/>
      <c r="HE169" s="55"/>
      <c r="HF169" s="55"/>
      <c r="HG169" s="55"/>
      <c r="HH169" s="55"/>
      <c r="HI169" s="55"/>
      <c r="HJ169" s="55"/>
      <c r="HK169" s="55"/>
      <c r="HL169" s="55"/>
      <c r="HM169" s="55"/>
      <c r="HN169" s="55"/>
      <c r="HO169" s="55"/>
      <c r="HP169" s="55"/>
      <c r="HQ169" s="55"/>
      <c r="HR169" s="55"/>
      <c r="HS169" s="55"/>
      <c r="HT169" s="55"/>
      <c r="HU169" s="55"/>
      <c r="HV169" s="55"/>
      <c r="HW169" s="55"/>
      <c r="HX169" s="55"/>
      <c r="HY169" s="55"/>
      <c r="HZ169" s="55"/>
      <c r="IA169" s="55"/>
      <c r="IB169" s="55"/>
      <c r="IC169" s="55"/>
      <c r="ID169" s="55"/>
      <c r="IE169" s="55"/>
      <c r="IF169" s="55"/>
      <c r="IG169" s="55"/>
      <c r="IH169" s="55"/>
      <c r="II169" s="55"/>
      <c r="IJ169" s="55"/>
      <c r="IK169" s="55"/>
      <c r="IL169" s="55"/>
      <c r="IM169" s="55"/>
      <c r="IN169" s="53">
        <v>65.099999999999994</v>
      </c>
      <c r="IY169" s="48">
        <f t="shared" si="8"/>
        <v>47.46168305378832</v>
      </c>
      <c r="IZ169" s="48">
        <f>IY169-'NOPA Crush'!J169</f>
        <v>-8.831694621167685E-2</v>
      </c>
      <c r="JB169" s="63">
        <f t="shared" si="6"/>
        <v>10.911654135338345</v>
      </c>
      <c r="JC169" s="64">
        <f>JB169-'NOPA Crush'!O169</f>
        <v>-3.8345864661653906E-2</v>
      </c>
      <c r="JD169" s="65"/>
      <c r="JE169" s="67">
        <f t="shared" si="7"/>
        <v>1719.8</v>
      </c>
      <c r="JF169" s="68">
        <f>'NOPA Crush'!Q169/'Census Crush'!JE169</f>
        <v>0.33582393301546692</v>
      </c>
    </row>
    <row r="170" spans="1:266">
      <c r="A170" s="39">
        <v>34213</v>
      </c>
      <c r="B170" s="51">
        <v>2953.2</v>
      </c>
      <c r="C170" s="51">
        <v>840.1</v>
      </c>
      <c r="D170" s="51">
        <v>162.6</v>
      </c>
      <c r="E170" s="51">
        <v>391.2</v>
      </c>
      <c r="F170" s="51">
        <v>5.2</v>
      </c>
      <c r="G170" s="51" t="s">
        <v>264</v>
      </c>
      <c r="H170" s="51" t="s">
        <v>264</v>
      </c>
      <c r="I170" s="51" t="s">
        <v>264</v>
      </c>
      <c r="J170" s="51" t="s">
        <v>264</v>
      </c>
      <c r="K170" s="51">
        <v>1077.8</v>
      </c>
      <c r="L170" s="49">
        <v>1554.8000000000002</v>
      </c>
      <c r="M170" s="51">
        <v>1352.9</v>
      </c>
      <c r="N170" s="51">
        <v>201.9</v>
      </c>
      <c r="O170" s="51">
        <v>51.7</v>
      </c>
      <c r="P170" s="51">
        <v>81</v>
      </c>
      <c r="Q170" s="51">
        <v>27.7</v>
      </c>
      <c r="R170" s="51">
        <v>53.3</v>
      </c>
      <c r="S170" s="51"/>
      <c r="T170" s="51">
        <v>3.9</v>
      </c>
      <c r="U170" s="51">
        <v>37</v>
      </c>
      <c r="V170" s="51">
        <v>30.8</v>
      </c>
      <c r="W170" s="51">
        <v>6.2</v>
      </c>
      <c r="X170" s="51" t="s">
        <v>264</v>
      </c>
      <c r="Y170" s="51">
        <v>0.5</v>
      </c>
      <c r="Z170" s="49">
        <v>55.9</v>
      </c>
      <c r="AA170" s="51">
        <v>48.1</v>
      </c>
      <c r="AB170" s="51">
        <v>7.8</v>
      </c>
      <c r="AC170" s="51" t="s">
        <v>264</v>
      </c>
      <c r="AD170" s="51">
        <v>21</v>
      </c>
      <c r="AE170" s="51"/>
      <c r="AF170" s="51">
        <v>66.7</v>
      </c>
      <c r="AG170" s="51">
        <v>52.9</v>
      </c>
      <c r="AH170" s="51">
        <v>13.8</v>
      </c>
      <c r="AI170" s="51">
        <v>165.1</v>
      </c>
      <c r="AJ170" s="51"/>
      <c r="AK170" s="51"/>
      <c r="AL170" s="51">
        <v>149.69999999999999</v>
      </c>
      <c r="AM170" s="51">
        <v>117.2</v>
      </c>
      <c r="AN170" s="51">
        <v>32.5</v>
      </c>
      <c r="AO170" s="51">
        <v>2214.8000000000002</v>
      </c>
      <c r="AP170" s="51">
        <v>161.80000000000001</v>
      </c>
      <c r="AQ170" s="51">
        <v>147</v>
      </c>
      <c r="AR170" s="51">
        <v>42.6</v>
      </c>
      <c r="AS170" s="51">
        <v>71.5</v>
      </c>
      <c r="AT170" s="51">
        <v>29.2</v>
      </c>
      <c r="AU170" s="51">
        <v>47.1</v>
      </c>
      <c r="AV170" s="51">
        <v>13.7</v>
      </c>
      <c r="AW170" s="51">
        <v>2.8</v>
      </c>
      <c r="AX170" s="51">
        <v>0.8</v>
      </c>
      <c r="AY170" s="51" t="s">
        <v>264</v>
      </c>
      <c r="AZ170" s="51">
        <v>1.8</v>
      </c>
      <c r="BA170" s="51" t="s">
        <v>264</v>
      </c>
      <c r="BB170" s="51" t="s">
        <v>264</v>
      </c>
      <c r="BC170" s="51"/>
      <c r="BD170" s="53">
        <v>107.4</v>
      </c>
      <c r="BE170" s="53">
        <v>41.1</v>
      </c>
      <c r="BF170" s="55"/>
      <c r="BG170" s="55"/>
      <c r="BH170" s="53">
        <v>320.2</v>
      </c>
      <c r="BI170" s="55"/>
      <c r="BJ170" s="55"/>
      <c r="BK170" s="53">
        <v>255.8</v>
      </c>
      <c r="BL170" s="53">
        <v>2.6</v>
      </c>
      <c r="BM170" s="53">
        <v>578.6</v>
      </c>
      <c r="BN170" s="53">
        <v>282.8</v>
      </c>
      <c r="BO170" s="55"/>
      <c r="BP170" s="55"/>
      <c r="BQ170" s="53">
        <v>119.7</v>
      </c>
      <c r="BR170" s="53">
        <v>7.2</v>
      </c>
      <c r="BS170" s="53">
        <v>409.7</v>
      </c>
      <c r="BT170" s="52" t="s">
        <v>264</v>
      </c>
      <c r="BU170" s="53">
        <v>26.2</v>
      </c>
      <c r="BV170" s="51">
        <v>367.1</v>
      </c>
      <c r="BW170" s="51">
        <v>108.8</v>
      </c>
      <c r="BX170" s="51">
        <v>417.1</v>
      </c>
      <c r="BY170" s="51">
        <v>43.7</v>
      </c>
      <c r="BZ170" s="51">
        <v>11.3</v>
      </c>
      <c r="CA170" s="49">
        <v>55</v>
      </c>
      <c r="CB170" s="55"/>
      <c r="CC170" s="55"/>
      <c r="CD170" s="55"/>
      <c r="CE170" s="55"/>
      <c r="CF170" s="53">
        <v>117.3</v>
      </c>
      <c r="CG170" s="53">
        <v>132.80000000000001</v>
      </c>
      <c r="CH170" s="53">
        <v>7</v>
      </c>
      <c r="CI170" s="55"/>
      <c r="CJ170" s="55"/>
      <c r="CK170" s="55"/>
      <c r="CL170" s="55"/>
      <c r="CM170" s="55"/>
      <c r="CN170" s="53">
        <v>49.1</v>
      </c>
      <c r="CO170" s="52">
        <v>250.89999999999998</v>
      </c>
      <c r="CP170" s="53">
        <v>196.1</v>
      </c>
      <c r="CQ170" s="53">
        <v>54.8</v>
      </c>
      <c r="CR170" s="52" t="s">
        <v>264</v>
      </c>
      <c r="CS170" s="52">
        <v>65.900000000000006</v>
      </c>
      <c r="CT170" s="52">
        <v>47</v>
      </c>
      <c r="CU170" s="52">
        <v>18.899999999999999</v>
      </c>
      <c r="CV170" s="52">
        <v>32.9</v>
      </c>
      <c r="CW170" s="53">
        <v>14</v>
      </c>
      <c r="CX170" s="53">
        <v>18.899999999999999</v>
      </c>
      <c r="CY170" s="53" t="s">
        <v>264</v>
      </c>
      <c r="CZ170" s="53">
        <v>88.5</v>
      </c>
      <c r="DA170" s="52">
        <v>17.899999999999999</v>
      </c>
      <c r="DB170" s="53">
        <v>17</v>
      </c>
      <c r="DC170" s="53">
        <v>0.9</v>
      </c>
      <c r="DD170" s="55"/>
      <c r="DE170" s="55"/>
      <c r="DF170" s="55"/>
      <c r="DG170" s="53">
        <v>112.51900000000001</v>
      </c>
      <c r="DH170" s="55"/>
      <c r="DI170" s="53">
        <v>593.43200000000002</v>
      </c>
      <c r="DJ170" s="53">
        <v>187.023</v>
      </c>
      <c r="DK170" s="53">
        <v>529.60299999999995</v>
      </c>
      <c r="DL170" s="55"/>
      <c r="DM170" s="53">
        <v>188.982</v>
      </c>
      <c r="DN170" s="55"/>
      <c r="DO170" s="53">
        <v>183.096</v>
      </c>
      <c r="DP170" s="53">
        <v>189.77099999999999</v>
      </c>
      <c r="DQ170" s="55"/>
      <c r="DR170" s="55"/>
      <c r="DS170" s="53">
        <v>727.01499999999999</v>
      </c>
      <c r="DT170" s="53">
        <v>2953.2280000000001</v>
      </c>
      <c r="DU170" s="53">
        <v>-354.30600000000004</v>
      </c>
      <c r="DV170" s="53">
        <v>2.8000000000247383E-2</v>
      </c>
      <c r="DW170" s="55"/>
      <c r="DX170" s="55"/>
      <c r="DY170" s="55"/>
      <c r="DZ170" s="55"/>
      <c r="EA170" s="55"/>
      <c r="EB170" s="55"/>
      <c r="EC170" s="55"/>
      <c r="ED170" s="55"/>
      <c r="EE170" s="55"/>
      <c r="EF170" s="55"/>
      <c r="EG170" s="55"/>
      <c r="EH170" s="55"/>
      <c r="EI170" s="55"/>
      <c r="EJ170" s="55"/>
      <c r="EK170" s="55"/>
      <c r="EL170" s="55"/>
      <c r="EM170" s="55"/>
      <c r="EN170" s="55"/>
      <c r="EO170" s="55"/>
      <c r="EP170" s="55"/>
      <c r="EQ170" s="55"/>
      <c r="ER170" s="55"/>
      <c r="ES170" s="55"/>
      <c r="ET170" s="55"/>
      <c r="EU170" s="55"/>
      <c r="EV170" s="55"/>
      <c r="EW170" s="55"/>
      <c r="EX170" s="55"/>
      <c r="EY170" s="55"/>
      <c r="EZ170" s="55"/>
      <c r="FA170" s="55"/>
      <c r="FB170" s="55"/>
      <c r="FC170" s="55"/>
      <c r="FD170" s="55"/>
      <c r="FE170" s="55"/>
      <c r="FF170" s="55"/>
      <c r="FG170" s="55"/>
      <c r="FH170" s="55"/>
      <c r="FI170" s="55"/>
      <c r="FJ170" s="55"/>
      <c r="FK170" s="55"/>
      <c r="FL170" s="55"/>
      <c r="FM170" s="55"/>
      <c r="FN170" s="55"/>
      <c r="FO170" s="55"/>
      <c r="FP170" s="55"/>
      <c r="FQ170" s="55"/>
      <c r="FR170" s="55"/>
      <c r="FS170" s="55"/>
      <c r="FT170" s="55"/>
      <c r="FU170" s="55"/>
      <c r="FV170" s="55"/>
      <c r="FW170" s="55"/>
      <c r="FX170" s="55"/>
      <c r="FY170" s="55"/>
      <c r="FZ170" s="55"/>
      <c r="GA170" s="55"/>
      <c r="GB170" s="55"/>
      <c r="GC170" s="55"/>
      <c r="GD170" s="55"/>
      <c r="GE170" s="55"/>
      <c r="GF170" s="55"/>
      <c r="GG170" s="55"/>
      <c r="GH170" s="55"/>
      <c r="GI170" s="55"/>
      <c r="GJ170" s="55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3">
        <v>1109.7</v>
      </c>
      <c r="HA170" s="55"/>
      <c r="HB170" s="55"/>
      <c r="HC170" s="55"/>
      <c r="HD170" s="55"/>
      <c r="HE170" s="55"/>
      <c r="HF170" s="55"/>
      <c r="HG170" s="55"/>
      <c r="HH170" s="55"/>
      <c r="HI170" s="55"/>
      <c r="HJ170" s="55"/>
      <c r="HK170" s="55"/>
      <c r="HL170" s="55"/>
      <c r="HM170" s="55"/>
      <c r="HN170" s="55"/>
      <c r="HO170" s="55"/>
      <c r="HP170" s="55"/>
      <c r="HQ170" s="55"/>
      <c r="HR170" s="55"/>
      <c r="HS170" s="55"/>
      <c r="HT170" s="55"/>
      <c r="HU170" s="55"/>
      <c r="HV170" s="55"/>
      <c r="HW170" s="55"/>
      <c r="HX170" s="55"/>
      <c r="HY170" s="55"/>
      <c r="HZ170" s="55"/>
      <c r="IA170" s="55"/>
      <c r="IB170" s="55"/>
      <c r="IC170" s="55"/>
      <c r="ID170" s="55"/>
      <c r="IE170" s="55"/>
      <c r="IF170" s="55"/>
      <c r="IG170" s="55"/>
      <c r="IH170" s="55"/>
      <c r="II170" s="55"/>
      <c r="IJ170" s="55"/>
      <c r="IK170" s="55"/>
      <c r="IL170" s="55"/>
      <c r="IM170" s="55"/>
      <c r="IN170" s="53">
        <v>54.7</v>
      </c>
      <c r="IO170" s="55"/>
      <c r="IP170" s="55"/>
      <c r="IQ170" s="55"/>
      <c r="IR170" s="55"/>
      <c r="IS170" s="55"/>
      <c r="IT170" s="55"/>
      <c r="IU170" s="55"/>
      <c r="IV170" s="55"/>
      <c r="IY170" s="48">
        <f t="shared" si="8"/>
        <v>47.984559122308006</v>
      </c>
      <c r="IZ170" s="48">
        <f>IY170-'NOPA Crush'!J170</f>
        <v>-9.5440877691991943E-2</v>
      </c>
      <c r="JB170" s="63">
        <f t="shared" si="6"/>
        <v>10.948801300284437</v>
      </c>
      <c r="JC170" s="64">
        <f>JB170-'NOPA Crush'!O170</f>
        <v>-6.119869971556291E-2</v>
      </c>
      <c r="JD170" s="65"/>
      <c r="JE170" s="67">
        <f t="shared" si="7"/>
        <v>1554.8000000000002</v>
      </c>
      <c r="JF170" s="68">
        <f>'NOPA Crush'!Q170/'Census Crush'!JE170</f>
        <v>0.29907576537175196</v>
      </c>
    </row>
    <row r="171" spans="1:266">
      <c r="A171" s="39">
        <v>34243</v>
      </c>
      <c r="B171" s="51">
        <v>3412.2</v>
      </c>
      <c r="C171" s="51">
        <v>3258.4</v>
      </c>
      <c r="D171" s="51">
        <v>300.39999999999998</v>
      </c>
      <c r="E171" s="51">
        <v>1350.7</v>
      </c>
      <c r="F171" s="51">
        <v>11.7</v>
      </c>
      <c r="G171" s="51">
        <v>83.8</v>
      </c>
      <c r="H171" s="51" t="s">
        <v>264</v>
      </c>
      <c r="I171" s="51" t="s">
        <v>264</v>
      </c>
      <c r="J171" s="51" t="s">
        <v>264</v>
      </c>
      <c r="K171" s="51">
        <v>1240.9000000000001</v>
      </c>
      <c r="L171" s="49">
        <v>1452.6999999999998</v>
      </c>
      <c r="M171" s="51">
        <v>1239.5999999999999</v>
      </c>
      <c r="N171" s="51">
        <v>213.1</v>
      </c>
      <c r="O171" s="51">
        <v>93.5</v>
      </c>
      <c r="P171" s="51">
        <v>93.2</v>
      </c>
      <c r="Q171" s="51">
        <v>37.6</v>
      </c>
      <c r="R171" s="51">
        <v>55.6</v>
      </c>
      <c r="S171" s="51"/>
      <c r="T171" s="51">
        <v>9.3000000000000007</v>
      </c>
      <c r="U171" s="51">
        <v>25.9</v>
      </c>
      <c r="V171" s="51">
        <v>21.7</v>
      </c>
      <c r="W171" s="51">
        <v>4.2</v>
      </c>
      <c r="X171" s="51">
        <v>67.400000000000006</v>
      </c>
      <c r="Y171" s="51">
        <v>3.6</v>
      </c>
      <c r="Z171" s="49">
        <v>67.5</v>
      </c>
      <c r="AA171" s="51">
        <v>61.5</v>
      </c>
      <c r="AB171" s="51">
        <v>6</v>
      </c>
      <c r="AC171" s="51" t="s">
        <v>264</v>
      </c>
      <c r="AD171" s="51">
        <v>23.7</v>
      </c>
      <c r="AE171" s="51"/>
      <c r="AF171" s="51">
        <v>51.400000000000006</v>
      </c>
      <c r="AG171" s="51">
        <v>34.1</v>
      </c>
      <c r="AH171" s="51">
        <v>17.3</v>
      </c>
      <c r="AI171" s="51">
        <v>160.80000000000001</v>
      </c>
      <c r="AJ171" s="51"/>
      <c r="AK171" s="51"/>
      <c r="AL171" s="51">
        <v>73.699999999999989</v>
      </c>
      <c r="AM171" s="51">
        <v>50.8</v>
      </c>
      <c r="AN171" s="51">
        <v>22.9</v>
      </c>
      <c r="AO171" s="51">
        <v>2547.3000000000002</v>
      </c>
      <c r="AP171" s="51">
        <v>324.5</v>
      </c>
      <c r="AQ171" s="51">
        <v>159.80000000000001</v>
      </c>
      <c r="AR171" s="51">
        <v>50.6</v>
      </c>
      <c r="AS171" s="51">
        <v>130.1</v>
      </c>
      <c r="AT171" s="51">
        <v>36.9</v>
      </c>
      <c r="AU171" s="51">
        <v>82.7</v>
      </c>
      <c r="AV171" s="51">
        <v>15.7</v>
      </c>
      <c r="AW171" s="51">
        <v>6.5</v>
      </c>
      <c r="AX171" s="51">
        <v>3.3</v>
      </c>
      <c r="AY171" s="51">
        <v>41.6</v>
      </c>
      <c r="AZ171" s="51">
        <v>9.5</v>
      </c>
      <c r="BA171" s="51" t="s">
        <v>264</v>
      </c>
      <c r="BB171" s="51" t="s">
        <v>264</v>
      </c>
      <c r="BC171" s="51"/>
      <c r="BD171" s="53">
        <v>122.8</v>
      </c>
      <c r="BE171" s="53">
        <v>45.5</v>
      </c>
      <c r="BF171" s="55"/>
      <c r="BG171" s="55"/>
      <c r="BH171" s="53">
        <v>327.5</v>
      </c>
      <c r="BI171" s="55"/>
      <c r="BJ171" s="55"/>
      <c r="BK171" s="53">
        <v>242</v>
      </c>
      <c r="BL171" s="53">
        <v>2.1</v>
      </c>
      <c r="BM171" s="53">
        <v>571.6</v>
      </c>
      <c r="BN171" s="53">
        <v>267.7</v>
      </c>
      <c r="BO171" s="55"/>
      <c r="BP171" s="55"/>
      <c r="BQ171" s="53">
        <v>104.5</v>
      </c>
      <c r="BR171" s="53">
        <v>7</v>
      </c>
      <c r="BS171" s="53">
        <v>379.2</v>
      </c>
      <c r="BT171" s="52" t="s">
        <v>264</v>
      </c>
      <c r="BU171" s="53">
        <v>24.6</v>
      </c>
      <c r="BV171" s="51">
        <v>370.4</v>
      </c>
      <c r="BW171" s="51">
        <v>116.8</v>
      </c>
      <c r="BX171" s="51">
        <v>427.1</v>
      </c>
      <c r="BY171" s="51">
        <v>46</v>
      </c>
      <c r="BZ171" s="51">
        <v>10.6</v>
      </c>
      <c r="CA171" s="49">
        <v>56.6</v>
      </c>
      <c r="CB171" s="55"/>
      <c r="CC171" s="55"/>
      <c r="CD171" s="55"/>
      <c r="CE171" s="55"/>
      <c r="CF171" s="53">
        <v>107.5</v>
      </c>
      <c r="CG171" s="53">
        <v>124</v>
      </c>
      <c r="CH171" s="53">
        <v>7.5</v>
      </c>
      <c r="CI171" s="55"/>
      <c r="CJ171" s="55"/>
      <c r="CK171" s="55"/>
      <c r="CL171" s="55"/>
      <c r="CM171" s="55"/>
      <c r="CN171" s="53">
        <v>49.6</v>
      </c>
      <c r="CO171" s="52">
        <v>335</v>
      </c>
      <c r="CP171" s="53">
        <v>279.5</v>
      </c>
      <c r="CQ171" s="53">
        <v>55.5</v>
      </c>
      <c r="CR171" s="52" t="s">
        <v>264</v>
      </c>
      <c r="CS171" s="52">
        <v>48</v>
      </c>
      <c r="CT171" s="52">
        <v>27.9</v>
      </c>
      <c r="CU171" s="52">
        <v>20.100000000000001</v>
      </c>
      <c r="CV171" s="52">
        <v>32.5</v>
      </c>
      <c r="CW171" s="53">
        <v>14.1</v>
      </c>
      <c r="CX171" s="53">
        <v>18.399999999999999</v>
      </c>
      <c r="CY171" s="53" t="s">
        <v>264</v>
      </c>
      <c r="CZ171" s="53">
        <v>78.400000000000006</v>
      </c>
      <c r="DA171" s="52">
        <v>22.9</v>
      </c>
      <c r="DB171" s="53">
        <v>21.5</v>
      </c>
      <c r="DC171" s="53">
        <v>1.4</v>
      </c>
      <c r="DD171" s="55"/>
      <c r="DE171" s="55"/>
      <c r="DF171" s="55"/>
      <c r="DG171" s="53">
        <v>124.875</v>
      </c>
      <c r="DH171" s="55"/>
      <c r="DI171" s="53">
        <v>681.97299999999996</v>
      </c>
      <c r="DJ171" s="53">
        <v>216.01499999999999</v>
      </c>
      <c r="DK171" s="53">
        <v>586.30700000000002</v>
      </c>
      <c r="DL171" s="55"/>
      <c r="DM171" s="53">
        <v>210.762</v>
      </c>
      <c r="DN171" s="55"/>
      <c r="DO171" s="53">
        <v>210.82900000000001</v>
      </c>
      <c r="DP171" s="53">
        <v>189.77099999999999</v>
      </c>
      <c r="DQ171" s="55"/>
      <c r="DR171" s="55"/>
      <c r="DS171" s="53">
        <v>880.14599999999996</v>
      </c>
      <c r="DT171" s="53">
        <v>3398.3760000000002</v>
      </c>
      <c r="DU171" s="53">
        <v>-422.57300000000032</v>
      </c>
      <c r="DV171" s="53">
        <v>-13.823999999999614</v>
      </c>
      <c r="DW171" s="55"/>
      <c r="DX171" s="55"/>
      <c r="DY171" s="55"/>
      <c r="DZ171" s="55"/>
      <c r="EA171" s="55"/>
      <c r="EB171" s="55"/>
      <c r="EC171" s="55"/>
      <c r="ED171" s="55"/>
      <c r="EE171" s="55"/>
      <c r="EF171" s="55"/>
      <c r="EG171" s="55"/>
      <c r="EH171" s="55"/>
      <c r="EI171" s="55"/>
      <c r="EJ171" s="55"/>
      <c r="EK171" s="55"/>
      <c r="EL171" s="55"/>
      <c r="EM171" s="55"/>
      <c r="EN171" s="55"/>
      <c r="EO171" s="55"/>
      <c r="EP171" s="55"/>
      <c r="EQ171" s="55"/>
      <c r="ER171" s="55"/>
      <c r="ES171" s="55"/>
      <c r="ET171" s="55"/>
      <c r="EU171" s="55"/>
      <c r="EV171" s="55"/>
      <c r="EW171" s="55"/>
      <c r="EX171" s="55"/>
      <c r="EY171" s="55"/>
      <c r="EZ171" s="55"/>
      <c r="FA171" s="55"/>
      <c r="FB171" s="55"/>
      <c r="FC171" s="55"/>
      <c r="FD171" s="55"/>
      <c r="FE171" s="55"/>
      <c r="FF171" s="55"/>
      <c r="FG171" s="55"/>
      <c r="FH171" s="55"/>
      <c r="FI171" s="55"/>
      <c r="FJ171" s="55"/>
      <c r="FK171" s="55"/>
      <c r="FL171" s="55"/>
      <c r="FM171" s="55"/>
      <c r="FN171" s="55"/>
      <c r="FO171" s="55"/>
      <c r="FP171" s="55"/>
      <c r="FQ171" s="55"/>
      <c r="FR171" s="55"/>
      <c r="FS171" s="55"/>
      <c r="FT171" s="55"/>
      <c r="FU171" s="55"/>
      <c r="FV171" s="55"/>
      <c r="FW171" s="55"/>
      <c r="FX171" s="55"/>
      <c r="FY171" s="55"/>
      <c r="FZ171" s="55"/>
      <c r="GA171" s="55"/>
      <c r="GB171" s="55"/>
      <c r="GC171" s="55"/>
      <c r="GD171" s="55"/>
      <c r="GE171" s="55"/>
      <c r="GF171" s="55"/>
      <c r="GG171" s="55"/>
      <c r="GH171" s="55"/>
      <c r="GI171" s="55"/>
      <c r="GJ171" s="55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3">
        <v>1094.3</v>
      </c>
      <c r="HA171" s="55"/>
      <c r="HB171" s="55"/>
      <c r="HC171" s="55"/>
      <c r="HD171" s="55"/>
      <c r="HE171" s="55"/>
      <c r="HF171" s="55"/>
      <c r="HG171" s="55"/>
      <c r="HH171" s="55"/>
      <c r="HI171" s="55"/>
      <c r="HJ171" s="55"/>
      <c r="HK171" s="55"/>
      <c r="HL171" s="55"/>
      <c r="HM171" s="55"/>
      <c r="HN171" s="55"/>
      <c r="HO171" s="55"/>
      <c r="HP171" s="55"/>
      <c r="HQ171" s="55"/>
      <c r="HR171" s="55"/>
      <c r="HS171" s="55"/>
      <c r="HT171" s="55"/>
      <c r="HU171" s="55"/>
      <c r="HV171" s="55"/>
      <c r="HW171" s="55"/>
      <c r="HX171" s="55"/>
      <c r="HY171" s="55"/>
      <c r="HZ171" s="55"/>
      <c r="IA171" s="55"/>
      <c r="IB171" s="55"/>
      <c r="IC171" s="55"/>
      <c r="ID171" s="55"/>
      <c r="IE171" s="55"/>
      <c r="IF171" s="55"/>
      <c r="IG171" s="55"/>
      <c r="IH171" s="55"/>
      <c r="II171" s="55"/>
      <c r="IJ171" s="55"/>
      <c r="IK171" s="55"/>
      <c r="IL171" s="55"/>
      <c r="IM171" s="55"/>
      <c r="IN171" s="53">
        <v>79.400000000000006</v>
      </c>
      <c r="IO171" s="55"/>
      <c r="IP171" s="55"/>
      <c r="IQ171" s="55"/>
      <c r="IR171" s="55"/>
      <c r="IS171" s="55"/>
      <c r="IT171" s="55"/>
      <c r="IU171" s="55"/>
      <c r="IV171" s="55"/>
      <c r="IY171" s="48">
        <f t="shared" si="8"/>
        <v>47.601547388781441</v>
      </c>
      <c r="IZ171" s="48">
        <f>IY171-'NOPA Crush'!J171</f>
        <v>0.28154738878144059</v>
      </c>
      <c r="JB171" s="63">
        <f t="shared" si="6"/>
        <v>10.909970107262177</v>
      </c>
      <c r="JC171" s="64">
        <f>JB171-'NOPA Crush'!O171</f>
        <v>-5.0029892737823545E-2</v>
      </c>
      <c r="JD171" s="65"/>
      <c r="JE171" s="67">
        <f t="shared" si="7"/>
        <v>1452.6999999999998</v>
      </c>
      <c r="JF171" s="68">
        <f>'NOPA Crush'!Q171/'Census Crush'!JE171</f>
        <v>0.35780064707097137</v>
      </c>
    </row>
    <row r="172" spans="1:266">
      <c r="A172" s="39">
        <v>34274</v>
      </c>
      <c r="B172" s="51">
        <v>3431.2</v>
      </c>
      <c r="C172" s="51">
        <v>3446.7</v>
      </c>
      <c r="D172" s="51">
        <v>391.4</v>
      </c>
      <c r="E172" s="51">
        <v>2203.9</v>
      </c>
      <c r="F172" s="51">
        <v>22.2</v>
      </c>
      <c r="G172" s="51">
        <v>130.5</v>
      </c>
      <c r="H172" s="51" t="s">
        <v>264</v>
      </c>
      <c r="I172" s="51" t="s">
        <v>264</v>
      </c>
      <c r="J172" s="51" t="s">
        <v>264</v>
      </c>
      <c r="K172" s="51">
        <v>1228.0999999999999</v>
      </c>
      <c r="L172" s="49">
        <v>1399.6000000000001</v>
      </c>
      <c r="M172" s="51">
        <v>1209.9000000000001</v>
      </c>
      <c r="N172" s="51">
        <v>189.7</v>
      </c>
      <c r="O172" s="51">
        <v>122.2</v>
      </c>
      <c r="P172" s="51">
        <v>101.80000000000001</v>
      </c>
      <c r="Q172" s="51">
        <v>31.9</v>
      </c>
      <c r="R172" s="51">
        <v>69.900000000000006</v>
      </c>
      <c r="S172" s="51"/>
      <c r="T172" s="51">
        <v>16.899999999999999</v>
      </c>
      <c r="U172" s="51">
        <v>24.7</v>
      </c>
      <c r="V172" s="51">
        <v>22.2</v>
      </c>
      <c r="W172" s="51">
        <v>2.5</v>
      </c>
      <c r="X172" s="51">
        <v>104</v>
      </c>
      <c r="Y172" s="51">
        <v>3.6</v>
      </c>
      <c r="Z172" s="49">
        <v>113.9</v>
      </c>
      <c r="AA172" s="51">
        <v>105.9</v>
      </c>
      <c r="AB172" s="51">
        <v>8</v>
      </c>
      <c r="AC172" s="51" t="s">
        <v>264</v>
      </c>
      <c r="AD172" s="51">
        <v>21.3</v>
      </c>
      <c r="AE172" s="51"/>
      <c r="AF172" s="51">
        <v>55.3</v>
      </c>
      <c r="AG172" s="51">
        <v>34.9</v>
      </c>
      <c r="AH172" s="51">
        <v>20.399999999999999</v>
      </c>
      <c r="AI172" s="51">
        <v>153.4</v>
      </c>
      <c r="AJ172" s="51"/>
      <c r="AK172" s="51"/>
      <c r="AL172" s="51">
        <v>76.7</v>
      </c>
      <c r="AM172" s="51">
        <v>50.9</v>
      </c>
      <c r="AN172" s="51">
        <v>25.8</v>
      </c>
      <c r="AO172" s="51">
        <v>2537.6</v>
      </c>
      <c r="AP172" s="51">
        <v>232.8</v>
      </c>
      <c r="AQ172" s="51">
        <v>177.2</v>
      </c>
      <c r="AR172" s="51">
        <v>49.5</v>
      </c>
      <c r="AS172" s="51">
        <v>172.2</v>
      </c>
      <c r="AT172" s="51">
        <v>38.4</v>
      </c>
      <c r="AU172" s="51">
        <v>103.9</v>
      </c>
      <c r="AV172" s="51">
        <v>19.100000000000001</v>
      </c>
      <c r="AW172" s="51">
        <v>12.4</v>
      </c>
      <c r="AX172" s="51">
        <v>2.1</v>
      </c>
      <c r="AY172" s="51">
        <v>61.5</v>
      </c>
      <c r="AZ172" s="51">
        <v>6.4</v>
      </c>
      <c r="BA172" s="51" t="s">
        <v>264</v>
      </c>
      <c r="BB172" s="51" t="s">
        <v>264</v>
      </c>
      <c r="BC172" s="51"/>
      <c r="BD172" s="53">
        <v>124.8</v>
      </c>
      <c r="BE172" s="53">
        <v>38.700000000000003</v>
      </c>
      <c r="BF172" s="55"/>
      <c r="BG172" s="55"/>
      <c r="BH172" s="53">
        <v>332.5</v>
      </c>
      <c r="BI172" s="55"/>
      <c r="BJ172" s="55"/>
      <c r="BK172" s="53">
        <v>232.8</v>
      </c>
      <c r="BL172" s="53">
        <v>2.6</v>
      </c>
      <c r="BM172" s="53">
        <v>567.9</v>
      </c>
      <c r="BN172" s="53">
        <v>243.5</v>
      </c>
      <c r="BO172" s="55"/>
      <c r="BP172" s="55"/>
      <c r="BQ172" s="53">
        <v>95.5</v>
      </c>
      <c r="BR172" s="53">
        <v>6.5</v>
      </c>
      <c r="BS172" s="53">
        <v>345.5</v>
      </c>
      <c r="BT172" s="52" t="s">
        <v>264</v>
      </c>
      <c r="BU172" s="53">
        <v>30.1</v>
      </c>
      <c r="BV172" s="51">
        <v>375.8</v>
      </c>
      <c r="BW172" s="51">
        <v>117.8</v>
      </c>
      <c r="BX172" s="51">
        <v>432.6</v>
      </c>
      <c r="BY172" s="51">
        <v>40.9</v>
      </c>
      <c r="BZ172" s="51">
        <v>8.4</v>
      </c>
      <c r="CA172" s="49">
        <v>49.3</v>
      </c>
      <c r="CB172" s="55"/>
      <c r="CC172" s="55"/>
      <c r="CD172" s="55"/>
      <c r="CE172" s="55"/>
      <c r="CF172" s="53">
        <v>120.7</v>
      </c>
      <c r="CG172" s="53">
        <v>113</v>
      </c>
      <c r="CH172" s="53">
        <v>8.5</v>
      </c>
      <c r="CI172" s="55"/>
      <c r="CJ172" s="55"/>
      <c r="CK172" s="55"/>
      <c r="CL172" s="55"/>
      <c r="CM172" s="55"/>
      <c r="CN172" s="53">
        <v>60.7</v>
      </c>
      <c r="CO172" s="52">
        <v>299.2</v>
      </c>
      <c r="CP172" s="53">
        <v>241.1</v>
      </c>
      <c r="CQ172" s="53">
        <v>58.1</v>
      </c>
      <c r="CR172" s="52" t="s">
        <v>264</v>
      </c>
      <c r="CS172" s="52">
        <v>39.1</v>
      </c>
      <c r="CT172" s="52">
        <v>19.3</v>
      </c>
      <c r="CU172" s="52">
        <v>19.8</v>
      </c>
      <c r="CV172" s="52">
        <v>35.299999999999997</v>
      </c>
      <c r="CW172" s="53">
        <v>15.3</v>
      </c>
      <c r="CX172" s="53">
        <v>20</v>
      </c>
      <c r="CY172" s="53">
        <v>15.8</v>
      </c>
      <c r="CZ172" s="53">
        <v>83.5</v>
      </c>
      <c r="DA172" s="52">
        <v>36.400000000000006</v>
      </c>
      <c r="DB172" s="53">
        <v>34.200000000000003</v>
      </c>
      <c r="DC172" s="53">
        <v>2.2000000000000002</v>
      </c>
      <c r="DD172" s="55"/>
      <c r="DE172" s="55"/>
      <c r="DF172" s="55"/>
      <c r="DG172" s="53">
        <v>122.56</v>
      </c>
      <c r="DH172" s="55"/>
      <c r="DI172" s="53">
        <v>664.47900000000004</v>
      </c>
      <c r="DJ172" s="53">
        <v>229.167</v>
      </c>
      <c r="DK172" s="53">
        <v>572.86</v>
      </c>
      <c r="DL172" s="55"/>
      <c r="DM172" s="53">
        <v>206.21199999999999</v>
      </c>
      <c r="DN172" s="55"/>
      <c r="DO172" s="53">
        <v>204.62799999999999</v>
      </c>
      <c r="DP172" s="53">
        <v>252.96899999999999</v>
      </c>
      <c r="DQ172" s="55"/>
      <c r="DR172" s="55"/>
      <c r="DS172" s="53">
        <v>843.07299999999998</v>
      </c>
      <c r="DT172" s="53">
        <v>3431.1750000000002</v>
      </c>
      <c r="DU172" s="53">
        <v>-457.78700000000026</v>
      </c>
      <c r="DV172" s="53">
        <v>-2.4999999999636202E-2</v>
      </c>
      <c r="DW172" s="55"/>
      <c r="DX172" s="55"/>
      <c r="DY172" s="55"/>
      <c r="DZ172" s="55"/>
      <c r="EA172" s="55"/>
      <c r="EB172" s="55"/>
      <c r="EC172" s="55"/>
      <c r="ED172" s="55"/>
      <c r="EE172" s="55"/>
      <c r="EF172" s="55"/>
      <c r="EG172" s="55"/>
      <c r="EH172" s="55"/>
      <c r="EI172" s="55"/>
      <c r="EJ172" s="55"/>
      <c r="EK172" s="55"/>
      <c r="EL172" s="55"/>
      <c r="EM172" s="55"/>
      <c r="EN172" s="55"/>
      <c r="EO172" s="55"/>
      <c r="EP172" s="55"/>
      <c r="EQ172" s="55"/>
      <c r="ER172" s="55"/>
      <c r="ES172" s="55"/>
      <c r="ET172" s="55"/>
      <c r="EU172" s="55"/>
      <c r="EV172" s="55"/>
      <c r="EW172" s="55"/>
      <c r="EX172" s="55"/>
      <c r="EY172" s="55"/>
      <c r="EZ172" s="55"/>
      <c r="FA172" s="55"/>
      <c r="FB172" s="55"/>
      <c r="FC172" s="55"/>
      <c r="FD172" s="55"/>
      <c r="FE172" s="55"/>
      <c r="FF172" s="55"/>
      <c r="FG172" s="55"/>
      <c r="FH172" s="55"/>
      <c r="FI172" s="55"/>
      <c r="FJ172" s="55"/>
      <c r="FK172" s="55"/>
      <c r="FL172" s="55"/>
      <c r="FM172" s="55"/>
      <c r="FN172" s="55"/>
      <c r="FO172" s="55"/>
      <c r="FP172" s="55"/>
      <c r="FQ172" s="55"/>
      <c r="FR172" s="55"/>
      <c r="FS172" s="55"/>
      <c r="FT172" s="55"/>
      <c r="FU172" s="55"/>
      <c r="FV172" s="55"/>
      <c r="FW172" s="55"/>
      <c r="FX172" s="55"/>
      <c r="FY172" s="55"/>
      <c r="FZ172" s="55"/>
      <c r="GA172" s="55"/>
      <c r="GB172" s="55"/>
      <c r="GC172" s="55"/>
      <c r="GD172" s="55"/>
      <c r="GE172" s="55"/>
      <c r="GF172" s="55"/>
      <c r="GG172" s="55"/>
      <c r="GH172" s="55"/>
      <c r="GI172" s="55"/>
      <c r="GJ172" s="55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3">
        <v>1053.5</v>
      </c>
      <c r="HA172" s="55"/>
      <c r="HB172" s="55"/>
      <c r="HC172" s="55"/>
      <c r="HD172" s="55"/>
      <c r="HE172" s="55"/>
      <c r="HF172" s="55"/>
      <c r="HG172" s="55"/>
      <c r="HH172" s="55"/>
      <c r="HI172" s="55"/>
      <c r="HJ172" s="55"/>
      <c r="HK172" s="55"/>
      <c r="HL172" s="55"/>
      <c r="HM172" s="55"/>
      <c r="HN172" s="55"/>
      <c r="HO172" s="55"/>
      <c r="HP172" s="55"/>
      <c r="HQ172" s="55"/>
      <c r="HR172" s="55"/>
      <c r="HS172" s="55"/>
      <c r="HT172" s="55"/>
      <c r="HU172" s="55"/>
      <c r="HV172" s="55"/>
      <c r="HW172" s="55"/>
      <c r="HX172" s="55"/>
      <c r="HY172" s="55"/>
      <c r="HZ172" s="55"/>
      <c r="IA172" s="55"/>
      <c r="IB172" s="55"/>
      <c r="IC172" s="55"/>
      <c r="ID172" s="55"/>
      <c r="IE172" s="55"/>
      <c r="IF172" s="55"/>
      <c r="IG172" s="55"/>
      <c r="IH172" s="55"/>
      <c r="II172" s="55"/>
      <c r="IJ172" s="55"/>
      <c r="IK172" s="55"/>
      <c r="IL172" s="55"/>
      <c r="IM172" s="55"/>
      <c r="IN172" s="53">
        <v>109.1</v>
      </c>
      <c r="IO172" s="55"/>
      <c r="IP172" s="55"/>
      <c r="IQ172" s="55"/>
      <c r="IR172" s="55"/>
      <c r="IS172" s="55"/>
      <c r="IT172" s="55"/>
      <c r="IU172" s="55"/>
      <c r="IV172" s="55"/>
      <c r="IY172" s="48">
        <f t="shared" si="8"/>
        <v>47.472604336675218</v>
      </c>
      <c r="IZ172" s="48">
        <f>IY172-'NOPA Crush'!J172</f>
        <v>-7.3956633247789227E-3</v>
      </c>
      <c r="JB172" s="63">
        <f t="shared" si="6"/>
        <v>10.737642807181162</v>
      </c>
      <c r="JC172" s="64">
        <f>JB172-'NOPA Crush'!O172</f>
        <v>-7.2357192818838456E-2</v>
      </c>
      <c r="JD172" s="65"/>
      <c r="JE172" s="67">
        <f t="shared" si="7"/>
        <v>1399.6000000000001</v>
      </c>
      <c r="JF172" s="68">
        <f>'NOPA Crush'!Q172/'Census Crush'!JE172</f>
        <v>0.3601336096027436</v>
      </c>
    </row>
    <row r="173" spans="1:266">
      <c r="A173" s="39">
        <v>34304</v>
      </c>
      <c r="B173" s="51">
        <v>3424.4</v>
      </c>
      <c r="C173" s="51">
        <v>3626.6</v>
      </c>
      <c r="D173" s="51">
        <v>375</v>
      </c>
      <c r="E173" s="51">
        <v>2365.1999999999998</v>
      </c>
      <c r="F173" s="51">
        <v>19.8</v>
      </c>
      <c r="G173" s="51">
        <v>100.1</v>
      </c>
      <c r="H173" s="51" t="s">
        <v>264</v>
      </c>
      <c r="I173" s="51" t="s">
        <v>264</v>
      </c>
      <c r="J173" s="51">
        <v>85.5</v>
      </c>
      <c r="K173" s="51">
        <v>1218.2</v>
      </c>
      <c r="L173" s="49">
        <v>1406.8</v>
      </c>
      <c r="M173" s="51">
        <v>1189.3</v>
      </c>
      <c r="N173" s="51">
        <v>217.5</v>
      </c>
      <c r="O173" s="51">
        <v>117.5</v>
      </c>
      <c r="P173" s="51">
        <v>123.3</v>
      </c>
      <c r="Q173" s="51">
        <v>32.799999999999997</v>
      </c>
      <c r="R173" s="51">
        <v>90.5</v>
      </c>
      <c r="S173" s="51"/>
      <c r="T173" s="51">
        <v>15.1</v>
      </c>
      <c r="U173" s="51">
        <v>19.399999999999999</v>
      </c>
      <c r="V173" s="51">
        <v>15.5</v>
      </c>
      <c r="W173" s="51">
        <v>3.9</v>
      </c>
      <c r="X173" s="51">
        <v>80.400000000000006</v>
      </c>
      <c r="Y173" s="51">
        <v>3.7</v>
      </c>
      <c r="Z173" s="49">
        <v>123</v>
      </c>
      <c r="AA173" s="51">
        <v>112.7</v>
      </c>
      <c r="AB173" s="51">
        <v>10.3</v>
      </c>
      <c r="AC173" s="51" t="s">
        <v>264</v>
      </c>
      <c r="AD173" s="51">
        <v>15.7</v>
      </c>
      <c r="AE173" s="51"/>
      <c r="AF173" s="51">
        <v>52.4</v>
      </c>
      <c r="AG173" s="51">
        <v>34.5</v>
      </c>
      <c r="AH173" s="51">
        <v>17.899999999999999</v>
      </c>
      <c r="AI173" s="51">
        <v>162.5</v>
      </c>
      <c r="AJ173" s="51"/>
      <c r="AK173" s="51"/>
      <c r="AL173" s="51">
        <v>65</v>
      </c>
      <c r="AM173" s="51">
        <v>33.299999999999997</v>
      </c>
      <c r="AN173" s="51">
        <v>31.7</v>
      </c>
      <c r="AO173" s="51">
        <v>2517.4</v>
      </c>
      <c r="AP173" s="51">
        <v>251.2</v>
      </c>
      <c r="AQ173" s="51">
        <v>179.4</v>
      </c>
      <c r="AR173" s="51">
        <v>38.9</v>
      </c>
      <c r="AS173" s="51">
        <v>166.6</v>
      </c>
      <c r="AT173" s="51">
        <v>31.6</v>
      </c>
      <c r="AU173" s="51">
        <v>93.5</v>
      </c>
      <c r="AV173" s="51">
        <v>15.7</v>
      </c>
      <c r="AW173" s="51">
        <v>11.4</v>
      </c>
      <c r="AX173" s="51">
        <v>1.6</v>
      </c>
      <c r="AY173" s="51">
        <v>50.9</v>
      </c>
      <c r="AZ173" s="51">
        <v>9.5</v>
      </c>
      <c r="BA173" s="51" t="s">
        <v>264</v>
      </c>
      <c r="BB173" s="51" t="s">
        <v>264</v>
      </c>
      <c r="BC173" s="51"/>
      <c r="BD173" s="53">
        <v>121.5</v>
      </c>
      <c r="BE173" s="53">
        <v>33.200000000000003</v>
      </c>
      <c r="BF173" s="55"/>
      <c r="BG173" s="55"/>
      <c r="BH173" s="53">
        <v>344.7</v>
      </c>
      <c r="BI173" s="55"/>
      <c r="BJ173" s="55"/>
      <c r="BK173" s="53">
        <v>247.8</v>
      </c>
      <c r="BL173" s="53">
        <v>3</v>
      </c>
      <c r="BM173" s="53">
        <v>595.5</v>
      </c>
      <c r="BN173" s="53">
        <v>235.3</v>
      </c>
      <c r="BO173" s="55"/>
      <c r="BP173" s="55"/>
      <c r="BQ173" s="53">
        <v>78.3</v>
      </c>
      <c r="BR173" s="53">
        <v>6.8</v>
      </c>
      <c r="BS173" s="53">
        <v>320.40000000000003</v>
      </c>
      <c r="BT173" s="52" t="s">
        <v>264</v>
      </c>
      <c r="BU173" s="53">
        <v>37.700000000000003</v>
      </c>
      <c r="BV173" s="51">
        <v>395.1</v>
      </c>
      <c r="BW173" s="51">
        <v>108.2</v>
      </c>
      <c r="BX173" s="51">
        <v>440.5</v>
      </c>
      <c r="BY173" s="51">
        <v>39.700000000000003</v>
      </c>
      <c r="BZ173" s="51">
        <v>8.1</v>
      </c>
      <c r="CA173" s="49">
        <v>47.800000000000004</v>
      </c>
      <c r="CB173" s="55"/>
      <c r="CC173" s="55"/>
      <c r="CD173" s="55"/>
      <c r="CE173" s="55"/>
      <c r="CF173" s="53">
        <v>124.6</v>
      </c>
      <c r="CG173" s="53">
        <v>103.7</v>
      </c>
      <c r="CH173" s="53">
        <v>10.7</v>
      </c>
      <c r="CI173" s="55"/>
      <c r="CJ173" s="55"/>
      <c r="CK173" s="55"/>
      <c r="CL173" s="55"/>
      <c r="CM173" s="55"/>
      <c r="CN173" s="53">
        <v>60.2</v>
      </c>
      <c r="CO173" s="52">
        <v>291.8</v>
      </c>
      <c r="CP173" s="53">
        <v>241.4</v>
      </c>
      <c r="CQ173" s="53">
        <v>50.4</v>
      </c>
      <c r="CR173" s="52" t="s">
        <v>264</v>
      </c>
      <c r="CS173" s="52">
        <v>41.5</v>
      </c>
      <c r="CT173" s="52">
        <v>22.5</v>
      </c>
      <c r="CU173" s="52">
        <v>19</v>
      </c>
      <c r="CV173" s="52">
        <v>31.5</v>
      </c>
      <c r="CW173" s="53">
        <v>13.4</v>
      </c>
      <c r="CX173" s="53">
        <v>18.100000000000001</v>
      </c>
      <c r="CY173" s="53">
        <v>12.5</v>
      </c>
      <c r="CZ173" s="53">
        <v>76</v>
      </c>
      <c r="DA173" s="52">
        <v>37.300000000000004</v>
      </c>
      <c r="DB173" s="53">
        <v>35.1</v>
      </c>
      <c r="DC173" s="53">
        <v>2.2000000000000002</v>
      </c>
      <c r="DD173" s="55"/>
      <c r="DE173" s="55"/>
      <c r="DF173" s="55"/>
      <c r="DG173" s="53">
        <v>119.447</v>
      </c>
      <c r="DH173" s="55"/>
      <c r="DI173" s="53">
        <v>669.61400000000003</v>
      </c>
      <c r="DJ173" s="53">
        <v>238.32599999999999</v>
      </c>
      <c r="DK173" s="53">
        <v>586.02300000000002</v>
      </c>
      <c r="DL173" s="53">
        <v>152.88</v>
      </c>
      <c r="DM173" s="53">
        <v>220.27099999999999</v>
      </c>
      <c r="DN173" s="55"/>
      <c r="DO173" s="53">
        <v>202.20699999999999</v>
      </c>
      <c r="DP173" s="53">
        <v>253.42500000000001</v>
      </c>
      <c r="DQ173" s="55"/>
      <c r="DR173" s="55"/>
      <c r="DS173" s="53">
        <v>802.76400000000001</v>
      </c>
      <c r="DT173" s="53">
        <v>3424.355</v>
      </c>
      <c r="DU173" s="53">
        <v>-298.84499999999935</v>
      </c>
      <c r="DV173" s="53">
        <v>-4.500000000007276E-2</v>
      </c>
      <c r="DW173" s="55"/>
      <c r="DX173" s="55"/>
      <c r="DY173" s="55"/>
      <c r="DZ173" s="55"/>
      <c r="EA173" s="55"/>
      <c r="EB173" s="55"/>
      <c r="EC173" s="55"/>
      <c r="ED173" s="55"/>
      <c r="EE173" s="55"/>
      <c r="EF173" s="55"/>
      <c r="EG173" s="55"/>
      <c r="EH173" s="55"/>
      <c r="EI173" s="55"/>
      <c r="EJ173" s="55"/>
      <c r="EK173" s="55"/>
      <c r="EL173" s="55"/>
      <c r="EM173" s="55"/>
      <c r="EN173" s="55"/>
      <c r="EO173" s="55"/>
      <c r="EP173" s="55"/>
      <c r="EQ173" s="55"/>
      <c r="ER173" s="55"/>
      <c r="ES173" s="55"/>
      <c r="ET173" s="55"/>
      <c r="EU173" s="55"/>
      <c r="EV173" s="55"/>
      <c r="EW173" s="55"/>
      <c r="EX173" s="55"/>
      <c r="EY173" s="55"/>
      <c r="EZ173" s="55"/>
      <c r="FA173" s="55"/>
      <c r="FB173" s="55"/>
      <c r="FC173" s="55"/>
      <c r="FD173" s="55"/>
      <c r="FE173" s="55"/>
      <c r="FF173" s="55"/>
      <c r="FG173" s="55"/>
      <c r="FH173" s="55"/>
      <c r="FI173" s="55"/>
      <c r="FJ173" s="55"/>
      <c r="FK173" s="55"/>
      <c r="FL173" s="55"/>
      <c r="FM173" s="55"/>
      <c r="FN173" s="55"/>
      <c r="FO173" s="55"/>
      <c r="FP173" s="55"/>
      <c r="FQ173" s="55"/>
      <c r="FR173" s="55"/>
      <c r="FS173" s="55"/>
      <c r="FT173" s="55"/>
      <c r="FU173" s="55"/>
      <c r="FV173" s="55"/>
      <c r="FW173" s="55"/>
      <c r="FX173" s="55"/>
      <c r="FY173" s="55"/>
      <c r="FZ173" s="55"/>
      <c r="GA173" s="55"/>
      <c r="GB173" s="55"/>
      <c r="GC173" s="55"/>
      <c r="GD173" s="55"/>
      <c r="GE173" s="55"/>
      <c r="GF173" s="55"/>
      <c r="GG173" s="55"/>
      <c r="GH173" s="55"/>
      <c r="GI173" s="55"/>
      <c r="GJ173" s="55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3">
        <v>1030.8</v>
      </c>
      <c r="HA173" s="55"/>
      <c r="HB173" s="55"/>
      <c r="HC173" s="55"/>
      <c r="HD173" s="55"/>
      <c r="HE173" s="55"/>
      <c r="HF173" s="55"/>
      <c r="HG173" s="55"/>
      <c r="HH173" s="55"/>
      <c r="HI173" s="55"/>
      <c r="HJ173" s="55"/>
      <c r="HK173" s="55"/>
      <c r="HL173" s="55"/>
      <c r="HM173" s="55"/>
      <c r="HN173" s="55"/>
      <c r="HO173" s="55"/>
      <c r="HP173" s="55"/>
      <c r="HQ173" s="55"/>
      <c r="HR173" s="55"/>
      <c r="HS173" s="55"/>
      <c r="HT173" s="55"/>
      <c r="HU173" s="55"/>
      <c r="HV173" s="55"/>
      <c r="HW173" s="55"/>
      <c r="HX173" s="55"/>
      <c r="HY173" s="55"/>
      <c r="HZ173" s="55"/>
      <c r="IA173" s="55"/>
      <c r="IB173" s="55"/>
      <c r="IC173" s="55"/>
      <c r="ID173" s="55"/>
      <c r="IE173" s="55"/>
      <c r="IF173" s="55"/>
      <c r="IG173" s="55"/>
      <c r="IH173" s="55"/>
      <c r="II173" s="55"/>
      <c r="IJ173" s="55"/>
      <c r="IK173" s="55"/>
      <c r="IL173" s="55"/>
      <c r="IM173" s="55"/>
      <c r="IN173" s="53">
        <v>100.6</v>
      </c>
      <c r="IO173" s="55"/>
      <c r="IP173" s="55"/>
      <c r="IQ173" s="55"/>
      <c r="IR173" s="55"/>
      <c r="IS173" s="55"/>
      <c r="IT173" s="55"/>
      <c r="IU173" s="55"/>
      <c r="IV173" s="55"/>
      <c r="IY173" s="48">
        <f t="shared" si="8"/>
        <v>47.251489311996259</v>
      </c>
      <c r="IZ173" s="48">
        <f>IY173-'NOPA Crush'!J173</f>
        <v>2.1489311996262472E-2</v>
      </c>
      <c r="JB173" s="63">
        <f t="shared" si="6"/>
        <v>10.672234552038313</v>
      </c>
      <c r="JC173" s="64">
        <f>JB173-'NOPA Crush'!O173</f>
        <v>-4.7765447961687357E-2</v>
      </c>
      <c r="JD173" s="65"/>
      <c r="JE173" s="67">
        <f t="shared" si="7"/>
        <v>1406.8</v>
      </c>
      <c r="JF173" s="68">
        <f>'NOPA Crush'!Q173/'Census Crush'!JE173</f>
        <v>0.31515353994882001</v>
      </c>
    </row>
    <row r="174" spans="1:266">
      <c r="A174" s="39">
        <v>34335</v>
      </c>
      <c r="B174" s="51">
        <v>3321.7</v>
      </c>
      <c r="C174" s="51">
        <v>3782.5</v>
      </c>
      <c r="D174" s="51">
        <v>391</v>
      </c>
      <c r="E174" s="51">
        <v>2069.3000000000002</v>
      </c>
      <c r="F174" s="51">
        <v>24</v>
      </c>
      <c r="G174" s="51">
        <v>68.599999999999994</v>
      </c>
      <c r="H174" s="51">
        <v>63.1</v>
      </c>
      <c r="I174" s="51" t="s">
        <v>264</v>
      </c>
      <c r="J174" s="51">
        <v>94.1</v>
      </c>
      <c r="K174" s="51">
        <v>1192.3</v>
      </c>
      <c r="L174" s="49">
        <v>1414.6000000000001</v>
      </c>
      <c r="M174" s="51">
        <v>1184.2</v>
      </c>
      <c r="N174" s="51">
        <v>230.4</v>
      </c>
      <c r="O174" s="51">
        <v>124.7</v>
      </c>
      <c r="P174" s="51">
        <v>148.4</v>
      </c>
      <c r="Q174" s="51">
        <v>36.1</v>
      </c>
      <c r="R174" s="51">
        <v>112.3</v>
      </c>
      <c r="S174" s="51"/>
      <c r="T174" s="51">
        <v>18.8</v>
      </c>
      <c r="U174" s="51">
        <v>23.599999999999998</v>
      </c>
      <c r="V174" s="51">
        <v>20.2</v>
      </c>
      <c r="W174" s="51">
        <v>3.4</v>
      </c>
      <c r="X174" s="51">
        <v>55.5</v>
      </c>
      <c r="Y174" s="51" t="s">
        <v>264</v>
      </c>
      <c r="Z174" s="49">
        <v>143.29999999999998</v>
      </c>
      <c r="AA174" s="51">
        <v>134.1</v>
      </c>
      <c r="AB174" s="51">
        <v>9.1999999999999993</v>
      </c>
      <c r="AC174" s="51" t="s">
        <v>264</v>
      </c>
      <c r="AD174" s="51">
        <v>20.9</v>
      </c>
      <c r="AE174" s="51"/>
      <c r="AF174" s="51">
        <v>53.7</v>
      </c>
      <c r="AG174" s="51">
        <v>33</v>
      </c>
      <c r="AH174" s="51">
        <v>20.7</v>
      </c>
      <c r="AI174" s="51">
        <v>140.6</v>
      </c>
      <c r="AJ174" s="51"/>
      <c r="AK174" s="51"/>
      <c r="AL174" s="51">
        <v>79.5</v>
      </c>
      <c r="AM174" s="51">
        <v>48</v>
      </c>
      <c r="AN174" s="51">
        <v>31.5</v>
      </c>
      <c r="AO174" s="51">
        <v>2455.5</v>
      </c>
      <c r="AP174" s="51">
        <v>189.4</v>
      </c>
      <c r="AQ174" s="51">
        <v>176.8</v>
      </c>
      <c r="AR174" s="51">
        <v>40.6</v>
      </c>
      <c r="AS174" s="51">
        <v>161.80000000000001</v>
      </c>
      <c r="AT174" s="51">
        <v>42.5</v>
      </c>
      <c r="AU174" s="51">
        <v>106.4</v>
      </c>
      <c r="AV174" s="51">
        <v>25.6</v>
      </c>
      <c r="AW174" s="51">
        <v>13.4</v>
      </c>
      <c r="AX174" s="51">
        <v>3.3</v>
      </c>
      <c r="AY174" s="51">
        <v>34.4</v>
      </c>
      <c r="AZ174" s="51">
        <v>6.9</v>
      </c>
      <c r="BA174" s="51" t="s">
        <v>264</v>
      </c>
      <c r="BB174" s="51" t="s">
        <v>264</v>
      </c>
      <c r="BC174" s="51"/>
      <c r="BD174" s="53">
        <v>138.9</v>
      </c>
      <c r="BE174" s="53">
        <v>39.9</v>
      </c>
      <c r="BF174" s="55"/>
      <c r="BG174" s="55"/>
      <c r="BH174" s="53">
        <v>297.10000000000002</v>
      </c>
      <c r="BI174" s="55"/>
      <c r="BJ174" s="55"/>
      <c r="BK174" s="53">
        <v>217.8</v>
      </c>
      <c r="BL174" s="53">
        <v>2.9</v>
      </c>
      <c r="BM174" s="53">
        <v>517.9</v>
      </c>
      <c r="BN174" s="53">
        <v>231.7</v>
      </c>
      <c r="BO174" s="55"/>
      <c r="BP174" s="55"/>
      <c r="BQ174" s="53">
        <v>82.7</v>
      </c>
      <c r="BR174" s="53">
        <v>7.5</v>
      </c>
      <c r="BS174" s="53">
        <v>321.89999999999998</v>
      </c>
      <c r="BT174" s="52" t="s">
        <v>264</v>
      </c>
      <c r="BU174" s="53">
        <v>38</v>
      </c>
      <c r="BV174" s="51">
        <v>345.6</v>
      </c>
      <c r="BW174" s="51">
        <v>111</v>
      </c>
      <c r="BX174" s="51">
        <v>457</v>
      </c>
      <c r="BY174" s="51">
        <v>37.299999999999997</v>
      </c>
      <c r="BZ174" s="51">
        <v>9.1999999999999993</v>
      </c>
      <c r="CA174" s="49">
        <v>46.5</v>
      </c>
      <c r="CB174" s="55"/>
      <c r="CC174" s="55"/>
      <c r="CD174" s="55"/>
      <c r="CE174" s="55"/>
      <c r="CF174" s="53">
        <v>127</v>
      </c>
      <c r="CG174" s="53">
        <v>109.5</v>
      </c>
      <c r="CH174" s="53">
        <v>13.7</v>
      </c>
      <c r="CI174" s="55"/>
      <c r="CJ174" s="55"/>
      <c r="CK174" s="55"/>
      <c r="CL174" s="55"/>
      <c r="CM174" s="55"/>
      <c r="CN174" s="53">
        <v>42.8</v>
      </c>
      <c r="CO174" s="52">
        <v>316.5</v>
      </c>
      <c r="CP174" s="53">
        <v>252.3</v>
      </c>
      <c r="CQ174" s="53">
        <v>64.2</v>
      </c>
      <c r="CR174" s="52" t="s">
        <v>264</v>
      </c>
      <c r="CS174" s="52">
        <v>38</v>
      </c>
      <c r="CT174" s="52">
        <v>23</v>
      </c>
      <c r="CU174" s="52">
        <v>15</v>
      </c>
      <c r="CV174" s="52">
        <v>32.799999999999997</v>
      </c>
      <c r="CW174" s="53">
        <v>11.6</v>
      </c>
      <c r="CX174" s="53">
        <v>21.2</v>
      </c>
      <c r="CY174" s="53">
        <v>12.3</v>
      </c>
      <c r="CZ174" s="53">
        <v>109.4</v>
      </c>
      <c r="DA174" s="52">
        <v>24.8</v>
      </c>
      <c r="DB174" s="53">
        <v>22.6</v>
      </c>
      <c r="DC174" s="53">
        <v>2.2000000000000002</v>
      </c>
      <c r="DD174" s="55"/>
      <c r="DE174" s="55"/>
      <c r="DF174" s="55"/>
      <c r="DG174" s="53">
        <v>121.8</v>
      </c>
      <c r="DH174" s="55"/>
      <c r="DI174" s="53">
        <v>624.29999999999995</v>
      </c>
      <c r="DJ174" s="53">
        <v>238</v>
      </c>
      <c r="DK174" s="53">
        <v>562.5</v>
      </c>
      <c r="DL174" s="53">
        <v>146</v>
      </c>
      <c r="DM174" s="53">
        <v>199.8</v>
      </c>
      <c r="DN174" s="55"/>
      <c r="DO174" s="53">
        <v>200.9</v>
      </c>
      <c r="DP174" s="53">
        <v>240.5</v>
      </c>
      <c r="DQ174" s="55"/>
      <c r="DR174" s="55"/>
      <c r="DS174" s="53">
        <v>805.12800000000004</v>
      </c>
      <c r="DT174" s="53">
        <v>3321.7</v>
      </c>
      <c r="DU174" s="53">
        <v>-304.57199999999966</v>
      </c>
      <c r="DV174" s="53">
        <v>0</v>
      </c>
      <c r="DW174" s="55"/>
      <c r="DX174" s="55"/>
      <c r="DY174" s="55"/>
      <c r="DZ174" s="55"/>
      <c r="EA174" s="55"/>
      <c r="EB174" s="55"/>
      <c r="EC174" s="55"/>
      <c r="ED174" s="55"/>
      <c r="EE174" s="55"/>
      <c r="EF174" s="55"/>
      <c r="EG174" s="55"/>
      <c r="EH174" s="55"/>
      <c r="EI174" s="55"/>
      <c r="EJ174" s="55"/>
      <c r="EK174" s="55"/>
      <c r="EL174" s="55"/>
      <c r="EM174" s="55"/>
      <c r="EN174" s="55"/>
      <c r="EO174" s="55"/>
      <c r="EP174" s="55"/>
      <c r="EQ174" s="55"/>
      <c r="ER174" s="55"/>
      <c r="ES174" s="55"/>
      <c r="ET174" s="55"/>
      <c r="EU174" s="55"/>
      <c r="EV174" s="55"/>
      <c r="EW174" s="55"/>
      <c r="EX174" s="55"/>
      <c r="EY174" s="55"/>
      <c r="EZ174" s="55"/>
      <c r="FA174" s="55"/>
      <c r="FB174" s="55"/>
      <c r="FC174" s="55"/>
      <c r="FD174" s="55"/>
      <c r="FE174" s="55"/>
      <c r="FF174" s="55"/>
      <c r="FG174" s="55"/>
      <c r="FH174" s="55"/>
      <c r="FI174" s="55"/>
      <c r="FJ174" s="55"/>
      <c r="FK174" s="55"/>
      <c r="FL174" s="55"/>
      <c r="FM174" s="55"/>
      <c r="FN174" s="55"/>
      <c r="FO174" s="55"/>
      <c r="FP174" s="55"/>
      <c r="FQ174" s="55"/>
      <c r="FR174" s="55"/>
      <c r="FS174" s="55"/>
      <c r="FT174" s="55"/>
      <c r="FU174" s="55"/>
      <c r="FV174" s="55"/>
      <c r="FW174" s="55"/>
      <c r="FX174" s="55"/>
      <c r="FY174" s="55"/>
      <c r="FZ174" s="55"/>
      <c r="GA174" s="55"/>
      <c r="GB174" s="55"/>
      <c r="GC174" s="55"/>
      <c r="GD174" s="55"/>
      <c r="GE174" s="55"/>
      <c r="GF174" s="55"/>
      <c r="GG174" s="55"/>
      <c r="GH174" s="55"/>
      <c r="GI174" s="55"/>
      <c r="GJ174" s="55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19">
        <v>0.98572895277207395</v>
      </c>
      <c r="GZ174" s="53">
        <v>960.1</v>
      </c>
      <c r="HA174" s="53">
        <v>974</v>
      </c>
      <c r="HB174" s="55"/>
      <c r="HC174" s="55"/>
      <c r="HD174" s="55"/>
      <c r="HE174" s="55"/>
      <c r="HF174" s="53">
        <v>924.5</v>
      </c>
      <c r="HG174" s="53">
        <v>897.5</v>
      </c>
      <c r="HH174" s="53">
        <v>379.2</v>
      </c>
      <c r="HI174" s="53">
        <v>159.4</v>
      </c>
      <c r="HJ174" s="53">
        <v>342.1</v>
      </c>
      <c r="HK174" s="53">
        <v>16.8</v>
      </c>
      <c r="HL174" s="53">
        <v>27.1</v>
      </c>
      <c r="HM174" s="55"/>
      <c r="HN174" s="55"/>
      <c r="HO174" s="55"/>
      <c r="HP174" s="53" t="e">
        <v>#VALUE!</v>
      </c>
      <c r="HQ174" s="53">
        <v>3.6</v>
      </c>
      <c r="HR174" s="53">
        <v>7.9</v>
      </c>
      <c r="HS174" s="53" t="e">
        <v>#VALUE!</v>
      </c>
      <c r="HT174" s="53">
        <v>9.4</v>
      </c>
      <c r="HU174" s="55"/>
      <c r="HV174" s="55"/>
      <c r="HW174" s="53">
        <v>241.9</v>
      </c>
      <c r="HX174" s="53" t="e">
        <v>#VALUE!</v>
      </c>
      <c r="HY174" s="53">
        <v>241.9</v>
      </c>
      <c r="HZ174" s="53">
        <v>38.6</v>
      </c>
      <c r="IA174" s="53">
        <v>160.30000000000001</v>
      </c>
      <c r="IB174" s="53" t="e">
        <v>#VALUE!</v>
      </c>
      <c r="IC174" s="53" t="e">
        <v>#VALUE!</v>
      </c>
      <c r="ID174" s="53" t="e">
        <v>#VALUE!</v>
      </c>
      <c r="IE174" s="53" t="e">
        <v>#VALUE!</v>
      </c>
      <c r="IF174" s="53">
        <v>13.7</v>
      </c>
      <c r="IG174" s="53">
        <v>23.4</v>
      </c>
      <c r="IH174" s="55"/>
      <c r="II174" s="55"/>
      <c r="IJ174" s="55"/>
      <c r="IK174" s="55"/>
      <c r="IL174" s="55"/>
      <c r="IM174" s="55"/>
      <c r="IN174" s="53">
        <v>107.2</v>
      </c>
      <c r="IO174" s="53">
        <v>110.8</v>
      </c>
      <c r="IP174" s="53" t="e">
        <v>#VALUE!</v>
      </c>
      <c r="IQ174" s="53">
        <v>38</v>
      </c>
      <c r="IR174" s="53">
        <v>16.8</v>
      </c>
      <c r="IS174" s="53" t="e">
        <v>#VALUE!</v>
      </c>
      <c r="IT174" s="53">
        <v>17.5</v>
      </c>
      <c r="IU174" s="53" t="e">
        <v>#VALUE!</v>
      </c>
      <c r="IV174" s="53" t="e">
        <v>#VALUE!</v>
      </c>
      <c r="IY174" s="48">
        <f t="shared" si="8"/>
        <v>47.547340217358588</v>
      </c>
      <c r="IZ174" s="48">
        <f>IY174-'NOPA Crush'!J174</f>
        <v>-4.2659782641415234E-2</v>
      </c>
      <c r="JB174" s="63">
        <f t="shared" si="6"/>
        <v>10.768281301743084</v>
      </c>
      <c r="JC174" s="64">
        <f>JB174-'NOPA Crush'!O174</f>
        <v>-5.171869825691644E-2</v>
      </c>
      <c r="JD174" s="65"/>
      <c r="JE174" s="67">
        <f t="shared" si="7"/>
        <v>1414.6000000000001</v>
      </c>
      <c r="JF174" s="68">
        <f>'NOPA Crush'!Q174/'Census Crush'!JE174</f>
        <v>0.3401936943305528</v>
      </c>
    </row>
    <row r="175" spans="1:266">
      <c r="A175" s="39">
        <v>34366</v>
      </c>
      <c r="B175" s="51">
        <v>3098.3</v>
      </c>
      <c r="C175" s="51">
        <v>3555.6</v>
      </c>
      <c r="D175" s="51">
        <v>335.2</v>
      </c>
      <c r="E175" s="51">
        <v>1769.8</v>
      </c>
      <c r="F175" s="51">
        <v>22.9</v>
      </c>
      <c r="G175" s="51">
        <v>75.599999999999994</v>
      </c>
      <c r="H175" s="51">
        <v>54.1</v>
      </c>
      <c r="I175" s="51">
        <v>37.299999999999997</v>
      </c>
      <c r="J175" s="51">
        <v>97.2</v>
      </c>
      <c r="K175" s="51">
        <v>1121.8</v>
      </c>
      <c r="L175" s="49">
        <v>1400.9</v>
      </c>
      <c r="M175" s="51">
        <v>1184</v>
      </c>
      <c r="N175" s="51">
        <v>216.9</v>
      </c>
      <c r="O175" s="51">
        <v>99.9</v>
      </c>
      <c r="P175" s="51">
        <v>152.6</v>
      </c>
      <c r="Q175" s="51">
        <v>35.6</v>
      </c>
      <c r="R175" s="51">
        <v>117</v>
      </c>
      <c r="S175" s="51"/>
      <c r="T175" s="51">
        <v>18.3</v>
      </c>
      <c r="U175" s="51">
        <v>28.299999999999997</v>
      </c>
      <c r="V175" s="51">
        <v>24.4</v>
      </c>
      <c r="W175" s="51">
        <v>3.9</v>
      </c>
      <c r="X175" s="51">
        <v>60</v>
      </c>
      <c r="Y175" s="51" t="s">
        <v>264</v>
      </c>
      <c r="Z175" s="49">
        <v>115.2</v>
      </c>
      <c r="AA175" s="51">
        <v>107.7</v>
      </c>
      <c r="AB175" s="51">
        <v>7.5</v>
      </c>
      <c r="AC175" s="51">
        <v>29.6</v>
      </c>
      <c r="AD175" s="51">
        <v>25.3</v>
      </c>
      <c r="AE175" s="51"/>
      <c r="AF175" s="51">
        <v>69.800000000000011</v>
      </c>
      <c r="AG175" s="51">
        <v>45.7</v>
      </c>
      <c r="AH175" s="51">
        <v>24.1</v>
      </c>
      <c r="AI175" s="51">
        <v>138.6</v>
      </c>
      <c r="AJ175" s="51"/>
      <c r="AK175" s="51"/>
      <c r="AL175" s="51">
        <v>79</v>
      </c>
      <c r="AM175" s="51">
        <v>46.4</v>
      </c>
      <c r="AN175" s="51">
        <v>32.6</v>
      </c>
      <c r="AO175" s="51">
        <v>2303.8000000000002</v>
      </c>
      <c r="AP175" s="51">
        <v>246.7</v>
      </c>
      <c r="AQ175" s="51">
        <v>154.30000000000001</v>
      </c>
      <c r="AR175" s="51">
        <v>36.4</v>
      </c>
      <c r="AS175" s="51">
        <v>151.80000000000001</v>
      </c>
      <c r="AT175" s="51">
        <v>41.2</v>
      </c>
      <c r="AU175" s="51">
        <v>88.5</v>
      </c>
      <c r="AV175" s="51">
        <v>26.8</v>
      </c>
      <c r="AW175" s="51">
        <v>12.4</v>
      </c>
      <c r="AX175" s="51">
        <v>3.5</v>
      </c>
      <c r="AY175" s="51">
        <v>37.1</v>
      </c>
      <c r="AZ175" s="51">
        <v>4.5999999999999996</v>
      </c>
      <c r="BA175" s="51">
        <v>21.7</v>
      </c>
      <c r="BB175" s="51" t="s">
        <v>264</v>
      </c>
      <c r="BC175" s="51"/>
      <c r="BD175" s="53">
        <v>137.6</v>
      </c>
      <c r="BE175" s="53">
        <v>40</v>
      </c>
      <c r="BF175" s="55"/>
      <c r="BG175" s="55"/>
      <c r="BH175" s="53">
        <v>275.8</v>
      </c>
      <c r="BI175" s="55"/>
      <c r="BJ175" s="55"/>
      <c r="BK175" s="53">
        <v>226.1</v>
      </c>
      <c r="BL175" s="53">
        <v>4.3</v>
      </c>
      <c r="BM175" s="53">
        <v>506.2</v>
      </c>
      <c r="BN175" s="53">
        <v>234.2</v>
      </c>
      <c r="BO175" s="55"/>
      <c r="BP175" s="55"/>
      <c r="BQ175" s="53">
        <v>86.1</v>
      </c>
      <c r="BR175" s="53">
        <v>6.6</v>
      </c>
      <c r="BS175" s="53">
        <v>326.89999999999998</v>
      </c>
      <c r="BT175" s="52" t="s">
        <v>264</v>
      </c>
      <c r="BU175" s="53">
        <v>31.8</v>
      </c>
      <c r="BV175" s="51">
        <v>344.6</v>
      </c>
      <c r="BW175" s="51">
        <v>107.3</v>
      </c>
      <c r="BX175" s="51">
        <v>455</v>
      </c>
      <c r="BY175" s="51">
        <v>41.3</v>
      </c>
      <c r="BZ175" s="51">
        <v>8.1999999999999993</v>
      </c>
      <c r="CA175" s="49">
        <v>49.5</v>
      </c>
      <c r="CB175" s="55"/>
      <c r="CC175" s="55"/>
      <c r="CD175" s="55"/>
      <c r="CE175" s="55"/>
      <c r="CF175" s="53">
        <v>115.4</v>
      </c>
      <c r="CG175" s="53">
        <v>109.7</v>
      </c>
      <c r="CH175" s="53">
        <v>13.5</v>
      </c>
      <c r="CI175" s="55"/>
      <c r="CJ175" s="55"/>
      <c r="CK175" s="55"/>
      <c r="CL175" s="55"/>
      <c r="CM175" s="55"/>
      <c r="CN175" s="53">
        <v>43.9</v>
      </c>
      <c r="CO175" s="52">
        <v>284.5</v>
      </c>
      <c r="CP175" s="53">
        <v>229.8</v>
      </c>
      <c r="CQ175" s="53">
        <v>54.7</v>
      </c>
      <c r="CR175" s="52" t="s">
        <v>264</v>
      </c>
      <c r="CS175" s="52">
        <v>42</v>
      </c>
      <c r="CT175" s="52">
        <v>28</v>
      </c>
      <c r="CU175" s="52">
        <v>14</v>
      </c>
      <c r="CV175" s="52">
        <v>25.6</v>
      </c>
      <c r="CW175" s="53">
        <v>11</v>
      </c>
      <c r="CX175" s="53">
        <v>14.6</v>
      </c>
      <c r="CY175" s="53">
        <v>9.9</v>
      </c>
      <c r="CZ175" s="53">
        <v>90</v>
      </c>
      <c r="DA175" s="52">
        <v>36.1</v>
      </c>
      <c r="DB175" s="53">
        <v>33.6</v>
      </c>
      <c r="DC175" s="53">
        <v>2.5</v>
      </c>
      <c r="DD175" s="55"/>
      <c r="DE175" s="55"/>
      <c r="DF175" s="55"/>
      <c r="DG175" s="53">
        <v>106.5</v>
      </c>
      <c r="DH175" s="55"/>
      <c r="DI175" s="53">
        <v>581.5</v>
      </c>
      <c r="DJ175" s="53">
        <v>227.4</v>
      </c>
      <c r="DK175" s="53">
        <v>517.6</v>
      </c>
      <c r="DL175" s="53">
        <v>136.1</v>
      </c>
      <c r="DM175" s="53">
        <v>181</v>
      </c>
      <c r="DN175" s="55"/>
      <c r="DO175" s="53">
        <v>184.3</v>
      </c>
      <c r="DP175" s="53">
        <v>223.7</v>
      </c>
      <c r="DQ175" s="55"/>
      <c r="DR175" s="55"/>
      <c r="DS175" s="53">
        <v>774.91899999999998</v>
      </c>
      <c r="DT175" s="53">
        <v>3098.3</v>
      </c>
      <c r="DU175" s="53">
        <v>-271.7810000000004</v>
      </c>
      <c r="DV175" s="53">
        <v>0</v>
      </c>
      <c r="DW175" s="55"/>
      <c r="DX175" s="55"/>
      <c r="DY175" s="55"/>
      <c r="DZ175" s="55"/>
      <c r="EA175" s="55"/>
      <c r="EB175" s="55"/>
      <c r="EC175" s="55"/>
      <c r="ED175" s="55"/>
      <c r="EE175" s="55"/>
      <c r="EF175" s="55"/>
      <c r="EG175" s="55"/>
      <c r="EH175" s="55"/>
      <c r="EI175" s="55"/>
      <c r="EJ175" s="55"/>
      <c r="EK175" s="55"/>
      <c r="EL175" s="55"/>
      <c r="EM175" s="55"/>
      <c r="EN175" s="55"/>
      <c r="EO175" s="55"/>
      <c r="EP175" s="55"/>
      <c r="EQ175" s="55"/>
      <c r="ER175" s="55"/>
      <c r="ES175" s="55"/>
      <c r="ET175" s="55"/>
      <c r="EU175" s="55"/>
      <c r="EV175" s="55"/>
      <c r="EW175" s="55"/>
      <c r="EX175" s="55"/>
      <c r="EY175" s="55"/>
      <c r="EZ175" s="55"/>
      <c r="FA175" s="55"/>
      <c r="FB175" s="55"/>
      <c r="FC175" s="55"/>
      <c r="FD175" s="55"/>
      <c r="FE175" s="55"/>
      <c r="FF175" s="55"/>
      <c r="FG175" s="55"/>
      <c r="FH175" s="55"/>
      <c r="FI175" s="55"/>
      <c r="FJ175" s="55"/>
      <c r="FK175" s="55"/>
      <c r="FL175" s="55"/>
      <c r="FM175" s="55"/>
      <c r="FN175" s="55"/>
      <c r="FO175" s="55"/>
      <c r="FP175" s="55"/>
      <c r="FQ175" s="55"/>
      <c r="FR175" s="55"/>
      <c r="FS175" s="55"/>
      <c r="FT175" s="55"/>
      <c r="FU175" s="55"/>
      <c r="FV175" s="55"/>
      <c r="FW175" s="55"/>
      <c r="FX175" s="55"/>
      <c r="FY175" s="55"/>
      <c r="FZ175" s="55"/>
      <c r="GA175" s="55"/>
      <c r="GB175" s="55"/>
      <c r="GC175" s="55"/>
      <c r="GD175" s="55"/>
      <c r="GE175" s="55"/>
      <c r="GF175" s="55"/>
      <c r="GG175" s="55"/>
      <c r="GH175" s="55"/>
      <c r="GI175" s="55"/>
      <c r="GJ175" s="55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19">
        <v>0.97024114930733707</v>
      </c>
      <c r="GZ175" s="53">
        <v>945.5</v>
      </c>
      <c r="HA175" s="53">
        <v>974.5</v>
      </c>
      <c r="HB175" s="55"/>
      <c r="HC175" s="55"/>
      <c r="HD175" s="55"/>
      <c r="HE175" s="55"/>
      <c r="HF175" s="53">
        <v>939.1</v>
      </c>
      <c r="HG175" s="53">
        <v>915.9</v>
      </c>
      <c r="HH175" s="53">
        <v>373.9</v>
      </c>
      <c r="HI175" s="53">
        <v>151.19999999999999</v>
      </c>
      <c r="HJ175" s="53">
        <v>377.4</v>
      </c>
      <c r="HK175" s="53">
        <v>13.4</v>
      </c>
      <c r="HL175" s="53">
        <v>23.2</v>
      </c>
      <c r="HM175" s="55"/>
      <c r="HN175" s="55"/>
      <c r="HO175" s="55"/>
      <c r="HP175" s="53" t="e">
        <v>#VALUE!</v>
      </c>
      <c r="HQ175" s="53">
        <v>3.9</v>
      </c>
      <c r="HR175" s="53">
        <v>7.3</v>
      </c>
      <c r="HS175" s="53" t="e">
        <v>#VALUE!</v>
      </c>
      <c r="HT175" s="53">
        <v>7.6</v>
      </c>
      <c r="HU175" s="55"/>
      <c r="HV175" s="55"/>
      <c r="HW175" s="53">
        <v>254.4</v>
      </c>
      <c r="HX175" s="53" t="e">
        <v>#VALUE!</v>
      </c>
      <c r="HY175" s="53">
        <v>254.4</v>
      </c>
      <c r="HZ175" s="53">
        <v>47.2</v>
      </c>
      <c r="IA175" s="53">
        <v>163.4</v>
      </c>
      <c r="IB175" s="53" t="e">
        <v>#VALUE!</v>
      </c>
      <c r="IC175" s="53" t="e">
        <v>#VALUE!</v>
      </c>
      <c r="ID175" s="53" t="e">
        <v>#VALUE!</v>
      </c>
      <c r="IE175" s="53" t="e">
        <v>#VALUE!</v>
      </c>
      <c r="IF175" s="53">
        <v>13.7</v>
      </c>
      <c r="IG175" s="53">
        <v>24.2</v>
      </c>
      <c r="IH175" s="55"/>
      <c r="II175" s="55"/>
      <c r="IJ175" s="55"/>
      <c r="IK175" s="55"/>
      <c r="IL175" s="55"/>
      <c r="IM175" s="55"/>
      <c r="IN175" s="53">
        <v>93.4</v>
      </c>
      <c r="IO175" s="53">
        <v>96.7</v>
      </c>
      <c r="IP175" s="53" t="e">
        <v>#VALUE!</v>
      </c>
      <c r="IQ175" s="53">
        <v>36.9</v>
      </c>
      <c r="IR175" s="53">
        <v>13.9</v>
      </c>
      <c r="IS175" s="53" t="e">
        <v>#VALUE!</v>
      </c>
      <c r="IT175" s="53">
        <v>18.600000000000001</v>
      </c>
      <c r="IU175" s="53" t="e">
        <v>#VALUE!</v>
      </c>
      <c r="IV175" s="53" t="e">
        <v>#VALUE!</v>
      </c>
      <c r="IY175" s="48">
        <f t="shared" si="8"/>
        <v>47.602233482877715</v>
      </c>
      <c r="IZ175" s="48">
        <f>IY175-'NOPA Crush'!J175</f>
        <v>-7.7665171222847107E-3</v>
      </c>
      <c r="JB175" s="63">
        <f t="shared" si="6"/>
        <v>10.862085659877996</v>
      </c>
      <c r="JC175" s="64">
        <f>JB175-'NOPA Crush'!O175</f>
        <v>2.2085659877996378E-2</v>
      </c>
      <c r="JD175" s="65"/>
      <c r="JE175" s="67">
        <f t="shared" si="7"/>
        <v>1400.9</v>
      </c>
      <c r="JF175" s="68">
        <f>'NOPA Crush'!Q175/'Census Crush'!JE175</f>
        <v>0.34708901420515381</v>
      </c>
    </row>
    <row r="176" spans="1:266">
      <c r="A176" s="39">
        <v>34394</v>
      </c>
      <c r="B176" s="51">
        <v>3399.2</v>
      </c>
      <c r="C176" s="51">
        <v>3591.5</v>
      </c>
      <c r="D176" s="51">
        <v>358.6</v>
      </c>
      <c r="E176" s="51">
        <v>1440.1</v>
      </c>
      <c r="F176" s="51">
        <v>26.9</v>
      </c>
      <c r="G176" s="51">
        <v>61.9</v>
      </c>
      <c r="H176" s="51">
        <v>65.599999999999994</v>
      </c>
      <c r="I176" s="51">
        <v>51.8</v>
      </c>
      <c r="J176" s="51">
        <v>89.4</v>
      </c>
      <c r="K176" s="51">
        <v>1231.3</v>
      </c>
      <c r="L176" s="49">
        <v>1402.1</v>
      </c>
      <c r="M176" s="51">
        <v>1192.3</v>
      </c>
      <c r="N176" s="51">
        <v>209.8</v>
      </c>
      <c r="O176" s="51">
        <v>119.6</v>
      </c>
      <c r="P176" s="51">
        <v>167.10000000000002</v>
      </c>
      <c r="Q176" s="51">
        <v>38.200000000000003</v>
      </c>
      <c r="R176" s="51">
        <v>128.9</v>
      </c>
      <c r="S176" s="51"/>
      <c r="T176" s="51">
        <v>21.2</v>
      </c>
      <c r="U176" s="51">
        <v>26.1</v>
      </c>
      <c r="V176" s="51">
        <v>23.3</v>
      </c>
      <c r="W176" s="51">
        <v>2.8</v>
      </c>
      <c r="X176" s="51">
        <v>50</v>
      </c>
      <c r="Y176" s="51">
        <v>3.9</v>
      </c>
      <c r="Z176" s="49">
        <v>142.10000000000002</v>
      </c>
      <c r="AA176" s="51">
        <v>132.80000000000001</v>
      </c>
      <c r="AB176" s="51">
        <v>9.3000000000000007</v>
      </c>
      <c r="AC176" s="51">
        <v>42</v>
      </c>
      <c r="AD176" s="51">
        <v>22.4</v>
      </c>
      <c r="AE176" s="51"/>
      <c r="AF176" s="51">
        <v>81.599999999999994</v>
      </c>
      <c r="AG176" s="51">
        <v>55.6</v>
      </c>
      <c r="AH176" s="51">
        <v>26</v>
      </c>
      <c r="AI176" s="51">
        <v>166.9</v>
      </c>
      <c r="AJ176" s="51"/>
      <c r="AK176" s="51"/>
      <c r="AL176" s="51">
        <v>65.400000000000006</v>
      </c>
      <c r="AM176" s="51">
        <v>39.5</v>
      </c>
      <c r="AN176" s="51">
        <v>25.9</v>
      </c>
      <c r="AO176" s="51">
        <v>2522.6999999999998</v>
      </c>
      <c r="AP176" s="51">
        <v>235</v>
      </c>
      <c r="AQ176" s="51">
        <v>173.6</v>
      </c>
      <c r="AR176" s="51">
        <v>42.3</v>
      </c>
      <c r="AS176" s="51">
        <v>164</v>
      </c>
      <c r="AT176" s="51">
        <v>52.1</v>
      </c>
      <c r="AU176" s="51">
        <v>97</v>
      </c>
      <c r="AV176" s="51">
        <v>30.7</v>
      </c>
      <c r="AW176" s="51">
        <v>15.1</v>
      </c>
      <c r="AX176" s="51">
        <v>4.4000000000000004</v>
      </c>
      <c r="AY176" s="51">
        <v>30.8</v>
      </c>
      <c r="AZ176" s="51">
        <v>4.9000000000000004</v>
      </c>
      <c r="BA176" s="51">
        <v>29.9</v>
      </c>
      <c r="BB176" s="51" t="s">
        <v>264</v>
      </c>
      <c r="BC176" s="51"/>
      <c r="BD176" s="53">
        <v>145.80000000000001</v>
      </c>
      <c r="BE176" s="53">
        <v>41.1</v>
      </c>
      <c r="BF176" s="55"/>
      <c r="BG176" s="55"/>
      <c r="BH176" s="53">
        <v>321.10000000000002</v>
      </c>
      <c r="BI176" s="55"/>
      <c r="BJ176" s="55"/>
      <c r="BK176" s="53">
        <v>258.60000000000002</v>
      </c>
      <c r="BL176" s="53">
        <v>4.5</v>
      </c>
      <c r="BM176" s="53">
        <v>584.20000000000005</v>
      </c>
      <c r="BN176" s="53">
        <v>261.10000000000002</v>
      </c>
      <c r="BO176" s="55"/>
      <c r="BP176" s="55"/>
      <c r="BQ176" s="53">
        <v>101.7</v>
      </c>
      <c r="BR176" s="53">
        <v>8</v>
      </c>
      <c r="BS176" s="53">
        <v>370.8</v>
      </c>
      <c r="BT176" s="52" t="s">
        <v>264</v>
      </c>
      <c r="BU176" s="53">
        <v>28.8</v>
      </c>
      <c r="BV176" s="51">
        <v>390.2</v>
      </c>
      <c r="BW176" s="51">
        <v>114.8</v>
      </c>
      <c r="BX176" s="51">
        <v>507.8</v>
      </c>
      <c r="BY176" s="51">
        <v>40.799999999999997</v>
      </c>
      <c r="BZ176" s="51">
        <v>9.1</v>
      </c>
      <c r="CA176" s="49">
        <v>49.9</v>
      </c>
      <c r="CB176" s="55"/>
      <c r="CC176" s="55"/>
      <c r="CD176" s="55"/>
      <c r="CE176" s="55"/>
      <c r="CF176" s="53">
        <v>148.1</v>
      </c>
      <c r="CG176" s="53">
        <v>118.2</v>
      </c>
      <c r="CH176" s="53">
        <v>13.5</v>
      </c>
      <c r="CI176" s="55"/>
      <c r="CJ176" s="55"/>
      <c r="CK176" s="55"/>
      <c r="CL176" s="55"/>
      <c r="CM176" s="55"/>
      <c r="CN176" s="53">
        <v>42.4</v>
      </c>
      <c r="CO176" s="52">
        <v>251.5</v>
      </c>
      <c r="CP176" s="53">
        <v>190.2</v>
      </c>
      <c r="CQ176" s="53">
        <v>61.3</v>
      </c>
      <c r="CR176" s="52" t="s">
        <v>264</v>
      </c>
      <c r="CS176" s="52">
        <v>49.4</v>
      </c>
      <c r="CT176" s="52">
        <v>28</v>
      </c>
      <c r="CU176" s="52">
        <v>21.4</v>
      </c>
      <c r="CV176" s="52">
        <v>38.200000000000003</v>
      </c>
      <c r="CW176" s="53">
        <v>13.7</v>
      </c>
      <c r="CX176" s="53">
        <v>24.5</v>
      </c>
      <c r="CY176" s="53">
        <v>10.8</v>
      </c>
      <c r="CZ176" s="53">
        <v>112.7</v>
      </c>
      <c r="DA176" s="52">
        <v>30.099999999999998</v>
      </c>
      <c r="DB176" s="53">
        <v>28.2</v>
      </c>
      <c r="DC176" s="53">
        <v>1.9</v>
      </c>
      <c r="DD176" s="55"/>
      <c r="DE176" s="55"/>
      <c r="DF176" s="55"/>
      <c r="DG176" s="53">
        <v>120.7</v>
      </c>
      <c r="DH176" s="55"/>
      <c r="DI176" s="53">
        <v>641.4</v>
      </c>
      <c r="DJ176" s="53">
        <v>238.5</v>
      </c>
      <c r="DK176" s="53">
        <v>543.20000000000005</v>
      </c>
      <c r="DL176" s="53">
        <v>157.30000000000001</v>
      </c>
      <c r="DM176" s="53">
        <v>201.7</v>
      </c>
      <c r="DN176" s="55"/>
      <c r="DO176" s="53">
        <v>201.3</v>
      </c>
      <c r="DP176" s="53">
        <v>254.3</v>
      </c>
      <c r="DQ176" s="55"/>
      <c r="DR176" s="55"/>
      <c r="DS176" s="53">
        <v>862.87300000000005</v>
      </c>
      <c r="DT176" s="53">
        <v>3399.2</v>
      </c>
      <c r="DU176" s="53">
        <v>-298.62699999999995</v>
      </c>
      <c r="DV176" s="53">
        <v>0</v>
      </c>
      <c r="DW176" s="55"/>
      <c r="DX176" s="55"/>
      <c r="DY176" s="55"/>
      <c r="DZ176" s="55"/>
      <c r="EA176" s="55"/>
      <c r="EB176" s="55"/>
      <c r="EC176" s="55"/>
      <c r="ED176" s="55"/>
      <c r="EE176" s="55"/>
      <c r="EF176" s="55"/>
      <c r="EG176" s="55"/>
      <c r="EH176" s="55"/>
      <c r="EI176" s="55"/>
      <c r="EJ176" s="55"/>
      <c r="EK176" s="55"/>
      <c r="EL176" s="55"/>
      <c r="EM176" s="55"/>
      <c r="EN176" s="55"/>
      <c r="EO176" s="55"/>
      <c r="EP176" s="55"/>
      <c r="EQ176" s="55"/>
      <c r="ER176" s="55"/>
      <c r="ES176" s="55"/>
      <c r="ET176" s="55"/>
      <c r="EU176" s="55"/>
      <c r="EV176" s="55"/>
      <c r="EW176" s="55"/>
      <c r="EX176" s="55"/>
      <c r="EY176" s="55"/>
      <c r="EZ176" s="55"/>
      <c r="FA176" s="55"/>
      <c r="FB176" s="55"/>
      <c r="FC176" s="55"/>
      <c r="FD176" s="55"/>
      <c r="FE176" s="55"/>
      <c r="FF176" s="55"/>
      <c r="FG176" s="55"/>
      <c r="FH176" s="55"/>
      <c r="FI176" s="55"/>
      <c r="FJ176" s="55"/>
      <c r="FK176" s="55"/>
      <c r="FL176" s="55"/>
      <c r="FM176" s="55"/>
      <c r="FN176" s="55"/>
      <c r="FO176" s="55"/>
      <c r="FP176" s="55"/>
      <c r="FQ176" s="55"/>
      <c r="FR176" s="55"/>
      <c r="FS176" s="55"/>
      <c r="FT176" s="55"/>
      <c r="FU176" s="55"/>
      <c r="FV176" s="55"/>
      <c r="FW176" s="55"/>
      <c r="FX176" s="55"/>
      <c r="FY176" s="55"/>
      <c r="FZ176" s="55"/>
      <c r="GA176" s="55"/>
      <c r="GB176" s="55"/>
      <c r="GC176" s="55"/>
      <c r="GD176" s="55"/>
      <c r="GE176" s="55"/>
      <c r="GF176" s="55"/>
      <c r="GG176" s="55"/>
      <c r="GH176" s="55"/>
      <c r="GI176" s="55"/>
      <c r="GJ176" s="55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19">
        <v>0.96882450027507794</v>
      </c>
      <c r="GZ176" s="53">
        <v>1056.5999999999999</v>
      </c>
      <c r="HA176" s="53">
        <v>1090.5999999999999</v>
      </c>
      <c r="HB176" s="55"/>
      <c r="HC176" s="55"/>
      <c r="HD176" s="55"/>
      <c r="HE176" s="55"/>
      <c r="HF176" s="53">
        <v>1084.7</v>
      </c>
      <c r="HG176" s="53">
        <v>1056.9000000000001</v>
      </c>
      <c r="HH176" s="53">
        <v>431.9</v>
      </c>
      <c r="HI176" s="53">
        <v>165.3</v>
      </c>
      <c r="HJ176" s="53">
        <v>441.3</v>
      </c>
      <c r="HK176" s="53">
        <v>18.399999999999999</v>
      </c>
      <c r="HL176" s="53">
        <v>27.8</v>
      </c>
      <c r="HM176" s="55"/>
      <c r="HN176" s="55"/>
      <c r="HO176" s="55"/>
      <c r="HP176" s="53" t="e">
        <v>#VALUE!</v>
      </c>
      <c r="HQ176" s="53">
        <v>4.0999999999999996</v>
      </c>
      <c r="HR176" s="53">
        <v>10.8</v>
      </c>
      <c r="HS176" s="53" t="e">
        <v>#VALUE!</v>
      </c>
      <c r="HT176" s="53">
        <v>8.1</v>
      </c>
      <c r="HU176" s="55"/>
      <c r="HV176" s="55"/>
      <c r="HW176" s="53">
        <v>265.2</v>
      </c>
      <c r="HX176" s="53" t="e">
        <v>#VALUE!</v>
      </c>
      <c r="HY176" s="53">
        <v>265.2</v>
      </c>
      <c r="HZ176" s="53">
        <v>48.5</v>
      </c>
      <c r="IA176" s="53">
        <v>177.1</v>
      </c>
      <c r="IB176" s="53" t="e">
        <v>#VALUE!</v>
      </c>
      <c r="IC176" s="53" t="e">
        <v>#VALUE!</v>
      </c>
      <c r="ID176" s="53" t="e">
        <v>#VALUE!</v>
      </c>
      <c r="IE176" s="53" t="e">
        <v>#VALUE!</v>
      </c>
      <c r="IF176" s="53">
        <v>13.9</v>
      </c>
      <c r="IG176" s="53">
        <v>19.899999999999999</v>
      </c>
      <c r="IH176" s="55"/>
      <c r="II176" s="55"/>
      <c r="IJ176" s="55"/>
      <c r="IK176" s="55"/>
      <c r="IL176" s="55"/>
      <c r="IM176" s="55"/>
      <c r="IN176" s="53">
        <v>107.8</v>
      </c>
      <c r="IO176" s="53">
        <v>111.5</v>
      </c>
      <c r="IP176" s="53">
        <v>43.3</v>
      </c>
      <c r="IQ176" s="53">
        <v>42.4</v>
      </c>
      <c r="IR176" s="53">
        <v>19.100000000000001</v>
      </c>
      <c r="IS176" s="53" t="e">
        <v>#VALUE!</v>
      </c>
      <c r="IT176" s="53">
        <v>17.8</v>
      </c>
      <c r="IU176" s="53" t="e">
        <v>#VALUE!</v>
      </c>
      <c r="IV176" s="53">
        <v>0.9</v>
      </c>
      <c r="IY176" s="48">
        <f t="shared" si="8"/>
        <v>47.592963050129441</v>
      </c>
      <c r="IZ176" s="48">
        <f>IY176-'NOPA Crush'!J176</f>
        <v>-5.7036949870557407E-2</v>
      </c>
      <c r="JB176" s="63">
        <f t="shared" si="6"/>
        <v>10.866968698517299</v>
      </c>
      <c r="JC176" s="64">
        <f>JB176-'NOPA Crush'!O176</f>
        <v>-3.0313014827001439E-3</v>
      </c>
      <c r="JD176" s="65"/>
      <c r="JE176" s="67">
        <f t="shared" si="7"/>
        <v>1402.1</v>
      </c>
      <c r="JF176" s="68">
        <f>'NOPA Crush'!Q176/'Census Crush'!JE176</f>
        <v>0.34357107196348335</v>
      </c>
    </row>
    <row r="177" spans="1:266">
      <c r="A177" s="39">
        <v>34425</v>
      </c>
      <c r="B177" s="51">
        <v>3166.7</v>
      </c>
      <c r="C177" s="51">
        <v>2959.7</v>
      </c>
      <c r="D177" s="51">
        <v>265.7</v>
      </c>
      <c r="E177" s="51">
        <v>1179.8</v>
      </c>
      <c r="F177" s="51">
        <v>24.3</v>
      </c>
      <c r="G177" s="51">
        <v>59.6</v>
      </c>
      <c r="H177" s="51">
        <v>37</v>
      </c>
      <c r="I177" s="51">
        <v>44.1</v>
      </c>
      <c r="J177" s="51">
        <v>62.1</v>
      </c>
      <c r="K177" s="51">
        <v>1155.3</v>
      </c>
      <c r="L177" s="49">
        <v>1553.3</v>
      </c>
      <c r="M177" s="51">
        <v>1329.8</v>
      </c>
      <c r="N177" s="51">
        <v>223.5</v>
      </c>
      <c r="O177" s="51">
        <v>85.3</v>
      </c>
      <c r="P177" s="51">
        <v>157</v>
      </c>
      <c r="Q177" s="51">
        <v>38.1</v>
      </c>
      <c r="R177" s="51">
        <v>118.9</v>
      </c>
      <c r="S177" s="51"/>
      <c r="T177" s="51">
        <v>18.7</v>
      </c>
      <c r="U177" s="51">
        <v>34.5</v>
      </c>
      <c r="V177" s="51">
        <v>29.4</v>
      </c>
      <c r="W177" s="51">
        <v>5.0999999999999996</v>
      </c>
      <c r="X177" s="51">
        <v>47.7</v>
      </c>
      <c r="Y177" s="51" t="s">
        <v>264</v>
      </c>
      <c r="Z177" s="49">
        <v>140.6</v>
      </c>
      <c r="AA177" s="51">
        <v>133.6</v>
      </c>
      <c r="AB177" s="51">
        <v>7</v>
      </c>
      <c r="AC177" s="51">
        <v>34.200000000000003</v>
      </c>
      <c r="AD177" s="51">
        <v>23.6</v>
      </c>
      <c r="AE177" s="51"/>
      <c r="AF177" s="51">
        <v>109</v>
      </c>
      <c r="AG177" s="51">
        <v>72.3</v>
      </c>
      <c r="AH177" s="51">
        <v>36.700000000000003</v>
      </c>
      <c r="AI177" s="51">
        <v>155.30000000000001</v>
      </c>
      <c r="AJ177" s="51"/>
      <c r="AK177" s="51"/>
      <c r="AL177" s="51">
        <v>96.4</v>
      </c>
      <c r="AM177" s="51">
        <v>52.2</v>
      </c>
      <c r="AN177" s="51">
        <v>44.2</v>
      </c>
      <c r="AO177" s="51">
        <v>2347.5</v>
      </c>
      <c r="AP177" s="51">
        <v>292.7</v>
      </c>
      <c r="AQ177" s="51">
        <v>162.5</v>
      </c>
      <c r="AR177" s="51">
        <v>40.299999999999997</v>
      </c>
      <c r="AS177" s="51">
        <v>119.6</v>
      </c>
      <c r="AT177" s="51">
        <v>66.400000000000006</v>
      </c>
      <c r="AU177" s="51">
        <v>65.900000000000006</v>
      </c>
      <c r="AV177" s="51">
        <v>22.7</v>
      </c>
      <c r="AW177" s="51">
        <v>13.4</v>
      </c>
      <c r="AX177" s="51">
        <v>4.5</v>
      </c>
      <c r="AY177" s="51">
        <v>28.3</v>
      </c>
      <c r="AZ177" s="51" t="s">
        <v>264</v>
      </c>
      <c r="BA177" s="51">
        <v>25.9</v>
      </c>
      <c r="BB177" s="51" t="s">
        <v>264</v>
      </c>
      <c r="BC177" s="51"/>
      <c r="BD177" s="53">
        <v>139.19999999999999</v>
      </c>
      <c r="BE177" s="53">
        <v>37</v>
      </c>
      <c r="BF177" s="55"/>
      <c r="BG177" s="55"/>
      <c r="BH177" s="53">
        <v>288</v>
      </c>
      <c r="BI177" s="55"/>
      <c r="BJ177" s="55"/>
      <c r="BK177" s="53">
        <v>238.8</v>
      </c>
      <c r="BL177" s="53">
        <v>4.9000000000000004</v>
      </c>
      <c r="BM177" s="53">
        <v>531.70000000000005</v>
      </c>
      <c r="BN177" s="53">
        <v>223.6</v>
      </c>
      <c r="BO177" s="55"/>
      <c r="BP177" s="55"/>
      <c r="BQ177" s="53">
        <v>92.2</v>
      </c>
      <c r="BR177" s="53">
        <v>7.2</v>
      </c>
      <c r="BS177" s="53">
        <v>323</v>
      </c>
      <c r="BT177" s="52" t="s">
        <v>264</v>
      </c>
      <c r="BU177" s="53">
        <v>25.1</v>
      </c>
      <c r="BV177" s="51">
        <v>356.8</v>
      </c>
      <c r="BW177" s="51">
        <v>106.9</v>
      </c>
      <c r="BX177" s="51">
        <v>465.5</v>
      </c>
      <c r="BY177" s="51">
        <v>47.5</v>
      </c>
      <c r="BZ177" s="51">
        <v>9.3000000000000007</v>
      </c>
      <c r="CA177" s="49">
        <v>56.8</v>
      </c>
      <c r="CB177" s="55"/>
      <c r="CC177" s="55"/>
      <c r="CD177" s="55"/>
      <c r="CE177" s="55"/>
      <c r="CF177" s="53">
        <v>131</v>
      </c>
      <c r="CG177" s="53">
        <v>124.4</v>
      </c>
      <c r="CH177" s="53">
        <v>12</v>
      </c>
      <c r="CI177" s="55"/>
      <c r="CJ177" s="55"/>
      <c r="CK177" s="55"/>
      <c r="CL177" s="55"/>
      <c r="CM177" s="55"/>
      <c r="CN177" s="53">
        <v>41</v>
      </c>
      <c r="CO177" s="52">
        <v>237.6</v>
      </c>
      <c r="CP177" s="53">
        <v>167.5</v>
      </c>
      <c r="CQ177" s="53">
        <v>70.099999999999994</v>
      </c>
      <c r="CR177" s="52" t="s">
        <v>264</v>
      </c>
      <c r="CS177" s="52">
        <v>52</v>
      </c>
      <c r="CT177" s="52">
        <v>32</v>
      </c>
      <c r="CU177" s="52">
        <v>20</v>
      </c>
      <c r="CV177" s="52">
        <v>41.4</v>
      </c>
      <c r="CW177" s="53">
        <v>17</v>
      </c>
      <c r="CX177" s="53">
        <v>24.4</v>
      </c>
      <c r="CY177" s="53">
        <v>10.4</v>
      </c>
      <c r="CZ177" s="53">
        <v>94.5</v>
      </c>
      <c r="DA177" s="52">
        <v>38.700000000000003</v>
      </c>
      <c r="DB177" s="53">
        <v>37</v>
      </c>
      <c r="DC177" s="53">
        <v>1.7</v>
      </c>
      <c r="DD177" s="55"/>
      <c r="DE177" s="55"/>
      <c r="DF177" s="55"/>
      <c r="DG177" s="53">
        <v>93.6</v>
      </c>
      <c r="DH177" s="55"/>
      <c r="DI177" s="53">
        <v>595.6</v>
      </c>
      <c r="DJ177" s="53">
        <v>232.1</v>
      </c>
      <c r="DK177" s="53">
        <v>516.5</v>
      </c>
      <c r="DL177" s="53">
        <v>143</v>
      </c>
      <c r="DM177" s="53">
        <v>194.7</v>
      </c>
      <c r="DN177" s="55"/>
      <c r="DO177" s="53">
        <v>185.8</v>
      </c>
      <c r="DP177" s="53">
        <v>246.9</v>
      </c>
      <c r="DQ177" s="55"/>
      <c r="DR177" s="55"/>
      <c r="DS177" s="53">
        <v>785.38499999999999</v>
      </c>
      <c r="DT177" s="53">
        <v>3166.7</v>
      </c>
      <c r="DU177" s="53">
        <v>-266.71500000000015</v>
      </c>
      <c r="DV177" s="53">
        <v>0</v>
      </c>
      <c r="DW177" s="55"/>
      <c r="DX177" s="55"/>
      <c r="DY177" s="55"/>
      <c r="DZ177" s="55"/>
      <c r="EA177" s="55"/>
      <c r="EB177" s="55"/>
      <c r="EC177" s="55"/>
      <c r="ED177" s="55"/>
      <c r="EE177" s="55"/>
      <c r="EF177" s="55"/>
      <c r="EG177" s="55"/>
      <c r="EH177" s="55"/>
      <c r="EI177" s="55"/>
      <c r="EJ177" s="55"/>
      <c r="EK177" s="55"/>
      <c r="EL177" s="55"/>
      <c r="EM177" s="55"/>
      <c r="EN177" s="55"/>
      <c r="EO177" s="55"/>
      <c r="EP177" s="55"/>
      <c r="EQ177" s="55"/>
      <c r="ER177" s="55"/>
      <c r="ES177" s="55"/>
      <c r="ET177" s="55"/>
      <c r="EU177" s="55"/>
      <c r="EV177" s="55"/>
      <c r="EW177" s="55"/>
      <c r="EX177" s="55"/>
      <c r="EY177" s="55"/>
      <c r="EZ177" s="55"/>
      <c r="FA177" s="55"/>
      <c r="FB177" s="55"/>
      <c r="FC177" s="55"/>
      <c r="FD177" s="55"/>
      <c r="FE177" s="55"/>
      <c r="FF177" s="55"/>
      <c r="FG177" s="55"/>
      <c r="FH177" s="55"/>
      <c r="FI177" s="55"/>
      <c r="FJ177" s="55"/>
      <c r="FK177" s="55"/>
      <c r="FL177" s="55"/>
      <c r="FM177" s="55"/>
      <c r="FN177" s="55"/>
      <c r="FO177" s="55"/>
      <c r="FP177" s="55"/>
      <c r="FQ177" s="55"/>
      <c r="FR177" s="55"/>
      <c r="FS177" s="55"/>
      <c r="FT177" s="55"/>
      <c r="FU177" s="55"/>
      <c r="FV177" s="55"/>
      <c r="FW177" s="55"/>
      <c r="FX177" s="55"/>
      <c r="FY177" s="55"/>
      <c r="FZ177" s="55"/>
      <c r="GA177" s="55"/>
      <c r="GB177" s="55"/>
      <c r="GC177" s="55"/>
      <c r="GD177" s="55"/>
      <c r="GE177" s="55"/>
      <c r="GF177" s="55"/>
      <c r="GG177" s="55"/>
      <c r="GH177" s="55"/>
      <c r="GI177" s="55"/>
      <c r="GJ177" s="55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19">
        <v>0.96963061690784458</v>
      </c>
      <c r="GZ177" s="53">
        <v>1018.5</v>
      </c>
      <c r="HA177" s="53">
        <v>1050.4000000000001</v>
      </c>
      <c r="HB177" s="55"/>
      <c r="HC177" s="55"/>
      <c r="HD177" s="55"/>
      <c r="HE177" s="55"/>
      <c r="HF177" s="53">
        <v>1040.5999999999999</v>
      </c>
      <c r="HG177" s="53">
        <v>1009</v>
      </c>
      <c r="HH177" s="53">
        <v>412.4</v>
      </c>
      <c r="HI177" s="53">
        <v>136.19999999999999</v>
      </c>
      <c r="HJ177" s="53">
        <v>443.2</v>
      </c>
      <c r="HK177" s="53">
        <v>17.2</v>
      </c>
      <c r="HL177" s="53">
        <v>31.5</v>
      </c>
      <c r="HM177" s="55"/>
      <c r="HN177" s="55"/>
      <c r="HO177" s="55"/>
      <c r="HP177" s="53" t="e">
        <v>#VALUE!</v>
      </c>
      <c r="HQ177" s="53">
        <v>4.3</v>
      </c>
      <c r="HR177" s="53">
        <v>9.8000000000000007</v>
      </c>
      <c r="HS177" s="53" t="e">
        <v>#VALUE!</v>
      </c>
      <c r="HT177" s="53">
        <v>8.8000000000000007</v>
      </c>
      <c r="HU177" s="55"/>
      <c r="HV177" s="55"/>
      <c r="HW177" s="53">
        <v>284.7</v>
      </c>
      <c r="HX177" s="53" t="e">
        <v>#VALUE!</v>
      </c>
      <c r="HY177" s="53">
        <v>284.7</v>
      </c>
      <c r="HZ177" s="53">
        <v>53.2</v>
      </c>
      <c r="IA177" s="53">
        <v>183.3</v>
      </c>
      <c r="IB177" s="53" t="e">
        <v>#VALUE!</v>
      </c>
      <c r="IC177" s="53" t="e">
        <v>#VALUE!</v>
      </c>
      <c r="ID177" s="53" t="e">
        <v>#VALUE!</v>
      </c>
      <c r="IE177" s="53" t="e">
        <v>#VALUE!</v>
      </c>
      <c r="IF177" s="53">
        <v>15.9</v>
      </c>
      <c r="IG177" s="53">
        <v>24.4</v>
      </c>
      <c r="IH177" s="55"/>
      <c r="II177" s="55"/>
      <c r="IJ177" s="55"/>
      <c r="IK177" s="55"/>
      <c r="IL177" s="55"/>
      <c r="IM177" s="55"/>
      <c r="IN177" s="53">
        <v>66.900000000000006</v>
      </c>
      <c r="IO177" s="53">
        <v>69.599999999999994</v>
      </c>
      <c r="IP177" s="53">
        <v>51.9</v>
      </c>
      <c r="IQ177" s="53">
        <v>51.2</v>
      </c>
      <c r="IR177" s="53">
        <v>17</v>
      </c>
      <c r="IS177" s="53" t="e">
        <v>#VALUE!</v>
      </c>
      <c r="IT177" s="53">
        <v>30.8</v>
      </c>
      <c r="IU177" s="53" t="e">
        <v>#VALUE!</v>
      </c>
      <c r="IV177" s="53">
        <v>0.7</v>
      </c>
      <c r="IY177" s="48">
        <f t="shared" si="8"/>
        <v>47.557394132693346</v>
      </c>
      <c r="IZ177" s="48">
        <f>IY177-'NOPA Crush'!J177</f>
        <v>-0.15260586730665437</v>
      </c>
      <c r="JB177" s="63">
        <f t="shared" si="6"/>
        <v>10.944832159661479</v>
      </c>
      <c r="JC177" s="64">
        <f>JB177-'NOPA Crush'!O177</f>
        <v>1.4832159661478883E-2</v>
      </c>
      <c r="JD177" s="65"/>
      <c r="JE177" s="67">
        <f t="shared" si="7"/>
        <v>1553.3</v>
      </c>
      <c r="JF177" s="68">
        <f>'NOPA Crush'!Q177/'Census Crush'!JE177</f>
        <v>0.33327818193523467</v>
      </c>
    </row>
    <row r="178" spans="1:266">
      <c r="A178" s="39">
        <v>34455</v>
      </c>
      <c r="B178" s="51">
        <v>3089.3</v>
      </c>
      <c r="C178" s="51">
        <v>2934</v>
      </c>
      <c r="D178" s="51">
        <v>257.7</v>
      </c>
      <c r="E178" s="51">
        <v>899.1</v>
      </c>
      <c r="F178" s="51">
        <v>36.9</v>
      </c>
      <c r="G178" s="51">
        <v>37.4</v>
      </c>
      <c r="H178" s="51">
        <v>40.9</v>
      </c>
      <c r="I178" s="51">
        <v>54.7</v>
      </c>
      <c r="J178" s="51">
        <v>39.200000000000003</v>
      </c>
      <c r="K178" s="51">
        <v>1122.7</v>
      </c>
      <c r="L178" s="49">
        <v>1566.8</v>
      </c>
      <c r="M178" s="51">
        <v>1346.2</v>
      </c>
      <c r="N178" s="51">
        <v>220.6</v>
      </c>
      <c r="O178" s="51">
        <v>85.2</v>
      </c>
      <c r="P178" s="51">
        <v>159.19999999999999</v>
      </c>
      <c r="Q178" s="51">
        <v>52.8</v>
      </c>
      <c r="R178" s="51">
        <v>106.4</v>
      </c>
      <c r="S178" s="51"/>
      <c r="T178" s="51">
        <v>25.6</v>
      </c>
      <c r="U178" s="51">
        <v>36.4</v>
      </c>
      <c r="V178" s="51">
        <v>32.1</v>
      </c>
      <c r="W178" s="51">
        <v>4.3</v>
      </c>
      <c r="X178" s="51">
        <v>29.5</v>
      </c>
      <c r="Y178" s="51" t="s">
        <v>264</v>
      </c>
      <c r="Z178" s="49">
        <v>149.39999999999998</v>
      </c>
      <c r="AA178" s="51">
        <v>142.69999999999999</v>
      </c>
      <c r="AB178" s="51">
        <v>6.7</v>
      </c>
      <c r="AC178" s="51">
        <v>44.3</v>
      </c>
      <c r="AD178" s="51">
        <v>29.5</v>
      </c>
      <c r="AE178" s="51"/>
      <c r="AF178" s="51">
        <v>95.8</v>
      </c>
      <c r="AG178" s="51">
        <v>70.8</v>
      </c>
      <c r="AH178" s="51">
        <v>25</v>
      </c>
      <c r="AI178" s="51">
        <v>164.2</v>
      </c>
      <c r="AJ178" s="51"/>
      <c r="AK178" s="51"/>
      <c r="AL178" s="51">
        <v>88.4</v>
      </c>
      <c r="AM178" s="51">
        <v>58.8</v>
      </c>
      <c r="AN178" s="51">
        <v>29.6</v>
      </c>
      <c r="AO178" s="51">
        <v>2285.4</v>
      </c>
      <c r="AP178" s="51">
        <v>281.3</v>
      </c>
      <c r="AQ178" s="51">
        <v>161</v>
      </c>
      <c r="AR178" s="51">
        <v>44</v>
      </c>
      <c r="AS178" s="51">
        <v>116.1</v>
      </c>
      <c r="AT178" s="51">
        <v>95.3</v>
      </c>
      <c r="AU178" s="51">
        <v>69.8</v>
      </c>
      <c r="AV178" s="51">
        <v>23.6</v>
      </c>
      <c r="AW178" s="51">
        <v>22.9</v>
      </c>
      <c r="AX178" s="51">
        <v>4.5</v>
      </c>
      <c r="AY178" s="51">
        <v>18</v>
      </c>
      <c r="AZ178" s="51" t="s">
        <v>264</v>
      </c>
      <c r="BA178" s="51">
        <v>31.8</v>
      </c>
      <c r="BB178" s="51" t="s">
        <v>264</v>
      </c>
      <c r="BC178" s="51"/>
      <c r="BD178" s="53">
        <v>160.19999999999999</v>
      </c>
      <c r="BE178" s="53">
        <v>41.5</v>
      </c>
      <c r="BF178" s="55"/>
      <c r="BG178" s="55"/>
      <c r="BH178" s="53">
        <v>305.39999999999998</v>
      </c>
      <c r="BI178" s="55"/>
      <c r="BJ178" s="55"/>
      <c r="BK178" s="53">
        <v>252</v>
      </c>
      <c r="BL178" s="53">
        <v>4.4000000000000004</v>
      </c>
      <c r="BM178" s="53">
        <v>561.79999999999995</v>
      </c>
      <c r="BN178" s="53">
        <v>213.6</v>
      </c>
      <c r="BO178" s="55"/>
      <c r="BP178" s="55"/>
      <c r="BQ178" s="53">
        <v>88.6</v>
      </c>
      <c r="BR178" s="53">
        <v>7.7</v>
      </c>
      <c r="BS178" s="53">
        <v>309.89999999999998</v>
      </c>
      <c r="BT178" s="52" t="s">
        <v>264</v>
      </c>
      <c r="BU178" s="53">
        <v>27.4</v>
      </c>
      <c r="BV178" s="51">
        <v>380.7</v>
      </c>
      <c r="BW178" s="51">
        <v>114.1</v>
      </c>
      <c r="BX178" s="51">
        <v>497.5</v>
      </c>
      <c r="BY178" s="51">
        <v>43.7</v>
      </c>
      <c r="BZ178" s="51">
        <v>10.4</v>
      </c>
      <c r="CA178" s="49">
        <v>54.1</v>
      </c>
      <c r="CB178" s="55"/>
      <c r="CC178" s="55"/>
      <c r="CD178" s="55"/>
      <c r="CE178" s="55"/>
      <c r="CF178" s="53">
        <v>119.1</v>
      </c>
      <c r="CG178" s="53">
        <v>112.6</v>
      </c>
      <c r="CH178" s="53">
        <v>10.199999999999999</v>
      </c>
      <c r="CI178" s="55"/>
      <c r="CJ178" s="55"/>
      <c r="CK178" s="55"/>
      <c r="CL178" s="55"/>
      <c r="CM178" s="55"/>
      <c r="CN178" s="53">
        <v>46.2</v>
      </c>
      <c r="CO178" s="52">
        <v>199.89999999999998</v>
      </c>
      <c r="CP178" s="53">
        <v>135.69999999999999</v>
      </c>
      <c r="CQ178" s="53">
        <v>64.2</v>
      </c>
      <c r="CR178" s="52" t="s">
        <v>264</v>
      </c>
      <c r="CS178" s="52">
        <v>62.6</v>
      </c>
      <c r="CT178" s="52">
        <v>36.1</v>
      </c>
      <c r="CU178" s="52">
        <v>26.5</v>
      </c>
      <c r="CV178" s="52">
        <v>38.900000000000006</v>
      </c>
      <c r="CW178" s="53">
        <v>18.3</v>
      </c>
      <c r="CX178" s="53">
        <v>20.6</v>
      </c>
      <c r="CY178" s="53">
        <v>16.899999999999999</v>
      </c>
      <c r="CZ178" s="53">
        <v>97.3</v>
      </c>
      <c r="DA178" s="52">
        <v>45.1</v>
      </c>
      <c r="DB178" s="53">
        <v>43.6</v>
      </c>
      <c r="DC178" s="53">
        <v>1.5</v>
      </c>
      <c r="DD178" s="55"/>
      <c r="DE178" s="55"/>
      <c r="DF178" s="55"/>
      <c r="DG178" s="53">
        <v>82</v>
      </c>
      <c r="DH178" s="55"/>
      <c r="DI178" s="53">
        <v>553.4</v>
      </c>
      <c r="DJ178" s="53">
        <v>242.8</v>
      </c>
      <c r="DK178" s="53">
        <v>510</v>
      </c>
      <c r="DL178" s="53">
        <v>157.5</v>
      </c>
      <c r="DM178" s="53">
        <v>206</v>
      </c>
      <c r="DN178" s="55"/>
      <c r="DO178" s="53">
        <v>179.4</v>
      </c>
      <c r="DP178" s="53">
        <v>252.4</v>
      </c>
      <c r="DQ178" s="55"/>
      <c r="DR178" s="55"/>
      <c r="DS178" s="53">
        <v>777.31500000000005</v>
      </c>
      <c r="DT178" s="53">
        <v>3089.3</v>
      </c>
      <c r="DU178" s="53">
        <v>-210.48500000000013</v>
      </c>
      <c r="DV178" s="53">
        <v>0</v>
      </c>
      <c r="DW178" s="55"/>
      <c r="DX178" s="55"/>
      <c r="DY178" s="55"/>
      <c r="DZ178" s="55"/>
      <c r="EA178" s="55"/>
      <c r="EB178" s="55"/>
      <c r="EC178" s="55"/>
      <c r="ED178" s="55"/>
      <c r="EE178" s="55"/>
      <c r="EF178" s="55"/>
      <c r="EG178" s="55"/>
      <c r="EH178" s="55"/>
      <c r="EI178" s="55"/>
      <c r="EJ178" s="55"/>
      <c r="EK178" s="55"/>
      <c r="EL178" s="55"/>
      <c r="EM178" s="55"/>
      <c r="EN178" s="55"/>
      <c r="EO178" s="55"/>
      <c r="EP178" s="55"/>
      <c r="EQ178" s="55"/>
      <c r="ER178" s="55"/>
      <c r="ES178" s="55"/>
      <c r="ET178" s="55"/>
      <c r="EU178" s="55"/>
      <c r="EV178" s="55"/>
      <c r="EW178" s="55"/>
      <c r="EX178" s="55"/>
      <c r="EY178" s="55"/>
      <c r="EZ178" s="55"/>
      <c r="FA178" s="55"/>
      <c r="FB178" s="55"/>
      <c r="FC178" s="55"/>
      <c r="FD178" s="55"/>
      <c r="FE178" s="55"/>
      <c r="FF178" s="55"/>
      <c r="FG178" s="55"/>
      <c r="FH178" s="55"/>
      <c r="FI178" s="55"/>
      <c r="FJ178" s="55"/>
      <c r="FK178" s="55"/>
      <c r="FL178" s="55"/>
      <c r="FM178" s="55"/>
      <c r="FN178" s="55"/>
      <c r="FO178" s="55"/>
      <c r="FP178" s="55"/>
      <c r="FQ178" s="55"/>
      <c r="FR178" s="55"/>
      <c r="FS178" s="55"/>
      <c r="FT178" s="55"/>
      <c r="FU178" s="55"/>
      <c r="FV178" s="55"/>
      <c r="FW178" s="55"/>
      <c r="FX178" s="55"/>
      <c r="FY178" s="55"/>
      <c r="FZ178" s="55"/>
      <c r="GA178" s="55"/>
      <c r="GB178" s="55"/>
      <c r="GC178" s="55"/>
      <c r="GD178" s="55"/>
      <c r="GE178" s="55"/>
      <c r="GF178" s="55"/>
      <c r="GG178" s="55"/>
      <c r="GH178" s="55"/>
      <c r="GI178" s="55"/>
      <c r="GJ178" s="55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19">
        <v>0.97055720725040751</v>
      </c>
      <c r="GZ178" s="53">
        <v>1012</v>
      </c>
      <c r="HA178" s="53">
        <v>1042.7</v>
      </c>
      <c r="HB178" s="55"/>
      <c r="HC178" s="55"/>
      <c r="HD178" s="55"/>
      <c r="HE178" s="55"/>
      <c r="HF178" s="53">
        <v>1001.4</v>
      </c>
      <c r="HG178" s="53">
        <v>971.8</v>
      </c>
      <c r="HH178" s="53">
        <v>389.8</v>
      </c>
      <c r="HI178" s="53">
        <v>126.3</v>
      </c>
      <c r="HJ178" s="53">
        <v>436.9</v>
      </c>
      <c r="HK178" s="53">
        <v>18.8</v>
      </c>
      <c r="HL178" s="53">
        <v>29.6</v>
      </c>
      <c r="HM178" s="55"/>
      <c r="HN178" s="55"/>
      <c r="HO178" s="55"/>
      <c r="HP178" s="53" t="e">
        <v>#VALUE!</v>
      </c>
      <c r="HQ178" s="53">
        <v>4.8</v>
      </c>
      <c r="HR178" s="53">
        <v>12.2</v>
      </c>
      <c r="HS178" s="53" t="e">
        <v>#VALUE!</v>
      </c>
      <c r="HT178" s="53">
        <v>7.1</v>
      </c>
      <c r="HU178" s="55"/>
      <c r="HV178" s="55"/>
      <c r="HW178" s="53">
        <v>286.2</v>
      </c>
      <c r="HX178" s="53" t="e">
        <v>#VALUE!</v>
      </c>
      <c r="HY178" s="53">
        <v>286.2</v>
      </c>
      <c r="HZ178" s="53">
        <v>54.6</v>
      </c>
      <c r="IA178" s="53">
        <v>183.2</v>
      </c>
      <c r="IB178" s="53" t="e">
        <v>#VALUE!</v>
      </c>
      <c r="IC178" s="53" t="e">
        <v>#VALUE!</v>
      </c>
      <c r="ID178" s="53" t="e">
        <v>#VALUE!</v>
      </c>
      <c r="IE178" s="53" t="e">
        <v>#VALUE!</v>
      </c>
      <c r="IF178" s="53">
        <v>14.1</v>
      </c>
      <c r="IG178" s="53">
        <v>27.7</v>
      </c>
      <c r="IH178" s="55"/>
      <c r="II178" s="55"/>
      <c r="IJ178" s="55"/>
      <c r="IK178" s="55"/>
      <c r="IL178" s="55"/>
      <c r="IM178" s="55"/>
      <c r="IN178" s="53">
        <v>71.599999999999994</v>
      </c>
      <c r="IO178" s="53">
        <v>74.8</v>
      </c>
      <c r="IP178" s="53" t="e">
        <v>#VALUE!</v>
      </c>
      <c r="IQ178" s="53">
        <v>50.1</v>
      </c>
      <c r="IR178" s="53">
        <v>16.8</v>
      </c>
      <c r="IS178" s="53" t="e">
        <v>#VALUE!</v>
      </c>
      <c r="IT178" s="53">
        <v>29</v>
      </c>
      <c r="IU178" s="53" t="e">
        <v>#VALUE!</v>
      </c>
      <c r="IV178" s="53" t="e">
        <v>#VALUE!</v>
      </c>
      <c r="IY178" s="48">
        <f t="shared" si="8"/>
        <v>47.513676237335318</v>
      </c>
      <c r="IZ178" s="48">
        <f>IY178-'NOPA Crush'!J178</f>
        <v>-8.6323762664683557E-2</v>
      </c>
      <c r="JB178" s="63">
        <f t="shared" si="6"/>
        <v>10.902469815168484</v>
      </c>
      <c r="JC178" s="64">
        <f>JB178-'NOPA Crush'!O178</f>
        <v>-6.7530184831516848E-2</v>
      </c>
      <c r="JD178" s="65"/>
      <c r="JE178" s="67">
        <f t="shared" si="7"/>
        <v>1566.8</v>
      </c>
      <c r="JF178" s="68">
        <f>'NOPA Crush'!Q178/'Census Crush'!JE178</f>
        <v>0.31405093183558846</v>
      </c>
    </row>
    <row r="179" spans="1:266">
      <c r="A179" s="39">
        <v>34486</v>
      </c>
      <c r="B179" s="51">
        <v>2916</v>
      </c>
      <c r="C179" s="51">
        <v>2701</v>
      </c>
      <c r="D179" s="51">
        <v>239.4</v>
      </c>
      <c r="E179" s="51">
        <v>628.79999999999995</v>
      </c>
      <c r="F179" s="51">
        <v>19.8</v>
      </c>
      <c r="G179" s="51">
        <v>26.4</v>
      </c>
      <c r="H179" s="51">
        <v>41.6</v>
      </c>
      <c r="I179" s="51">
        <v>47.1</v>
      </c>
      <c r="J179" s="51" t="s">
        <v>264</v>
      </c>
      <c r="K179" s="51">
        <v>1070.0999999999999</v>
      </c>
      <c r="L179" s="49">
        <v>1553.8</v>
      </c>
      <c r="M179" s="51">
        <v>1330</v>
      </c>
      <c r="N179" s="51">
        <v>223.8</v>
      </c>
      <c r="O179" s="51">
        <v>78.400000000000006</v>
      </c>
      <c r="P179" s="51">
        <v>144.80000000000001</v>
      </c>
      <c r="Q179" s="51">
        <v>53.5</v>
      </c>
      <c r="R179" s="51">
        <v>91.3</v>
      </c>
      <c r="S179" s="51"/>
      <c r="T179" s="51">
        <v>15.4</v>
      </c>
      <c r="U179" s="51">
        <v>25.5</v>
      </c>
      <c r="V179" s="51">
        <v>19.899999999999999</v>
      </c>
      <c r="W179" s="51">
        <v>5.6</v>
      </c>
      <c r="X179" s="51">
        <v>20.6</v>
      </c>
      <c r="Y179" s="51" t="s">
        <v>264</v>
      </c>
      <c r="Z179" s="49">
        <v>167.9</v>
      </c>
      <c r="AA179" s="51">
        <v>162.5</v>
      </c>
      <c r="AB179" s="51">
        <v>5.4</v>
      </c>
      <c r="AC179" s="51">
        <v>38.4</v>
      </c>
      <c r="AD179" s="51">
        <v>31.8</v>
      </c>
      <c r="AE179" s="51"/>
      <c r="AF179" s="51">
        <v>96.9</v>
      </c>
      <c r="AG179" s="51">
        <v>67.900000000000006</v>
      </c>
      <c r="AH179" s="51">
        <v>29</v>
      </c>
      <c r="AI179" s="51">
        <v>171.8</v>
      </c>
      <c r="AJ179" s="51"/>
      <c r="AK179" s="51"/>
      <c r="AL179" s="51">
        <v>96.300000000000011</v>
      </c>
      <c r="AM179" s="51">
        <v>62.6</v>
      </c>
      <c r="AN179" s="51">
        <v>33.700000000000003</v>
      </c>
      <c r="AO179" s="51">
        <v>2177.6999999999998</v>
      </c>
      <c r="AP179" s="51">
        <v>214.1</v>
      </c>
      <c r="AQ179" s="51">
        <v>153</v>
      </c>
      <c r="AR179" s="51">
        <v>40.200000000000003</v>
      </c>
      <c r="AS179" s="51">
        <v>106.9</v>
      </c>
      <c r="AT179" s="51">
        <v>95.5</v>
      </c>
      <c r="AU179" s="51">
        <v>64.400000000000006</v>
      </c>
      <c r="AV179" s="51">
        <v>23.5</v>
      </c>
      <c r="AW179" s="51">
        <v>11</v>
      </c>
      <c r="AX179" s="51">
        <v>4.8</v>
      </c>
      <c r="AY179" s="51">
        <v>13.7</v>
      </c>
      <c r="AZ179" s="51" t="s">
        <v>264</v>
      </c>
      <c r="BA179" s="51">
        <v>27.7</v>
      </c>
      <c r="BB179" s="51" t="s">
        <v>264</v>
      </c>
      <c r="BC179" s="51"/>
      <c r="BD179" s="53">
        <v>160.69999999999999</v>
      </c>
      <c r="BE179" s="53">
        <v>41.1</v>
      </c>
      <c r="BF179" s="55"/>
      <c r="BG179" s="55"/>
      <c r="BH179" s="53">
        <v>308.60000000000002</v>
      </c>
      <c r="BI179" s="55"/>
      <c r="BJ179" s="55"/>
      <c r="BK179" s="53">
        <v>255.6</v>
      </c>
      <c r="BL179" s="53">
        <v>2.8</v>
      </c>
      <c r="BM179" s="53">
        <v>567</v>
      </c>
      <c r="BN179" s="53">
        <v>206.5</v>
      </c>
      <c r="BO179" s="55"/>
      <c r="BP179" s="55"/>
      <c r="BQ179" s="53">
        <v>81.5</v>
      </c>
      <c r="BR179" s="53">
        <v>6.7</v>
      </c>
      <c r="BS179" s="53">
        <v>294.7</v>
      </c>
      <c r="BT179" s="52" t="s">
        <v>264</v>
      </c>
      <c r="BU179" s="53">
        <v>27</v>
      </c>
      <c r="BV179" s="51">
        <v>394.9</v>
      </c>
      <c r="BW179" s="51">
        <v>108.3</v>
      </c>
      <c r="BX179" s="51">
        <v>505.6</v>
      </c>
      <c r="BY179" s="51">
        <v>44</v>
      </c>
      <c r="BZ179" s="51">
        <v>10.6</v>
      </c>
      <c r="CA179" s="49">
        <v>54.6</v>
      </c>
      <c r="CB179" s="55"/>
      <c r="CC179" s="55"/>
      <c r="CD179" s="55"/>
      <c r="CE179" s="55"/>
      <c r="CF179" s="53">
        <v>109.1</v>
      </c>
      <c r="CG179" s="53">
        <v>105.3</v>
      </c>
      <c r="CH179" s="53">
        <v>9.8000000000000007</v>
      </c>
      <c r="CI179" s="55"/>
      <c r="CJ179" s="55"/>
      <c r="CK179" s="55"/>
      <c r="CL179" s="55"/>
      <c r="CM179" s="55"/>
      <c r="CN179" s="53">
        <v>44.5</v>
      </c>
      <c r="CO179" s="52">
        <v>151.4</v>
      </c>
      <c r="CP179" s="53">
        <v>106.7</v>
      </c>
      <c r="CQ179" s="53">
        <v>44.7</v>
      </c>
      <c r="CR179" s="52" t="s">
        <v>264</v>
      </c>
      <c r="CS179" s="52">
        <v>60.3</v>
      </c>
      <c r="CT179" s="52">
        <v>36.299999999999997</v>
      </c>
      <c r="CU179" s="52">
        <v>24</v>
      </c>
      <c r="CV179" s="52">
        <v>43.3</v>
      </c>
      <c r="CW179" s="53">
        <v>22.2</v>
      </c>
      <c r="CX179" s="53">
        <v>21.1</v>
      </c>
      <c r="CY179" s="53">
        <v>18.600000000000001</v>
      </c>
      <c r="CZ179" s="53">
        <v>81.8</v>
      </c>
      <c r="DA179" s="52">
        <v>34.6</v>
      </c>
      <c r="DB179" s="53">
        <v>32.9</v>
      </c>
      <c r="DC179" s="53">
        <v>1.7</v>
      </c>
      <c r="DD179" s="55"/>
      <c r="DE179" s="55"/>
      <c r="DF179" s="55"/>
      <c r="DG179" s="53">
        <v>57</v>
      </c>
      <c r="DH179" s="55"/>
      <c r="DI179" s="53">
        <v>597.9</v>
      </c>
      <c r="DJ179" s="53">
        <v>216.8</v>
      </c>
      <c r="DK179" s="55"/>
      <c r="DL179" s="53">
        <v>134.6</v>
      </c>
      <c r="DM179" s="53">
        <v>200.8</v>
      </c>
      <c r="DN179" s="55"/>
      <c r="DO179" s="53">
        <v>181.4</v>
      </c>
      <c r="DP179" s="53">
        <v>189.5</v>
      </c>
      <c r="DQ179" s="55"/>
      <c r="DR179" s="55"/>
      <c r="DS179" s="53">
        <v>695.85900000000004</v>
      </c>
      <c r="DT179" s="53">
        <v>2916</v>
      </c>
      <c r="DU179" s="53">
        <v>-699.14099999999962</v>
      </c>
      <c r="DV179" s="53">
        <v>0</v>
      </c>
      <c r="DW179" s="55"/>
      <c r="DX179" s="55"/>
      <c r="DY179" s="55"/>
      <c r="DZ179" s="55"/>
      <c r="EA179" s="55"/>
      <c r="EB179" s="55"/>
      <c r="EC179" s="55"/>
      <c r="ED179" s="55"/>
      <c r="EE179" s="55"/>
      <c r="EF179" s="55"/>
      <c r="EG179" s="55"/>
      <c r="EH179" s="55"/>
      <c r="EI179" s="55"/>
      <c r="EJ179" s="55"/>
      <c r="EK179" s="55"/>
      <c r="EL179" s="55"/>
      <c r="EM179" s="55"/>
      <c r="EN179" s="55"/>
      <c r="EO179" s="55"/>
      <c r="EP179" s="55"/>
      <c r="EQ179" s="55"/>
      <c r="ER179" s="55"/>
      <c r="ES179" s="55"/>
      <c r="ET179" s="55"/>
      <c r="EU179" s="55"/>
      <c r="EV179" s="55"/>
      <c r="EW179" s="55"/>
      <c r="EX179" s="55"/>
      <c r="EY179" s="55"/>
      <c r="EZ179" s="55"/>
      <c r="FA179" s="55"/>
      <c r="FB179" s="55"/>
      <c r="FC179" s="55"/>
      <c r="FD179" s="55"/>
      <c r="FE179" s="55"/>
      <c r="FF179" s="55"/>
      <c r="FG179" s="55"/>
      <c r="FH179" s="55"/>
      <c r="FI179" s="55"/>
      <c r="FJ179" s="55"/>
      <c r="FK179" s="55"/>
      <c r="FL179" s="55"/>
      <c r="FM179" s="55"/>
      <c r="FN179" s="55"/>
      <c r="FO179" s="55"/>
      <c r="FP179" s="55"/>
      <c r="FQ179" s="55"/>
      <c r="FR179" s="55"/>
      <c r="FS179" s="55"/>
      <c r="FT179" s="55"/>
      <c r="FU179" s="55"/>
      <c r="FV179" s="55"/>
      <c r="FW179" s="55"/>
      <c r="FX179" s="55"/>
      <c r="FY179" s="55"/>
      <c r="FZ179" s="55"/>
      <c r="GA179" s="55"/>
      <c r="GB179" s="55"/>
      <c r="GC179" s="55"/>
      <c r="GD179" s="55"/>
      <c r="GE179" s="55"/>
      <c r="GF179" s="55"/>
      <c r="GG179" s="55"/>
      <c r="GH179" s="55"/>
      <c r="GI179" s="55"/>
      <c r="GJ179" s="55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19">
        <v>0.97302725968436155</v>
      </c>
      <c r="GZ179" s="53">
        <v>1017.3</v>
      </c>
      <c r="HA179" s="53">
        <v>1045.5</v>
      </c>
      <c r="HB179" s="55"/>
      <c r="HC179" s="55"/>
      <c r="HD179" s="55"/>
      <c r="HE179" s="55"/>
      <c r="HF179" s="53">
        <v>1023.8</v>
      </c>
      <c r="HG179" s="53">
        <v>996.8</v>
      </c>
      <c r="HH179" s="53">
        <v>399.6</v>
      </c>
      <c r="HI179" s="53">
        <v>145.80000000000001</v>
      </c>
      <c r="HJ179" s="53">
        <v>433.7</v>
      </c>
      <c r="HK179" s="53">
        <v>17.7</v>
      </c>
      <c r="HL179" s="53">
        <v>27</v>
      </c>
      <c r="HM179" s="55"/>
      <c r="HN179" s="55"/>
      <c r="HO179" s="55"/>
      <c r="HP179" s="53" t="e">
        <v>#VALUE!</v>
      </c>
      <c r="HQ179" s="53">
        <v>4.0999999999999996</v>
      </c>
      <c r="HR179" s="53">
        <v>10.4</v>
      </c>
      <c r="HS179" s="53" t="e">
        <v>#VALUE!</v>
      </c>
      <c r="HT179" s="53">
        <v>7.6</v>
      </c>
      <c r="HU179" s="55"/>
      <c r="HV179" s="55"/>
      <c r="HW179" s="53">
        <v>285.8</v>
      </c>
      <c r="HX179" s="53" t="e">
        <v>#VALUE!</v>
      </c>
      <c r="HY179" s="53">
        <v>285.8</v>
      </c>
      <c r="HZ179" s="53">
        <v>54.2</v>
      </c>
      <c r="IA179" s="53">
        <v>185.9</v>
      </c>
      <c r="IB179" s="53" t="e">
        <v>#VALUE!</v>
      </c>
      <c r="IC179" s="53" t="e">
        <v>#VALUE!</v>
      </c>
      <c r="ID179" s="53" t="e">
        <v>#VALUE!</v>
      </c>
      <c r="IE179" s="53" t="e">
        <v>#VALUE!</v>
      </c>
      <c r="IF179" s="53">
        <v>14.4</v>
      </c>
      <c r="IG179" s="53">
        <v>24.8</v>
      </c>
      <c r="IH179" s="55"/>
      <c r="II179" s="55"/>
      <c r="IJ179" s="55"/>
      <c r="IK179" s="55"/>
      <c r="IL179" s="55"/>
      <c r="IM179" s="55"/>
      <c r="IN179" s="53">
        <v>70</v>
      </c>
      <c r="IO179" s="53">
        <v>73.2</v>
      </c>
      <c r="IP179" s="53" t="e">
        <v>#VALUE!</v>
      </c>
      <c r="IQ179" s="53">
        <v>49</v>
      </c>
      <c r="IR179" s="53">
        <v>18.8</v>
      </c>
      <c r="IS179" s="53" t="e">
        <v>#VALUE!</v>
      </c>
      <c r="IT179" s="53">
        <v>26.2</v>
      </c>
      <c r="IU179" s="53" t="e">
        <v>#VALUE!</v>
      </c>
      <c r="IV179" s="53" t="e">
        <v>#VALUE!</v>
      </c>
      <c r="IY179" s="48">
        <f t="shared" si="8"/>
        <v>47.956790123456784</v>
      </c>
      <c r="IZ179" s="48">
        <f>IY179-'NOPA Crush'!J179</f>
        <v>-8.3209876543214989E-2</v>
      </c>
      <c r="JB179" s="63">
        <f t="shared" si="6"/>
        <v>11.009259259259258</v>
      </c>
      <c r="JC179" s="64">
        <f>JB179-'NOPA Crush'!O179</f>
        <v>-8.0740740740742112E-2</v>
      </c>
      <c r="JD179" s="65"/>
      <c r="JE179" s="67">
        <f t="shared" si="7"/>
        <v>1553.8</v>
      </c>
      <c r="JF179" s="68">
        <f>'NOPA Crush'!Q179/'Census Crush'!JE179</f>
        <v>0.30624211610245849</v>
      </c>
    </row>
    <row r="180" spans="1:266">
      <c r="A180" s="39">
        <v>34516</v>
      </c>
      <c r="B180" s="51">
        <v>3028.7</v>
      </c>
      <c r="C180" s="51">
        <v>1904.5</v>
      </c>
      <c r="D180" s="51">
        <v>210.2</v>
      </c>
      <c r="E180" s="51">
        <v>432.1</v>
      </c>
      <c r="F180" s="51">
        <v>27.7</v>
      </c>
      <c r="G180" s="51" t="s">
        <v>264</v>
      </c>
      <c r="H180" s="51" t="s">
        <v>264</v>
      </c>
      <c r="I180" s="51" t="s">
        <v>264</v>
      </c>
      <c r="J180" s="51" t="s">
        <v>264</v>
      </c>
      <c r="K180" s="51">
        <v>1098.9000000000001</v>
      </c>
      <c r="L180" s="49">
        <v>1570.8</v>
      </c>
      <c r="M180" s="51">
        <v>1352.6</v>
      </c>
      <c r="N180" s="51">
        <v>218.2</v>
      </c>
      <c r="O180" s="51">
        <v>69.8</v>
      </c>
      <c r="P180" s="51">
        <v>143.80000000000001</v>
      </c>
      <c r="Q180" s="51">
        <v>46.9</v>
      </c>
      <c r="R180" s="51">
        <v>96.9</v>
      </c>
      <c r="S180" s="51"/>
      <c r="T180" s="51">
        <v>21.7</v>
      </c>
      <c r="U180" s="51">
        <v>25</v>
      </c>
      <c r="V180" s="51">
        <v>20.7</v>
      </c>
      <c r="W180" s="51">
        <v>4.3</v>
      </c>
      <c r="X180" s="51" t="s">
        <v>264</v>
      </c>
      <c r="Y180" s="51" t="s">
        <v>264</v>
      </c>
      <c r="Z180" s="49">
        <v>112.3</v>
      </c>
      <c r="AA180" s="51">
        <v>107.3</v>
      </c>
      <c r="AB180" s="51">
        <v>5</v>
      </c>
      <c r="AC180" s="51" t="s">
        <v>264</v>
      </c>
      <c r="AD180" s="51">
        <v>34.299999999999997</v>
      </c>
      <c r="AE180" s="51"/>
      <c r="AF180" s="51">
        <v>115.1</v>
      </c>
      <c r="AG180" s="51">
        <v>86.8</v>
      </c>
      <c r="AH180" s="51">
        <v>28.3</v>
      </c>
      <c r="AI180" s="51">
        <v>164.8</v>
      </c>
      <c r="AJ180" s="51"/>
      <c r="AK180" s="51"/>
      <c r="AL180" s="51">
        <v>107.4</v>
      </c>
      <c r="AM180" s="51">
        <v>81.2</v>
      </c>
      <c r="AN180" s="51">
        <v>26.2</v>
      </c>
      <c r="AO180" s="51">
        <v>2241.6999999999998</v>
      </c>
      <c r="AP180" s="51">
        <v>224.3</v>
      </c>
      <c r="AQ180" s="51">
        <v>156.30000000000001</v>
      </c>
      <c r="AR180" s="51">
        <v>43.2</v>
      </c>
      <c r="AS180" s="51">
        <v>93.4</v>
      </c>
      <c r="AT180" s="51">
        <v>103.7</v>
      </c>
      <c r="AU180" s="51">
        <v>56.6</v>
      </c>
      <c r="AV180" s="51">
        <v>26.3</v>
      </c>
      <c r="AW180" s="51">
        <v>15.2</v>
      </c>
      <c r="AX180" s="51" t="s">
        <v>264</v>
      </c>
      <c r="AY180" s="51" t="s">
        <v>264</v>
      </c>
      <c r="AZ180" s="51" t="s">
        <v>264</v>
      </c>
      <c r="BA180" s="51" t="s">
        <v>264</v>
      </c>
      <c r="BB180" s="51" t="s">
        <v>264</v>
      </c>
      <c r="BC180" s="51"/>
      <c r="BD180" s="53">
        <v>136.9</v>
      </c>
      <c r="BE180" s="53">
        <v>43.8</v>
      </c>
      <c r="BF180" s="55"/>
      <c r="BG180" s="55"/>
      <c r="BH180" s="53">
        <v>279</v>
      </c>
      <c r="BI180" s="55"/>
      <c r="BJ180" s="55"/>
      <c r="BK180" s="53">
        <v>237.3</v>
      </c>
      <c r="BL180" s="53">
        <v>1.8</v>
      </c>
      <c r="BM180" s="53">
        <v>518.1</v>
      </c>
      <c r="BN180" s="53">
        <v>204.7</v>
      </c>
      <c r="BO180" s="55"/>
      <c r="BP180" s="55"/>
      <c r="BQ180" s="53">
        <v>97.6</v>
      </c>
      <c r="BR180" s="53">
        <v>7.3</v>
      </c>
      <c r="BS180" s="53">
        <v>309.59999999999997</v>
      </c>
      <c r="BT180" s="52" t="s">
        <v>264</v>
      </c>
      <c r="BU180" s="53">
        <v>25.5</v>
      </c>
      <c r="BV180" s="51">
        <v>353.9</v>
      </c>
      <c r="BW180" s="51">
        <v>95.3</v>
      </c>
      <c r="BX180" s="51">
        <v>451.5</v>
      </c>
      <c r="BY180" s="51">
        <v>50.3</v>
      </c>
      <c r="BZ180" s="51">
        <v>11</v>
      </c>
      <c r="CA180" s="49">
        <v>61.3</v>
      </c>
      <c r="CB180" s="55"/>
      <c r="CC180" s="55"/>
      <c r="CD180" s="55"/>
      <c r="CE180" s="55"/>
      <c r="CF180" s="53">
        <v>108.7</v>
      </c>
      <c r="CG180" s="53">
        <v>101.1</v>
      </c>
      <c r="CH180" s="53">
        <v>11.6</v>
      </c>
      <c r="CI180" s="55"/>
      <c r="CJ180" s="55"/>
      <c r="CK180" s="55"/>
      <c r="CL180" s="55"/>
      <c r="CM180" s="55"/>
      <c r="CN180" s="53">
        <v>41.1</v>
      </c>
      <c r="CO180" s="52">
        <v>163.69999999999999</v>
      </c>
      <c r="CP180" s="53">
        <v>121.1</v>
      </c>
      <c r="CQ180" s="53">
        <v>42.6</v>
      </c>
      <c r="CR180" s="52" t="s">
        <v>264</v>
      </c>
      <c r="CS180" s="52">
        <v>56.5</v>
      </c>
      <c r="CT180" s="52">
        <v>33.700000000000003</v>
      </c>
      <c r="CU180" s="52">
        <v>22.8</v>
      </c>
      <c r="CV180" s="52">
        <v>40.099999999999994</v>
      </c>
      <c r="CW180" s="53">
        <v>16.7</v>
      </c>
      <c r="CX180" s="53">
        <v>23.4</v>
      </c>
      <c r="CY180" s="53">
        <v>12.4</v>
      </c>
      <c r="CZ180" s="53">
        <v>58.6</v>
      </c>
      <c r="DA180" s="52">
        <v>34.299999999999997</v>
      </c>
      <c r="DB180" s="53">
        <v>32.799999999999997</v>
      </c>
      <c r="DC180" s="53">
        <v>1.5</v>
      </c>
      <c r="DD180" s="55"/>
      <c r="DE180" s="55"/>
      <c r="DF180" s="55"/>
      <c r="DG180" s="53">
        <v>104.18300000000001</v>
      </c>
      <c r="DH180" s="55"/>
      <c r="DI180" s="53">
        <v>541.38400000000001</v>
      </c>
      <c r="DJ180" s="53">
        <v>184.15199999999999</v>
      </c>
      <c r="DK180" s="55"/>
      <c r="DL180" s="53">
        <v>145.70400000000001</v>
      </c>
      <c r="DM180" s="53">
        <v>205.21799999999999</v>
      </c>
      <c r="DN180" s="55"/>
      <c r="DO180" s="53">
        <v>140.44</v>
      </c>
      <c r="DP180" s="53">
        <v>250.81</v>
      </c>
      <c r="DQ180" s="55"/>
      <c r="DR180" s="55"/>
      <c r="DS180" s="53">
        <v>766.51199999999994</v>
      </c>
      <c r="DT180" s="53">
        <v>3015.259</v>
      </c>
      <c r="DU180" s="53">
        <v>-781.03899999999976</v>
      </c>
      <c r="DV180" s="53">
        <v>-13.440999999999804</v>
      </c>
      <c r="DW180" s="55"/>
      <c r="DX180" s="55"/>
      <c r="DY180" s="55"/>
      <c r="DZ180" s="55"/>
      <c r="EA180" s="55"/>
      <c r="EB180" s="55"/>
      <c r="EC180" s="55"/>
      <c r="ED180" s="55"/>
      <c r="EE180" s="55"/>
      <c r="EF180" s="55"/>
      <c r="EG180" s="55"/>
      <c r="EH180" s="55"/>
      <c r="EI180" s="55"/>
      <c r="EJ180" s="55"/>
      <c r="EK180" s="55"/>
      <c r="EL180" s="55"/>
      <c r="EM180" s="55"/>
      <c r="EN180" s="55"/>
      <c r="EO180" s="55"/>
      <c r="EP180" s="55"/>
      <c r="EQ180" s="55"/>
      <c r="ER180" s="55"/>
      <c r="ES180" s="55"/>
      <c r="ET180" s="55"/>
      <c r="EU180" s="55"/>
      <c r="EV180" s="55"/>
      <c r="EW180" s="55"/>
      <c r="EX180" s="55"/>
      <c r="EY180" s="55"/>
      <c r="EZ180" s="55"/>
      <c r="FA180" s="55"/>
      <c r="FB180" s="55"/>
      <c r="FC180" s="55"/>
      <c r="FD180" s="55"/>
      <c r="FE180" s="55"/>
      <c r="FF180" s="55"/>
      <c r="FG180" s="55"/>
      <c r="FH180" s="55"/>
      <c r="FI180" s="55"/>
      <c r="FJ180" s="55"/>
      <c r="FK180" s="55"/>
      <c r="FL180" s="55"/>
      <c r="FM180" s="55"/>
      <c r="FN180" s="55"/>
      <c r="FO180" s="55"/>
      <c r="FP180" s="55"/>
      <c r="FQ180" s="55"/>
      <c r="FR180" s="55"/>
      <c r="FS180" s="55"/>
      <c r="FT180" s="55"/>
      <c r="FU180" s="55"/>
      <c r="FV180" s="55"/>
      <c r="FW180" s="55"/>
      <c r="FX180" s="55"/>
      <c r="FY180" s="55"/>
      <c r="FZ180" s="55"/>
      <c r="GA180" s="55"/>
      <c r="GB180" s="55"/>
      <c r="GC180" s="55"/>
      <c r="GD180" s="55"/>
      <c r="GE180" s="55"/>
      <c r="GF180" s="55"/>
      <c r="GG180" s="55"/>
      <c r="GH180" s="55"/>
      <c r="GI180" s="55"/>
      <c r="GJ180" s="55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19">
        <v>0.96993987975951901</v>
      </c>
      <c r="GZ180" s="53">
        <v>968</v>
      </c>
      <c r="HA180" s="53">
        <v>998</v>
      </c>
      <c r="HB180" s="55"/>
      <c r="HC180" s="55"/>
      <c r="HD180" s="55"/>
      <c r="HE180" s="55"/>
      <c r="HF180" s="53">
        <v>974.9</v>
      </c>
      <c r="HG180" s="53">
        <v>947.2</v>
      </c>
      <c r="HH180" s="53">
        <v>377.7</v>
      </c>
      <c r="HI180" s="53">
        <v>130.69999999999999</v>
      </c>
      <c r="HJ180" s="53">
        <v>420.8</v>
      </c>
      <c r="HK180" s="53">
        <v>18</v>
      </c>
      <c r="HL180" s="53">
        <v>27.6</v>
      </c>
      <c r="HM180" s="55"/>
      <c r="HN180" s="55"/>
      <c r="HO180" s="55"/>
      <c r="HP180" s="53" t="e">
        <v>#VALUE!</v>
      </c>
      <c r="HQ180" s="53">
        <v>4.2</v>
      </c>
      <c r="HR180" s="53">
        <v>12.2</v>
      </c>
      <c r="HS180" s="53" t="e">
        <v>#VALUE!</v>
      </c>
      <c r="HT180" s="53">
        <v>6.4</v>
      </c>
      <c r="HU180" s="55"/>
      <c r="HV180" s="55"/>
      <c r="HW180" s="53">
        <v>253.7</v>
      </c>
      <c r="HX180" s="53" t="e">
        <v>#VALUE!</v>
      </c>
      <c r="HY180" s="53">
        <v>253.7</v>
      </c>
      <c r="HZ180" s="53">
        <v>48</v>
      </c>
      <c r="IA180" s="53">
        <v>163.1</v>
      </c>
      <c r="IB180" s="53" t="e">
        <v>#VALUE!</v>
      </c>
      <c r="IC180" s="53" t="e">
        <v>#VALUE!</v>
      </c>
      <c r="ID180" s="53" t="e">
        <v>#VALUE!</v>
      </c>
      <c r="IE180" s="53" t="e">
        <v>#VALUE!</v>
      </c>
      <c r="IF180" s="53">
        <v>13.9</v>
      </c>
      <c r="IG180" s="53">
        <v>24.1</v>
      </c>
      <c r="IH180" s="55"/>
      <c r="II180" s="55"/>
      <c r="IJ180" s="55"/>
      <c r="IK180" s="55"/>
      <c r="IL180" s="55"/>
      <c r="IM180" s="55"/>
      <c r="IN180" s="53">
        <v>72.2</v>
      </c>
      <c r="IO180" s="53">
        <v>74.599999999999994</v>
      </c>
      <c r="IP180" s="53" t="e">
        <v>#VALUE!</v>
      </c>
      <c r="IQ180" s="53">
        <v>46.3</v>
      </c>
      <c r="IR180" s="53">
        <v>16.899999999999999</v>
      </c>
      <c r="IS180" s="53" t="e">
        <v>#VALUE!</v>
      </c>
      <c r="IT180" s="53">
        <v>26</v>
      </c>
      <c r="IU180" s="53" t="e">
        <v>#VALUE!</v>
      </c>
      <c r="IV180" s="53" t="e">
        <v>#VALUE!</v>
      </c>
      <c r="IY180" s="48">
        <f t="shared" si="8"/>
        <v>47.50553042559514</v>
      </c>
      <c r="IZ180" s="48">
        <f>IY180-'NOPA Crush'!J180</f>
        <v>-0.1044695744048596</v>
      </c>
      <c r="JB180" s="63">
        <f t="shared" si="6"/>
        <v>10.884868095222373</v>
      </c>
      <c r="JC180" s="64">
        <f>JB180-'NOPA Crush'!O180</f>
        <v>-5.5131904777626417E-2</v>
      </c>
      <c r="JD180" s="65"/>
      <c r="JE180" s="67">
        <f t="shared" si="7"/>
        <v>1570.8</v>
      </c>
      <c r="JF180" s="68">
        <f>'NOPA Crush'!Q180/'Census Crush'!JE180</f>
        <v>0.34887764196587728</v>
      </c>
    </row>
    <row r="181" spans="1:266">
      <c r="A181" s="39">
        <v>34547</v>
      </c>
      <c r="B181" s="51">
        <v>3028.6</v>
      </c>
      <c r="C181" s="51">
        <v>1438.3</v>
      </c>
      <c r="D181" s="51">
        <v>192.1</v>
      </c>
      <c r="E181" s="51">
        <v>370.9</v>
      </c>
      <c r="F181" s="51">
        <v>20.9</v>
      </c>
      <c r="G181" s="51" t="s">
        <v>264</v>
      </c>
      <c r="H181" s="51">
        <v>11.4</v>
      </c>
      <c r="I181" s="51" t="s">
        <v>264</v>
      </c>
      <c r="J181" s="51" t="s">
        <v>264</v>
      </c>
      <c r="K181" s="51">
        <v>1103.7</v>
      </c>
      <c r="L181" s="49">
        <v>1339.4</v>
      </c>
      <c r="M181" s="51">
        <v>1124</v>
      </c>
      <c r="N181" s="51">
        <v>215.4</v>
      </c>
      <c r="O181" s="51">
        <v>61.7</v>
      </c>
      <c r="P181" s="51">
        <v>112.4</v>
      </c>
      <c r="Q181" s="51">
        <v>29.6</v>
      </c>
      <c r="R181" s="51">
        <v>82.8</v>
      </c>
      <c r="S181" s="51"/>
      <c r="T181" s="51">
        <v>16.8</v>
      </c>
      <c r="U181" s="51">
        <v>31.2</v>
      </c>
      <c r="V181" s="51">
        <v>27.4</v>
      </c>
      <c r="W181" s="51">
        <v>3.8</v>
      </c>
      <c r="X181" s="51" t="s">
        <v>264</v>
      </c>
      <c r="Y181" s="51" t="s">
        <v>264</v>
      </c>
      <c r="Z181" s="49">
        <v>115.3</v>
      </c>
      <c r="AA181" s="51">
        <v>111.7</v>
      </c>
      <c r="AB181" s="51">
        <v>3.6</v>
      </c>
      <c r="AC181" s="51" t="s">
        <v>264</v>
      </c>
      <c r="AD181" s="51">
        <v>38</v>
      </c>
      <c r="AE181" s="51"/>
      <c r="AF181" s="51">
        <v>136.30000000000001</v>
      </c>
      <c r="AG181" s="51">
        <v>111.3</v>
      </c>
      <c r="AH181" s="51">
        <v>25</v>
      </c>
      <c r="AI181" s="51">
        <v>162.30000000000001</v>
      </c>
      <c r="AJ181" s="51"/>
      <c r="AK181" s="51"/>
      <c r="AL181" s="51">
        <v>122.7</v>
      </c>
      <c r="AM181" s="51">
        <v>83.4</v>
      </c>
      <c r="AN181" s="51">
        <v>39.299999999999997</v>
      </c>
      <c r="AO181" s="51">
        <v>2244.6999999999998</v>
      </c>
      <c r="AP181" s="51">
        <v>102</v>
      </c>
      <c r="AQ181" s="51">
        <v>161.9</v>
      </c>
      <c r="AR181" s="51">
        <v>42.9</v>
      </c>
      <c r="AS181" s="51">
        <v>90.6</v>
      </c>
      <c r="AT181" s="51">
        <v>76.599999999999994</v>
      </c>
      <c r="AU181" s="51">
        <v>48.5</v>
      </c>
      <c r="AV181" s="51">
        <v>17.600000000000001</v>
      </c>
      <c r="AW181" s="51">
        <v>11.4</v>
      </c>
      <c r="AX181" s="51" t="s">
        <v>264</v>
      </c>
      <c r="AY181" s="51" t="s">
        <v>264</v>
      </c>
      <c r="AZ181" s="51" t="s">
        <v>264</v>
      </c>
      <c r="BA181" s="51" t="s">
        <v>264</v>
      </c>
      <c r="BB181" s="51" t="s">
        <v>264</v>
      </c>
      <c r="BC181" s="51"/>
      <c r="BD181" s="53">
        <v>153.5</v>
      </c>
      <c r="BE181" s="53">
        <v>44.5</v>
      </c>
      <c r="BF181" s="55"/>
      <c r="BG181" s="55"/>
      <c r="BH181" s="53">
        <v>320.60000000000002</v>
      </c>
      <c r="BI181" s="55"/>
      <c r="BJ181" s="55"/>
      <c r="BK181" s="53">
        <v>261.10000000000002</v>
      </c>
      <c r="BL181" s="53">
        <v>2.9</v>
      </c>
      <c r="BM181" s="53">
        <v>584.6</v>
      </c>
      <c r="BN181" s="53">
        <v>233</v>
      </c>
      <c r="BO181" s="55"/>
      <c r="BP181" s="55"/>
      <c r="BQ181" s="53">
        <v>119.7</v>
      </c>
      <c r="BR181" s="53">
        <v>8.3000000000000007</v>
      </c>
      <c r="BS181" s="53">
        <v>361</v>
      </c>
      <c r="BT181" s="52" t="s">
        <v>264</v>
      </c>
      <c r="BU181" s="53">
        <v>29.7</v>
      </c>
      <c r="BV181" s="51">
        <v>423.8</v>
      </c>
      <c r="BW181" s="51">
        <v>116.2</v>
      </c>
      <c r="BX181" s="51">
        <v>542.4</v>
      </c>
      <c r="BY181" s="51">
        <v>51</v>
      </c>
      <c r="BZ181" s="51">
        <v>9.4</v>
      </c>
      <c r="CA181" s="49">
        <v>60.4</v>
      </c>
      <c r="CB181" s="55"/>
      <c r="CC181" s="55"/>
      <c r="CD181" s="55"/>
      <c r="CE181" s="55"/>
      <c r="CF181" s="53">
        <v>110.8</v>
      </c>
      <c r="CG181" s="53">
        <v>97.5</v>
      </c>
      <c r="CH181" s="53">
        <v>10.9</v>
      </c>
      <c r="CI181" s="55"/>
      <c r="CJ181" s="55"/>
      <c r="CK181" s="55"/>
      <c r="CL181" s="55"/>
      <c r="CM181" s="55"/>
      <c r="CN181" s="53">
        <v>50.3</v>
      </c>
      <c r="CO181" s="52">
        <v>156</v>
      </c>
      <c r="CP181" s="53">
        <v>103.3</v>
      </c>
      <c r="CQ181" s="53">
        <v>52.7</v>
      </c>
      <c r="CR181" s="52" t="s">
        <v>264</v>
      </c>
      <c r="CS181" s="52">
        <v>49.4</v>
      </c>
      <c r="CT181" s="52">
        <v>27</v>
      </c>
      <c r="CU181" s="52">
        <v>22.4</v>
      </c>
      <c r="CV181" s="52">
        <v>38.099999999999994</v>
      </c>
      <c r="CW181" s="53">
        <v>14.7</v>
      </c>
      <c r="CX181" s="53">
        <v>23.4</v>
      </c>
      <c r="CY181" s="53">
        <v>15.4</v>
      </c>
      <c r="CZ181" s="53">
        <v>54.4</v>
      </c>
      <c r="DA181" s="52">
        <v>36.300000000000004</v>
      </c>
      <c r="DB181" s="53">
        <v>35.1</v>
      </c>
      <c r="DC181" s="53">
        <v>1.2</v>
      </c>
      <c r="DD181" s="55"/>
      <c r="DE181" s="55"/>
      <c r="DF181" s="55"/>
      <c r="DG181" s="53">
        <v>111.6</v>
      </c>
      <c r="DH181" s="55"/>
      <c r="DI181" s="53">
        <v>467.6</v>
      </c>
      <c r="DJ181" s="53">
        <v>187.7</v>
      </c>
      <c r="DK181" s="55"/>
      <c r="DL181" s="53">
        <v>55.6</v>
      </c>
      <c r="DM181" s="53">
        <v>213.7</v>
      </c>
      <c r="DN181" s="55"/>
      <c r="DO181" s="53">
        <v>212</v>
      </c>
      <c r="DP181" s="53">
        <v>263.2</v>
      </c>
      <c r="DQ181" s="55"/>
      <c r="DR181" s="55"/>
      <c r="DS181" s="53">
        <v>789.53599999999994</v>
      </c>
      <c r="DT181" s="53">
        <v>3028.6</v>
      </c>
      <c r="DU181" s="53">
        <v>-839.26400000000012</v>
      </c>
      <c r="DV181" s="53">
        <v>0</v>
      </c>
      <c r="DW181" s="55"/>
      <c r="DX181" s="55"/>
      <c r="DY181" s="55"/>
      <c r="DZ181" s="55"/>
      <c r="EA181" s="55"/>
      <c r="EB181" s="55"/>
      <c r="EC181" s="55"/>
      <c r="ED181" s="55"/>
      <c r="EE181" s="55"/>
      <c r="EF181" s="55"/>
      <c r="EG181" s="55"/>
      <c r="EH181" s="55"/>
      <c r="EI181" s="55"/>
      <c r="EJ181" s="55"/>
      <c r="EK181" s="55"/>
      <c r="EL181" s="55"/>
      <c r="EM181" s="55"/>
      <c r="EN181" s="55"/>
      <c r="EO181" s="55"/>
      <c r="EP181" s="55"/>
      <c r="EQ181" s="55"/>
      <c r="ER181" s="55"/>
      <c r="ES181" s="55"/>
      <c r="ET181" s="55"/>
      <c r="EU181" s="55"/>
      <c r="EV181" s="55"/>
      <c r="EW181" s="55"/>
      <c r="EX181" s="55"/>
      <c r="EY181" s="55"/>
      <c r="EZ181" s="55"/>
      <c r="FA181" s="55"/>
      <c r="FB181" s="55"/>
      <c r="FC181" s="55"/>
      <c r="FD181" s="55"/>
      <c r="FE181" s="55"/>
      <c r="FF181" s="55"/>
      <c r="FG181" s="55"/>
      <c r="FH181" s="55"/>
      <c r="FI181" s="55"/>
      <c r="FJ181" s="55"/>
      <c r="FK181" s="55"/>
      <c r="FL181" s="55"/>
      <c r="FM181" s="55"/>
      <c r="FN181" s="55"/>
      <c r="FO181" s="55"/>
      <c r="FP181" s="55"/>
      <c r="FQ181" s="55"/>
      <c r="FR181" s="55"/>
      <c r="FS181" s="55"/>
      <c r="FT181" s="55"/>
      <c r="FU181" s="55"/>
      <c r="FV181" s="55"/>
      <c r="FW181" s="55"/>
      <c r="FX181" s="55"/>
      <c r="FY181" s="55"/>
      <c r="FZ181" s="55"/>
      <c r="GA181" s="55"/>
      <c r="GB181" s="55"/>
      <c r="GC181" s="55"/>
      <c r="GD181" s="55"/>
      <c r="GE181" s="55"/>
      <c r="GF181" s="55"/>
      <c r="GG181" s="55"/>
      <c r="GH181" s="55"/>
      <c r="GI181" s="55"/>
      <c r="GJ181" s="55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19">
        <v>0.96774757451271753</v>
      </c>
      <c r="GZ181" s="53">
        <v>1107.2</v>
      </c>
      <c r="HA181" s="53">
        <v>1144.0999999999999</v>
      </c>
      <c r="HB181" s="55"/>
      <c r="HC181" s="55"/>
      <c r="HD181" s="55"/>
      <c r="HE181" s="55"/>
      <c r="HF181" s="53">
        <v>1119.2</v>
      </c>
      <c r="HG181" s="53">
        <v>1089.2</v>
      </c>
      <c r="HH181" s="53">
        <v>458.9</v>
      </c>
      <c r="HI181" s="53">
        <v>148.5</v>
      </c>
      <c r="HJ181" s="53">
        <v>462.3</v>
      </c>
      <c r="HK181" s="53">
        <v>19.5</v>
      </c>
      <c r="HL181" s="53">
        <v>30</v>
      </c>
      <c r="HM181" s="55"/>
      <c r="HN181" s="55"/>
      <c r="HO181" s="55"/>
      <c r="HP181" s="53" t="e">
        <v>#VALUE!</v>
      </c>
      <c r="HQ181" s="53">
        <v>4.5</v>
      </c>
      <c r="HR181" s="53">
        <v>11.6</v>
      </c>
      <c r="HS181" s="53" t="e">
        <v>#VALUE!</v>
      </c>
      <c r="HT181" s="53">
        <v>7.7</v>
      </c>
      <c r="HU181" s="55"/>
      <c r="HV181" s="55"/>
      <c r="HW181" s="53">
        <v>276.10000000000002</v>
      </c>
      <c r="HX181" s="53" t="e">
        <v>#VALUE!</v>
      </c>
      <c r="HY181" s="53">
        <v>276.10000000000002</v>
      </c>
      <c r="HZ181" s="53">
        <v>51.9</v>
      </c>
      <c r="IA181" s="53">
        <v>183.3</v>
      </c>
      <c r="IB181" s="53" t="e">
        <v>#VALUE!</v>
      </c>
      <c r="IC181" s="53" t="e">
        <v>#VALUE!</v>
      </c>
      <c r="ID181" s="53" t="e">
        <v>#VALUE!</v>
      </c>
      <c r="IE181" s="53" t="e">
        <v>#VALUE!</v>
      </c>
      <c r="IF181" s="53">
        <v>18.3</v>
      </c>
      <c r="IG181" s="53">
        <v>17.399999999999999</v>
      </c>
      <c r="IH181" s="55"/>
      <c r="II181" s="55"/>
      <c r="IJ181" s="55"/>
      <c r="IK181" s="55"/>
      <c r="IL181" s="55"/>
      <c r="IM181" s="55"/>
      <c r="IN181" s="53">
        <v>86.3</v>
      </c>
      <c r="IO181" s="53">
        <v>88.4</v>
      </c>
      <c r="IP181" s="53" t="e">
        <v>#VALUE!</v>
      </c>
      <c r="IQ181" s="53">
        <v>59.1</v>
      </c>
      <c r="IR181" s="53">
        <v>23.7</v>
      </c>
      <c r="IS181" s="53" t="e">
        <v>#VALUE!</v>
      </c>
      <c r="IT181" s="53">
        <v>30</v>
      </c>
      <c r="IU181" s="53" t="e">
        <v>#VALUE!</v>
      </c>
      <c r="IV181" s="53" t="e">
        <v>#VALUE!</v>
      </c>
      <c r="IY181" s="48">
        <f t="shared" si="8"/>
        <v>47.677474740804328</v>
      </c>
      <c r="IZ181" s="48">
        <f>IY181-'NOPA Crush'!J181</f>
        <v>5.7474740804330793E-2</v>
      </c>
      <c r="JB181" s="63">
        <f t="shared" si="6"/>
        <v>10.93277421911114</v>
      </c>
      <c r="JC181" s="64">
        <f>JB181-'NOPA Crush'!O181</f>
        <v>-8.7225780888859461E-2</v>
      </c>
      <c r="JD181" s="65"/>
      <c r="JE181" s="67">
        <f t="shared" si="7"/>
        <v>1339.4</v>
      </c>
      <c r="JF181" s="68">
        <f>'NOPA Crush'!Q181/'Census Crush'!JE181</f>
        <v>0.3566716440197103</v>
      </c>
    </row>
    <row r="182" spans="1:266">
      <c r="A182" s="39">
        <v>34578</v>
      </c>
      <c r="B182" s="51">
        <v>3177.8</v>
      </c>
      <c r="C182" s="51">
        <v>1402.6</v>
      </c>
      <c r="D182" s="51">
        <v>195.5</v>
      </c>
      <c r="E182" s="51">
        <v>532.79999999999995</v>
      </c>
      <c r="F182" s="51">
        <v>22.4</v>
      </c>
      <c r="G182" s="51" t="s">
        <v>264</v>
      </c>
      <c r="H182" s="51">
        <v>27.7</v>
      </c>
      <c r="I182" s="51" t="s">
        <v>264</v>
      </c>
      <c r="J182" s="51" t="s">
        <v>264</v>
      </c>
      <c r="K182" s="51">
        <v>1168</v>
      </c>
      <c r="L182" s="49">
        <v>1103.1000000000001</v>
      </c>
      <c r="M182" s="51">
        <v>904.7</v>
      </c>
      <c r="N182" s="51">
        <v>198.4</v>
      </c>
      <c r="O182" s="51">
        <v>61</v>
      </c>
      <c r="P182" s="51">
        <v>105.6</v>
      </c>
      <c r="Q182" s="51">
        <v>31.4</v>
      </c>
      <c r="R182" s="51">
        <v>74.2</v>
      </c>
      <c r="S182" s="51"/>
      <c r="T182" s="51">
        <v>17.2</v>
      </c>
      <c r="U182" s="51">
        <v>26.799999999999997</v>
      </c>
      <c r="V182" s="51">
        <v>23.4</v>
      </c>
      <c r="W182" s="51">
        <v>3.4</v>
      </c>
      <c r="X182" s="51" t="s">
        <v>264</v>
      </c>
      <c r="Y182" s="51" t="s">
        <v>264</v>
      </c>
      <c r="Z182" s="49">
        <v>64.599999999999994</v>
      </c>
      <c r="AA182" s="51">
        <v>61.1</v>
      </c>
      <c r="AB182" s="51">
        <v>3.5</v>
      </c>
      <c r="AC182" s="51" t="s">
        <v>264</v>
      </c>
      <c r="AD182" s="51">
        <v>27.3</v>
      </c>
      <c r="AE182" s="51"/>
      <c r="AF182" s="51">
        <v>136.6</v>
      </c>
      <c r="AG182" s="51">
        <v>115.1</v>
      </c>
      <c r="AH182" s="51">
        <v>21.5</v>
      </c>
      <c r="AI182" s="51">
        <v>165.1</v>
      </c>
      <c r="AJ182" s="51"/>
      <c r="AK182" s="51"/>
      <c r="AL182" s="51">
        <v>118.3</v>
      </c>
      <c r="AM182" s="51">
        <v>93.5</v>
      </c>
      <c r="AN182" s="51">
        <v>24.8</v>
      </c>
      <c r="AO182" s="51">
        <v>2346.4</v>
      </c>
      <c r="AP182" s="51">
        <v>97.7</v>
      </c>
      <c r="AQ182" s="51">
        <v>170.7</v>
      </c>
      <c r="AR182" s="51">
        <v>51.9</v>
      </c>
      <c r="AS182" s="51">
        <v>89.4</v>
      </c>
      <c r="AT182" s="51">
        <v>53.2</v>
      </c>
      <c r="AU182" s="51">
        <v>49.3</v>
      </c>
      <c r="AV182" s="51">
        <v>12.7</v>
      </c>
      <c r="AW182" s="51">
        <v>12.2</v>
      </c>
      <c r="AX182" s="51" t="s">
        <v>264</v>
      </c>
      <c r="AY182" s="51" t="s">
        <v>264</v>
      </c>
      <c r="AZ182" s="51" t="s">
        <v>264</v>
      </c>
      <c r="BA182" s="51" t="s">
        <v>264</v>
      </c>
      <c r="BB182" s="51" t="s">
        <v>264</v>
      </c>
      <c r="BC182" s="51"/>
      <c r="BD182" s="53">
        <v>158.69999999999999</v>
      </c>
      <c r="BE182" s="53">
        <v>36.299999999999997</v>
      </c>
      <c r="BF182" s="55"/>
      <c r="BG182" s="55"/>
      <c r="BH182" s="53">
        <v>322.7</v>
      </c>
      <c r="BI182" s="55"/>
      <c r="BJ182" s="55"/>
      <c r="BK182" s="53">
        <v>256.2</v>
      </c>
      <c r="BL182" s="53">
        <v>3.4</v>
      </c>
      <c r="BM182" s="53">
        <v>582.29999999999995</v>
      </c>
      <c r="BN182" s="53">
        <v>260</v>
      </c>
      <c r="BO182" s="55"/>
      <c r="BP182" s="55"/>
      <c r="BQ182" s="53">
        <v>110</v>
      </c>
      <c r="BR182" s="53">
        <v>12</v>
      </c>
      <c r="BS182" s="53">
        <v>382</v>
      </c>
      <c r="BT182" s="52" t="s">
        <v>264</v>
      </c>
      <c r="BU182" s="53">
        <v>34.4</v>
      </c>
      <c r="BV182" s="51">
        <v>395.8</v>
      </c>
      <c r="BW182" s="51">
        <v>115.5</v>
      </c>
      <c r="BX182" s="51">
        <v>514.79999999999995</v>
      </c>
      <c r="BY182" s="51">
        <v>40.799999999999997</v>
      </c>
      <c r="BZ182" s="51">
        <v>8.4</v>
      </c>
      <c r="CA182" s="49">
        <v>49.199999999999996</v>
      </c>
      <c r="CB182" s="55"/>
      <c r="CC182" s="55"/>
      <c r="CD182" s="55"/>
      <c r="CE182" s="55"/>
      <c r="CF182" s="53">
        <v>117.4</v>
      </c>
      <c r="CG182" s="53">
        <v>86.3</v>
      </c>
      <c r="CH182" s="53">
        <v>12</v>
      </c>
      <c r="CI182" s="55"/>
      <c r="CJ182" s="55"/>
      <c r="CK182" s="55"/>
      <c r="CL182" s="55"/>
      <c r="CM182" s="55"/>
      <c r="CN182" s="53">
        <v>28.4</v>
      </c>
      <c r="CO182" s="52">
        <v>164.10000000000002</v>
      </c>
      <c r="CP182" s="53">
        <v>89.9</v>
      </c>
      <c r="CQ182" s="53">
        <v>74.2</v>
      </c>
      <c r="CR182" s="52" t="s">
        <v>264</v>
      </c>
      <c r="CS182" s="52">
        <v>60.599999999999994</v>
      </c>
      <c r="CT182" s="52">
        <v>40.299999999999997</v>
      </c>
      <c r="CU182" s="52">
        <v>20.3</v>
      </c>
      <c r="CV182" s="52">
        <v>35.200000000000003</v>
      </c>
      <c r="CW182" s="53">
        <v>10.7</v>
      </c>
      <c r="CX182" s="53">
        <v>24.5</v>
      </c>
      <c r="CY182" s="53" t="s">
        <v>264</v>
      </c>
      <c r="CZ182" s="53">
        <v>72.3</v>
      </c>
      <c r="DA182" s="52">
        <v>30.5</v>
      </c>
      <c r="DB182" s="53">
        <v>29.4</v>
      </c>
      <c r="DC182" s="53">
        <v>1.1000000000000001</v>
      </c>
      <c r="DD182" s="55"/>
      <c r="DE182" s="55"/>
      <c r="DF182" s="55"/>
      <c r="DG182" s="53">
        <v>126.6</v>
      </c>
      <c r="DH182" s="55"/>
      <c r="DI182" s="53">
        <v>681.7</v>
      </c>
      <c r="DJ182" s="53">
        <v>191.6</v>
      </c>
      <c r="DK182" s="55"/>
      <c r="DL182" s="53">
        <v>115</v>
      </c>
      <c r="DM182" s="53">
        <v>210.5</v>
      </c>
      <c r="DN182" s="55"/>
      <c r="DO182" s="53">
        <v>221.8</v>
      </c>
      <c r="DP182" s="53">
        <v>256.7</v>
      </c>
      <c r="DQ182" s="55"/>
      <c r="DR182" s="55"/>
      <c r="DS182" s="53">
        <v>717.303</v>
      </c>
      <c r="DT182" s="53">
        <v>3177.8</v>
      </c>
      <c r="DU182" s="53">
        <v>-783.19700000000012</v>
      </c>
      <c r="DV182" s="53">
        <v>0</v>
      </c>
      <c r="DW182" s="55"/>
      <c r="DX182" s="55"/>
      <c r="DY182" s="55"/>
      <c r="DZ182" s="55"/>
      <c r="EA182" s="55"/>
      <c r="EB182" s="55"/>
      <c r="EC182" s="55"/>
      <c r="ED182" s="55"/>
      <c r="EE182" s="55"/>
      <c r="EF182" s="55"/>
      <c r="EG182" s="55"/>
      <c r="EH182" s="55"/>
      <c r="EI182" s="55"/>
      <c r="EJ182" s="55"/>
      <c r="EK182" s="55"/>
      <c r="EL182" s="55"/>
      <c r="EM182" s="55"/>
      <c r="EN182" s="55"/>
      <c r="EO182" s="55"/>
      <c r="EP182" s="55"/>
      <c r="EQ182" s="55"/>
      <c r="ER182" s="55"/>
      <c r="ES182" s="55"/>
      <c r="ET182" s="55"/>
      <c r="EU182" s="55"/>
      <c r="EV182" s="55"/>
      <c r="EW182" s="55"/>
      <c r="EX182" s="55"/>
      <c r="EY182" s="55"/>
      <c r="EZ182" s="55"/>
      <c r="FA182" s="55"/>
      <c r="FB182" s="55"/>
      <c r="FC182" s="55"/>
      <c r="FD182" s="55"/>
      <c r="FE182" s="55"/>
      <c r="FF182" s="55"/>
      <c r="FG182" s="55"/>
      <c r="FH182" s="55"/>
      <c r="FI182" s="55"/>
      <c r="FJ182" s="55"/>
      <c r="FK182" s="55"/>
      <c r="FL182" s="55"/>
      <c r="FM182" s="55"/>
      <c r="FN182" s="55"/>
      <c r="FO182" s="55"/>
      <c r="FP182" s="55"/>
      <c r="FQ182" s="55"/>
      <c r="FR182" s="55"/>
      <c r="FS182" s="55"/>
      <c r="FT182" s="55"/>
      <c r="FU182" s="55"/>
      <c r="FV182" s="55"/>
      <c r="FW182" s="55"/>
      <c r="FX182" s="55"/>
      <c r="FY182" s="55"/>
      <c r="FZ182" s="55"/>
      <c r="GA182" s="55"/>
      <c r="GB182" s="55"/>
      <c r="GC182" s="55"/>
      <c r="GD182" s="55"/>
      <c r="GE182" s="55"/>
      <c r="GF182" s="55"/>
      <c r="GG182" s="55"/>
      <c r="GH182" s="55"/>
      <c r="GI182" s="55"/>
      <c r="GJ182" s="55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19">
        <v>0.96099356025758964</v>
      </c>
      <c r="GZ182" s="53">
        <v>1044.5999999999999</v>
      </c>
      <c r="HA182" s="53">
        <v>1087</v>
      </c>
      <c r="HB182" s="55"/>
      <c r="HC182" s="55"/>
      <c r="HD182" s="55"/>
      <c r="HE182" s="55"/>
      <c r="HF182" s="53">
        <v>1075.4000000000001</v>
      </c>
      <c r="HG182" s="53">
        <v>1050.4000000000001</v>
      </c>
      <c r="HH182" s="53">
        <v>425</v>
      </c>
      <c r="HI182" s="53">
        <v>145.30000000000001</v>
      </c>
      <c r="HJ182" s="53">
        <v>459.9</v>
      </c>
      <c r="HK182" s="53">
        <v>20.2</v>
      </c>
      <c r="HL182" s="53">
        <v>25</v>
      </c>
      <c r="HM182" s="55"/>
      <c r="HN182" s="55"/>
      <c r="HO182" s="55"/>
      <c r="HP182" s="53" t="e">
        <v>#VALUE!</v>
      </c>
      <c r="HQ182" s="53">
        <v>4</v>
      </c>
      <c r="HR182" s="53">
        <v>10.6</v>
      </c>
      <c r="HS182" s="53" t="e">
        <v>#VALUE!</v>
      </c>
      <c r="HT182" s="53">
        <v>6.8</v>
      </c>
      <c r="HU182" s="55"/>
      <c r="HV182" s="55"/>
      <c r="HW182" s="53">
        <v>283.60000000000002</v>
      </c>
      <c r="HX182" s="53" t="e">
        <v>#VALUE!</v>
      </c>
      <c r="HY182" s="53">
        <v>283.60000000000002</v>
      </c>
      <c r="HZ182" s="53">
        <v>52.5</v>
      </c>
      <c r="IA182" s="53">
        <v>178.7</v>
      </c>
      <c r="IB182" s="53" t="e">
        <v>#VALUE!</v>
      </c>
      <c r="IC182" s="53" t="e">
        <v>#VALUE!</v>
      </c>
      <c r="ID182" s="53" t="e">
        <v>#VALUE!</v>
      </c>
      <c r="IE182" s="53" t="e">
        <v>#VALUE!</v>
      </c>
      <c r="IF182" s="53">
        <v>17.899999999999999</v>
      </c>
      <c r="IG182" s="53">
        <v>27.6</v>
      </c>
      <c r="IH182" s="55"/>
      <c r="II182" s="55"/>
      <c r="IJ182" s="55"/>
      <c r="IK182" s="55"/>
      <c r="IL182" s="55"/>
      <c r="IM182" s="55"/>
      <c r="IN182" s="53">
        <v>62.9</v>
      </c>
      <c r="IO182" s="53">
        <v>64.2</v>
      </c>
      <c r="IP182" s="53">
        <v>45.1</v>
      </c>
      <c r="IQ182" s="53">
        <v>44.7</v>
      </c>
      <c r="IR182" s="53">
        <v>16.899999999999999</v>
      </c>
      <c r="IS182" s="53" t="e">
        <v>#VALUE!</v>
      </c>
      <c r="IT182" s="53">
        <v>22.7</v>
      </c>
      <c r="IU182" s="53" t="e">
        <v>#VALUE!</v>
      </c>
      <c r="IV182" s="53">
        <v>0.4</v>
      </c>
      <c r="IY182" s="48">
        <f t="shared" si="8"/>
        <v>47.525331990685373</v>
      </c>
      <c r="IZ182" s="48">
        <f>IY182-'NOPA Crush'!J182</f>
        <v>-4.4668009314627E-2</v>
      </c>
      <c r="JB182" s="63">
        <f t="shared" si="6"/>
        <v>11.026496318207563</v>
      </c>
      <c r="JC182" s="64">
        <f>JB182-'NOPA Crush'!O182</f>
        <v>-8.3503681792436169E-2</v>
      </c>
      <c r="JD182" s="65"/>
      <c r="JE182" s="67">
        <f t="shared" si="7"/>
        <v>1103.1000000000001</v>
      </c>
      <c r="JF182" s="68">
        <f>'NOPA Crush'!Q182/'Census Crush'!JE182</f>
        <v>0.35198440757864197</v>
      </c>
    </row>
    <row r="183" spans="1:266">
      <c r="A183" s="39">
        <v>34608</v>
      </c>
      <c r="B183" s="51">
        <v>3579.1</v>
      </c>
      <c r="C183" s="51">
        <v>3422.9</v>
      </c>
      <c r="D183" s="51">
        <v>343.9</v>
      </c>
      <c r="E183" s="51">
        <v>1560</v>
      </c>
      <c r="F183" s="51">
        <v>15.9</v>
      </c>
      <c r="G183" s="51" t="s">
        <v>264</v>
      </c>
      <c r="H183" s="51" t="s">
        <v>264</v>
      </c>
      <c r="I183" s="51" t="s">
        <v>264</v>
      </c>
      <c r="J183" s="51" t="s">
        <v>264</v>
      </c>
      <c r="K183" s="51">
        <v>1327.6</v>
      </c>
      <c r="L183" s="49">
        <v>1055.5</v>
      </c>
      <c r="M183" s="51">
        <v>850.8</v>
      </c>
      <c r="N183" s="51">
        <v>204.7</v>
      </c>
      <c r="O183" s="51">
        <v>109.8</v>
      </c>
      <c r="P183" s="51">
        <v>103.5</v>
      </c>
      <c r="Q183" s="51">
        <v>34.9</v>
      </c>
      <c r="R183" s="51">
        <v>68.599999999999994</v>
      </c>
      <c r="S183" s="51"/>
      <c r="T183" s="51">
        <v>11.9</v>
      </c>
      <c r="U183" s="51">
        <v>17.899999999999999</v>
      </c>
      <c r="V183" s="51">
        <v>15.1</v>
      </c>
      <c r="W183" s="51">
        <v>2.8</v>
      </c>
      <c r="X183" s="51" t="s">
        <v>264</v>
      </c>
      <c r="Y183" s="51" t="s">
        <v>264</v>
      </c>
      <c r="Z183" s="49">
        <v>58.300000000000004</v>
      </c>
      <c r="AA183" s="51">
        <v>54.6</v>
      </c>
      <c r="AB183" s="51">
        <v>3.7</v>
      </c>
      <c r="AC183" s="51" t="s">
        <v>264</v>
      </c>
      <c r="AD183" s="51">
        <v>22.8</v>
      </c>
      <c r="AE183" s="51"/>
      <c r="AF183" s="51">
        <v>99.9</v>
      </c>
      <c r="AG183" s="51">
        <v>83</v>
      </c>
      <c r="AH183" s="51">
        <v>16.899999999999999</v>
      </c>
      <c r="AI183" s="51">
        <v>175.5</v>
      </c>
      <c r="AJ183" s="51"/>
      <c r="AK183" s="51"/>
      <c r="AL183" s="51">
        <v>133.69999999999999</v>
      </c>
      <c r="AM183" s="51">
        <v>90.6</v>
      </c>
      <c r="AN183" s="51">
        <v>43.1</v>
      </c>
      <c r="AO183" s="51">
        <v>2622.7</v>
      </c>
      <c r="AP183" s="51">
        <v>189.1</v>
      </c>
      <c r="AQ183" s="51">
        <v>189.8</v>
      </c>
      <c r="AR183" s="51">
        <v>51.8</v>
      </c>
      <c r="AS183" s="51">
        <v>154.19999999999999</v>
      </c>
      <c r="AT183" s="51">
        <v>66.8</v>
      </c>
      <c r="AU183" s="51">
        <v>89.5</v>
      </c>
      <c r="AV183" s="51">
        <v>17.7</v>
      </c>
      <c r="AW183" s="51">
        <v>8.5</v>
      </c>
      <c r="AX183" s="51" t="s">
        <v>264</v>
      </c>
      <c r="AY183" s="51" t="s">
        <v>264</v>
      </c>
      <c r="AZ183" s="51" t="s">
        <v>264</v>
      </c>
      <c r="BA183" s="51" t="s">
        <v>264</v>
      </c>
      <c r="BB183" s="51" t="s">
        <v>264</v>
      </c>
      <c r="BC183" s="51"/>
      <c r="BD183" s="53">
        <v>157.80000000000001</v>
      </c>
      <c r="BE183" s="53">
        <v>42.1</v>
      </c>
      <c r="BF183" s="55"/>
      <c r="BG183" s="55"/>
      <c r="BH183" s="53">
        <v>329.2</v>
      </c>
      <c r="BI183" s="55"/>
      <c r="BJ183" s="55"/>
      <c r="BK183" s="53">
        <v>249.1</v>
      </c>
      <c r="BL183" s="53">
        <v>3.1</v>
      </c>
      <c r="BM183" s="53">
        <v>581.5</v>
      </c>
      <c r="BN183" s="53">
        <v>263.39999999999998</v>
      </c>
      <c r="BO183" s="55"/>
      <c r="BP183" s="55"/>
      <c r="BQ183" s="53">
        <v>124.6</v>
      </c>
      <c r="BR183" s="53">
        <v>8.8000000000000007</v>
      </c>
      <c r="BS183" s="53">
        <v>396.8</v>
      </c>
      <c r="BT183" s="52" t="s">
        <v>264</v>
      </c>
      <c r="BU183" s="53">
        <v>34</v>
      </c>
      <c r="BV183" s="51">
        <v>402.9</v>
      </c>
      <c r="BW183" s="51">
        <v>113.6</v>
      </c>
      <c r="BX183" s="51">
        <v>520.1</v>
      </c>
      <c r="BY183" s="51">
        <v>48.1</v>
      </c>
      <c r="BZ183" s="51">
        <v>11.3</v>
      </c>
      <c r="CA183" s="49">
        <v>59.400000000000006</v>
      </c>
      <c r="CB183" s="55"/>
      <c r="CC183" s="55"/>
      <c r="CD183" s="55"/>
      <c r="CE183" s="55"/>
      <c r="CF183" s="53">
        <v>111.1</v>
      </c>
      <c r="CG183" s="53">
        <v>82.7</v>
      </c>
      <c r="CH183" s="53">
        <v>14.4</v>
      </c>
      <c r="CI183" s="55"/>
      <c r="CJ183" s="55"/>
      <c r="CK183" s="55"/>
      <c r="CL183" s="55"/>
      <c r="CM183" s="55"/>
      <c r="CN183" s="53">
        <v>39.4</v>
      </c>
      <c r="CO183" s="52">
        <v>166.2</v>
      </c>
      <c r="CP183" s="53">
        <v>101.6</v>
      </c>
      <c r="CQ183" s="53">
        <v>64.599999999999994</v>
      </c>
      <c r="CR183" s="52" t="s">
        <v>264</v>
      </c>
      <c r="CS183" s="52">
        <v>48.1</v>
      </c>
      <c r="CT183" s="52">
        <v>27.6</v>
      </c>
      <c r="CU183" s="52">
        <v>20.5</v>
      </c>
      <c r="CV183" s="52">
        <v>37.9</v>
      </c>
      <c r="CW183" s="53">
        <v>9.9</v>
      </c>
      <c r="CX183" s="53">
        <v>28</v>
      </c>
      <c r="CY183" s="53">
        <v>14.3</v>
      </c>
      <c r="CZ183" s="53">
        <v>50</v>
      </c>
      <c r="DA183" s="52">
        <v>31.5</v>
      </c>
      <c r="DB183" s="53">
        <v>30.9</v>
      </c>
      <c r="DC183" s="53">
        <v>0.6</v>
      </c>
      <c r="DD183" s="55"/>
      <c r="DE183" s="55"/>
      <c r="DF183" s="55"/>
      <c r="DG183" s="53">
        <v>131</v>
      </c>
      <c r="DH183" s="55"/>
      <c r="DI183" s="53">
        <v>704.5</v>
      </c>
      <c r="DJ183" s="53">
        <v>224.7</v>
      </c>
      <c r="DK183" s="55"/>
      <c r="DL183" s="53">
        <v>123</v>
      </c>
      <c r="DM183" s="53">
        <v>228.3</v>
      </c>
      <c r="DN183" s="55"/>
      <c r="DO183" s="53">
        <v>232</v>
      </c>
      <c r="DP183" s="53">
        <v>266.2</v>
      </c>
      <c r="DQ183" s="55"/>
      <c r="DR183" s="55"/>
      <c r="DS183" s="53">
        <v>843.32600000000002</v>
      </c>
      <c r="DT183" s="53">
        <v>3579.1</v>
      </c>
      <c r="DU183" s="53">
        <v>-957.07400000000007</v>
      </c>
      <c r="DV183" s="53">
        <v>0</v>
      </c>
      <c r="DW183" s="55"/>
      <c r="DX183" s="55"/>
      <c r="DY183" s="55"/>
      <c r="DZ183" s="55"/>
      <c r="EA183" s="55"/>
      <c r="EB183" s="55"/>
      <c r="EC183" s="55"/>
      <c r="ED183" s="55"/>
      <c r="EE183" s="55"/>
      <c r="EF183" s="55"/>
      <c r="EG183" s="55"/>
      <c r="EH183" s="55"/>
      <c r="EI183" s="55"/>
      <c r="EJ183" s="55"/>
      <c r="EK183" s="55"/>
      <c r="EL183" s="55"/>
      <c r="EM183" s="55"/>
      <c r="EN183" s="55"/>
      <c r="EO183" s="55"/>
      <c r="EP183" s="55"/>
      <c r="EQ183" s="55"/>
      <c r="ER183" s="55"/>
      <c r="ES183" s="55"/>
      <c r="ET183" s="55"/>
      <c r="EU183" s="55"/>
      <c r="EV183" s="55"/>
      <c r="EW183" s="55"/>
      <c r="EX183" s="55"/>
      <c r="EY183" s="55"/>
      <c r="EZ183" s="55"/>
      <c r="FA183" s="55"/>
      <c r="FB183" s="55"/>
      <c r="FC183" s="55"/>
      <c r="FD183" s="55"/>
      <c r="FE183" s="55"/>
      <c r="FF183" s="55"/>
      <c r="FG183" s="55"/>
      <c r="FH183" s="55"/>
      <c r="FI183" s="55"/>
      <c r="FJ183" s="55"/>
      <c r="FK183" s="55"/>
      <c r="FL183" s="55"/>
      <c r="FM183" s="55"/>
      <c r="FN183" s="55"/>
      <c r="FO183" s="55"/>
      <c r="FP183" s="55"/>
      <c r="FQ183" s="55"/>
      <c r="FR183" s="55"/>
      <c r="FS183" s="55"/>
      <c r="FT183" s="55"/>
      <c r="FU183" s="55"/>
      <c r="FV183" s="55"/>
      <c r="FW183" s="55"/>
      <c r="FX183" s="55"/>
      <c r="FY183" s="55"/>
      <c r="FZ183" s="55"/>
      <c r="GA183" s="55"/>
      <c r="GB183" s="55"/>
      <c r="GC183" s="55"/>
      <c r="GD183" s="55"/>
      <c r="GE183" s="55"/>
      <c r="GF183" s="55"/>
      <c r="GG183" s="55"/>
      <c r="GH183" s="55"/>
      <c r="GI183" s="55"/>
      <c r="GJ183" s="55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19">
        <v>0.96735291584115768</v>
      </c>
      <c r="GZ183" s="53">
        <v>1123</v>
      </c>
      <c r="HA183" s="53">
        <v>1160.9000000000001</v>
      </c>
      <c r="HB183" s="55"/>
      <c r="HC183" s="55"/>
      <c r="HD183" s="55"/>
      <c r="HE183" s="55"/>
      <c r="HF183" s="53">
        <v>1123.3</v>
      </c>
      <c r="HG183" s="53">
        <v>1099.7</v>
      </c>
      <c r="HH183" s="53">
        <v>441.8</v>
      </c>
      <c r="HI183" s="53">
        <v>152.80000000000001</v>
      </c>
      <c r="HJ183" s="53">
        <v>485.9</v>
      </c>
      <c r="HK183" s="53">
        <v>19.2</v>
      </c>
      <c r="HL183" s="53">
        <v>23.7</v>
      </c>
      <c r="HM183" s="55"/>
      <c r="HN183" s="55"/>
      <c r="HO183" s="55"/>
      <c r="HP183" s="53" t="e">
        <v>#VALUE!</v>
      </c>
      <c r="HQ183" s="53">
        <v>4</v>
      </c>
      <c r="HR183" s="53">
        <v>9.6999999999999993</v>
      </c>
      <c r="HS183" s="53" t="e">
        <v>#VALUE!</v>
      </c>
      <c r="HT183" s="53">
        <v>7</v>
      </c>
      <c r="HU183" s="55"/>
      <c r="HV183" s="55"/>
      <c r="HW183" s="53">
        <v>278.89999999999998</v>
      </c>
      <c r="HX183" s="53" t="e">
        <v>#VALUE!</v>
      </c>
      <c r="HY183" s="53">
        <v>278.89999999999998</v>
      </c>
      <c r="HZ183" s="53">
        <v>60</v>
      </c>
      <c r="IA183" s="53">
        <v>170.8</v>
      </c>
      <c r="IB183" s="53" t="e">
        <v>#VALUE!</v>
      </c>
      <c r="IC183" s="53" t="e">
        <v>#VALUE!</v>
      </c>
      <c r="ID183" s="53" t="e">
        <v>#VALUE!</v>
      </c>
      <c r="IE183" s="53" t="e">
        <v>#VALUE!</v>
      </c>
      <c r="IF183" s="53">
        <v>14.4</v>
      </c>
      <c r="IG183" s="53">
        <v>29.1</v>
      </c>
      <c r="IH183" s="55"/>
      <c r="II183" s="55"/>
      <c r="IJ183" s="55"/>
      <c r="IK183" s="55"/>
      <c r="IL183" s="55"/>
      <c r="IM183" s="55"/>
      <c r="IN183" s="53">
        <v>80</v>
      </c>
      <c r="IO183" s="53">
        <v>81.900000000000006</v>
      </c>
      <c r="IP183" s="53">
        <v>46.5</v>
      </c>
      <c r="IQ183" s="53">
        <v>45.8</v>
      </c>
      <c r="IR183" s="53">
        <v>19.3</v>
      </c>
      <c r="IS183" s="53" t="e">
        <v>#VALUE!</v>
      </c>
      <c r="IT183" s="53">
        <v>22.4</v>
      </c>
      <c r="IU183" s="53" t="e">
        <v>#VALUE!</v>
      </c>
      <c r="IV183" s="53">
        <v>0.7</v>
      </c>
      <c r="IY183" s="48">
        <f t="shared" si="8"/>
        <v>47.14872453968875</v>
      </c>
      <c r="IZ183" s="48">
        <f>IY183-'NOPA Crush'!J183</f>
        <v>-2.1275460311251493E-2</v>
      </c>
      <c r="JB183" s="63">
        <f t="shared" si="6"/>
        <v>11.127937190913917</v>
      </c>
      <c r="JC183" s="64">
        <f>JB183-'NOPA Crush'!O183</f>
        <v>-4.2062809086083064E-2</v>
      </c>
      <c r="JD183" s="65"/>
      <c r="JE183" s="67">
        <f t="shared" si="7"/>
        <v>1055.5</v>
      </c>
      <c r="JF183" s="68">
        <f>'NOPA Crush'!Q183/'Census Crush'!JE183</f>
        <v>0.34982946470866888</v>
      </c>
    </row>
    <row r="184" spans="1:266">
      <c r="A184" s="39">
        <v>34639</v>
      </c>
      <c r="B184" s="51">
        <v>3674.5</v>
      </c>
      <c r="C184" s="51">
        <v>3727.6</v>
      </c>
      <c r="D184" s="51">
        <v>386.2</v>
      </c>
      <c r="E184" s="51">
        <v>2604.3000000000002</v>
      </c>
      <c r="F184" s="51">
        <v>23.1</v>
      </c>
      <c r="G184" s="51" t="s">
        <v>264</v>
      </c>
      <c r="H184" s="51" t="s">
        <v>264</v>
      </c>
      <c r="I184" s="51" t="s">
        <v>264</v>
      </c>
      <c r="J184" s="51" t="s">
        <v>264</v>
      </c>
      <c r="K184" s="51">
        <v>1341.5</v>
      </c>
      <c r="L184" s="49">
        <v>1026.9000000000001</v>
      </c>
      <c r="M184" s="51">
        <v>811.4</v>
      </c>
      <c r="N184" s="51">
        <v>215.5</v>
      </c>
      <c r="O184" s="51">
        <v>122.6</v>
      </c>
      <c r="P184" s="51">
        <v>117</v>
      </c>
      <c r="Q184" s="51">
        <v>43.3</v>
      </c>
      <c r="R184" s="51">
        <v>73.7</v>
      </c>
      <c r="S184" s="51"/>
      <c r="T184" s="51">
        <v>18.399999999999999</v>
      </c>
      <c r="U184" s="51">
        <v>8.8000000000000007</v>
      </c>
      <c r="V184" s="51">
        <v>7.2</v>
      </c>
      <c r="W184" s="51">
        <v>1.6</v>
      </c>
      <c r="X184" s="51" t="s">
        <v>264</v>
      </c>
      <c r="Y184" s="51" t="s">
        <v>264</v>
      </c>
      <c r="Z184" s="49">
        <v>154.70000000000002</v>
      </c>
      <c r="AA184" s="51">
        <v>150.80000000000001</v>
      </c>
      <c r="AB184" s="51">
        <v>3.9</v>
      </c>
      <c r="AC184" s="51" t="s">
        <v>264</v>
      </c>
      <c r="AD184" s="51">
        <v>26.1</v>
      </c>
      <c r="AE184" s="51"/>
      <c r="AF184" s="51">
        <v>102.2</v>
      </c>
      <c r="AG184" s="51">
        <v>86.3</v>
      </c>
      <c r="AH184" s="51">
        <v>15.9</v>
      </c>
      <c r="AI184" s="51">
        <v>165.3</v>
      </c>
      <c r="AJ184" s="51"/>
      <c r="AK184" s="51"/>
      <c r="AL184" s="51">
        <v>96.9</v>
      </c>
      <c r="AM184" s="51">
        <v>72.8</v>
      </c>
      <c r="AN184" s="51">
        <v>24.1</v>
      </c>
      <c r="AO184" s="51">
        <v>2702.3</v>
      </c>
      <c r="AP184" s="51">
        <v>181.2</v>
      </c>
      <c r="AQ184" s="51">
        <v>201.2</v>
      </c>
      <c r="AR184" s="51">
        <v>50.4</v>
      </c>
      <c r="AS184" s="51">
        <v>171.5</v>
      </c>
      <c r="AT184" s="51">
        <v>80</v>
      </c>
      <c r="AU184" s="51">
        <v>103.4</v>
      </c>
      <c r="AV184" s="51">
        <v>29.7</v>
      </c>
      <c r="AW184" s="51">
        <v>12.8</v>
      </c>
      <c r="AX184" s="51">
        <v>6.5</v>
      </c>
      <c r="AY184" s="51" t="s">
        <v>264</v>
      </c>
      <c r="AZ184" s="51" t="s">
        <v>264</v>
      </c>
      <c r="BA184" s="51" t="s">
        <v>264</v>
      </c>
      <c r="BB184" s="51" t="s">
        <v>264</v>
      </c>
      <c r="BC184" s="51"/>
      <c r="BD184" s="53">
        <v>147.80000000000001</v>
      </c>
      <c r="BE184" s="53">
        <v>38.9</v>
      </c>
      <c r="BF184" s="55"/>
      <c r="BG184" s="55"/>
      <c r="BH184" s="53">
        <v>325.89999999999998</v>
      </c>
      <c r="BI184" s="55"/>
      <c r="BJ184" s="55"/>
      <c r="BK184" s="53">
        <v>253.2</v>
      </c>
      <c r="BL184" s="53">
        <v>3</v>
      </c>
      <c r="BM184" s="53">
        <v>582.1</v>
      </c>
      <c r="BN184" s="53">
        <v>281.89999999999998</v>
      </c>
      <c r="BO184" s="55"/>
      <c r="BP184" s="55"/>
      <c r="BQ184" s="53">
        <v>131.4</v>
      </c>
      <c r="BR184" s="53">
        <v>9.5</v>
      </c>
      <c r="BS184" s="53">
        <v>422.79999999999995</v>
      </c>
      <c r="BT184" s="52" t="s">
        <v>264</v>
      </c>
      <c r="BU184" s="53">
        <v>35.799999999999997</v>
      </c>
      <c r="BV184" s="51">
        <v>390.9</v>
      </c>
      <c r="BW184" s="51">
        <v>111</v>
      </c>
      <c r="BX184" s="51">
        <v>505.7</v>
      </c>
      <c r="BY184" s="51">
        <v>51.1</v>
      </c>
      <c r="BZ184" s="51">
        <v>10.4</v>
      </c>
      <c r="CA184" s="49">
        <v>61.5</v>
      </c>
      <c r="CB184" s="55"/>
      <c r="CC184" s="55"/>
      <c r="CD184" s="55"/>
      <c r="CE184" s="55"/>
      <c r="CF184" s="53">
        <v>114.5</v>
      </c>
      <c r="CG184" s="53">
        <v>94.1</v>
      </c>
      <c r="CH184" s="53">
        <v>16.3</v>
      </c>
      <c r="CI184" s="55"/>
      <c r="CJ184" s="55"/>
      <c r="CK184" s="55"/>
      <c r="CL184" s="55"/>
      <c r="CM184" s="55"/>
      <c r="CN184" s="53">
        <v>46.2</v>
      </c>
      <c r="CO184" s="52">
        <v>152.89999999999998</v>
      </c>
      <c r="CP184" s="53">
        <v>98.6</v>
      </c>
      <c r="CQ184" s="53">
        <v>54.3</v>
      </c>
      <c r="CR184" s="52" t="s">
        <v>264</v>
      </c>
      <c r="CS184" s="52">
        <v>39.299999999999997</v>
      </c>
      <c r="CT184" s="52">
        <v>22.2</v>
      </c>
      <c r="CU184" s="52">
        <v>17.100000000000001</v>
      </c>
      <c r="CV184" s="52">
        <v>27.5</v>
      </c>
      <c r="CW184" s="53">
        <v>10.6</v>
      </c>
      <c r="CX184" s="53">
        <v>16.899999999999999</v>
      </c>
      <c r="CY184" s="53" t="s">
        <v>264</v>
      </c>
      <c r="CZ184" s="53">
        <v>57.1</v>
      </c>
      <c r="DA184" s="52">
        <v>36.1</v>
      </c>
      <c r="DB184" s="53">
        <v>35.1</v>
      </c>
      <c r="DC184" s="53">
        <v>1</v>
      </c>
      <c r="DD184" s="55"/>
      <c r="DE184" s="55"/>
      <c r="DF184" s="55"/>
      <c r="DG184" s="53">
        <v>127</v>
      </c>
      <c r="DH184" s="55"/>
      <c r="DI184" s="53">
        <v>678.8</v>
      </c>
      <c r="DJ184" s="53">
        <v>218.5</v>
      </c>
      <c r="DK184" s="55"/>
      <c r="DL184" s="53">
        <v>162.9</v>
      </c>
      <c r="DM184" s="53">
        <v>242.3</v>
      </c>
      <c r="DN184" s="55"/>
      <c r="DO184" s="53">
        <v>227.3</v>
      </c>
      <c r="DP184" s="53">
        <v>273.39999999999998</v>
      </c>
      <c r="DQ184" s="55"/>
      <c r="DR184" s="55"/>
      <c r="DS184" s="53">
        <v>890.803</v>
      </c>
      <c r="DT184" s="53">
        <v>3674.5</v>
      </c>
      <c r="DU184" s="53">
        <v>-980.4970000000003</v>
      </c>
      <c r="DV184" s="53">
        <v>0</v>
      </c>
      <c r="DW184" s="55"/>
      <c r="DX184" s="55"/>
      <c r="DY184" s="55"/>
      <c r="DZ184" s="55"/>
      <c r="EA184" s="55"/>
      <c r="EB184" s="55"/>
      <c r="EC184" s="55"/>
      <c r="ED184" s="55"/>
      <c r="EE184" s="55"/>
      <c r="EF184" s="55"/>
      <c r="EG184" s="55"/>
      <c r="EH184" s="55"/>
      <c r="EI184" s="55"/>
      <c r="EJ184" s="55"/>
      <c r="EK184" s="55"/>
      <c r="EL184" s="55"/>
      <c r="EM184" s="55"/>
      <c r="EN184" s="55"/>
      <c r="EO184" s="55"/>
      <c r="EP184" s="55"/>
      <c r="EQ184" s="55"/>
      <c r="ER184" s="55"/>
      <c r="ES184" s="55"/>
      <c r="ET184" s="55"/>
      <c r="EU184" s="55"/>
      <c r="EV184" s="55"/>
      <c r="EW184" s="55"/>
      <c r="EX184" s="55"/>
      <c r="EY184" s="55"/>
      <c r="EZ184" s="55"/>
      <c r="FA184" s="55"/>
      <c r="FB184" s="55"/>
      <c r="FC184" s="55"/>
      <c r="FD184" s="55"/>
      <c r="FE184" s="55"/>
      <c r="FF184" s="55"/>
      <c r="FG184" s="55"/>
      <c r="FH184" s="55"/>
      <c r="FI184" s="55"/>
      <c r="FJ184" s="55"/>
      <c r="FK184" s="55"/>
      <c r="FL184" s="55"/>
      <c r="FM184" s="55"/>
      <c r="FN184" s="55"/>
      <c r="FO184" s="55"/>
      <c r="FP184" s="55"/>
      <c r="FQ184" s="55"/>
      <c r="FR184" s="55"/>
      <c r="FS184" s="55"/>
      <c r="FT184" s="55"/>
      <c r="FU184" s="55"/>
      <c r="FV184" s="55"/>
      <c r="FW184" s="55"/>
      <c r="FX184" s="55"/>
      <c r="FY184" s="55"/>
      <c r="FZ184" s="55"/>
      <c r="GA184" s="55"/>
      <c r="GB184" s="55"/>
      <c r="GC184" s="55"/>
      <c r="GD184" s="55"/>
      <c r="GE184" s="55"/>
      <c r="GF184" s="55"/>
      <c r="GG184" s="55"/>
      <c r="GH184" s="55"/>
      <c r="GI184" s="55"/>
      <c r="GJ184" s="55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19">
        <v>0.97120230381569472</v>
      </c>
      <c r="GZ184" s="53">
        <v>1079.2</v>
      </c>
      <c r="HA184" s="53">
        <v>1111.2</v>
      </c>
      <c r="HB184" s="55"/>
      <c r="HC184" s="55"/>
      <c r="HD184" s="55"/>
      <c r="HE184" s="55"/>
      <c r="HF184" s="53">
        <v>1103.4000000000001</v>
      </c>
      <c r="HG184" s="53">
        <v>1080.5</v>
      </c>
      <c r="HH184" s="53">
        <v>443.1</v>
      </c>
      <c r="HI184" s="53">
        <v>170.7</v>
      </c>
      <c r="HJ184" s="53">
        <v>448.2</v>
      </c>
      <c r="HK184" s="53">
        <v>18.5</v>
      </c>
      <c r="HL184" s="53">
        <v>22.9</v>
      </c>
      <c r="HM184" s="55"/>
      <c r="HN184" s="55"/>
      <c r="HO184" s="55"/>
      <c r="HP184" s="53" t="e">
        <v>#VALUE!</v>
      </c>
      <c r="HQ184" s="53">
        <v>3.1</v>
      </c>
      <c r="HR184" s="53">
        <v>9.6</v>
      </c>
      <c r="HS184" s="53" t="e">
        <v>#VALUE!</v>
      </c>
      <c r="HT184" s="53">
        <v>7.7</v>
      </c>
      <c r="HU184" s="55"/>
      <c r="HV184" s="55"/>
      <c r="HW184" s="53">
        <v>286.7</v>
      </c>
      <c r="HX184" s="53" t="e">
        <v>#VALUE!</v>
      </c>
      <c r="HY184" s="53">
        <v>286.7</v>
      </c>
      <c r="HZ184" s="53">
        <v>63.2</v>
      </c>
      <c r="IA184" s="53">
        <v>176.7</v>
      </c>
      <c r="IB184" s="53" t="e">
        <v>#VALUE!</v>
      </c>
      <c r="IC184" s="53" t="e">
        <v>#VALUE!</v>
      </c>
      <c r="ID184" s="53" t="e">
        <v>#VALUE!</v>
      </c>
      <c r="IE184" s="53" t="e">
        <v>#VALUE!</v>
      </c>
      <c r="IF184" s="53">
        <v>14.4</v>
      </c>
      <c r="IG184" s="53">
        <v>26.7</v>
      </c>
      <c r="IH184" s="55"/>
      <c r="II184" s="55"/>
      <c r="IJ184" s="55"/>
      <c r="IK184" s="55"/>
      <c r="IL184" s="55"/>
      <c r="IM184" s="55"/>
      <c r="IN184" s="53">
        <v>94.4</v>
      </c>
      <c r="IO184" s="53">
        <v>97.2</v>
      </c>
      <c r="IP184" s="53">
        <v>47.6</v>
      </c>
      <c r="IQ184" s="53">
        <v>46.7</v>
      </c>
      <c r="IR184" s="53">
        <v>21</v>
      </c>
      <c r="IS184" s="53" t="e">
        <v>#VALUE!</v>
      </c>
      <c r="IT184" s="53">
        <v>20.9</v>
      </c>
      <c r="IU184" s="53" t="e">
        <v>#VALUE!</v>
      </c>
      <c r="IV184" s="53">
        <v>0.9</v>
      </c>
      <c r="IY184" s="48">
        <f t="shared" si="8"/>
        <v>47.410532045176211</v>
      </c>
      <c r="IZ184" s="48">
        <f>IY184-'NOPA Crush'!J184</f>
        <v>5.0532045176211682E-2</v>
      </c>
      <c r="JB184" s="63">
        <f t="shared" si="6"/>
        <v>10.952510545652469</v>
      </c>
      <c r="JC184" s="64">
        <f>JB184-'NOPA Crush'!O184</f>
        <v>-5.7489454347530611E-2</v>
      </c>
      <c r="JD184" s="65"/>
      <c r="JE184" s="67">
        <f t="shared" si="7"/>
        <v>1026.9000000000001</v>
      </c>
      <c r="JF184" s="68">
        <f>'NOPA Crush'!Q184/'Census Crush'!JE184</f>
        <v>0.38930567728113741</v>
      </c>
    </row>
    <row r="185" spans="1:266">
      <c r="A185" s="39">
        <v>34669</v>
      </c>
      <c r="B185" s="51">
        <v>3854.6</v>
      </c>
      <c r="C185" s="51">
        <v>3253.1</v>
      </c>
      <c r="D185" s="51">
        <v>397.5</v>
      </c>
      <c r="E185" s="51">
        <v>2763.4</v>
      </c>
      <c r="F185" s="51">
        <v>29.3</v>
      </c>
      <c r="G185" s="51" t="s">
        <v>264</v>
      </c>
      <c r="H185" s="51" t="s">
        <v>264</v>
      </c>
      <c r="I185" s="51" t="s">
        <v>264</v>
      </c>
      <c r="J185" s="51" t="s">
        <v>264</v>
      </c>
      <c r="K185" s="51">
        <v>1403</v>
      </c>
      <c r="L185" s="49">
        <v>1058.3</v>
      </c>
      <c r="M185" s="51">
        <v>826.6</v>
      </c>
      <c r="N185" s="51">
        <v>231.7</v>
      </c>
      <c r="O185" s="51">
        <v>125.6</v>
      </c>
      <c r="P185" s="51">
        <v>114.7</v>
      </c>
      <c r="Q185" s="51">
        <v>33.700000000000003</v>
      </c>
      <c r="R185" s="51">
        <v>81</v>
      </c>
      <c r="S185" s="51"/>
      <c r="T185" s="51">
        <v>24.2</v>
      </c>
      <c r="U185" s="51">
        <v>7.8</v>
      </c>
      <c r="V185" s="51">
        <v>5</v>
      </c>
      <c r="W185" s="51">
        <v>2.8</v>
      </c>
      <c r="X185" s="51" t="s">
        <v>264</v>
      </c>
      <c r="Y185" s="51">
        <v>3</v>
      </c>
      <c r="Z185" s="49">
        <v>188.3</v>
      </c>
      <c r="AA185" s="51">
        <v>184</v>
      </c>
      <c r="AB185" s="51">
        <v>4.3</v>
      </c>
      <c r="AC185" s="51" t="s">
        <v>264</v>
      </c>
      <c r="AD185" s="51">
        <v>14.1</v>
      </c>
      <c r="AE185" s="51"/>
      <c r="AF185" s="51">
        <v>78.2</v>
      </c>
      <c r="AG185" s="51">
        <v>65</v>
      </c>
      <c r="AH185" s="51">
        <v>13.2</v>
      </c>
      <c r="AI185" s="51">
        <v>180.9</v>
      </c>
      <c r="AJ185" s="51"/>
      <c r="AK185" s="51"/>
      <c r="AL185" s="51">
        <v>90.2</v>
      </c>
      <c r="AM185" s="51">
        <v>58.7</v>
      </c>
      <c r="AN185" s="51">
        <v>31.5</v>
      </c>
      <c r="AO185" s="51">
        <v>2822.9</v>
      </c>
      <c r="AP185" s="51">
        <v>192.4</v>
      </c>
      <c r="AQ185" s="51">
        <v>204.9</v>
      </c>
      <c r="AR185" s="51">
        <v>48.7</v>
      </c>
      <c r="AS185" s="51">
        <v>176.9</v>
      </c>
      <c r="AT185" s="51">
        <v>94.9</v>
      </c>
      <c r="AU185" s="51">
        <v>109</v>
      </c>
      <c r="AV185" s="51">
        <v>40.6</v>
      </c>
      <c r="AW185" s="51">
        <v>16.100000000000001</v>
      </c>
      <c r="AX185" s="51">
        <v>9.5</v>
      </c>
      <c r="AY185" s="51" t="s">
        <v>264</v>
      </c>
      <c r="AZ185" s="51" t="s">
        <v>264</v>
      </c>
      <c r="BA185" s="51" t="s">
        <v>264</v>
      </c>
      <c r="BB185" s="51" t="s">
        <v>264</v>
      </c>
      <c r="BC185" s="51"/>
      <c r="BD185" s="53">
        <v>141.9</v>
      </c>
      <c r="BE185" s="53">
        <v>36.299999999999997</v>
      </c>
      <c r="BF185" s="55"/>
      <c r="BG185" s="55"/>
      <c r="BH185" s="53">
        <v>337.9</v>
      </c>
      <c r="BI185" s="55"/>
      <c r="BJ185" s="55"/>
      <c r="BK185" s="53">
        <v>253.1</v>
      </c>
      <c r="BL185" s="53">
        <v>3.6</v>
      </c>
      <c r="BM185" s="53">
        <v>594.6</v>
      </c>
      <c r="BN185" s="53">
        <v>232.4</v>
      </c>
      <c r="BO185" s="55"/>
      <c r="BP185" s="55"/>
      <c r="BQ185" s="53">
        <v>107.1</v>
      </c>
      <c r="BR185" s="53">
        <v>8.8000000000000007</v>
      </c>
      <c r="BS185" s="53">
        <v>348.3</v>
      </c>
      <c r="BT185" s="52" t="s">
        <v>264</v>
      </c>
      <c r="BU185" s="53">
        <v>41.9</v>
      </c>
      <c r="BV185" s="51">
        <v>418.2</v>
      </c>
      <c r="BW185" s="51">
        <v>110.1</v>
      </c>
      <c r="BX185" s="51">
        <v>532</v>
      </c>
      <c r="BY185" s="51">
        <v>44.7</v>
      </c>
      <c r="BZ185" s="51">
        <v>8.9</v>
      </c>
      <c r="CA185" s="49">
        <v>53.6</v>
      </c>
      <c r="CB185" s="55"/>
      <c r="CC185" s="55"/>
      <c r="CD185" s="55"/>
      <c r="CE185" s="55"/>
      <c r="CF185" s="53">
        <v>115.1</v>
      </c>
      <c r="CG185" s="53">
        <v>104.1</v>
      </c>
      <c r="CH185" s="53">
        <v>15.9</v>
      </c>
      <c r="CI185" s="55"/>
      <c r="CJ185" s="55"/>
      <c r="CK185" s="55"/>
      <c r="CL185" s="55"/>
      <c r="CM185" s="55"/>
      <c r="CN185" s="53">
        <v>51.9</v>
      </c>
      <c r="CO185" s="52">
        <v>155.6</v>
      </c>
      <c r="CP185" s="53">
        <v>86.6</v>
      </c>
      <c r="CQ185" s="53">
        <v>69</v>
      </c>
      <c r="CR185" s="52" t="s">
        <v>264</v>
      </c>
      <c r="CS185" s="52">
        <v>38.6</v>
      </c>
      <c r="CT185" s="52">
        <v>22.6</v>
      </c>
      <c r="CU185" s="52">
        <v>16</v>
      </c>
      <c r="CV185" s="52">
        <v>34.900000000000006</v>
      </c>
      <c r="CW185" s="53">
        <v>12.3</v>
      </c>
      <c r="CX185" s="53">
        <v>22.6</v>
      </c>
      <c r="CY185" s="53">
        <v>14.4</v>
      </c>
      <c r="CZ185" s="53">
        <v>60.7</v>
      </c>
      <c r="DA185" s="52">
        <v>36.9</v>
      </c>
      <c r="DB185" s="53">
        <v>35.4</v>
      </c>
      <c r="DC185" s="53">
        <v>1.5</v>
      </c>
      <c r="DD185" s="55"/>
      <c r="DE185" s="55"/>
      <c r="DF185" s="55"/>
      <c r="DG185" s="53">
        <v>135.6</v>
      </c>
      <c r="DH185" s="55"/>
      <c r="DI185" s="53">
        <v>719.7</v>
      </c>
      <c r="DJ185" s="53">
        <v>236.7</v>
      </c>
      <c r="DK185" s="55"/>
      <c r="DL185" s="53">
        <v>165.6</v>
      </c>
      <c r="DM185" s="53">
        <v>254.1</v>
      </c>
      <c r="DN185" s="55"/>
      <c r="DO185" s="53">
        <v>234.8</v>
      </c>
      <c r="DP185" s="53">
        <v>281.60000000000002</v>
      </c>
      <c r="DQ185" s="55"/>
      <c r="DR185" s="55"/>
      <c r="DS185" s="53">
        <v>929.69299999999998</v>
      </c>
      <c r="DT185" s="53">
        <v>3854.6</v>
      </c>
      <c r="DU185" s="53">
        <v>-1032.4069999999997</v>
      </c>
      <c r="DV185" s="53">
        <v>0</v>
      </c>
      <c r="DW185" s="55"/>
      <c r="DX185" s="55"/>
      <c r="DY185" s="55"/>
      <c r="DZ185" s="55"/>
      <c r="EA185" s="55"/>
      <c r="EB185" s="55"/>
      <c r="EC185" s="55"/>
      <c r="ED185" s="55"/>
      <c r="EE185" s="55"/>
      <c r="EF185" s="55"/>
      <c r="EG185" s="55"/>
      <c r="EH185" s="55"/>
      <c r="EI185" s="55"/>
      <c r="EJ185" s="55"/>
      <c r="EK185" s="55"/>
      <c r="EL185" s="55"/>
      <c r="EM185" s="55"/>
      <c r="EN185" s="55"/>
      <c r="EO185" s="55"/>
      <c r="EP185" s="55"/>
      <c r="EQ185" s="55"/>
      <c r="ER185" s="55"/>
      <c r="ES185" s="55"/>
      <c r="ET185" s="55"/>
      <c r="EU185" s="55"/>
      <c r="EV185" s="55"/>
      <c r="EW185" s="55"/>
      <c r="EX185" s="55"/>
      <c r="EY185" s="55"/>
      <c r="EZ185" s="55"/>
      <c r="FA185" s="55"/>
      <c r="FB185" s="55"/>
      <c r="FC185" s="55"/>
      <c r="FD185" s="55"/>
      <c r="FE185" s="55"/>
      <c r="FF185" s="55"/>
      <c r="FG185" s="55"/>
      <c r="FH185" s="55"/>
      <c r="FI185" s="55"/>
      <c r="FJ185" s="55"/>
      <c r="FK185" s="55"/>
      <c r="FL185" s="55"/>
      <c r="FM185" s="55"/>
      <c r="FN185" s="55"/>
      <c r="FO185" s="55"/>
      <c r="FP185" s="55"/>
      <c r="FQ185" s="55"/>
      <c r="FR185" s="55"/>
      <c r="FS185" s="55"/>
      <c r="FT185" s="55"/>
      <c r="FU185" s="55"/>
      <c r="FV185" s="55"/>
      <c r="FW185" s="55"/>
      <c r="FX185" s="55"/>
      <c r="FY185" s="55"/>
      <c r="FZ185" s="55"/>
      <c r="GA185" s="55"/>
      <c r="GB185" s="55"/>
      <c r="GC185" s="55"/>
      <c r="GD185" s="55"/>
      <c r="GE185" s="55"/>
      <c r="GF185" s="55"/>
      <c r="GG185" s="55"/>
      <c r="GH185" s="55"/>
      <c r="GI185" s="55"/>
      <c r="GJ185" s="55"/>
      <c r="GK185" s="55"/>
      <c r="GL185" s="55"/>
      <c r="GM185" s="55"/>
      <c r="GN185" s="55"/>
      <c r="GO185" s="55"/>
      <c r="GP185" s="55"/>
      <c r="GQ185" s="55"/>
      <c r="GR185" s="55"/>
      <c r="GS185" s="55"/>
      <c r="GT185" s="55"/>
      <c r="GU185" s="55"/>
      <c r="GV185" s="55"/>
      <c r="GW185" s="55"/>
      <c r="GX185" s="55"/>
      <c r="GY185" s="19">
        <v>0.96946983546617904</v>
      </c>
      <c r="GZ185" s="53">
        <v>1060.5999999999999</v>
      </c>
      <c r="HA185" s="53">
        <v>1094</v>
      </c>
      <c r="HB185" s="55"/>
      <c r="HC185" s="55"/>
      <c r="HD185" s="55"/>
      <c r="HE185" s="55"/>
      <c r="HF185" s="53">
        <v>1063.8</v>
      </c>
      <c r="HG185" s="53">
        <v>1042.8</v>
      </c>
      <c r="HH185" s="53">
        <v>395.5</v>
      </c>
      <c r="HI185" s="53">
        <v>161</v>
      </c>
      <c r="HJ185" s="53">
        <v>467</v>
      </c>
      <c r="HK185" s="53">
        <v>19.3</v>
      </c>
      <c r="HL185" s="53">
        <v>20.9</v>
      </c>
      <c r="HM185" s="55"/>
      <c r="HN185" s="55"/>
      <c r="HO185" s="55"/>
      <c r="HP185" s="53" t="e">
        <v>#VALUE!</v>
      </c>
      <c r="HQ185" s="53">
        <v>3</v>
      </c>
      <c r="HR185" s="53">
        <v>7.5</v>
      </c>
      <c r="HS185" s="53" t="e">
        <v>#VALUE!</v>
      </c>
      <c r="HT185" s="53">
        <v>7.7</v>
      </c>
      <c r="HU185" s="55"/>
      <c r="HV185" s="55"/>
      <c r="HW185" s="53">
        <v>291.39999999999998</v>
      </c>
      <c r="HX185" s="53" t="e">
        <v>#VALUE!</v>
      </c>
      <c r="HY185" s="53">
        <v>291.39999999999998</v>
      </c>
      <c r="HZ185" s="53">
        <v>62.1</v>
      </c>
      <c r="IA185" s="53">
        <v>176.2</v>
      </c>
      <c r="IB185" s="53" t="e">
        <v>#VALUE!</v>
      </c>
      <c r="IC185" s="53" t="e">
        <v>#VALUE!</v>
      </c>
      <c r="ID185" s="53" t="e">
        <v>#VALUE!</v>
      </c>
      <c r="IE185" s="53" t="e">
        <v>#VALUE!</v>
      </c>
      <c r="IF185" s="53">
        <v>16.100000000000001</v>
      </c>
      <c r="IG185" s="53">
        <v>31.5</v>
      </c>
      <c r="IH185" s="55"/>
      <c r="II185" s="55"/>
      <c r="IJ185" s="55"/>
      <c r="IK185" s="55"/>
      <c r="IL185" s="55"/>
      <c r="IM185" s="55"/>
      <c r="IN185" s="53">
        <v>106.2</v>
      </c>
      <c r="IO185" s="53">
        <v>109.8</v>
      </c>
      <c r="IP185" s="53">
        <v>44.9</v>
      </c>
      <c r="IQ185" s="53">
        <v>43.9</v>
      </c>
      <c r="IR185" s="53">
        <v>16</v>
      </c>
      <c r="IS185" s="53" t="e">
        <v>#VALUE!</v>
      </c>
      <c r="IT185" s="53">
        <v>23.1</v>
      </c>
      <c r="IU185" s="53" t="e">
        <v>#VALUE!</v>
      </c>
      <c r="IV185" s="53">
        <v>1</v>
      </c>
      <c r="IY185" s="48">
        <f t="shared" si="8"/>
        <v>47.130182120064347</v>
      </c>
      <c r="IZ185" s="48">
        <f>IY185-'NOPA Crush'!J185</f>
        <v>1.8212006434481509E-4</v>
      </c>
      <c r="JB185" s="63">
        <f t="shared" si="6"/>
        <v>10.919420951590309</v>
      </c>
      <c r="JC185" s="64">
        <f>JB185-'NOPA Crush'!O185</f>
        <v>-8.0579048409690657E-2</v>
      </c>
      <c r="JD185" s="65"/>
      <c r="JE185" s="67">
        <f t="shared" si="7"/>
        <v>1058.3</v>
      </c>
      <c r="JF185" s="68">
        <f>'NOPA Crush'!Q185/'Census Crush'!JE185</f>
        <v>0.36155060001889827</v>
      </c>
    </row>
    <row r="186" spans="1:266">
      <c r="A186" s="39">
        <v>34700</v>
      </c>
      <c r="B186" s="51">
        <v>3819.8</v>
      </c>
      <c r="C186" s="51">
        <v>3441.4</v>
      </c>
      <c r="D186" s="51">
        <v>404.6</v>
      </c>
      <c r="E186" s="51">
        <v>2529.4</v>
      </c>
      <c r="F186" s="51">
        <v>34</v>
      </c>
      <c r="G186" s="51" t="s">
        <v>264</v>
      </c>
      <c r="H186" s="51" t="s">
        <v>264</v>
      </c>
      <c r="I186" s="51" t="s">
        <v>264</v>
      </c>
      <c r="J186" s="51" t="s">
        <v>264</v>
      </c>
      <c r="K186" s="51">
        <v>1399.6</v>
      </c>
      <c r="L186" s="49">
        <v>1116.8</v>
      </c>
      <c r="M186" s="51">
        <v>880.6</v>
      </c>
      <c r="N186" s="51">
        <v>236.2</v>
      </c>
      <c r="O186" s="51">
        <v>133.4</v>
      </c>
      <c r="P186" s="51">
        <v>122.19999999999999</v>
      </c>
      <c r="Q186" s="51">
        <v>36.9</v>
      </c>
      <c r="R186" s="51">
        <v>85.3</v>
      </c>
      <c r="S186" s="51"/>
      <c r="T186" s="51">
        <v>27.9</v>
      </c>
      <c r="U186" s="51">
        <v>10.9</v>
      </c>
      <c r="V186" s="51">
        <v>7.5</v>
      </c>
      <c r="W186" s="51">
        <v>3.4</v>
      </c>
      <c r="X186" s="51" t="s">
        <v>264</v>
      </c>
      <c r="Y186" s="51" t="s">
        <v>264</v>
      </c>
      <c r="Z186" s="49">
        <v>116.4</v>
      </c>
      <c r="AA186" s="51">
        <v>112.5</v>
      </c>
      <c r="AB186" s="51">
        <v>3.9</v>
      </c>
      <c r="AC186" s="51" t="s">
        <v>264</v>
      </c>
      <c r="AD186" s="51">
        <v>12.1</v>
      </c>
      <c r="AE186" s="51"/>
      <c r="AF186" s="51">
        <v>58.1</v>
      </c>
      <c r="AG186" s="51">
        <v>42.7</v>
      </c>
      <c r="AH186" s="51">
        <v>15.4</v>
      </c>
      <c r="AI186" s="51">
        <v>163.19999999999999</v>
      </c>
      <c r="AJ186" s="51"/>
      <c r="AK186" s="51"/>
      <c r="AL186" s="51">
        <v>95.1</v>
      </c>
      <c r="AM186" s="51">
        <v>59.4</v>
      </c>
      <c r="AN186" s="51">
        <v>35.700000000000003</v>
      </c>
      <c r="AO186" s="51">
        <v>2803.3</v>
      </c>
      <c r="AP186" s="51">
        <v>157.80000000000001</v>
      </c>
      <c r="AQ186" s="51">
        <v>204.2</v>
      </c>
      <c r="AR186" s="51">
        <v>39.9</v>
      </c>
      <c r="AS186" s="51">
        <v>184.1</v>
      </c>
      <c r="AT186" s="51">
        <v>97.3</v>
      </c>
      <c r="AU186" s="51">
        <v>109.2</v>
      </c>
      <c r="AV186" s="51">
        <v>45.8</v>
      </c>
      <c r="AW186" s="51">
        <v>18.3</v>
      </c>
      <c r="AX186" s="51">
        <v>11.7</v>
      </c>
      <c r="AY186" s="51" t="s">
        <v>264</v>
      </c>
      <c r="AZ186" s="51" t="s">
        <v>264</v>
      </c>
      <c r="BA186" s="51" t="s">
        <v>264</v>
      </c>
      <c r="BB186" s="51" t="s">
        <v>264</v>
      </c>
      <c r="BC186" s="51"/>
      <c r="BD186" s="53">
        <v>120.4</v>
      </c>
      <c r="BE186" s="53">
        <v>43</v>
      </c>
      <c r="BF186" s="55"/>
      <c r="BG186" s="55"/>
      <c r="BH186" s="53">
        <v>334.3</v>
      </c>
      <c r="BI186" s="55"/>
      <c r="BJ186" s="55"/>
      <c r="BK186" s="53">
        <v>248.2</v>
      </c>
      <c r="BL186" s="53">
        <v>4</v>
      </c>
      <c r="BM186" s="53">
        <v>586.5</v>
      </c>
      <c r="BN186" s="53">
        <v>300.5</v>
      </c>
      <c r="BO186" s="55"/>
      <c r="BP186" s="55"/>
      <c r="BQ186" s="53">
        <v>100.7</v>
      </c>
      <c r="BR186" s="53">
        <v>9.3000000000000007</v>
      </c>
      <c r="BS186" s="53">
        <v>410.5</v>
      </c>
      <c r="BT186" s="52" t="s">
        <v>264</v>
      </c>
      <c r="BU186" s="53">
        <v>50.3</v>
      </c>
      <c r="BV186" s="51">
        <v>408.4</v>
      </c>
      <c r="BW186" s="51">
        <v>106.4</v>
      </c>
      <c r="BX186" s="51">
        <v>517.5</v>
      </c>
      <c r="BY186" s="51">
        <v>39.5</v>
      </c>
      <c r="BZ186" s="51">
        <v>10.7</v>
      </c>
      <c r="CA186" s="49">
        <v>50.2</v>
      </c>
      <c r="CB186" s="55"/>
      <c r="CC186" s="55"/>
      <c r="CD186" s="55"/>
      <c r="CE186" s="55"/>
      <c r="CF186" s="53">
        <v>108.3</v>
      </c>
      <c r="CG186" s="53">
        <v>107.6</v>
      </c>
      <c r="CH186" s="53">
        <v>15.4</v>
      </c>
      <c r="CI186" s="55"/>
      <c r="CJ186" s="55"/>
      <c r="CK186" s="55"/>
      <c r="CL186" s="55"/>
      <c r="CM186" s="55"/>
      <c r="CN186" s="53">
        <v>50.6</v>
      </c>
      <c r="CO186" s="52">
        <v>173.6</v>
      </c>
      <c r="CP186" s="53">
        <v>112.6</v>
      </c>
      <c r="CQ186" s="53">
        <v>61</v>
      </c>
      <c r="CR186" s="52" t="s">
        <v>264</v>
      </c>
      <c r="CS186" s="52">
        <v>39</v>
      </c>
      <c r="CT186" s="52">
        <v>22.7</v>
      </c>
      <c r="CU186" s="52">
        <v>16.3</v>
      </c>
      <c r="CV186" s="52">
        <v>33.9</v>
      </c>
      <c r="CW186" s="53">
        <v>12.9</v>
      </c>
      <c r="CX186" s="53">
        <v>21</v>
      </c>
      <c r="CY186" s="53">
        <v>14.2</v>
      </c>
      <c r="CZ186" s="53">
        <v>66.900000000000006</v>
      </c>
      <c r="DA186" s="52">
        <v>48.699999999999996</v>
      </c>
      <c r="DB186" s="53">
        <v>47.3</v>
      </c>
      <c r="DC186" s="53">
        <v>1.4</v>
      </c>
      <c r="DD186" s="55"/>
      <c r="DE186" s="55"/>
      <c r="DF186" s="55"/>
      <c r="DG186" s="53">
        <v>129.518</v>
      </c>
      <c r="DH186" s="55"/>
      <c r="DI186" s="53">
        <v>700.73900000000003</v>
      </c>
      <c r="DJ186" s="53">
        <v>217.678</v>
      </c>
      <c r="DK186" s="55"/>
      <c r="DL186" s="53">
        <v>151.47300000000001</v>
      </c>
      <c r="DM186" s="53">
        <v>238.15700000000001</v>
      </c>
      <c r="DN186" s="55"/>
      <c r="DO186" s="53">
        <v>235.029</v>
      </c>
      <c r="DP186" s="53">
        <v>278.94400000000002</v>
      </c>
      <c r="DQ186" s="55"/>
      <c r="DR186" s="55"/>
      <c r="DS186" s="53">
        <v>944.89400000000001</v>
      </c>
      <c r="DT186" s="53">
        <v>3805.0749999999998</v>
      </c>
      <c r="DU186" s="53">
        <v>-1038.1610000000001</v>
      </c>
      <c r="DV186" s="53">
        <v>-14.725000000000364</v>
      </c>
      <c r="DW186" s="55"/>
      <c r="DX186" s="55"/>
      <c r="DY186" s="55"/>
      <c r="DZ186" s="55"/>
      <c r="EA186" s="55"/>
      <c r="EB186" s="55"/>
      <c r="EC186" s="55"/>
      <c r="ED186" s="55"/>
      <c r="EE186" s="55"/>
      <c r="EF186" s="55"/>
      <c r="EG186" s="55"/>
      <c r="EH186" s="55"/>
      <c r="EI186" s="55"/>
      <c r="EJ186" s="55"/>
      <c r="EK186" s="55"/>
      <c r="EL186" s="55"/>
      <c r="EM186" s="55"/>
      <c r="EN186" s="55"/>
      <c r="EO186" s="55"/>
      <c r="EP186" s="55"/>
      <c r="EQ186" s="55"/>
      <c r="ER186" s="55"/>
      <c r="ES186" s="55"/>
      <c r="ET186" s="55"/>
      <c r="EU186" s="55"/>
      <c r="EV186" s="55"/>
      <c r="EW186" s="55"/>
      <c r="EX186" s="55"/>
      <c r="EY186" s="55"/>
      <c r="EZ186" s="55"/>
      <c r="FA186" s="55"/>
      <c r="FB186" s="55"/>
      <c r="FC186" s="55"/>
      <c r="FD186" s="55"/>
      <c r="FE186" s="55"/>
      <c r="FF186" s="55"/>
      <c r="FG186" s="55"/>
      <c r="FH186" s="55"/>
      <c r="FI186" s="55"/>
      <c r="FJ186" s="55"/>
      <c r="FK186" s="55"/>
      <c r="FL186" s="55"/>
      <c r="FM186" s="55"/>
      <c r="FN186" s="55"/>
      <c r="FO186" s="55"/>
      <c r="FP186" s="55"/>
      <c r="FQ186" s="55"/>
      <c r="FR186" s="55"/>
      <c r="FS186" s="55"/>
      <c r="FT186" s="55"/>
      <c r="FU186" s="55"/>
      <c r="FV186" s="55"/>
      <c r="FW186" s="55"/>
      <c r="FX186" s="55"/>
      <c r="FY186" s="55"/>
      <c r="FZ186" s="55"/>
      <c r="GA186" s="55"/>
      <c r="GB186" s="55"/>
      <c r="GC186" s="55"/>
      <c r="GD186" s="55"/>
      <c r="GE186" s="55"/>
      <c r="GF186" s="55"/>
      <c r="GG186" s="55"/>
      <c r="GH186" s="55"/>
      <c r="GI186" s="55"/>
      <c r="GJ186" s="55"/>
      <c r="GK186" s="55"/>
      <c r="GL186" s="55"/>
      <c r="GM186" s="55"/>
      <c r="GN186" s="55"/>
      <c r="GO186" s="55"/>
      <c r="GP186" s="55"/>
      <c r="GQ186" s="55"/>
      <c r="GR186" s="55"/>
      <c r="GS186" s="55"/>
      <c r="GT186" s="55"/>
      <c r="GU186" s="55"/>
      <c r="GV186" s="55"/>
      <c r="GW186" s="55"/>
      <c r="GX186" s="55"/>
      <c r="GY186" s="19">
        <v>0.96663773985150914</v>
      </c>
      <c r="GZ186" s="53">
        <v>1002.5</v>
      </c>
      <c r="HA186" s="53">
        <v>1037.0999999999999</v>
      </c>
      <c r="HB186" s="55"/>
      <c r="HC186" s="55"/>
      <c r="HD186" s="55"/>
      <c r="HE186" s="55"/>
      <c r="HF186" s="53">
        <v>993.4</v>
      </c>
      <c r="HG186" s="53">
        <v>966.9</v>
      </c>
      <c r="HH186" s="53">
        <v>356.8</v>
      </c>
      <c r="HI186" s="53">
        <v>131.6</v>
      </c>
      <c r="HJ186" s="53">
        <v>461.4</v>
      </c>
      <c r="HK186" s="53">
        <v>17.100000000000001</v>
      </c>
      <c r="HL186" s="53">
        <v>26.5</v>
      </c>
      <c r="HM186" s="55"/>
      <c r="HN186" s="55"/>
      <c r="HO186" s="55"/>
      <c r="HP186" s="53" t="e">
        <v>#VALUE!</v>
      </c>
      <c r="HQ186" s="53">
        <v>4.5</v>
      </c>
      <c r="HR186" s="53">
        <v>9.9</v>
      </c>
      <c r="HS186" s="53" t="e">
        <v>#VALUE!</v>
      </c>
      <c r="HT186" s="53">
        <v>10.3</v>
      </c>
      <c r="HU186" s="55"/>
      <c r="HV186" s="55"/>
      <c r="HW186" s="53">
        <v>255</v>
      </c>
      <c r="HX186" s="53" t="e">
        <v>#VALUE!</v>
      </c>
      <c r="HY186" s="53">
        <v>255</v>
      </c>
      <c r="HZ186" s="53">
        <v>51.7</v>
      </c>
      <c r="IA186" s="53">
        <v>169.4</v>
      </c>
      <c r="IB186" s="53" t="e">
        <v>#VALUE!</v>
      </c>
      <c r="IC186" s="53" t="e">
        <v>#VALUE!</v>
      </c>
      <c r="ID186" s="53" t="e">
        <v>#VALUE!</v>
      </c>
      <c r="IE186" s="53" t="e">
        <v>#VALUE!</v>
      </c>
      <c r="IF186" s="53" t="e">
        <v>#VALUE!</v>
      </c>
      <c r="IG186" s="53">
        <v>22.2</v>
      </c>
      <c r="IH186" s="55"/>
      <c r="II186" s="55"/>
      <c r="IJ186" s="55"/>
      <c r="IK186" s="55"/>
      <c r="IL186" s="55"/>
      <c r="IM186" s="55"/>
      <c r="IN186" s="53">
        <v>104.2</v>
      </c>
      <c r="IO186" s="53">
        <v>107.7</v>
      </c>
      <c r="IP186" s="53" t="e">
        <v>#VALUE!</v>
      </c>
      <c r="IQ186" s="53">
        <v>42.5</v>
      </c>
      <c r="IR186" s="53">
        <v>16.899999999999999</v>
      </c>
      <c r="IS186" s="53" t="e">
        <v>#VALUE!</v>
      </c>
      <c r="IT186" s="53">
        <v>20.6</v>
      </c>
      <c r="IU186" s="53" t="e">
        <v>#VALUE!</v>
      </c>
      <c r="IV186" s="53" t="e">
        <v>#VALUE!</v>
      </c>
      <c r="IY186" s="48">
        <f t="shared" si="8"/>
        <v>47.240693230012042</v>
      </c>
      <c r="IZ186" s="48">
        <f>IY186-'NOPA Crush'!J186</f>
        <v>-3.9306769987959456E-2</v>
      </c>
      <c r="JB186" s="63">
        <f t="shared" si="6"/>
        <v>10.992198544426408</v>
      </c>
      <c r="JC186" s="64">
        <f>JB186-'NOPA Crush'!O186</f>
        <v>-4.7801455573591056E-2</v>
      </c>
      <c r="JD186" s="65"/>
      <c r="JE186" s="67">
        <f t="shared" si="7"/>
        <v>1116.8</v>
      </c>
      <c r="JF186" s="68">
        <f>'NOPA Crush'!Q186/'Census Crush'!JE186</f>
        <v>0.43483524355300862</v>
      </c>
    </row>
    <row r="187" spans="1:266">
      <c r="A187" s="39">
        <v>34731</v>
      </c>
      <c r="B187" s="51">
        <v>3495.3</v>
      </c>
      <c r="C187" s="51">
        <v>3429.6</v>
      </c>
      <c r="D187" s="51">
        <v>360.5</v>
      </c>
      <c r="E187" s="51">
        <v>2197.8000000000002</v>
      </c>
      <c r="F187" s="51">
        <v>33.9</v>
      </c>
      <c r="G187" s="51" t="s">
        <v>264</v>
      </c>
      <c r="H187" s="51" t="s">
        <v>264</v>
      </c>
      <c r="I187" s="51" t="s">
        <v>264</v>
      </c>
      <c r="J187" s="51" t="s">
        <v>264</v>
      </c>
      <c r="K187" s="51">
        <v>1288.5999999999999</v>
      </c>
      <c r="L187" s="49">
        <v>1128.8</v>
      </c>
      <c r="M187" s="51">
        <v>876.7</v>
      </c>
      <c r="N187" s="51">
        <v>252.1</v>
      </c>
      <c r="O187" s="51">
        <v>115.6</v>
      </c>
      <c r="P187" s="51">
        <v>150.5</v>
      </c>
      <c r="Q187" s="51">
        <v>46</v>
      </c>
      <c r="R187" s="51">
        <v>104.5</v>
      </c>
      <c r="S187" s="51"/>
      <c r="T187" s="51">
        <v>28.6</v>
      </c>
      <c r="U187" s="51">
        <v>16.2</v>
      </c>
      <c r="V187" s="51">
        <v>12.8</v>
      </c>
      <c r="W187" s="51">
        <v>3.4</v>
      </c>
      <c r="X187" s="51" t="s">
        <v>264</v>
      </c>
      <c r="Y187" s="51" t="s">
        <v>264</v>
      </c>
      <c r="Z187" s="49">
        <v>148.1</v>
      </c>
      <c r="AA187" s="51">
        <v>143.4</v>
      </c>
      <c r="AB187" s="51">
        <v>4.7</v>
      </c>
      <c r="AC187" s="51" t="s">
        <v>264</v>
      </c>
      <c r="AD187" s="51">
        <v>13.2</v>
      </c>
      <c r="AE187" s="51"/>
      <c r="AF187" s="51">
        <v>63.1</v>
      </c>
      <c r="AG187" s="51">
        <v>45.6</v>
      </c>
      <c r="AH187" s="51">
        <v>17.5</v>
      </c>
      <c r="AI187" s="51">
        <v>165.3</v>
      </c>
      <c r="AJ187" s="51"/>
      <c r="AK187" s="51"/>
      <c r="AL187" s="51">
        <v>105.5</v>
      </c>
      <c r="AM187" s="51">
        <v>65.7</v>
      </c>
      <c r="AN187" s="51">
        <v>39.799999999999997</v>
      </c>
      <c r="AO187" s="51">
        <v>2572.6999999999998</v>
      </c>
      <c r="AP187" s="51">
        <v>182.9</v>
      </c>
      <c r="AQ187" s="51">
        <v>186.3</v>
      </c>
      <c r="AR187" s="51">
        <v>44.2</v>
      </c>
      <c r="AS187" s="51">
        <v>162.19999999999999</v>
      </c>
      <c r="AT187" s="51">
        <v>99.2</v>
      </c>
      <c r="AU187" s="51">
        <v>100.1</v>
      </c>
      <c r="AV187" s="51">
        <v>46.2</v>
      </c>
      <c r="AW187" s="51">
        <v>17.899999999999999</v>
      </c>
      <c r="AX187" s="51" t="s">
        <v>264</v>
      </c>
      <c r="AY187" s="51" t="s">
        <v>264</v>
      </c>
      <c r="AZ187" s="51" t="s">
        <v>264</v>
      </c>
      <c r="BA187" s="51" t="s">
        <v>264</v>
      </c>
      <c r="BB187" s="51" t="s">
        <v>264</v>
      </c>
      <c r="BC187" s="51"/>
      <c r="BD187" s="53">
        <v>118.9</v>
      </c>
      <c r="BE187" s="53">
        <v>45.3</v>
      </c>
      <c r="BF187" s="55"/>
      <c r="BG187" s="55"/>
      <c r="BH187" s="53">
        <v>295.8</v>
      </c>
      <c r="BI187" s="55"/>
      <c r="BJ187" s="55"/>
      <c r="BK187" s="53">
        <v>221.8</v>
      </c>
      <c r="BL187" s="53">
        <v>3</v>
      </c>
      <c r="BM187" s="53">
        <v>520.6</v>
      </c>
      <c r="BN187" s="53">
        <v>294.39999999999998</v>
      </c>
      <c r="BO187" s="55"/>
      <c r="BP187" s="55"/>
      <c r="BQ187" s="53">
        <v>114.5</v>
      </c>
      <c r="BR187" s="53">
        <v>9.8000000000000007</v>
      </c>
      <c r="BS187" s="53">
        <v>418.7</v>
      </c>
      <c r="BT187" s="52" t="s">
        <v>264</v>
      </c>
      <c r="BU187" s="53">
        <v>46.4</v>
      </c>
      <c r="BV187" s="51">
        <v>352.3</v>
      </c>
      <c r="BW187" s="51">
        <v>96</v>
      </c>
      <c r="BX187" s="51">
        <v>451.6</v>
      </c>
      <c r="BY187" s="51">
        <v>39.299999999999997</v>
      </c>
      <c r="BZ187" s="51">
        <v>11.2</v>
      </c>
      <c r="CA187" s="49">
        <v>50.5</v>
      </c>
      <c r="CB187" s="55"/>
      <c r="CC187" s="55"/>
      <c r="CD187" s="55"/>
      <c r="CE187" s="55"/>
      <c r="CF187" s="53">
        <v>108.1</v>
      </c>
      <c r="CG187" s="53">
        <v>117.2</v>
      </c>
      <c r="CH187" s="53">
        <v>14.1</v>
      </c>
      <c r="CI187" s="55"/>
      <c r="CJ187" s="55"/>
      <c r="CK187" s="55"/>
      <c r="CL187" s="55"/>
      <c r="CM187" s="55"/>
      <c r="CN187" s="53">
        <v>40.4</v>
      </c>
      <c r="CO187" s="52">
        <v>168.1</v>
      </c>
      <c r="CP187" s="53">
        <v>113.1</v>
      </c>
      <c r="CQ187" s="53">
        <v>55</v>
      </c>
      <c r="CR187" s="52" t="s">
        <v>264</v>
      </c>
      <c r="CS187" s="52">
        <v>31.1</v>
      </c>
      <c r="CT187" s="52">
        <v>20</v>
      </c>
      <c r="CU187" s="52">
        <v>11.1</v>
      </c>
      <c r="CV187" s="52">
        <v>31.2</v>
      </c>
      <c r="CW187" s="53">
        <v>9.5</v>
      </c>
      <c r="CX187" s="53">
        <v>21.7</v>
      </c>
      <c r="CY187" s="53">
        <v>10.199999999999999</v>
      </c>
      <c r="CZ187" s="53">
        <v>77</v>
      </c>
      <c r="DA187" s="52">
        <v>51.699999999999996</v>
      </c>
      <c r="DB187" s="53">
        <v>50.8</v>
      </c>
      <c r="DC187" s="53">
        <v>0.9</v>
      </c>
      <c r="DD187" s="55"/>
      <c r="DE187" s="55"/>
      <c r="DF187" s="55"/>
      <c r="DG187" s="53">
        <v>118.364</v>
      </c>
      <c r="DH187" s="55"/>
      <c r="DI187" s="53">
        <v>662.21699999999998</v>
      </c>
      <c r="DJ187" s="53">
        <v>200.404</v>
      </c>
      <c r="DK187" s="55"/>
      <c r="DL187" s="53">
        <v>154.488</v>
      </c>
      <c r="DM187" s="53">
        <v>229.80600000000001</v>
      </c>
      <c r="DN187" s="55"/>
      <c r="DO187" s="53">
        <v>209.30699999999999</v>
      </c>
      <c r="DP187" s="53">
        <v>252.56399999999999</v>
      </c>
      <c r="DQ187" s="55"/>
      <c r="DR187" s="55"/>
      <c r="DS187" s="53">
        <v>855.73800000000006</v>
      </c>
      <c r="DT187" s="53">
        <v>3495.3139999999999</v>
      </c>
      <c r="DU187" s="53">
        <v>-930.78999999999951</v>
      </c>
      <c r="DV187" s="53">
        <v>1.3999999999668944E-2</v>
      </c>
      <c r="DW187" s="55"/>
      <c r="DX187" s="55"/>
      <c r="DY187" s="55"/>
      <c r="DZ187" s="55"/>
      <c r="EA187" s="55"/>
      <c r="EB187" s="55"/>
      <c r="EC187" s="55"/>
      <c r="ED187" s="55"/>
      <c r="EE187" s="55"/>
      <c r="EF187" s="55"/>
      <c r="EG187" s="55"/>
      <c r="EH187" s="55"/>
      <c r="EI187" s="55"/>
      <c r="EJ187" s="55"/>
      <c r="EK187" s="55"/>
      <c r="EL187" s="55"/>
      <c r="EM187" s="55"/>
      <c r="EN187" s="55"/>
      <c r="EO187" s="55"/>
      <c r="EP187" s="55"/>
      <c r="EQ187" s="55"/>
      <c r="ER187" s="55"/>
      <c r="ES187" s="55"/>
      <c r="ET187" s="55"/>
      <c r="EU187" s="55"/>
      <c r="EV187" s="55"/>
      <c r="EW187" s="55"/>
      <c r="EX187" s="55"/>
      <c r="EY187" s="55"/>
      <c r="EZ187" s="55"/>
      <c r="FA187" s="55"/>
      <c r="FB187" s="55"/>
      <c r="FC187" s="55"/>
      <c r="FD187" s="55"/>
      <c r="FE187" s="55"/>
      <c r="FF187" s="55"/>
      <c r="FG187" s="55"/>
      <c r="FH187" s="55"/>
      <c r="FI187" s="55"/>
      <c r="FJ187" s="55"/>
      <c r="FK187" s="55"/>
      <c r="FL187" s="55"/>
      <c r="FM187" s="55"/>
      <c r="FN187" s="55"/>
      <c r="FO187" s="55"/>
      <c r="FP187" s="55"/>
      <c r="FQ187" s="55"/>
      <c r="FR187" s="55"/>
      <c r="FS187" s="55"/>
      <c r="FT187" s="55"/>
      <c r="FU187" s="55"/>
      <c r="FV187" s="55"/>
      <c r="FW187" s="55"/>
      <c r="FX187" s="55"/>
      <c r="FY187" s="55"/>
      <c r="FZ187" s="55"/>
      <c r="GA187" s="55"/>
      <c r="GB187" s="55"/>
      <c r="GC187" s="55"/>
      <c r="GD187" s="55"/>
      <c r="GE187" s="55"/>
      <c r="GF187" s="55"/>
      <c r="GG187" s="55"/>
      <c r="GH187" s="55"/>
      <c r="GI187" s="55"/>
      <c r="GJ187" s="55"/>
      <c r="GK187" s="55"/>
      <c r="GL187" s="55"/>
      <c r="GM187" s="55"/>
      <c r="GN187" s="55"/>
      <c r="GO187" s="55"/>
      <c r="GP187" s="55"/>
      <c r="GQ187" s="55"/>
      <c r="GR187" s="55"/>
      <c r="GS187" s="55"/>
      <c r="GT187" s="55"/>
      <c r="GU187" s="55"/>
      <c r="GV187" s="55"/>
      <c r="GW187" s="55"/>
      <c r="GX187" s="55"/>
      <c r="GY187" s="19">
        <v>0.96732940353681696</v>
      </c>
      <c r="GZ187" s="53">
        <v>968.2</v>
      </c>
      <c r="HA187" s="53">
        <v>1000.9</v>
      </c>
      <c r="HB187" s="55"/>
      <c r="HC187" s="55"/>
      <c r="HD187" s="55"/>
      <c r="HE187" s="55"/>
      <c r="HF187" s="53">
        <v>952.2</v>
      </c>
      <c r="HG187" s="53">
        <v>925.7</v>
      </c>
      <c r="HH187" s="53">
        <v>342.1</v>
      </c>
      <c r="HI187" s="53">
        <v>125.9</v>
      </c>
      <c r="HJ187" s="53">
        <v>439.6</v>
      </c>
      <c r="HK187" s="53">
        <v>18.100000000000001</v>
      </c>
      <c r="HL187" s="53">
        <v>26.5</v>
      </c>
      <c r="HM187" s="55"/>
      <c r="HN187" s="55"/>
      <c r="HO187" s="55"/>
      <c r="HP187" s="53" t="e">
        <v>#VALUE!</v>
      </c>
      <c r="HQ187" s="53">
        <v>4.5999999999999996</v>
      </c>
      <c r="HR187" s="53">
        <v>9.1</v>
      </c>
      <c r="HS187" s="53" t="e">
        <v>#VALUE!</v>
      </c>
      <c r="HT187" s="53">
        <v>10.8</v>
      </c>
      <c r="HU187" s="55"/>
      <c r="HV187" s="55"/>
      <c r="HW187" s="53">
        <v>258.5</v>
      </c>
      <c r="HX187" s="53" t="e">
        <v>#VALUE!</v>
      </c>
      <c r="HY187" s="53">
        <v>258.5</v>
      </c>
      <c r="HZ187" s="53">
        <v>58.1</v>
      </c>
      <c r="IA187" s="53">
        <v>167.9</v>
      </c>
      <c r="IB187" s="53" t="e">
        <v>#VALUE!</v>
      </c>
      <c r="IC187" s="53" t="e">
        <v>#VALUE!</v>
      </c>
      <c r="ID187" s="53" t="e">
        <v>#VALUE!</v>
      </c>
      <c r="IE187" s="53" t="e">
        <v>#VALUE!</v>
      </c>
      <c r="IF187" s="53" t="e">
        <v>#VALUE!</v>
      </c>
      <c r="IG187" s="53">
        <v>20.5</v>
      </c>
      <c r="IH187" s="55"/>
      <c r="II187" s="55"/>
      <c r="IJ187" s="55"/>
      <c r="IK187" s="55"/>
      <c r="IL187" s="55"/>
      <c r="IM187" s="55"/>
      <c r="IN187" s="53">
        <v>84.4</v>
      </c>
      <c r="IO187" s="53">
        <v>87.1</v>
      </c>
      <c r="IP187" s="53" t="e">
        <v>#VALUE!</v>
      </c>
      <c r="IQ187" s="53">
        <v>38.9</v>
      </c>
      <c r="IR187" s="53">
        <v>15.3</v>
      </c>
      <c r="IS187" s="53" t="e">
        <v>#VALUE!</v>
      </c>
      <c r="IT187" s="53">
        <v>18.7</v>
      </c>
      <c r="IU187" s="53" t="e">
        <v>#VALUE!</v>
      </c>
      <c r="IV187" s="53" t="e">
        <v>#VALUE!</v>
      </c>
      <c r="IY187" s="48">
        <f t="shared" si="8"/>
        <v>47.360741567247445</v>
      </c>
      <c r="IZ187" s="48">
        <f>IY187-'NOPA Crush'!J187</f>
        <v>7.4156724744511848E-4</v>
      </c>
      <c r="JB187" s="63">
        <f t="shared" si="6"/>
        <v>11.059994850227447</v>
      </c>
      <c r="JC187" s="64">
        <f>JB187-'NOPA Crush'!O187</f>
        <v>-5.0005149772552215E-2</v>
      </c>
      <c r="JD187" s="65"/>
      <c r="JE187" s="67">
        <f t="shared" si="7"/>
        <v>1128.8</v>
      </c>
      <c r="JF187" s="68">
        <f>'NOPA Crush'!Q187/'Census Crush'!JE187</f>
        <v>0.42135364989369245</v>
      </c>
    </row>
    <row r="188" spans="1:266">
      <c r="A188" s="39">
        <v>34759</v>
      </c>
      <c r="B188" s="51">
        <v>3841.7</v>
      </c>
      <c r="C188" s="51">
        <v>3378.1</v>
      </c>
      <c r="D188" s="51">
        <v>391</v>
      </c>
      <c r="E188" s="51">
        <v>1865.9</v>
      </c>
      <c r="F188" s="51">
        <v>50.5</v>
      </c>
      <c r="G188" s="51" t="s">
        <v>264</v>
      </c>
      <c r="H188" s="51" t="s">
        <v>264</v>
      </c>
      <c r="I188" s="51" t="s">
        <v>264</v>
      </c>
      <c r="J188" s="51" t="s">
        <v>264</v>
      </c>
      <c r="K188" s="51">
        <v>1419.4</v>
      </c>
      <c r="L188" s="49">
        <v>1059.5</v>
      </c>
      <c r="M188" s="51">
        <v>838.3</v>
      </c>
      <c r="N188" s="51">
        <v>221.2</v>
      </c>
      <c r="O188" s="51">
        <v>125.2</v>
      </c>
      <c r="P188" s="51">
        <v>129.89999999999998</v>
      </c>
      <c r="Q188" s="51">
        <v>44.8</v>
      </c>
      <c r="R188" s="51">
        <v>85.1</v>
      </c>
      <c r="S188" s="51"/>
      <c r="T188" s="51">
        <v>42.7</v>
      </c>
      <c r="U188" s="51">
        <v>18.5</v>
      </c>
      <c r="V188" s="51">
        <v>13.5</v>
      </c>
      <c r="W188" s="51">
        <v>5</v>
      </c>
      <c r="X188" s="51" t="s">
        <v>264</v>
      </c>
      <c r="Y188" s="51" t="s">
        <v>264</v>
      </c>
      <c r="Z188" s="49">
        <v>94</v>
      </c>
      <c r="AA188" s="51">
        <v>89.6</v>
      </c>
      <c r="AB188" s="51">
        <v>4.4000000000000004</v>
      </c>
      <c r="AC188" s="51" t="s">
        <v>264</v>
      </c>
      <c r="AD188" s="51">
        <v>11.8</v>
      </c>
      <c r="AE188" s="51"/>
      <c r="AF188" s="51">
        <v>59.5</v>
      </c>
      <c r="AG188" s="51">
        <v>39</v>
      </c>
      <c r="AH188" s="51">
        <v>20.5</v>
      </c>
      <c r="AI188" s="51">
        <v>231.7</v>
      </c>
      <c r="AJ188" s="51"/>
      <c r="AK188" s="51"/>
      <c r="AL188" s="51">
        <v>154</v>
      </c>
      <c r="AM188" s="51">
        <v>106.9</v>
      </c>
      <c r="AN188" s="51">
        <v>47.1</v>
      </c>
      <c r="AO188" s="51">
        <v>2844.9</v>
      </c>
      <c r="AP188" s="51">
        <v>129.30000000000001</v>
      </c>
      <c r="AQ188" s="51">
        <v>203.6</v>
      </c>
      <c r="AR188" s="51">
        <v>43.8</v>
      </c>
      <c r="AS188" s="51">
        <v>174.3</v>
      </c>
      <c r="AT188" s="51">
        <v>82.8</v>
      </c>
      <c r="AU188" s="51">
        <v>110.7</v>
      </c>
      <c r="AV188" s="51">
        <v>42.7</v>
      </c>
      <c r="AW188" s="51">
        <v>27.5</v>
      </c>
      <c r="AX188" s="51">
        <v>10.4</v>
      </c>
      <c r="AY188" s="51" t="s">
        <v>264</v>
      </c>
      <c r="AZ188" s="51" t="s">
        <v>264</v>
      </c>
      <c r="BA188" s="51" t="s">
        <v>264</v>
      </c>
      <c r="BB188" s="51" t="s">
        <v>264</v>
      </c>
      <c r="BC188" s="51"/>
      <c r="BD188" s="53">
        <v>130</v>
      </c>
      <c r="BE188" s="53">
        <v>45.4</v>
      </c>
      <c r="BF188" s="55"/>
      <c r="BG188" s="55"/>
      <c r="BH188" s="53">
        <v>327.9</v>
      </c>
      <c r="BI188" s="55"/>
      <c r="BJ188" s="55"/>
      <c r="BK188" s="53">
        <v>262.60000000000002</v>
      </c>
      <c r="BL188" s="53">
        <v>3.8</v>
      </c>
      <c r="BM188" s="53">
        <v>594.29999999999995</v>
      </c>
      <c r="BN188" s="53">
        <v>285.2</v>
      </c>
      <c r="BO188" s="55"/>
      <c r="BP188" s="55"/>
      <c r="BQ188" s="53">
        <v>129.1</v>
      </c>
      <c r="BR188" s="53">
        <v>10.3</v>
      </c>
      <c r="BS188" s="53">
        <v>424.59999999999997</v>
      </c>
      <c r="BT188" s="52" t="s">
        <v>264</v>
      </c>
      <c r="BU188" s="53">
        <v>43</v>
      </c>
      <c r="BV188" s="51">
        <v>405.6</v>
      </c>
      <c r="BW188" s="51">
        <v>108.1</v>
      </c>
      <c r="BX188" s="51">
        <v>517.29999999999995</v>
      </c>
      <c r="BY188" s="51">
        <v>41.1</v>
      </c>
      <c r="BZ188" s="51">
        <v>12</v>
      </c>
      <c r="CA188" s="49">
        <v>53.1</v>
      </c>
      <c r="CB188" s="55"/>
      <c r="CC188" s="55"/>
      <c r="CD188" s="55"/>
      <c r="CE188" s="55"/>
      <c r="CF188" s="53">
        <v>123</v>
      </c>
      <c r="CG188" s="53">
        <v>123.4</v>
      </c>
      <c r="CH188" s="53">
        <v>11.7</v>
      </c>
      <c r="CI188" s="55"/>
      <c r="CJ188" s="55"/>
      <c r="CK188" s="55"/>
      <c r="CL188" s="55"/>
      <c r="CM188" s="55"/>
      <c r="CN188" s="53">
        <v>51.7</v>
      </c>
      <c r="CO188" s="52">
        <v>163.69999999999999</v>
      </c>
      <c r="CP188" s="53">
        <v>108.7</v>
      </c>
      <c r="CQ188" s="53">
        <v>55</v>
      </c>
      <c r="CR188" s="52" t="s">
        <v>264</v>
      </c>
      <c r="CS188" s="52">
        <v>35.599999999999994</v>
      </c>
      <c r="CT188" s="52">
        <v>21.9</v>
      </c>
      <c r="CU188" s="52">
        <v>13.7</v>
      </c>
      <c r="CV188" s="52">
        <v>37.799999999999997</v>
      </c>
      <c r="CW188" s="53">
        <v>17</v>
      </c>
      <c r="CX188" s="53">
        <v>20.8</v>
      </c>
      <c r="CY188" s="53">
        <v>10.6</v>
      </c>
      <c r="CZ188" s="53">
        <v>71.599999999999994</v>
      </c>
      <c r="DA188" s="52">
        <v>52.2</v>
      </c>
      <c r="DB188" s="53">
        <v>51.5</v>
      </c>
      <c r="DC188" s="53">
        <v>0.7</v>
      </c>
      <c r="DD188" s="55"/>
      <c r="DE188" s="55"/>
      <c r="DF188" s="55"/>
      <c r="DG188" s="53">
        <v>134.31299999999999</v>
      </c>
      <c r="DH188" s="55"/>
      <c r="DI188" s="53">
        <v>705.28800000000001</v>
      </c>
      <c r="DJ188" s="53">
        <v>228.554</v>
      </c>
      <c r="DK188" s="55"/>
      <c r="DL188" s="53">
        <v>169.92500000000001</v>
      </c>
      <c r="DM188" s="53">
        <v>260.63400000000001</v>
      </c>
      <c r="DN188" s="55"/>
      <c r="DO188" s="53">
        <v>218.309</v>
      </c>
      <c r="DP188" s="53">
        <v>279.14600000000002</v>
      </c>
      <c r="DQ188" s="55"/>
      <c r="DR188" s="55"/>
      <c r="DS188" s="53">
        <v>968.24699999999996</v>
      </c>
      <c r="DT188" s="53">
        <v>3841.6410000000001</v>
      </c>
      <c r="DU188" s="53">
        <v>-1011.538</v>
      </c>
      <c r="DV188" s="53">
        <v>-5.8999999999741704E-2</v>
      </c>
      <c r="DW188" s="55"/>
      <c r="DX188" s="55"/>
      <c r="DY188" s="55"/>
      <c r="DZ188" s="55"/>
      <c r="EA188" s="55"/>
      <c r="EB188" s="55"/>
      <c r="EC188" s="55"/>
      <c r="ED188" s="55"/>
      <c r="EE188" s="55"/>
      <c r="EF188" s="55"/>
      <c r="EG188" s="55"/>
      <c r="EH188" s="55"/>
      <c r="EI188" s="55"/>
      <c r="EJ188" s="55"/>
      <c r="EK188" s="55"/>
      <c r="EL188" s="55"/>
      <c r="EM188" s="55"/>
      <c r="EN188" s="55"/>
      <c r="EO188" s="55"/>
      <c r="EP188" s="55"/>
      <c r="EQ188" s="55"/>
      <c r="ER188" s="55"/>
      <c r="ES188" s="55"/>
      <c r="ET188" s="55"/>
      <c r="EU188" s="55"/>
      <c r="EV188" s="55"/>
      <c r="EW188" s="55"/>
      <c r="EX188" s="55"/>
      <c r="EY188" s="55"/>
      <c r="EZ188" s="55"/>
      <c r="FA188" s="55"/>
      <c r="FB188" s="55"/>
      <c r="FC188" s="55"/>
      <c r="FD188" s="55"/>
      <c r="FE188" s="55"/>
      <c r="FF188" s="55"/>
      <c r="FG188" s="55"/>
      <c r="FH188" s="55"/>
      <c r="FI188" s="55"/>
      <c r="FJ188" s="55"/>
      <c r="FK188" s="55"/>
      <c r="FL188" s="55"/>
      <c r="FM188" s="55"/>
      <c r="FN188" s="55"/>
      <c r="FO188" s="55"/>
      <c r="FP188" s="55"/>
      <c r="FQ188" s="55"/>
      <c r="FR188" s="55"/>
      <c r="FS188" s="55"/>
      <c r="FT188" s="55"/>
      <c r="FU188" s="55"/>
      <c r="FV188" s="55"/>
      <c r="FW188" s="55"/>
      <c r="FX188" s="55"/>
      <c r="FY188" s="55"/>
      <c r="FZ188" s="55"/>
      <c r="GA188" s="55"/>
      <c r="GB188" s="55"/>
      <c r="GC188" s="55"/>
      <c r="GD188" s="55"/>
      <c r="GE188" s="55"/>
      <c r="GF188" s="55"/>
      <c r="GG188" s="55"/>
      <c r="GH188" s="55"/>
      <c r="GI188" s="55"/>
      <c r="GJ188" s="55"/>
      <c r="GK188" s="55"/>
      <c r="GL188" s="55"/>
      <c r="GM188" s="55"/>
      <c r="GN188" s="55"/>
      <c r="GO188" s="55"/>
      <c r="GP188" s="55"/>
      <c r="GQ188" s="55"/>
      <c r="GR188" s="55"/>
      <c r="GS188" s="55"/>
      <c r="GT188" s="55"/>
      <c r="GU188" s="55"/>
      <c r="GV188" s="55"/>
      <c r="GW188" s="55"/>
      <c r="GX188" s="55"/>
      <c r="GY188" s="19">
        <v>0.96858209634823789</v>
      </c>
      <c r="GZ188" s="53">
        <v>1063.5999999999999</v>
      </c>
      <c r="HA188" s="53">
        <v>1098.0999999999999</v>
      </c>
      <c r="HB188" s="55"/>
      <c r="HC188" s="55"/>
      <c r="HD188" s="55"/>
      <c r="HE188" s="55"/>
      <c r="HF188" s="53">
        <v>1094.7</v>
      </c>
      <c r="HG188" s="53">
        <v>1064.8</v>
      </c>
      <c r="HH188" s="53">
        <v>401.1</v>
      </c>
      <c r="HI188" s="53">
        <v>149.4</v>
      </c>
      <c r="HJ188" s="53">
        <v>496</v>
      </c>
      <c r="HK188" s="53">
        <v>18.3</v>
      </c>
      <c r="HL188" s="53">
        <v>29.9</v>
      </c>
      <c r="HM188" s="55"/>
      <c r="HN188" s="55"/>
      <c r="HO188" s="55"/>
      <c r="HP188" s="53" t="e">
        <v>#VALUE!</v>
      </c>
      <c r="HQ188" s="53">
        <v>5.2</v>
      </c>
      <c r="HR188" s="53">
        <v>12.1</v>
      </c>
      <c r="HS188" s="53" t="e">
        <v>#VALUE!</v>
      </c>
      <c r="HT188" s="53">
        <v>10.3</v>
      </c>
      <c r="HU188" s="55"/>
      <c r="HV188" s="55"/>
      <c r="HW188" s="53">
        <v>269.2</v>
      </c>
      <c r="HX188" s="53" t="e">
        <v>#VALUE!</v>
      </c>
      <c r="HY188" s="53">
        <v>269.2</v>
      </c>
      <c r="HZ188" s="53">
        <v>52.7</v>
      </c>
      <c r="IA188" s="53">
        <v>175.1</v>
      </c>
      <c r="IB188" s="53" t="e">
        <v>#VALUE!</v>
      </c>
      <c r="IC188" s="53" t="e">
        <v>#VALUE!</v>
      </c>
      <c r="ID188" s="53" t="e">
        <v>#VALUE!</v>
      </c>
      <c r="IE188" s="53" t="e">
        <v>#VALUE!</v>
      </c>
      <c r="IF188" s="53">
        <v>8.1999999999999993</v>
      </c>
      <c r="IG188" s="53">
        <v>27.9</v>
      </c>
      <c r="IH188" s="55"/>
      <c r="II188" s="55"/>
      <c r="IJ188" s="55"/>
      <c r="IK188" s="55"/>
      <c r="IL188" s="55"/>
      <c r="IM188" s="55"/>
      <c r="IN188" s="53">
        <v>92.6</v>
      </c>
      <c r="IO188" s="53">
        <v>96.2</v>
      </c>
      <c r="IP188" s="53" t="e">
        <v>#VALUE!</v>
      </c>
      <c r="IQ188" s="53">
        <v>47.9</v>
      </c>
      <c r="IR188" s="53">
        <v>19.100000000000001</v>
      </c>
      <c r="IS188" s="53" t="e">
        <v>#VALUE!</v>
      </c>
      <c r="IT188" s="53">
        <v>25.3</v>
      </c>
      <c r="IU188" s="53" t="e">
        <v>#VALUE!</v>
      </c>
      <c r="IV188" s="53" t="e">
        <v>#VALUE!</v>
      </c>
      <c r="IY188" s="48">
        <f t="shared" si="8"/>
        <v>47.611734388421787</v>
      </c>
      <c r="IZ188" s="48">
        <f>IY188-'NOPA Crush'!J188</f>
        <v>0.21173438842178882</v>
      </c>
      <c r="JB188" s="63">
        <f t="shared" si="6"/>
        <v>11.084155452013432</v>
      </c>
      <c r="JC188" s="64">
        <f>JB188-'NOPA Crush'!O188</f>
        <v>-5.5844547986568571E-2</v>
      </c>
      <c r="JD188" s="65"/>
      <c r="JE188" s="67">
        <f t="shared" si="7"/>
        <v>1059.5</v>
      </c>
      <c r="JF188" s="68">
        <f>'NOPA Crush'!Q188/'Census Crush'!JE188</f>
        <v>0.40188673902784328</v>
      </c>
    </row>
    <row r="189" spans="1:266">
      <c r="A189" s="39">
        <v>34790</v>
      </c>
      <c r="B189" s="51">
        <v>3583</v>
      </c>
      <c r="C189" s="51">
        <v>2822.5</v>
      </c>
      <c r="D189" s="51">
        <v>345.4</v>
      </c>
      <c r="E189" s="51">
        <v>1523.8</v>
      </c>
      <c r="F189" s="51">
        <v>42.9</v>
      </c>
      <c r="G189" s="51" t="s">
        <v>264</v>
      </c>
      <c r="H189" s="51" t="s">
        <v>264</v>
      </c>
      <c r="I189" s="51" t="s">
        <v>264</v>
      </c>
      <c r="J189" s="51" t="s">
        <v>264</v>
      </c>
      <c r="K189" s="51">
        <v>1333.4</v>
      </c>
      <c r="L189" s="49">
        <v>1089.5999999999999</v>
      </c>
      <c r="M189" s="51">
        <v>860.5</v>
      </c>
      <c r="N189" s="51">
        <v>229.1</v>
      </c>
      <c r="O189" s="51">
        <v>110.4</v>
      </c>
      <c r="P189" s="51">
        <v>120.80000000000001</v>
      </c>
      <c r="Q189" s="51">
        <v>42.1</v>
      </c>
      <c r="R189" s="51">
        <v>78.7</v>
      </c>
      <c r="S189" s="51"/>
      <c r="T189" s="51">
        <v>36.9</v>
      </c>
      <c r="U189" s="51">
        <v>29.799999999999997</v>
      </c>
      <c r="V189" s="51">
        <v>25.2</v>
      </c>
      <c r="W189" s="51">
        <v>4.5999999999999996</v>
      </c>
      <c r="X189" s="51" t="s">
        <v>264</v>
      </c>
      <c r="Y189" s="51" t="s">
        <v>264</v>
      </c>
      <c r="Z189" s="49">
        <v>46.699999999999996</v>
      </c>
      <c r="AA189" s="51">
        <v>42.9</v>
      </c>
      <c r="AB189" s="51">
        <v>3.8</v>
      </c>
      <c r="AC189" s="51" t="s">
        <v>264</v>
      </c>
      <c r="AD189" s="51">
        <v>8.4</v>
      </c>
      <c r="AE189" s="51"/>
      <c r="AF189" s="51">
        <v>63.2</v>
      </c>
      <c r="AG189" s="51">
        <v>42.9</v>
      </c>
      <c r="AH189" s="51">
        <v>20.3</v>
      </c>
      <c r="AI189" s="51">
        <v>190.7</v>
      </c>
      <c r="AJ189" s="51"/>
      <c r="AK189" s="51"/>
      <c r="AL189" s="51">
        <v>145.30000000000001</v>
      </c>
      <c r="AM189" s="51">
        <v>106.2</v>
      </c>
      <c r="AN189" s="51">
        <v>39.1</v>
      </c>
      <c r="AO189" s="51">
        <v>2632.5</v>
      </c>
      <c r="AP189" s="51">
        <v>325.8</v>
      </c>
      <c r="AQ189" s="51">
        <v>197.3</v>
      </c>
      <c r="AR189" s="51">
        <v>56.9</v>
      </c>
      <c r="AS189" s="51">
        <v>154.19999999999999</v>
      </c>
      <c r="AT189" s="51">
        <v>108.9</v>
      </c>
      <c r="AU189" s="51">
        <v>94.6</v>
      </c>
      <c r="AV189" s="51">
        <v>55.6</v>
      </c>
      <c r="AW189" s="51">
        <v>23.6</v>
      </c>
      <c r="AX189" s="51">
        <v>10</v>
      </c>
      <c r="AY189" s="51" t="s">
        <v>264</v>
      </c>
      <c r="AZ189" s="51" t="s">
        <v>264</v>
      </c>
      <c r="BA189" s="51" t="s">
        <v>264</v>
      </c>
      <c r="BB189" s="51" t="s">
        <v>264</v>
      </c>
      <c r="BC189" s="51"/>
      <c r="BD189" s="53">
        <v>114.1</v>
      </c>
      <c r="BE189" s="53">
        <v>45.1</v>
      </c>
      <c r="BF189" s="55"/>
      <c r="BG189" s="55"/>
      <c r="BH189" s="53">
        <v>292.8</v>
      </c>
      <c r="BI189" s="55"/>
      <c r="BJ189" s="55"/>
      <c r="BK189" s="53">
        <v>230.9</v>
      </c>
      <c r="BL189" s="53">
        <v>3.6</v>
      </c>
      <c r="BM189" s="53">
        <v>527.29999999999995</v>
      </c>
      <c r="BN189" s="53">
        <v>291.8</v>
      </c>
      <c r="BO189" s="55"/>
      <c r="BP189" s="55"/>
      <c r="BQ189" s="53">
        <v>138.69999999999999</v>
      </c>
      <c r="BR189" s="53">
        <v>9.3000000000000007</v>
      </c>
      <c r="BS189" s="53">
        <v>439.8</v>
      </c>
      <c r="BT189" s="52" t="s">
        <v>264</v>
      </c>
      <c r="BU189" s="53">
        <v>36.799999999999997</v>
      </c>
      <c r="BV189" s="51">
        <v>346.5</v>
      </c>
      <c r="BW189" s="51">
        <v>94.2</v>
      </c>
      <c r="BX189" s="51">
        <v>445.5</v>
      </c>
      <c r="BY189" s="51">
        <v>46.9</v>
      </c>
      <c r="BZ189" s="51">
        <v>13.3</v>
      </c>
      <c r="CA189" s="49">
        <v>60.2</v>
      </c>
      <c r="CB189" s="55"/>
      <c r="CC189" s="55"/>
      <c r="CD189" s="55"/>
      <c r="CE189" s="55"/>
      <c r="CF189" s="53">
        <v>111.1</v>
      </c>
      <c r="CG189" s="53">
        <v>132.1</v>
      </c>
      <c r="CH189" s="53">
        <v>10.8</v>
      </c>
      <c r="CI189" s="55"/>
      <c r="CJ189" s="55"/>
      <c r="CK189" s="55"/>
      <c r="CL189" s="55"/>
      <c r="CM189" s="55"/>
      <c r="CN189" s="53">
        <v>48.3</v>
      </c>
      <c r="CO189" s="52">
        <v>148.5</v>
      </c>
      <c r="CP189" s="53">
        <v>104.9</v>
      </c>
      <c r="CQ189" s="53">
        <v>43.6</v>
      </c>
      <c r="CR189" s="52" t="s">
        <v>264</v>
      </c>
      <c r="CS189" s="52">
        <v>37.9</v>
      </c>
      <c r="CT189" s="52">
        <v>23.9</v>
      </c>
      <c r="CU189" s="52">
        <v>14</v>
      </c>
      <c r="CV189" s="52">
        <v>38.299999999999997</v>
      </c>
      <c r="CW189" s="53">
        <v>14.1</v>
      </c>
      <c r="CX189" s="53">
        <v>24.2</v>
      </c>
      <c r="CY189" s="53" t="s">
        <v>264</v>
      </c>
      <c r="CZ189" s="53">
        <v>51.3</v>
      </c>
      <c r="DA189" s="52">
        <v>50</v>
      </c>
      <c r="DB189" s="53">
        <v>48.9</v>
      </c>
      <c r="DC189" s="53">
        <v>1.1000000000000001</v>
      </c>
      <c r="DD189" s="55"/>
      <c r="DE189" s="55"/>
      <c r="DF189" s="55"/>
      <c r="DG189" s="53">
        <v>127.848</v>
      </c>
      <c r="DH189" s="55"/>
      <c r="DI189" s="53">
        <v>646.84400000000005</v>
      </c>
      <c r="DJ189" s="53">
        <v>212.65600000000001</v>
      </c>
      <c r="DK189" s="55"/>
      <c r="DL189" s="53">
        <v>160.54900000000001</v>
      </c>
      <c r="DM189" s="53">
        <v>242.06700000000001</v>
      </c>
      <c r="DN189" s="55"/>
      <c r="DO189" s="53">
        <v>214.12200000000001</v>
      </c>
      <c r="DP189" s="53">
        <v>262.26499999999999</v>
      </c>
      <c r="DQ189" s="55"/>
      <c r="DR189" s="55"/>
      <c r="DS189" s="53">
        <v>899.68399999999997</v>
      </c>
      <c r="DT189" s="53">
        <v>3583.018</v>
      </c>
      <c r="DU189" s="53">
        <v>-944.83100000000013</v>
      </c>
      <c r="DV189" s="53">
        <v>1.8000000000029104E-2</v>
      </c>
      <c r="DW189" s="55"/>
      <c r="DX189" s="55"/>
      <c r="DY189" s="55"/>
      <c r="DZ189" s="55"/>
      <c r="EA189" s="55"/>
      <c r="EB189" s="55"/>
      <c r="EC189" s="55"/>
      <c r="ED189" s="55"/>
      <c r="EE189" s="55"/>
      <c r="EF189" s="55"/>
      <c r="EG189" s="55"/>
      <c r="EH189" s="55"/>
      <c r="EI189" s="55"/>
      <c r="EJ189" s="55"/>
      <c r="EK189" s="55"/>
      <c r="EL189" s="55"/>
      <c r="EM189" s="55"/>
      <c r="EN189" s="55"/>
      <c r="EO189" s="55"/>
      <c r="EP189" s="55"/>
      <c r="EQ189" s="55"/>
      <c r="ER189" s="55"/>
      <c r="ES189" s="55"/>
      <c r="ET189" s="55"/>
      <c r="EU189" s="55"/>
      <c r="EV189" s="55"/>
      <c r="EW189" s="55"/>
      <c r="EX189" s="55"/>
      <c r="EY189" s="55"/>
      <c r="EZ189" s="55"/>
      <c r="FA189" s="55"/>
      <c r="FB189" s="55"/>
      <c r="FC189" s="55"/>
      <c r="FD189" s="55"/>
      <c r="FE189" s="55"/>
      <c r="FF189" s="55"/>
      <c r="FG189" s="55"/>
      <c r="FH189" s="55"/>
      <c r="FI189" s="55"/>
      <c r="FJ189" s="55"/>
      <c r="FK189" s="55"/>
      <c r="FL189" s="55"/>
      <c r="FM189" s="55"/>
      <c r="FN189" s="55"/>
      <c r="FO189" s="55"/>
      <c r="FP189" s="55"/>
      <c r="FQ189" s="55"/>
      <c r="FR189" s="55"/>
      <c r="FS189" s="55"/>
      <c r="FT189" s="55"/>
      <c r="FU189" s="55"/>
      <c r="FV189" s="55"/>
      <c r="FW189" s="55"/>
      <c r="FX189" s="55"/>
      <c r="FY189" s="55"/>
      <c r="FZ189" s="55"/>
      <c r="GA189" s="55"/>
      <c r="GB189" s="55"/>
      <c r="GC189" s="55"/>
      <c r="GD189" s="55"/>
      <c r="GE189" s="55"/>
      <c r="GF189" s="55"/>
      <c r="GG189" s="55"/>
      <c r="GH189" s="55"/>
      <c r="GI189" s="55"/>
      <c r="GJ189" s="55"/>
      <c r="GK189" s="55"/>
      <c r="GL189" s="55"/>
      <c r="GM189" s="55"/>
      <c r="GN189" s="55"/>
      <c r="GO189" s="55"/>
      <c r="GP189" s="55"/>
      <c r="GQ189" s="55"/>
      <c r="GR189" s="55"/>
      <c r="GS189" s="55"/>
      <c r="GT189" s="55"/>
      <c r="GU189" s="55"/>
      <c r="GV189" s="55"/>
      <c r="GW189" s="55"/>
      <c r="GX189" s="55"/>
      <c r="GY189" s="19">
        <v>0.96485867074102361</v>
      </c>
      <c r="GZ189" s="53">
        <v>1010.4</v>
      </c>
      <c r="HA189" s="53">
        <v>1047.2</v>
      </c>
      <c r="HB189" s="55"/>
      <c r="HC189" s="55"/>
      <c r="HD189" s="55"/>
      <c r="HE189" s="55"/>
      <c r="HF189" s="53">
        <v>1008.2</v>
      </c>
      <c r="HG189" s="53">
        <v>980.2</v>
      </c>
      <c r="HH189" s="53">
        <v>356.5</v>
      </c>
      <c r="HI189" s="53">
        <v>126.4</v>
      </c>
      <c r="HJ189" s="53">
        <v>480.4</v>
      </c>
      <c r="HK189" s="53">
        <v>16.899999999999999</v>
      </c>
      <c r="HL189" s="53">
        <v>28</v>
      </c>
      <c r="HM189" s="55"/>
      <c r="HN189" s="55"/>
      <c r="HO189" s="55"/>
      <c r="HP189" s="53" t="e">
        <v>#VALUE!</v>
      </c>
      <c r="HQ189" s="53">
        <v>5.0999999999999996</v>
      </c>
      <c r="HR189" s="53">
        <v>13.6</v>
      </c>
      <c r="HS189" s="53" t="e">
        <v>#VALUE!</v>
      </c>
      <c r="HT189" s="53">
        <v>6.5</v>
      </c>
      <c r="HU189" s="55"/>
      <c r="HV189" s="55"/>
      <c r="HW189" s="53">
        <v>260</v>
      </c>
      <c r="HX189" s="53" t="e">
        <v>#VALUE!</v>
      </c>
      <c r="HY189" s="53">
        <v>260</v>
      </c>
      <c r="HZ189" s="53">
        <v>60.3</v>
      </c>
      <c r="IA189" s="53">
        <v>170</v>
      </c>
      <c r="IB189" s="53" t="e">
        <v>#VALUE!</v>
      </c>
      <c r="IC189" s="53" t="e">
        <v>#VALUE!</v>
      </c>
      <c r="ID189" s="53" t="e">
        <v>#VALUE!</v>
      </c>
      <c r="IE189" s="53" t="e">
        <v>#VALUE!</v>
      </c>
      <c r="IF189" s="53">
        <v>7.3</v>
      </c>
      <c r="IG189" s="53">
        <v>18.399999999999999</v>
      </c>
      <c r="IH189" s="55"/>
      <c r="II189" s="55"/>
      <c r="IJ189" s="55"/>
      <c r="IK189" s="55"/>
      <c r="IL189" s="55"/>
      <c r="IM189" s="55"/>
      <c r="IN189" s="53">
        <v>84.2</v>
      </c>
      <c r="IO189" s="53">
        <v>87.2</v>
      </c>
      <c r="IP189" s="53" t="e">
        <v>#VALUE!</v>
      </c>
      <c r="IQ189" s="53">
        <v>43.8</v>
      </c>
      <c r="IR189" s="53">
        <v>16</v>
      </c>
      <c r="IS189" s="53" t="e">
        <v>#VALUE!</v>
      </c>
      <c r="IT189" s="53">
        <v>24</v>
      </c>
      <c r="IU189" s="53" t="e">
        <v>#VALUE!</v>
      </c>
      <c r="IV189" s="53" t="e">
        <v>#VALUE!</v>
      </c>
      <c r="IY189" s="48">
        <f t="shared" si="8"/>
        <v>47.387105777281612</v>
      </c>
      <c r="IZ189" s="48">
        <f>IY189-'NOPA Crush'!J189</f>
        <v>0.58710577728161439</v>
      </c>
      <c r="JB189" s="63">
        <f t="shared" si="6"/>
        <v>11.164387384873011</v>
      </c>
      <c r="JC189" s="64">
        <f>JB189-'NOPA Crush'!O189</f>
        <v>-4.5612615126989553E-2</v>
      </c>
      <c r="JD189" s="65"/>
      <c r="JE189" s="67">
        <f t="shared" si="7"/>
        <v>1089.5999999999999</v>
      </c>
      <c r="JF189" s="68">
        <f>'NOPA Crush'!Q189/'Census Crush'!JE189</f>
        <v>0.42176762114537447</v>
      </c>
    </row>
    <row r="190" spans="1:266">
      <c r="A190" s="39">
        <v>34820</v>
      </c>
      <c r="B190" s="51">
        <v>3425.2</v>
      </c>
      <c r="C190" s="51">
        <v>2434.6999999999998</v>
      </c>
      <c r="D190" s="51">
        <v>304</v>
      </c>
      <c r="E190" s="51">
        <v>1220.4000000000001</v>
      </c>
      <c r="F190" s="51">
        <v>47.1</v>
      </c>
      <c r="G190" s="51" t="s">
        <v>264</v>
      </c>
      <c r="H190" s="51" t="s">
        <v>264</v>
      </c>
      <c r="I190" s="51" t="s">
        <v>264</v>
      </c>
      <c r="J190" s="51" t="s">
        <v>264</v>
      </c>
      <c r="K190" s="51">
        <v>1275.3</v>
      </c>
      <c r="L190" s="49">
        <v>1130.4000000000001</v>
      </c>
      <c r="M190" s="51">
        <v>893.9</v>
      </c>
      <c r="N190" s="51">
        <v>236.5</v>
      </c>
      <c r="O190" s="51">
        <v>97.7</v>
      </c>
      <c r="P190" s="51">
        <v>95.699999999999989</v>
      </c>
      <c r="Q190" s="51">
        <v>28.9</v>
      </c>
      <c r="R190" s="51">
        <v>66.8</v>
      </c>
      <c r="S190" s="51"/>
      <c r="T190" s="51">
        <v>39.200000000000003</v>
      </c>
      <c r="U190" s="51">
        <v>44.6</v>
      </c>
      <c r="V190" s="51">
        <v>41.2</v>
      </c>
      <c r="W190" s="51">
        <v>3.4</v>
      </c>
      <c r="X190" s="51" t="s">
        <v>264</v>
      </c>
      <c r="Y190" s="51">
        <v>3.4</v>
      </c>
      <c r="Z190" s="49">
        <v>78.599999999999994</v>
      </c>
      <c r="AA190" s="51">
        <v>74.3</v>
      </c>
      <c r="AB190" s="51">
        <v>4.3</v>
      </c>
      <c r="AC190" s="51" t="s">
        <v>264</v>
      </c>
      <c r="AD190" s="51">
        <v>13.3</v>
      </c>
      <c r="AE190" s="51"/>
      <c r="AF190" s="51">
        <v>44.900000000000006</v>
      </c>
      <c r="AG190" s="51">
        <v>24.3</v>
      </c>
      <c r="AH190" s="51">
        <v>20.6</v>
      </c>
      <c r="AI190" s="51">
        <v>194.4</v>
      </c>
      <c r="AJ190" s="51"/>
      <c r="AK190" s="51"/>
      <c r="AL190" s="51">
        <v>196.4</v>
      </c>
      <c r="AM190" s="51">
        <v>128</v>
      </c>
      <c r="AN190" s="51">
        <v>68.400000000000006</v>
      </c>
      <c r="AO190" s="51">
        <v>2519.8000000000002</v>
      </c>
      <c r="AP190" s="51">
        <v>284.8</v>
      </c>
      <c r="AQ190" s="51">
        <v>178.1</v>
      </c>
      <c r="AR190" s="51">
        <v>52.8</v>
      </c>
      <c r="AS190" s="51">
        <v>137.4</v>
      </c>
      <c r="AT190" s="51">
        <v>91</v>
      </c>
      <c r="AU190" s="51">
        <v>81.400000000000006</v>
      </c>
      <c r="AV190" s="51">
        <v>41.2</v>
      </c>
      <c r="AW190" s="51">
        <v>26.6</v>
      </c>
      <c r="AX190" s="51">
        <v>9.6</v>
      </c>
      <c r="AY190" s="51" t="s">
        <v>264</v>
      </c>
      <c r="AZ190" s="51" t="s">
        <v>264</v>
      </c>
      <c r="BA190" s="51" t="s">
        <v>264</v>
      </c>
      <c r="BB190" s="51" t="s">
        <v>264</v>
      </c>
      <c r="BC190" s="51"/>
      <c r="BD190" s="53">
        <v>151.30000000000001</v>
      </c>
      <c r="BE190" s="53">
        <v>52.9</v>
      </c>
      <c r="BF190" s="55"/>
      <c r="BG190" s="55"/>
      <c r="BH190" s="53">
        <v>335.9</v>
      </c>
      <c r="BI190" s="55"/>
      <c r="BJ190" s="55"/>
      <c r="BK190" s="53">
        <v>262.8</v>
      </c>
      <c r="BL190" s="53">
        <v>3.8</v>
      </c>
      <c r="BM190" s="53">
        <v>602.5</v>
      </c>
      <c r="BN190" s="53">
        <v>241.2</v>
      </c>
      <c r="BO190" s="55"/>
      <c r="BP190" s="55"/>
      <c r="BQ190" s="53">
        <v>113.9</v>
      </c>
      <c r="BR190" s="53">
        <v>9</v>
      </c>
      <c r="BS190" s="53">
        <v>364.1</v>
      </c>
      <c r="BT190" s="52" t="s">
        <v>264</v>
      </c>
      <c r="BU190" s="53">
        <v>27.1</v>
      </c>
      <c r="BV190" s="51">
        <v>423.8</v>
      </c>
      <c r="BW190" s="51">
        <v>119.2</v>
      </c>
      <c r="BX190" s="51">
        <v>547.5</v>
      </c>
      <c r="BY190" s="51">
        <v>54.1</v>
      </c>
      <c r="BZ190" s="51">
        <v>14.2</v>
      </c>
      <c r="CA190" s="49">
        <v>68.3</v>
      </c>
      <c r="CB190" s="55"/>
      <c r="CC190" s="55"/>
      <c r="CD190" s="55"/>
      <c r="CE190" s="55"/>
      <c r="CF190" s="53">
        <v>116.5</v>
      </c>
      <c r="CG190" s="53">
        <v>118.1</v>
      </c>
      <c r="CH190" s="53">
        <v>10.199999999999999</v>
      </c>
      <c r="CI190" s="55"/>
      <c r="CJ190" s="55"/>
      <c r="CK190" s="55"/>
      <c r="CL190" s="55"/>
      <c r="CM190" s="55"/>
      <c r="CN190" s="53">
        <v>45.2</v>
      </c>
      <c r="CO190" s="52">
        <v>183.6</v>
      </c>
      <c r="CP190" s="53">
        <v>114.1</v>
      </c>
      <c r="CQ190" s="53">
        <v>69.5</v>
      </c>
      <c r="CR190" s="52" t="s">
        <v>264</v>
      </c>
      <c r="CS190" s="52">
        <v>44.7</v>
      </c>
      <c r="CT190" s="52">
        <v>29.4</v>
      </c>
      <c r="CU190" s="52">
        <v>15.3</v>
      </c>
      <c r="CV190" s="52">
        <v>33</v>
      </c>
      <c r="CW190" s="53">
        <v>9.8000000000000007</v>
      </c>
      <c r="CX190" s="53">
        <v>23.2</v>
      </c>
      <c r="CY190" s="53" t="s">
        <v>264</v>
      </c>
      <c r="CZ190" s="53">
        <v>55.3</v>
      </c>
      <c r="DA190" s="52">
        <v>40.200000000000003</v>
      </c>
      <c r="DB190" s="53">
        <v>39.700000000000003</v>
      </c>
      <c r="DC190" s="53">
        <v>0.5</v>
      </c>
      <c r="DD190" s="55"/>
      <c r="DE190" s="55"/>
      <c r="DF190" s="55"/>
      <c r="DG190" s="53">
        <v>126.41200000000001</v>
      </c>
      <c r="DH190" s="55"/>
      <c r="DI190" s="53">
        <v>573.93899999999996</v>
      </c>
      <c r="DJ190" s="53">
        <v>213.71299999999999</v>
      </c>
      <c r="DK190" s="55"/>
      <c r="DL190" s="53">
        <v>165.965</v>
      </c>
      <c r="DM190" s="53">
        <v>238.55699999999999</v>
      </c>
      <c r="DN190" s="55"/>
      <c r="DO190" s="53">
        <v>201.13200000000001</v>
      </c>
      <c r="DP190" s="53">
        <v>218.12200000000001</v>
      </c>
      <c r="DQ190" s="55"/>
      <c r="DR190" s="55"/>
      <c r="DS190" s="53">
        <v>889.92</v>
      </c>
      <c r="DT190" s="53">
        <v>3425.172</v>
      </c>
      <c r="DU190" s="53">
        <v>-923.82400000000007</v>
      </c>
      <c r="DV190" s="53">
        <v>-2.7999999999792635E-2</v>
      </c>
      <c r="DW190" s="55"/>
      <c r="DX190" s="55"/>
      <c r="DY190" s="55"/>
      <c r="DZ190" s="55"/>
      <c r="EA190" s="55"/>
      <c r="EB190" s="55"/>
      <c r="EC190" s="55"/>
      <c r="ED190" s="55"/>
      <c r="EE190" s="55"/>
      <c r="EF190" s="55"/>
      <c r="EG190" s="55"/>
      <c r="EH190" s="55"/>
      <c r="EI190" s="55"/>
      <c r="EJ190" s="55"/>
      <c r="EK190" s="55"/>
      <c r="EL190" s="55"/>
      <c r="EM190" s="55"/>
      <c r="EN190" s="55"/>
      <c r="EO190" s="55"/>
      <c r="EP190" s="55"/>
      <c r="EQ190" s="55"/>
      <c r="ER190" s="55"/>
      <c r="ES190" s="55"/>
      <c r="ET190" s="55"/>
      <c r="EU190" s="55"/>
      <c r="EV190" s="55"/>
      <c r="EW190" s="55"/>
      <c r="EX190" s="55"/>
      <c r="EY190" s="55"/>
      <c r="EZ190" s="55"/>
      <c r="FA190" s="55"/>
      <c r="FB190" s="55"/>
      <c r="FC190" s="55"/>
      <c r="FD190" s="55"/>
      <c r="FE190" s="55"/>
      <c r="FF190" s="55"/>
      <c r="FG190" s="55"/>
      <c r="FH190" s="55"/>
      <c r="FI190" s="55"/>
      <c r="FJ190" s="55"/>
      <c r="FK190" s="55"/>
      <c r="FL190" s="55"/>
      <c r="FM190" s="55"/>
      <c r="FN190" s="55"/>
      <c r="FO190" s="55"/>
      <c r="FP190" s="55"/>
      <c r="FQ190" s="55"/>
      <c r="FR190" s="55"/>
      <c r="FS190" s="55"/>
      <c r="FT190" s="55"/>
      <c r="FU190" s="55"/>
      <c r="FV190" s="55"/>
      <c r="FW190" s="55"/>
      <c r="FX190" s="55"/>
      <c r="FY190" s="55"/>
      <c r="FZ190" s="55"/>
      <c r="GA190" s="55"/>
      <c r="GB190" s="55"/>
      <c r="GC190" s="55"/>
      <c r="GD190" s="55"/>
      <c r="GE190" s="55"/>
      <c r="GF190" s="55"/>
      <c r="GG190" s="55"/>
      <c r="GH190" s="55"/>
      <c r="GI190" s="55"/>
      <c r="GJ190" s="55"/>
      <c r="GK190" s="55"/>
      <c r="GL190" s="55"/>
      <c r="GM190" s="55"/>
      <c r="GN190" s="55"/>
      <c r="GO190" s="55"/>
      <c r="GP190" s="55"/>
      <c r="GQ190" s="55"/>
      <c r="GR190" s="55"/>
      <c r="GS190" s="55"/>
      <c r="GT190" s="55"/>
      <c r="GU190" s="55"/>
      <c r="GV190" s="55"/>
      <c r="GW190" s="55"/>
      <c r="GX190" s="55"/>
      <c r="GY190" s="19">
        <v>0.96582959641255617</v>
      </c>
      <c r="GZ190" s="53">
        <v>1076.9000000000001</v>
      </c>
      <c r="HA190" s="53">
        <v>1115</v>
      </c>
      <c r="HB190" s="55"/>
      <c r="HC190" s="55"/>
      <c r="HD190" s="55"/>
      <c r="HE190" s="55"/>
      <c r="HF190" s="53">
        <v>1078.4000000000001</v>
      </c>
      <c r="HG190" s="53">
        <v>1052.8</v>
      </c>
      <c r="HH190" s="53">
        <v>406.2</v>
      </c>
      <c r="HI190" s="53">
        <v>144.5</v>
      </c>
      <c r="HJ190" s="53">
        <v>484.3</v>
      </c>
      <c r="HK190" s="53">
        <v>17.8</v>
      </c>
      <c r="HL190" s="53">
        <v>25.6</v>
      </c>
      <c r="HM190" s="55"/>
      <c r="HN190" s="55"/>
      <c r="HO190" s="55"/>
      <c r="HP190" s="53" t="e">
        <v>#VALUE!</v>
      </c>
      <c r="HQ190" s="53">
        <v>4.8</v>
      </c>
      <c r="HR190" s="53">
        <v>10.9</v>
      </c>
      <c r="HS190" s="53" t="e">
        <v>#VALUE!</v>
      </c>
      <c r="HT190" s="53">
        <v>6.9</v>
      </c>
      <c r="HU190" s="55"/>
      <c r="HV190" s="55"/>
      <c r="HW190" s="53">
        <v>289.3</v>
      </c>
      <c r="HX190" s="53" t="e">
        <v>#VALUE!</v>
      </c>
      <c r="HY190" s="53">
        <v>289.3</v>
      </c>
      <c r="HZ190" s="53">
        <v>61.7</v>
      </c>
      <c r="IA190" s="53">
        <v>192.3</v>
      </c>
      <c r="IB190" s="53" t="e">
        <v>#VALUE!</v>
      </c>
      <c r="IC190" s="53" t="e">
        <v>#VALUE!</v>
      </c>
      <c r="ID190" s="53" t="e">
        <v>#VALUE!</v>
      </c>
      <c r="IE190" s="53" t="e">
        <v>#VALUE!</v>
      </c>
      <c r="IF190" s="53" t="e">
        <v>#VALUE!</v>
      </c>
      <c r="IG190" s="53">
        <v>23.7</v>
      </c>
      <c r="IH190" s="55"/>
      <c r="II190" s="55"/>
      <c r="IJ190" s="55"/>
      <c r="IK190" s="55"/>
      <c r="IL190" s="55"/>
      <c r="IM190" s="55"/>
      <c r="IN190" s="53">
        <v>70.099999999999994</v>
      </c>
      <c r="IO190" s="53">
        <v>72.8</v>
      </c>
      <c r="IP190" s="53" t="e">
        <v>#VALUE!</v>
      </c>
      <c r="IQ190" s="53">
        <v>45.1</v>
      </c>
      <c r="IR190" s="53">
        <v>19</v>
      </c>
      <c r="IS190" s="53" t="e">
        <v>#VALUE!</v>
      </c>
      <c r="IT190" s="53">
        <v>21.5</v>
      </c>
      <c r="IU190" s="53" t="e">
        <v>#VALUE!</v>
      </c>
      <c r="IV190" s="53" t="e">
        <v>#VALUE!</v>
      </c>
      <c r="IY190" s="48">
        <f t="shared" si="8"/>
        <v>47.259722060025695</v>
      </c>
      <c r="IZ190" s="48">
        <f>IY190-'NOPA Crush'!J190</f>
        <v>-9.0277939974306776E-2</v>
      </c>
      <c r="JB190" s="63">
        <f t="shared" si="6"/>
        <v>11.169858694382809</v>
      </c>
      <c r="JC190" s="64">
        <f>JB190-'NOPA Crush'!O190</f>
        <v>3.9858694382807869E-2</v>
      </c>
      <c r="JD190" s="65"/>
      <c r="JE190" s="67">
        <f t="shared" si="7"/>
        <v>1130.4000000000001</v>
      </c>
      <c r="JF190" s="68">
        <f>'NOPA Crush'!Q190/'Census Crush'!JE190</f>
        <v>0.39270081387119599</v>
      </c>
    </row>
    <row r="191" spans="1:266">
      <c r="A191" s="39">
        <v>34851</v>
      </c>
      <c r="B191" s="51">
        <v>3167.5</v>
      </c>
      <c r="C191" s="51">
        <v>2074</v>
      </c>
      <c r="D191" s="51">
        <v>316.5</v>
      </c>
      <c r="E191" s="51">
        <v>876.2</v>
      </c>
      <c r="F191" s="51">
        <v>35.200000000000003</v>
      </c>
      <c r="G191" s="51" t="s">
        <v>264</v>
      </c>
      <c r="H191" s="51" t="s">
        <v>264</v>
      </c>
      <c r="I191" s="51" t="s">
        <v>264</v>
      </c>
      <c r="J191" s="51" t="s">
        <v>264</v>
      </c>
      <c r="K191" s="51">
        <v>1183.2</v>
      </c>
      <c r="L191" s="49">
        <v>1111.7</v>
      </c>
      <c r="M191" s="51">
        <v>885.9</v>
      </c>
      <c r="N191" s="51">
        <v>225.8</v>
      </c>
      <c r="O191" s="51">
        <v>102.4</v>
      </c>
      <c r="P191" s="51">
        <v>96.8</v>
      </c>
      <c r="Q191" s="51">
        <v>29.2</v>
      </c>
      <c r="R191" s="51">
        <v>67.599999999999994</v>
      </c>
      <c r="S191" s="51"/>
      <c r="T191" s="51">
        <v>29.2</v>
      </c>
      <c r="U191" s="51">
        <v>42.7</v>
      </c>
      <c r="V191" s="51">
        <v>36.6</v>
      </c>
      <c r="W191" s="51">
        <v>6.1</v>
      </c>
      <c r="X191" s="51" t="s">
        <v>264</v>
      </c>
      <c r="Y191" s="51">
        <v>4.9000000000000004</v>
      </c>
      <c r="Z191" s="49">
        <v>113.1</v>
      </c>
      <c r="AA191" s="51">
        <v>110</v>
      </c>
      <c r="AB191" s="51">
        <v>3.1</v>
      </c>
      <c r="AC191" s="51" t="s">
        <v>264</v>
      </c>
      <c r="AD191" s="51">
        <v>9.9</v>
      </c>
      <c r="AE191" s="51"/>
      <c r="AF191" s="51">
        <v>39.099999999999994</v>
      </c>
      <c r="AG191" s="51">
        <v>22.2</v>
      </c>
      <c r="AH191" s="51">
        <v>16.899999999999999</v>
      </c>
      <c r="AI191" s="51">
        <v>193.6</v>
      </c>
      <c r="AJ191" s="51"/>
      <c r="AK191" s="51"/>
      <c r="AL191" s="51">
        <v>157.60000000000002</v>
      </c>
      <c r="AM191" s="51">
        <v>109.9</v>
      </c>
      <c r="AN191" s="51">
        <v>47.7</v>
      </c>
      <c r="AO191" s="51">
        <v>2322.8000000000002</v>
      </c>
      <c r="AP191" s="51">
        <v>183</v>
      </c>
      <c r="AQ191" s="51">
        <v>169.3</v>
      </c>
      <c r="AR191" s="51">
        <v>39.5</v>
      </c>
      <c r="AS191" s="51">
        <v>143.9</v>
      </c>
      <c r="AT191" s="51">
        <v>82.4</v>
      </c>
      <c r="AU191" s="51">
        <v>83.8</v>
      </c>
      <c r="AV191" s="51">
        <v>42.1</v>
      </c>
      <c r="AW191" s="51">
        <v>19.399999999999999</v>
      </c>
      <c r="AX191" s="51">
        <v>7.9</v>
      </c>
      <c r="AY191" s="51" t="s">
        <v>264</v>
      </c>
      <c r="AZ191" s="51" t="s">
        <v>264</v>
      </c>
      <c r="BA191" s="51" t="s">
        <v>264</v>
      </c>
      <c r="BB191" s="51" t="s">
        <v>264</v>
      </c>
      <c r="BC191" s="51"/>
      <c r="BD191" s="53">
        <v>140.19999999999999</v>
      </c>
      <c r="BE191" s="53">
        <v>48.4</v>
      </c>
      <c r="BF191" s="55"/>
      <c r="BG191" s="55"/>
      <c r="BH191" s="53">
        <v>328.1</v>
      </c>
      <c r="BI191" s="55"/>
      <c r="BJ191" s="55"/>
      <c r="BK191" s="53">
        <v>254.8</v>
      </c>
      <c r="BL191" s="53">
        <v>3.5</v>
      </c>
      <c r="BM191" s="53">
        <v>586.4</v>
      </c>
      <c r="BN191" s="53">
        <v>213.5</v>
      </c>
      <c r="BO191" s="55"/>
      <c r="BP191" s="55"/>
      <c r="BQ191" s="53">
        <v>102.9</v>
      </c>
      <c r="BR191" s="53">
        <v>8.4</v>
      </c>
      <c r="BS191" s="53">
        <v>324.79999999999995</v>
      </c>
      <c r="BT191" s="52" t="s">
        <v>264</v>
      </c>
      <c r="BU191" s="53">
        <v>25.8</v>
      </c>
      <c r="BV191" s="51">
        <v>418.4</v>
      </c>
      <c r="BW191" s="51">
        <v>114.5</v>
      </c>
      <c r="BX191" s="51">
        <v>538.1</v>
      </c>
      <c r="BY191" s="51">
        <v>55.6</v>
      </c>
      <c r="BZ191" s="51">
        <v>14.7</v>
      </c>
      <c r="CA191" s="49">
        <v>70.3</v>
      </c>
      <c r="CB191" s="55"/>
      <c r="CC191" s="55"/>
      <c r="CD191" s="55"/>
      <c r="CE191" s="55"/>
      <c r="CF191" s="53">
        <v>118.2</v>
      </c>
      <c r="CG191" s="53">
        <v>132.30000000000001</v>
      </c>
      <c r="CH191" s="53">
        <v>10</v>
      </c>
      <c r="CI191" s="55"/>
      <c r="CJ191" s="55"/>
      <c r="CK191" s="55"/>
      <c r="CL191" s="55"/>
      <c r="CM191" s="55"/>
      <c r="CN191" s="53">
        <v>50.8</v>
      </c>
      <c r="CO191" s="52">
        <v>163.80000000000001</v>
      </c>
      <c r="CP191" s="53">
        <v>97</v>
      </c>
      <c r="CQ191" s="53">
        <v>66.8</v>
      </c>
      <c r="CR191" s="52" t="s">
        <v>264</v>
      </c>
      <c r="CS191" s="52">
        <v>39.4</v>
      </c>
      <c r="CT191" s="52">
        <v>24.3</v>
      </c>
      <c r="CU191" s="52">
        <v>15.1</v>
      </c>
      <c r="CV191" s="52">
        <v>32.200000000000003</v>
      </c>
      <c r="CW191" s="53">
        <v>5.9</v>
      </c>
      <c r="CX191" s="53">
        <v>26.3</v>
      </c>
      <c r="CY191" s="53" t="s">
        <v>264</v>
      </c>
      <c r="CZ191" s="53">
        <v>50.3</v>
      </c>
      <c r="DA191" s="52">
        <v>25.7</v>
      </c>
      <c r="DB191" s="53">
        <v>24.5</v>
      </c>
      <c r="DC191" s="53">
        <v>1.2</v>
      </c>
      <c r="DD191" s="55"/>
      <c r="DE191" s="55"/>
      <c r="DF191" s="55"/>
      <c r="DG191" s="55"/>
      <c r="DH191" s="55"/>
      <c r="DI191" s="53">
        <v>583.23400000000004</v>
      </c>
      <c r="DJ191" s="53">
        <v>186.86500000000001</v>
      </c>
      <c r="DK191" s="55"/>
      <c r="DL191" s="53">
        <v>130.125</v>
      </c>
      <c r="DM191" s="53">
        <v>235.27099999999999</v>
      </c>
      <c r="DN191" s="55"/>
      <c r="DO191" s="53">
        <v>201.084</v>
      </c>
      <c r="DP191" s="53">
        <v>257.62</v>
      </c>
      <c r="DQ191" s="55"/>
      <c r="DR191" s="55"/>
      <c r="DS191" s="53">
        <v>740.88800000000003</v>
      </c>
      <c r="DT191" s="53">
        <v>3167.4859999999999</v>
      </c>
      <c r="DU191" s="53">
        <v>-832.39899999999989</v>
      </c>
      <c r="DV191" s="53">
        <v>-1.4000000000123691E-2</v>
      </c>
      <c r="DW191" s="55"/>
      <c r="DX191" s="55"/>
      <c r="DY191" s="55"/>
      <c r="DZ191" s="55"/>
      <c r="EA191" s="55"/>
      <c r="EB191" s="55"/>
      <c r="EC191" s="55"/>
      <c r="ED191" s="55"/>
      <c r="EE191" s="55"/>
      <c r="EF191" s="55"/>
      <c r="EG191" s="55"/>
      <c r="EH191" s="55"/>
      <c r="EI191" s="55"/>
      <c r="EJ191" s="55"/>
      <c r="EK191" s="55"/>
      <c r="EL191" s="55"/>
      <c r="EM191" s="55"/>
      <c r="EN191" s="55"/>
      <c r="EO191" s="55"/>
      <c r="EP191" s="55"/>
      <c r="EQ191" s="55"/>
      <c r="ER191" s="55"/>
      <c r="ES191" s="55"/>
      <c r="ET191" s="55"/>
      <c r="EU191" s="55"/>
      <c r="EV191" s="55"/>
      <c r="EW191" s="55"/>
      <c r="EX191" s="55"/>
      <c r="EY191" s="55"/>
      <c r="EZ191" s="55"/>
      <c r="FA191" s="55"/>
      <c r="FB191" s="55"/>
      <c r="FC191" s="55"/>
      <c r="FD191" s="55"/>
      <c r="FE191" s="55"/>
      <c r="FF191" s="55"/>
      <c r="FG191" s="55"/>
      <c r="FH191" s="55"/>
      <c r="FI191" s="55"/>
      <c r="FJ191" s="55"/>
      <c r="FK191" s="55"/>
      <c r="FL191" s="55"/>
      <c r="FM191" s="55"/>
      <c r="FN191" s="55"/>
      <c r="FO191" s="55"/>
      <c r="FP191" s="55"/>
      <c r="FQ191" s="55"/>
      <c r="FR191" s="55"/>
      <c r="FS191" s="55"/>
      <c r="FT191" s="55"/>
      <c r="FU191" s="55"/>
      <c r="FV191" s="55"/>
      <c r="FW191" s="55"/>
      <c r="FX191" s="55"/>
      <c r="FY191" s="55"/>
      <c r="FZ191" s="55"/>
      <c r="GA191" s="55"/>
      <c r="GB191" s="55"/>
      <c r="GC191" s="55"/>
      <c r="GD191" s="55"/>
      <c r="GE191" s="55"/>
      <c r="GF191" s="55"/>
      <c r="GG191" s="55"/>
      <c r="GH191" s="55"/>
      <c r="GI191" s="55"/>
      <c r="GJ191" s="55"/>
      <c r="GK191" s="55"/>
      <c r="GL191" s="55"/>
      <c r="GM191" s="55"/>
      <c r="GN191" s="55"/>
      <c r="GO191" s="55"/>
      <c r="GP191" s="55"/>
      <c r="GQ191" s="55"/>
      <c r="GR191" s="55"/>
      <c r="GS191" s="55"/>
      <c r="GT191" s="55"/>
      <c r="GU191" s="55"/>
      <c r="GV191" s="55"/>
      <c r="GW191" s="55"/>
      <c r="GX191" s="55"/>
      <c r="GY191" s="19">
        <v>0.96653370950481554</v>
      </c>
      <c r="GZ191" s="53">
        <v>993.5</v>
      </c>
      <c r="HA191" s="53">
        <v>1027.9000000000001</v>
      </c>
      <c r="HB191" s="55"/>
      <c r="HC191" s="55"/>
      <c r="HD191" s="55"/>
      <c r="HE191" s="55"/>
      <c r="HF191" s="53">
        <v>1021.8</v>
      </c>
      <c r="HG191" s="53">
        <v>994.6</v>
      </c>
      <c r="HH191" s="53">
        <v>386.4</v>
      </c>
      <c r="HI191" s="53">
        <v>141</v>
      </c>
      <c r="HJ191" s="53">
        <v>448.5</v>
      </c>
      <c r="HK191" s="53">
        <v>18.7</v>
      </c>
      <c r="HL191" s="53">
        <v>27.2</v>
      </c>
      <c r="HM191" s="55"/>
      <c r="HN191" s="55"/>
      <c r="HO191" s="55"/>
      <c r="HP191" s="53" t="e">
        <v>#VALUE!</v>
      </c>
      <c r="HQ191" s="53">
        <v>4.4000000000000004</v>
      </c>
      <c r="HR191" s="53">
        <v>11.9</v>
      </c>
      <c r="HS191" s="53" t="e">
        <v>#VALUE!</v>
      </c>
      <c r="HT191" s="53">
        <v>7.9</v>
      </c>
      <c r="HU191" s="55"/>
      <c r="HV191" s="55"/>
      <c r="HW191" s="53">
        <v>267.89999999999998</v>
      </c>
      <c r="HX191" s="53" t="e">
        <v>#VALUE!</v>
      </c>
      <c r="HY191" s="53">
        <v>267.89999999999998</v>
      </c>
      <c r="HZ191" s="53">
        <v>58.3</v>
      </c>
      <c r="IA191" s="53">
        <v>176.2</v>
      </c>
      <c r="IB191" s="53" t="e">
        <v>#VALUE!</v>
      </c>
      <c r="IC191" s="53" t="e">
        <v>#VALUE!</v>
      </c>
      <c r="ID191" s="53" t="e">
        <v>#VALUE!</v>
      </c>
      <c r="IE191" s="53" t="e">
        <v>#VALUE!</v>
      </c>
      <c r="IF191" s="53" t="e">
        <v>#VALUE!</v>
      </c>
      <c r="IG191" s="53">
        <v>22.8</v>
      </c>
      <c r="IH191" s="55"/>
      <c r="II191" s="55"/>
      <c r="IJ191" s="55"/>
      <c r="IK191" s="55"/>
      <c r="IL191" s="55"/>
      <c r="IM191" s="55"/>
      <c r="IN191" s="53">
        <v>70.7</v>
      </c>
      <c r="IO191" s="53">
        <v>73.400000000000006</v>
      </c>
      <c r="IP191" s="53">
        <v>40.9</v>
      </c>
      <c r="IQ191" s="53">
        <v>40.799999999999997</v>
      </c>
      <c r="IR191" s="53">
        <v>17</v>
      </c>
      <c r="IS191" s="53" t="e">
        <v>#VALUE!</v>
      </c>
      <c r="IT191" s="53">
        <v>19.8</v>
      </c>
      <c r="IU191" s="53" t="e">
        <v>#VALUE!</v>
      </c>
      <c r="IV191" s="53" t="e">
        <v>#VALUE!</v>
      </c>
      <c r="IY191" s="48">
        <f t="shared" si="8"/>
        <v>47.206314127861098</v>
      </c>
      <c r="IZ191" s="48">
        <f>IY191-'NOPA Crush'!J191</f>
        <v>3.6314127861096779E-2</v>
      </c>
      <c r="JB191" s="63">
        <f t="shared" si="6"/>
        <v>11.20631412786109</v>
      </c>
      <c r="JC191" s="64">
        <f>JB191-'NOPA Crush'!O191</f>
        <v>1.63141278610901E-2</v>
      </c>
      <c r="JD191" s="65"/>
      <c r="JE191" s="67">
        <f t="shared" si="7"/>
        <v>1111.7</v>
      </c>
      <c r="JF191" s="68">
        <f>'NOPA Crush'!Q191/'Census Crush'!JE191</f>
        <v>0.37690114239453087</v>
      </c>
    </row>
    <row r="192" spans="1:266">
      <c r="A192" s="39">
        <v>34881</v>
      </c>
      <c r="B192" s="51">
        <v>3251.4</v>
      </c>
      <c r="C192" s="51">
        <v>1652.9</v>
      </c>
      <c r="D192" s="51">
        <v>310</v>
      </c>
      <c r="E192" s="51">
        <v>548.5</v>
      </c>
      <c r="F192" s="51">
        <v>32.5</v>
      </c>
      <c r="G192" s="51" t="s">
        <v>264</v>
      </c>
      <c r="H192" s="51" t="s">
        <v>264</v>
      </c>
      <c r="I192" s="51" t="s">
        <v>264</v>
      </c>
      <c r="J192" s="51" t="s">
        <v>264</v>
      </c>
      <c r="K192" s="51">
        <v>1204.7</v>
      </c>
      <c r="L192" s="49">
        <v>1142</v>
      </c>
      <c r="M192" s="51">
        <v>906.3</v>
      </c>
      <c r="N192" s="51">
        <v>235.7</v>
      </c>
      <c r="O192" s="51">
        <v>96.6</v>
      </c>
      <c r="P192" s="51">
        <v>92.2</v>
      </c>
      <c r="Q192" s="51">
        <v>29.7</v>
      </c>
      <c r="R192" s="51">
        <v>62.5</v>
      </c>
      <c r="S192" s="51"/>
      <c r="T192" s="51">
        <v>26.9</v>
      </c>
      <c r="U192" s="51">
        <v>40.4</v>
      </c>
      <c r="V192" s="51">
        <v>37.5</v>
      </c>
      <c r="W192" s="51">
        <v>2.9</v>
      </c>
      <c r="X192" s="51" t="s">
        <v>264</v>
      </c>
      <c r="Y192" s="51">
        <v>2.9</v>
      </c>
      <c r="Z192" s="49">
        <v>117.5</v>
      </c>
      <c r="AA192" s="51">
        <v>113.1</v>
      </c>
      <c r="AB192" s="51">
        <v>4.4000000000000004</v>
      </c>
      <c r="AC192" s="51" t="s">
        <v>264</v>
      </c>
      <c r="AD192" s="51">
        <v>11.3</v>
      </c>
      <c r="AE192" s="51"/>
      <c r="AF192" s="51">
        <v>59.4</v>
      </c>
      <c r="AG192" s="51">
        <v>37.9</v>
      </c>
      <c r="AH192" s="51">
        <v>21.5</v>
      </c>
      <c r="AI192" s="51">
        <v>193.5</v>
      </c>
      <c r="AJ192" s="51"/>
      <c r="AK192" s="51"/>
      <c r="AL192" s="51">
        <v>164.60000000000002</v>
      </c>
      <c r="AM192" s="51">
        <v>114.4</v>
      </c>
      <c r="AN192" s="51">
        <v>50.2</v>
      </c>
      <c r="AO192" s="51">
        <v>2389.8000000000002</v>
      </c>
      <c r="AP192" s="51">
        <v>208.3</v>
      </c>
      <c r="AQ192" s="51">
        <v>175.6</v>
      </c>
      <c r="AR192" s="51">
        <v>43.7</v>
      </c>
      <c r="AS192" s="51">
        <v>137.19999999999999</v>
      </c>
      <c r="AT192" s="51">
        <v>87.8</v>
      </c>
      <c r="AU192" s="51">
        <v>91.1</v>
      </c>
      <c r="AV192" s="51">
        <v>50.4</v>
      </c>
      <c r="AW192" s="51">
        <v>17.7</v>
      </c>
      <c r="AX192" s="51">
        <v>6.7</v>
      </c>
      <c r="AY192" s="51" t="s">
        <v>264</v>
      </c>
      <c r="AZ192" s="51" t="s">
        <v>264</v>
      </c>
      <c r="BA192" s="51" t="s">
        <v>264</v>
      </c>
      <c r="BB192" s="51" t="s">
        <v>264</v>
      </c>
      <c r="BC192" s="51"/>
      <c r="BD192" s="53">
        <v>114</v>
      </c>
      <c r="BE192" s="53">
        <v>48</v>
      </c>
      <c r="BF192" s="55"/>
      <c r="BG192" s="55"/>
      <c r="BH192" s="53">
        <v>277.7</v>
      </c>
      <c r="BI192" s="55"/>
      <c r="BJ192" s="55"/>
      <c r="BK192" s="53">
        <v>237.7</v>
      </c>
      <c r="BL192" s="53">
        <v>3.4</v>
      </c>
      <c r="BM192" s="53">
        <v>518.79999999999995</v>
      </c>
      <c r="BN192" s="53">
        <v>225.9</v>
      </c>
      <c r="BO192" s="55"/>
      <c r="BP192" s="55"/>
      <c r="BQ192" s="53">
        <v>119.7</v>
      </c>
      <c r="BR192" s="53">
        <v>9.1</v>
      </c>
      <c r="BS192" s="53">
        <v>354.70000000000005</v>
      </c>
      <c r="BT192" s="52" t="s">
        <v>264</v>
      </c>
      <c r="BU192" s="53">
        <v>22.1</v>
      </c>
      <c r="BV192" s="51">
        <v>376.1</v>
      </c>
      <c r="BW192" s="51">
        <v>101.4</v>
      </c>
      <c r="BX192" s="51">
        <v>482</v>
      </c>
      <c r="BY192" s="51">
        <v>55.9</v>
      </c>
      <c r="BZ192" s="51">
        <v>14.7</v>
      </c>
      <c r="CA192" s="49">
        <v>70.599999999999994</v>
      </c>
      <c r="CB192" s="55"/>
      <c r="CC192" s="55"/>
      <c r="CD192" s="55"/>
      <c r="CE192" s="55"/>
      <c r="CF192" s="53">
        <v>116.4</v>
      </c>
      <c r="CG192" s="53">
        <v>134.69999999999999</v>
      </c>
      <c r="CH192" s="53">
        <v>9.9</v>
      </c>
      <c r="CI192" s="55"/>
      <c r="CJ192" s="55"/>
      <c r="CK192" s="55"/>
      <c r="CL192" s="55"/>
      <c r="CM192" s="55"/>
      <c r="CN192" s="53">
        <v>49.1</v>
      </c>
      <c r="CO192" s="52">
        <v>136.89999999999998</v>
      </c>
      <c r="CP192" s="53">
        <v>74.099999999999994</v>
      </c>
      <c r="CQ192" s="53">
        <v>62.8</v>
      </c>
      <c r="CR192" s="52" t="s">
        <v>264</v>
      </c>
      <c r="CS192" s="52">
        <v>44.6</v>
      </c>
      <c r="CT192" s="52">
        <v>25.1</v>
      </c>
      <c r="CU192" s="52">
        <v>19.5</v>
      </c>
      <c r="CV192" s="52">
        <v>27.4</v>
      </c>
      <c r="CW192" s="53">
        <v>6</v>
      </c>
      <c r="CX192" s="53">
        <v>21.4</v>
      </c>
      <c r="CY192" s="53" t="s">
        <v>264</v>
      </c>
      <c r="CZ192" s="53">
        <v>60.4</v>
      </c>
      <c r="DA192" s="52">
        <v>27.400000000000002</v>
      </c>
      <c r="DB192" s="53">
        <v>26.6</v>
      </c>
      <c r="DC192" s="53">
        <v>0.8</v>
      </c>
      <c r="DD192" s="55"/>
      <c r="DE192" s="55"/>
      <c r="DF192" s="55"/>
      <c r="DG192" s="55"/>
      <c r="DH192" s="55"/>
      <c r="DI192" s="53">
        <v>631.57000000000005</v>
      </c>
      <c r="DJ192" s="53">
        <v>207.46100000000001</v>
      </c>
      <c r="DK192" s="55"/>
      <c r="DL192" s="53">
        <v>123.004</v>
      </c>
      <c r="DM192" s="53">
        <v>196.249</v>
      </c>
      <c r="DN192" s="55"/>
      <c r="DO192" s="53">
        <v>171.77199999999999</v>
      </c>
      <c r="DP192" s="53">
        <v>270.06099999999998</v>
      </c>
      <c r="DQ192" s="55"/>
      <c r="DR192" s="55"/>
      <c r="DS192" s="53">
        <v>771.36699999999996</v>
      </c>
      <c r="DT192" s="53">
        <v>3256.9009999999998</v>
      </c>
      <c r="DU192" s="53">
        <v>-885.41699999999992</v>
      </c>
      <c r="DV192" s="53">
        <v>5.500999999999749</v>
      </c>
      <c r="DW192" s="55"/>
      <c r="DX192" s="55"/>
      <c r="DY192" s="55"/>
      <c r="DZ192" s="55"/>
      <c r="EA192" s="55"/>
      <c r="EB192" s="55"/>
      <c r="EC192" s="55"/>
      <c r="ED192" s="55"/>
      <c r="EE192" s="55"/>
      <c r="EF192" s="55"/>
      <c r="EG192" s="55"/>
      <c r="EH192" s="55"/>
      <c r="EI192" s="55"/>
      <c r="EJ192" s="55"/>
      <c r="EK192" s="55"/>
      <c r="EL192" s="55"/>
      <c r="EM192" s="55"/>
      <c r="EN192" s="55"/>
      <c r="EO192" s="55"/>
      <c r="EP192" s="55"/>
      <c r="EQ192" s="55"/>
      <c r="ER192" s="55"/>
      <c r="ES192" s="55"/>
      <c r="ET192" s="55"/>
      <c r="EU192" s="55"/>
      <c r="EV192" s="55"/>
      <c r="EW192" s="55"/>
      <c r="EX192" s="55"/>
      <c r="EY192" s="55"/>
      <c r="EZ192" s="55"/>
      <c r="FA192" s="55"/>
      <c r="FB192" s="55"/>
      <c r="FC192" s="55"/>
      <c r="FD192" s="55"/>
      <c r="FE192" s="55"/>
      <c r="FF192" s="55"/>
      <c r="FG192" s="55"/>
      <c r="FH192" s="55"/>
      <c r="FI192" s="55"/>
      <c r="FJ192" s="55"/>
      <c r="FK192" s="55"/>
      <c r="FL192" s="55"/>
      <c r="FM192" s="55"/>
      <c r="FN192" s="55"/>
      <c r="FO192" s="55"/>
      <c r="FP192" s="55"/>
      <c r="FQ192" s="55"/>
      <c r="FR192" s="55"/>
      <c r="FS192" s="55"/>
      <c r="FT192" s="55"/>
      <c r="FU192" s="55"/>
      <c r="FV192" s="55"/>
      <c r="FW192" s="55"/>
      <c r="FX192" s="55"/>
      <c r="FY192" s="55"/>
      <c r="FZ192" s="55"/>
      <c r="GA192" s="55"/>
      <c r="GB192" s="55"/>
      <c r="GC192" s="55"/>
      <c r="GD192" s="55"/>
      <c r="GE192" s="55"/>
      <c r="GF192" s="55"/>
      <c r="GG192" s="55"/>
      <c r="GH192" s="55"/>
      <c r="GI192" s="55"/>
      <c r="GJ192" s="55"/>
      <c r="GK192" s="55"/>
      <c r="GL192" s="55"/>
      <c r="GM192" s="55"/>
      <c r="GN192" s="55"/>
      <c r="GO192" s="55"/>
      <c r="GP192" s="55"/>
      <c r="GQ192" s="55"/>
      <c r="GR192" s="55"/>
      <c r="GS192" s="55"/>
      <c r="GT192" s="55"/>
      <c r="GU192" s="55"/>
      <c r="GV192" s="55"/>
      <c r="GW192" s="55"/>
      <c r="GX192" s="55"/>
      <c r="GY192" s="19">
        <v>0.97200413223140492</v>
      </c>
      <c r="GZ192" s="53">
        <v>940.9</v>
      </c>
      <c r="HA192" s="53">
        <v>968</v>
      </c>
      <c r="HB192" s="55"/>
      <c r="HC192" s="55"/>
      <c r="HD192" s="55"/>
      <c r="HE192" s="55"/>
      <c r="HF192" s="53">
        <v>949.7</v>
      </c>
      <c r="HG192" s="53">
        <v>926</v>
      </c>
      <c r="HH192" s="53">
        <v>355</v>
      </c>
      <c r="HI192" s="53">
        <v>110.8</v>
      </c>
      <c r="HJ192" s="53">
        <v>441.7</v>
      </c>
      <c r="HK192" s="53">
        <v>18.5</v>
      </c>
      <c r="HL192" s="53">
        <v>23.7</v>
      </c>
      <c r="HM192" s="55"/>
      <c r="HN192" s="55"/>
      <c r="HO192" s="55"/>
      <c r="HP192" s="53" t="e">
        <v>#VALUE!</v>
      </c>
      <c r="HQ192" s="53">
        <v>3.1</v>
      </c>
      <c r="HR192" s="53">
        <v>10.199999999999999</v>
      </c>
      <c r="HS192" s="53" t="e">
        <v>#VALUE!</v>
      </c>
      <c r="HT192" s="53">
        <v>6.9</v>
      </c>
      <c r="HU192" s="55"/>
      <c r="HV192" s="55"/>
      <c r="HW192" s="53">
        <v>251</v>
      </c>
      <c r="HX192" s="53" t="e">
        <v>#VALUE!</v>
      </c>
      <c r="HY192" s="53">
        <v>251</v>
      </c>
      <c r="HZ192" s="53">
        <v>50.7</v>
      </c>
      <c r="IA192" s="53">
        <v>175.3</v>
      </c>
      <c r="IB192" s="53" t="e">
        <v>#VALUE!</v>
      </c>
      <c r="IC192" s="53" t="e">
        <v>#VALUE!</v>
      </c>
      <c r="ID192" s="53" t="e">
        <v>#VALUE!</v>
      </c>
      <c r="IE192" s="53" t="e">
        <v>#VALUE!</v>
      </c>
      <c r="IF192" s="53" t="e">
        <v>#VALUE!</v>
      </c>
      <c r="IG192" s="53">
        <v>15.1</v>
      </c>
      <c r="IH192" s="55"/>
      <c r="II192" s="55"/>
      <c r="IJ192" s="55"/>
      <c r="IK192" s="55"/>
      <c r="IL192" s="55"/>
      <c r="IM192" s="55"/>
      <c r="IN192" s="53">
        <v>72.599999999999994</v>
      </c>
      <c r="IO192" s="53">
        <v>76</v>
      </c>
      <c r="IP192" s="53" t="e">
        <v>#VALUE!</v>
      </c>
      <c r="IQ192" s="53">
        <v>42.3</v>
      </c>
      <c r="IR192" s="53">
        <v>16.600000000000001</v>
      </c>
      <c r="IS192" s="53" t="e">
        <v>#VALUE!</v>
      </c>
      <c r="IT192" s="53">
        <v>21.5</v>
      </c>
      <c r="IU192" s="53" t="e">
        <v>#VALUE!</v>
      </c>
      <c r="IV192" s="53" t="e">
        <v>#VALUE!</v>
      </c>
      <c r="IY192" s="48">
        <f t="shared" si="8"/>
        <v>47.34083779295073</v>
      </c>
      <c r="IZ192" s="48">
        <f>IY192-'NOPA Crush'!J192</f>
        <v>-2.9162207049267863E-2</v>
      </c>
      <c r="JB192" s="63">
        <f t="shared" si="6"/>
        <v>11.115519468536629</v>
      </c>
      <c r="JC192" s="64">
        <f>JB192-'NOPA Crush'!O192</f>
        <v>-9.4480531463371875E-2</v>
      </c>
      <c r="JD192" s="65"/>
      <c r="JE192" s="67">
        <f t="shared" si="7"/>
        <v>1142</v>
      </c>
      <c r="JF192" s="68">
        <f>'NOPA Crush'!Q192/'Census Crush'!JE192</f>
        <v>0.39631436077057797</v>
      </c>
    </row>
    <row r="193" spans="1:266">
      <c r="A193" s="39">
        <v>34912</v>
      </c>
      <c r="B193" s="51">
        <v>3284.9</v>
      </c>
      <c r="C193" s="51">
        <v>1584</v>
      </c>
      <c r="D193" s="51">
        <v>264.39999999999998</v>
      </c>
      <c r="E193" s="51">
        <v>292.7</v>
      </c>
      <c r="F193" s="51">
        <v>32.299999999999997</v>
      </c>
      <c r="G193" s="51" t="s">
        <v>264</v>
      </c>
      <c r="H193" s="51">
        <v>14.5</v>
      </c>
      <c r="I193" s="51" t="s">
        <v>264</v>
      </c>
      <c r="J193" s="51" t="s">
        <v>264</v>
      </c>
      <c r="K193" s="51">
        <v>1228.0999999999999</v>
      </c>
      <c r="L193" s="49">
        <v>1100</v>
      </c>
      <c r="M193" s="51">
        <v>895.3</v>
      </c>
      <c r="N193" s="51">
        <v>204.7</v>
      </c>
      <c r="O193" s="51">
        <v>87.8</v>
      </c>
      <c r="P193" s="51">
        <v>87.9</v>
      </c>
      <c r="Q193" s="51">
        <v>30.7</v>
      </c>
      <c r="R193" s="51">
        <v>57.2</v>
      </c>
      <c r="S193" s="51"/>
      <c r="T193" s="51">
        <v>26.3</v>
      </c>
      <c r="U193" s="51">
        <v>45.1</v>
      </c>
      <c r="V193" s="51">
        <v>41.9</v>
      </c>
      <c r="W193" s="51">
        <v>3.2</v>
      </c>
      <c r="X193" s="51" t="s">
        <v>264</v>
      </c>
      <c r="Y193" s="51">
        <v>4</v>
      </c>
      <c r="Z193" s="49">
        <v>89.100000000000009</v>
      </c>
      <c r="AA193" s="51">
        <v>83.9</v>
      </c>
      <c r="AB193" s="51">
        <v>5.2</v>
      </c>
      <c r="AC193" s="51" t="s">
        <v>264</v>
      </c>
      <c r="AD193" s="51">
        <v>15.2</v>
      </c>
      <c r="AE193" s="51"/>
      <c r="AF193" s="51">
        <v>54.8</v>
      </c>
      <c r="AG193" s="51">
        <v>25.3</v>
      </c>
      <c r="AH193" s="51">
        <v>29.5</v>
      </c>
      <c r="AI193" s="51">
        <v>182.6</v>
      </c>
      <c r="AJ193" s="51"/>
      <c r="AK193" s="51"/>
      <c r="AL193" s="51">
        <v>190.3</v>
      </c>
      <c r="AM193" s="51">
        <v>130</v>
      </c>
      <c r="AN193" s="51">
        <v>60.3</v>
      </c>
      <c r="AO193" s="51">
        <v>2412.9</v>
      </c>
      <c r="AP193" s="51">
        <v>171.8</v>
      </c>
      <c r="AQ193" s="51">
        <v>176.9</v>
      </c>
      <c r="AR193" s="51">
        <v>32</v>
      </c>
      <c r="AS193" s="51">
        <v>120.1</v>
      </c>
      <c r="AT193" s="51">
        <v>75.2</v>
      </c>
      <c r="AU193" s="51">
        <v>71.400000000000006</v>
      </c>
      <c r="AV193" s="51">
        <v>43.2</v>
      </c>
      <c r="AW193" s="51">
        <v>17.3</v>
      </c>
      <c r="AX193" s="51">
        <v>6.5</v>
      </c>
      <c r="AY193" s="51" t="s">
        <v>264</v>
      </c>
      <c r="AZ193" s="51" t="s">
        <v>264</v>
      </c>
      <c r="BA193" s="51" t="s">
        <v>264</v>
      </c>
      <c r="BB193" s="51" t="s">
        <v>264</v>
      </c>
      <c r="BC193" s="51"/>
      <c r="BD193" s="53">
        <v>134.9</v>
      </c>
      <c r="BE193" s="53">
        <v>47.5</v>
      </c>
      <c r="BF193" s="55"/>
      <c r="BG193" s="55"/>
      <c r="BH193" s="53">
        <v>318.2</v>
      </c>
      <c r="BI193" s="55"/>
      <c r="BJ193" s="55"/>
      <c r="BK193" s="53">
        <v>263.8</v>
      </c>
      <c r="BL193" s="53">
        <v>2.8</v>
      </c>
      <c r="BM193" s="53">
        <v>584.79999999999995</v>
      </c>
      <c r="BN193" s="53">
        <v>274.39999999999998</v>
      </c>
      <c r="BO193" s="55"/>
      <c r="BP193" s="55"/>
      <c r="BQ193" s="53">
        <v>127</v>
      </c>
      <c r="BR193" s="53">
        <v>10.199999999999999</v>
      </c>
      <c r="BS193" s="53">
        <v>411.59999999999997</v>
      </c>
      <c r="BT193" s="52" t="s">
        <v>264</v>
      </c>
      <c r="BU193" s="53">
        <v>30.2</v>
      </c>
      <c r="BV193" s="51">
        <v>428.4</v>
      </c>
      <c r="BW193" s="51">
        <v>108.1</v>
      </c>
      <c r="BX193" s="51">
        <v>541.20000000000005</v>
      </c>
      <c r="BY193" s="51">
        <v>49.5</v>
      </c>
      <c r="BZ193" s="51">
        <v>11.3</v>
      </c>
      <c r="CA193" s="49">
        <v>60.8</v>
      </c>
      <c r="CB193" s="55"/>
      <c r="CC193" s="55"/>
      <c r="CD193" s="55"/>
      <c r="CE193" s="55"/>
      <c r="CF193" s="53">
        <v>119.2</v>
      </c>
      <c r="CG193" s="53">
        <v>135</v>
      </c>
      <c r="CH193" s="53">
        <v>8.9</v>
      </c>
      <c r="CI193" s="55"/>
      <c r="CJ193" s="55"/>
      <c r="CK193" s="55"/>
      <c r="CL193" s="55"/>
      <c r="CM193" s="55"/>
      <c r="CN193" s="53">
        <v>42.7</v>
      </c>
      <c r="CO193" s="52">
        <v>124.1</v>
      </c>
      <c r="CP193" s="53">
        <v>53.8</v>
      </c>
      <c r="CQ193" s="53">
        <v>70.3</v>
      </c>
      <c r="CR193" s="52" t="s">
        <v>264</v>
      </c>
      <c r="CS193" s="52">
        <v>37.5</v>
      </c>
      <c r="CT193" s="52">
        <v>22.5</v>
      </c>
      <c r="CU193" s="52">
        <v>15</v>
      </c>
      <c r="CV193" s="52">
        <v>18.2</v>
      </c>
      <c r="CW193" s="53">
        <v>4.0999999999999996</v>
      </c>
      <c r="CX193" s="53">
        <v>14.1</v>
      </c>
      <c r="CY193" s="53" t="s">
        <v>264</v>
      </c>
      <c r="CZ193" s="53">
        <v>50.1</v>
      </c>
      <c r="DA193" s="52">
        <v>27.400000000000002</v>
      </c>
      <c r="DB193" s="53">
        <v>26.6</v>
      </c>
      <c r="DC193" s="53">
        <v>0.8</v>
      </c>
      <c r="DD193" s="55"/>
      <c r="DE193" s="55"/>
      <c r="DF193" s="55"/>
      <c r="DG193" s="53">
        <v>108.45</v>
      </c>
      <c r="DH193" s="55"/>
      <c r="DI193" s="53">
        <v>571.47299999999996</v>
      </c>
      <c r="DJ193" s="53">
        <v>176.178</v>
      </c>
      <c r="DK193" s="55"/>
      <c r="DL193" s="53">
        <v>148.578</v>
      </c>
      <c r="DM193" s="53">
        <v>254.798</v>
      </c>
      <c r="DN193" s="55"/>
      <c r="DO193" s="53">
        <v>190.04599999999999</v>
      </c>
      <c r="DP193" s="53">
        <v>267.80700000000002</v>
      </c>
      <c r="DQ193" s="55"/>
      <c r="DR193" s="55"/>
      <c r="DS193" s="53">
        <v>771.99400000000003</v>
      </c>
      <c r="DT193" s="53">
        <v>3284.92</v>
      </c>
      <c r="DU193" s="53">
        <v>-904.04599999999982</v>
      </c>
      <c r="DV193" s="53">
        <v>1.999999999998181E-2</v>
      </c>
      <c r="DW193" s="55"/>
      <c r="DX193" s="55"/>
      <c r="DY193" s="55"/>
      <c r="DZ193" s="55"/>
      <c r="EA193" s="55"/>
      <c r="EB193" s="55"/>
      <c r="EC193" s="55"/>
      <c r="ED193" s="55"/>
      <c r="EE193" s="55"/>
      <c r="EF193" s="55"/>
      <c r="EG193" s="55"/>
      <c r="EH193" s="55"/>
      <c r="EI193" s="55"/>
      <c r="EJ193" s="55"/>
      <c r="EK193" s="55"/>
      <c r="EL193" s="55"/>
      <c r="EM193" s="55"/>
      <c r="EN193" s="55"/>
      <c r="EO193" s="55"/>
      <c r="EP193" s="55"/>
      <c r="EQ193" s="55"/>
      <c r="ER193" s="55"/>
      <c r="ES193" s="55"/>
      <c r="ET193" s="55"/>
      <c r="EU193" s="55"/>
      <c r="EV193" s="55"/>
      <c r="EW193" s="55"/>
      <c r="EX193" s="55"/>
      <c r="EY193" s="55"/>
      <c r="EZ193" s="55"/>
      <c r="FA193" s="55"/>
      <c r="FB193" s="55"/>
      <c r="FC193" s="55"/>
      <c r="FD193" s="55"/>
      <c r="FE193" s="55"/>
      <c r="FF193" s="55"/>
      <c r="FG193" s="55"/>
      <c r="FH193" s="55"/>
      <c r="FI193" s="55"/>
      <c r="FJ193" s="55"/>
      <c r="FK193" s="55"/>
      <c r="FL193" s="55"/>
      <c r="FM193" s="55"/>
      <c r="FN193" s="55"/>
      <c r="FO193" s="55"/>
      <c r="FP193" s="55"/>
      <c r="FQ193" s="55"/>
      <c r="FR193" s="55"/>
      <c r="FS193" s="55"/>
      <c r="FT193" s="55"/>
      <c r="FU193" s="55"/>
      <c r="FV193" s="55"/>
      <c r="FW193" s="55"/>
      <c r="FX193" s="55"/>
      <c r="FY193" s="55"/>
      <c r="FZ193" s="55"/>
      <c r="GA193" s="55"/>
      <c r="GB193" s="55"/>
      <c r="GC193" s="55"/>
      <c r="GD193" s="55"/>
      <c r="GE193" s="55"/>
      <c r="GF193" s="55"/>
      <c r="GG193" s="55"/>
      <c r="GH193" s="55"/>
      <c r="GI193" s="55"/>
      <c r="GJ193" s="55"/>
      <c r="GK193" s="55"/>
      <c r="GL193" s="55"/>
      <c r="GM193" s="55"/>
      <c r="GN193" s="55"/>
      <c r="GO193" s="55"/>
      <c r="GP193" s="55"/>
      <c r="GQ193" s="55"/>
      <c r="GR193" s="55"/>
      <c r="GS193" s="55"/>
      <c r="GT193" s="55"/>
      <c r="GU193" s="55"/>
      <c r="GV193" s="55"/>
      <c r="GW193" s="55"/>
      <c r="GX193" s="55"/>
      <c r="GY193" s="19">
        <v>0.96660682226211847</v>
      </c>
      <c r="GZ193" s="53">
        <v>1076.8</v>
      </c>
      <c r="HA193" s="53">
        <v>1114</v>
      </c>
      <c r="HB193" s="55"/>
      <c r="HC193" s="55"/>
      <c r="HD193" s="55"/>
      <c r="HE193" s="55"/>
      <c r="HF193" s="53">
        <v>1047.0999999999999</v>
      </c>
      <c r="HG193" s="53">
        <v>1021.2</v>
      </c>
      <c r="HH193" s="53">
        <v>421.9</v>
      </c>
      <c r="HI193" s="53">
        <v>137</v>
      </c>
      <c r="HJ193" s="53">
        <v>441.9</v>
      </c>
      <c r="HK193" s="53">
        <v>20.399999999999999</v>
      </c>
      <c r="HL193" s="53">
        <v>25.9</v>
      </c>
      <c r="HM193" s="55"/>
      <c r="HN193" s="55"/>
      <c r="HO193" s="55"/>
      <c r="HP193" s="53" t="e">
        <v>#VALUE!</v>
      </c>
      <c r="HQ193" s="53">
        <v>3.6</v>
      </c>
      <c r="HR193" s="53">
        <v>10.4</v>
      </c>
      <c r="HS193" s="53" t="e">
        <v>#VALUE!</v>
      </c>
      <c r="HT193" s="53">
        <v>8.1999999999999993</v>
      </c>
      <c r="HU193" s="55"/>
      <c r="HV193" s="55"/>
      <c r="HW193" s="53">
        <v>277.7</v>
      </c>
      <c r="HX193" s="53" t="e">
        <v>#VALUE!</v>
      </c>
      <c r="HY193" s="53">
        <v>277.7</v>
      </c>
      <c r="HZ193" s="53">
        <v>56.1</v>
      </c>
      <c r="IA193" s="53">
        <v>187.2</v>
      </c>
      <c r="IB193" s="53" t="e">
        <v>#VALUE!</v>
      </c>
      <c r="IC193" s="53" t="e">
        <v>#VALUE!</v>
      </c>
      <c r="ID193" s="53" t="e">
        <v>#VALUE!</v>
      </c>
      <c r="IE193" s="53" t="e">
        <v>#VALUE!</v>
      </c>
      <c r="IF193" s="53">
        <v>7.5</v>
      </c>
      <c r="IG193" s="53">
        <v>22.4</v>
      </c>
      <c r="IH193" s="55"/>
      <c r="II193" s="55"/>
      <c r="IJ193" s="55"/>
      <c r="IK193" s="55"/>
      <c r="IL193" s="55"/>
      <c r="IM193" s="55"/>
      <c r="IN193" s="53">
        <v>80.5</v>
      </c>
      <c r="IO193" s="53">
        <v>83.3</v>
      </c>
      <c r="IP193" s="53" t="e">
        <v>#VALUE!</v>
      </c>
      <c r="IQ193" s="53">
        <v>44.8</v>
      </c>
      <c r="IR193" s="53">
        <v>20.2</v>
      </c>
      <c r="IS193" s="53" t="e">
        <v>#VALUE!</v>
      </c>
      <c r="IT193" s="53">
        <v>20.2</v>
      </c>
      <c r="IU193" s="53" t="e">
        <v>#VALUE!</v>
      </c>
      <c r="IV193" s="53" t="e">
        <v>#VALUE!</v>
      </c>
      <c r="IY193" s="48">
        <f t="shared" si="8"/>
        <v>47.303723096593508</v>
      </c>
      <c r="IZ193" s="48">
        <f>IY193-'NOPA Crush'!J193</f>
        <v>6.3723096593506057E-2</v>
      </c>
      <c r="JB193" s="63">
        <f t="shared" si="6"/>
        <v>11.21586654083838</v>
      </c>
      <c r="JC193" s="64">
        <f>JB193-'NOPA Crush'!O193</f>
        <v>-7.4133459161618731E-2</v>
      </c>
      <c r="JD193" s="65"/>
      <c r="JE193" s="67">
        <f t="shared" si="7"/>
        <v>1100</v>
      </c>
      <c r="JF193" s="68">
        <f>'NOPA Crush'!Q193/'Census Crush'!JE193</f>
        <v>0.38637636363636363</v>
      </c>
    </row>
    <row r="194" spans="1:266">
      <c r="A194" s="39">
        <v>34943</v>
      </c>
      <c r="B194" s="51">
        <v>3222.7</v>
      </c>
      <c r="C194" s="51">
        <v>1625</v>
      </c>
      <c r="D194" s="51">
        <v>245.5</v>
      </c>
      <c r="E194" s="51">
        <v>565.70000000000005</v>
      </c>
      <c r="F194" s="51">
        <v>21.2</v>
      </c>
      <c r="G194" s="51" t="s">
        <v>264</v>
      </c>
      <c r="H194" s="51">
        <v>18.399999999999999</v>
      </c>
      <c r="I194" s="51" t="s">
        <v>264</v>
      </c>
      <c r="J194" s="51" t="s">
        <v>264</v>
      </c>
      <c r="K194" s="51">
        <v>1208.4000000000001</v>
      </c>
      <c r="L194" s="49">
        <v>1136.7</v>
      </c>
      <c r="M194" s="51">
        <v>905.7</v>
      </c>
      <c r="N194" s="51">
        <v>231</v>
      </c>
      <c r="O194" s="51">
        <v>84.3</v>
      </c>
      <c r="P194" s="51">
        <v>82.1</v>
      </c>
      <c r="Q194" s="51">
        <v>27</v>
      </c>
      <c r="R194" s="51">
        <v>55.1</v>
      </c>
      <c r="S194" s="51"/>
      <c r="T194" s="51">
        <v>17.399999999999999</v>
      </c>
      <c r="U194" s="51">
        <v>45.3</v>
      </c>
      <c r="V194" s="51">
        <v>42.4</v>
      </c>
      <c r="W194" s="51">
        <v>2.9</v>
      </c>
      <c r="X194" s="51" t="s">
        <v>264</v>
      </c>
      <c r="Y194" s="51" t="s">
        <v>264</v>
      </c>
      <c r="Z194" s="49">
        <v>81.599999999999994</v>
      </c>
      <c r="AA194" s="51">
        <v>76.599999999999994</v>
      </c>
      <c r="AB194" s="51">
        <v>5</v>
      </c>
      <c r="AC194" s="51" t="s">
        <v>264</v>
      </c>
      <c r="AD194" s="51">
        <v>12.1</v>
      </c>
      <c r="AE194" s="51"/>
      <c r="AF194" s="51">
        <v>54.2</v>
      </c>
      <c r="AG194" s="51">
        <v>25.8</v>
      </c>
      <c r="AH194" s="51">
        <v>28.4</v>
      </c>
      <c r="AI194" s="51">
        <v>190.8</v>
      </c>
      <c r="AJ194" s="51"/>
      <c r="AK194" s="51"/>
      <c r="AL194" s="51">
        <v>240.6</v>
      </c>
      <c r="AM194" s="51">
        <v>182.2</v>
      </c>
      <c r="AN194" s="51">
        <v>58.4</v>
      </c>
      <c r="AO194" s="51">
        <v>2362.9</v>
      </c>
      <c r="AP194" s="51">
        <v>195.9</v>
      </c>
      <c r="AQ194" s="51">
        <v>172.9</v>
      </c>
      <c r="AR194" s="51">
        <v>27.5</v>
      </c>
      <c r="AS194" s="51">
        <v>113.6</v>
      </c>
      <c r="AT194" s="51">
        <v>46.6</v>
      </c>
      <c r="AU194" s="51">
        <v>60.6</v>
      </c>
      <c r="AV194" s="51">
        <v>30.8</v>
      </c>
      <c r="AW194" s="51">
        <v>11</v>
      </c>
      <c r="AX194" s="51">
        <v>5.2</v>
      </c>
      <c r="AY194" s="51" t="s">
        <v>264</v>
      </c>
      <c r="AZ194" s="51" t="s">
        <v>264</v>
      </c>
      <c r="BA194" s="51" t="s">
        <v>264</v>
      </c>
      <c r="BB194" s="51" t="s">
        <v>264</v>
      </c>
      <c r="BC194" s="51"/>
      <c r="BD194" s="53">
        <v>134.1</v>
      </c>
      <c r="BE194" s="53">
        <v>51.8</v>
      </c>
      <c r="BF194" s="55"/>
      <c r="BG194" s="55"/>
      <c r="BH194" s="53">
        <v>298.89999999999998</v>
      </c>
      <c r="BI194" s="55"/>
      <c r="BJ194" s="55"/>
      <c r="BK194" s="53">
        <v>247.2</v>
      </c>
      <c r="BL194" s="53">
        <v>3.3</v>
      </c>
      <c r="BM194" s="53">
        <v>549.4</v>
      </c>
      <c r="BN194" s="53">
        <v>287.7</v>
      </c>
      <c r="BO194" s="55"/>
      <c r="BP194" s="55"/>
      <c r="BQ194" s="53">
        <v>129.30000000000001</v>
      </c>
      <c r="BR194" s="53">
        <v>10.9</v>
      </c>
      <c r="BS194" s="53">
        <v>427.9</v>
      </c>
      <c r="BT194" s="52" t="s">
        <v>264</v>
      </c>
      <c r="BU194" s="53">
        <v>24.3</v>
      </c>
      <c r="BV194" s="51">
        <v>394.9</v>
      </c>
      <c r="BW194" s="51">
        <v>108.3</v>
      </c>
      <c r="BX194" s="51">
        <v>509</v>
      </c>
      <c r="BY194" s="51">
        <v>46.9</v>
      </c>
      <c r="BZ194" s="51">
        <v>11.1</v>
      </c>
      <c r="CA194" s="49">
        <v>58</v>
      </c>
      <c r="CB194" s="55"/>
      <c r="CC194" s="55"/>
      <c r="CD194" s="55"/>
      <c r="CE194" s="55"/>
      <c r="CF194" s="53">
        <v>102.9</v>
      </c>
      <c r="CG194" s="53">
        <v>120.9</v>
      </c>
      <c r="CH194" s="53">
        <v>10.1</v>
      </c>
      <c r="CI194" s="55"/>
      <c r="CJ194" s="55"/>
      <c r="CK194" s="55"/>
      <c r="CL194" s="55"/>
      <c r="CM194" s="55"/>
      <c r="CN194" s="53">
        <v>30.6</v>
      </c>
      <c r="CO194" s="52">
        <v>162.9</v>
      </c>
      <c r="CP194" s="53">
        <v>87</v>
      </c>
      <c r="CQ194" s="53">
        <v>75.900000000000006</v>
      </c>
      <c r="CR194" s="52" t="s">
        <v>264</v>
      </c>
      <c r="CS194" s="52">
        <v>46</v>
      </c>
      <c r="CT194" s="52">
        <v>32.5</v>
      </c>
      <c r="CU194" s="52">
        <v>13.5</v>
      </c>
      <c r="CV194" s="52">
        <v>16.399999999999999</v>
      </c>
      <c r="CW194" s="53">
        <v>5.3</v>
      </c>
      <c r="CX194" s="53">
        <v>11.1</v>
      </c>
      <c r="CY194" s="53" t="s">
        <v>264</v>
      </c>
      <c r="CZ194" s="53">
        <v>54.7</v>
      </c>
      <c r="DA194" s="52">
        <v>21.3</v>
      </c>
      <c r="DB194" s="53">
        <v>20.3</v>
      </c>
      <c r="DC194" s="53">
        <v>1</v>
      </c>
      <c r="DD194" s="55"/>
      <c r="DE194" s="55"/>
      <c r="DF194" s="55"/>
      <c r="DG194" s="53">
        <v>119.157</v>
      </c>
      <c r="DH194" s="55"/>
      <c r="DI194" s="53">
        <v>599.09199999999998</v>
      </c>
      <c r="DJ194" s="53">
        <v>201.07499999999999</v>
      </c>
      <c r="DK194" s="55"/>
      <c r="DL194" s="53">
        <v>123.367</v>
      </c>
      <c r="DM194" s="53">
        <v>250.779</v>
      </c>
      <c r="DN194" s="55"/>
      <c r="DO194" s="53">
        <v>190.453</v>
      </c>
      <c r="DP194" s="53">
        <v>240.75399999999999</v>
      </c>
      <c r="DQ194" s="55"/>
      <c r="DR194" s="55"/>
      <c r="DS194" s="53">
        <v>729.62199999999996</v>
      </c>
      <c r="DT194" s="53">
        <v>3223.8670000000002</v>
      </c>
      <c r="DU194" s="53">
        <v>-888.72500000000036</v>
      </c>
      <c r="DV194" s="53">
        <v>1.1670000000003711</v>
      </c>
      <c r="DW194" s="55"/>
      <c r="DX194" s="55"/>
      <c r="DY194" s="55"/>
      <c r="DZ194" s="55"/>
      <c r="EA194" s="55"/>
      <c r="EB194" s="55"/>
      <c r="EC194" s="55"/>
      <c r="ED194" s="55"/>
      <c r="EE194" s="55"/>
      <c r="EF194" s="55"/>
      <c r="EG194" s="55"/>
      <c r="EH194" s="55"/>
      <c r="EI194" s="55"/>
      <c r="EJ194" s="55"/>
      <c r="EK194" s="55"/>
      <c r="EL194" s="55"/>
      <c r="EM194" s="55"/>
      <c r="EN194" s="55"/>
      <c r="EO194" s="55"/>
      <c r="EP194" s="55"/>
      <c r="EQ194" s="55"/>
      <c r="ER194" s="55"/>
      <c r="ES194" s="55"/>
      <c r="ET194" s="55"/>
      <c r="EU194" s="55"/>
      <c r="EV194" s="55"/>
      <c r="EW194" s="55"/>
      <c r="EX194" s="55"/>
      <c r="EY194" s="55"/>
      <c r="EZ194" s="55"/>
      <c r="FA194" s="55"/>
      <c r="FB194" s="55"/>
      <c r="FC194" s="55"/>
      <c r="FD194" s="55"/>
      <c r="FE194" s="55"/>
      <c r="FF194" s="55"/>
      <c r="FG194" s="55"/>
      <c r="FH194" s="55"/>
      <c r="FI194" s="55"/>
      <c r="FJ194" s="55"/>
      <c r="FK194" s="55"/>
      <c r="FL194" s="55"/>
      <c r="FM194" s="55"/>
      <c r="FN194" s="55"/>
      <c r="FO194" s="55"/>
      <c r="FP194" s="55"/>
      <c r="FQ194" s="55"/>
      <c r="FR194" s="55"/>
      <c r="FS194" s="55"/>
      <c r="FT194" s="55"/>
      <c r="FU194" s="55"/>
      <c r="FV194" s="55"/>
      <c r="FW194" s="55"/>
      <c r="FX194" s="55"/>
      <c r="FY194" s="55"/>
      <c r="FZ194" s="55"/>
      <c r="GA194" s="55"/>
      <c r="GB194" s="55"/>
      <c r="GC194" s="55"/>
      <c r="GD194" s="55"/>
      <c r="GE194" s="55"/>
      <c r="GF194" s="55"/>
      <c r="GG194" s="55"/>
      <c r="GH194" s="55"/>
      <c r="GI194" s="55"/>
      <c r="GJ194" s="55"/>
      <c r="GK194" s="55"/>
      <c r="GL194" s="55"/>
      <c r="GM194" s="55"/>
      <c r="GN194" s="55"/>
      <c r="GO194" s="55"/>
      <c r="GP194" s="55"/>
      <c r="GQ194" s="55"/>
      <c r="GR194" s="55"/>
      <c r="GS194" s="55"/>
      <c r="GT194" s="55"/>
      <c r="GU194" s="55"/>
      <c r="GV194" s="55"/>
      <c r="GW194" s="55"/>
      <c r="GX194" s="55"/>
      <c r="GY194" s="19">
        <v>0.96545961002785508</v>
      </c>
      <c r="GZ194" s="53">
        <v>1039.8</v>
      </c>
      <c r="HA194" s="53">
        <v>1077</v>
      </c>
      <c r="HB194" s="55"/>
      <c r="HC194" s="55"/>
      <c r="HD194" s="55"/>
      <c r="HE194" s="55"/>
      <c r="HF194" s="53">
        <v>1043.3</v>
      </c>
      <c r="HG194" s="53">
        <v>1020.3</v>
      </c>
      <c r="HH194" s="53">
        <v>407.4</v>
      </c>
      <c r="HI194" s="53">
        <v>141.9</v>
      </c>
      <c r="HJ194" s="53">
        <v>451.5</v>
      </c>
      <c r="HK194" s="53">
        <v>19.5</v>
      </c>
      <c r="HL194" s="53">
        <v>23</v>
      </c>
      <c r="HM194" s="55"/>
      <c r="HN194" s="55"/>
      <c r="HO194" s="55"/>
      <c r="HP194" s="53" t="e">
        <v>#VALUE!</v>
      </c>
      <c r="HQ194" s="53">
        <v>3.6</v>
      </c>
      <c r="HR194" s="53">
        <v>9.1</v>
      </c>
      <c r="HS194" s="53" t="e">
        <v>#VALUE!</v>
      </c>
      <c r="HT194" s="53">
        <v>7.1</v>
      </c>
      <c r="HU194" s="55"/>
      <c r="HV194" s="55"/>
      <c r="HW194" s="53">
        <v>272.2</v>
      </c>
      <c r="HX194" s="53" t="e">
        <v>#VALUE!</v>
      </c>
      <c r="HY194" s="53">
        <v>272.2</v>
      </c>
      <c r="HZ194" s="53">
        <v>53.2</v>
      </c>
      <c r="IA194" s="53">
        <v>183.7</v>
      </c>
      <c r="IB194" s="53" t="e">
        <v>#VALUE!</v>
      </c>
      <c r="IC194" s="53" t="e">
        <v>#VALUE!</v>
      </c>
      <c r="ID194" s="53" t="e">
        <v>#VALUE!</v>
      </c>
      <c r="IE194" s="53" t="e">
        <v>#VALUE!</v>
      </c>
      <c r="IF194" s="53">
        <v>7.2</v>
      </c>
      <c r="IG194" s="53">
        <v>24.7</v>
      </c>
      <c r="IH194" s="55"/>
      <c r="II194" s="55"/>
      <c r="IJ194" s="55"/>
      <c r="IK194" s="55"/>
      <c r="IL194" s="55"/>
      <c r="IM194" s="55"/>
      <c r="IN194" s="53">
        <v>69</v>
      </c>
      <c r="IO194" s="53">
        <v>71.599999999999994</v>
      </c>
      <c r="IP194" s="53" t="e">
        <v>#VALUE!</v>
      </c>
      <c r="IQ194" s="53">
        <v>49.1</v>
      </c>
      <c r="IR194" s="53">
        <v>20.2</v>
      </c>
      <c r="IS194" s="53" t="e">
        <v>#VALUE!</v>
      </c>
      <c r="IT194" s="53">
        <v>24</v>
      </c>
      <c r="IU194" s="53" t="e">
        <v>#VALUE!</v>
      </c>
      <c r="IV194" s="53" t="e">
        <v>#VALUE!</v>
      </c>
      <c r="IY194" s="48">
        <f t="shared" si="8"/>
        <v>47.211344524777367</v>
      </c>
      <c r="IZ194" s="48">
        <f>IY194-'NOPA Crush'!J194</f>
        <v>-0.10865547522263341</v>
      </c>
      <c r="JB194" s="63">
        <f t="shared" ref="JB194:JB257" si="9">K194/(B194/30)</f>
        <v>11.248952741490056</v>
      </c>
      <c r="JC194" s="64">
        <f>JB194-'NOPA Crush'!O194</f>
        <v>-3.1047258509943276E-2</v>
      </c>
      <c r="JD194" s="65"/>
      <c r="JE194" s="67">
        <f t="shared" si="7"/>
        <v>1136.7</v>
      </c>
      <c r="JF194" s="68">
        <f>'NOPA Crush'!Q194/'Census Crush'!JE194</f>
        <v>0.37917656373713376</v>
      </c>
    </row>
    <row r="195" spans="1:266">
      <c r="A195" s="39">
        <v>34973</v>
      </c>
      <c r="B195" s="51">
        <v>3618.4</v>
      </c>
      <c r="C195" s="51">
        <v>3766.9</v>
      </c>
      <c r="D195" s="51">
        <v>337.1</v>
      </c>
      <c r="E195" s="51">
        <v>1421.9</v>
      </c>
      <c r="F195" s="51">
        <v>17.399999999999999</v>
      </c>
      <c r="G195" s="51" t="s">
        <v>264</v>
      </c>
      <c r="H195" s="51" t="s">
        <v>264</v>
      </c>
      <c r="I195" s="51" t="s">
        <v>264</v>
      </c>
      <c r="J195" s="51" t="s">
        <v>264</v>
      </c>
      <c r="K195" s="51">
        <v>1354.2</v>
      </c>
      <c r="L195" s="49">
        <v>1195.9000000000001</v>
      </c>
      <c r="M195" s="51">
        <v>990.4</v>
      </c>
      <c r="N195" s="51">
        <v>205.5</v>
      </c>
      <c r="O195" s="51">
        <v>105.2</v>
      </c>
      <c r="P195" s="51">
        <v>82.5</v>
      </c>
      <c r="Q195" s="51">
        <v>32</v>
      </c>
      <c r="R195" s="51">
        <v>50.5</v>
      </c>
      <c r="S195" s="51"/>
      <c r="T195" s="51">
        <v>13.2</v>
      </c>
      <c r="U195" s="51">
        <v>23.099999999999998</v>
      </c>
      <c r="V195" s="51">
        <v>20.399999999999999</v>
      </c>
      <c r="W195" s="51">
        <v>2.7</v>
      </c>
      <c r="X195" s="51" t="s">
        <v>264</v>
      </c>
      <c r="Y195" s="51" t="s">
        <v>264</v>
      </c>
      <c r="Z195" s="49">
        <v>78.5</v>
      </c>
      <c r="AA195" s="51">
        <v>72.2</v>
      </c>
      <c r="AB195" s="51">
        <v>6.3</v>
      </c>
      <c r="AC195" s="51" t="s">
        <v>264</v>
      </c>
      <c r="AD195" s="51">
        <v>12.1</v>
      </c>
      <c r="AE195" s="51"/>
      <c r="AF195" s="51">
        <v>63.300000000000004</v>
      </c>
      <c r="AG195" s="51">
        <v>37.200000000000003</v>
      </c>
      <c r="AH195" s="51">
        <v>26.1</v>
      </c>
      <c r="AI195" s="51">
        <v>179.4</v>
      </c>
      <c r="AJ195" s="51"/>
      <c r="AK195" s="51"/>
      <c r="AL195" s="51">
        <v>225.4</v>
      </c>
      <c r="AM195" s="51">
        <v>184</v>
      </c>
      <c r="AN195" s="51">
        <v>41.4</v>
      </c>
      <c r="AO195" s="51">
        <v>2702.9</v>
      </c>
      <c r="AP195" s="51">
        <v>167.8</v>
      </c>
      <c r="AQ195" s="51">
        <v>190.3</v>
      </c>
      <c r="AR195" s="51">
        <v>29.3</v>
      </c>
      <c r="AS195" s="51">
        <v>159.9</v>
      </c>
      <c r="AT195" s="51">
        <v>34</v>
      </c>
      <c r="AU195" s="51">
        <v>82.2</v>
      </c>
      <c r="AV195" s="51">
        <v>24.3</v>
      </c>
      <c r="AW195" s="51">
        <v>9.1999999999999993</v>
      </c>
      <c r="AX195" s="51">
        <v>3.2</v>
      </c>
      <c r="AY195" s="51" t="s">
        <v>264</v>
      </c>
      <c r="AZ195" s="51" t="s">
        <v>264</v>
      </c>
      <c r="BA195" s="51" t="s">
        <v>264</v>
      </c>
      <c r="BB195" s="51" t="s">
        <v>264</v>
      </c>
      <c r="BC195" s="51"/>
      <c r="BD195" s="53">
        <v>131.5</v>
      </c>
      <c r="BE195" s="53">
        <v>45.1</v>
      </c>
      <c r="BF195" s="55"/>
      <c r="BG195" s="55"/>
      <c r="BH195" s="53">
        <v>324.10000000000002</v>
      </c>
      <c r="BI195" s="55"/>
      <c r="BJ195" s="55"/>
      <c r="BK195" s="53">
        <v>254.4</v>
      </c>
      <c r="BL195" s="53">
        <v>4.0999999999999996</v>
      </c>
      <c r="BM195" s="53">
        <v>582.6</v>
      </c>
      <c r="BN195" s="53">
        <v>252.9</v>
      </c>
      <c r="BO195" s="55"/>
      <c r="BP195" s="55"/>
      <c r="BQ195" s="53">
        <v>121.9</v>
      </c>
      <c r="BR195" s="53">
        <v>10.6</v>
      </c>
      <c r="BS195" s="53">
        <v>385.40000000000003</v>
      </c>
      <c r="BT195" s="52" t="s">
        <v>264</v>
      </c>
      <c r="BU195" s="53">
        <v>19.899999999999999</v>
      </c>
      <c r="BV195" s="51">
        <v>420.9</v>
      </c>
      <c r="BW195" s="51">
        <v>112.9</v>
      </c>
      <c r="BX195" s="51">
        <v>539.1</v>
      </c>
      <c r="BY195" s="51">
        <v>44.4</v>
      </c>
      <c r="BZ195" s="51">
        <v>10.199999999999999</v>
      </c>
      <c r="CA195" s="49">
        <v>54.599999999999994</v>
      </c>
      <c r="CB195" s="55"/>
      <c r="CC195" s="55"/>
      <c r="CD195" s="55"/>
      <c r="CE195" s="55"/>
      <c r="CF195" s="53">
        <v>109.8</v>
      </c>
      <c r="CG195" s="53">
        <v>117.5</v>
      </c>
      <c r="CH195" s="53">
        <v>10.6</v>
      </c>
      <c r="CI195" s="55"/>
      <c r="CJ195" s="55"/>
      <c r="CK195" s="55"/>
      <c r="CL195" s="55"/>
      <c r="CM195" s="55"/>
      <c r="CN195" s="53">
        <v>46.4</v>
      </c>
      <c r="CO195" s="52">
        <v>199.8</v>
      </c>
      <c r="CP195" s="53">
        <v>128.6</v>
      </c>
      <c r="CQ195" s="53">
        <v>71.2</v>
      </c>
      <c r="CR195" s="52" t="s">
        <v>264</v>
      </c>
      <c r="CS195" s="52">
        <v>48</v>
      </c>
      <c r="CT195" s="52">
        <v>28.8</v>
      </c>
      <c r="CU195" s="52">
        <v>19.2</v>
      </c>
      <c r="CV195" s="52">
        <v>34.5</v>
      </c>
      <c r="CW195" s="53">
        <v>5.2</v>
      </c>
      <c r="CX195" s="53">
        <v>29.3</v>
      </c>
      <c r="CY195" s="53" t="s">
        <v>264</v>
      </c>
      <c r="CZ195" s="53">
        <v>53.5</v>
      </c>
      <c r="DA195" s="52">
        <v>29.8</v>
      </c>
      <c r="DB195" s="53">
        <v>29.2</v>
      </c>
      <c r="DC195" s="53">
        <v>0.6</v>
      </c>
      <c r="DD195" s="55"/>
      <c r="DE195" s="55"/>
      <c r="DF195" s="55"/>
      <c r="DG195" s="53">
        <v>135.626</v>
      </c>
      <c r="DH195" s="55"/>
      <c r="DI195" s="53">
        <v>676.923</v>
      </c>
      <c r="DJ195" s="53">
        <v>222.60300000000001</v>
      </c>
      <c r="DK195" s="55"/>
      <c r="DL195" s="53">
        <v>164.958</v>
      </c>
      <c r="DM195" s="53">
        <v>246.95599999999999</v>
      </c>
      <c r="DN195" s="55"/>
      <c r="DO195" s="53">
        <v>220.108</v>
      </c>
      <c r="DP195" s="53">
        <v>267.17500000000001</v>
      </c>
      <c r="DQ195" s="55"/>
      <c r="DR195" s="55"/>
      <c r="DS195" s="53">
        <v>832.94399999999996</v>
      </c>
      <c r="DT195" s="53">
        <v>3616.1190000000001</v>
      </c>
      <c r="DU195" s="53">
        <v>-984.45200000000023</v>
      </c>
      <c r="DV195" s="53">
        <v>-2.2809999999999491</v>
      </c>
      <c r="DW195" s="55"/>
      <c r="DX195" s="55"/>
      <c r="DY195" s="55"/>
      <c r="DZ195" s="55"/>
      <c r="EA195" s="55"/>
      <c r="EB195" s="55"/>
      <c r="EC195" s="55"/>
      <c r="ED195" s="55"/>
      <c r="EE195" s="55"/>
      <c r="EF195" s="55"/>
      <c r="EG195" s="55"/>
      <c r="EH195" s="55"/>
      <c r="EI195" s="55"/>
      <c r="EJ195" s="55"/>
      <c r="EK195" s="55"/>
      <c r="EL195" s="55"/>
      <c r="EM195" s="55"/>
      <c r="EN195" s="55"/>
      <c r="EO195" s="55"/>
      <c r="EP195" s="55"/>
      <c r="EQ195" s="55"/>
      <c r="ER195" s="55"/>
      <c r="ES195" s="55"/>
      <c r="ET195" s="55"/>
      <c r="EU195" s="55"/>
      <c r="EV195" s="55"/>
      <c r="EW195" s="55"/>
      <c r="EX195" s="55"/>
      <c r="EY195" s="55"/>
      <c r="EZ195" s="55"/>
      <c r="FA195" s="55"/>
      <c r="FB195" s="55"/>
      <c r="FC195" s="55"/>
      <c r="FD195" s="55"/>
      <c r="FE195" s="55"/>
      <c r="FF195" s="55"/>
      <c r="FG195" s="55"/>
      <c r="FH195" s="55"/>
      <c r="FI195" s="55"/>
      <c r="FJ195" s="55"/>
      <c r="FK195" s="55"/>
      <c r="FL195" s="55"/>
      <c r="FM195" s="55"/>
      <c r="FN195" s="55"/>
      <c r="FO195" s="55"/>
      <c r="FP195" s="55"/>
      <c r="FQ195" s="55"/>
      <c r="FR195" s="55"/>
      <c r="FS195" s="55"/>
      <c r="FT195" s="55"/>
      <c r="FU195" s="55"/>
      <c r="FV195" s="55"/>
      <c r="FW195" s="55"/>
      <c r="FX195" s="55"/>
      <c r="FY195" s="55"/>
      <c r="FZ195" s="55"/>
      <c r="GA195" s="55"/>
      <c r="GB195" s="55"/>
      <c r="GC195" s="55"/>
      <c r="GD195" s="55"/>
      <c r="GE195" s="55"/>
      <c r="GF195" s="55"/>
      <c r="GG195" s="55"/>
      <c r="GH195" s="55"/>
      <c r="GI195" s="55"/>
      <c r="GJ195" s="55"/>
      <c r="GK195" s="55"/>
      <c r="GL195" s="55"/>
      <c r="GM195" s="55"/>
      <c r="GN195" s="55"/>
      <c r="GO195" s="55"/>
      <c r="GP195" s="55"/>
      <c r="GQ195" s="55"/>
      <c r="GR195" s="55"/>
      <c r="GS195" s="55"/>
      <c r="GT195" s="55"/>
      <c r="GU195" s="55"/>
      <c r="GV195" s="55"/>
      <c r="GW195" s="55"/>
      <c r="GX195" s="55"/>
      <c r="GY195" s="19">
        <v>0.9710220371334376</v>
      </c>
      <c r="GZ195" s="53">
        <v>1119.2</v>
      </c>
      <c r="HA195" s="53">
        <v>1152.5999999999999</v>
      </c>
      <c r="HB195" s="55"/>
      <c r="HC195" s="55"/>
      <c r="HD195" s="55"/>
      <c r="HE195" s="55"/>
      <c r="HF195" s="53">
        <v>1093</v>
      </c>
      <c r="HG195" s="53">
        <v>1066.8</v>
      </c>
      <c r="HH195" s="53">
        <v>437.7</v>
      </c>
      <c r="HI195" s="53">
        <v>150.80000000000001</v>
      </c>
      <c r="HJ195" s="53">
        <v>461.2</v>
      </c>
      <c r="HK195" s="53">
        <v>17.100000000000001</v>
      </c>
      <c r="HL195" s="53">
        <v>26.2</v>
      </c>
      <c r="HM195" s="55"/>
      <c r="HN195" s="55"/>
      <c r="HO195" s="55"/>
      <c r="HP195" s="53" t="e">
        <v>#VALUE!</v>
      </c>
      <c r="HQ195" s="53">
        <v>3</v>
      </c>
      <c r="HR195" s="53">
        <v>10.199999999999999</v>
      </c>
      <c r="HS195" s="53" t="e">
        <v>#VALUE!</v>
      </c>
      <c r="HT195" s="53">
        <v>8.1999999999999993</v>
      </c>
      <c r="HU195" s="55"/>
      <c r="HV195" s="55"/>
      <c r="HW195" s="53">
        <v>289.8</v>
      </c>
      <c r="HX195" s="53" t="e">
        <v>#VALUE!</v>
      </c>
      <c r="HY195" s="53">
        <v>289.8</v>
      </c>
      <c r="HZ195" s="53">
        <v>52.1</v>
      </c>
      <c r="IA195" s="53">
        <v>201.7</v>
      </c>
      <c r="IB195" s="53" t="e">
        <v>#VALUE!</v>
      </c>
      <c r="IC195" s="53" t="e">
        <v>#VALUE!</v>
      </c>
      <c r="ID195" s="53" t="e">
        <v>#VALUE!</v>
      </c>
      <c r="IE195" s="53" t="e">
        <v>#VALUE!</v>
      </c>
      <c r="IF195" s="53">
        <v>7.2</v>
      </c>
      <c r="IG195" s="53">
        <v>25.3</v>
      </c>
      <c r="IH195" s="55"/>
      <c r="II195" s="55"/>
      <c r="IJ195" s="55"/>
      <c r="IK195" s="55"/>
      <c r="IL195" s="55"/>
      <c r="IM195" s="55"/>
      <c r="IN195" s="53">
        <v>74</v>
      </c>
      <c r="IO195" s="53">
        <v>76.099999999999994</v>
      </c>
      <c r="IP195" s="53" t="e">
        <v>#VALUE!</v>
      </c>
      <c r="IQ195" s="53">
        <v>46.7</v>
      </c>
      <c r="IR195" s="53">
        <v>19.899999999999999</v>
      </c>
      <c r="IS195" s="53" t="e">
        <v>#VALUE!</v>
      </c>
      <c r="IT195" s="53">
        <v>21.1</v>
      </c>
      <c r="IU195" s="53" t="e">
        <v>#VALUE!</v>
      </c>
      <c r="IV195" s="53" t="e">
        <v>#VALUE!</v>
      </c>
      <c r="IY195" s="48">
        <f t="shared" si="8"/>
        <v>47.97479548971922</v>
      </c>
      <c r="IZ195" s="48">
        <f>IY195-'NOPA Crush'!J195</f>
        <v>4.4795489719220427E-2</v>
      </c>
      <c r="JB195" s="63">
        <f t="shared" si="9"/>
        <v>11.227614415211145</v>
      </c>
      <c r="JC195" s="64">
        <f>JB195-'NOPA Crush'!O195</f>
        <v>-5.23855847888548E-2</v>
      </c>
      <c r="JD195" s="65"/>
      <c r="JE195" s="67">
        <f t="shared" ref="JE195:JE258" si="10">L195</f>
        <v>1195.9000000000001</v>
      </c>
      <c r="JF195" s="68">
        <f>'NOPA Crush'!Q195/'Census Crush'!JE195</f>
        <v>0.40318672129776734</v>
      </c>
    </row>
    <row r="196" spans="1:266">
      <c r="A196" s="39">
        <v>35004</v>
      </c>
      <c r="B196" s="51">
        <v>3702.3</v>
      </c>
      <c r="C196" s="51">
        <v>3873.2</v>
      </c>
      <c r="D196" s="51">
        <v>386.7</v>
      </c>
      <c r="E196" s="51">
        <v>2335.1999999999998</v>
      </c>
      <c r="F196" s="51">
        <v>24</v>
      </c>
      <c r="G196" s="51" t="s">
        <v>264</v>
      </c>
      <c r="H196" s="51" t="s">
        <v>264</v>
      </c>
      <c r="I196" s="51" t="s">
        <v>264</v>
      </c>
      <c r="J196" s="51" t="s">
        <v>264</v>
      </c>
      <c r="K196" s="51">
        <v>1359.7</v>
      </c>
      <c r="L196" s="49">
        <v>1132</v>
      </c>
      <c r="M196" s="51">
        <v>908.9</v>
      </c>
      <c r="N196" s="51">
        <v>223.1</v>
      </c>
      <c r="O196" s="51">
        <v>121.6</v>
      </c>
      <c r="P196" s="51">
        <v>89.2</v>
      </c>
      <c r="Q196" s="51">
        <v>30.7</v>
      </c>
      <c r="R196" s="51">
        <v>58.5</v>
      </c>
      <c r="S196" s="51"/>
      <c r="T196" s="51">
        <v>19.5</v>
      </c>
      <c r="U196" s="51">
        <v>21.6</v>
      </c>
      <c r="V196" s="51">
        <v>18.600000000000001</v>
      </c>
      <c r="W196" s="51">
        <v>3</v>
      </c>
      <c r="X196" s="51" t="s">
        <v>264</v>
      </c>
      <c r="Y196" s="51" t="s">
        <v>264</v>
      </c>
      <c r="Z196" s="49">
        <v>127</v>
      </c>
      <c r="AA196" s="51">
        <v>119.5</v>
      </c>
      <c r="AB196" s="51">
        <v>7.5</v>
      </c>
      <c r="AC196" s="51" t="s">
        <v>264</v>
      </c>
      <c r="AD196" s="51">
        <v>12.2</v>
      </c>
      <c r="AE196" s="51"/>
      <c r="AF196" s="51">
        <v>46.5</v>
      </c>
      <c r="AG196" s="51">
        <v>26.3</v>
      </c>
      <c r="AH196" s="51">
        <v>20.2</v>
      </c>
      <c r="AI196" s="51">
        <v>173.8</v>
      </c>
      <c r="AJ196" s="51"/>
      <c r="AK196" s="51"/>
      <c r="AL196" s="51">
        <v>201.29999999999998</v>
      </c>
      <c r="AM196" s="51">
        <v>172.1</v>
      </c>
      <c r="AN196" s="51">
        <v>29.2</v>
      </c>
      <c r="AO196" s="51">
        <v>2738.4</v>
      </c>
      <c r="AP196" s="51">
        <v>206.8</v>
      </c>
      <c r="AQ196" s="51">
        <v>210.6</v>
      </c>
      <c r="AR196" s="51">
        <v>34.700000000000003</v>
      </c>
      <c r="AS196" s="51">
        <v>178.2</v>
      </c>
      <c r="AT196" s="51">
        <v>27</v>
      </c>
      <c r="AU196" s="51">
        <v>99.3</v>
      </c>
      <c r="AV196" s="51">
        <v>14.6</v>
      </c>
      <c r="AW196" s="51">
        <v>11.4</v>
      </c>
      <c r="AX196" s="51">
        <v>1.9</v>
      </c>
      <c r="AY196" s="51" t="s">
        <v>264</v>
      </c>
      <c r="AZ196" s="51" t="s">
        <v>264</v>
      </c>
      <c r="BA196" s="51" t="s">
        <v>264</v>
      </c>
      <c r="BB196" s="51" t="s">
        <v>264</v>
      </c>
      <c r="BC196" s="51"/>
      <c r="BD196" s="53">
        <v>128.6</v>
      </c>
      <c r="BE196" s="53">
        <v>50.6</v>
      </c>
      <c r="BF196" s="55"/>
      <c r="BG196" s="55"/>
      <c r="BH196" s="53">
        <v>318.60000000000002</v>
      </c>
      <c r="BI196" s="55"/>
      <c r="BJ196" s="55"/>
      <c r="BK196" s="53">
        <v>238.9</v>
      </c>
      <c r="BL196" s="53">
        <v>4.0999999999999996</v>
      </c>
      <c r="BM196" s="53">
        <v>561.6</v>
      </c>
      <c r="BN196" s="53">
        <v>266.10000000000002</v>
      </c>
      <c r="BO196" s="55"/>
      <c r="BP196" s="55"/>
      <c r="BQ196" s="53">
        <v>105.8</v>
      </c>
      <c r="BR196" s="53">
        <v>10.9</v>
      </c>
      <c r="BS196" s="53">
        <v>382.8</v>
      </c>
      <c r="BT196" s="52" t="s">
        <v>264</v>
      </c>
      <c r="BU196" s="53">
        <v>21.6</v>
      </c>
      <c r="BV196" s="51">
        <v>407.4</v>
      </c>
      <c r="BW196" s="51">
        <v>110.5</v>
      </c>
      <c r="BX196" s="51">
        <v>523.9</v>
      </c>
      <c r="BY196" s="51">
        <v>51.1</v>
      </c>
      <c r="BZ196" s="51">
        <v>12.1</v>
      </c>
      <c r="CA196" s="49">
        <v>63.2</v>
      </c>
      <c r="CB196" s="55"/>
      <c r="CC196" s="55"/>
      <c r="CD196" s="55"/>
      <c r="CE196" s="55"/>
      <c r="CF196" s="53">
        <v>105.2</v>
      </c>
      <c r="CG196" s="53">
        <v>112.9</v>
      </c>
      <c r="CH196" s="53">
        <v>7.9</v>
      </c>
      <c r="CI196" s="55"/>
      <c r="CJ196" s="55"/>
      <c r="CK196" s="55"/>
      <c r="CL196" s="55"/>
      <c r="CM196" s="55"/>
      <c r="CN196" s="53">
        <v>39</v>
      </c>
      <c r="CO196" s="52">
        <v>187.7</v>
      </c>
      <c r="CP196" s="53">
        <v>101.6</v>
      </c>
      <c r="CQ196" s="53">
        <v>86.1</v>
      </c>
      <c r="CR196" s="52" t="s">
        <v>264</v>
      </c>
      <c r="CS196" s="52">
        <v>44.4</v>
      </c>
      <c r="CT196" s="52">
        <v>26</v>
      </c>
      <c r="CU196" s="52">
        <v>18.399999999999999</v>
      </c>
      <c r="CV196" s="52">
        <v>43.4</v>
      </c>
      <c r="CW196" s="53">
        <v>6.4</v>
      </c>
      <c r="CX196" s="53">
        <v>37</v>
      </c>
      <c r="CY196" s="53" t="s">
        <v>264</v>
      </c>
      <c r="CZ196" s="53">
        <v>48.8</v>
      </c>
      <c r="DA196" s="52">
        <v>37.299999999999997</v>
      </c>
      <c r="DB196" s="53">
        <v>36.5</v>
      </c>
      <c r="DC196" s="53">
        <v>0.8</v>
      </c>
      <c r="DD196" s="55"/>
      <c r="DE196" s="55"/>
      <c r="DF196" s="55"/>
      <c r="DG196" s="53">
        <v>132.30000000000001</v>
      </c>
      <c r="DH196" s="55"/>
      <c r="DI196" s="53">
        <v>667.202</v>
      </c>
      <c r="DJ196" s="53">
        <v>229.458</v>
      </c>
      <c r="DK196" s="55"/>
      <c r="DL196" s="53">
        <v>159.69499999999999</v>
      </c>
      <c r="DM196" s="53">
        <v>253.41300000000001</v>
      </c>
      <c r="DN196" s="55"/>
      <c r="DO196" s="53">
        <v>207.161</v>
      </c>
      <c r="DP196" s="53">
        <v>277.44499999999999</v>
      </c>
      <c r="DQ196" s="55"/>
      <c r="DR196" s="55"/>
      <c r="DS196" s="53">
        <v>919.572</v>
      </c>
      <c r="DT196" s="53">
        <v>3699.9839999999999</v>
      </c>
      <c r="DU196" s="53">
        <v>-986.03800000000001</v>
      </c>
      <c r="DV196" s="53">
        <v>-2.3160000000002583</v>
      </c>
      <c r="DW196" s="55"/>
      <c r="DX196" s="55"/>
      <c r="DY196" s="55"/>
      <c r="DZ196" s="55"/>
      <c r="EA196" s="55"/>
      <c r="EB196" s="55"/>
      <c r="EC196" s="55"/>
      <c r="ED196" s="55"/>
      <c r="EE196" s="55"/>
      <c r="EF196" s="55"/>
      <c r="EG196" s="55"/>
      <c r="EH196" s="55"/>
      <c r="EI196" s="55"/>
      <c r="EJ196" s="55"/>
      <c r="EK196" s="55"/>
      <c r="EL196" s="55"/>
      <c r="EM196" s="55"/>
      <c r="EN196" s="55"/>
      <c r="EO196" s="55"/>
      <c r="EP196" s="55"/>
      <c r="EQ196" s="55"/>
      <c r="ER196" s="55"/>
      <c r="ES196" s="55"/>
      <c r="ET196" s="55"/>
      <c r="EU196" s="55"/>
      <c r="EV196" s="55"/>
      <c r="EW196" s="55"/>
      <c r="EX196" s="55"/>
      <c r="EY196" s="55"/>
      <c r="EZ196" s="55"/>
      <c r="FA196" s="55"/>
      <c r="FB196" s="55"/>
      <c r="FC196" s="55"/>
      <c r="FD196" s="55"/>
      <c r="FE196" s="55"/>
      <c r="FF196" s="55"/>
      <c r="FG196" s="55"/>
      <c r="FH196" s="55"/>
      <c r="FI196" s="55"/>
      <c r="FJ196" s="55"/>
      <c r="FK196" s="55"/>
      <c r="FL196" s="55"/>
      <c r="FM196" s="55"/>
      <c r="FN196" s="55"/>
      <c r="FO196" s="55"/>
      <c r="FP196" s="55"/>
      <c r="FQ196" s="55"/>
      <c r="FR196" s="55"/>
      <c r="FS196" s="55"/>
      <c r="FT196" s="55"/>
      <c r="FU196" s="55"/>
      <c r="FV196" s="55"/>
      <c r="FW196" s="55"/>
      <c r="FX196" s="55"/>
      <c r="FY196" s="55"/>
      <c r="FZ196" s="55"/>
      <c r="GA196" s="55"/>
      <c r="GB196" s="55"/>
      <c r="GC196" s="55"/>
      <c r="GD196" s="55"/>
      <c r="GE196" s="55"/>
      <c r="GF196" s="55"/>
      <c r="GG196" s="55"/>
      <c r="GH196" s="55"/>
      <c r="GI196" s="55"/>
      <c r="GJ196" s="55"/>
      <c r="GK196" s="55"/>
      <c r="GL196" s="55"/>
      <c r="GM196" s="55"/>
      <c r="GN196" s="55"/>
      <c r="GO196" s="55"/>
      <c r="GP196" s="55"/>
      <c r="GQ196" s="55"/>
      <c r="GR196" s="55"/>
      <c r="GS196" s="55"/>
      <c r="GT196" s="55"/>
      <c r="GU196" s="55"/>
      <c r="GV196" s="55"/>
      <c r="GW196" s="55"/>
      <c r="GX196" s="55"/>
      <c r="GY196" s="19">
        <v>0.9695458593054318</v>
      </c>
      <c r="GZ196" s="53">
        <v>1088.8</v>
      </c>
      <c r="HA196" s="53">
        <v>1123</v>
      </c>
      <c r="HB196" s="55"/>
      <c r="HC196" s="55"/>
      <c r="HD196" s="55"/>
      <c r="HE196" s="55"/>
      <c r="HF196" s="53">
        <v>1068.5999999999999</v>
      </c>
      <c r="HG196" s="53">
        <v>1045.5</v>
      </c>
      <c r="HH196" s="53">
        <v>414.9</v>
      </c>
      <c r="HI196" s="53">
        <v>166.6</v>
      </c>
      <c r="HJ196" s="53">
        <v>445.2</v>
      </c>
      <c r="HK196" s="53">
        <v>18.8</v>
      </c>
      <c r="HL196" s="53">
        <v>23.1</v>
      </c>
      <c r="HM196" s="55"/>
      <c r="HN196" s="55"/>
      <c r="HO196" s="55"/>
      <c r="HP196" s="53" t="e">
        <v>#VALUE!</v>
      </c>
      <c r="HQ196" s="53">
        <v>2.7</v>
      </c>
      <c r="HR196" s="53">
        <v>9.1</v>
      </c>
      <c r="HS196" s="53" t="e">
        <v>#VALUE!</v>
      </c>
      <c r="HT196" s="53">
        <v>8.4</v>
      </c>
      <c r="HU196" s="55"/>
      <c r="HV196" s="55"/>
      <c r="HW196" s="53">
        <v>274.5</v>
      </c>
      <c r="HX196" s="53" t="e">
        <v>#VALUE!</v>
      </c>
      <c r="HY196" s="53">
        <v>274.5</v>
      </c>
      <c r="HZ196" s="53">
        <v>51.2</v>
      </c>
      <c r="IA196" s="53">
        <v>190.1</v>
      </c>
      <c r="IB196" s="53" t="e">
        <v>#VALUE!</v>
      </c>
      <c r="IC196" s="53" t="e">
        <v>#VALUE!</v>
      </c>
      <c r="ID196" s="53" t="e">
        <v>#VALUE!</v>
      </c>
      <c r="IE196" s="53" t="e">
        <v>#VALUE!</v>
      </c>
      <c r="IF196" s="53">
        <v>7.6</v>
      </c>
      <c r="IG196" s="53">
        <v>22.1</v>
      </c>
      <c r="IH196" s="55"/>
      <c r="II196" s="55"/>
      <c r="IJ196" s="55"/>
      <c r="IK196" s="55"/>
      <c r="IL196" s="55"/>
      <c r="IM196" s="55"/>
      <c r="IN196" s="53">
        <v>89.5</v>
      </c>
      <c r="IO196" s="53">
        <v>91.8</v>
      </c>
      <c r="IP196" s="53" t="e">
        <v>#VALUE!</v>
      </c>
      <c r="IQ196" s="53">
        <v>40.5</v>
      </c>
      <c r="IR196" s="53">
        <v>17.5</v>
      </c>
      <c r="IS196" s="53" t="e">
        <v>#VALUE!</v>
      </c>
      <c r="IT196" s="53">
        <v>18.3</v>
      </c>
      <c r="IU196" s="53" t="e">
        <v>#VALUE!</v>
      </c>
      <c r="IV196" s="53" t="e">
        <v>#VALUE!</v>
      </c>
      <c r="IY196" s="48">
        <f t="shared" ref="IY196:IY259" si="11">((AO196+AQ196)*2)/(B196/30)</f>
        <v>47.79191313507819</v>
      </c>
      <c r="IZ196" s="48">
        <f>IY196-'NOPA Crush'!J196</f>
        <v>1.1913135078188475E-2</v>
      </c>
      <c r="JB196" s="63">
        <f t="shared" si="9"/>
        <v>11.017745725630013</v>
      </c>
      <c r="JC196" s="64">
        <f>JB196-'NOPA Crush'!O196</f>
        <v>-6.2254274369987428E-2</v>
      </c>
      <c r="JD196" s="65"/>
      <c r="JE196" s="67">
        <f t="shared" si="10"/>
        <v>1132</v>
      </c>
      <c r="JF196" s="68">
        <f>'NOPA Crush'!Q196/'Census Crush'!JE196</f>
        <v>0.38074646643109539</v>
      </c>
    </row>
    <row r="197" spans="1:266">
      <c r="A197" s="39">
        <v>35034</v>
      </c>
      <c r="B197" s="51">
        <v>3753</v>
      </c>
      <c r="C197" s="51">
        <v>3599.1</v>
      </c>
      <c r="D197" s="51">
        <v>362.4</v>
      </c>
      <c r="E197" s="51">
        <v>2569.3000000000002</v>
      </c>
      <c r="F197" s="51">
        <v>29.3</v>
      </c>
      <c r="G197" s="51" t="s">
        <v>264</v>
      </c>
      <c r="H197" s="51" t="s">
        <v>264</v>
      </c>
      <c r="I197" s="51" t="s">
        <v>264</v>
      </c>
      <c r="J197" s="51" t="s">
        <v>264</v>
      </c>
      <c r="K197" s="51">
        <v>1381.6</v>
      </c>
      <c r="L197" s="49">
        <v>1408.8999999999999</v>
      </c>
      <c r="M197" s="51">
        <v>1154.3</v>
      </c>
      <c r="N197" s="51">
        <v>254.6</v>
      </c>
      <c r="O197" s="51">
        <v>111.6</v>
      </c>
      <c r="P197" s="51">
        <v>94.9</v>
      </c>
      <c r="Q197" s="51">
        <v>29</v>
      </c>
      <c r="R197" s="51">
        <v>65.900000000000006</v>
      </c>
      <c r="S197" s="51"/>
      <c r="T197" s="51">
        <v>24.3</v>
      </c>
      <c r="U197" s="51">
        <v>22.7</v>
      </c>
      <c r="V197" s="51">
        <v>19.899999999999999</v>
      </c>
      <c r="W197" s="51">
        <v>2.8</v>
      </c>
      <c r="X197" s="51" t="s">
        <v>264</v>
      </c>
      <c r="Y197" s="51" t="s">
        <v>264</v>
      </c>
      <c r="Z197" s="49">
        <v>143.89999999999998</v>
      </c>
      <c r="AA197" s="51">
        <v>137.19999999999999</v>
      </c>
      <c r="AB197" s="51">
        <v>6.7</v>
      </c>
      <c r="AC197" s="51" t="s">
        <v>264</v>
      </c>
      <c r="AD197" s="51">
        <v>12.7</v>
      </c>
      <c r="AE197" s="51"/>
      <c r="AF197" s="51">
        <v>54.2</v>
      </c>
      <c r="AG197" s="51">
        <v>35.700000000000003</v>
      </c>
      <c r="AH197" s="51">
        <v>18.5</v>
      </c>
      <c r="AI197" s="51">
        <v>184.5</v>
      </c>
      <c r="AJ197" s="51"/>
      <c r="AK197" s="51"/>
      <c r="AL197" s="51">
        <v>196.4</v>
      </c>
      <c r="AM197" s="51">
        <v>150.30000000000001</v>
      </c>
      <c r="AN197" s="51">
        <v>46.1</v>
      </c>
      <c r="AO197" s="51">
        <v>2763.9</v>
      </c>
      <c r="AP197" s="51">
        <v>347.5</v>
      </c>
      <c r="AQ197" s="51">
        <v>208.3</v>
      </c>
      <c r="AR197" s="51">
        <v>47.7</v>
      </c>
      <c r="AS197" s="51">
        <v>161</v>
      </c>
      <c r="AT197" s="51">
        <v>21.2</v>
      </c>
      <c r="AU197" s="51">
        <v>96.3</v>
      </c>
      <c r="AV197" s="51">
        <v>20.7</v>
      </c>
      <c r="AW197" s="51">
        <v>16.600000000000001</v>
      </c>
      <c r="AX197" s="51">
        <v>3.1</v>
      </c>
      <c r="AY197" s="51" t="s">
        <v>264</v>
      </c>
      <c r="AZ197" s="51" t="s">
        <v>264</v>
      </c>
      <c r="BA197" s="51" t="s">
        <v>264</v>
      </c>
      <c r="BB197" s="51" t="s">
        <v>264</v>
      </c>
      <c r="BC197" s="51"/>
      <c r="BD197" s="53">
        <v>118.3</v>
      </c>
      <c r="BE197" s="53">
        <v>43.1</v>
      </c>
      <c r="BF197" s="55"/>
      <c r="BG197" s="55"/>
      <c r="BH197" s="53">
        <v>302</v>
      </c>
      <c r="BI197" s="55"/>
      <c r="BJ197" s="55"/>
      <c r="BK197" s="53">
        <v>224.3</v>
      </c>
      <c r="BL197" s="53">
        <v>4.2</v>
      </c>
      <c r="BM197" s="53">
        <v>530.5</v>
      </c>
      <c r="BN197" s="53">
        <v>270.7</v>
      </c>
      <c r="BO197" s="55"/>
      <c r="BP197" s="55"/>
      <c r="BQ197" s="53">
        <v>95.2</v>
      </c>
      <c r="BR197" s="53">
        <v>6.9</v>
      </c>
      <c r="BS197" s="53">
        <v>372.79999999999995</v>
      </c>
      <c r="BT197" s="52" t="s">
        <v>264</v>
      </c>
      <c r="BU197" s="53">
        <v>38.4</v>
      </c>
      <c r="BV197" s="51">
        <v>382.7</v>
      </c>
      <c r="BW197" s="51">
        <v>101.4</v>
      </c>
      <c r="BX197" s="51">
        <v>489.1</v>
      </c>
      <c r="BY197" s="51">
        <v>50.8</v>
      </c>
      <c r="BZ197" s="51">
        <v>9.6</v>
      </c>
      <c r="CA197" s="49">
        <v>60.4</v>
      </c>
      <c r="CB197" s="55"/>
      <c r="CC197" s="55"/>
      <c r="CD197" s="55"/>
      <c r="CE197" s="55"/>
      <c r="CF197" s="53">
        <v>105.2</v>
      </c>
      <c r="CG197" s="53">
        <v>100.7</v>
      </c>
      <c r="CH197" s="53">
        <v>6</v>
      </c>
      <c r="CI197" s="55"/>
      <c r="CJ197" s="55"/>
      <c r="CK197" s="55"/>
      <c r="CL197" s="55"/>
      <c r="CM197" s="55"/>
      <c r="CN197" s="53">
        <v>42.1</v>
      </c>
      <c r="CO197" s="52">
        <v>164.8</v>
      </c>
      <c r="CP197" s="53">
        <v>102.4</v>
      </c>
      <c r="CQ197" s="53">
        <v>62.4</v>
      </c>
      <c r="CR197" s="52" t="s">
        <v>264</v>
      </c>
      <c r="CS197" s="52">
        <v>45.3</v>
      </c>
      <c r="CT197" s="52">
        <v>23.2</v>
      </c>
      <c r="CU197" s="52">
        <v>22.1</v>
      </c>
      <c r="CV197" s="52">
        <v>43</v>
      </c>
      <c r="CW197" s="53">
        <v>7.7</v>
      </c>
      <c r="CX197" s="53">
        <v>35.299999999999997</v>
      </c>
      <c r="CY197" s="53">
        <v>13.2</v>
      </c>
      <c r="CZ197" s="53">
        <v>48.7</v>
      </c>
      <c r="DA197" s="52">
        <v>41.9</v>
      </c>
      <c r="DB197" s="53">
        <v>41.5</v>
      </c>
      <c r="DC197" s="53">
        <v>0.4</v>
      </c>
      <c r="DD197" s="55"/>
      <c r="DE197" s="55"/>
      <c r="DF197" s="55"/>
      <c r="DG197" s="53">
        <v>128.101</v>
      </c>
      <c r="DH197" s="55"/>
      <c r="DI197" s="53">
        <v>676.05200000000002</v>
      </c>
      <c r="DJ197" s="53">
        <v>218.64699999999999</v>
      </c>
      <c r="DK197" s="55"/>
      <c r="DL197" s="53">
        <v>164.821</v>
      </c>
      <c r="DM197" s="53">
        <v>262.96699999999998</v>
      </c>
      <c r="DN197" s="55"/>
      <c r="DO197" s="53">
        <v>223.57400000000001</v>
      </c>
      <c r="DP197" s="53">
        <v>276.745</v>
      </c>
      <c r="DQ197" s="55"/>
      <c r="DR197" s="55"/>
      <c r="DS197" s="53">
        <v>904.76499999999999</v>
      </c>
      <c r="DT197" s="53">
        <v>3750.5929999999998</v>
      </c>
      <c r="DU197" s="53">
        <v>-1023.0219999999999</v>
      </c>
      <c r="DV197" s="53">
        <v>-2.4070000000001528</v>
      </c>
      <c r="DW197" s="55"/>
      <c r="DX197" s="55"/>
      <c r="DY197" s="55"/>
      <c r="DZ197" s="55"/>
      <c r="EA197" s="55"/>
      <c r="EB197" s="55"/>
      <c r="EC197" s="55"/>
      <c r="ED197" s="55"/>
      <c r="EE197" s="55"/>
      <c r="EF197" s="55"/>
      <c r="EG197" s="55"/>
      <c r="EH197" s="55"/>
      <c r="EI197" s="55"/>
      <c r="EJ197" s="55"/>
      <c r="EK197" s="55"/>
      <c r="EL197" s="55"/>
      <c r="EM197" s="55"/>
      <c r="EN197" s="55"/>
      <c r="EO197" s="55"/>
      <c r="EP197" s="55"/>
      <c r="EQ197" s="55"/>
      <c r="ER197" s="55"/>
      <c r="ES197" s="55"/>
      <c r="ET197" s="55"/>
      <c r="EU197" s="55"/>
      <c r="EV197" s="55"/>
      <c r="EW197" s="55"/>
      <c r="EX197" s="55"/>
      <c r="EY197" s="55"/>
      <c r="EZ197" s="55"/>
      <c r="FA197" s="55"/>
      <c r="FB197" s="55"/>
      <c r="FC197" s="55"/>
      <c r="FD197" s="55"/>
      <c r="FE197" s="55"/>
      <c r="FF197" s="55"/>
      <c r="FG197" s="55"/>
      <c r="FH197" s="55"/>
      <c r="FI197" s="55"/>
      <c r="FJ197" s="55"/>
      <c r="FK197" s="55"/>
      <c r="FL197" s="55"/>
      <c r="FM197" s="55"/>
      <c r="FN197" s="55"/>
      <c r="FO197" s="55"/>
      <c r="FP197" s="55"/>
      <c r="FQ197" s="55"/>
      <c r="FR197" s="55"/>
      <c r="FS197" s="55"/>
      <c r="FT197" s="55"/>
      <c r="FU197" s="55"/>
      <c r="FV197" s="55"/>
      <c r="FW197" s="55"/>
      <c r="FX197" s="55"/>
      <c r="FY197" s="55"/>
      <c r="FZ197" s="55"/>
      <c r="GA197" s="55"/>
      <c r="GB197" s="55"/>
      <c r="GC197" s="55"/>
      <c r="GD197" s="55"/>
      <c r="GE197" s="55"/>
      <c r="GF197" s="55"/>
      <c r="GG197" s="55"/>
      <c r="GH197" s="55"/>
      <c r="GI197" s="55"/>
      <c r="GJ197" s="55"/>
      <c r="GK197" s="55"/>
      <c r="GL197" s="55"/>
      <c r="GM197" s="55"/>
      <c r="GN197" s="55"/>
      <c r="GO197" s="55"/>
      <c r="GP197" s="55"/>
      <c r="GQ197" s="55"/>
      <c r="GR197" s="55"/>
      <c r="GS197" s="55"/>
      <c r="GT197" s="55"/>
      <c r="GU197" s="55"/>
      <c r="GV197" s="55"/>
      <c r="GW197" s="55"/>
      <c r="GX197" s="55"/>
      <c r="GY197" s="19">
        <v>0.96963061690784458</v>
      </c>
      <c r="GZ197" s="53">
        <v>1018.5</v>
      </c>
      <c r="HA197" s="53">
        <v>1050.4000000000001</v>
      </c>
      <c r="HB197" s="55"/>
      <c r="HC197" s="55"/>
      <c r="HD197" s="55"/>
      <c r="HE197" s="55"/>
      <c r="HF197" s="53">
        <v>1003.6</v>
      </c>
      <c r="HG197" s="53">
        <v>984.5</v>
      </c>
      <c r="HH197" s="53">
        <v>387</v>
      </c>
      <c r="HI197" s="53">
        <v>158.1</v>
      </c>
      <c r="HJ197" s="53">
        <v>421</v>
      </c>
      <c r="HK197" s="53">
        <v>18.399999999999999</v>
      </c>
      <c r="HL197" s="53">
        <v>19.100000000000001</v>
      </c>
      <c r="HM197" s="55"/>
      <c r="HN197" s="55"/>
      <c r="HO197" s="55"/>
      <c r="HP197" s="53" t="e">
        <v>#VALUE!</v>
      </c>
      <c r="HQ197" s="53">
        <v>2.4</v>
      </c>
      <c r="HR197" s="53">
        <v>5.9</v>
      </c>
      <c r="HS197" s="53" t="e">
        <v>#VALUE!</v>
      </c>
      <c r="HT197" s="53">
        <v>8.1</v>
      </c>
      <c r="HU197" s="55"/>
      <c r="HV197" s="55"/>
      <c r="HW197" s="53">
        <v>257.7</v>
      </c>
      <c r="HX197" s="53" t="e">
        <v>#VALUE!</v>
      </c>
      <c r="HY197" s="53">
        <v>257.7</v>
      </c>
      <c r="HZ197" s="53">
        <v>50.8</v>
      </c>
      <c r="IA197" s="53">
        <v>177.6</v>
      </c>
      <c r="IB197" s="53" t="e">
        <v>#VALUE!</v>
      </c>
      <c r="IC197" s="53" t="e">
        <v>#VALUE!</v>
      </c>
      <c r="ID197" s="53" t="e">
        <v>#VALUE!</v>
      </c>
      <c r="IE197" s="53" t="e">
        <v>#VALUE!</v>
      </c>
      <c r="IF197" s="53">
        <v>7.2</v>
      </c>
      <c r="IG197" s="53">
        <v>18.8</v>
      </c>
      <c r="IH197" s="55"/>
      <c r="II197" s="55"/>
      <c r="IJ197" s="55"/>
      <c r="IK197" s="55"/>
      <c r="IL197" s="55"/>
      <c r="IM197" s="55"/>
      <c r="IN197" s="53">
        <v>86.9</v>
      </c>
      <c r="IO197" s="53">
        <v>89.7</v>
      </c>
      <c r="IP197" s="53" t="e">
        <v>#VALUE!</v>
      </c>
      <c r="IQ197" s="53">
        <v>35.700000000000003</v>
      </c>
      <c r="IR197" s="53">
        <v>14.6</v>
      </c>
      <c r="IS197" s="53" t="e">
        <v>#VALUE!</v>
      </c>
      <c r="IT197" s="53">
        <v>16.399999999999999</v>
      </c>
      <c r="IU197" s="53" t="e">
        <v>#VALUE!</v>
      </c>
      <c r="IV197" s="53" t="e">
        <v>#VALUE!</v>
      </c>
      <c r="IY197" s="48">
        <f t="shared" si="11"/>
        <v>47.51718625099921</v>
      </c>
      <c r="IZ197" s="48">
        <f>IY197-'NOPA Crush'!J197</f>
        <v>-0.10281374900078788</v>
      </c>
      <c r="JB197" s="63">
        <f t="shared" si="9"/>
        <v>11.04396482813749</v>
      </c>
      <c r="JC197" s="64">
        <f>JB197-'NOPA Crush'!O197</f>
        <v>-7.6035171862509188E-2</v>
      </c>
      <c r="JD197" s="65"/>
      <c r="JE197" s="67">
        <f t="shared" si="10"/>
        <v>1408.8999999999999</v>
      </c>
      <c r="JF197" s="68">
        <f>'NOPA Crush'!Q197/'Census Crush'!JE197</f>
        <v>0.41777840868762867</v>
      </c>
    </row>
    <row r="198" spans="1:266">
      <c r="A198" s="39">
        <v>35065</v>
      </c>
      <c r="B198" s="51">
        <v>3683.8</v>
      </c>
      <c r="C198" s="51">
        <v>3708.6</v>
      </c>
      <c r="D198" s="51">
        <v>402.3</v>
      </c>
      <c r="E198" s="51">
        <v>2262.6999999999998</v>
      </c>
      <c r="F198" s="51">
        <v>34.5</v>
      </c>
      <c r="G198" s="51" t="s">
        <v>264</v>
      </c>
      <c r="H198" s="51" t="s">
        <v>264</v>
      </c>
      <c r="I198" s="51" t="s">
        <v>264</v>
      </c>
      <c r="J198" s="51" t="s">
        <v>264</v>
      </c>
      <c r="K198" s="51">
        <v>1361.2</v>
      </c>
      <c r="L198" s="49">
        <v>1512.6000000000001</v>
      </c>
      <c r="M198" s="51">
        <v>1237.4000000000001</v>
      </c>
      <c r="N198" s="51">
        <v>275.2</v>
      </c>
      <c r="O198" s="51">
        <v>130.9</v>
      </c>
      <c r="P198" s="51">
        <v>118.2</v>
      </c>
      <c r="Q198" s="51">
        <v>30.7</v>
      </c>
      <c r="R198" s="51">
        <v>87.5</v>
      </c>
      <c r="S198" s="51"/>
      <c r="T198" s="51">
        <v>29.2</v>
      </c>
      <c r="U198" s="51">
        <v>40.5</v>
      </c>
      <c r="V198" s="51">
        <v>36.9</v>
      </c>
      <c r="W198" s="51">
        <v>3.6</v>
      </c>
      <c r="X198" s="51" t="s">
        <v>264</v>
      </c>
      <c r="Y198" s="51" t="s">
        <v>264</v>
      </c>
      <c r="Z198" s="49">
        <v>109</v>
      </c>
      <c r="AA198" s="51">
        <v>104.7</v>
      </c>
      <c r="AB198" s="51">
        <v>4.3</v>
      </c>
      <c r="AC198" s="51" t="s">
        <v>264</v>
      </c>
      <c r="AD198" s="51">
        <v>8.5</v>
      </c>
      <c r="AE198" s="51"/>
      <c r="AF198" s="51">
        <v>50</v>
      </c>
      <c r="AG198" s="51">
        <v>31.2</v>
      </c>
      <c r="AH198" s="51">
        <v>18.8</v>
      </c>
      <c r="AI198" s="51">
        <v>186.1</v>
      </c>
      <c r="AJ198" s="51"/>
      <c r="AK198" s="51"/>
      <c r="AL198" s="51">
        <v>166.60000000000002</v>
      </c>
      <c r="AM198" s="51">
        <v>134.30000000000001</v>
      </c>
      <c r="AN198" s="51">
        <v>32.299999999999997</v>
      </c>
      <c r="AO198" s="51">
        <v>2730.4</v>
      </c>
      <c r="AP198" s="51">
        <v>261.7</v>
      </c>
      <c r="AQ198" s="51">
        <v>214.8</v>
      </c>
      <c r="AR198" s="51">
        <v>40.5</v>
      </c>
      <c r="AS198" s="51">
        <v>183.8</v>
      </c>
      <c r="AT198" s="51">
        <v>15.6</v>
      </c>
      <c r="AU198" s="51">
        <v>103.9</v>
      </c>
      <c r="AV198" s="51">
        <v>26.2</v>
      </c>
      <c r="AW198" s="51">
        <v>19.8</v>
      </c>
      <c r="AX198" s="51">
        <v>3.1</v>
      </c>
      <c r="AY198" s="51" t="s">
        <v>264</v>
      </c>
      <c r="AZ198" s="51" t="s">
        <v>264</v>
      </c>
      <c r="BA198" s="51" t="s">
        <v>264</v>
      </c>
      <c r="BB198" s="51" t="s">
        <v>264</v>
      </c>
      <c r="BC198" s="51"/>
      <c r="BD198" s="53">
        <v>140.30000000000001</v>
      </c>
      <c r="BE198" s="53">
        <v>35.9</v>
      </c>
      <c r="BF198" s="55"/>
      <c r="BG198" s="55"/>
      <c r="BH198" s="53">
        <v>323.5</v>
      </c>
      <c r="BI198" s="55"/>
      <c r="BJ198" s="55"/>
      <c r="BK198" s="53">
        <v>229.6</v>
      </c>
      <c r="BL198" s="53">
        <v>4.3</v>
      </c>
      <c r="BM198" s="53">
        <v>557.4</v>
      </c>
      <c r="BN198" s="53">
        <v>306.39999999999998</v>
      </c>
      <c r="BO198" s="55"/>
      <c r="BP198" s="55"/>
      <c r="BQ198" s="53">
        <v>93.6</v>
      </c>
      <c r="BR198" s="53">
        <v>6.7</v>
      </c>
      <c r="BS198" s="53">
        <v>406.7</v>
      </c>
      <c r="BT198" s="52" t="s">
        <v>264</v>
      </c>
      <c r="BU198" s="53">
        <v>38.6</v>
      </c>
      <c r="BV198" s="51">
        <v>370.8</v>
      </c>
      <c r="BW198" s="51">
        <v>109.7</v>
      </c>
      <c r="BX198" s="51">
        <v>487.6</v>
      </c>
      <c r="BY198" s="51">
        <v>55.9</v>
      </c>
      <c r="BZ198" s="51">
        <v>11.2</v>
      </c>
      <c r="CA198" s="49">
        <v>67.099999999999994</v>
      </c>
      <c r="CB198" s="55"/>
      <c r="CC198" s="55"/>
      <c r="CD198" s="55"/>
      <c r="CE198" s="55"/>
      <c r="CF198" s="53">
        <v>120.5</v>
      </c>
      <c r="CG198" s="53">
        <v>105.7</v>
      </c>
      <c r="CH198" s="53">
        <v>7.9</v>
      </c>
      <c r="CI198" s="55"/>
      <c r="CJ198" s="55"/>
      <c r="CK198" s="55"/>
      <c r="CL198" s="55"/>
      <c r="CM198" s="55"/>
      <c r="CN198" s="53">
        <v>39.799999999999997</v>
      </c>
      <c r="CO198" s="52">
        <v>229.10000000000002</v>
      </c>
      <c r="CP198" s="53">
        <v>146.30000000000001</v>
      </c>
      <c r="CQ198" s="53">
        <v>82.8</v>
      </c>
      <c r="CR198" s="52" t="s">
        <v>264</v>
      </c>
      <c r="CS198" s="52">
        <v>58.8</v>
      </c>
      <c r="CT198" s="52">
        <v>37.1</v>
      </c>
      <c r="CU198" s="52">
        <v>21.7</v>
      </c>
      <c r="CV198" s="52">
        <v>50.4</v>
      </c>
      <c r="CW198" s="53">
        <v>10.5</v>
      </c>
      <c r="CX198" s="53">
        <v>39.9</v>
      </c>
      <c r="CY198" s="53" t="s">
        <v>264</v>
      </c>
      <c r="CZ198" s="53">
        <v>58.3</v>
      </c>
      <c r="DA198" s="52">
        <v>43.5</v>
      </c>
      <c r="DB198" s="53">
        <v>43.2</v>
      </c>
      <c r="DC198" s="53">
        <v>0.3</v>
      </c>
      <c r="DD198" s="55"/>
      <c r="DE198" s="55"/>
      <c r="DF198" s="55"/>
      <c r="DG198" s="53">
        <v>124.3</v>
      </c>
      <c r="DH198" s="55"/>
      <c r="DI198" s="53">
        <v>639.9</v>
      </c>
      <c r="DJ198" s="53">
        <v>217.4</v>
      </c>
      <c r="DK198" s="55"/>
      <c r="DL198" s="53">
        <v>154.80000000000001</v>
      </c>
      <c r="DM198" s="53">
        <v>251.6</v>
      </c>
      <c r="DN198" s="55"/>
      <c r="DO198" s="53">
        <v>208.5</v>
      </c>
      <c r="DP198" s="53">
        <v>272.60000000000002</v>
      </c>
      <c r="DQ198" s="55"/>
      <c r="DR198" s="55"/>
      <c r="DS198" s="53">
        <v>946.18600000000004</v>
      </c>
      <c r="DT198" s="53">
        <v>3683.8</v>
      </c>
      <c r="DU198" s="53">
        <v>-992.81400000000031</v>
      </c>
      <c r="DV198" s="53">
        <v>0</v>
      </c>
      <c r="DW198" s="55"/>
      <c r="DX198" s="55"/>
      <c r="DY198" s="55"/>
      <c r="DZ198" s="55"/>
      <c r="EA198" s="55"/>
      <c r="EB198" s="55"/>
      <c r="EC198" s="55"/>
      <c r="ED198" s="55"/>
      <c r="EE198" s="55"/>
      <c r="EF198" s="55"/>
      <c r="EG198" s="55"/>
      <c r="EH198" s="55"/>
      <c r="EI198" s="55"/>
      <c r="EJ198" s="55"/>
      <c r="EK198" s="55"/>
      <c r="EL198" s="55"/>
      <c r="EM198" s="55"/>
      <c r="EN198" s="55"/>
      <c r="EO198" s="55"/>
      <c r="EP198" s="55"/>
      <c r="EQ198" s="55"/>
      <c r="ER198" s="55"/>
      <c r="ES198" s="55"/>
      <c r="ET198" s="55"/>
      <c r="EU198" s="55"/>
      <c r="EV198" s="55"/>
      <c r="EW198" s="55"/>
      <c r="EX198" s="55"/>
      <c r="EY198" s="55"/>
      <c r="EZ198" s="55"/>
      <c r="FA198" s="55"/>
      <c r="FB198" s="55"/>
      <c r="FC198" s="55"/>
      <c r="FD198" s="55"/>
      <c r="FE198" s="55"/>
      <c r="FF198" s="55"/>
      <c r="FG198" s="55"/>
      <c r="FH198" s="55"/>
      <c r="FI198" s="55"/>
      <c r="FJ198" s="55"/>
      <c r="FK198" s="55"/>
      <c r="FL198" s="55"/>
      <c r="FM198" s="55"/>
      <c r="FN198" s="55"/>
      <c r="FO198" s="55"/>
      <c r="FP198" s="55"/>
      <c r="FQ198" s="55"/>
      <c r="FR198" s="55"/>
      <c r="FS198" s="55"/>
      <c r="FT198" s="55"/>
      <c r="FU198" s="55"/>
      <c r="FV198" s="55"/>
      <c r="FW198" s="55"/>
      <c r="FX198" s="55"/>
      <c r="FY198" s="55"/>
      <c r="FZ198" s="55"/>
      <c r="GA198" s="55"/>
      <c r="GB198" s="55"/>
      <c r="GC198" s="55"/>
      <c r="GD198" s="55"/>
      <c r="GE198" s="55"/>
      <c r="GF198" s="55"/>
      <c r="GG198" s="55"/>
      <c r="GH198" s="55"/>
      <c r="GI198" s="55"/>
      <c r="GJ198" s="55"/>
      <c r="GK198" s="55"/>
      <c r="GL198" s="55"/>
      <c r="GM198" s="55"/>
      <c r="GN198" s="55"/>
      <c r="GO198" s="55"/>
      <c r="GP198" s="55"/>
      <c r="GQ198" s="55"/>
      <c r="GR198" s="55"/>
      <c r="GS198" s="55"/>
      <c r="GT198" s="55"/>
      <c r="GU198" s="55"/>
      <c r="GV198" s="55"/>
      <c r="GW198" s="55"/>
      <c r="GX198" s="55"/>
      <c r="GY198" s="19">
        <v>0.96627551523518385</v>
      </c>
      <c r="GZ198" s="53">
        <v>979.9</v>
      </c>
      <c r="HA198" s="53">
        <v>1014.1</v>
      </c>
      <c r="HB198" s="55"/>
      <c r="HC198" s="55"/>
      <c r="HD198" s="55"/>
      <c r="HE198" s="55"/>
      <c r="HF198" s="53">
        <v>964.9</v>
      </c>
      <c r="HG198" s="53">
        <v>944.1</v>
      </c>
      <c r="HH198" s="53">
        <v>357.3</v>
      </c>
      <c r="HI198" s="53">
        <v>141</v>
      </c>
      <c r="HJ198" s="53">
        <v>357.3</v>
      </c>
      <c r="HK198" s="53">
        <v>15.3</v>
      </c>
      <c r="HL198" s="53">
        <v>20.8</v>
      </c>
      <c r="HM198" s="55"/>
      <c r="HN198" s="55"/>
      <c r="HO198" s="55"/>
      <c r="HP198" s="53" t="e">
        <v>#VALUE!</v>
      </c>
      <c r="HQ198" s="53">
        <v>3</v>
      </c>
      <c r="HR198" s="53">
        <v>8.1</v>
      </c>
      <c r="HS198" s="53" t="e">
        <v>#VALUE!</v>
      </c>
      <c r="HT198" s="53">
        <v>7.3</v>
      </c>
      <c r="HU198" s="55"/>
      <c r="HV198" s="55"/>
      <c r="HW198" s="53">
        <v>249</v>
      </c>
      <c r="HX198" s="53" t="e">
        <v>#VALUE!</v>
      </c>
      <c r="HY198" s="53">
        <v>249</v>
      </c>
      <c r="HZ198" s="53">
        <v>35.200000000000003</v>
      </c>
      <c r="IA198" s="53">
        <v>178.9</v>
      </c>
      <c r="IB198" s="53" t="e">
        <v>#VALUE!</v>
      </c>
      <c r="IC198" s="53" t="e">
        <v>#VALUE!</v>
      </c>
      <c r="ID198" s="53" t="e">
        <v>#VALUE!</v>
      </c>
      <c r="IE198" s="53" t="e">
        <v>#VALUE!</v>
      </c>
      <c r="IF198" s="53">
        <v>7.5</v>
      </c>
      <c r="IG198" s="53">
        <v>19.899999999999999</v>
      </c>
      <c r="IH198" s="55"/>
      <c r="II198" s="55"/>
      <c r="IJ198" s="55"/>
      <c r="IK198" s="55"/>
      <c r="IL198" s="55"/>
      <c r="IM198" s="55"/>
      <c r="IN198" s="53">
        <v>91.7</v>
      </c>
      <c r="IO198" s="53">
        <v>94.5</v>
      </c>
      <c r="IP198" s="53" t="e">
        <v>#VALUE!</v>
      </c>
      <c r="IQ198" s="53">
        <v>39.799999999999997</v>
      </c>
      <c r="IR198" s="53">
        <v>14.3</v>
      </c>
      <c r="IS198" s="53" t="e">
        <v>#VALUE!</v>
      </c>
      <c r="IT198" s="53">
        <v>19.8</v>
      </c>
      <c r="IU198" s="53" t="e">
        <v>#VALUE!</v>
      </c>
      <c r="IV198" s="53" t="e">
        <v>#VALUE!</v>
      </c>
      <c r="IY198" s="48">
        <f t="shared" si="11"/>
        <v>47.97003094630545</v>
      </c>
      <c r="IZ198" s="48">
        <f>IY198-'NOPA Crush'!J198</f>
        <v>0.31003094630545291</v>
      </c>
      <c r="JB198" s="63">
        <f t="shared" si="9"/>
        <v>11.085292361148813</v>
      </c>
      <c r="JC198" s="64">
        <f>JB198-'NOPA Crush'!O198</f>
        <v>4.5292361148813853E-2</v>
      </c>
      <c r="JD198" s="65"/>
      <c r="JE198" s="67">
        <f t="shared" si="10"/>
        <v>1512.6000000000001</v>
      </c>
      <c r="JF198" s="68">
        <f>'NOPA Crush'!Q198/'Census Crush'!JE198</f>
        <v>0.45030675657807745</v>
      </c>
    </row>
    <row r="199" spans="1:266">
      <c r="A199" s="39">
        <v>35096</v>
      </c>
      <c r="B199" s="51">
        <v>3335.9</v>
      </c>
      <c r="C199" s="51">
        <v>3674</v>
      </c>
      <c r="D199" s="51">
        <v>373.5</v>
      </c>
      <c r="E199" s="51">
        <v>1955.3</v>
      </c>
      <c r="F199" s="51">
        <v>34.4</v>
      </c>
      <c r="G199" s="51" t="s">
        <v>264</v>
      </c>
      <c r="H199" s="51">
        <v>54.5</v>
      </c>
      <c r="I199" s="51" t="s">
        <v>264</v>
      </c>
      <c r="J199" s="51" t="s">
        <v>264</v>
      </c>
      <c r="K199" s="51">
        <v>1235.8</v>
      </c>
      <c r="L199" s="49">
        <v>1521.4</v>
      </c>
      <c r="M199" s="51">
        <v>1264.2</v>
      </c>
      <c r="N199" s="51">
        <v>257.2</v>
      </c>
      <c r="O199" s="51">
        <v>121.4</v>
      </c>
      <c r="P199" s="51">
        <v>147.19999999999999</v>
      </c>
      <c r="Q199" s="51">
        <v>50.3</v>
      </c>
      <c r="R199" s="51">
        <v>96.9</v>
      </c>
      <c r="S199" s="51"/>
      <c r="T199" s="51">
        <v>29.1</v>
      </c>
      <c r="U199" s="51">
        <v>38.5</v>
      </c>
      <c r="V199" s="51">
        <v>35.5</v>
      </c>
      <c r="W199" s="51">
        <v>3</v>
      </c>
      <c r="X199" s="51" t="s">
        <v>264</v>
      </c>
      <c r="Y199" s="51">
        <v>3.9</v>
      </c>
      <c r="Z199" s="49">
        <v>59.400000000000006</v>
      </c>
      <c r="AA199" s="51">
        <v>53.7</v>
      </c>
      <c r="AB199" s="51">
        <v>5.7</v>
      </c>
      <c r="AC199" s="51" t="s">
        <v>264</v>
      </c>
      <c r="AD199" s="51">
        <v>10.199999999999999</v>
      </c>
      <c r="AE199" s="51"/>
      <c r="AF199" s="51">
        <v>45.8</v>
      </c>
      <c r="AG199" s="51">
        <v>27.6</v>
      </c>
      <c r="AH199" s="51">
        <v>18.2</v>
      </c>
      <c r="AI199" s="51">
        <v>165.2</v>
      </c>
      <c r="AJ199" s="51"/>
      <c r="AK199" s="51"/>
      <c r="AL199" s="51">
        <v>146.5</v>
      </c>
      <c r="AM199" s="51">
        <v>94.8</v>
      </c>
      <c r="AN199" s="51">
        <v>51.7</v>
      </c>
      <c r="AO199" s="51">
        <v>2466.6999999999998</v>
      </c>
      <c r="AP199" s="51">
        <v>188.3</v>
      </c>
      <c r="AQ199" s="51">
        <v>185.4</v>
      </c>
      <c r="AR199" s="51">
        <v>41.5</v>
      </c>
      <c r="AS199" s="51">
        <v>169.8</v>
      </c>
      <c r="AT199" s="51">
        <v>20.7</v>
      </c>
      <c r="AU199" s="51">
        <v>97.4</v>
      </c>
      <c r="AV199" s="51">
        <v>28.8</v>
      </c>
      <c r="AW199" s="51">
        <v>19.100000000000001</v>
      </c>
      <c r="AX199" s="51">
        <v>3.9</v>
      </c>
      <c r="AY199" s="51" t="s">
        <v>264</v>
      </c>
      <c r="AZ199" s="51" t="s">
        <v>264</v>
      </c>
      <c r="BA199" s="51" t="s">
        <v>264</v>
      </c>
      <c r="BB199" s="51" t="s">
        <v>264</v>
      </c>
      <c r="BC199" s="51"/>
      <c r="BD199" s="53">
        <v>133.6</v>
      </c>
      <c r="BE199" s="53">
        <v>47.9</v>
      </c>
      <c r="BF199" s="55"/>
      <c r="BG199" s="55"/>
      <c r="BH199" s="53">
        <v>302.3</v>
      </c>
      <c r="BI199" s="55"/>
      <c r="BJ199" s="55"/>
      <c r="BK199" s="53">
        <v>221.8</v>
      </c>
      <c r="BL199" s="53">
        <v>3.4</v>
      </c>
      <c r="BM199" s="53">
        <v>527.5</v>
      </c>
      <c r="BN199" s="53">
        <v>276.39999999999998</v>
      </c>
      <c r="BO199" s="55"/>
      <c r="BP199" s="55"/>
      <c r="BQ199" s="53">
        <v>114.7</v>
      </c>
      <c r="BR199" s="53">
        <v>7.6</v>
      </c>
      <c r="BS199" s="53">
        <v>398.7</v>
      </c>
      <c r="BT199" s="52" t="s">
        <v>264</v>
      </c>
      <c r="BU199" s="53">
        <v>25.8</v>
      </c>
      <c r="BV199" s="51">
        <v>348.8</v>
      </c>
      <c r="BW199" s="51">
        <v>102</v>
      </c>
      <c r="BX199" s="51">
        <v>457.9</v>
      </c>
      <c r="BY199" s="51">
        <v>52.6</v>
      </c>
      <c r="BZ199" s="51">
        <v>10</v>
      </c>
      <c r="CA199" s="49">
        <v>62.6</v>
      </c>
      <c r="CB199" s="55"/>
      <c r="CC199" s="55"/>
      <c r="CD199" s="55"/>
      <c r="CE199" s="55"/>
      <c r="CF199" s="53">
        <v>128.30000000000001</v>
      </c>
      <c r="CG199" s="53">
        <v>120.3</v>
      </c>
      <c r="CH199" s="53">
        <v>9.6999999999999993</v>
      </c>
      <c r="CI199" s="55"/>
      <c r="CJ199" s="55"/>
      <c r="CK199" s="55"/>
      <c r="CL199" s="55"/>
      <c r="CM199" s="55"/>
      <c r="CN199" s="53">
        <v>38.6</v>
      </c>
      <c r="CO199" s="52">
        <v>200.4</v>
      </c>
      <c r="CP199" s="53">
        <v>120</v>
      </c>
      <c r="CQ199" s="53">
        <v>80.400000000000006</v>
      </c>
      <c r="CR199" s="52" t="s">
        <v>264</v>
      </c>
      <c r="CS199" s="52">
        <v>64</v>
      </c>
      <c r="CT199" s="52">
        <v>44.1</v>
      </c>
      <c r="CU199" s="52">
        <v>19.899999999999999</v>
      </c>
      <c r="CV199" s="52">
        <v>46.8</v>
      </c>
      <c r="CW199" s="53">
        <v>10.4</v>
      </c>
      <c r="CX199" s="53">
        <v>36.4</v>
      </c>
      <c r="CY199" s="53" t="s">
        <v>264</v>
      </c>
      <c r="CZ199" s="53">
        <v>71.8</v>
      </c>
      <c r="DA199" s="52">
        <v>45.5</v>
      </c>
      <c r="DB199" s="53">
        <v>45.1</v>
      </c>
      <c r="DC199" s="53">
        <v>0.4</v>
      </c>
      <c r="DD199" s="55"/>
      <c r="DE199" s="55"/>
      <c r="DF199" s="55"/>
      <c r="DG199" s="53">
        <v>111.8</v>
      </c>
      <c r="DH199" s="55"/>
      <c r="DI199" s="53">
        <v>553.9</v>
      </c>
      <c r="DJ199" s="53">
        <v>207.6</v>
      </c>
      <c r="DK199" s="55"/>
      <c r="DL199" s="53">
        <v>140.19999999999999</v>
      </c>
      <c r="DM199" s="53">
        <v>240.3</v>
      </c>
      <c r="DN199" s="55"/>
      <c r="DO199" s="53">
        <v>190.1</v>
      </c>
      <c r="DP199" s="53">
        <v>268.7</v>
      </c>
      <c r="DQ199" s="55"/>
      <c r="DR199" s="55"/>
      <c r="DS199" s="53">
        <v>825.77</v>
      </c>
      <c r="DT199" s="53">
        <v>3335.9</v>
      </c>
      <c r="DU199" s="53">
        <v>-909.33000000000038</v>
      </c>
      <c r="DV199" s="53">
        <v>0</v>
      </c>
      <c r="DW199" s="55"/>
      <c r="DX199" s="55"/>
      <c r="DY199" s="55"/>
      <c r="DZ199" s="55"/>
      <c r="EA199" s="55"/>
      <c r="EB199" s="55"/>
      <c r="EC199" s="55"/>
      <c r="ED199" s="55"/>
      <c r="EE199" s="55"/>
      <c r="EF199" s="55"/>
      <c r="EG199" s="55"/>
      <c r="EH199" s="55"/>
      <c r="EI199" s="55"/>
      <c r="EJ199" s="55"/>
      <c r="EK199" s="55"/>
      <c r="EL199" s="55"/>
      <c r="EM199" s="55"/>
      <c r="EN199" s="55"/>
      <c r="EO199" s="55"/>
      <c r="EP199" s="55"/>
      <c r="EQ199" s="55"/>
      <c r="ER199" s="55"/>
      <c r="ES199" s="55"/>
      <c r="ET199" s="55"/>
      <c r="EU199" s="55"/>
      <c r="EV199" s="55"/>
      <c r="EW199" s="55"/>
      <c r="EX199" s="55"/>
      <c r="EY199" s="55"/>
      <c r="EZ199" s="55"/>
      <c r="FA199" s="55"/>
      <c r="FB199" s="55"/>
      <c r="FC199" s="55"/>
      <c r="FD199" s="55"/>
      <c r="FE199" s="55"/>
      <c r="FF199" s="55"/>
      <c r="FG199" s="55"/>
      <c r="FH199" s="55"/>
      <c r="FI199" s="55"/>
      <c r="FJ199" s="55"/>
      <c r="FK199" s="55"/>
      <c r="FL199" s="55"/>
      <c r="FM199" s="55"/>
      <c r="FN199" s="55"/>
      <c r="FO199" s="55"/>
      <c r="FP199" s="55"/>
      <c r="FQ199" s="55"/>
      <c r="FR199" s="55"/>
      <c r="FS199" s="55"/>
      <c r="FT199" s="55"/>
      <c r="FU199" s="55"/>
      <c r="FV199" s="55"/>
      <c r="FW199" s="55"/>
      <c r="FX199" s="55"/>
      <c r="FY199" s="55"/>
      <c r="FZ199" s="55"/>
      <c r="GA199" s="55"/>
      <c r="GB199" s="55"/>
      <c r="GC199" s="55"/>
      <c r="GD199" s="55"/>
      <c r="GE199" s="55"/>
      <c r="GF199" s="55"/>
      <c r="GG199" s="55"/>
      <c r="GH199" s="55"/>
      <c r="GI199" s="55"/>
      <c r="GJ199" s="55"/>
      <c r="GK199" s="55"/>
      <c r="GL199" s="55"/>
      <c r="GM199" s="55"/>
      <c r="GN199" s="55"/>
      <c r="GO199" s="55"/>
      <c r="GP199" s="55"/>
      <c r="GQ199" s="55"/>
      <c r="GR199" s="55"/>
      <c r="GS199" s="55"/>
      <c r="GT199" s="55"/>
      <c r="GU199" s="55"/>
      <c r="GV199" s="55"/>
      <c r="GW199" s="55"/>
      <c r="GX199" s="55"/>
      <c r="GY199" s="19">
        <v>0.98058354324097396</v>
      </c>
      <c r="GZ199" s="53">
        <v>934.3</v>
      </c>
      <c r="HA199" s="53">
        <v>952.8</v>
      </c>
      <c r="HB199" s="55"/>
      <c r="HC199" s="55"/>
      <c r="HD199" s="55"/>
      <c r="HE199" s="55"/>
      <c r="HF199" s="53">
        <v>927.4</v>
      </c>
      <c r="HG199" s="53">
        <v>906.6</v>
      </c>
      <c r="HH199" s="53">
        <v>358.3</v>
      </c>
      <c r="HI199" s="53">
        <v>137</v>
      </c>
      <c r="HJ199" s="53">
        <v>358.3</v>
      </c>
      <c r="HK199" s="53">
        <v>11.6</v>
      </c>
      <c r="HL199" s="53">
        <v>20.8</v>
      </c>
      <c r="HM199" s="55"/>
      <c r="HN199" s="55"/>
      <c r="HO199" s="55"/>
      <c r="HP199" s="53" t="e">
        <v>#VALUE!</v>
      </c>
      <c r="HQ199" s="53">
        <v>3.8</v>
      </c>
      <c r="HR199" s="53">
        <v>7.8</v>
      </c>
      <c r="HS199" s="53" t="e">
        <v>#VALUE!</v>
      </c>
      <c r="HT199" s="53">
        <v>6.7</v>
      </c>
      <c r="HU199" s="55"/>
      <c r="HV199" s="55"/>
      <c r="HW199" s="53">
        <v>256.7</v>
      </c>
      <c r="HX199" s="53" t="e">
        <v>#VALUE!</v>
      </c>
      <c r="HY199" s="53">
        <v>256.7</v>
      </c>
      <c r="HZ199" s="53">
        <v>46.8</v>
      </c>
      <c r="IA199" s="53">
        <v>175</v>
      </c>
      <c r="IB199" s="53" t="e">
        <v>#VALUE!</v>
      </c>
      <c r="IC199" s="53" t="e">
        <v>#VALUE!</v>
      </c>
      <c r="ID199" s="53" t="e">
        <v>#VALUE!</v>
      </c>
      <c r="IE199" s="53" t="e">
        <v>#VALUE!</v>
      </c>
      <c r="IF199" s="53">
        <v>7.1</v>
      </c>
      <c r="IG199" s="53">
        <v>21.1</v>
      </c>
      <c r="IH199" s="55"/>
      <c r="II199" s="55"/>
      <c r="IJ199" s="55"/>
      <c r="IK199" s="55"/>
      <c r="IL199" s="55"/>
      <c r="IM199" s="55"/>
      <c r="IN199" s="53">
        <v>84.6</v>
      </c>
      <c r="IO199" s="53">
        <v>87.2</v>
      </c>
      <c r="IP199" s="53" t="e">
        <v>#VALUE!</v>
      </c>
      <c r="IQ199" s="53">
        <v>39.200000000000003</v>
      </c>
      <c r="IR199" s="53">
        <v>15.7</v>
      </c>
      <c r="IS199" s="53" t="e">
        <v>#VALUE!</v>
      </c>
      <c r="IT199" s="53">
        <v>18.399999999999999</v>
      </c>
      <c r="IU199" s="53" t="e">
        <v>#VALUE!</v>
      </c>
      <c r="IV199" s="53" t="e">
        <v>#VALUE!</v>
      </c>
      <c r="IY199" s="48">
        <f t="shared" si="11"/>
        <v>47.701070175964503</v>
      </c>
      <c r="IZ199" s="48">
        <f>IY199-'NOPA Crush'!J199</f>
        <v>2.1070175964503335E-2</v>
      </c>
      <c r="JB199" s="63">
        <f t="shared" si="9"/>
        <v>11.113642495278635</v>
      </c>
      <c r="JC199" s="64">
        <f>JB199-'NOPA Crush'!O199</f>
        <v>2.3642495278634712E-2</v>
      </c>
      <c r="JD199" s="65"/>
      <c r="JE199" s="67">
        <f t="shared" si="10"/>
        <v>1521.4</v>
      </c>
      <c r="JF199" s="68">
        <f>'NOPA Crush'!Q199/'Census Crush'!JE199</f>
        <v>0.43791047719205989</v>
      </c>
    </row>
    <row r="200" spans="1:266">
      <c r="A200" s="39">
        <v>35125</v>
      </c>
      <c r="B200" s="51">
        <v>3464.7</v>
      </c>
      <c r="C200" s="51">
        <v>3319</v>
      </c>
      <c r="D200" s="51">
        <v>381.4</v>
      </c>
      <c r="E200" s="51">
        <v>1608</v>
      </c>
      <c r="F200" s="51">
        <v>38.200000000000003</v>
      </c>
      <c r="G200" s="51" t="s">
        <v>264</v>
      </c>
      <c r="H200" s="51">
        <v>32.5</v>
      </c>
      <c r="I200" s="51" t="s">
        <v>264</v>
      </c>
      <c r="J200" s="51" t="s">
        <v>264</v>
      </c>
      <c r="K200" s="51">
        <v>1291.9000000000001</v>
      </c>
      <c r="L200" s="49">
        <v>1653.6</v>
      </c>
      <c r="M200" s="51">
        <v>1366.6</v>
      </c>
      <c r="N200" s="51">
        <v>287</v>
      </c>
      <c r="O200" s="51">
        <v>125.6</v>
      </c>
      <c r="P200" s="51">
        <v>151.19999999999999</v>
      </c>
      <c r="Q200" s="51">
        <v>53.2</v>
      </c>
      <c r="R200" s="51">
        <v>98</v>
      </c>
      <c r="S200" s="51"/>
      <c r="T200" s="51">
        <v>31.9</v>
      </c>
      <c r="U200" s="51">
        <v>32.1</v>
      </c>
      <c r="V200" s="51">
        <v>28.6</v>
      </c>
      <c r="W200" s="51">
        <v>3.5</v>
      </c>
      <c r="X200" s="51" t="s">
        <v>264</v>
      </c>
      <c r="Y200" s="51">
        <v>3.4</v>
      </c>
      <c r="Z200" s="49">
        <v>113.89999999999999</v>
      </c>
      <c r="AA200" s="51">
        <v>102.8</v>
      </c>
      <c r="AB200" s="51">
        <v>11.1</v>
      </c>
      <c r="AC200" s="51" t="s">
        <v>264</v>
      </c>
      <c r="AD200" s="51">
        <v>12.7</v>
      </c>
      <c r="AE200" s="51"/>
      <c r="AF200" s="51">
        <v>53.7</v>
      </c>
      <c r="AG200" s="51">
        <v>31.4</v>
      </c>
      <c r="AH200" s="51">
        <v>22.3</v>
      </c>
      <c r="AI200" s="51">
        <v>197.9</v>
      </c>
      <c r="AJ200" s="51"/>
      <c r="AK200" s="51"/>
      <c r="AL200" s="51">
        <v>158.80000000000001</v>
      </c>
      <c r="AM200" s="51">
        <v>92.5</v>
      </c>
      <c r="AN200" s="51">
        <v>66.3</v>
      </c>
      <c r="AO200" s="51">
        <v>2562.1999999999998</v>
      </c>
      <c r="AP200" s="51">
        <v>315</v>
      </c>
      <c r="AQ200" s="51">
        <v>195.3</v>
      </c>
      <c r="AR200" s="51">
        <v>54.2</v>
      </c>
      <c r="AS200" s="51">
        <v>168.3</v>
      </c>
      <c r="AT200" s="51">
        <v>30.7</v>
      </c>
      <c r="AU200" s="51">
        <v>102.4</v>
      </c>
      <c r="AV200" s="51">
        <v>30.3</v>
      </c>
      <c r="AW200" s="51">
        <v>21.5</v>
      </c>
      <c r="AX200" s="51">
        <v>3.5</v>
      </c>
      <c r="AY200" s="51" t="s">
        <v>264</v>
      </c>
      <c r="AZ200" s="51" t="s">
        <v>264</v>
      </c>
      <c r="BA200" s="51" t="s">
        <v>264</v>
      </c>
      <c r="BB200" s="51" t="s">
        <v>264</v>
      </c>
      <c r="BC200" s="51"/>
      <c r="BD200" s="53">
        <v>131.69999999999999</v>
      </c>
      <c r="BE200" s="53">
        <v>44</v>
      </c>
      <c r="BF200" s="55"/>
      <c r="BG200" s="55"/>
      <c r="BH200" s="53">
        <v>307</v>
      </c>
      <c r="BI200" s="55"/>
      <c r="BJ200" s="55"/>
      <c r="BK200" s="53">
        <v>222.9</v>
      </c>
      <c r="BL200" s="53">
        <v>4.2</v>
      </c>
      <c r="BM200" s="53">
        <v>534.1</v>
      </c>
      <c r="BN200" s="53">
        <v>274.10000000000002</v>
      </c>
      <c r="BO200" s="55"/>
      <c r="BP200" s="55"/>
      <c r="BQ200" s="53">
        <v>120.7</v>
      </c>
      <c r="BR200" s="53">
        <v>5.4</v>
      </c>
      <c r="BS200" s="53">
        <v>400.2</v>
      </c>
      <c r="BT200" s="52" t="s">
        <v>264</v>
      </c>
      <c r="BU200" s="53">
        <v>28.8</v>
      </c>
      <c r="BV200" s="51">
        <v>358.7</v>
      </c>
      <c r="BW200" s="51">
        <v>103.8</v>
      </c>
      <c r="BX200" s="51">
        <v>469.7</v>
      </c>
      <c r="BY200" s="51">
        <v>47.3</v>
      </c>
      <c r="BZ200" s="51">
        <v>11.1</v>
      </c>
      <c r="CA200" s="49">
        <v>58.4</v>
      </c>
      <c r="CB200" s="55"/>
      <c r="CC200" s="55"/>
      <c r="CD200" s="55"/>
      <c r="CE200" s="55"/>
      <c r="CF200" s="53">
        <v>131.9</v>
      </c>
      <c r="CG200" s="53">
        <v>145.9</v>
      </c>
      <c r="CH200" s="53">
        <v>8.5</v>
      </c>
      <c r="CI200" s="55"/>
      <c r="CJ200" s="55"/>
      <c r="CK200" s="55"/>
      <c r="CL200" s="55"/>
      <c r="CM200" s="55"/>
      <c r="CN200" s="53">
        <v>40</v>
      </c>
      <c r="CO200" s="52">
        <v>217.6</v>
      </c>
      <c r="CP200" s="53">
        <v>127.3</v>
      </c>
      <c r="CQ200" s="53">
        <v>90.3</v>
      </c>
      <c r="CR200" s="52" t="s">
        <v>264</v>
      </c>
      <c r="CS200" s="52">
        <v>62</v>
      </c>
      <c r="CT200" s="52">
        <v>45.5</v>
      </c>
      <c r="CU200" s="52">
        <v>16.5</v>
      </c>
      <c r="CV200" s="52">
        <v>63.6</v>
      </c>
      <c r="CW200" s="53">
        <v>15</v>
      </c>
      <c r="CX200" s="53">
        <v>48.6</v>
      </c>
      <c r="CY200" s="53" t="s">
        <v>264</v>
      </c>
      <c r="CZ200" s="53">
        <v>78.2</v>
      </c>
      <c r="DA200" s="52">
        <v>55.5</v>
      </c>
      <c r="DB200" s="53">
        <v>54.5</v>
      </c>
      <c r="DC200" s="53">
        <v>1</v>
      </c>
      <c r="DD200" s="55"/>
      <c r="DE200" s="55"/>
      <c r="DF200" s="55"/>
      <c r="DG200" s="53">
        <v>106.5</v>
      </c>
      <c r="DH200" s="55"/>
      <c r="DI200" s="53">
        <v>567.9</v>
      </c>
      <c r="DJ200" s="53">
        <v>210.9</v>
      </c>
      <c r="DK200" s="55"/>
      <c r="DL200" s="55"/>
      <c r="DM200" s="53">
        <v>253.2</v>
      </c>
      <c r="DN200" s="55"/>
      <c r="DO200" s="53">
        <v>195.2</v>
      </c>
      <c r="DP200" s="53">
        <v>282.39999999999998</v>
      </c>
      <c r="DQ200" s="55"/>
      <c r="DR200" s="55"/>
      <c r="DS200" s="53">
        <v>892.29899999999998</v>
      </c>
      <c r="DT200" s="53">
        <v>3464.7</v>
      </c>
      <c r="DU200" s="53">
        <v>-1062.8009999999999</v>
      </c>
      <c r="DV200" s="53">
        <v>0</v>
      </c>
      <c r="DW200" s="55"/>
      <c r="DX200" s="55"/>
      <c r="DY200" s="55"/>
      <c r="DZ200" s="55"/>
      <c r="EA200" s="55"/>
      <c r="EB200" s="55"/>
      <c r="EC200" s="55"/>
      <c r="ED200" s="55"/>
      <c r="EE200" s="55"/>
      <c r="EF200" s="55"/>
      <c r="EG200" s="55"/>
      <c r="EH200" s="55"/>
      <c r="EI200" s="55"/>
      <c r="EJ200" s="55"/>
      <c r="EK200" s="55"/>
      <c r="EL200" s="55"/>
      <c r="EM200" s="55"/>
      <c r="EN200" s="55"/>
      <c r="EO200" s="55"/>
      <c r="EP200" s="55"/>
      <c r="EQ200" s="55"/>
      <c r="ER200" s="55"/>
      <c r="ES200" s="55"/>
      <c r="ET200" s="55"/>
      <c r="EU200" s="55"/>
      <c r="EV200" s="55"/>
      <c r="EW200" s="55"/>
      <c r="EX200" s="55"/>
      <c r="EY200" s="55"/>
      <c r="EZ200" s="55"/>
      <c r="FA200" s="55"/>
      <c r="FB200" s="55"/>
      <c r="FC200" s="55"/>
      <c r="FD200" s="55"/>
      <c r="FE200" s="55"/>
      <c r="FF200" s="55"/>
      <c r="FG200" s="55"/>
      <c r="FH200" s="55"/>
      <c r="FI200" s="55"/>
      <c r="FJ200" s="55"/>
      <c r="FK200" s="55"/>
      <c r="FL200" s="55"/>
      <c r="FM200" s="55"/>
      <c r="FN200" s="55"/>
      <c r="FO200" s="55"/>
      <c r="FP200" s="55"/>
      <c r="FQ200" s="55"/>
      <c r="FR200" s="55"/>
      <c r="FS200" s="55"/>
      <c r="FT200" s="55"/>
      <c r="FU200" s="55"/>
      <c r="FV200" s="55"/>
      <c r="FW200" s="55"/>
      <c r="FX200" s="55"/>
      <c r="FY200" s="55"/>
      <c r="FZ200" s="55"/>
      <c r="GA200" s="55"/>
      <c r="GB200" s="55"/>
      <c r="GC200" s="55"/>
      <c r="GD200" s="55"/>
      <c r="GE200" s="55"/>
      <c r="GF200" s="55"/>
      <c r="GG200" s="55"/>
      <c r="GH200" s="55"/>
      <c r="GI200" s="55"/>
      <c r="GJ200" s="55"/>
      <c r="GK200" s="55"/>
      <c r="GL200" s="55"/>
      <c r="GM200" s="55"/>
      <c r="GN200" s="55"/>
      <c r="GO200" s="55"/>
      <c r="GP200" s="55"/>
      <c r="GQ200" s="55"/>
      <c r="GR200" s="55"/>
      <c r="GS200" s="55"/>
      <c r="GT200" s="55"/>
      <c r="GU200" s="55"/>
      <c r="GV200" s="55"/>
      <c r="GW200" s="55"/>
      <c r="GX200" s="55"/>
      <c r="GY200" s="19">
        <v>0.9651022864019253</v>
      </c>
      <c r="GZ200" s="53">
        <v>1042.5999999999999</v>
      </c>
      <c r="HA200" s="53">
        <v>1080.3</v>
      </c>
      <c r="HB200" s="55"/>
      <c r="HC200" s="55"/>
      <c r="HD200" s="55"/>
      <c r="HE200" s="55"/>
      <c r="HF200" s="53">
        <v>1026.4000000000001</v>
      </c>
      <c r="HG200" s="53">
        <v>999.4</v>
      </c>
      <c r="HH200" s="53">
        <v>402.9</v>
      </c>
      <c r="HI200" s="53">
        <v>149.19999999999999</v>
      </c>
      <c r="HJ200" s="53">
        <v>402.9</v>
      </c>
      <c r="HK200" s="53">
        <v>15.5</v>
      </c>
      <c r="HL200" s="53">
        <v>27</v>
      </c>
      <c r="HM200" s="55"/>
      <c r="HN200" s="55"/>
      <c r="HO200" s="55"/>
      <c r="HP200" s="53" t="e">
        <v>#VALUE!</v>
      </c>
      <c r="HQ200" s="53">
        <v>5.6</v>
      </c>
      <c r="HR200" s="53">
        <v>11.2</v>
      </c>
      <c r="HS200" s="53" t="e">
        <v>#VALUE!</v>
      </c>
      <c r="HT200" s="53">
        <v>7.4</v>
      </c>
      <c r="HU200" s="55"/>
      <c r="HV200" s="55"/>
      <c r="HW200" s="53">
        <v>268.3</v>
      </c>
      <c r="HX200" s="53" t="e">
        <v>#VALUE!</v>
      </c>
      <c r="HY200" s="53">
        <v>268.3</v>
      </c>
      <c r="HZ200" s="53">
        <v>49</v>
      </c>
      <c r="IA200" s="53">
        <v>184.2</v>
      </c>
      <c r="IB200" s="53" t="e">
        <v>#VALUE!</v>
      </c>
      <c r="IC200" s="53" t="e">
        <v>#VALUE!</v>
      </c>
      <c r="ID200" s="53" t="e">
        <v>#VALUE!</v>
      </c>
      <c r="IE200" s="53" t="e">
        <v>#VALUE!</v>
      </c>
      <c r="IF200" s="53">
        <v>7.4</v>
      </c>
      <c r="IG200" s="53">
        <v>21.3</v>
      </c>
      <c r="IH200" s="55"/>
      <c r="II200" s="55"/>
      <c r="IJ200" s="55"/>
      <c r="IK200" s="55"/>
      <c r="IL200" s="55"/>
      <c r="IM200" s="55"/>
      <c r="IN200" s="53">
        <v>89.8</v>
      </c>
      <c r="IO200" s="53">
        <v>92.1</v>
      </c>
      <c r="IP200" s="53" t="e">
        <v>#VALUE!</v>
      </c>
      <c r="IQ200" s="53">
        <v>39.5</v>
      </c>
      <c r="IR200" s="53">
        <v>18.3</v>
      </c>
      <c r="IS200" s="53" t="e">
        <v>#VALUE!</v>
      </c>
      <c r="IT200" s="53">
        <v>17.3</v>
      </c>
      <c r="IU200" s="53" t="e">
        <v>#VALUE!</v>
      </c>
      <c r="IV200" s="53" t="e">
        <v>#VALUE!</v>
      </c>
      <c r="IY200" s="48">
        <f t="shared" si="11"/>
        <v>47.75305221231276</v>
      </c>
      <c r="IZ200" s="48">
        <f>IY200-'NOPA Crush'!J200</f>
        <v>0.13305221231276221</v>
      </c>
      <c r="JB200" s="63">
        <f t="shared" si="9"/>
        <v>11.186249891765522</v>
      </c>
      <c r="JC200" s="64">
        <f>JB200-'NOPA Crush'!O200</f>
        <v>-4.3750108234478446E-2</v>
      </c>
      <c r="JD200" s="65"/>
      <c r="JE200" s="67">
        <f t="shared" si="10"/>
        <v>1653.6</v>
      </c>
      <c r="JF200" s="68">
        <f>'NOPA Crush'!Q200/'Census Crush'!JE200</f>
        <v>0.41713896952104501</v>
      </c>
    </row>
    <row r="201" spans="1:266">
      <c r="A201" s="39">
        <v>35156</v>
      </c>
      <c r="B201" s="51">
        <v>3364.2</v>
      </c>
      <c r="C201" s="51">
        <v>3125.8</v>
      </c>
      <c r="D201" s="51">
        <v>354.4</v>
      </c>
      <c r="E201" s="51">
        <v>1336.3</v>
      </c>
      <c r="F201" s="51">
        <v>44.2</v>
      </c>
      <c r="G201" s="51" t="s">
        <v>264</v>
      </c>
      <c r="H201" s="51">
        <v>33.4</v>
      </c>
      <c r="I201" s="51" t="s">
        <v>264</v>
      </c>
      <c r="J201" s="51" t="s">
        <v>264</v>
      </c>
      <c r="K201" s="51">
        <v>1259.3</v>
      </c>
      <c r="L201" s="49">
        <v>1747.3999999999999</v>
      </c>
      <c r="M201" s="51">
        <v>1490.1</v>
      </c>
      <c r="N201" s="51">
        <v>257.3</v>
      </c>
      <c r="O201" s="51">
        <v>111.6</v>
      </c>
      <c r="P201" s="51">
        <v>155.60000000000002</v>
      </c>
      <c r="Q201" s="51">
        <v>57.7</v>
      </c>
      <c r="R201" s="51">
        <v>97.9</v>
      </c>
      <c r="S201" s="51"/>
      <c r="T201" s="51">
        <v>36.799999999999997</v>
      </c>
      <c r="U201" s="51">
        <v>41.5</v>
      </c>
      <c r="V201" s="51">
        <v>38.9</v>
      </c>
      <c r="W201" s="51">
        <v>2.6</v>
      </c>
      <c r="X201" s="51" t="s">
        <v>264</v>
      </c>
      <c r="Y201" s="51">
        <v>3</v>
      </c>
      <c r="Z201" s="49">
        <v>117.30000000000001</v>
      </c>
      <c r="AA201" s="51">
        <v>108.4</v>
      </c>
      <c r="AB201" s="51">
        <v>8.9</v>
      </c>
      <c r="AC201" s="51" t="s">
        <v>264</v>
      </c>
      <c r="AD201" s="51">
        <v>9.1</v>
      </c>
      <c r="AE201" s="51"/>
      <c r="AF201" s="51">
        <v>65.2</v>
      </c>
      <c r="AG201" s="51">
        <v>35.4</v>
      </c>
      <c r="AH201" s="51">
        <v>29.8</v>
      </c>
      <c r="AI201" s="51">
        <v>197.3</v>
      </c>
      <c r="AJ201" s="51"/>
      <c r="AK201" s="51"/>
      <c r="AL201" s="51">
        <v>193.60000000000002</v>
      </c>
      <c r="AM201" s="51">
        <v>104.2</v>
      </c>
      <c r="AN201" s="51">
        <v>89.4</v>
      </c>
      <c r="AO201" s="51">
        <v>2489.3000000000002</v>
      </c>
      <c r="AP201" s="51">
        <v>334.9</v>
      </c>
      <c r="AQ201" s="51">
        <v>193.8</v>
      </c>
      <c r="AR201" s="51">
        <v>47.2</v>
      </c>
      <c r="AS201" s="51">
        <v>160.19999999999999</v>
      </c>
      <c r="AT201" s="51">
        <v>44.8</v>
      </c>
      <c r="AU201" s="51">
        <v>97.4</v>
      </c>
      <c r="AV201" s="51">
        <v>34.5</v>
      </c>
      <c r="AW201" s="51">
        <v>25.3</v>
      </c>
      <c r="AX201" s="51">
        <v>3.9</v>
      </c>
      <c r="AY201" s="51" t="s">
        <v>264</v>
      </c>
      <c r="AZ201" s="51" t="s">
        <v>264</v>
      </c>
      <c r="BA201" s="51" t="s">
        <v>264</v>
      </c>
      <c r="BB201" s="51" t="s">
        <v>264</v>
      </c>
      <c r="BC201" s="51"/>
      <c r="BD201" s="53">
        <v>130.5</v>
      </c>
      <c r="BE201" s="53">
        <v>51</v>
      </c>
      <c r="BF201" s="55"/>
      <c r="BG201" s="55"/>
      <c r="BH201" s="53">
        <v>310.39999999999998</v>
      </c>
      <c r="BI201" s="55"/>
      <c r="BJ201" s="55"/>
      <c r="BK201" s="53">
        <v>235.9</v>
      </c>
      <c r="BL201" s="53">
        <v>3.7</v>
      </c>
      <c r="BM201" s="53">
        <v>550</v>
      </c>
      <c r="BN201" s="53">
        <v>219</v>
      </c>
      <c r="BO201" s="55"/>
      <c r="BP201" s="55"/>
      <c r="BQ201" s="53">
        <v>113.1</v>
      </c>
      <c r="BR201" s="53">
        <v>3.8</v>
      </c>
      <c r="BS201" s="53">
        <v>335.90000000000003</v>
      </c>
      <c r="BT201" s="52" t="s">
        <v>264</v>
      </c>
      <c r="BU201" s="53">
        <v>21.5</v>
      </c>
      <c r="BV201" s="51">
        <v>363.9</v>
      </c>
      <c r="BW201" s="51">
        <v>108.8</v>
      </c>
      <c r="BX201" s="51">
        <v>479.3</v>
      </c>
      <c r="BY201" s="51">
        <v>46.3</v>
      </c>
      <c r="BZ201" s="51">
        <v>9.6999999999999993</v>
      </c>
      <c r="CA201" s="49">
        <v>56</v>
      </c>
      <c r="CB201" s="55"/>
      <c r="CC201" s="55"/>
      <c r="CD201" s="55"/>
      <c r="CE201" s="55"/>
      <c r="CF201" s="53">
        <v>113.9</v>
      </c>
      <c r="CG201" s="53">
        <v>131.80000000000001</v>
      </c>
      <c r="CH201" s="53">
        <v>10.4</v>
      </c>
      <c r="CI201" s="55"/>
      <c r="CJ201" s="55"/>
      <c r="CK201" s="55"/>
      <c r="CL201" s="55"/>
      <c r="CM201" s="55"/>
      <c r="CN201" s="53">
        <v>46.1</v>
      </c>
      <c r="CO201" s="52">
        <v>173.6</v>
      </c>
      <c r="CP201" s="53">
        <v>101.3</v>
      </c>
      <c r="CQ201" s="53">
        <v>72.3</v>
      </c>
      <c r="CR201" s="52" t="s">
        <v>264</v>
      </c>
      <c r="CS201" s="52">
        <v>60.6</v>
      </c>
      <c r="CT201" s="52">
        <v>43.6</v>
      </c>
      <c r="CU201" s="52">
        <v>17</v>
      </c>
      <c r="CV201" s="52">
        <v>57</v>
      </c>
      <c r="CW201" s="53">
        <v>12.2</v>
      </c>
      <c r="CX201" s="53">
        <v>44.8</v>
      </c>
      <c r="CY201" s="53" t="s">
        <v>264</v>
      </c>
      <c r="CZ201" s="53">
        <v>76.8</v>
      </c>
      <c r="DA201" s="52">
        <v>48.699999999999996</v>
      </c>
      <c r="DB201" s="53">
        <v>47.9</v>
      </c>
      <c r="DC201" s="53">
        <v>0.8</v>
      </c>
      <c r="DD201" s="55"/>
      <c r="DE201" s="55"/>
      <c r="DF201" s="55"/>
      <c r="DG201" s="53">
        <v>129.80000000000001</v>
      </c>
      <c r="DH201" s="55"/>
      <c r="DI201" s="53">
        <v>558.4</v>
      </c>
      <c r="DJ201" s="53">
        <v>202.5</v>
      </c>
      <c r="DK201" s="55"/>
      <c r="DL201" s="55"/>
      <c r="DM201" s="53">
        <v>229.9</v>
      </c>
      <c r="DN201" s="55"/>
      <c r="DO201" s="53">
        <v>197.3</v>
      </c>
      <c r="DP201" s="53">
        <v>270.39999999999998</v>
      </c>
      <c r="DQ201" s="55"/>
      <c r="DR201" s="55"/>
      <c r="DS201" s="53">
        <v>838.97799999999995</v>
      </c>
      <c r="DT201" s="53">
        <v>3364.2</v>
      </c>
      <c r="DU201" s="53">
        <v>-1066.7219999999998</v>
      </c>
      <c r="DV201" s="53">
        <v>0</v>
      </c>
      <c r="DW201" s="55"/>
      <c r="DX201" s="55"/>
      <c r="DY201" s="55"/>
      <c r="DZ201" s="55"/>
      <c r="EA201" s="55"/>
      <c r="EB201" s="55"/>
      <c r="EC201" s="55"/>
      <c r="ED201" s="55"/>
      <c r="EE201" s="55"/>
      <c r="EF201" s="55"/>
      <c r="EG201" s="55"/>
      <c r="EH201" s="55"/>
      <c r="EI201" s="55"/>
      <c r="EJ201" s="55"/>
      <c r="EK201" s="55"/>
      <c r="EL201" s="55"/>
      <c r="EM201" s="55"/>
      <c r="EN201" s="55"/>
      <c r="EO201" s="55"/>
      <c r="EP201" s="55"/>
      <c r="EQ201" s="55"/>
      <c r="ER201" s="55"/>
      <c r="ES201" s="55"/>
      <c r="ET201" s="55"/>
      <c r="EU201" s="55"/>
      <c r="EV201" s="55"/>
      <c r="EW201" s="55"/>
      <c r="EX201" s="55"/>
      <c r="EY201" s="55"/>
      <c r="EZ201" s="55"/>
      <c r="FA201" s="55"/>
      <c r="FB201" s="55"/>
      <c r="FC201" s="55"/>
      <c r="FD201" s="55"/>
      <c r="FE201" s="55"/>
      <c r="FF201" s="55"/>
      <c r="FG201" s="55"/>
      <c r="FH201" s="55"/>
      <c r="FI201" s="55"/>
      <c r="FJ201" s="55"/>
      <c r="FK201" s="55"/>
      <c r="FL201" s="55"/>
      <c r="FM201" s="55"/>
      <c r="FN201" s="55"/>
      <c r="FO201" s="55"/>
      <c r="FP201" s="55"/>
      <c r="FQ201" s="55"/>
      <c r="FR201" s="55"/>
      <c r="FS201" s="55"/>
      <c r="FT201" s="55"/>
      <c r="FU201" s="55"/>
      <c r="FV201" s="55"/>
      <c r="FW201" s="55"/>
      <c r="FX201" s="55"/>
      <c r="FY201" s="55"/>
      <c r="FZ201" s="55"/>
      <c r="GA201" s="55"/>
      <c r="GB201" s="55"/>
      <c r="GC201" s="55"/>
      <c r="GD201" s="55"/>
      <c r="GE201" s="55"/>
      <c r="GF201" s="55"/>
      <c r="GG201" s="55"/>
      <c r="GH201" s="55"/>
      <c r="GI201" s="55"/>
      <c r="GJ201" s="55"/>
      <c r="GK201" s="55"/>
      <c r="GL201" s="55"/>
      <c r="GM201" s="55"/>
      <c r="GN201" s="55"/>
      <c r="GO201" s="55"/>
      <c r="GP201" s="55"/>
      <c r="GQ201" s="55"/>
      <c r="GR201" s="55"/>
      <c r="GS201" s="55"/>
      <c r="GT201" s="55"/>
      <c r="GU201" s="55"/>
      <c r="GV201" s="55"/>
      <c r="GW201" s="55"/>
      <c r="GX201" s="55"/>
      <c r="GY201" s="19">
        <v>0.9657209257286723</v>
      </c>
      <c r="GZ201" s="53">
        <v>997.3</v>
      </c>
      <c r="HA201" s="53">
        <v>1032.7</v>
      </c>
      <c r="HB201" s="55"/>
      <c r="HC201" s="55"/>
      <c r="HD201" s="55"/>
      <c r="HE201" s="55"/>
      <c r="HF201" s="53">
        <v>999.8</v>
      </c>
      <c r="HG201" s="53">
        <v>973</v>
      </c>
      <c r="HH201" s="53">
        <v>377.3</v>
      </c>
      <c r="HI201" s="53">
        <v>132.4</v>
      </c>
      <c r="HJ201" s="53">
        <v>377.3</v>
      </c>
      <c r="HK201" s="53">
        <v>17</v>
      </c>
      <c r="HL201" s="53">
        <v>26.8</v>
      </c>
      <c r="HM201" s="55"/>
      <c r="HN201" s="55"/>
      <c r="HO201" s="55"/>
      <c r="HP201" s="53" t="e">
        <v>#VALUE!</v>
      </c>
      <c r="HQ201" s="53">
        <v>4.7</v>
      </c>
      <c r="HR201" s="53">
        <v>10</v>
      </c>
      <c r="HS201" s="53" t="e">
        <v>#VALUE!</v>
      </c>
      <c r="HT201" s="53">
        <v>8.3000000000000007</v>
      </c>
      <c r="HU201" s="55"/>
      <c r="HV201" s="55"/>
      <c r="HW201" s="53">
        <v>282</v>
      </c>
      <c r="HX201" s="53" t="e">
        <v>#VALUE!</v>
      </c>
      <c r="HY201" s="53">
        <v>282</v>
      </c>
      <c r="HZ201" s="53">
        <v>51.5</v>
      </c>
      <c r="IA201" s="53">
        <v>196</v>
      </c>
      <c r="IB201" s="53" t="e">
        <v>#VALUE!</v>
      </c>
      <c r="IC201" s="53" t="e">
        <v>#VALUE!</v>
      </c>
      <c r="ID201" s="53" t="e">
        <v>#VALUE!</v>
      </c>
      <c r="IE201" s="53" t="e">
        <v>#VALUE!</v>
      </c>
      <c r="IF201" s="53">
        <v>6.8</v>
      </c>
      <c r="IG201" s="53">
        <v>20.6</v>
      </c>
      <c r="IH201" s="55"/>
      <c r="II201" s="55"/>
      <c r="IJ201" s="55"/>
      <c r="IK201" s="55"/>
      <c r="IL201" s="55"/>
      <c r="IM201" s="55"/>
      <c r="IN201" s="53">
        <v>81.2</v>
      </c>
      <c r="IO201" s="53">
        <v>83.4</v>
      </c>
      <c r="IP201" s="53" t="e">
        <v>#VALUE!</v>
      </c>
      <c r="IQ201" s="53">
        <v>38.6</v>
      </c>
      <c r="IR201" s="53">
        <v>16.2</v>
      </c>
      <c r="IS201" s="53" t="e">
        <v>#VALUE!</v>
      </c>
      <c r="IT201" s="53">
        <v>19.899999999999999</v>
      </c>
      <c r="IU201" s="53" t="e">
        <v>#VALUE!</v>
      </c>
      <c r="IV201" s="53" t="e">
        <v>#VALUE!</v>
      </c>
      <c r="IY201" s="48">
        <f t="shared" si="11"/>
        <v>47.85268414481898</v>
      </c>
      <c r="IZ201" s="48">
        <f>IY201-'NOPA Crush'!J201</f>
        <v>0.10268414481897992</v>
      </c>
      <c r="JB201" s="63">
        <f t="shared" si="9"/>
        <v>11.229712858926341</v>
      </c>
      <c r="JC201" s="64">
        <f>JB201-'NOPA Crush'!O201</f>
        <v>-7.0287141073659853E-2</v>
      </c>
      <c r="JD201" s="65"/>
      <c r="JE201" s="67">
        <f t="shared" si="10"/>
        <v>1747.3999999999999</v>
      </c>
      <c r="JF201" s="68">
        <f>'NOPA Crush'!Q201/'Census Crush'!JE201</f>
        <v>0.42638434245164247</v>
      </c>
    </row>
    <row r="202" spans="1:266">
      <c r="A202" s="39">
        <v>35186</v>
      </c>
      <c r="B202" s="51">
        <v>3189.9</v>
      </c>
      <c r="C202" s="51">
        <v>2774.6</v>
      </c>
      <c r="D202" s="51">
        <v>330.8</v>
      </c>
      <c r="E202" s="51">
        <v>952.3</v>
      </c>
      <c r="F202" s="51">
        <v>43.3</v>
      </c>
      <c r="G202" s="51" t="s">
        <v>264</v>
      </c>
      <c r="H202" s="51" t="s">
        <v>264</v>
      </c>
      <c r="I202" s="51" t="s">
        <v>264</v>
      </c>
      <c r="J202" s="51" t="s">
        <v>264</v>
      </c>
      <c r="K202" s="51">
        <v>1197</v>
      </c>
      <c r="L202" s="49">
        <v>1758.9</v>
      </c>
      <c r="M202" s="51">
        <v>1531.7</v>
      </c>
      <c r="N202" s="51">
        <v>227.2</v>
      </c>
      <c r="O202" s="51">
        <v>103.5</v>
      </c>
      <c r="P202" s="51">
        <v>143.30000000000001</v>
      </c>
      <c r="Q202" s="51">
        <v>53.7</v>
      </c>
      <c r="R202" s="51">
        <v>89.6</v>
      </c>
      <c r="S202" s="51"/>
      <c r="T202" s="51">
        <v>36.700000000000003</v>
      </c>
      <c r="U202" s="51">
        <v>49.6</v>
      </c>
      <c r="V202" s="51">
        <v>44.2</v>
      </c>
      <c r="W202" s="51">
        <v>5.4</v>
      </c>
      <c r="X202" s="51" t="s">
        <v>264</v>
      </c>
      <c r="Y202" s="51">
        <v>7.4</v>
      </c>
      <c r="Z202" s="49">
        <v>116.8</v>
      </c>
      <c r="AA202" s="51">
        <v>103.7</v>
      </c>
      <c r="AB202" s="51">
        <v>13.1</v>
      </c>
      <c r="AC202" s="51" t="s">
        <v>264</v>
      </c>
      <c r="AD202" s="51">
        <v>12.4</v>
      </c>
      <c r="AE202" s="51"/>
      <c r="AF202" s="51">
        <v>78.8</v>
      </c>
      <c r="AG202" s="51">
        <v>60.5</v>
      </c>
      <c r="AH202" s="51">
        <v>18.3</v>
      </c>
      <c r="AI202" s="51">
        <v>180</v>
      </c>
      <c r="AJ202" s="51"/>
      <c r="AK202" s="51"/>
      <c r="AL202" s="51">
        <v>171.9</v>
      </c>
      <c r="AM202" s="51">
        <v>61</v>
      </c>
      <c r="AN202" s="51">
        <v>110.9</v>
      </c>
      <c r="AO202" s="51">
        <v>2349.1999999999998</v>
      </c>
      <c r="AP202" s="51">
        <v>260.89999999999998</v>
      </c>
      <c r="AQ202" s="51">
        <v>185.5</v>
      </c>
      <c r="AR202" s="51">
        <v>45.9</v>
      </c>
      <c r="AS202" s="51">
        <v>150.1</v>
      </c>
      <c r="AT202" s="51">
        <v>56.5</v>
      </c>
      <c r="AU202" s="51">
        <v>82.9</v>
      </c>
      <c r="AV202" s="51">
        <v>42.1</v>
      </c>
      <c r="AW202" s="51">
        <v>24.8</v>
      </c>
      <c r="AX202" s="51">
        <v>3.1</v>
      </c>
      <c r="AY202" s="51" t="s">
        <v>264</v>
      </c>
      <c r="AZ202" s="51" t="s">
        <v>264</v>
      </c>
      <c r="BA202" s="51" t="s">
        <v>264</v>
      </c>
      <c r="BB202" s="51" t="s">
        <v>264</v>
      </c>
      <c r="BC202" s="51"/>
      <c r="BD202" s="53">
        <v>146.6</v>
      </c>
      <c r="BE202" s="53">
        <v>49.7</v>
      </c>
      <c r="BF202" s="55"/>
      <c r="BG202" s="55"/>
      <c r="BH202" s="53">
        <v>330.3</v>
      </c>
      <c r="BI202" s="55"/>
      <c r="BJ202" s="55"/>
      <c r="BK202" s="53">
        <v>254.6</v>
      </c>
      <c r="BL202" s="53">
        <v>4.0999999999999996</v>
      </c>
      <c r="BM202" s="53">
        <v>589</v>
      </c>
      <c r="BN202" s="53">
        <v>223.2</v>
      </c>
      <c r="BO202" s="55"/>
      <c r="BP202" s="55"/>
      <c r="BQ202" s="53">
        <v>96</v>
      </c>
      <c r="BR202" s="53">
        <v>3.9</v>
      </c>
      <c r="BS202" s="53">
        <v>323.09999999999997</v>
      </c>
      <c r="BT202" s="52" t="s">
        <v>264</v>
      </c>
      <c r="BU202" s="53">
        <v>23.2</v>
      </c>
      <c r="BV202" s="51">
        <v>406.6</v>
      </c>
      <c r="BW202" s="51">
        <v>120</v>
      </c>
      <c r="BX202" s="51">
        <v>533</v>
      </c>
      <c r="BY202" s="51">
        <v>46.2</v>
      </c>
      <c r="BZ202" s="51">
        <v>8.1999999999999993</v>
      </c>
      <c r="CA202" s="49">
        <v>54.400000000000006</v>
      </c>
      <c r="CB202" s="55"/>
      <c r="CC202" s="55"/>
      <c r="CD202" s="55"/>
      <c r="CE202" s="55"/>
      <c r="CF202" s="53">
        <v>125.3</v>
      </c>
      <c r="CG202" s="53">
        <v>127</v>
      </c>
      <c r="CH202" s="53">
        <v>8.5</v>
      </c>
      <c r="CI202" s="55"/>
      <c r="CJ202" s="55"/>
      <c r="CK202" s="55"/>
      <c r="CL202" s="55"/>
      <c r="CM202" s="55"/>
      <c r="CN202" s="53">
        <v>44.2</v>
      </c>
      <c r="CO202" s="52">
        <v>175.9</v>
      </c>
      <c r="CP202" s="53">
        <v>110.5</v>
      </c>
      <c r="CQ202" s="53">
        <v>65.400000000000006</v>
      </c>
      <c r="CR202" s="52" t="s">
        <v>264</v>
      </c>
      <c r="CS202" s="52">
        <v>47.2</v>
      </c>
      <c r="CT202" s="52">
        <v>31.3</v>
      </c>
      <c r="CU202" s="52">
        <v>15.9</v>
      </c>
      <c r="CV202" s="52">
        <v>50.9</v>
      </c>
      <c r="CW202" s="53">
        <v>13.6</v>
      </c>
      <c r="CX202" s="53">
        <v>37.299999999999997</v>
      </c>
      <c r="CY202" s="53" t="s">
        <v>264</v>
      </c>
      <c r="CZ202" s="53">
        <v>70</v>
      </c>
      <c r="DA202" s="52">
        <v>43.8</v>
      </c>
      <c r="DB202" s="53">
        <v>42</v>
      </c>
      <c r="DC202" s="53">
        <v>1.8</v>
      </c>
      <c r="DD202" s="55"/>
      <c r="DE202" s="55"/>
      <c r="DF202" s="55"/>
      <c r="DG202" s="53">
        <v>75.900000000000006</v>
      </c>
      <c r="DH202" s="55"/>
      <c r="DI202" s="53">
        <v>578.1</v>
      </c>
      <c r="DJ202" s="53">
        <v>223.9</v>
      </c>
      <c r="DK202" s="55"/>
      <c r="DL202" s="55"/>
      <c r="DM202" s="53">
        <v>247</v>
      </c>
      <c r="DN202" s="55"/>
      <c r="DO202" s="53">
        <v>182.1</v>
      </c>
      <c r="DP202" s="53">
        <v>225.6</v>
      </c>
      <c r="DQ202" s="55"/>
      <c r="DR202" s="55"/>
      <c r="DS202" s="53">
        <v>779.20699999999999</v>
      </c>
      <c r="DT202" s="53">
        <v>3189.9</v>
      </c>
      <c r="DU202" s="53">
        <v>-953.99300000000039</v>
      </c>
      <c r="DV202" s="53">
        <v>0</v>
      </c>
      <c r="DW202" s="55"/>
      <c r="DX202" s="55"/>
      <c r="DY202" s="55"/>
      <c r="DZ202" s="55"/>
      <c r="EA202" s="55"/>
      <c r="EB202" s="55"/>
      <c r="EC202" s="55"/>
      <c r="ED202" s="55"/>
      <c r="EE202" s="55"/>
      <c r="EF202" s="55"/>
      <c r="EG202" s="55"/>
      <c r="EH202" s="55"/>
      <c r="EI202" s="55"/>
      <c r="EJ202" s="55"/>
      <c r="EK202" s="55"/>
      <c r="EL202" s="55"/>
      <c r="EM202" s="55"/>
      <c r="EN202" s="55"/>
      <c r="EO202" s="55"/>
      <c r="EP202" s="55"/>
      <c r="EQ202" s="55"/>
      <c r="ER202" s="55"/>
      <c r="ES202" s="55"/>
      <c r="ET202" s="55"/>
      <c r="EU202" s="55"/>
      <c r="EV202" s="55"/>
      <c r="EW202" s="55"/>
      <c r="EX202" s="55"/>
      <c r="EY202" s="55"/>
      <c r="EZ202" s="55"/>
      <c r="FA202" s="55"/>
      <c r="FB202" s="55"/>
      <c r="FC202" s="55"/>
      <c r="FD202" s="55"/>
      <c r="FE202" s="55"/>
      <c r="FF202" s="55"/>
      <c r="FG202" s="55"/>
      <c r="FH202" s="55"/>
      <c r="FI202" s="55"/>
      <c r="FJ202" s="55"/>
      <c r="FK202" s="55"/>
      <c r="FL202" s="55"/>
      <c r="FM202" s="55"/>
      <c r="FN202" s="55"/>
      <c r="FO202" s="55"/>
      <c r="FP202" s="55"/>
      <c r="FQ202" s="55"/>
      <c r="FR202" s="55"/>
      <c r="FS202" s="55"/>
      <c r="FT202" s="55"/>
      <c r="FU202" s="55"/>
      <c r="FV202" s="55"/>
      <c r="FW202" s="55"/>
      <c r="FX202" s="55"/>
      <c r="FY202" s="55"/>
      <c r="FZ202" s="55"/>
      <c r="GA202" s="55"/>
      <c r="GB202" s="55"/>
      <c r="GC202" s="55"/>
      <c r="GD202" s="55"/>
      <c r="GE202" s="55"/>
      <c r="GF202" s="55"/>
      <c r="GG202" s="55"/>
      <c r="GH202" s="55"/>
      <c r="GI202" s="55"/>
      <c r="GJ202" s="55"/>
      <c r="GK202" s="55"/>
      <c r="GL202" s="55"/>
      <c r="GM202" s="55"/>
      <c r="GN202" s="55"/>
      <c r="GO202" s="55"/>
      <c r="GP202" s="55"/>
      <c r="GQ202" s="55"/>
      <c r="GR202" s="55"/>
      <c r="GS202" s="55"/>
      <c r="GT202" s="55"/>
      <c r="GU202" s="55"/>
      <c r="GV202" s="55"/>
      <c r="GW202" s="55"/>
      <c r="GX202" s="55"/>
      <c r="GY202" s="19">
        <v>0.96917610908392537</v>
      </c>
      <c r="GZ202" s="53">
        <v>1009.3</v>
      </c>
      <c r="HA202" s="53">
        <v>1041.4000000000001</v>
      </c>
      <c r="HB202" s="55"/>
      <c r="HC202" s="55"/>
      <c r="HD202" s="55"/>
      <c r="HE202" s="55"/>
      <c r="HF202" s="53">
        <v>1020.6</v>
      </c>
      <c r="HG202" s="53">
        <v>991.9</v>
      </c>
      <c r="HH202" s="53">
        <v>386</v>
      </c>
      <c r="HI202" s="53">
        <v>132.1</v>
      </c>
      <c r="HJ202" s="53">
        <v>386</v>
      </c>
      <c r="HK202" s="53">
        <v>16.600000000000001</v>
      </c>
      <c r="HL202" s="53">
        <v>28.7</v>
      </c>
      <c r="HM202" s="55"/>
      <c r="HN202" s="55"/>
      <c r="HO202" s="55"/>
      <c r="HP202" s="53" t="e">
        <v>#VALUE!</v>
      </c>
      <c r="HQ202" s="53">
        <v>4.5999999999999996</v>
      </c>
      <c r="HR202" s="53">
        <v>11.7</v>
      </c>
      <c r="HS202" s="53" t="e">
        <v>#VALUE!</v>
      </c>
      <c r="HT202" s="53">
        <v>9.4</v>
      </c>
      <c r="HU202" s="55"/>
      <c r="HV202" s="55"/>
      <c r="HW202" s="53">
        <v>298.5</v>
      </c>
      <c r="HX202" s="53" t="e">
        <v>#VALUE!</v>
      </c>
      <c r="HY202" s="53">
        <v>298.5</v>
      </c>
      <c r="HZ202" s="53">
        <v>55.7</v>
      </c>
      <c r="IA202" s="53">
        <v>207.6</v>
      </c>
      <c r="IB202" s="53" t="e">
        <v>#VALUE!</v>
      </c>
      <c r="IC202" s="53" t="e">
        <v>#VALUE!</v>
      </c>
      <c r="ID202" s="53" t="e">
        <v>#VALUE!</v>
      </c>
      <c r="IE202" s="53" t="e">
        <v>#VALUE!</v>
      </c>
      <c r="IF202" s="53">
        <v>7.4</v>
      </c>
      <c r="IG202" s="53">
        <v>22.3</v>
      </c>
      <c r="IH202" s="55"/>
      <c r="II202" s="55"/>
      <c r="IJ202" s="55"/>
      <c r="IK202" s="55"/>
      <c r="IL202" s="55"/>
      <c r="IM202" s="55"/>
      <c r="IN202" s="53">
        <v>75</v>
      </c>
      <c r="IO202" s="53">
        <v>77.3</v>
      </c>
      <c r="IP202" s="53" t="e">
        <v>#VALUE!</v>
      </c>
      <c r="IQ202" s="53">
        <v>45.8</v>
      </c>
      <c r="IR202" s="53">
        <v>19.899999999999999</v>
      </c>
      <c r="IS202" s="53" t="e">
        <v>#VALUE!</v>
      </c>
      <c r="IT202" s="53">
        <v>23.4</v>
      </c>
      <c r="IU202" s="53" t="e">
        <v>#VALUE!</v>
      </c>
      <c r="IV202" s="53" t="e">
        <v>#VALUE!</v>
      </c>
      <c r="IY202" s="48">
        <f t="shared" si="11"/>
        <v>47.676102699144174</v>
      </c>
      <c r="IZ202" s="48">
        <f>IY202-'NOPA Crush'!J202</f>
        <v>-3.8973008558258471E-3</v>
      </c>
      <c r="JB202" s="63">
        <f t="shared" si="9"/>
        <v>11.257406188281765</v>
      </c>
      <c r="JC202" s="64">
        <f>JB202-'NOPA Crush'!O202</f>
        <v>-4.2593811718235841E-2</v>
      </c>
      <c r="JD202" s="65"/>
      <c r="JE202" s="67">
        <f t="shared" si="10"/>
        <v>1758.9</v>
      </c>
      <c r="JF202" s="68">
        <f>'NOPA Crush'!Q202/'Census Crush'!JE202</f>
        <v>0.39410370117687188</v>
      </c>
    </row>
    <row r="203" spans="1:266">
      <c r="A203" s="39">
        <v>35217</v>
      </c>
      <c r="B203" s="51">
        <v>3223.8</v>
      </c>
      <c r="C203" s="51">
        <v>2113.3000000000002</v>
      </c>
      <c r="D203" s="51">
        <v>228.5</v>
      </c>
      <c r="E203" s="51">
        <v>723.3</v>
      </c>
      <c r="F203" s="51">
        <v>38.1</v>
      </c>
      <c r="G203" s="51">
        <v>24.5</v>
      </c>
      <c r="H203" s="51" t="s">
        <v>264</v>
      </c>
      <c r="I203" s="51" t="s">
        <v>264</v>
      </c>
      <c r="J203" s="51">
        <v>19.3</v>
      </c>
      <c r="K203" s="51">
        <v>1220.9000000000001</v>
      </c>
      <c r="L203" s="49">
        <v>1888.5</v>
      </c>
      <c r="M203" s="51">
        <v>1672.4</v>
      </c>
      <c r="N203" s="51">
        <v>216.1</v>
      </c>
      <c r="O203" s="51">
        <v>74.7</v>
      </c>
      <c r="P203" s="51">
        <v>128.10000000000002</v>
      </c>
      <c r="Q203" s="51">
        <v>50.7</v>
      </c>
      <c r="R203" s="51">
        <v>77.400000000000006</v>
      </c>
      <c r="S203" s="51"/>
      <c r="T203" s="51">
        <v>33.299999999999997</v>
      </c>
      <c r="U203" s="51">
        <v>54.9</v>
      </c>
      <c r="V203" s="51">
        <v>51.1</v>
      </c>
      <c r="W203" s="51">
        <v>3.8</v>
      </c>
      <c r="X203" s="51" t="s">
        <v>264</v>
      </c>
      <c r="Y203" s="51">
        <v>6.6</v>
      </c>
      <c r="Z203" s="49">
        <v>124.7</v>
      </c>
      <c r="AA203" s="51">
        <v>115.9</v>
      </c>
      <c r="AB203" s="51">
        <v>8.8000000000000007</v>
      </c>
      <c r="AC203" s="51" t="s">
        <v>264</v>
      </c>
      <c r="AD203" s="51">
        <v>10.9</v>
      </c>
      <c r="AE203" s="51"/>
      <c r="AF203" s="51">
        <v>83.6</v>
      </c>
      <c r="AG203" s="51">
        <v>65.7</v>
      </c>
      <c r="AH203" s="51">
        <v>17.899999999999999</v>
      </c>
      <c r="AI203" s="51">
        <v>182.4</v>
      </c>
      <c r="AJ203" s="51"/>
      <c r="AK203" s="51"/>
      <c r="AL203" s="51">
        <v>181.10000000000002</v>
      </c>
      <c r="AM203" s="51">
        <v>70.900000000000006</v>
      </c>
      <c r="AN203" s="51">
        <v>110.2</v>
      </c>
      <c r="AO203" s="51">
        <v>2376</v>
      </c>
      <c r="AP203" s="51">
        <v>348.3</v>
      </c>
      <c r="AQ203" s="51">
        <v>190.2</v>
      </c>
      <c r="AR203" s="51">
        <v>57.9</v>
      </c>
      <c r="AS203" s="51">
        <v>104.4</v>
      </c>
      <c r="AT203" s="51">
        <v>57.3</v>
      </c>
      <c r="AU203" s="51">
        <v>58.6</v>
      </c>
      <c r="AV203" s="51">
        <v>40.200000000000003</v>
      </c>
      <c r="AW203" s="51">
        <v>20.8</v>
      </c>
      <c r="AX203" s="51">
        <v>3.4</v>
      </c>
      <c r="AY203" s="51" t="s">
        <v>264</v>
      </c>
      <c r="AZ203" s="51" t="s">
        <v>264</v>
      </c>
      <c r="BA203" s="51" t="s">
        <v>264</v>
      </c>
      <c r="BB203" s="51" t="s">
        <v>264</v>
      </c>
      <c r="BC203" s="51"/>
      <c r="BD203" s="53">
        <v>130</v>
      </c>
      <c r="BE203" s="53">
        <v>43.1</v>
      </c>
      <c r="BF203" s="55"/>
      <c r="BG203" s="55"/>
      <c r="BH203" s="53">
        <v>283.5</v>
      </c>
      <c r="BI203" s="55"/>
      <c r="BJ203" s="55"/>
      <c r="BK203" s="53">
        <v>223.6</v>
      </c>
      <c r="BL203" s="53">
        <v>4.2</v>
      </c>
      <c r="BM203" s="53">
        <v>511.3</v>
      </c>
      <c r="BN203" s="53">
        <v>203.3</v>
      </c>
      <c r="BO203" s="55"/>
      <c r="BP203" s="55"/>
      <c r="BQ203" s="53">
        <v>98.7</v>
      </c>
      <c r="BR203" s="53">
        <v>3.9</v>
      </c>
      <c r="BS203" s="53">
        <v>305.89999999999998</v>
      </c>
      <c r="BT203" s="52" t="s">
        <v>264</v>
      </c>
      <c r="BU203" s="53">
        <v>23.7</v>
      </c>
      <c r="BV203" s="51">
        <v>343.8</v>
      </c>
      <c r="BW203" s="51">
        <v>113.2</v>
      </c>
      <c r="BX203" s="51">
        <v>464.6</v>
      </c>
      <c r="BY203" s="51">
        <v>54.7</v>
      </c>
      <c r="BZ203" s="51">
        <v>8.8000000000000007</v>
      </c>
      <c r="CA203" s="49">
        <v>63.5</v>
      </c>
      <c r="CB203" s="55"/>
      <c r="CC203" s="55"/>
      <c r="CD203" s="55"/>
      <c r="CE203" s="55"/>
      <c r="CF203" s="53">
        <v>125.3</v>
      </c>
      <c r="CG203" s="53">
        <v>130.5</v>
      </c>
      <c r="CH203" s="53">
        <v>6</v>
      </c>
      <c r="CI203" s="55"/>
      <c r="CJ203" s="55"/>
      <c r="CK203" s="55"/>
      <c r="CL203" s="55"/>
      <c r="CM203" s="55"/>
      <c r="CN203" s="53">
        <v>42.5</v>
      </c>
      <c r="CO203" s="52">
        <v>171.5</v>
      </c>
      <c r="CP203" s="53">
        <v>104.6</v>
      </c>
      <c r="CQ203" s="53">
        <v>66.900000000000006</v>
      </c>
      <c r="CR203" s="52" t="s">
        <v>264</v>
      </c>
      <c r="CS203" s="52">
        <v>51.2</v>
      </c>
      <c r="CT203" s="52">
        <v>33.5</v>
      </c>
      <c r="CU203" s="52">
        <v>17.7</v>
      </c>
      <c r="CV203" s="52">
        <v>52</v>
      </c>
      <c r="CW203" s="53">
        <v>16.3</v>
      </c>
      <c r="CX203" s="53">
        <v>35.700000000000003</v>
      </c>
      <c r="CY203" s="53" t="s">
        <v>264</v>
      </c>
      <c r="CZ203" s="53">
        <v>49.6</v>
      </c>
      <c r="DA203" s="52">
        <v>40</v>
      </c>
      <c r="DB203" s="53">
        <v>38.5</v>
      </c>
      <c r="DC203" s="53">
        <v>1.5</v>
      </c>
      <c r="DD203" s="55"/>
      <c r="DE203" s="55"/>
      <c r="DF203" s="55"/>
      <c r="DG203" s="55"/>
      <c r="DH203" s="55"/>
      <c r="DI203" s="53">
        <v>541.70000000000005</v>
      </c>
      <c r="DJ203" s="53">
        <v>173.5</v>
      </c>
      <c r="DK203" s="55"/>
      <c r="DL203" s="53">
        <v>133.6</v>
      </c>
      <c r="DM203" s="53">
        <v>213.3</v>
      </c>
      <c r="DN203" s="55"/>
      <c r="DO203" s="53">
        <v>191.2</v>
      </c>
      <c r="DP203" s="53">
        <v>251.9</v>
      </c>
      <c r="DQ203" s="55"/>
      <c r="DR203" s="55"/>
      <c r="DS203" s="53">
        <v>820.70500000000004</v>
      </c>
      <c r="DT203" s="53">
        <v>3223.8</v>
      </c>
      <c r="DU203" s="53">
        <v>-897.89499999999998</v>
      </c>
      <c r="DV203" s="53">
        <v>0</v>
      </c>
      <c r="DW203" s="55"/>
      <c r="DX203" s="55"/>
      <c r="DY203" s="55"/>
      <c r="DZ203" s="55"/>
      <c r="EA203" s="55"/>
      <c r="EB203" s="55"/>
      <c r="EC203" s="55"/>
      <c r="ED203" s="55"/>
      <c r="EE203" s="55"/>
      <c r="EF203" s="55"/>
      <c r="EG203" s="55"/>
      <c r="EH203" s="55"/>
      <c r="EI203" s="55"/>
      <c r="EJ203" s="55"/>
      <c r="EK203" s="55"/>
      <c r="EL203" s="55"/>
      <c r="EM203" s="55"/>
      <c r="EN203" s="55"/>
      <c r="EO203" s="55"/>
      <c r="EP203" s="55"/>
      <c r="EQ203" s="55"/>
      <c r="ER203" s="55"/>
      <c r="ES203" s="55"/>
      <c r="ET203" s="55"/>
      <c r="EU203" s="55"/>
      <c r="EV203" s="55"/>
      <c r="EW203" s="55"/>
      <c r="EX203" s="55"/>
      <c r="EY203" s="55"/>
      <c r="EZ203" s="55"/>
      <c r="FA203" s="55"/>
      <c r="FB203" s="55"/>
      <c r="FC203" s="55"/>
      <c r="FD203" s="55"/>
      <c r="FE203" s="55"/>
      <c r="FF203" s="55"/>
      <c r="FG203" s="55"/>
      <c r="FH203" s="55"/>
      <c r="FI203" s="55"/>
      <c r="FJ203" s="55"/>
      <c r="FK203" s="55"/>
      <c r="FL203" s="55"/>
      <c r="FM203" s="55"/>
      <c r="FN203" s="55"/>
      <c r="FO203" s="55"/>
      <c r="FP203" s="55"/>
      <c r="FQ203" s="55"/>
      <c r="FR203" s="55"/>
      <c r="FS203" s="55"/>
      <c r="FT203" s="55"/>
      <c r="FU203" s="55"/>
      <c r="FV203" s="55"/>
      <c r="FW203" s="55"/>
      <c r="FX203" s="55"/>
      <c r="FY203" s="55"/>
      <c r="FZ203" s="55"/>
      <c r="GA203" s="55"/>
      <c r="GB203" s="55"/>
      <c r="GC203" s="55"/>
      <c r="GD203" s="55"/>
      <c r="GE203" s="55"/>
      <c r="GF203" s="55"/>
      <c r="GG203" s="55"/>
      <c r="GH203" s="55"/>
      <c r="GI203" s="55"/>
      <c r="GJ203" s="55"/>
      <c r="GK203" s="55"/>
      <c r="GL203" s="55"/>
      <c r="GM203" s="55"/>
      <c r="GN203" s="55"/>
      <c r="GO203" s="55"/>
      <c r="GP203" s="55"/>
      <c r="GQ203" s="55"/>
      <c r="GR203" s="55"/>
      <c r="GS203" s="55"/>
      <c r="GT203" s="55"/>
      <c r="GU203" s="55"/>
      <c r="GV203" s="55"/>
      <c r="GW203" s="55"/>
      <c r="GX203" s="55"/>
      <c r="GY203" s="19">
        <v>0.9658908507223114</v>
      </c>
      <c r="GZ203" s="53">
        <v>962.8</v>
      </c>
      <c r="HA203" s="53">
        <v>996.8</v>
      </c>
      <c r="HB203" s="55"/>
      <c r="HC203" s="55"/>
      <c r="HD203" s="55"/>
      <c r="HE203" s="55"/>
      <c r="HF203" s="53">
        <v>946.2</v>
      </c>
      <c r="HG203" s="53">
        <v>921</v>
      </c>
      <c r="HH203" s="53">
        <v>371.7</v>
      </c>
      <c r="HI203" s="53">
        <v>123.1</v>
      </c>
      <c r="HJ203" s="53">
        <v>371.7</v>
      </c>
      <c r="HK203" s="53">
        <v>10.3</v>
      </c>
      <c r="HL203" s="53">
        <v>25.2</v>
      </c>
      <c r="HM203" s="55"/>
      <c r="HN203" s="55"/>
      <c r="HO203" s="55"/>
      <c r="HP203" s="53" t="e">
        <v>#VALUE!</v>
      </c>
      <c r="HQ203" s="53">
        <v>4.5999999999999996</v>
      </c>
      <c r="HR203" s="53">
        <v>11</v>
      </c>
      <c r="HS203" s="53" t="e">
        <v>#VALUE!</v>
      </c>
      <c r="HT203" s="53">
        <v>7.2</v>
      </c>
      <c r="HU203" s="55"/>
      <c r="HV203" s="55"/>
      <c r="HW203" s="53">
        <v>265.10000000000002</v>
      </c>
      <c r="HX203" s="53" t="e">
        <v>#VALUE!</v>
      </c>
      <c r="HY203" s="53">
        <v>265.10000000000002</v>
      </c>
      <c r="HZ203" s="53">
        <v>57.6</v>
      </c>
      <c r="IA203" s="53">
        <v>174</v>
      </c>
      <c r="IB203" s="53" t="e">
        <v>#VALUE!</v>
      </c>
      <c r="IC203" s="53" t="e">
        <v>#VALUE!</v>
      </c>
      <c r="ID203" s="53" t="e">
        <v>#VALUE!</v>
      </c>
      <c r="IE203" s="53" t="e">
        <v>#VALUE!</v>
      </c>
      <c r="IF203" s="53">
        <v>7</v>
      </c>
      <c r="IG203" s="53">
        <v>20.5</v>
      </c>
      <c r="IH203" s="55"/>
      <c r="II203" s="55"/>
      <c r="IJ203" s="55"/>
      <c r="IK203" s="55"/>
      <c r="IL203" s="55"/>
      <c r="IM203" s="55"/>
      <c r="IN203" s="53">
        <v>53.8</v>
      </c>
      <c r="IO203" s="53">
        <v>55.5</v>
      </c>
      <c r="IP203" s="53" t="e">
        <v>#VALUE!</v>
      </c>
      <c r="IQ203" s="53">
        <v>40.4</v>
      </c>
      <c r="IR203" s="53">
        <v>17.2</v>
      </c>
      <c r="IS203" s="53" t="e">
        <v>#VALUE!</v>
      </c>
      <c r="IT203" s="53">
        <v>21.3</v>
      </c>
      <c r="IU203" s="53" t="e">
        <v>#VALUE!</v>
      </c>
      <c r="IV203" s="53" t="e">
        <v>#VALUE!</v>
      </c>
      <c r="IY203" s="48">
        <f t="shared" si="11"/>
        <v>47.761027359017305</v>
      </c>
      <c r="IZ203" s="48">
        <f>IY203-'NOPA Crush'!J203</f>
        <v>0.26102735901730512</v>
      </c>
      <c r="JB203" s="63">
        <f t="shared" si="9"/>
        <v>11.36143681369812</v>
      </c>
      <c r="JC203" s="64">
        <f>JB203-'NOPA Crush'!O203</f>
        <v>1.1436813698120218E-2</v>
      </c>
      <c r="JD203" s="65"/>
      <c r="JE203" s="67">
        <f t="shared" si="10"/>
        <v>1888.5</v>
      </c>
      <c r="JF203" s="68">
        <f>'NOPA Crush'!Q203/'Census Crush'!JE203</f>
        <v>0.9173486894360604</v>
      </c>
    </row>
    <row r="204" spans="1:266">
      <c r="A204" s="39">
        <v>35247</v>
      </c>
      <c r="B204" s="51">
        <v>3355.8</v>
      </c>
      <c r="C204" s="51">
        <v>1722.6</v>
      </c>
      <c r="D204" s="51">
        <v>215</v>
      </c>
      <c r="E204" s="51">
        <v>517</v>
      </c>
      <c r="F204" s="51">
        <v>37.4</v>
      </c>
      <c r="G204" s="51" t="s">
        <v>264</v>
      </c>
      <c r="H204" s="51" t="s">
        <v>264</v>
      </c>
      <c r="I204" s="51" t="s">
        <v>264</v>
      </c>
      <c r="J204" s="51">
        <v>31.6</v>
      </c>
      <c r="K204" s="51">
        <v>1262.8</v>
      </c>
      <c r="L204" s="49">
        <v>2156.5</v>
      </c>
      <c r="M204" s="51">
        <v>1951.4</v>
      </c>
      <c r="N204" s="51">
        <v>205.1</v>
      </c>
      <c r="O204" s="51">
        <v>78.400000000000006</v>
      </c>
      <c r="P204" s="51">
        <v>125.4</v>
      </c>
      <c r="Q204" s="51">
        <v>47.5</v>
      </c>
      <c r="R204" s="51">
        <v>77.900000000000006</v>
      </c>
      <c r="S204" s="51"/>
      <c r="T204" s="51">
        <v>31.4</v>
      </c>
      <c r="U204" s="51">
        <v>65.400000000000006</v>
      </c>
      <c r="V204" s="51">
        <v>61.4</v>
      </c>
      <c r="W204" s="51">
        <v>4</v>
      </c>
      <c r="X204" s="51" t="s">
        <v>264</v>
      </c>
      <c r="Y204" s="51">
        <v>4.2</v>
      </c>
      <c r="Z204" s="49">
        <v>155.69999999999999</v>
      </c>
      <c r="AA204" s="51">
        <v>148.6</v>
      </c>
      <c r="AB204" s="51">
        <v>7.1</v>
      </c>
      <c r="AC204" s="51" t="s">
        <v>264</v>
      </c>
      <c r="AD204" s="51">
        <v>11.6</v>
      </c>
      <c r="AE204" s="51"/>
      <c r="AF204" s="51">
        <v>65.8</v>
      </c>
      <c r="AG204" s="51">
        <v>48.8</v>
      </c>
      <c r="AH204" s="51">
        <v>17</v>
      </c>
      <c r="AI204" s="51">
        <v>152.4</v>
      </c>
      <c r="AJ204" s="51"/>
      <c r="AK204" s="51"/>
      <c r="AL204" s="51">
        <v>206.60000000000002</v>
      </c>
      <c r="AM204" s="51">
        <v>93.2</v>
      </c>
      <c r="AN204" s="51">
        <v>113.4</v>
      </c>
      <c r="AO204" s="51">
        <v>2461.1</v>
      </c>
      <c r="AP204" s="51">
        <v>249.3</v>
      </c>
      <c r="AQ204" s="51">
        <v>195.2</v>
      </c>
      <c r="AR204" s="51">
        <v>49.5</v>
      </c>
      <c r="AS204" s="51">
        <v>105.3</v>
      </c>
      <c r="AT204" s="51">
        <v>55.2</v>
      </c>
      <c r="AU204" s="51">
        <v>59.2</v>
      </c>
      <c r="AV204" s="51">
        <v>36.1</v>
      </c>
      <c r="AW204" s="51">
        <v>21</v>
      </c>
      <c r="AX204" s="51">
        <v>3.5</v>
      </c>
      <c r="AY204" s="51" t="s">
        <v>264</v>
      </c>
      <c r="AZ204" s="51" t="s">
        <v>264</v>
      </c>
      <c r="BA204" s="51" t="s">
        <v>264</v>
      </c>
      <c r="BB204" s="51" t="s">
        <v>264</v>
      </c>
      <c r="BC204" s="51"/>
      <c r="BD204" s="53">
        <v>133.69999999999999</v>
      </c>
      <c r="BE204" s="53">
        <v>40.1</v>
      </c>
      <c r="BF204" s="55"/>
      <c r="BG204" s="55"/>
      <c r="BH204" s="53">
        <v>297</v>
      </c>
      <c r="BI204" s="55"/>
      <c r="BJ204" s="55"/>
      <c r="BK204" s="53">
        <v>240.3</v>
      </c>
      <c r="BL204" s="53">
        <v>3.5</v>
      </c>
      <c r="BM204" s="53">
        <v>540.79999999999995</v>
      </c>
      <c r="BN204" s="53">
        <v>175.7</v>
      </c>
      <c r="BO204" s="55"/>
      <c r="BP204" s="55"/>
      <c r="BQ204" s="53">
        <v>93.1</v>
      </c>
      <c r="BR204" s="53">
        <v>3.5</v>
      </c>
      <c r="BS204" s="53">
        <v>272.29999999999995</v>
      </c>
      <c r="BT204" s="52" t="s">
        <v>264</v>
      </c>
      <c r="BU204" s="53">
        <v>30.5</v>
      </c>
      <c r="BV204" s="51">
        <v>369.6</v>
      </c>
      <c r="BW204" s="51">
        <v>107.1</v>
      </c>
      <c r="BX204" s="51">
        <v>484.3</v>
      </c>
      <c r="BY204" s="51">
        <v>53.9</v>
      </c>
      <c r="BZ204" s="51">
        <v>9.1</v>
      </c>
      <c r="CA204" s="49">
        <v>63</v>
      </c>
      <c r="CB204" s="55"/>
      <c r="CC204" s="55"/>
      <c r="CD204" s="55"/>
      <c r="CE204" s="55"/>
      <c r="CF204" s="53">
        <v>125.5</v>
      </c>
      <c r="CG204" s="53">
        <v>138.69999999999999</v>
      </c>
      <c r="CH204" s="53">
        <v>6.1</v>
      </c>
      <c r="CI204" s="55"/>
      <c r="CJ204" s="55"/>
      <c r="CK204" s="55"/>
      <c r="CL204" s="55"/>
      <c r="CM204" s="55"/>
      <c r="CN204" s="53">
        <v>27.6</v>
      </c>
      <c r="CO204" s="52">
        <v>116.7</v>
      </c>
      <c r="CP204" s="53">
        <v>67</v>
      </c>
      <c r="CQ204" s="53">
        <v>49.7</v>
      </c>
      <c r="CR204" s="52" t="s">
        <v>264</v>
      </c>
      <c r="CS204" s="52">
        <v>50.9</v>
      </c>
      <c r="CT204" s="52">
        <v>29.5</v>
      </c>
      <c r="CU204" s="52">
        <v>21.4</v>
      </c>
      <c r="CV204" s="52">
        <v>44.8</v>
      </c>
      <c r="CW204" s="53">
        <v>12.7</v>
      </c>
      <c r="CX204" s="53">
        <v>32.1</v>
      </c>
      <c r="CY204" s="53" t="s">
        <v>264</v>
      </c>
      <c r="CZ204" s="53">
        <v>56.6</v>
      </c>
      <c r="DA204" s="52">
        <v>34.800000000000004</v>
      </c>
      <c r="DB204" s="53">
        <v>33.6</v>
      </c>
      <c r="DC204" s="53">
        <v>1.2</v>
      </c>
      <c r="DD204" s="55"/>
      <c r="DE204" s="55"/>
      <c r="DF204" s="55"/>
      <c r="DG204" s="53">
        <v>137.19999999999999</v>
      </c>
      <c r="DH204" s="55"/>
      <c r="DI204" s="53">
        <v>566.79999999999995</v>
      </c>
      <c r="DJ204" s="53">
        <v>207.2</v>
      </c>
      <c r="DK204" s="55"/>
      <c r="DL204" s="53">
        <v>142.4</v>
      </c>
      <c r="DM204" s="53">
        <v>244.3</v>
      </c>
      <c r="DN204" s="55"/>
      <c r="DO204" s="53">
        <v>177.3</v>
      </c>
      <c r="DP204" s="53">
        <v>288.3</v>
      </c>
      <c r="DQ204" s="55"/>
      <c r="DR204" s="55"/>
      <c r="DS204" s="53">
        <v>784.76099999999997</v>
      </c>
      <c r="DT204" s="53">
        <v>3355.8</v>
      </c>
      <c r="DU204" s="53">
        <v>-944.73900000000049</v>
      </c>
      <c r="DV204" s="53">
        <v>0</v>
      </c>
      <c r="DW204" s="55"/>
      <c r="DX204" s="55"/>
      <c r="DY204" s="55"/>
      <c r="DZ204" s="55"/>
      <c r="EA204" s="55"/>
      <c r="EB204" s="55"/>
      <c r="EC204" s="55"/>
      <c r="ED204" s="55"/>
      <c r="EE204" s="55"/>
      <c r="EF204" s="55"/>
      <c r="EG204" s="55"/>
      <c r="EH204" s="55"/>
      <c r="EI204" s="55"/>
      <c r="EJ204" s="55"/>
      <c r="EK204" s="55"/>
      <c r="EL204" s="55"/>
      <c r="EM204" s="55"/>
      <c r="EN204" s="55"/>
      <c r="EO204" s="55"/>
      <c r="EP204" s="55"/>
      <c r="EQ204" s="55"/>
      <c r="ER204" s="55"/>
      <c r="ES204" s="55"/>
      <c r="ET204" s="55"/>
      <c r="EU204" s="55"/>
      <c r="EV204" s="55"/>
      <c r="EW204" s="55"/>
      <c r="EX204" s="55"/>
      <c r="EY204" s="55"/>
      <c r="EZ204" s="55"/>
      <c r="FA204" s="55"/>
      <c r="FB204" s="55"/>
      <c r="FC204" s="55"/>
      <c r="FD204" s="55"/>
      <c r="FE204" s="55"/>
      <c r="FF204" s="55"/>
      <c r="FG204" s="55"/>
      <c r="FH204" s="55"/>
      <c r="FI204" s="55"/>
      <c r="FJ204" s="55"/>
      <c r="FK204" s="55"/>
      <c r="FL204" s="55"/>
      <c r="FM204" s="55"/>
      <c r="FN204" s="55"/>
      <c r="FO204" s="55"/>
      <c r="FP204" s="55"/>
      <c r="FQ204" s="55"/>
      <c r="FR204" s="55"/>
      <c r="FS204" s="55"/>
      <c r="FT204" s="55"/>
      <c r="FU204" s="55"/>
      <c r="FV204" s="55"/>
      <c r="FW204" s="55"/>
      <c r="FX204" s="55"/>
      <c r="FY204" s="55"/>
      <c r="FZ204" s="55"/>
      <c r="GA204" s="55"/>
      <c r="GB204" s="55"/>
      <c r="GC204" s="55"/>
      <c r="GD204" s="55"/>
      <c r="GE204" s="55"/>
      <c r="GF204" s="55"/>
      <c r="GG204" s="55"/>
      <c r="GH204" s="55"/>
      <c r="GI204" s="55"/>
      <c r="GJ204" s="55"/>
      <c r="GK204" s="55"/>
      <c r="GL204" s="55"/>
      <c r="GM204" s="55"/>
      <c r="GN204" s="55"/>
      <c r="GO204" s="55"/>
      <c r="GP204" s="55"/>
      <c r="GQ204" s="55"/>
      <c r="GR204" s="55"/>
      <c r="GS204" s="55"/>
      <c r="GT204" s="55"/>
      <c r="GU204" s="55"/>
      <c r="GV204" s="55"/>
      <c r="GW204" s="55"/>
      <c r="GX204" s="55"/>
      <c r="GY204" s="19">
        <v>0.96543160822489316</v>
      </c>
      <c r="GZ204" s="53">
        <v>971.9</v>
      </c>
      <c r="HA204" s="53">
        <v>1006.7</v>
      </c>
      <c r="HB204" s="55"/>
      <c r="HC204" s="55"/>
      <c r="HD204" s="55"/>
      <c r="HE204" s="55"/>
      <c r="HF204" s="53">
        <v>959.9</v>
      </c>
      <c r="HG204" s="53">
        <v>932.6</v>
      </c>
      <c r="HH204" s="53">
        <v>368.5</v>
      </c>
      <c r="HI204" s="53">
        <v>118.7</v>
      </c>
      <c r="HJ204" s="53">
        <v>368.5</v>
      </c>
      <c r="HK204" s="53">
        <v>5.9</v>
      </c>
      <c r="HL204" s="53">
        <v>27.3</v>
      </c>
      <c r="HM204" s="55"/>
      <c r="HN204" s="55"/>
      <c r="HO204" s="55"/>
      <c r="HP204" s="53" t="e">
        <v>#VALUE!</v>
      </c>
      <c r="HQ204" s="53">
        <v>4.5</v>
      </c>
      <c r="HR204" s="53">
        <v>11.7</v>
      </c>
      <c r="HS204" s="53" t="e">
        <v>#VALUE!</v>
      </c>
      <c r="HT204" s="53">
        <v>8.1</v>
      </c>
      <c r="HU204" s="55"/>
      <c r="HV204" s="55"/>
      <c r="HW204" s="53">
        <v>292.3</v>
      </c>
      <c r="HX204" s="53" t="e">
        <v>#VALUE!</v>
      </c>
      <c r="HY204" s="53">
        <v>292.3</v>
      </c>
      <c r="HZ204" s="53">
        <v>52.6</v>
      </c>
      <c r="IA204" s="53">
        <v>214</v>
      </c>
      <c r="IB204" s="53" t="e">
        <v>#VALUE!</v>
      </c>
      <c r="IC204" s="53" t="e">
        <v>#VALUE!</v>
      </c>
      <c r="ID204" s="53" t="e">
        <v>#VALUE!</v>
      </c>
      <c r="IE204" s="53" t="e">
        <v>#VALUE!</v>
      </c>
      <c r="IF204" s="53">
        <v>7.6</v>
      </c>
      <c r="IG204" s="53">
        <v>12.6</v>
      </c>
      <c r="IH204" s="55"/>
      <c r="II204" s="55"/>
      <c r="IJ204" s="55"/>
      <c r="IK204" s="55"/>
      <c r="IL204" s="55"/>
      <c r="IM204" s="55"/>
      <c r="IN204" s="53">
        <v>54.5</v>
      </c>
      <c r="IO204" s="53">
        <v>56.2</v>
      </c>
      <c r="IP204" s="53" t="e">
        <v>#VALUE!</v>
      </c>
      <c r="IQ204" s="53">
        <v>40</v>
      </c>
      <c r="IR204" s="53">
        <v>16.8</v>
      </c>
      <c r="IS204" s="53" t="e">
        <v>#VALUE!</v>
      </c>
      <c r="IT204" s="53">
        <v>21.4</v>
      </c>
      <c r="IU204" s="53" t="e">
        <v>#VALUE!</v>
      </c>
      <c r="IV204" s="53" t="e">
        <v>#VALUE!</v>
      </c>
      <c r="IY204" s="48">
        <f t="shared" si="11"/>
        <v>47.493295190416589</v>
      </c>
      <c r="IZ204" s="48">
        <f>IY204-'NOPA Crush'!J204</f>
        <v>-0.41670480958340761</v>
      </c>
      <c r="JB204" s="63">
        <f t="shared" si="9"/>
        <v>11.289111389236545</v>
      </c>
      <c r="JC204" s="64">
        <f>JB204-'NOPA Crush'!O204</f>
        <v>-0.12088861076345481</v>
      </c>
      <c r="JD204" s="65"/>
      <c r="JE204" s="67">
        <f t="shared" si="10"/>
        <v>2156.5</v>
      </c>
      <c r="JF204" s="68">
        <f>'NOPA Crush'!Q204/'Census Crush'!JE204</f>
        <v>0.86442893577556223</v>
      </c>
    </row>
    <row r="205" spans="1:266">
      <c r="A205" s="39">
        <v>35278</v>
      </c>
      <c r="B205" s="51">
        <v>3171.7</v>
      </c>
      <c r="C205" s="51">
        <v>1220</v>
      </c>
      <c r="D205" s="51">
        <v>229.2</v>
      </c>
      <c r="E205" s="51">
        <v>384.6</v>
      </c>
      <c r="F205" s="51">
        <v>37.4</v>
      </c>
      <c r="G205" s="51" t="s">
        <v>264</v>
      </c>
      <c r="H205" s="51" t="s">
        <v>264</v>
      </c>
      <c r="I205" s="51" t="s">
        <v>264</v>
      </c>
      <c r="J205" s="51" t="s">
        <v>264</v>
      </c>
      <c r="K205" s="51">
        <v>1172.5999999999999</v>
      </c>
      <c r="L205" s="49">
        <v>2091.4</v>
      </c>
      <c r="M205" s="51">
        <v>1874.3</v>
      </c>
      <c r="N205" s="51">
        <v>217.1</v>
      </c>
      <c r="O205" s="51">
        <v>72.400000000000006</v>
      </c>
      <c r="P205" s="51">
        <v>101.1</v>
      </c>
      <c r="Q205" s="51">
        <v>31.9</v>
      </c>
      <c r="R205" s="51">
        <v>69.2</v>
      </c>
      <c r="S205" s="51"/>
      <c r="T205" s="51">
        <v>31.5</v>
      </c>
      <c r="U205" s="51">
        <v>54.1</v>
      </c>
      <c r="V205" s="51">
        <v>50.9</v>
      </c>
      <c r="W205" s="51">
        <v>3.2</v>
      </c>
      <c r="X205" s="51" t="s">
        <v>264</v>
      </c>
      <c r="Y205" s="51">
        <v>4.9000000000000004</v>
      </c>
      <c r="Z205" s="49">
        <v>131.30000000000001</v>
      </c>
      <c r="AA205" s="51">
        <v>122.9</v>
      </c>
      <c r="AB205" s="51">
        <v>8.4</v>
      </c>
      <c r="AC205" s="51" t="s">
        <v>264</v>
      </c>
      <c r="AD205" s="51">
        <v>25.1</v>
      </c>
      <c r="AE205" s="51"/>
      <c r="AF205" s="51">
        <v>81</v>
      </c>
      <c r="AG205" s="51">
        <v>60.4</v>
      </c>
      <c r="AH205" s="51">
        <v>20.6</v>
      </c>
      <c r="AI205" s="51">
        <v>165.7</v>
      </c>
      <c r="AJ205" s="51"/>
      <c r="AK205" s="51"/>
      <c r="AL205" s="51">
        <v>149.80000000000001</v>
      </c>
      <c r="AM205" s="51">
        <v>80.400000000000006</v>
      </c>
      <c r="AN205" s="51">
        <v>69.400000000000006</v>
      </c>
      <c r="AO205" s="51">
        <v>2330.1999999999998</v>
      </c>
      <c r="AP205" s="51">
        <v>183.7</v>
      </c>
      <c r="AQ205" s="51">
        <v>183.2</v>
      </c>
      <c r="AR205" s="51">
        <v>34.6</v>
      </c>
      <c r="AS205" s="51">
        <v>104.4</v>
      </c>
      <c r="AT205" s="51">
        <v>54</v>
      </c>
      <c r="AU205" s="51">
        <v>63.8</v>
      </c>
      <c r="AV205" s="51">
        <v>30.7</v>
      </c>
      <c r="AW205" s="51">
        <v>20.3</v>
      </c>
      <c r="AX205" s="51">
        <v>3.1</v>
      </c>
      <c r="AY205" s="51" t="s">
        <v>264</v>
      </c>
      <c r="AZ205" s="51" t="s">
        <v>264</v>
      </c>
      <c r="BA205" s="51" t="s">
        <v>264</v>
      </c>
      <c r="BB205" s="51" t="s">
        <v>264</v>
      </c>
      <c r="BC205" s="51"/>
      <c r="BD205" s="53">
        <v>121.2</v>
      </c>
      <c r="BE205" s="53">
        <v>35</v>
      </c>
      <c r="BF205" s="55"/>
      <c r="BG205" s="55"/>
      <c r="BH205" s="53">
        <v>274.8</v>
      </c>
      <c r="BI205" s="55"/>
      <c r="BJ205" s="55"/>
      <c r="BK205" s="53">
        <v>231.1</v>
      </c>
      <c r="BL205" s="53">
        <v>3.8</v>
      </c>
      <c r="BM205" s="53">
        <v>509.7</v>
      </c>
      <c r="BN205" s="53">
        <v>194.5</v>
      </c>
      <c r="BO205" s="55"/>
      <c r="BP205" s="55"/>
      <c r="BQ205" s="53">
        <v>88.1</v>
      </c>
      <c r="BR205" s="53">
        <v>3.1</v>
      </c>
      <c r="BS205" s="53">
        <v>285.70000000000005</v>
      </c>
      <c r="BT205" s="52" t="s">
        <v>264</v>
      </c>
      <c r="BU205" s="53">
        <v>20.7</v>
      </c>
      <c r="BV205" s="51">
        <v>363.1</v>
      </c>
      <c r="BW205" s="51">
        <v>100.4</v>
      </c>
      <c r="BX205" s="51">
        <v>471.1</v>
      </c>
      <c r="BY205" s="51">
        <v>51.6</v>
      </c>
      <c r="BZ205" s="51">
        <v>9.1</v>
      </c>
      <c r="CA205" s="49">
        <v>60.7</v>
      </c>
      <c r="CB205" s="55"/>
      <c r="CC205" s="55"/>
      <c r="CD205" s="55"/>
      <c r="CE205" s="55"/>
      <c r="CF205" s="53">
        <v>129.9</v>
      </c>
      <c r="CG205" s="53">
        <v>147.30000000000001</v>
      </c>
      <c r="CH205" s="53">
        <v>7.2</v>
      </c>
      <c r="CI205" s="55"/>
      <c r="CJ205" s="55"/>
      <c r="CK205" s="55"/>
      <c r="CL205" s="55"/>
      <c r="CM205" s="55"/>
      <c r="CN205" s="53">
        <v>13.1</v>
      </c>
      <c r="CO205" s="52">
        <v>113.9</v>
      </c>
      <c r="CP205" s="53">
        <v>61.4</v>
      </c>
      <c r="CQ205" s="53">
        <v>52.5</v>
      </c>
      <c r="CR205" s="52" t="s">
        <v>264</v>
      </c>
      <c r="CS205" s="52">
        <v>59</v>
      </c>
      <c r="CT205" s="52">
        <v>31.4</v>
      </c>
      <c r="CU205" s="52">
        <v>27.6</v>
      </c>
      <c r="CV205" s="52">
        <v>33.299999999999997</v>
      </c>
      <c r="CW205" s="53">
        <v>7.5</v>
      </c>
      <c r="CX205" s="53">
        <v>25.8</v>
      </c>
      <c r="CY205" s="53" t="s">
        <v>264</v>
      </c>
      <c r="CZ205" s="53">
        <v>32</v>
      </c>
      <c r="DA205" s="52">
        <v>44.4</v>
      </c>
      <c r="DB205" s="53">
        <v>42.6</v>
      </c>
      <c r="DC205" s="53">
        <v>1.8</v>
      </c>
      <c r="DD205" s="55"/>
      <c r="DE205" s="55"/>
      <c r="DF205" s="55"/>
      <c r="DG205" s="53">
        <v>133.1</v>
      </c>
      <c r="DH205" s="55"/>
      <c r="DI205" s="53">
        <v>544.70000000000005</v>
      </c>
      <c r="DJ205" s="53">
        <v>165.2</v>
      </c>
      <c r="DK205" s="55"/>
      <c r="DL205" s="53">
        <v>145.4</v>
      </c>
      <c r="DM205" s="53">
        <v>258.2</v>
      </c>
      <c r="DN205" s="55"/>
      <c r="DO205" s="53">
        <v>224</v>
      </c>
      <c r="DP205" s="53">
        <v>270.2</v>
      </c>
      <c r="DQ205" s="55"/>
      <c r="DR205" s="55"/>
      <c r="DS205" s="53">
        <v>737.50099999999998</v>
      </c>
      <c r="DT205" s="53">
        <v>3171.7</v>
      </c>
      <c r="DU205" s="53">
        <v>-826.4989999999998</v>
      </c>
      <c r="DV205" s="53">
        <v>0</v>
      </c>
      <c r="DW205" s="55"/>
      <c r="DX205" s="55"/>
      <c r="DY205" s="55"/>
      <c r="DZ205" s="55"/>
      <c r="EA205" s="55"/>
      <c r="EB205" s="55"/>
      <c r="EC205" s="55"/>
      <c r="ED205" s="55"/>
      <c r="EE205" s="55"/>
      <c r="EF205" s="55"/>
      <c r="EG205" s="55"/>
      <c r="EH205" s="55"/>
      <c r="EI205" s="55"/>
      <c r="EJ205" s="55"/>
      <c r="EK205" s="55"/>
      <c r="EL205" s="55"/>
      <c r="EM205" s="55"/>
      <c r="EN205" s="55"/>
      <c r="EO205" s="55"/>
      <c r="EP205" s="55"/>
      <c r="EQ205" s="55"/>
      <c r="ER205" s="55"/>
      <c r="ES205" s="55"/>
      <c r="ET205" s="55"/>
      <c r="EU205" s="55"/>
      <c r="EV205" s="55"/>
      <c r="EW205" s="55"/>
      <c r="EX205" s="55"/>
      <c r="EY205" s="55"/>
      <c r="EZ205" s="55"/>
      <c r="FA205" s="55"/>
      <c r="FB205" s="55"/>
      <c r="FC205" s="55"/>
      <c r="FD205" s="55"/>
      <c r="FE205" s="55"/>
      <c r="FF205" s="55"/>
      <c r="FG205" s="55"/>
      <c r="FH205" s="55"/>
      <c r="FI205" s="55"/>
      <c r="FJ205" s="55"/>
      <c r="FK205" s="55"/>
      <c r="FL205" s="55"/>
      <c r="FM205" s="55"/>
      <c r="FN205" s="55"/>
      <c r="FO205" s="55"/>
      <c r="FP205" s="55"/>
      <c r="FQ205" s="55"/>
      <c r="FR205" s="55"/>
      <c r="FS205" s="55"/>
      <c r="FT205" s="55"/>
      <c r="FU205" s="55"/>
      <c r="FV205" s="55"/>
      <c r="FW205" s="55"/>
      <c r="FX205" s="55"/>
      <c r="FY205" s="55"/>
      <c r="FZ205" s="55"/>
      <c r="GA205" s="55"/>
      <c r="GB205" s="55"/>
      <c r="GC205" s="55"/>
      <c r="GD205" s="55"/>
      <c r="GE205" s="55"/>
      <c r="GF205" s="55"/>
      <c r="GG205" s="55"/>
      <c r="GH205" s="55"/>
      <c r="GI205" s="55"/>
      <c r="GJ205" s="55"/>
      <c r="GK205" s="55"/>
      <c r="GL205" s="55"/>
      <c r="GM205" s="55"/>
      <c r="GN205" s="55"/>
      <c r="GO205" s="55"/>
      <c r="GP205" s="55"/>
      <c r="GQ205" s="55"/>
      <c r="GR205" s="55"/>
      <c r="GS205" s="55"/>
      <c r="GT205" s="55"/>
      <c r="GU205" s="55"/>
      <c r="GV205" s="55"/>
      <c r="GW205" s="55"/>
      <c r="GX205" s="55"/>
      <c r="GY205" s="19">
        <v>0.97398743016759781</v>
      </c>
      <c r="GZ205" s="53">
        <v>1115.8</v>
      </c>
      <c r="HA205" s="53">
        <v>1145.5999999999999</v>
      </c>
      <c r="HB205" s="55"/>
      <c r="HC205" s="55"/>
      <c r="HD205" s="55"/>
      <c r="HE205" s="55"/>
      <c r="HF205" s="53">
        <v>1123.2</v>
      </c>
      <c r="HG205" s="53">
        <v>1096.5</v>
      </c>
      <c r="HH205" s="53">
        <v>448.5</v>
      </c>
      <c r="HI205" s="53">
        <v>143.9</v>
      </c>
      <c r="HJ205" s="53">
        <v>448.5</v>
      </c>
      <c r="HK205" s="53">
        <v>6.5</v>
      </c>
      <c r="HL205" s="53">
        <v>26.7</v>
      </c>
      <c r="HM205" s="55"/>
      <c r="HN205" s="55"/>
      <c r="HO205" s="55"/>
      <c r="HP205" s="53" t="e">
        <v>#VALUE!</v>
      </c>
      <c r="HQ205" s="53">
        <v>4.7</v>
      </c>
      <c r="HR205" s="53">
        <v>11.2</v>
      </c>
      <c r="HS205" s="53" t="e">
        <v>#VALUE!</v>
      </c>
      <c r="HT205" s="53">
        <v>7.9</v>
      </c>
      <c r="HU205" s="55"/>
      <c r="HV205" s="55"/>
      <c r="HW205" s="53">
        <v>294.89999999999998</v>
      </c>
      <c r="HX205" s="53" t="e">
        <v>#VALUE!</v>
      </c>
      <c r="HY205" s="53">
        <v>294.89999999999998</v>
      </c>
      <c r="HZ205" s="53">
        <v>58.2</v>
      </c>
      <c r="IA205" s="53">
        <v>200.6</v>
      </c>
      <c r="IB205" s="53" t="e">
        <v>#VALUE!</v>
      </c>
      <c r="IC205" s="53" t="e">
        <v>#VALUE!</v>
      </c>
      <c r="ID205" s="53" t="e">
        <v>#VALUE!</v>
      </c>
      <c r="IE205" s="53" t="e">
        <v>#VALUE!</v>
      </c>
      <c r="IF205" s="53">
        <v>7.6</v>
      </c>
      <c r="IG205" s="53">
        <v>22.6</v>
      </c>
      <c r="IH205" s="55"/>
      <c r="II205" s="55"/>
      <c r="IJ205" s="55"/>
      <c r="IK205" s="55"/>
      <c r="IL205" s="55"/>
      <c r="IM205" s="55"/>
      <c r="IN205" s="53">
        <v>62.4</v>
      </c>
      <c r="IO205" s="53">
        <v>64.3</v>
      </c>
      <c r="IP205" s="53" t="e">
        <v>#VALUE!</v>
      </c>
      <c r="IQ205" s="53">
        <v>44.5</v>
      </c>
      <c r="IR205" s="53">
        <v>26.9</v>
      </c>
      <c r="IS205" s="53" t="e">
        <v>#VALUE!</v>
      </c>
      <c r="IT205" s="53">
        <v>15.6</v>
      </c>
      <c r="IU205" s="53" t="e">
        <v>#VALUE!</v>
      </c>
      <c r="IV205" s="53" t="e">
        <v>#VALUE!</v>
      </c>
      <c r="IY205" s="48">
        <f t="shared" si="11"/>
        <v>47.546741495097258</v>
      </c>
      <c r="IZ205" s="48">
        <f>IY205-'NOPA Crush'!J205</f>
        <v>-4.3258504902745187E-2</v>
      </c>
      <c r="JB205" s="63">
        <f t="shared" si="9"/>
        <v>11.091212914210045</v>
      </c>
      <c r="JC205" s="64">
        <f>JB205-'NOPA Crush'!O205</f>
        <v>-0.24878708578995479</v>
      </c>
      <c r="JD205" s="65"/>
      <c r="JE205" s="67">
        <f t="shared" si="10"/>
        <v>2091.4</v>
      </c>
      <c r="JF205" s="68">
        <f>'NOPA Crush'!Q205/'Census Crush'!JE205</f>
        <v>0.89649803959070473</v>
      </c>
    </row>
    <row r="206" spans="1:266">
      <c r="A206" s="39">
        <v>35309</v>
      </c>
      <c r="B206" s="51">
        <v>3027.2</v>
      </c>
      <c r="C206" s="51">
        <v>700.8</v>
      </c>
      <c r="D206" s="51">
        <v>225</v>
      </c>
      <c r="E206" s="51">
        <v>494.9</v>
      </c>
      <c r="F206" s="51">
        <v>31.9</v>
      </c>
      <c r="G206" s="51" t="s">
        <v>264</v>
      </c>
      <c r="H206" s="51" t="s">
        <v>264</v>
      </c>
      <c r="I206" s="51" t="s">
        <v>264</v>
      </c>
      <c r="J206" s="51" t="s">
        <v>264</v>
      </c>
      <c r="K206" s="51">
        <v>1143.0999999999999</v>
      </c>
      <c r="L206" s="49">
        <v>2015.3999999999999</v>
      </c>
      <c r="M206" s="51">
        <v>1799.3</v>
      </c>
      <c r="N206" s="51">
        <v>216.1</v>
      </c>
      <c r="O206" s="51">
        <v>71.7</v>
      </c>
      <c r="P206" s="51">
        <v>94.1</v>
      </c>
      <c r="Q206" s="51">
        <v>36.700000000000003</v>
      </c>
      <c r="R206" s="51">
        <v>57.4</v>
      </c>
      <c r="S206" s="51"/>
      <c r="T206" s="51">
        <v>27.1</v>
      </c>
      <c r="U206" s="51">
        <v>83.4</v>
      </c>
      <c r="V206" s="51">
        <v>79.900000000000006</v>
      </c>
      <c r="W206" s="51">
        <v>3.5</v>
      </c>
      <c r="X206" s="51" t="s">
        <v>264</v>
      </c>
      <c r="Y206" s="51" t="s">
        <v>264</v>
      </c>
      <c r="Z206" s="49">
        <v>147.4</v>
      </c>
      <c r="AA206" s="51">
        <v>139.5</v>
      </c>
      <c r="AB206" s="51">
        <v>7.9</v>
      </c>
      <c r="AC206" s="51" t="s">
        <v>264</v>
      </c>
      <c r="AD206" s="51">
        <v>21.6</v>
      </c>
      <c r="AE206" s="51"/>
      <c r="AF206" s="51">
        <v>78.599999999999994</v>
      </c>
      <c r="AG206" s="51">
        <v>55.4</v>
      </c>
      <c r="AH206" s="51">
        <v>23.2</v>
      </c>
      <c r="AI206" s="51">
        <v>174.3</v>
      </c>
      <c r="AJ206" s="51"/>
      <c r="AK206" s="51"/>
      <c r="AL206" s="51">
        <v>115.7</v>
      </c>
      <c r="AM206" s="51">
        <v>86.9</v>
      </c>
      <c r="AN206" s="51">
        <v>28.8</v>
      </c>
      <c r="AO206" s="51">
        <v>2226</v>
      </c>
      <c r="AP206" s="51">
        <v>171.9</v>
      </c>
      <c r="AQ206" s="51">
        <v>178.1</v>
      </c>
      <c r="AR206" s="51">
        <v>40.5</v>
      </c>
      <c r="AS206" s="51">
        <v>102.7</v>
      </c>
      <c r="AT206" s="51">
        <v>51.9</v>
      </c>
      <c r="AU206" s="51">
        <v>64.599999999999994</v>
      </c>
      <c r="AV206" s="51">
        <v>28.6</v>
      </c>
      <c r="AW206" s="51">
        <v>17.399999999999999</v>
      </c>
      <c r="AX206" s="51">
        <v>4.3</v>
      </c>
      <c r="AY206" s="51" t="s">
        <v>264</v>
      </c>
      <c r="AZ206" s="51" t="s">
        <v>264</v>
      </c>
      <c r="BA206" s="51" t="s">
        <v>264</v>
      </c>
      <c r="BB206" s="51" t="s">
        <v>264</v>
      </c>
      <c r="BC206" s="51"/>
      <c r="BD206" s="53">
        <v>113.4</v>
      </c>
      <c r="BE206" s="53">
        <v>34.1</v>
      </c>
      <c r="BF206" s="55"/>
      <c r="BG206" s="55"/>
      <c r="BH206" s="53">
        <v>279.10000000000002</v>
      </c>
      <c r="BI206" s="55"/>
      <c r="BJ206" s="55"/>
      <c r="BK206" s="53">
        <v>215.7</v>
      </c>
      <c r="BL206" s="53">
        <v>3.9</v>
      </c>
      <c r="BM206" s="53">
        <v>498.7</v>
      </c>
      <c r="BN206" s="53">
        <v>162</v>
      </c>
      <c r="BO206" s="55"/>
      <c r="BP206" s="55"/>
      <c r="BQ206" s="53">
        <v>95.1</v>
      </c>
      <c r="BR206" s="53">
        <v>3.5</v>
      </c>
      <c r="BS206" s="53">
        <v>260.60000000000002</v>
      </c>
      <c r="BT206" s="52" t="s">
        <v>264</v>
      </c>
      <c r="BU206" s="53">
        <v>22.7</v>
      </c>
      <c r="BV206" s="51">
        <v>352.4</v>
      </c>
      <c r="BW206" s="51">
        <v>94.3</v>
      </c>
      <c r="BX206" s="51">
        <v>453.6</v>
      </c>
      <c r="BY206" s="51">
        <v>47.4</v>
      </c>
      <c r="BZ206" s="51">
        <v>9.6999999999999993</v>
      </c>
      <c r="CA206" s="49">
        <v>57.099999999999994</v>
      </c>
      <c r="CB206" s="55"/>
      <c r="CC206" s="55"/>
      <c r="CD206" s="55"/>
      <c r="CE206" s="55"/>
      <c r="CF206" s="53">
        <v>117.8</v>
      </c>
      <c r="CG206" s="53">
        <v>172.3</v>
      </c>
      <c r="CH206" s="53">
        <v>8.3000000000000007</v>
      </c>
      <c r="CI206" s="55"/>
      <c r="CJ206" s="55"/>
      <c r="CK206" s="55"/>
      <c r="CL206" s="55"/>
      <c r="CM206" s="55"/>
      <c r="CN206" s="53">
        <v>25.7</v>
      </c>
      <c r="CO206" s="52">
        <v>84</v>
      </c>
      <c r="CP206" s="53">
        <v>38.6</v>
      </c>
      <c r="CQ206" s="53">
        <v>45.4</v>
      </c>
      <c r="CR206" s="52" t="s">
        <v>264</v>
      </c>
      <c r="CS206" s="52">
        <v>46.1</v>
      </c>
      <c r="CT206" s="52">
        <v>32.6</v>
      </c>
      <c r="CU206" s="52">
        <v>13.5</v>
      </c>
      <c r="CV206" s="52">
        <v>30.900000000000002</v>
      </c>
      <c r="CW206" s="53">
        <v>7.8</v>
      </c>
      <c r="CX206" s="53">
        <v>23.1</v>
      </c>
      <c r="CY206" s="53" t="s">
        <v>264</v>
      </c>
      <c r="CZ206" s="53">
        <v>21.8</v>
      </c>
      <c r="DA206" s="52">
        <v>42.6</v>
      </c>
      <c r="DB206" s="53">
        <v>41.1</v>
      </c>
      <c r="DC206" s="53">
        <v>1.5</v>
      </c>
      <c r="DD206" s="55"/>
      <c r="DE206" s="55"/>
      <c r="DF206" s="55"/>
      <c r="DG206" s="53">
        <v>111.1</v>
      </c>
      <c r="DH206" s="55"/>
      <c r="DI206" s="53">
        <v>482.3</v>
      </c>
      <c r="DJ206" s="53">
        <v>196.1</v>
      </c>
      <c r="DK206" s="55"/>
      <c r="DL206" s="53">
        <v>83.8</v>
      </c>
      <c r="DM206" s="53">
        <v>213</v>
      </c>
      <c r="DN206" s="55"/>
      <c r="DO206" s="53">
        <v>225.2</v>
      </c>
      <c r="DP206" s="53">
        <v>250.3</v>
      </c>
      <c r="DQ206" s="55"/>
      <c r="DR206" s="55"/>
      <c r="DS206" s="53">
        <v>729.69399999999996</v>
      </c>
      <c r="DT206" s="53">
        <v>3027.2</v>
      </c>
      <c r="DU206" s="53">
        <v>-846.80600000000004</v>
      </c>
      <c r="DV206" s="53">
        <v>0</v>
      </c>
      <c r="DW206" s="55"/>
      <c r="DX206" s="55"/>
      <c r="DY206" s="55"/>
      <c r="DZ206" s="55"/>
      <c r="EA206" s="55"/>
      <c r="EB206" s="55"/>
      <c r="EC206" s="55"/>
      <c r="ED206" s="55"/>
      <c r="EE206" s="55"/>
      <c r="EF206" s="55"/>
      <c r="EG206" s="55"/>
      <c r="EH206" s="55"/>
      <c r="EI206" s="55"/>
      <c r="EJ206" s="55"/>
      <c r="EK206" s="55"/>
      <c r="EL206" s="55"/>
      <c r="EM206" s="55"/>
      <c r="EN206" s="55"/>
      <c r="EO206" s="55"/>
      <c r="EP206" s="55"/>
      <c r="EQ206" s="55"/>
      <c r="ER206" s="55"/>
      <c r="ES206" s="55"/>
      <c r="ET206" s="55"/>
      <c r="EU206" s="55"/>
      <c r="EV206" s="55"/>
      <c r="EW206" s="55"/>
      <c r="EX206" s="55"/>
      <c r="EY206" s="55"/>
      <c r="EZ206" s="55"/>
      <c r="FA206" s="55"/>
      <c r="FB206" s="55"/>
      <c r="FC206" s="55"/>
      <c r="FD206" s="55"/>
      <c r="FE206" s="55"/>
      <c r="FF206" s="55"/>
      <c r="FG206" s="55"/>
      <c r="FH206" s="55"/>
      <c r="FI206" s="55"/>
      <c r="FJ206" s="55"/>
      <c r="FK206" s="55"/>
      <c r="FL206" s="55"/>
      <c r="FM206" s="55"/>
      <c r="FN206" s="55"/>
      <c r="FO206" s="55"/>
      <c r="FP206" s="55"/>
      <c r="FQ206" s="55"/>
      <c r="FR206" s="55"/>
      <c r="FS206" s="55"/>
      <c r="FT206" s="55"/>
      <c r="FU206" s="55"/>
      <c r="FV206" s="55"/>
      <c r="FW206" s="55"/>
      <c r="FX206" s="55"/>
      <c r="FY206" s="55"/>
      <c r="FZ206" s="55"/>
      <c r="GA206" s="55"/>
      <c r="GB206" s="55"/>
      <c r="GC206" s="55"/>
      <c r="GD206" s="55"/>
      <c r="GE206" s="55"/>
      <c r="GF206" s="55"/>
      <c r="GG206" s="55"/>
      <c r="GH206" s="55"/>
      <c r="GI206" s="55"/>
      <c r="GJ206" s="55"/>
      <c r="GK206" s="55"/>
      <c r="GL206" s="55"/>
      <c r="GM206" s="55"/>
      <c r="GN206" s="55"/>
      <c r="GO206" s="55"/>
      <c r="GP206" s="55"/>
      <c r="GQ206" s="55"/>
      <c r="GR206" s="55"/>
      <c r="GS206" s="55"/>
      <c r="GT206" s="55"/>
      <c r="GU206" s="55"/>
      <c r="GV206" s="55"/>
      <c r="GW206" s="55"/>
      <c r="GX206" s="55"/>
      <c r="GY206" s="19">
        <v>0.97217630853994497</v>
      </c>
      <c r="GZ206" s="53">
        <v>1058.7</v>
      </c>
      <c r="HA206" s="53">
        <v>1089</v>
      </c>
      <c r="HB206" s="55"/>
      <c r="HC206" s="55"/>
      <c r="HD206" s="55"/>
      <c r="HE206" s="55"/>
      <c r="HF206" s="53">
        <v>1042.8</v>
      </c>
      <c r="HG206" s="53">
        <v>1014.9</v>
      </c>
      <c r="HH206" s="53">
        <v>391.9</v>
      </c>
      <c r="HI206" s="53">
        <v>145.9</v>
      </c>
      <c r="HJ206" s="53">
        <v>391.9</v>
      </c>
      <c r="HK206" s="53">
        <v>6.2</v>
      </c>
      <c r="HL206" s="53">
        <v>27.9</v>
      </c>
      <c r="HM206" s="55"/>
      <c r="HN206" s="55"/>
      <c r="HO206" s="55"/>
      <c r="HP206" s="53" t="e">
        <v>#VALUE!</v>
      </c>
      <c r="HQ206" s="53">
        <v>4.2</v>
      </c>
      <c r="HR206" s="53">
        <v>11.4</v>
      </c>
      <c r="HS206" s="53" t="e">
        <v>#VALUE!</v>
      </c>
      <c r="HT206" s="53">
        <v>9.4</v>
      </c>
      <c r="HU206" s="55"/>
      <c r="HV206" s="55"/>
      <c r="HW206" s="53">
        <v>272.3</v>
      </c>
      <c r="HX206" s="53" t="e">
        <v>#VALUE!</v>
      </c>
      <c r="HY206" s="53">
        <v>272.3</v>
      </c>
      <c r="HZ206" s="53">
        <v>57</v>
      </c>
      <c r="IA206" s="53">
        <v>180.7</v>
      </c>
      <c r="IB206" s="53" t="e">
        <v>#VALUE!</v>
      </c>
      <c r="IC206" s="53" t="e">
        <v>#VALUE!</v>
      </c>
      <c r="ID206" s="53" t="e">
        <v>#VALUE!</v>
      </c>
      <c r="IE206" s="53" t="e">
        <v>#VALUE!</v>
      </c>
      <c r="IF206" s="53">
        <v>7.2</v>
      </c>
      <c r="IG206" s="53">
        <v>21.3</v>
      </c>
      <c r="IH206" s="55"/>
      <c r="II206" s="55"/>
      <c r="IJ206" s="55"/>
      <c r="IK206" s="55"/>
      <c r="IL206" s="55"/>
      <c r="IM206" s="55"/>
      <c r="IN206" s="53">
        <v>53</v>
      </c>
      <c r="IO206" s="53">
        <v>54.4</v>
      </c>
      <c r="IP206" s="53" t="e">
        <v>#VALUE!</v>
      </c>
      <c r="IQ206" s="53">
        <v>44.5</v>
      </c>
      <c r="IR206" s="53">
        <v>20.7</v>
      </c>
      <c r="IS206" s="53" t="e">
        <v>#VALUE!</v>
      </c>
      <c r="IT206" s="53">
        <v>21.8</v>
      </c>
      <c r="IU206" s="53" t="e">
        <v>#VALUE!</v>
      </c>
      <c r="IV206" s="53" t="e">
        <v>#VALUE!</v>
      </c>
      <c r="IY206" s="48">
        <f t="shared" si="11"/>
        <v>47.649973572938684</v>
      </c>
      <c r="IZ206" s="48">
        <f>IY206-'NOPA Crush'!J206</f>
        <v>-0.32002642706131468</v>
      </c>
      <c r="JB206" s="63">
        <f t="shared" si="9"/>
        <v>11.328290169133192</v>
      </c>
      <c r="JC206" s="64">
        <f>JB206-'NOPA Crush'!O206</f>
        <v>-0.11170983086680764</v>
      </c>
      <c r="JD206" s="65"/>
      <c r="JE206" s="67">
        <f t="shared" si="10"/>
        <v>2015.3999999999999</v>
      </c>
      <c r="JF206" s="68">
        <f>'NOPA Crush'!Q206/'Census Crush'!JE206</f>
        <v>0.87363153716383857</v>
      </c>
    </row>
    <row r="207" spans="1:266">
      <c r="A207" s="39">
        <v>35339</v>
      </c>
      <c r="B207" s="51">
        <v>3810.2</v>
      </c>
      <c r="C207" s="51">
        <v>3033.1</v>
      </c>
      <c r="D207" s="51">
        <v>331.7</v>
      </c>
      <c r="E207" s="51">
        <v>1491.3</v>
      </c>
      <c r="F207" s="51">
        <v>24.9</v>
      </c>
      <c r="G207" s="51" t="s">
        <v>264</v>
      </c>
      <c r="H207" s="51" t="s">
        <v>264</v>
      </c>
      <c r="I207" s="51" t="s">
        <v>264</v>
      </c>
      <c r="J207" s="51" t="s">
        <v>264</v>
      </c>
      <c r="K207" s="51">
        <v>1400.6</v>
      </c>
      <c r="L207" s="49">
        <v>1992.9</v>
      </c>
      <c r="M207" s="51">
        <v>1796.5</v>
      </c>
      <c r="N207" s="51">
        <v>196.4</v>
      </c>
      <c r="O207" s="51">
        <v>98.9</v>
      </c>
      <c r="P207" s="51">
        <v>97.5</v>
      </c>
      <c r="Q207" s="51">
        <v>29.8</v>
      </c>
      <c r="R207" s="51">
        <v>67.7</v>
      </c>
      <c r="S207" s="51"/>
      <c r="T207" s="51">
        <v>21.1</v>
      </c>
      <c r="U207" s="51">
        <v>81.399999999999991</v>
      </c>
      <c r="V207" s="51">
        <v>78.8</v>
      </c>
      <c r="W207" s="51">
        <v>2.6</v>
      </c>
      <c r="X207" s="51" t="s">
        <v>264</v>
      </c>
      <c r="Y207" s="51">
        <v>5.3</v>
      </c>
      <c r="Z207" s="49">
        <v>154.80000000000001</v>
      </c>
      <c r="AA207" s="51">
        <v>146.5</v>
      </c>
      <c r="AB207" s="51">
        <v>8.3000000000000007</v>
      </c>
      <c r="AC207" s="51" t="s">
        <v>264</v>
      </c>
      <c r="AD207" s="51">
        <v>21.6</v>
      </c>
      <c r="AE207" s="51"/>
      <c r="AF207" s="51">
        <v>68.2</v>
      </c>
      <c r="AG207" s="51">
        <v>50.7</v>
      </c>
      <c r="AH207" s="51">
        <v>17.5</v>
      </c>
      <c r="AI207" s="51">
        <v>190.1</v>
      </c>
      <c r="AJ207" s="51"/>
      <c r="AK207" s="51"/>
      <c r="AL207" s="51">
        <v>124.5</v>
      </c>
      <c r="AM207" s="51">
        <v>93.1</v>
      </c>
      <c r="AN207" s="51">
        <v>31.4</v>
      </c>
      <c r="AO207" s="51">
        <v>2797.5</v>
      </c>
      <c r="AP207" s="51">
        <v>157</v>
      </c>
      <c r="AQ207" s="51">
        <v>195.3</v>
      </c>
      <c r="AR207" s="51">
        <v>43.2</v>
      </c>
      <c r="AS207" s="51">
        <v>146.1</v>
      </c>
      <c r="AT207" s="51">
        <v>46.5</v>
      </c>
      <c r="AU207" s="51">
        <v>85</v>
      </c>
      <c r="AV207" s="51">
        <v>26</v>
      </c>
      <c r="AW207" s="51">
        <v>14.2</v>
      </c>
      <c r="AX207" s="51">
        <v>3.6</v>
      </c>
      <c r="AY207" s="51" t="s">
        <v>264</v>
      </c>
      <c r="AZ207" s="51" t="s">
        <v>264</v>
      </c>
      <c r="BA207" s="51" t="s">
        <v>264</v>
      </c>
      <c r="BB207" s="51" t="s">
        <v>264</v>
      </c>
      <c r="BC207" s="51"/>
      <c r="BD207" s="53">
        <v>117.6</v>
      </c>
      <c r="BE207" s="53">
        <v>32.200000000000003</v>
      </c>
      <c r="BF207" s="55"/>
      <c r="BG207" s="55"/>
      <c r="BH207" s="53">
        <v>297.2</v>
      </c>
      <c r="BI207" s="55"/>
      <c r="BJ207" s="55"/>
      <c r="BK207" s="53">
        <v>248.2</v>
      </c>
      <c r="BL207" s="53">
        <v>4.0999999999999996</v>
      </c>
      <c r="BM207" s="53">
        <v>549.5</v>
      </c>
      <c r="BN207" s="53">
        <v>171.1</v>
      </c>
      <c r="BO207" s="55"/>
      <c r="BP207" s="55"/>
      <c r="BQ207" s="53">
        <v>104.4</v>
      </c>
      <c r="BR207" s="53">
        <v>4.2</v>
      </c>
      <c r="BS207" s="53">
        <v>279.7</v>
      </c>
      <c r="BT207" s="52" t="s">
        <v>264</v>
      </c>
      <c r="BU207" s="53">
        <v>20.100000000000001</v>
      </c>
      <c r="BV207" s="51">
        <v>383.4</v>
      </c>
      <c r="BW207" s="51">
        <v>112.3</v>
      </c>
      <c r="BX207" s="51">
        <v>502.2</v>
      </c>
      <c r="BY207" s="51">
        <v>52</v>
      </c>
      <c r="BZ207" s="51">
        <v>10.4</v>
      </c>
      <c r="CA207" s="49">
        <v>62.4</v>
      </c>
      <c r="CB207" s="55"/>
      <c r="CC207" s="55"/>
      <c r="CD207" s="55"/>
      <c r="CE207" s="55"/>
      <c r="CF207" s="53">
        <v>124.2</v>
      </c>
      <c r="CG207" s="53">
        <v>192.1</v>
      </c>
      <c r="CH207" s="53">
        <v>7</v>
      </c>
      <c r="CI207" s="55"/>
      <c r="CJ207" s="55"/>
      <c r="CK207" s="55"/>
      <c r="CL207" s="55"/>
      <c r="CM207" s="55"/>
      <c r="CN207" s="53">
        <v>33.6</v>
      </c>
      <c r="CO207" s="52">
        <v>78.599999999999994</v>
      </c>
      <c r="CP207" s="53">
        <v>42.6</v>
      </c>
      <c r="CQ207" s="53">
        <v>36</v>
      </c>
      <c r="CR207" s="52" t="s">
        <v>264</v>
      </c>
      <c r="CS207" s="52">
        <v>38.700000000000003</v>
      </c>
      <c r="CT207" s="52">
        <v>18.5</v>
      </c>
      <c r="CU207" s="52">
        <v>20.2</v>
      </c>
      <c r="CV207" s="52">
        <v>41</v>
      </c>
      <c r="CW207" s="53">
        <v>8.1999999999999993</v>
      </c>
      <c r="CX207" s="53">
        <v>32.799999999999997</v>
      </c>
      <c r="CY207" s="53" t="s">
        <v>264</v>
      </c>
      <c r="CZ207" s="53">
        <v>38.799999999999997</v>
      </c>
      <c r="DA207" s="52">
        <v>41.4</v>
      </c>
      <c r="DB207" s="53">
        <v>40.1</v>
      </c>
      <c r="DC207" s="53">
        <v>1.3</v>
      </c>
      <c r="DD207" s="55"/>
      <c r="DE207" s="55"/>
      <c r="DF207" s="55"/>
      <c r="DG207" s="53">
        <v>137.4</v>
      </c>
      <c r="DH207" s="55"/>
      <c r="DI207" s="53">
        <v>667.3</v>
      </c>
      <c r="DJ207" s="53">
        <v>224.7</v>
      </c>
      <c r="DK207" s="55"/>
      <c r="DL207" s="53">
        <v>159.1</v>
      </c>
      <c r="DM207" s="53">
        <v>263.2</v>
      </c>
      <c r="DN207" s="55"/>
      <c r="DO207" s="53">
        <v>247.4</v>
      </c>
      <c r="DP207" s="53">
        <v>294</v>
      </c>
      <c r="DQ207" s="55"/>
      <c r="DR207" s="55"/>
      <c r="DS207" s="53">
        <v>931.34500000000003</v>
      </c>
      <c r="DT207" s="53">
        <v>3810.2</v>
      </c>
      <c r="DU207" s="53">
        <v>-1023.1549999999997</v>
      </c>
      <c r="DV207" s="53">
        <v>0</v>
      </c>
      <c r="DW207" s="55"/>
      <c r="DX207" s="55"/>
      <c r="DY207" s="55"/>
      <c r="DZ207" s="55"/>
      <c r="EA207" s="55"/>
      <c r="EB207" s="55"/>
      <c r="EC207" s="55"/>
      <c r="ED207" s="55"/>
      <c r="EE207" s="55"/>
      <c r="EF207" s="55"/>
      <c r="EG207" s="55"/>
      <c r="EH207" s="55"/>
      <c r="EI207" s="55"/>
      <c r="EJ207" s="55"/>
      <c r="EK207" s="55"/>
      <c r="EL207" s="55"/>
      <c r="EM207" s="55"/>
      <c r="EN207" s="55"/>
      <c r="EO207" s="55"/>
      <c r="EP207" s="55"/>
      <c r="EQ207" s="55"/>
      <c r="ER207" s="55"/>
      <c r="ES207" s="55"/>
      <c r="ET207" s="55"/>
      <c r="EU207" s="55"/>
      <c r="EV207" s="55"/>
      <c r="EW207" s="55"/>
      <c r="EX207" s="55"/>
      <c r="EY207" s="55"/>
      <c r="EZ207" s="55"/>
      <c r="FA207" s="55"/>
      <c r="FB207" s="55"/>
      <c r="FC207" s="55"/>
      <c r="FD207" s="55"/>
      <c r="FE207" s="55"/>
      <c r="FF207" s="55"/>
      <c r="FG207" s="55"/>
      <c r="FH207" s="55"/>
      <c r="FI207" s="55"/>
      <c r="FJ207" s="55"/>
      <c r="FK207" s="55"/>
      <c r="FL207" s="55"/>
      <c r="FM207" s="55"/>
      <c r="FN207" s="55"/>
      <c r="FO207" s="55"/>
      <c r="FP207" s="55"/>
      <c r="FQ207" s="55"/>
      <c r="FR207" s="55"/>
      <c r="FS207" s="55"/>
      <c r="FT207" s="55"/>
      <c r="FU207" s="55"/>
      <c r="FV207" s="55"/>
      <c r="FW207" s="55"/>
      <c r="FX207" s="55"/>
      <c r="FY207" s="55"/>
      <c r="FZ207" s="55"/>
      <c r="GA207" s="55"/>
      <c r="GB207" s="55"/>
      <c r="GC207" s="55"/>
      <c r="GD207" s="55"/>
      <c r="GE207" s="55"/>
      <c r="GF207" s="55"/>
      <c r="GG207" s="55"/>
      <c r="GH207" s="55"/>
      <c r="GI207" s="55"/>
      <c r="GJ207" s="55"/>
      <c r="GK207" s="55"/>
      <c r="GL207" s="55"/>
      <c r="GM207" s="55"/>
      <c r="GN207" s="55"/>
      <c r="GO207" s="55"/>
      <c r="GP207" s="55"/>
      <c r="GQ207" s="55"/>
      <c r="GR207" s="55"/>
      <c r="GS207" s="55"/>
      <c r="GT207" s="55"/>
      <c r="GU207" s="55"/>
      <c r="GV207" s="55"/>
      <c r="GW207" s="55"/>
      <c r="GX207" s="55"/>
      <c r="GY207" s="19">
        <v>0.97210563133962935</v>
      </c>
      <c r="GZ207" s="53">
        <v>1111.7</v>
      </c>
      <c r="HA207" s="53">
        <v>1143.5999999999999</v>
      </c>
      <c r="HB207" s="55"/>
      <c r="HC207" s="55"/>
      <c r="HD207" s="55"/>
      <c r="HE207" s="55"/>
      <c r="HF207" s="53">
        <v>1137.0999999999999</v>
      </c>
      <c r="HG207" s="53">
        <v>1109.9000000000001</v>
      </c>
      <c r="HH207" s="53">
        <v>420.6</v>
      </c>
      <c r="HI207" s="53">
        <v>165.8</v>
      </c>
      <c r="HJ207" s="53">
        <v>420.6</v>
      </c>
      <c r="HK207" s="53">
        <v>7.3</v>
      </c>
      <c r="HL207" s="53">
        <v>27.2</v>
      </c>
      <c r="HM207" s="55"/>
      <c r="HN207" s="55"/>
      <c r="HO207" s="55"/>
      <c r="HP207" s="53" t="e">
        <v>#VALUE!</v>
      </c>
      <c r="HQ207" s="53">
        <v>4.3</v>
      </c>
      <c r="HR207" s="53">
        <v>11</v>
      </c>
      <c r="HS207" s="53" t="e">
        <v>#VALUE!</v>
      </c>
      <c r="HT207" s="53">
        <v>9.1999999999999993</v>
      </c>
      <c r="HU207" s="55"/>
      <c r="HV207" s="55"/>
      <c r="HW207" s="53">
        <v>275.39999999999998</v>
      </c>
      <c r="HX207" s="53" t="e">
        <v>#VALUE!</v>
      </c>
      <c r="HY207" s="53">
        <v>275.39999999999998</v>
      </c>
      <c r="HZ207" s="53">
        <v>48.9</v>
      </c>
      <c r="IA207" s="53">
        <v>186.9</v>
      </c>
      <c r="IB207" s="53" t="e">
        <v>#VALUE!</v>
      </c>
      <c r="IC207" s="53" t="e">
        <v>#VALUE!</v>
      </c>
      <c r="ID207" s="53" t="e">
        <v>#VALUE!</v>
      </c>
      <c r="IE207" s="53" t="e">
        <v>#VALUE!</v>
      </c>
      <c r="IF207" s="53">
        <v>10.3</v>
      </c>
      <c r="IG207" s="53">
        <v>25.1</v>
      </c>
      <c r="IH207" s="55"/>
      <c r="II207" s="55"/>
      <c r="IJ207" s="55"/>
      <c r="IK207" s="55"/>
      <c r="IL207" s="55"/>
      <c r="IM207" s="55"/>
      <c r="IN207" s="53">
        <v>64.900000000000006</v>
      </c>
      <c r="IO207" s="53">
        <v>67.2</v>
      </c>
      <c r="IP207" s="53" t="e">
        <v>#VALUE!</v>
      </c>
      <c r="IQ207" s="53">
        <v>48</v>
      </c>
      <c r="IR207" s="53">
        <v>22.4</v>
      </c>
      <c r="IS207" s="53" t="e">
        <v>#VALUE!</v>
      </c>
      <c r="IT207" s="53">
        <v>23.2</v>
      </c>
      <c r="IU207" s="53" t="e">
        <v>#VALUE!</v>
      </c>
      <c r="IV207" s="53" t="e">
        <v>#VALUE!</v>
      </c>
      <c r="IY207" s="48">
        <f t="shared" si="11"/>
        <v>47.128234738333951</v>
      </c>
      <c r="IZ207" s="48">
        <f>IY207-'NOPA Crush'!J207</f>
        <v>-1.7652616660512876E-3</v>
      </c>
      <c r="JB207" s="63">
        <f t="shared" si="9"/>
        <v>11.027767571256101</v>
      </c>
      <c r="JC207" s="64">
        <f>JB207-'NOPA Crush'!O207</f>
        <v>-6.2232428743898893E-2</v>
      </c>
      <c r="JD207" s="65"/>
      <c r="JE207" s="67">
        <f t="shared" si="10"/>
        <v>1992.9</v>
      </c>
      <c r="JF207" s="68">
        <f>'NOPA Crush'!Q207/'Census Crush'!JE207</f>
        <v>0.87415274223493389</v>
      </c>
    </row>
    <row r="208" spans="1:266">
      <c r="A208" s="39">
        <v>35370</v>
      </c>
      <c r="B208" s="51">
        <v>3993.2</v>
      </c>
      <c r="C208" s="51">
        <v>3520.9</v>
      </c>
      <c r="D208" s="51">
        <v>355.1</v>
      </c>
      <c r="E208" s="51">
        <v>2221.1999999999998</v>
      </c>
      <c r="F208" s="51">
        <v>26.1</v>
      </c>
      <c r="G208" s="51" t="s">
        <v>264</v>
      </c>
      <c r="H208" s="51" t="s">
        <v>264</v>
      </c>
      <c r="I208" s="51" t="s">
        <v>264</v>
      </c>
      <c r="J208" s="51" t="s">
        <v>264</v>
      </c>
      <c r="K208" s="51">
        <v>1429.7</v>
      </c>
      <c r="L208" s="49">
        <v>1898.3999999999999</v>
      </c>
      <c r="M208" s="51">
        <v>1711.6</v>
      </c>
      <c r="N208" s="51">
        <v>186.8</v>
      </c>
      <c r="O208" s="51">
        <v>114.8</v>
      </c>
      <c r="P208" s="51">
        <v>102.5</v>
      </c>
      <c r="Q208" s="51">
        <v>34.9</v>
      </c>
      <c r="R208" s="51">
        <v>67.599999999999994</v>
      </c>
      <c r="S208" s="51"/>
      <c r="T208" s="51">
        <v>20.6</v>
      </c>
      <c r="U208" s="51">
        <v>67.2</v>
      </c>
      <c r="V208" s="51">
        <v>63.9</v>
      </c>
      <c r="W208" s="51">
        <v>3.3</v>
      </c>
      <c r="X208" s="51" t="s">
        <v>264</v>
      </c>
      <c r="Y208" s="51">
        <v>9.6</v>
      </c>
      <c r="Z208" s="49">
        <v>196.5</v>
      </c>
      <c r="AA208" s="51">
        <v>188.6</v>
      </c>
      <c r="AB208" s="51">
        <v>7.9</v>
      </c>
      <c r="AC208" s="51" t="s">
        <v>264</v>
      </c>
      <c r="AD208" s="51">
        <v>11.4</v>
      </c>
      <c r="AE208" s="51"/>
      <c r="AF208" s="51">
        <v>71.5</v>
      </c>
      <c r="AG208" s="51">
        <v>53.6</v>
      </c>
      <c r="AH208" s="51">
        <v>17.899999999999999</v>
      </c>
      <c r="AI208" s="51">
        <v>187.9</v>
      </c>
      <c r="AJ208" s="51"/>
      <c r="AK208" s="51"/>
      <c r="AL208" s="51">
        <v>131.30000000000001</v>
      </c>
      <c r="AM208" s="51">
        <v>99.7</v>
      </c>
      <c r="AN208" s="51">
        <v>31.6</v>
      </c>
      <c r="AO208" s="51">
        <v>2940.6</v>
      </c>
      <c r="AP208" s="51">
        <v>234.2</v>
      </c>
      <c r="AQ208" s="51">
        <v>211.2</v>
      </c>
      <c r="AR208" s="51">
        <v>57.6</v>
      </c>
      <c r="AS208" s="51">
        <v>161.5</v>
      </c>
      <c r="AT208" s="51">
        <v>45.2</v>
      </c>
      <c r="AU208" s="51">
        <v>98.7</v>
      </c>
      <c r="AV208" s="51">
        <v>26.3</v>
      </c>
      <c r="AW208" s="51">
        <v>14.8</v>
      </c>
      <c r="AX208" s="51" t="s">
        <v>264</v>
      </c>
      <c r="AY208" s="51" t="s">
        <v>264</v>
      </c>
      <c r="AZ208" s="51" t="s">
        <v>264</v>
      </c>
      <c r="BA208" s="51" t="s">
        <v>264</v>
      </c>
      <c r="BB208" s="51" t="s">
        <v>264</v>
      </c>
      <c r="BC208" s="51"/>
      <c r="BD208" s="53">
        <v>107.5</v>
      </c>
      <c r="BE208" s="53">
        <v>32.799999999999997</v>
      </c>
      <c r="BF208" s="55"/>
      <c r="BG208" s="55"/>
      <c r="BH208" s="53">
        <v>280.3</v>
      </c>
      <c r="BI208" s="55"/>
      <c r="BJ208" s="55"/>
      <c r="BK208" s="53">
        <v>219.9</v>
      </c>
      <c r="BL208" s="53">
        <v>4.0999999999999996</v>
      </c>
      <c r="BM208" s="53">
        <v>504.3</v>
      </c>
      <c r="BN208" s="53">
        <v>161.5</v>
      </c>
      <c r="BO208" s="55"/>
      <c r="BP208" s="55"/>
      <c r="BQ208" s="53">
        <v>104.7</v>
      </c>
      <c r="BR208" s="53">
        <v>4.2</v>
      </c>
      <c r="BS208" s="53">
        <v>270.39999999999998</v>
      </c>
      <c r="BT208" s="52" t="s">
        <v>264</v>
      </c>
      <c r="BU208" s="53">
        <v>18.8</v>
      </c>
      <c r="BV208" s="51">
        <v>351.6</v>
      </c>
      <c r="BW208" s="51">
        <v>104.2</v>
      </c>
      <c r="BX208" s="51">
        <v>462.6</v>
      </c>
      <c r="BY208" s="51">
        <v>51.5</v>
      </c>
      <c r="BZ208" s="51">
        <v>11.6</v>
      </c>
      <c r="CA208" s="49">
        <v>63.1</v>
      </c>
      <c r="CB208" s="55"/>
      <c r="CC208" s="55"/>
      <c r="CD208" s="55"/>
      <c r="CE208" s="55"/>
      <c r="CF208" s="53">
        <v>118.9</v>
      </c>
      <c r="CG208" s="53">
        <v>167.4</v>
      </c>
      <c r="CH208" s="53">
        <v>7.5</v>
      </c>
      <c r="CI208" s="55"/>
      <c r="CJ208" s="55"/>
      <c r="CK208" s="55"/>
      <c r="CL208" s="55"/>
      <c r="CM208" s="55"/>
      <c r="CN208" s="53">
        <v>15.1</v>
      </c>
      <c r="CO208" s="52">
        <v>65.099999999999994</v>
      </c>
      <c r="CP208" s="53">
        <v>34.4</v>
      </c>
      <c r="CQ208" s="53">
        <v>30.7</v>
      </c>
      <c r="CR208" s="52" t="s">
        <v>264</v>
      </c>
      <c r="CS208" s="52">
        <v>41.8</v>
      </c>
      <c r="CT208" s="52">
        <v>25.1</v>
      </c>
      <c r="CU208" s="52">
        <v>16.7</v>
      </c>
      <c r="CV208" s="52">
        <v>45</v>
      </c>
      <c r="CW208" s="53">
        <v>8.6999999999999993</v>
      </c>
      <c r="CX208" s="53">
        <v>36.299999999999997</v>
      </c>
      <c r="CY208" s="53" t="s">
        <v>264</v>
      </c>
      <c r="CZ208" s="53">
        <v>51.8</v>
      </c>
      <c r="DA208" s="52">
        <v>39.4</v>
      </c>
      <c r="DB208" s="53">
        <v>38.4</v>
      </c>
      <c r="DC208" s="53">
        <v>1</v>
      </c>
      <c r="DD208" s="55"/>
      <c r="DE208" s="55"/>
      <c r="DF208" s="55"/>
      <c r="DG208" s="53">
        <v>144.4</v>
      </c>
      <c r="DH208" s="55"/>
      <c r="DI208" s="53">
        <v>682.9</v>
      </c>
      <c r="DJ208" s="53">
        <v>258.5</v>
      </c>
      <c r="DK208" s="55"/>
      <c r="DL208" s="53">
        <v>171.4</v>
      </c>
      <c r="DM208" s="53">
        <v>261.60000000000002</v>
      </c>
      <c r="DN208" s="55"/>
      <c r="DO208" s="53">
        <v>235.4</v>
      </c>
      <c r="DP208" s="53">
        <v>286.5</v>
      </c>
      <c r="DQ208" s="55"/>
      <c r="DR208" s="55"/>
      <c r="DS208" s="53">
        <v>1059.4949999999999</v>
      </c>
      <c r="DT208" s="53">
        <v>3993.2</v>
      </c>
      <c r="DU208" s="53">
        <v>-1037.4049999999997</v>
      </c>
      <c r="DV208" s="53">
        <v>0</v>
      </c>
      <c r="DW208" s="55"/>
      <c r="DX208" s="55"/>
      <c r="DY208" s="55"/>
      <c r="DZ208" s="55"/>
      <c r="EA208" s="55"/>
      <c r="EB208" s="55"/>
      <c r="EC208" s="55"/>
      <c r="ED208" s="55"/>
      <c r="EE208" s="55"/>
      <c r="EF208" s="55"/>
      <c r="EG208" s="55"/>
      <c r="EH208" s="55"/>
      <c r="EI208" s="55"/>
      <c r="EJ208" s="55"/>
      <c r="EK208" s="55"/>
      <c r="EL208" s="55"/>
      <c r="EM208" s="55"/>
      <c r="EN208" s="55"/>
      <c r="EO208" s="55"/>
      <c r="EP208" s="55"/>
      <c r="EQ208" s="55"/>
      <c r="ER208" s="55"/>
      <c r="ES208" s="55"/>
      <c r="ET208" s="55"/>
      <c r="EU208" s="55"/>
      <c r="EV208" s="55"/>
      <c r="EW208" s="55"/>
      <c r="EX208" s="55"/>
      <c r="EY208" s="55"/>
      <c r="EZ208" s="55"/>
      <c r="FA208" s="55"/>
      <c r="FB208" s="55"/>
      <c r="FC208" s="55"/>
      <c r="FD208" s="55"/>
      <c r="FE208" s="55"/>
      <c r="FF208" s="55"/>
      <c r="FG208" s="55"/>
      <c r="FH208" s="55"/>
      <c r="FI208" s="55"/>
      <c r="FJ208" s="55"/>
      <c r="FK208" s="55"/>
      <c r="FL208" s="55"/>
      <c r="FM208" s="55"/>
      <c r="FN208" s="55"/>
      <c r="FO208" s="55"/>
      <c r="FP208" s="55"/>
      <c r="FQ208" s="55"/>
      <c r="FR208" s="55"/>
      <c r="FS208" s="55"/>
      <c r="FT208" s="55"/>
      <c r="FU208" s="55"/>
      <c r="FV208" s="55"/>
      <c r="FW208" s="55"/>
      <c r="FX208" s="55"/>
      <c r="FY208" s="55"/>
      <c r="FZ208" s="55"/>
      <c r="GA208" s="55"/>
      <c r="GB208" s="55"/>
      <c r="GC208" s="55"/>
      <c r="GD208" s="55"/>
      <c r="GE208" s="55"/>
      <c r="GF208" s="55"/>
      <c r="GG208" s="55"/>
      <c r="GH208" s="55"/>
      <c r="GI208" s="55"/>
      <c r="GJ208" s="55"/>
      <c r="GK208" s="55"/>
      <c r="GL208" s="55"/>
      <c r="GM208" s="55"/>
      <c r="GN208" s="55"/>
      <c r="GO208" s="55"/>
      <c r="GP208" s="55"/>
      <c r="GQ208" s="55"/>
      <c r="GR208" s="55"/>
      <c r="GS208" s="55"/>
      <c r="GT208" s="55"/>
      <c r="GU208" s="55"/>
      <c r="GV208" s="55"/>
      <c r="GW208" s="55"/>
      <c r="GX208" s="55"/>
      <c r="GY208" s="19">
        <v>0.9680676855895195</v>
      </c>
      <c r="GZ208" s="53">
        <v>1064.0999999999999</v>
      </c>
      <c r="HA208" s="53">
        <v>1099.2</v>
      </c>
      <c r="HB208" s="55"/>
      <c r="HC208" s="55"/>
      <c r="HD208" s="55"/>
      <c r="HE208" s="55"/>
      <c r="HF208" s="53">
        <v>1080.9000000000001</v>
      </c>
      <c r="HG208" s="53">
        <v>1059</v>
      </c>
      <c r="HH208" s="53">
        <v>407.9</v>
      </c>
      <c r="HI208" s="53">
        <v>153.4</v>
      </c>
      <c r="HJ208" s="53">
        <v>407.9</v>
      </c>
      <c r="HK208" s="53">
        <v>6.6</v>
      </c>
      <c r="HL208" s="53">
        <v>21.9</v>
      </c>
      <c r="HM208" s="55"/>
      <c r="HN208" s="55"/>
      <c r="HO208" s="55"/>
      <c r="HP208" s="53" t="e">
        <v>#VALUE!</v>
      </c>
      <c r="HQ208" s="53">
        <v>3.2</v>
      </c>
      <c r="HR208" s="53">
        <v>8.1</v>
      </c>
      <c r="HS208" s="53" t="e">
        <v>#VALUE!</v>
      </c>
      <c r="HT208" s="53">
        <v>7.6</v>
      </c>
      <c r="HU208" s="55"/>
      <c r="HV208" s="55"/>
      <c r="HW208" s="53">
        <v>263</v>
      </c>
      <c r="HX208" s="53" t="e">
        <v>#VALUE!</v>
      </c>
      <c r="HY208" s="53">
        <v>263</v>
      </c>
      <c r="HZ208" s="53">
        <v>55.3</v>
      </c>
      <c r="IA208" s="53">
        <v>175.8</v>
      </c>
      <c r="IB208" s="53" t="e">
        <v>#VALUE!</v>
      </c>
      <c r="IC208" s="53" t="e">
        <v>#VALUE!</v>
      </c>
      <c r="ID208" s="53" t="e">
        <v>#VALUE!</v>
      </c>
      <c r="IE208" s="53" t="e">
        <v>#VALUE!</v>
      </c>
      <c r="IF208" s="53">
        <v>6.7</v>
      </c>
      <c r="IG208" s="53">
        <v>20.5</v>
      </c>
      <c r="IH208" s="55"/>
      <c r="II208" s="55"/>
      <c r="IJ208" s="55"/>
      <c r="IK208" s="55"/>
      <c r="IL208" s="55"/>
      <c r="IM208" s="55"/>
      <c r="IN208" s="53">
        <v>82.8</v>
      </c>
      <c r="IO208" s="53">
        <v>85.1</v>
      </c>
      <c r="IP208" s="53" t="e">
        <v>#VALUE!</v>
      </c>
      <c r="IQ208" s="53">
        <v>48.3</v>
      </c>
      <c r="IR208" s="53">
        <v>24.1</v>
      </c>
      <c r="IS208" s="53" t="e">
        <v>#VALUE!</v>
      </c>
      <c r="IT208" s="53">
        <v>22</v>
      </c>
      <c r="IU208" s="53" t="e">
        <v>#VALUE!</v>
      </c>
      <c r="IV208" s="53" t="e">
        <v>#VALUE!</v>
      </c>
      <c r="IY208" s="48">
        <f t="shared" si="11"/>
        <v>47.357507763197432</v>
      </c>
      <c r="IZ208" s="48">
        <f>IY208-'NOPA Crush'!J208</f>
        <v>7.5077631974309611E-3</v>
      </c>
      <c r="JB208" s="63">
        <f t="shared" si="9"/>
        <v>10.741009716518082</v>
      </c>
      <c r="JC208" s="64">
        <f>JB208-'NOPA Crush'!O208</f>
        <v>-4.8990283481916919E-2</v>
      </c>
      <c r="JD208" s="65"/>
      <c r="JE208" s="67">
        <f t="shared" si="10"/>
        <v>1898.3999999999999</v>
      </c>
      <c r="JF208" s="68">
        <f>'NOPA Crush'!Q208/'Census Crush'!JE208</f>
        <v>0.85885956595027402</v>
      </c>
    </row>
    <row r="209" spans="1:266">
      <c r="A209" s="39">
        <v>35400</v>
      </c>
      <c r="B209" s="51">
        <v>4143.3999999999996</v>
      </c>
      <c r="C209" s="51">
        <v>3181.2</v>
      </c>
      <c r="D209" s="51">
        <v>352.6</v>
      </c>
      <c r="E209" s="51">
        <v>2541.8000000000002</v>
      </c>
      <c r="F209" s="51">
        <v>26.3</v>
      </c>
      <c r="G209" s="51" t="s">
        <v>264</v>
      </c>
      <c r="H209" s="51" t="s">
        <v>264</v>
      </c>
      <c r="I209" s="51" t="s">
        <v>264</v>
      </c>
      <c r="J209" s="51" t="s">
        <v>264</v>
      </c>
      <c r="K209" s="51">
        <v>1472.7</v>
      </c>
      <c r="L209" s="49">
        <v>2027.1</v>
      </c>
      <c r="M209" s="51">
        <v>1805.1</v>
      </c>
      <c r="N209" s="51">
        <v>222</v>
      </c>
      <c r="O209" s="51">
        <v>115.9</v>
      </c>
      <c r="P209" s="51">
        <v>106</v>
      </c>
      <c r="Q209" s="51">
        <v>35</v>
      </c>
      <c r="R209" s="51">
        <v>71</v>
      </c>
      <c r="S209" s="51"/>
      <c r="T209" s="51">
        <v>21.8</v>
      </c>
      <c r="U209" s="51">
        <v>88.399999999999991</v>
      </c>
      <c r="V209" s="51">
        <v>85.6</v>
      </c>
      <c r="W209" s="51">
        <v>2.8</v>
      </c>
      <c r="X209" s="51" t="s">
        <v>264</v>
      </c>
      <c r="Y209" s="51">
        <v>4.3</v>
      </c>
      <c r="Z209" s="49">
        <v>149.79999999999998</v>
      </c>
      <c r="AA209" s="51">
        <v>143.1</v>
      </c>
      <c r="AB209" s="51">
        <v>6.7</v>
      </c>
      <c r="AC209" s="51" t="s">
        <v>264</v>
      </c>
      <c r="AD209" s="51">
        <v>13.6</v>
      </c>
      <c r="AE209" s="51"/>
      <c r="AF209" s="51">
        <v>79.3</v>
      </c>
      <c r="AG209" s="51">
        <v>62</v>
      </c>
      <c r="AH209" s="51">
        <v>17.3</v>
      </c>
      <c r="AI209" s="51">
        <v>208.2</v>
      </c>
      <c r="AJ209" s="51"/>
      <c r="AK209" s="51"/>
      <c r="AL209" s="51">
        <v>154.30000000000001</v>
      </c>
      <c r="AM209" s="51">
        <v>100.4</v>
      </c>
      <c r="AN209" s="51">
        <v>53.9</v>
      </c>
      <c r="AO209" s="51">
        <v>3038.5</v>
      </c>
      <c r="AP209" s="51">
        <v>200.9</v>
      </c>
      <c r="AQ209" s="51">
        <v>225.3</v>
      </c>
      <c r="AR209" s="51">
        <v>53.6</v>
      </c>
      <c r="AS209" s="51">
        <v>158.19999999999999</v>
      </c>
      <c r="AT209" s="51">
        <v>32.4</v>
      </c>
      <c r="AU209" s="51">
        <v>101</v>
      </c>
      <c r="AV209" s="51">
        <v>23.9</v>
      </c>
      <c r="AW209" s="51">
        <v>14.6</v>
      </c>
      <c r="AX209" s="51">
        <v>4.7</v>
      </c>
      <c r="AY209" s="51" t="s">
        <v>264</v>
      </c>
      <c r="AZ209" s="51" t="s">
        <v>264</v>
      </c>
      <c r="BA209" s="51" t="s">
        <v>264</v>
      </c>
      <c r="BB209" s="51" t="s">
        <v>264</v>
      </c>
      <c r="BC209" s="51"/>
      <c r="BD209" s="53">
        <v>113.5</v>
      </c>
      <c r="BE209" s="53">
        <v>33.299999999999997</v>
      </c>
      <c r="BF209" s="55"/>
      <c r="BG209" s="55"/>
      <c r="BH209" s="53">
        <v>280.89999999999998</v>
      </c>
      <c r="BI209" s="55"/>
      <c r="BJ209" s="55"/>
      <c r="BK209" s="53">
        <v>219</v>
      </c>
      <c r="BL209" s="53">
        <v>3.9</v>
      </c>
      <c r="BM209" s="53">
        <v>503.8</v>
      </c>
      <c r="BN209" s="53">
        <v>170.1</v>
      </c>
      <c r="BO209" s="55"/>
      <c r="BP209" s="55"/>
      <c r="BQ209" s="53">
        <v>91.6</v>
      </c>
      <c r="BR209" s="53">
        <v>4.5</v>
      </c>
      <c r="BS209" s="53">
        <v>266.2</v>
      </c>
      <c r="BT209" s="52" t="s">
        <v>264</v>
      </c>
      <c r="BU209" s="53">
        <v>18.899999999999999</v>
      </c>
      <c r="BV209" s="51">
        <v>368</v>
      </c>
      <c r="BW209" s="51">
        <v>103.5</v>
      </c>
      <c r="BX209" s="51">
        <v>478.5</v>
      </c>
      <c r="BY209" s="51">
        <v>47</v>
      </c>
      <c r="BZ209" s="51">
        <v>11.7</v>
      </c>
      <c r="CA209" s="49">
        <v>58.7</v>
      </c>
      <c r="CB209" s="55"/>
      <c r="CC209" s="55"/>
      <c r="CD209" s="55"/>
      <c r="CE209" s="55"/>
      <c r="CF209" s="53">
        <v>119.5</v>
      </c>
      <c r="CG209" s="53">
        <v>182.4</v>
      </c>
      <c r="CH209" s="53">
        <v>8.9</v>
      </c>
      <c r="CI209" s="55"/>
      <c r="CJ209" s="55"/>
      <c r="CK209" s="55"/>
      <c r="CL209" s="55"/>
      <c r="CM209" s="55"/>
      <c r="CN209" s="53">
        <v>28.3</v>
      </c>
      <c r="CO209" s="52">
        <v>125.9</v>
      </c>
      <c r="CP209" s="53">
        <v>69.900000000000006</v>
      </c>
      <c r="CQ209" s="53">
        <v>56</v>
      </c>
      <c r="CR209" s="52" t="s">
        <v>264</v>
      </c>
      <c r="CS209" s="52">
        <v>49.2</v>
      </c>
      <c r="CT209" s="52">
        <v>32.5</v>
      </c>
      <c r="CU209" s="52">
        <v>16.7</v>
      </c>
      <c r="CV209" s="52">
        <v>70.900000000000006</v>
      </c>
      <c r="CW209" s="53">
        <v>8.6999999999999993</v>
      </c>
      <c r="CX209" s="53">
        <v>62.2</v>
      </c>
      <c r="CY209" s="53" t="s">
        <v>264</v>
      </c>
      <c r="CZ209" s="53">
        <v>51.8</v>
      </c>
      <c r="DA209" s="52">
        <v>40.200000000000003</v>
      </c>
      <c r="DB209" s="53">
        <v>39.1</v>
      </c>
      <c r="DC209" s="53">
        <v>1.1000000000000001</v>
      </c>
      <c r="DD209" s="55"/>
      <c r="DE209" s="55"/>
      <c r="DF209" s="55"/>
      <c r="DG209" s="53">
        <v>158</v>
      </c>
      <c r="DH209" s="55"/>
      <c r="DI209" s="53">
        <v>717.4</v>
      </c>
      <c r="DJ209" s="53">
        <v>266.89999999999998</v>
      </c>
      <c r="DK209" s="55"/>
      <c r="DL209" s="53">
        <v>170.9</v>
      </c>
      <c r="DM209" s="53">
        <v>254</v>
      </c>
      <c r="DN209" s="55"/>
      <c r="DO209" s="53">
        <v>247.2</v>
      </c>
      <c r="DP209" s="53">
        <v>304.7</v>
      </c>
      <c r="DQ209" s="55"/>
      <c r="DR209" s="55"/>
      <c r="DS209" s="53">
        <v>1077.0450000000001</v>
      </c>
      <c r="DT209" s="53">
        <v>4143.3999999999996</v>
      </c>
      <c r="DU209" s="53">
        <v>-1105.2549999999992</v>
      </c>
      <c r="DV209" s="53">
        <v>0</v>
      </c>
      <c r="DW209" s="55"/>
      <c r="DX209" s="55"/>
      <c r="DY209" s="55"/>
      <c r="DZ209" s="55"/>
      <c r="EA209" s="55"/>
      <c r="EB209" s="55"/>
      <c r="EC209" s="55"/>
      <c r="ED209" s="55"/>
      <c r="EE209" s="55"/>
      <c r="EF209" s="55"/>
      <c r="EG209" s="55"/>
      <c r="EH209" s="55"/>
      <c r="EI209" s="55"/>
      <c r="EJ209" s="55"/>
      <c r="EK209" s="55"/>
      <c r="EL209" s="55"/>
      <c r="EM209" s="55"/>
      <c r="EN209" s="55"/>
      <c r="EO209" s="55"/>
      <c r="EP209" s="55"/>
      <c r="EQ209" s="55"/>
      <c r="ER209" s="55"/>
      <c r="ES209" s="55"/>
      <c r="ET209" s="55"/>
      <c r="EU209" s="55"/>
      <c r="EV209" s="55"/>
      <c r="EW209" s="55"/>
      <c r="EX209" s="55"/>
      <c r="EY209" s="55"/>
      <c r="EZ209" s="55"/>
      <c r="FA209" s="55"/>
      <c r="FB209" s="55"/>
      <c r="FC209" s="55"/>
      <c r="FD209" s="55"/>
      <c r="FE209" s="55"/>
      <c r="FF209" s="55"/>
      <c r="FG209" s="55"/>
      <c r="FH209" s="55"/>
      <c r="FI209" s="55"/>
      <c r="FJ209" s="55"/>
      <c r="FK209" s="55"/>
      <c r="FL209" s="55"/>
      <c r="FM209" s="55"/>
      <c r="FN209" s="55"/>
      <c r="FO209" s="55"/>
      <c r="FP209" s="55"/>
      <c r="FQ209" s="55"/>
      <c r="FR209" s="55"/>
      <c r="FS209" s="55"/>
      <c r="FT209" s="55"/>
      <c r="FU209" s="55"/>
      <c r="FV209" s="55"/>
      <c r="FW209" s="55"/>
      <c r="FX209" s="55"/>
      <c r="FY209" s="55"/>
      <c r="FZ209" s="55"/>
      <c r="GA209" s="55"/>
      <c r="GB209" s="55"/>
      <c r="GC209" s="55"/>
      <c r="GD209" s="55"/>
      <c r="GE209" s="55"/>
      <c r="GF209" s="55"/>
      <c r="GG209" s="55"/>
      <c r="GH209" s="55"/>
      <c r="GI209" s="55"/>
      <c r="GJ209" s="55"/>
      <c r="GK209" s="55"/>
      <c r="GL209" s="55"/>
      <c r="GM209" s="55"/>
      <c r="GN209" s="55"/>
      <c r="GO209" s="55"/>
      <c r="GP209" s="55"/>
      <c r="GQ209" s="55"/>
      <c r="GR209" s="55"/>
      <c r="GS209" s="55"/>
      <c r="GT209" s="55"/>
      <c r="GU209" s="55"/>
      <c r="GV209" s="55"/>
      <c r="GW209" s="55"/>
      <c r="GX209" s="55"/>
      <c r="GY209" s="19">
        <v>9.6782411775806765E-2</v>
      </c>
      <c r="GZ209" s="53">
        <v>1025.7</v>
      </c>
      <c r="HA209" s="53">
        <v>10598</v>
      </c>
      <c r="HB209" s="55"/>
      <c r="HC209" s="55"/>
      <c r="HD209" s="55"/>
      <c r="HE209" s="55"/>
      <c r="HF209" s="53">
        <v>1093.0999999999999</v>
      </c>
      <c r="HG209" s="53">
        <v>1068.2</v>
      </c>
      <c r="HH209" s="53">
        <v>399.1</v>
      </c>
      <c r="HI209" s="53">
        <v>151.69999999999999</v>
      </c>
      <c r="HJ209" s="53">
        <v>399.1</v>
      </c>
      <c r="HK209" s="53">
        <v>6.6</v>
      </c>
      <c r="HL209" s="53">
        <v>24.9</v>
      </c>
      <c r="HM209" s="55"/>
      <c r="HN209" s="55"/>
      <c r="HO209" s="55"/>
      <c r="HP209" s="53" t="e">
        <v>#VALUE!</v>
      </c>
      <c r="HQ209" s="53">
        <v>3.3</v>
      </c>
      <c r="HR209" s="53">
        <v>7.9</v>
      </c>
      <c r="HS209" s="53" t="e">
        <v>#VALUE!</v>
      </c>
      <c r="HT209" s="53">
        <v>9.5</v>
      </c>
      <c r="HU209" s="55"/>
      <c r="HV209" s="55"/>
      <c r="HW209" s="53">
        <v>271.2</v>
      </c>
      <c r="HX209" s="53" t="e">
        <v>#VALUE!</v>
      </c>
      <c r="HY209" s="53">
        <v>271.2</v>
      </c>
      <c r="HZ209" s="53">
        <v>61.6</v>
      </c>
      <c r="IA209" s="53">
        <v>179.1</v>
      </c>
      <c r="IB209" s="53" t="e">
        <v>#VALUE!</v>
      </c>
      <c r="IC209" s="53" t="e">
        <v>#VALUE!</v>
      </c>
      <c r="ID209" s="53" t="e">
        <v>#VALUE!</v>
      </c>
      <c r="IE209" s="53" t="e">
        <v>#VALUE!</v>
      </c>
      <c r="IF209" s="53">
        <v>6.6</v>
      </c>
      <c r="IG209" s="53">
        <v>17.399999999999999</v>
      </c>
      <c r="IH209" s="55"/>
      <c r="II209" s="55"/>
      <c r="IJ209" s="55"/>
      <c r="IK209" s="55"/>
      <c r="IL209" s="55"/>
      <c r="IM209" s="55"/>
      <c r="IN209" s="53">
        <v>82.1</v>
      </c>
      <c r="IO209" s="53">
        <v>85.1</v>
      </c>
      <c r="IP209" s="53" t="e">
        <v>#VALUE!</v>
      </c>
      <c r="IQ209" s="53">
        <v>44.3</v>
      </c>
      <c r="IR209" s="53">
        <v>24.1</v>
      </c>
      <c r="IS209" s="53" t="e">
        <v>#VALUE!</v>
      </c>
      <c r="IT209" s="53">
        <v>17.899999999999999</v>
      </c>
      <c r="IU209" s="53" t="e">
        <v>#VALUE!</v>
      </c>
      <c r="IV209" s="53" t="e">
        <v>#VALUE!</v>
      </c>
      <c r="IY209" s="48">
        <f t="shared" si="11"/>
        <v>47.262634551334664</v>
      </c>
      <c r="IZ209" s="48">
        <f>IY209-'NOPA Crush'!J209</f>
        <v>2.6345513346655025E-3</v>
      </c>
      <c r="JB209" s="63">
        <f t="shared" si="9"/>
        <v>10.662982092001739</v>
      </c>
      <c r="JC209" s="64">
        <f>JB209-'NOPA Crush'!O209</f>
        <v>-0.24701790799826107</v>
      </c>
      <c r="JD209" s="65"/>
      <c r="JE209" s="67">
        <f t="shared" si="10"/>
        <v>2027.1</v>
      </c>
      <c r="JF209" s="68">
        <f>'NOPA Crush'!Q209/'Census Crush'!JE209</f>
        <v>0.8464313551378817</v>
      </c>
    </row>
    <row r="210" spans="1:266">
      <c r="A210" s="39">
        <v>35431</v>
      </c>
      <c r="B210" s="51">
        <v>4118.6000000000004</v>
      </c>
      <c r="C210" s="51">
        <v>3378.5</v>
      </c>
      <c r="D210" s="51">
        <v>381.2</v>
      </c>
      <c r="E210" s="51">
        <v>2386.1</v>
      </c>
      <c r="F210" s="51">
        <v>24.2</v>
      </c>
      <c r="G210" s="51" t="s">
        <v>264</v>
      </c>
      <c r="H210" s="51" t="s">
        <v>264</v>
      </c>
      <c r="I210" s="51" t="s">
        <v>264</v>
      </c>
      <c r="J210" s="51" t="s">
        <v>264</v>
      </c>
      <c r="K210" s="51">
        <v>1474.5</v>
      </c>
      <c r="L210" s="49">
        <v>2172.3000000000002</v>
      </c>
      <c r="M210" s="51">
        <v>1928.5</v>
      </c>
      <c r="N210" s="51">
        <v>243.8</v>
      </c>
      <c r="O210" s="51">
        <v>123.9</v>
      </c>
      <c r="P210" s="51">
        <v>120.89999999999999</v>
      </c>
      <c r="Q210" s="51">
        <v>29.8</v>
      </c>
      <c r="R210" s="51">
        <v>91.1</v>
      </c>
      <c r="S210" s="51"/>
      <c r="T210" s="51">
        <v>19.899999999999999</v>
      </c>
      <c r="U210" s="51">
        <v>94.699999999999989</v>
      </c>
      <c r="V210" s="51">
        <v>91.6</v>
      </c>
      <c r="W210" s="51">
        <v>3.1</v>
      </c>
      <c r="X210" s="51" t="s">
        <v>264</v>
      </c>
      <c r="Y210" s="51">
        <v>5.3</v>
      </c>
      <c r="Z210" s="49">
        <v>175.4</v>
      </c>
      <c r="AA210" s="51">
        <v>167.1</v>
      </c>
      <c r="AB210" s="51">
        <v>8.3000000000000007</v>
      </c>
      <c r="AC210" s="51" t="s">
        <v>264</v>
      </c>
      <c r="AD210" s="51">
        <v>8.6999999999999993</v>
      </c>
      <c r="AE210" s="51"/>
      <c r="AF210" s="51">
        <v>73.599999999999994</v>
      </c>
      <c r="AG210" s="51">
        <v>53.7</v>
      </c>
      <c r="AH210" s="51">
        <v>19.899999999999999</v>
      </c>
      <c r="AI210" s="51">
        <v>172.5</v>
      </c>
      <c r="AJ210" s="51"/>
      <c r="AK210" s="51"/>
      <c r="AL210" s="51">
        <v>161</v>
      </c>
      <c r="AM210" s="51">
        <v>91.5</v>
      </c>
      <c r="AN210" s="51">
        <v>69.5</v>
      </c>
      <c r="AO210" s="51">
        <v>3034.1</v>
      </c>
      <c r="AP210" s="51">
        <v>214.1</v>
      </c>
      <c r="AQ210" s="51">
        <v>217.6</v>
      </c>
      <c r="AR210" s="51">
        <v>48.9</v>
      </c>
      <c r="AS210" s="51">
        <v>174.6</v>
      </c>
      <c r="AT210" s="51">
        <v>27.5</v>
      </c>
      <c r="AU210" s="51">
        <v>104.3</v>
      </c>
      <c r="AV210" s="51">
        <v>24.4</v>
      </c>
      <c r="AW210" s="51">
        <v>13.6</v>
      </c>
      <c r="AX210" s="51">
        <v>3.1</v>
      </c>
      <c r="AY210" s="51" t="s">
        <v>264</v>
      </c>
      <c r="AZ210" s="51" t="s">
        <v>264</v>
      </c>
      <c r="BA210" s="51" t="s">
        <v>264</v>
      </c>
      <c r="BB210" s="51" t="s">
        <v>264</v>
      </c>
      <c r="BC210" s="51"/>
      <c r="BD210" s="53">
        <v>128.4</v>
      </c>
      <c r="BE210" s="53">
        <v>39.4</v>
      </c>
      <c r="BF210" s="55"/>
      <c r="BG210" s="55"/>
      <c r="BH210" s="53">
        <v>295.8</v>
      </c>
      <c r="BI210" s="55"/>
      <c r="BJ210" s="55"/>
      <c r="BK210" s="53">
        <v>230.4</v>
      </c>
      <c r="BL210" s="53">
        <v>3.5</v>
      </c>
      <c r="BM210" s="53">
        <v>529.70000000000005</v>
      </c>
      <c r="BN210" s="53">
        <v>273.8</v>
      </c>
      <c r="BO210" s="55"/>
      <c r="BP210" s="55"/>
      <c r="BQ210" s="53">
        <v>98.2</v>
      </c>
      <c r="BR210" s="53">
        <v>4.8</v>
      </c>
      <c r="BS210" s="53">
        <v>376.8</v>
      </c>
      <c r="BT210" s="52" t="s">
        <v>264</v>
      </c>
      <c r="BU210" s="53">
        <v>16.3</v>
      </c>
      <c r="BV210" s="51">
        <v>381.4</v>
      </c>
      <c r="BW210" s="51">
        <v>104.3</v>
      </c>
      <c r="BX210" s="51">
        <v>492.3</v>
      </c>
      <c r="BY210" s="51">
        <v>53.4</v>
      </c>
      <c r="BZ210" s="51">
        <v>13.3</v>
      </c>
      <c r="CA210" s="49">
        <v>66.7</v>
      </c>
      <c r="CB210" s="55"/>
      <c r="CC210" s="55"/>
      <c r="CD210" s="55"/>
      <c r="CE210" s="55"/>
      <c r="CF210" s="53">
        <v>124.1</v>
      </c>
      <c r="CG210" s="53">
        <v>173</v>
      </c>
      <c r="CH210" s="53">
        <v>6.5</v>
      </c>
      <c r="CI210" s="55"/>
      <c r="CJ210" s="55"/>
      <c r="CK210" s="55"/>
      <c r="CL210" s="55"/>
      <c r="CM210" s="55"/>
      <c r="CN210" s="53">
        <v>23.3</v>
      </c>
      <c r="CO210" s="52">
        <v>147.39999999999998</v>
      </c>
      <c r="CP210" s="53">
        <v>84.1</v>
      </c>
      <c r="CQ210" s="53">
        <v>63.3</v>
      </c>
      <c r="CR210" s="52" t="s">
        <v>264</v>
      </c>
      <c r="CS210" s="52">
        <v>48.1</v>
      </c>
      <c r="CT210" s="52">
        <v>27.1</v>
      </c>
      <c r="CU210" s="52">
        <v>21</v>
      </c>
      <c r="CV210" s="52">
        <v>62.7</v>
      </c>
      <c r="CW210" s="53">
        <v>10.199999999999999</v>
      </c>
      <c r="CX210" s="53">
        <v>52.5</v>
      </c>
      <c r="CY210" s="53" t="s">
        <v>264</v>
      </c>
      <c r="CZ210" s="53">
        <v>80.599999999999994</v>
      </c>
      <c r="DA210" s="52">
        <v>38.800000000000004</v>
      </c>
      <c r="DB210" s="53">
        <v>37.700000000000003</v>
      </c>
      <c r="DC210" s="53">
        <v>1.1000000000000001</v>
      </c>
      <c r="DD210" s="55"/>
      <c r="DE210" s="55"/>
      <c r="DF210" s="55"/>
      <c r="DG210" s="53">
        <v>158.25700000000001</v>
      </c>
      <c r="DH210" s="55"/>
      <c r="DI210" s="53">
        <v>708.89800000000002</v>
      </c>
      <c r="DJ210" s="53">
        <v>271.50299999999999</v>
      </c>
      <c r="DK210" s="55"/>
      <c r="DL210" s="53">
        <v>172.63499999999999</v>
      </c>
      <c r="DM210" s="53">
        <v>259.44499999999999</v>
      </c>
      <c r="DN210" s="55"/>
      <c r="DO210" s="53">
        <v>246.435</v>
      </c>
      <c r="DP210" s="53">
        <v>282.36500000000001</v>
      </c>
      <c r="DQ210" s="55"/>
      <c r="DR210" s="55"/>
      <c r="DS210" s="53">
        <v>1085.0229999999999</v>
      </c>
      <c r="DT210" s="53">
        <v>4117.9620000000004</v>
      </c>
      <c r="DU210" s="53">
        <v>-1091.6580000000004</v>
      </c>
      <c r="DV210" s="53">
        <v>-0.63799999999991996</v>
      </c>
      <c r="DW210" s="55"/>
      <c r="DX210" s="55"/>
      <c r="DY210" s="55"/>
      <c r="DZ210" s="55"/>
      <c r="EA210" s="55"/>
      <c r="EB210" s="55"/>
      <c r="EC210" s="55"/>
      <c r="ED210" s="55"/>
      <c r="EE210" s="55"/>
      <c r="EF210" s="55"/>
      <c r="EG210" s="55"/>
      <c r="EH210" s="55"/>
      <c r="EI210" s="55"/>
      <c r="EJ210" s="55"/>
      <c r="EK210" s="55"/>
      <c r="EL210" s="55"/>
      <c r="EM210" s="55"/>
      <c r="EN210" s="55"/>
      <c r="EO210" s="55"/>
      <c r="EP210" s="55"/>
      <c r="EQ210" s="55"/>
      <c r="ER210" s="55"/>
      <c r="ES210" s="55"/>
      <c r="ET210" s="55"/>
      <c r="EU210" s="55"/>
      <c r="EV210" s="55"/>
      <c r="EW210" s="55"/>
      <c r="EX210" s="55"/>
      <c r="EY210" s="55"/>
      <c r="EZ210" s="55"/>
      <c r="FA210" s="55"/>
      <c r="FB210" s="55"/>
      <c r="FC210" s="55"/>
      <c r="FD210" s="55"/>
      <c r="FE210" s="55"/>
      <c r="FF210" s="55"/>
      <c r="FG210" s="55"/>
      <c r="FH210" s="55"/>
      <c r="FI210" s="55"/>
      <c r="FJ210" s="55"/>
      <c r="FK210" s="55"/>
      <c r="FL210" s="55"/>
      <c r="FM210" s="55"/>
      <c r="FN210" s="55"/>
      <c r="FO210" s="55"/>
      <c r="FP210" s="55"/>
      <c r="FQ210" s="55"/>
      <c r="FR210" s="55"/>
      <c r="FS210" s="55"/>
      <c r="FT210" s="55"/>
      <c r="FU210" s="55"/>
      <c r="FV210" s="55"/>
      <c r="FW210" s="55"/>
      <c r="FX210" s="55"/>
      <c r="FY210" s="55"/>
      <c r="FZ210" s="55"/>
      <c r="GA210" s="55"/>
      <c r="GB210" s="55"/>
      <c r="GC210" s="55"/>
      <c r="GD210" s="55"/>
      <c r="GE210" s="55"/>
      <c r="GF210" s="55"/>
      <c r="GG210" s="55"/>
      <c r="GH210" s="55"/>
      <c r="GI210" s="55"/>
      <c r="GJ210" s="55"/>
      <c r="GK210" s="55"/>
      <c r="GL210" s="55"/>
      <c r="GM210" s="55"/>
      <c r="GN210" s="55"/>
      <c r="GO210" s="55"/>
      <c r="GP210" s="55"/>
      <c r="GQ210" s="55"/>
      <c r="GR210" s="55"/>
      <c r="GS210" s="55"/>
      <c r="GT210" s="55"/>
      <c r="GU210" s="55"/>
      <c r="GV210" s="55"/>
      <c r="GW210" s="55"/>
      <c r="GX210" s="55"/>
      <c r="GY210" s="19">
        <v>0.95521496815286622</v>
      </c>
      <c r="GZ210" s="53">
        <v>959.8</v>
      </c>
      <c r="HA210" s="53">
        <v>1004.8</v>
      </c>
      <c r="HB210" s="55"/>
      <c r="HC210" s="55"/>
      <c r="HD210" s="55"/>
      <c r="HE210" s="55"/>
      <c r="HF210" s="53">
        <v>1090.3</v>
      </c>
      <c r="HG210" s="53">
        <v>1063.5999999999999</v>
      </c>
      <c r="HH210" s="53">
        <v>356.8</v>
      </c>
      <c r="HI210" s="53">
        <v>133.6</v>
      </c>
      <c r="HJ210" s="53">
        <v>567.79999999999995</v>
      </c>
      <c r="HK210" s="53">
        <v>5.4</v>
      </c>
      <c r="HL210" s="53">
        <v>26.7</v>
      </c>
      <c r="HM210" s="55"/>
      <c r="HN210" s="55"/>
      <c r="HO210" s="55"/>
      <c r="HP210" s="53" t="e">
        <v>#VALUE!</v>
      </c>
      <c r="HQ210" s="53">
        <v>3.2</v>
      </c>
      <c r="HR210" s="53">
        <v>9.4</v>
      </c>
      <c r="HS210" s="53" t="e">
        <v>#VALUE!</v>
      </c>
      <c r="HT210" s="53" t="e">
        <v>#VALUE!</v>
      </c>
      <c r="HU210" s="55"/>
      <c r="HV210" s="55"/>
      <c r="HW210" s="53">
        <v>276.60000000000002</v>
      </c>
      <c r="HX210" s="53" t="e">
        <v>#VALUE!</v>
      </c>
      <c r="HY210" s="53">
        <v>276.60000000000002</v>
      </c>
      <c r="HZ210" s="53">
        <v>51.8</v>
      </c>
      <c r="IA210" s="53">
        <v>196.9</v>
      </c>
      <c r="IB210" s="53" t="e">
        <v>#VALUE!</v>
      </c>
      <c r="IC210" s="53" t="e">
        <v>#VALUE!</v>
      </c>
      <c r="ID210" s="53" t="e">
        <v>#VALUE!</v>
      </c>
      <c r="IE210" s="53" t="e">
        <v>#VALUE!</v>
      </c>
      <c r="IF210" s="53">
        <v>6.8</v>
      </c>
      <c r="IG210" s="53">
        <v>18.100000000000001</v>
      </c>
      <c r="IH210" s="55"/>
      <c r="II210" s="55"/>
      <c r="IJ210" s="55"/>
      <c r="IK210" s="55"/>
      <c r="IL210" s="55"/>
      <c r="IM210" s="55"/>
      <c r="IN210" s="53">
        <v>85.9</v>
      </c>
      <c r="IO210" s="53">
        <v>88.7</v>
      </c>
      <c r="IP210" s="53" t="e">
        <v>#VALUE!</v>
      </c>
      <c r="IQ210" s="53">
        <v>50.7</v>
      </c>
      <c r="IR210" s="53">
        <v>23.5</v>
      </c>
      <c r="IS210" s="53" t="e">
        <v>#VALUE!</v>
      </c>
      <c r="IT210" s="53">
        <v>25.3</v>
      </c>
      <c r="IU210" s="53" t="e">
        <v>#VALUE!</v>
      </c>
      <c r="IV210" s="53" t="e">
        <v>#VALUE!</v>
      </c>
      <c r="IY210" s="48">
        <f t="shared" si="11"/>
        <v>47.370951294129064</v>
      </c>
      <c r="IZ210" s="48">
        <f>IY210-'NOPA Crush'!J210</f>
        <v>-2.9048705870934555E-2</v>
      </c>
      <c r="JB210" s="63">
        <f t="shared" si="9"/>
        <v>10.740300101976398</v>
      </c>
      <c r="JC210" s="64">
        <f>JB210-'NOPA Crush'!O210</f>
        <v>-5.9699898023602316E-2</v>
      </c>
      <c r="JD210" s="65"/>
      <c r="JE210" s="67">
        <f t="shared" si="10"/>
        <v>2172.3000000000002</v>
      </c>
      <c r="JF210" s="68">
        <f>'NOPA Crush'!Q210/'Census Crush'!JE210</f>
        <v>0.85860516503245399</v>
      </c>
    </row>
    <row r="211" spans="1:266">
      <c r="A211" s="39">
        <v>35462</v>
      </c>
      <c r="B211" s="51">
        <v>3754</v>
      </c>
      <c r="C211" s="51">
        <v>3666.7</v>
      </c>
      <c r="D211" s="51">
        <v>362.8</v>
      </c>
      <c r="E211" s="51">
        <v>2140.1999999999998</v>
      </c>
      <c r="F211" s="51">
        <v>19.100000000000001</v>
      </c>
      <c r="G211" s="51" t="s">
        <v>264</v>
      </c>
      <c r="H211" s="51" t="s">
        <v>264</v>
      </c>
      <c r="I211" s="51" t="s">
        <v>264</v>
      </c>
      <c r="J211" s="51" t="s">
        <v>264</v>
      </c>
      <c r="K211" s="51">
        <v>1348.4</v>
      </c>
      <c r="L211" s="49">
        <v>2203.1999999999998</v>
      </c>
      <c r="M211" s="51">
        <v>1982.6</v>
      </c>
      <c r="N211" s="51">
        <v>220.6</v>
      </c>
      <c r="O211" s="51">
        <v>114.8</v>
      </c>
      <c r="P211" s="51">
        <v>133.6</v>
      </c>
      <c r="Q211" s="51">
        <v>37</v>
      </c>
      <c r="R211" s="51">
        <v>96.6</v>
      </c>
      <c r="S211" s="51"/>
      <c r="T211" s="51">
        <v>16.100000000000001</v>
      </c>
      <c r="U211" s="51">
        <v>93.600000000000009</v>
      </c>
      <c r="V211" s="51">
        <v>87.9</v>
      </c>
      <c r="W211" s="51">
        <v>5.7</v>
      </c>
      <c r="X211" s="51" t="s">
        <v>264</v>
      </c>
      <c r="Y211" s="51" t="s">
        <v>264</v>
      </c>
      <c r="Z211" s="49">
        <v>205.39999999999998</v>
      </c>
      <c r="AA211" s="51">
        <v>195.7</v>
      </c>
      <c r="AB211" s="51">
        <v>9.6999999999999993</v>
      </c>
      <c r="AC211" s="51" t="s">
        <v>264</v>
      </c>
      <c r="AD211" s="51">
        <v>13.6</v>
      </c>
      <c r="AE211" s="51"/>
      <c r="AF211" s="51">
        <v>78.2</v>
      </c>
      <c r="AG211" s="51">
        <v>58</v>
      </c>
      <c r="AH211" s="51">
        <v>20.2</v>
      </c>
      <c r="AI211" s="51">
        <v>170.9</v>
      </c>
      <c r="AJ211" s="51"/>
      <c r="AK211" s="51"/>
      <c r="AL211" s="51">
        <v>142.80000000000001</v>
      </c>
      <c r="AM211" s="51">
        <v>85.5</v>
      </c>
      <c r="AN211" s="51">
        <v>57.3</v>
      </c>
      <c r="AO211" s="51">
        <v>2763.3</v>
      </c>
      <c r="AP211" s="51">
        <v>165.8</v>
      </c>
      <c r="AQ211" s="51">
        <v>203.5</v>
      </c>
      <c r="AR211" s="51">
        <v>32.700000000000003</v>
      </c>
      <c r="AS211" s="51">
        <v>164.6</v>
      </c>
      <c r="AT211" s="51">
        <v>37.4</v>
      </c>
      <c r="AU211" s="51">
        <v>101.1</v>
      </c>
      <c r="AV211" s="51">
        <v>24.2</v>
      </c>
      <c r="AW211" s="51">
        <v>11.3</v>
      </c>
      <c r="AX211" s="51">
        <v>3.2</v>
      </c>
      <c r="AY211" s="51" t="s">
        <v>264</v>
      </c>
      <c r="AZ211" s="51" t="s">
        <v>264</v>
      </c>
      <c r="BA211" s="51" t="s">
        <v>264</v>
      </c>
      <c r="BB211" s="51" t="s">
        <v>264</v>
      </c>
      <c r="BC211" s="51"/>
      <c r="BD211" s="53">
        <v>122.1</v>
      </c>
      <c r="BE211" s="53">
        <v>43.9</v>
      </c>
      <c r="BF211" s="55"/>
      <c r="BG211" s="55"/>
      <c r="BH211" s="53">
        <v>267</v>
      </c>
      <c r="BI211" s="55"/>
      <c r="BJ211" s="55"/>
      <c r="BK211" s="53">
        <v>202.1</v>
      </c>
      <c r="BL211" s="53">
        <v>3.2</v>
      </c>
      <c r="BM211" s="53">
        <v>472.3</v>
      </c>
      <c r="BN211" s="53">
        <v>208.6</v>
      </c>
      <c r="BO211" s="55"/>
      <c r="BP211" s="55"/>
      <c r="BQ211" s="53">
        <v>109.2</v>
      </c>
      <c r="BR211" s="53">
        <v>4.2</v>
      </c>
      <c r="BS211" s="53">
        <v>322</v>
      </c>
      <c r="BT211" s="52" t="s">
        <v>264</v>
      </c>
      <c r="BU211" s="53">
        <v>18.5</v>
      </c>
      <c r="BV211" s="51">
        <v>267</v>
      </c>
      <c r="BW211" s="51">
        <v>202.1</v>
      </c>
      <c r="BX211" s="51">
        <v>472.3</v>
      </c>
      <c r="BY211" s="51">
        <v>51.4</v>
      </c>
      <c r="BZ211" s="51">
        <v>12.4</v>
      </c>
      <c r="CA211" s="49">
        <v>63.8</v>
      </c>
      <c r="CB211" s="55"/>
      <c r="CC211" s="55"/>
      <c r="CD211" s="55"/>
      <c r="CE211" s="55"/>
      <c r="CF211" s="53">
        <v>119.9</v>
      </c>
      <c r="CG211" s="53">
        <v>196</v>
      </c>
      <c r="CH211" s="53">
        <v>26.5</v>
      </c>
      <c r="CI211" s="55"/>
      <c r="CJ211" s="55"/>
      <c r="CK211" s="55"/>
      <c r="CL211" s="55"/>
      <c r="CM211" s="55"/>
      <c r="CN211" s="53">
        <v>22</v>
      </c>
      <c r="CO211" s="52">
        <v>141.1</v>
      </c>
      <c r="CP211" s="53">
        <v>72.599999999999994</v>
      </c>
      <c r="CQ211" s="53">
        <v>68.5</v>
      </c>
      <c r="CR211" s="52" t="s">
        <v>264</v>
      </c>
      <c r="CS211" s="52">
        <v>53.9</v>
      </c>
      <c r="CT211" s="52">
        <v>29.9</v>
      </c>
      <c r="CU211" s="52">
        <v>24</v>
      </c>
      <c r="CV211" s="52">
        <v>58.8</v>
      </c>
      <c r="CW211" s="53">
        <v>10.199999999999999</v>
      </c>
      <c r="CX211" s="53">
        <v>48.6</v>
      </c>
      <c r="CY211" s="53" t="s">
        <v>264</v>
      </c>
      <c r="CZ211" s="53">
        <v>90.8</v>
      </c>
      <c r="DA211" s="52">
        <v>41.2</v>
      </c>
      <c r="DB211" s="53">
        <v>40.1</v>
      </c>
      <c r="DC211" s="53">
        <v>1.1000000000000001</v>
      </c>
      <c r="DD211" s="55"/>
      <c r="DE211" s="55"/>
      <c r="DF211" s="55"/>
      <c r="DG211" s="53">
        <v>142.03399999999999</v>
      </c>
      <c r="DH211" s="55"/>
      <c r="DI211" s="53">
        <v>647.42399999999998</v>
      </c>
      <c r="DJ211" s="53">
        <v>258.86700000000002</v>
      </c>
      <c r="DK211" s="55"/>
      <c r="DL211" s="53">
        <v>157.09100000000001</v>
      </c>
      <c r="DM211" s="53">
        <v>236.06</v>
      </c>
      <c r="DN211" s="55"/>
      <c r="DO211" s="53">
        <v>223.755</v>
      </c>
      <c r="DP211" s="53">
        <v>265.25799999999998</v>
      </c>
      <c r="DQ211" s="55"/>
      <c r="DR211" s="55"/>
      <c r="DS211" s="53">
        <v>991.30399999999997</v>
      </c>
      <c r="DT211" s="53">
        <v>3754.58</v>
      </c>
      <c r="DU211" s="53">
        <v>-974.82099999999991</v>
      </c>
      <c r="DV211" s="53">
        <v>0.57999999999992724</v>
      </c>
      <c r="DW211" s="55"/>
      <c r="DX211" s="55"/>
      <c r="DY211" s="55"/>
      <c r="DZ211" s="55"/>
      <c r="EA211" s="55"/>
      <c r="EB211" s="55"/>
      <c r="EC211" s="55"/>
      <c r="ED211" s="55"/>
      <c r="EE211" s="55"/>
      <c r="EF211" s="55"/>
      <c r="EG211" s="55"/>
      <c r="EH211" s="55"/>
      <c r="EI211" s="55"/>
      <c r="EJ211" s="55"/>
      <c r="EK211" s="55"/>
      <c r="EL211" s="55"/>
      <c r="EM211" s="55"/>
      <c r="EN211" s="55"/>
      <c r="EO211" s="55"/>
      <c r="EP211" s="55"/>
      <c r="EQ211" s="55"/>
      <c r="ER211" s="55"/>
      <c r="ES211" s="55"/>
      <c r="ET211" s="55"/>
      <c r="EU211" s="55"/>
      <c r="EV211" s="55"/>
      <c r="EW211" s="55"/>
      <c r="EX211" s="55"/>
      <c r="EY211" s="55"/>
      <c r="EZ211" s="55"/>
      <c r="FA211" s="55"/>
      <c r="FB211" s="55"/>
      <c r="FC211" s="55"/>
      <c r="FD211" s="55"/>
      <c r="FE211" s="55"/>
      <c r="FF211" s="55"/>
      <c r="FG211" s="55"/>
      <c r="FH211" s="55"/>
      <c r="FI211" s="55"/>
      <c r="FJ211" s="55"/>
      <c r="FK211" s="55"/>
      <c r="FL211" s="55"/>
      <c r="FM211" s="55"/>
      <c r="FN211" s="55"/>
      <c r="FO211" s="55"/>
      <c r="FP211" s="55"/>
      <c r="FQ211" s="55"/>
      <c r="FR211" s="55"/>
      <c r="FS211" s="55"/>
      <c r="FT211" s="55"/>
      <c r="FU211" s="55"/>
      <c r="FV211" s="55"/>
      <c r="FW211" s="55"/>
      <c r="FX211" s="55"/>
      <c r="FY211" s="55"/>
      <c r="FZ211" s="55"/>
      <c r="GA211" s="55"/>
      <c r="GB211" s="55"/>
      <c r="GC211" s="55"/>
      <c r="GD211" s="55"/>
      <c r="GE211" s="55"/>
      <c r="GF211" s="55"/>
      <c r="GG211" s="55"/>
      <c r="GH211" s="55"/>
      <c r="GI211" s="55"/>
      <c r="GJ211" s="55"/>
      <c r="GK211" s="55"/>
      <c r="GL211" s="55"/>
      <c r="GM211" s="55"/>
      <c r="GN211" s="55"/>
      <c r="GO211" s="55"/>
      <c r="GP211" s="55"/>
      <c r="GQ211" s="55"/>
      <c r="GR211" s="55"/>
      <c r="GS211" s="55"/>
      <c r="GT211" s="55"/>
      <c r="GU211" s="55"/>
      <c r="GV211" s="55"/>
      <c r="GW211" s="55"/>
      <c r="GX211" s="55"/>
      <c r="GY211" s="19">
        <v>0.96270371918094433</v>
      </c>
      <c r="GZ211" s="53">
        <v>921.5</v>
      </c>
      <c r="HA211" s="53">
        <v>957.2</v>
      </c>
      <c r="HB211" s="55"/>
      <c r="HC211" s="55"/>
      <c r="HD211" s="55"/>
      <c r="HE211" s="55"/>
      <c r="HF211" s="53">
        <v>984</v>
      </c>
      <c r="HG211" s="53">
        <v>953.2</v>
      </c>
      <c r="HH211" s="53">
        <v>337.8</v>
      </c>
      <c r="HI211" s="53">
        <v>130.80000000000001</v>
      </c>
      <c r="HJ211" s="53">
        <v>479.6</v>
      </c>
      <c r="HK211" s="53">
        <v>5</v>
      </c>
      <c r="HL211" s="53">
        <v>30.8</v>
      </c>
      <c r="HM211" s="55"/>
      <c r="HN211" s="55"/>
      <c r="HO211" s="55"/>
      <c r="HP211" s="53" t="e">
        <v>#VALUE!</v>
      </c>
      <c r="HQ211" s="53">
        <v>4.4000000000000004</v>
      </c>
      <c r="HR211" s="53">
        <v>10.199999999999999</v>
      </c>
      <c r="HS211" s="53" t="e">
        <v>#VALUE!</v>
      </c>
      <c r="HT211" s="53" t="e">
        <v>#VALUE!</v>
      </c>
      <c r="HU211" s="55"/>
      <c r="HV211" s="55"/>
      <c r="HW211" s="53">
        <v>255.8</v>
      </c>
      <c r="HX211" s="53" t="e">
        <v>#VALUE!</v>
      </c>
      <c r="HY211" s="53">
        <v>255.8</v>
      </c>
      <c r="HZ211" s="53">
        <v>51.3</v>
      </c>
      <c r="IA211" s="53">
        <v>176</v>
      </c>
      <c r="IB211" s="53" t="e">
        <v>#VALUE!</v>
      </c>
      <c r="IC211" s="53" t="e">
        <v>#VALUE!</v>
      </c>
      <c r="ID211" s="53" t="e">
        <v>#VALUE!</v>
      </c>
      <c r="IE211" s="53" t="e">
        <v>#VALUE!</v>
      </c>
      <c r="IF211" s="53">
        <v>7.1</v>
      </c>
      <c r="IG211" s="53">
        <v>18.399999999999999</v>
      </c>
      <c r="IH211" s="55"/>
      <c r="II211" s="55"/>
      <c r="IJ211" s="55"/>
      <c r="IK211" s="55"/>
      <c r="IL211" s="55"/>
      <c r="IM211" s="55"/>
      <c r="IN211" s="53">
        <v>80.7</v>
      </c>
      <c r="IO211" s="53">
        <v>83.3</v>
      </c>
      <c r="IP211" s="53" t="e">
        <v>#VALUE!</v>
      </c>
      <c r="IQ211" s="53">
        <v>45.2</v>
      </c>
      <c r="IR211" s="53">
        <v>19.5</v>
      </c>
      <c r="IS211" s="53" t="e">
        <v>#VALUE!</v>
      </c>
      <c r="IT211" s="53">
        <v>24.4</v>
      </c>
      <c r="IU211" s="53" t="e">
        <v>#VALUE!</v>
      </c>
      <c r="IV211" s="53" t="e">
        <v>#VALUE!</v>
      </c>
      <c r="IY211" s="48">
        <f t="shared" si="11"/>
        <v>47.418220564730952</v>
      </c>
      <c r="IZ211" s="48">
        <f>IY211-'NOPA Crush'!J211</f>
        <v>-1.1779435269048122E-2</v>
      </c>
      <c r="JB211" s="63">
        <f t="shared" si="9"/>
        <v>10.775705913692063</v>
      </c>
      <c r="JC211" s="64">
        <f>JB211-'NOPA Crush'!O211</f>
        <v>-6.4294086307937093E-2</v>
      </c>
      <c r="JD211" s="65"/>
      <c r="JE211" s="67">
        <f t="shared" si="10"/>
        <v>2203.1999999999998</v>
      </c>
      <c r="JF211" s="68">
        <f>'NOPA Crush'!Q211/'Census Crush'!JE211</f>
        <v>0.85977578068264349</v>
      </c>
    </row>
    <row r="212" spans="1:266">
      <c r="A212" s="39">
        <v>35490</v>
      </c>
      <c r="B212" s="51">
        <v>3902.7</v>
      </c>
      <c r="C212" s="51">
        <v>3147.3</v>
      </c>
      <c r="D212" s="51">
        <v>362.2</v>
      </c>
      <c r="E212" s="51">
        <v>1839.9</v>
      </c>
      <c r="F212" s="51">
        <v>23.7</v>
      </c>
      <c r="G212" s="51" t="s">
        <v>264</v>
      </c>
      <c r="H212" s="51" t="s">
        <v>264</v>
      </c>
      <c r="I212" s="51" t="s">
        <v>264</v>
      </c>
      <c r="J212" s="51" t="s">
        <v>264</v>
      </c>
      <c r="K212" s="51">
        <v>1412.6</v>
      </c>
      <c r="L212" s="49">
        <v>2171.3000000000002</v>
      </c>
      <c r="M212" s="51">
        <v>1938.2</v>
      </c>
      <c r="N212" s="51">
        <v>233.1</v>
      </c>
      <c r="O212" s="51">
        <v>114.7</v>
      </c>
      <c r="P212" s="51">
        <v>137.4</v>
      </c>
      <c r="Q212" s="51">
        <v>32.5</v>
      </c>
      <c r="R212" s="51">
        <v>104.9</v>
      </c>
      <c r="S212" s="51"/>
      <c r="T212" s="51">
        <v>18.8</v>
      </c>
      <c r="U212" s="51">
        <v>96.2</v>
      </c>
      <c r="V212" s="51">
        <v>89.7</v>
      </c>
      <c r="W212" s="51">
        <v>6.5</v>
      </c>
      <c r="X212" s="51" t="s">
        <v>264</v>
      </c>
      <c r="Y212" s="51">
        <v>7.8</v>
      </c>
      <c r="Z212" s="49">
        <v>212.2</v>
      </c>
      <c r="AA212" s="51">
        <v>201.6</v>
      </c>
      <c r="AB212" s="51">
        <v>10.6</v>
      </c>
      <c r="AC212" s="51" t="s">
        <v>264</v>
      </c>
      <c r="AD212" s="51">
        <v>19.899999999999999</v>
      </c>
      <c r="AE212" s="51"/>
      <c r="AF212" s="51">
        <v>80.400000000000006</v>
      </c>
      <c r="AG212" s="51">
        <v>56.4</v>
      </c>
      <c r="AH212" s="51">
        <v>24</v>
      </c>
      <c r="AI212" s="51">
        <v>209.9</v>
      </c>
      <c r="AJ212" s="51"/>
      <c r="AK212" s="51"/>
      <c r="AL212" s="51">
        <v>124.10000000000001</v>
      </c>
      <c r="AM212" s="51">
        <v>89.4</v>
      </c>
      <c r="AN212" s="51">
        <v>34.700000000000003</v>
      </c>
      <c r="AO212" s="51">
        <v>2876.1</v>
      </c>
      <c r="AP212" s="51">
        <v>282.7</v>
      </c>
      <c r="AQ212" s="51">
        <v>213</v>
      </c>
      <c r="AR212" s="51">
        <v>39.9</v>
      </c>
      <c r="AS212" s="51">
        <v>162.1</v>
      </c>
      <c r="AT212" s="51">
        <v>43.5</v>
      </c>
      <c r="AU212" s="51">
        <v>102.8</v>
      </c>
      <c r="AV212" s="51">
        <v>27.5</v>
      </c>
      <c r="AW212" s="51">
        <v>13.3</v>
      </c>
      <c r="AX212" s="51" t="s">
        <v>264</v>
      </c>
      <c r="AY212" s="51" t="s">
        <v>264</v>
      </c>
      <c r="AZ212" s="51" t="s">
        <v>264</v>
      </c>
      <c r="BA212" s="51" t="s">
        <v>264</v>
      </c>
      <c r="BB212" s="51" t="s">
        <v>264</v>
      </c>
      <c r="BC212" s="51"/>
      <c r="BD212" s="53">
        <v>118.9</v>
      </c>
      <c r="BE212" s="53">
        <v>41.5</v>
      </c>
      <c r="BF212" s="55"/>
      <c r="BG212" s="55"/>
      <c r="BH212" s="53">
        <v>276.60000000000002</v>
      </c>
      <c r="BI212" s="55"/>
      <c r="BJ212" s="55"/>
      <c r="BK212" s="53">
        <v>217.1</v>
      </c>
      <c r="BL212" s="53">
        <v>3.3</v>
      </c>
      <c r="BM212" s="53">
        <v>497</v>
      </c>
      <c r="BN212" s="53">
        <v>220</v>
      </c>
      <c r="BO212" s="55"/>
      <c r="BP212" s="55"/>
      <c r="BQ212" s="53">
        <v>121.1</v>
      </c>
      <c r="BR212" s="53">
        <v>5</v>
      </c>
      <c r="BS212" s="53">
        <v>346.1</v>
      </c>
      <c r="BT212" s="52" t="s">
        <v>264</v>
      </c>
      <c r="BU212" s="53">
        <v>19.2</v>
      </c>
      <c r="BV212" s="51">
        <v>349.2</v>
      </c>
      <c r="BW212" s="51">
        <v>100.7</v>
      </c>
      <c r="BX212" s="51">
        <v>456.5</v>
      </c>
      <c r="BY212" s="51">
        <v>45.8</v>
      </c>
      <c r="BZ212" s="51">
        <v>11.1</v>
      </c>
      <c r="CA212" s="49">
        <v>56.9</v>
      </c>
      <c r="CB212" s="55"/>
      <c r="CC212" s="55"/>
      <c r="CD212" s="55"/>
      <c r="CE212" s="55"/>
      <c r="CF212" s="53">
        <v>125.1</v>
      </c>
      <c r="CG212" s="53">
        <v>200.8</v>
      </c>
      <c r="CH212" s="53">
        <v>17.399999999999999</v>
      </c>
      <c r="CI212" s="55"/>
      <c r="CJ212" s="55"/>
      <c r="CK212" s="55"/>
      <c r="CL212" s="55"/>
      <c r="CM212" s="55"/>
      <c r="CN212" s="53">
        <v>16.7</v>
      </c>
      <c r="CO212" s="52">
        <v>204.6</v>
      </c>
      <c r="CP212" s="53">
        <v>127.8</v>
      </c>
      <c r="CQ212" s="53">
        <v>76.8</v>
      </c>
      <c r="CR212" s="52" t="s">
        <v>264</v>
      </c>
      <c r="CS212" s="52">
        <v>50.5</v>
      </c>
      <c r="CT212" s="52">
        <v>31</v>
      </c>
      <c r="CU212" s="52">
        <v>19.5</v>
      </c>
      <c r="CV212" s="52">
        <v>55.5</v>
      </c>
      <c r="CW212" s="53">
        <v>8.1999999999999993</v>
      </c>
      <c r="CX212" s="53">
        <v>47.3</v>
      </c>
      <c r="CY212" s="53" t="s">
        <v>264</v>
      </c>
      <c r="CZ212" s="53">
        <v>69.7</v>
      </c>
      <c r="DA212" s="52">
        <v>42.5</v>
      </c>
      <c r="DB212" s="53">
        <v>42.4</v>
      </c>
      <c r="DC212" s="53">
        <v>0.1</v>
      </c>
      <c r="DD212" s="55"/>
      <c r="DE212" s="55"/>
      <c r="DF212" s="55"/>
      <c r="DG212" s="53">
        <v>151.40600000000001</v>
      </c>
      <c r="DH212" s="55"/>
      <c r="DI212" s="53">
        <v>666.33199999999999</v>
      </c>
      <c r="DJ212" s="53">
        <v>266.31700000000001</v>
      </c>
      <c r="DK212" s="55"/>
      <c r="DL212" s="53">
        <v>159.91200000000001</v>
      </c>
      <c r="DM212" s="53">
        <v>252.87899999999999</v>
      </c>
      <c r="DN212" s="55"/>
      <c r="DO212" s="53">
        <v>228.92400000000001</v>
      </c>
      <c r="DP212" s="53">
        <v>275.20299999999997</v>
      </c>
      <c r="DQ212" s="55"/>
      <c r="DR212" s="55"/>
      <c r="DS212" s="53">
        <v>1004.729</v>
      </c>
      <c r="DT212" s="53">
        <v>3902.7469999999998</v>
      </c>
      <c r="DU212" s="53">
        <v>-1048.451</v>
      </c>
      <c r="DV212" s="53">
        <v>4.7000000000025466E-2</v>
      </c>
      <c r="DW212" s="55"/>
      <c r="DX212" s="55"/>
      <c r="DY212" s="55"/>
      <c r="DZ212" s="55"/>
      <c r="EA212" s="55"/>
      <c r="EB212" s="55"/>
      <c r="EC212" s="55"/>
      <c r="ED212" s="55"/>
      <c r="EE212" s="55"/>
      <c r="EF212" s="55"/>
      <c r="EG212" s="55"/>
      <c r="EH212" s="55"/>
      <c r="EI212" s="55"/>
      <c r="EJ212" s="55"/>
      <c r="EK212" s="55"/>
      <c r="EL212" s="55"/>
      <c r="EM212" s="55"/>
      <c r="EN212" s="55"/>
      <c r="EO212" s="55"/>
      <c r="EP212" s="55"/>
      <c r="EQ212" s="55"/>
      <c r="ER212" s="55"/>
      <c r="ES212" s="55"/>
      <c r="ET212" s="55"/>
      <c r="EU212" s="55"/>
      <c r="EV212" s="55"/>
      <c r="EW212" s="55"/>
      <c r="EX212" s="55"/>
      <c r="EY212" s="55"/>
      <c r="EZ212" s="55"/>
      <c r="FA212" s="55"/>
      <c r="FB212" s="55"/>
      <c r="FC212" s="55"/>
      <c r="FD212" s="55"/>
      <c r="FE212" s="55"/>
      <c r="FF212" s="55"/>
      <c r="FG212" s="55"/>
      <c r="FH212" s="55"/>
      <c r="FI212" s="55"/>
      <c r="FJ212" s="55"/>
      <c r="FK212" s="55"/>
      <c r="FL212" s="55"/>
      <c r="FM212" s="55"/>
      <c r="FN212" s="55"/>
      <c r="FO212" s="55"/>
      <c r="FP212" s="55"/>
      <c r="FQ212" s="55"/>
      <c r="FR212" s="55"/>
      <c r="FS212" s="55"/>
      <c r="FT212" s="55"/>
      <c r="FU212" s="55"/>
      <c r="FV212" s="55"/>
      <c r="FW212" s="55"/>
      <c r="FX212" s="55"/>
      <c r="FY212" s="55"/>
      <c r="FZ212" s="55"/>
      <c r="GA212" s="55"/>
      <c r="GB212" s="55"/>
      <c r="GC212" s="55"/>
      <c r="GD212" s="55"/>
      <c r="GE212" s="55"/>
      <c r="GF212" s="55"/>
      <c r="GG212" s="55"/>
      <c r="GH212" s="55"/>
      <c r="GI212" s="55"/>
      <c r="GJ212" s="55"/>
      <c r="GK212" s="55"/>
      <c r="GL212" s="55"/>
      <c r="GM212" s="55"/>
      <c r="GN212" s="55"/>
      <c r="GO212" s="55"/>
      <c r="GP212" s="55"/>
      <c r="GQ212" s="55"/>
      <c r="GR212" s="55"/>
      <c r="GS212" s="55"/>
      <c r="GT212" s="55"/>
      <c r="GU212" s="55"/>
      <c r="GV212" s="55"/>
      <c r="GW212" s="55"/>
      <c r="GX212" s="55"/>
      <c r="GY212" s="19">
        <v>0.96081849880712056</v>
      </c>
      <c r="GZ212" s="53">
        <v>1047.0999999999999</v>
      </c>
      <c r="HA212" s="53">
        <v>1089.8</v>
      </c>
      <c r="HB212" s="55"/>
      <c r="HC212" s="55"/>
      <c r="HD212" s="55"/>
      <c r="HE212" s="55"/>
      <c r="HF212" s="53">
        <v>1109.2</v>
      </c>
      <c r="HG212" s="53">
        <v>1075.5</v>
      </c>
      <c r="HH212" s="53">
        <v>377.5</v>
      </c>
      <c r="HI212" s="53">
        <v>139.1</v>
      </c>
      <c r="HJ212" s="53">
        <v>553.70000000000005</v>
      </c>
      <c r="HK212" s="53">
        <v>5.2</v>
      </c>
      <c r="HL212" s="53">
        <v>33.700000000000003</v>
      </c>
      <c r="HM212" s="55"/>
      <c r="HN212" s="55"/>
      <c r="HO212" s="55"/>
      <c r="HP212" s="53" t="e">
        <v>#VALUE!</v>
      </c>
      <c r="HQ212" s="53">
        <v>5.2</v>
      </c>
      <c r="HR212" s="53">
        <v>12.6</v>
      </c>
      <c r="HS212" s="53" t="e">
        <v>#VALUE!</v>
      </c>
      <c r="HT212" s="53" t="e">
        <v>#VALUE!</v>
      </c>
      <c r="HU212" s="55"/>
      <c r="HV212" s="55"/>
      <c r="HW212" s="53">
        <v>260.3</v>
      </c>
      <c r="HX212" s="53" t="e">
        <v>#VALUE!</v>
      </c>
      <c r="HY212" s="53">
        <v>260.3</v>
      </c>
      <c r="HZ212" s="53">
        <v>56.2</v>
      </c>
      <c r="IA212" s="53">
        <v>174.5</v>
      </c>
      <c r="IB212" s="53" t="e">
        <v>#VALUE!</v>
      </c>
      <c r="IC212" s="53" t="e">
        <v>#VALUE!</v>
      </c>
      <c r="ID212" s="53" t="e">
        <v>#VALUE!</v>
      </c>
      <c r="IE212" s="53" t="e">
        <v>#VALUE!</v>
      </c>
      <c r="IF212" s="53">
        <v>6.5</v>
      </c>
      <c r="IG212" s="53">
        <v>18.8</v>
      </c>
      <c r="IH212" s="55"/>
      <c r="II212" s="55"/>
      <c r="IJ212" s="55"/>
      <c r="IK212" s="55"/>
      <c r="IL212" s="55"/>
      <c r="IM212" s="55"/>
      <c r="IN212" s="53">
        <v>78.099999999999994</v>
      </c>
      <c r="IO212" s="53">
        <v>80.8</v>
      </c>
      <c r="IP212" s="53" t="e">
        <v>#VALUE!</v>
      </c>
      <c r="IQ212" s="53">
        <v>49.8</v>
      </c>
      <c r="IR212" s="53">
        <v>22.9</v>
      </c>
      <c r="IS212" s="53" t="e">
        <v>#VALUE!</v>
      </c>
      <c r="IT212" s="53">
        <v>25.8</v>
      </c>
      <c r="IU212" s="53" t="e">
        <v>#VALUE!</v>
      </c>
      <c r="IV212" s="53" t="e">
        <v>#VALUE!</v>
      </c>
      <c r="IY212" s="48">
        <f t="shared" si="11"/>
        <v>47.491736490122221</v>
      </c>
      <c r="IZ212" s="48">
        <f>IY212-'NOPA Crush'!J212</f>
        <v>0.15173649012221802</v>
      </c>
      <c r="JB212" s="63">
        <f t="shared" si="9"/>
        <v>10.858636328695518</v>
      </c>
      <c r="JC212" s="64">
        <f>JB212-'NOPA Crush'!O212</f>
        <v>-2.1363671304483134E-2</v>
      </c>
      <c r="JD212" s="65"/>
      <c r="JE212" s="67">
        <f t="shared" si="10"/>
        <v>2171.3000000000002</v>
      </c>
      <c r="JF212" s="68">
        <f>'NOPA Crush'!Q212/'Census Crush'!JE212</f>
        <v>0.83369732418366871</v>
      </c>
    </row>
    <row r="213" spans="1:266">
      <c r="A213" s="39">
        <v>35521</v>
      </c>
      <c r="B213" s="51">
        <v>3445.4</v>
      </c>
      <c r="C213" s="51">
        <v>2677.4</v>
      </c>
      <c r="D213" s="51">
        <v>334.4</v>
      </c>
      <c r="E213" s="51">
        <v>1548.2</v>
      </c>
      <c r="F213" s="51">
        <v>24.7</v>
      </c>
      <c r="G213" s="51" t="s">
        <v>264</v>
      </c>
      <c r="H213" s="51" t="s">
        <v>264</v>
      </c>
      <c r="I213" s="51" t="s">
        <v>264</v>
      </c>
      <c r="J213" s="51" t="s">
        <v>264</v>
      </c>
      <c r="K213" s="51">
        <v>1253.7</v>
      </c>
      <c r="L213" s="49">
        <v>2163.9</v>
      </c>
      <c r="M213" s="51">
        <v>1930</v>
      </c>
      <c r="N213" s="51">
        <v>233.9</v>
      </c>
      <c r="O213" s="51">
        <v>103.7</v>
      </c>
      <c r="P213" s="51">
        <v>131.69999999999999</v>
      </c>
      <c r="Q213" s="51">
        <v>31.2</v>
      </c>
      <c r="R213" s="51">
        <v>100.5</v>
      </c>
      <c r="S213" s="51"/>
      <c r="T213" s="51">
        <v>17.899999999999999</v>
      </c>
      <c r="U213" s="51">
        <v>95.3</v>
      </c>
      <c r="V213" s="51">
        <v>89.7</v>
      </c>
      <c r="W213" s="51">
        <v>5.6</v>
      </c>
      <c r="X213" s="51" t="s">
        <v>264</v>
      </c>
      <c r="Y213" s="51" t="s">
        <v>264</v>
      </c>
      <c r="Z213" s="49">
        <v>166.4</v>
      </c>
      <c r="AA213" s="51">
        <v>157.5</v>
      </c>
      <c r="AB213" s="51">
        <v>8.9</v>
      </c>
      <c r="AC213" s="51" t="s">
        <v>264</v>
      </c>
      <c r="AD213" s="51">
        <v>23.1</v>
      </c>
      <c r="AE213" s="51"/>
      <c r="AF213" s="51">
        <v>71</v>
      </c>
      <c r="AG213" s="51">
        <v>51.3</v>
      </c>
      <c r="AH213" s="51">
        <v>19.7</v>
      </c>
      <c r="AI213" s="51">
        <v>188.3</v>
      </c>
      <c r="AJ213" s="51"/>
      <c r="AK213" s="51"/>
      <c r="AL213" s="51">
        <v>122.1</v>
      </c>
      <c r="AM213" s="51">
        <v>91.5</v>
      </c>
      <c r="AN213" s="51">
        <v>30.6</v>
      </c>
      <c r="AO213" s="51">
        <v>2527.6999999999998</v>
      </c>
      <c r="AP213" s="51">
        <v>241.2</v>
      </c>
      <c r="AQ213" s="51">
        <v>182.6</v>
      </c>
      <c r="AR213" s="51">
        <v>38.9</v>
      </c>
      <c r="AS213" s="51">
        <v>152.19999999999999</v>
      </c>
      <c r="AT213" s="51">
        <v>49.6</v>
      </c>
      <c r="AU213" s="51">
        <v>93.7</v>
      </c>
      <c r="AV213" s="51">
        <v>29.4</v>
      </c>
      <c r="AW213" s="51">
        <v>14.6</v>
      </c>
      <c r="AX213" s="51">
        <v>3.6</v>
      </c>
      <c r="AY213" s="51" t="s">
        <v>264</v>
      </c>
      <c r="AZ213" s="51" t="s">
        <v>264</v>
      </c>
      <c r="BA213" s="51" t="s">
        <v>264</v>
      </c>
      <c r="BB213" s="51" t="s">
        <v>264</v>
      </c>
      <c r="BC213" s="51"/>
      <c r="BD213" s="53">
        <v>122.5</v>
      </c>
      <c r="BE213" s="53">
        <v>44.5</v>
      </c>
      <c r="BF213" s="55"/>
      <c r="BG213" s="55"/>
      <c r="BH213" s="53">
        <v>292.89999999999998</v>
      </c>
      <c r="BI213" s="55"/>
      <c r="BJ213" s="55"/>
      <c r="BK213" s="53">
        <v>219.8</v>
      </c>
      <c r="BL213" s="53">
        <v>4.0999999999999996</v>
      </c>
      <c r="BM213" s="53">
        <v>516.79999999999995</v>
      </c>
      <c r="BN213" s="53">
        <v>197.4</v>
      </c>
      <c r="BO213" s="55"/>
      <c r="BP213" s="55"/>
      <c r="BQ213" s="53">
        <v>95.8</v>
      </c>
      <c r="BR213" s="53">
        <v>4.0999999999999996</v>
      </c>
      <c r="BS213" s="53">
        <v>297.3</v>
      </c>
      <c r="BT213" s="52" t="s">
        <v>264</v>
      </c>
      <c r="BU213" s="53">
        <v>18.899999999999999</v>
      </c>
      <c r="BV213" s="51">
        <v>351.7</v>
      </c>
      <c r="BW213" s="51">
        <v>106.9</v>
      </c>
      <c r="BX213" s="51">
        <v>465.7</v>
      </c>
      <c r="BY213" s="51">
        <v>48.7</v>
      </c>
      <c r="BZ213" s="51">
        <v>16.600000000000001</v>
      </c>
      <c r="CA213" s="49">
        <v>65.300000000000011</v>
      </c>
      <c r="CB213" s="55"/>
      <c r="CC213" s="55"/>
      <c r="CD213" s="55"/>
      <c r="CE213" s="55"/>
      <c r="CF213" s="53">
        <v>118.5</v>
      </c>
      <c r="CG213" s="53">
        <v>220.6</v>
      </c>
      <c r="CH213" s="53">
        <v>31.7</v>
      </c>
      <c r="CI213" s="55"/>
      <c r="CJ213" s="55"/>
      <c r="CK213" s="55"/>
      <c r="CL213" s="55"/>
      <c r="CM213" s="55"/>
      <c r="CN213" s="53">
        <v>32.4</v>
      </c>
      <c r="CO213" s="52">
        <v>174.5</v>
      </c>
      <c r="CP213" s="53">
        <v>116.5</v>
      </c>
      <c r="CQ213" s="53">
        <v>58</v>
      </c>
      <c r="CR213" s="52" t="s">
        <v>264</v>
      </c>
      <c r="CS213" s="52">
        <v>44.5</v>
      </c>
      <c r="CT213" s="52">
        <v>27.4</v>
      </c>
      <c r="CU213" s="52">
        <v>17.100000000000001</v>
      </c>
      <c r="CV213" s="52">
        <v>44.6</v>
      </c>
      <c r="CW213" s="53">
        <v>17</v>
      </c>
      <c r="CX213" s="53">
        <v>27.6</v>
      </c>
      <c r="CY213" s="53" t="s">
        <v>264</v>
      </c>
      <c r="CZ213" s="53">
        <v>65.099999999999994</v>
      </c>
      <c r="DA213" s="52">
        <v>47</v>
      </c>
      <c r="DB213" s="53">
        <v>46.6</v>
      </c>
      <c r="DC213" s="53">
        <v>0.4</v>
      </c>
      <c r="DD213" s="55"/>
      <c r="DE213" s="55"/>
      <c r="DF213" s="55"/>
      <c r="DG213" s="53">
        <v>105.081</v>
      </c>
      <c r="DH213" s="55"/>
      <c r="DI213" s="53">
        <v>536.48599999999999</v>
      </c>
      <c r="DJ213" s="53">
        <v>262.83499999999998</v>
      </c>
      <c r="DK213" s="55"/>
      <c r="DL213" s="53">
        <v>153.93199999999999</v>
      </c>
      <c r="DM213" s="53">
        <v>227.04400000000001</v>
      </c>
      <c r="DN213" s="55"/>
      <c r="DO213" s="53">
        <v>191.75800000000001</v>
      </c>
      <c r="DP213" s="53">
        <v>254.095</v>
      </c>
      <c r="DQ213" s="55"/>
      <c r="DR213" s="55"/>
      <c r="DS213" s="53">
        <v>903.85599999999999</v>
      </c>
      <c r="DT213" s="53">
        <v>3442.7130000000002</v>
      </c>
      <c r="DU213" s="53">
        <v>-912.70699999999988</v>
      </c>
      <c r="DV213" s="53">
        <v>-2.6869999999998981</v>
      </c>
      <c r="DW213" s="55"/>
      <c r="DX213" s="55"/>
      <c r="DY213" s="55"/>
      <c r="DZ213" s="55"/>
      <c r="EA213" s="55"/>
      <c r="EB213" s="55"/>
      <c r="EC213" s="55"/>
      <c r="ED213" s="55"/>
      <c r="EE213" s="55"/>
      <c r="EF213" s="55"/>
      <c r="EG213" s="55"/>
      <c r="EH213" s="55"/>
      <c r="EI213" s="55"/>
      <c r="EJ213" s="55"/>
      <c r="EK213" s="55"/>
      <c r="EL213" s="55"/>
      <c r="EM213" s="55"/>
      <c r="EN213" s="55"/>
      <c r="EO213" s="55"/>
      <c r="EP213" s="55"/>
      <c r="EQ213" s="55"/>
      <c r="ER213" s="55"/>
      <c r="ES213" s="55"/>
      <c r="ET213" s="55"/>
      <c r="EU213" s="55"/>
      <c r="EV213" s="55"/>
      <c r="EW213" s="55"/>
      <c r="EX213" s="55"/>
      <c r="EY213" s="55"/>
      <c r="EZ213" s="55"/>
      <c r="FA213" s="55"/>
      <c r="FB213" s="55"/>
      <c r="FC213" s="55"/>
      <c r="FD213" s="55"/>
      <c r="FE213" s="55"/>
      <c r="FF213" s="55"/>
      <c r="FG213" s="55"/>
      <c r="FH213" s="55"/>
      <c r="FI213" s="55"/>
      <c r="FJ213" s="55"/>
      <c r="FK213" s="55"/>
      <c r="FL213" s="55"/>
      <c r="FM213" s="55"/>
      <c r="FN213" s="55"/>
      <c r="FO213" s="55"/>
      <c r="FP213" s="55"/>
      <c r="FQ213" s="55"/>
      <c r="FR213" s="55"/>
      <c r="FS213" s="55"/>
      <c r="FT213" s="55"/>
      <c r="FU213" s="55"/>
      <c r="FV213" s="55"/>
      <c r="FW213" s="55"/>
      <c r="FX213" s="55"/>
      <c r="FY213" s="55"/>
      <c r="FZ213" s="55"/>
      <c r="GA213" s="55"/>
      <c r="GB213" s="55"/>
      <c r="GC213" s="55"/>
      <c r="GD213" s="55"/>
      <c r="GE213" s="55"/>
      <c r="GF213" s="55"/>
      <c r="GG213" s="55"/>
      <c r="GH213" s="55"/>
      <c r="GI213" s="55"/>
      <c r="GJ213" s="55"/>
      <c r="GK213" s="55"/>
      <c r="GL213" s="55"/>
      <c r="GM213" s="55"/>
      <c r="GN213" s="55"/>
      <c r="GO213" s="55"/>
      <c r="GP213" s="55"/>
      <c r="GQ213" s="55"/>
      <c r="GR213" s="55"/>
      <c r="GS213" s="55"/>
      <c r="GT213" s="55"/>
      <c r="GU213" s="55"/>
      <c r="GV213" s="55"/>
      <c r="GW213" s="55"/>
      <c r="GX213" s="55"/>
      <c r="GY213" s="19">
        <v>0.95959880014998133</v>
      </c>
      <c r="GZ213" s="53">
        <v>1023.7</v>
      </c>
      <c r="HA213" s="53">
        <v>1066.8</v>
      </c>
      <c r="HB213" s="55"/>
      <c r="HC213" s="55"/>
      <c r="HD213" s="55"/>
      <c r="HE213" s="55"/>
      <c r="HF213" s="53">
        <v>1064.7</v>
      </c>
      <c r="HG213" s="53">
        <v>1029.2</v>
      </c>
      <c r="HH213" s="53">
        <v>364.2</v>
      </c>
      <c r="HI213" s="53">
        <v>138.19999999999999</v>
      </c>
      <c r="HJ213" s="53">
        <v>521.29999999999995</v>
      </c>
      <c r="HK213" s="53">
        <v>5.5</v>
      </c>
      <c r="HL213" s="53">
        <v>35.5</v>
      </c>
      <c r="HM213" s="55"/>
      <c r="HN213" s="55"/>
      <c r="HO213" s="55"/>
      <c r="HP213" s="53" t="e">
        <v>#VALUE!</v>
      </c>
      <c r="HQ213" s="53">
        <v>4.5999999999999996</v>
      </c>
      <c r="HR213" s="53">
        <v>13.6</v>
      </c>
      <c r="HS213" s="53" t="e">
        <v>#VALUE!</v>
      </c>
      <c r="HT213" s="53" t="e">
        <v>#VALUE!</v>
      </c>
      <c r="HU213" s="55"/>
      <c r="HV213" s="55"/>
      <c r="HW213" s="53">
        <v>287.3</v>
      </c>
      <c r="HX213" s="53" t="e">
        <v>#VALUE!</v>
      </c>
      <c r="HY213" s="53">
        <v>287.3</v>
      </c>
      <c r="HZ213" s="53">
        <v>52.1</v>
      </c>
      <c r="IA213" s="53">
        <v>202.2</v>
      </c>
      <c r="IB213" s="53" t="e">
        <v>#VALUE!</v>
      </c>
      <c r="IC213" s="53" t="e">
        <v>#VALUE!</v>
      </c>
      <c r="ID213" s="53" t="e">
        <v>#VALUE!</v>
      </c>
      <c r="IE213" s="53" t="e">
        <v>#VALUE!</v>
      </c>
      <c r="IF213" s="53">
        <v>7.3</v>
      </c>
      <c r="IG213" s="53">
        <v>21.8</v>
      </c>
      <c r="IH213" s="55"/>
      <c r="II213" s="55"/>
      <c r="IJ213" s="55"/>
      <c r="IK213" s="55"/>
      <c r="IL213" s="55"/>
      <c r="IM213" s="55"/>
      <c r="IN213" s="53">
        <v>75.2</v>
      </c>
      <c r="IO213" s="53">
        <v>77.400000000000006</v>
      </c>
      <c r="IP213" s="53" t="e">
        <v>#VALUE!</v>
      </c>
      <c r="IQ213" s="53">
        <v>46.5</v>
      </c>
      <c r="IR213" s="53">
        <v>22.3</v>
      </c>
      <c r="IS213" s="53" t="e">
        <v>#VALUE!</v>
      </c>
      <c r="IT213" s="53">
        <v>22.7</v>
      </c>
      <c r="IU213" s="53" t="e">
        <v>#VALUE!</v>
      </c>
      <c r="IV213" s="53" t="e">
        <v>#VALUE!</v>
      </c>
      <c r="IY213" s="48">
        <f t="shared" si="11"/>
        <v>47.198583618738027</v>
      </c>
      <c r="IZ213" s="48">
        <f>IY213-'NOPA Crush'!J213</f>
        <v>-0.1414163812619762</v>
      </c>
      <c r="JB213" s="63">
        <f t="shared" si="9"/>
        <v>10.916294189353922</v>
      </c>
      <c r="JC213" s="64">
        <f>JB213-'NOPA Crush'!O213</f>
        <v>-7.3705810646078618E-2</v>
      </c>
      <c r="JD213" s="65"/>
      <c r="JE213" s="67">
        <f t="shared" si="10"/>
        <v>2163.9</v>
      </c>
      <c r="JF213" s="68">
        <f>'NOPA Crush'!Q213/'Census Crush'!JE213</f>
        <v>0.82856740145108365</v>
      </c>
    </row>
    <row r="214" spans="1:266">
      <c r="A214" s="39">
        <v>35551</v>
      </c>
      <c r="B214" s="51">
        <v>3321.4</v>
      </c>
      <c r="C214" s="51">
        <v>2344.9</v>
      </c>
      <c r="D214" s="51">
        <v>351.3</v>
      </c>
      <c r="E214" s="51">
        <v>1183.8</v>
      </c>
      <c r="F214" s="51">
        <v>16.3</v>
      </c>
      <c r="G214" s="51" t="s">
        <v>264</v>
      </c>
      <c r="H214" s="51" t="s">
        <v>264</v>
      </c>
      <c r="I214" s="51" t="s">
        <v>264</v>
      </c>
      <c r="J214" s="51" t="s">
        <v>264</v>
      </c>
      <c r="K214" s="51">
        <v>1216.0999999999999</v>
      </c>
      <c r="L214" s="49">
        <v>2143.3000000000002</v>
      </c>
      <c r="M214" s="51">
        <v>1919.4</v>
      </c>
      <c r="N214" s="51">
        <v>223.9</v>
      </c>
      <c r="O214" s="51">
        <v>109.8</v>
      </c>
      <c r="P214" s="51">
        <v>116.1</v>
      </c>
      <c r="Q214" s="51">
        <v>26.3</v>
      </c>
      <c r="R214" s="51">
        <v>89.8</v>
      </c>
      <c r="S214" s="51"/>
      <c r="T214" s="51">
        <v>13.3</v>
      </c>
      <c r="U214" s="51">
        <v>81.599999999999994</v>
      </c>
      <c r="V214" s="51">
        <v>75.5</v>
      </c>
      <c r="W214" s="51">
        <v>6.1</v>
      </c>
      <c r="X214" s="51" t="s">
        <v>264</v>
      </c>
      <c r="Y214" s="51">
        <v>9.1</v>
      </c>
      <c r="Z214" s="49">
        <v>152.69999999999999</v>
      </c>
      <c r="AA214" s="51">
        <v>143.5</v>
      </c>
      <c r="AB214" s="51">
        <v>9.1999999999999993</v>
      </c>
      <c r="AC214" s="51" t="s">
        <v>264</v>
      </c>
      <c r="AD214" s="51">
        <v>19</v>
      </c>
      <c r="AE214" s="51"/>
      <c r="AF214" s="51">
        <v>83</v>
      </c>
      <c r="AG214" s="51">
        <v>63.5</v>
      </c>
      <c r="AH214" s="51">
        <v>19.5</v>
      </c>
      <c r="AI214" s="51">
        <v>182.5</v>
      </c>
      <c r="AJ214" s="51"/>
      <c r="AK214" s="51"/>
      <c r="AL214" s="51">
        <v>127.3</v>
      </c>
      <c r="AM214" s="51">
        <v>94.5</v>
      </c>
      <c r="AN214" s="51">
        <v>32.799999999999997</v>
      </c>
      <c r="AO214" s="51">
        <v>2438.8000000000002</v>
      </c>
      <c r="AP214" s="51">
        <v>214.8</v>
      </c>
      <c r="AQ214" s="51">
        <v>179.3</v>
      </c>
      <c r="AR214" s="51">
        <v>41.7</v>
      </c>
      <c r="AS214" s="51">
        <v>160.69999999999999</v>
      </c>
      <c r="AT214" s="51">
        <v>82.1</v>
      </c>
      <c r="AU214" s="51">
        <v>95.3</v>
      </c>
      <c r="AV214" s="51">
        <v>35.5</v>
      </c>
      <c r="AW214" s="51">
        <v>9.4</v>
      </c>
      <c r="AX214" s="51">
        <v>2.1</v>
      </c>
      <c r="AY214" s="51" t="s">
        <v>264</v>
      </c>
      <c r="AZ214" s="51" t="s">
        <v>264</v>
      </c>
      <c r="BA214" s="51" t="s">
        <v>264</v>
      </c>
      <c r="BB214" s="51" t="s">
        <v>264</v>
      </c>
      <c r="BC214" s="51"/>
      <c r="BD214" s="53">
        <v>133.1</v>
      </c>
      <c r="BE214" s="53">
        <v>51.1</v>
      </c>
      <c r="BF214" s="55"/>
      <c r="BG214" s="55"/>
      <c r="BH214" s="53">
        <v>296.10000000000002</v>
      </c>
      <c r="BI214" s="55"/>
      <c r="BJ214" s="55"/>
      <c r="BK214" s="53">
        <v>216.3</v>
      </c>
      <c r="BL214" s="53">
        <v>3.7</v>
      </c>
      <c r="BM214" s="53">
        <v>516.1</v>
      </c>
      <c r="BN214" s="53">
        <v>219.4</v>
      </c>
      <c r="BO214" s="55"/>
      <c r="BP214" s="55"/>
      <c r="BQ214" s="53">
        <v>112.1</v>
      </c>
      <c r="BR214" s="53">
        <v>4.4000000000000004</v>
      </c>
      <c r="BS214" s="53">
        <v>335.9</v>
      </c>
      <c r="BT214" s="52" t="s">
        <v>264</v>
      </c>
      <c r="BU214" s="53">
        <v>18.7</v>
      </c>
      <c r="BV214" s="51">
        <v>346.7</v>
      </c>
      <c r="BW214" s="51">
        <v>118.8</v>
      </c>
      <c r="BX214" s="51">
        <v>474.2</v>
      </c>
      <c r="BY214" s="51">
        <v>46.5</v>
      </c>
      <c r="BZ214" s="51">
        <v>12.7</v>
      </c>
      <c r="CA214" s="49">
        <v>59.2</v>
      </c>
      <c r="CB214" s="55"/>
      <c r="CC214" s="55"/>
      <c r="CD214" s="55"/>
      <c r="CE214" s="55"/>
      <c r="CF214" s="53">
        <v>116.6</v>
      </c>
      <c r="CG214" s="53">
        <v>187.3</v>
      </c>
      <c r="CH214" s="53">
        <v>20.9</v>
      </c>
      <c r="CI214" s="55"/>
      <c r="CJ214" s="55"/>
      <c r="CK214" s="55"/>
      <c r="CL214" s="55"/>
      <c r="CM214" s="55"/>
      <c r="CN214" s="53">
        <v>35.5</v>
      </c>
      <c r="CO214" s="52">
        <v>249.8</v>
      </c>
      <c r="CP214" s="53">
        <v>161.30000000000001</v>
      </c>
      <c r="CQ214" s="53">
        <v>88.5</v>
      </c>
      <c r="CR214" s="52" t="s">
        <v>264</v>
      </c>
      <c r="CS214" s="52">
        <v>45.6</v>
      </c>
      <c r="CT214" s="52">
        <v>28.3</v>
      </c>
      <c r="CU214" s="52">
        <v>17.3</v>
      </c>
      <c r="CV214" s="52">
        <v>46.099999999999994</v>
      </c>
      <c r="CW214" s="53">
        <v>11.8</v>
      </c>
      <c r="CX214" s="53">
        <v>34.299999999999997</v>
      </c>
      <c r="CY214" s="53" t="s">
        <v>264</v>
      </c>
      <c r="CZ214" s="53">
        <v>53.9</v>
      </c>
      <c r="DA214" s="52">
        <v>43.1</v>
      </c>
      <c r="DB214" s="53">
        <v>42.7</v>
      </c>
      <c r="DC214" s="53">
        <v>0.4</v>
      </c>
      <c r="DD214" s="55"/>
      <c r="DE214" s="55"/>
      <c r="DF214" s="55"/>
      <c r="DG214" s="53">
        <v>120.78100000000001</v>
      </c>
      <c r="DH214" s="55"/>
      <c r="DI214" s="53">
        <v>518.68299999999999</v>
      </c>
      <c r="DJ214" s="53">
        <v>268.77800000000002</v>
      </c>
      <c r="DK214" s="55"/>
      <c r="DL214" s="53">
        <v>152.482</v>
      </c>
      <c r="DM214" s="53">
        <v>255.58099999999999</v>
      </c>
      <c r="DN214" s="55"/>
      <c r="DO214" s="55"/>
      <c r="DP214" s="53">
        <v>216.79599999999999</v>
      </c>
      <c r="DQ214" s="55"/>
      <c r="DR214" s="55"/>
      <c r="DS214" s="53">
        <v>840.80499999999995</v>
      </c>
      <c r="DT214" s="53">
        <v>3321.3580000000002</v>
      </c>
      <c r="DU214" s="53">
        <v>-1068.2330000000002</v>
      </c>
      <c r="DV214" s="53">
        <v>-4.1999999999916326E-2</v>
      </c>
      <c r="DW214" s="55"/>
      <c r="DX214" s="55"/>
      <c r="DY214" s="55"/>
      <c r="DZ214" s="55"/>
      <c r="EA214" s="55"/>
      <c r="EB214" s="55"/>
      <c r="EC214" s="55"/>
      <c r="ED214" s="55"/>
      <c r="EE214" s="55"/>
      <c r="EF214" s="55"/>
      <c r="EG214" s="55"/>
      <c r="EH214" s="55"/>
      <c r="EI214" s="55"/>
      <c r="EJ214" s="55"/>
      <c r="EK214" s="55"/>
      <c r="EL214" s="55"/>
      <c r="EM214" s="55"/>
      <c r="EN214" s="55"/>
      <c r="EO214" s="55"/>
      <c r="EP214" s="55"/>
      <c r="EQ214" s="55"/>
      <c r="ER214" s="55"/>
      <c r="ES214" s="55"/>
      <c r="ET214" s="55"/>
      <c r="EU214" s="55"/>
      <c r="EV214" s="55"/>
      <c r="EW214" s="55"/>
      <c r="EX214" s="55"/>
      <c r="EY214" s="55"/>
      <c r="EZ214" s="55"/>
      <c r="FA214" s="55"/>
      <c r="FB214" s="55"/>
      <c r="FC214" s="55"/>
      <c r="FD214" s="55"/>
      <c r="FE214" s="55"/>
      <c r="FF214" s="55"/>
      <c r="FG214" s="55"/>
      <c r="FH214" s="55"/>
      <c r="FI214" s="55"/>
      <c r="FJ214" s="55"/>
      <c r="FK214" s="55"/>
      <c r="FL214" s="55"/>
      <c r="FM214" s="55"/>
      <c r="FN214" s="55"/>
      <c r="FO214" s="55"/>
      <c r="FP214" s="55"/>
      <c r="FQ214" s="55"/>
      <c r="FR214" s="55"/>
      <c r="FS214" s="55"/>
      <c r="FT214" s="55"/>
      <c r="FU214" s="55"/>
      <c r="FV214" s="55"/>
      <c r="FW214" s="55"/>
      <c r="FX214" s="55"/>
      <c r="FY214" s="55"/>
      <c r="FZ214" s="55"/>
      <c r="GA214" s="55"/>
      <c r="GB214" s="55"/>
      <c r="GC214" s="55"/>
      <c r="GD214" s="55"/>
      <c r="GE214" s="55"/>
      <c r="GF214" s="55"/>
      <c r="GG214" s="55"/>
      <c r="GH214" s="55"/>
      <c r="GI214" s="55"/>
      <c r="GJ214" s="55"/>
      <c r="GK214" s="55"/>
      <c r="GL214" s="55"/>
      <c r="GM214" s="55"/>
      <c r="GN214" s="55"/>
      <c r="GO214" s="55"/>
      <c r="GP214" s="55"/>
      <c r="GQ214" s="55"/>
      <c r="GR214" s="55"/>
      <c r="GS214" s="55"/>
      <c r="GT214" s="55"/>
      <c r="GU214" s="55"/>
      <c r="GV214" s="55"/>
      <c r="GW214" s="55"/>
      <c r="GX214" s="55"/>
      <c r="GY214" s="19">
        <v>0.95843840478191833</v>
      </c>
      <c r="GZ214" s="53">
        <v>1026.2</v>
      </c>
      <c r="HA214" s="53">
        <v>1070.7</v>
      </c>
      <c r="HB214" s="55"/>
      <c r="HC214" s="55"/>
      <c r="HD214" s="55"/>
      <c r="HE214" s="55"/>
      <c r="HF214" s="53">
        <v>1038.4000000000001</v>
      </c>
      <c r="HG214" s="53">
        <v>1004.7</v>
      </c>
      <c r="HH214" s="53">
        <v>369.8</v>
      </c>
      <c r="HI214" s="53">
        <v>123.8</v>
      </c>
      <c r="HJ214" s="53">
        <v>506.1</v>
      </c>
      <c r="HK214" s="53">
        <v>5</v>
      </c>
      <c r="HL214" s="53">
        <v>33.700000000000003</v>
      </c>
      <c r="HM214" s="55"/>
      <c r="HN214" s="55"/>
      <c r="HO214" s="55"/>
      <c r="HP214" s="53" t="e">
        <v>#VALUE!</v>
      </c>
      <c r="HQ214" s="53">
        <v>4.9000000000000004</v>
      </c>
      <c r="HR214" s="53">
        <v>11.3</v>
      </c>
      <c r="HS214" s="53" t="e">
        <v>#VALUE!</v>
      </c>
      <c r="HT214" s="53" t="e">
        <v>#VALUE!</v>
      </c>
      <c r="HU214" s="55"/>
      <c r="HV214" s="55"/>
      <c r="HW214" s="53">
        <v>295.3</v>
      </c>
      <c r="HX214" s="53" t="e">
        <v>#VALUE!</v>
      </c>
      <c r="HY214" s="53">
        <v>295.3</v>
      </c>
      <c r="HZ214" s="53">
        <v>54.8</v>
      </c>
      <c r="IA214" s="53">
        <v>207.5</v>
      </c>
      <c r="IB214" s="53" t="e">
        <v>#VALUE!</v>
      </c>
      <c r="IC214" s="53" t="e">
        <v>#VALUE!</v>
      </c>
      <c r="ID214" s="53" t="e">
        <v>#VALUE!</v>
      </c>
      <c r="IE214" s="53" t="e">
        <v>#VALUE!</v>
      </c>
      <c r="IF214" s="53">
        <v>7.3</v>
      </c>
      <c r="IG214" s="53">
        <v>21.3</v>
      </c>
      <c r="IH214" s="55"/>
      <c r="II214" s="55"/>
      <c r="IJ214" s="55"/>
      <c r="IK214" s="55"/>
      <c r="IL214" s="55"/>
      <c r="IM214" s="55"/>
      <c r="IN214" s="53">
        <v>76.900000000000006</v>
      </c>
      <c r="IO214" s="53">
        <v>79.2</v>
      </c>
      <c r="IP214" s="53" t="e">
        <v>#VALUE!</v>
      </c>
      <c r="IQ214" s="53">
        <v>54.1</v>
      </c>
      <c r="IR214" s="53">
        <v>24.8</v>
      </c>
      <c r="IS214" s="53" t="e">
        <v>#VALUE!</v>
      </c>
      <c r="IT214" s="53">
        <v>27.9</v>
      </c>
      <c r="IU214" s="53" t="e">
        <v>#VALUE!</v>
      </c>
      <c r="IV214" s="53" t="e">
        <v>#VALUE!</v>
      </c>
      <c r="IY214" s="48">
        <f t="shared" si="11"/>
        <v>47.295116517131333</v>
      </c>
      <c r="IZ214" s="48">
        <f>IY214-'NOPA Crush'!J214</f>
        <v>-7.4883482868663975E-2</v>
      </c>
      <c r="JB214" s="63">
        <f t="shared" si="9"/>
        <v>10.984223520202322</v>
      </c>
      <c r="JC214" s="64">
        <f>JB214-'NOPA Crush'!O214</f>
        <v>-5.577647979767697E-2</v>
      </c>
      <c r="JD214" s="65"/>
      <c r="JE214" s="67">
        <f t="shared" si="10"/>
        <v>2143.3000000000002</v>
      </c>
      <c r="JF214" s="68">
        <f>'NOPA Crush'!Q214/'Census Crush'!JE214</f>
        <v>0.81690337330285068</v>
      </c>
    </row>
    <row r="215" spans="1:266">
      <c r="A215" s="39">
        <v>35582</v>
      </c>
      <c r="B215" s="51">
        <v>3266.7</v>
      </c>
      <c r="C215" s="51">
        <v>1918.5</v>
      </c>
      <c r="D215" s="51">
        <v>280.8</v>
      </c>
      <c r="E215" s="51">
        <v>871.2</v>
      </c>
      <c r="F215" s="51">
        <v>19</v>
      </c>
      <c r="G215" s="51" t="s">
        <v>264</v>
      </c>
      <c r="H215" s="51" t="s">
        <v>264</v>
      </c>
      <c r="I215" s="51" t="s">
        <v>264</v>
      </c>
      <c r="J215" s="51" t="s">
        <v>264</v>
      </c>
      <c r="K215" s="51">
        <v>1195.7</v>
      </c>
      <c r="L215" s="49">
        <v>2137.9</v>
      </c>
      <c r="M215" s="51">
        <v>1917.8</v>
      </c>
      <c r="N215" s="51">
        <v>220.1</v>
      </c>
      <c r="O215" s="51">
        <v>86.9</v>
      </c>
      <c r="P215" s="51">
        <v>103.4</v>
      </c>
      <c r="Q215" s="51">
        <v>25.1</v>
      </c>
      <c r="R215" s="51">
        <v>78.3</v>
      </c>
      <c r="S215" s="51"/>
      <c r="T215" s="51">
        <v>16</v>
      </c>
      <c r="U215" s="51">
        <v>84.6</v>
      </c>
      <c r="V215" s="51">
        <v>79.8</v>
      </c>
      <c r="W215" s="51">
        <v>4.8</v>
      </c>
      <c r="X215" s="51" t="s">
        <v>264</v>
      </c>
      <c r="Y215" s="51" t="s">
        <v>264</v>
      </c>
      <c r="Z215" s="49">
        <v>141.80000000000001</v>
      </c>
      <c r="AA215" s="51">
        <v>132.4</v>
      </c>
      <c r="AB215" s="51">
        <v>9.4</v>
      </c>
      <c r="AC215" s="51" t="s">
        <v>264</v>
      </c>
      <c r="AD215" s="51">
        <v>26.9</v>
      </c>
      <c r="AE215" s="51"/>
      <c r="AF215" s="51">
        <v>85.3</v>
      </c>
      <c r="AG215" s="51">
        <v>65.5</v>
      </c>
      <c r="AH215" s="51">
        <v>19.8</v>
      </c>
      <c r="AI215" s="51">
        <v>184.3</v>
      </c>
      <c r="AJ215" s="51"/>
      <c r="AK215" s="51"/>
      <c r="AL215" s="51">
        <v>148.9</v>
      </c>
      <c r="AM215" s="51">
        <v>105</v>
      </c>
      <c r="AN215" s="51">
        <v>43.9</v>
      </c>
      <c r="AO215" s="51">
        <v>2400.9</v>
      </c>
      <c r="AP215" s="51">
        <v>275.3</v>
      </c>
      <c r="AQ215" s="51">
        <v>172.4</v>
      </c>
      <c r="AR215" s="51">
        <v>42</v>
      </c>
      <c r="AS215" s="51">
        <v>128.6</v>
      </c>
      <c r="AT215" s="51">
        <v>85.6</v>
      </c>
      <c r="AU215" s="51">
        <v>76.2</v>
      </c>
      <c r="AV215" s="51">
        <v>32.1</v>
      </c>
      <c r="AW215" s="51">
        <v>10.199999999999999</v>
      </c>
      <c r="AX215" s="51">
        <v>3.8</v>
      </c>
      <c r="AY215" s="51" t="s">
        <v>264</v>
      </c>
      <c r="AZ215" s="51" t="s">
        <v>264</v>
      </c>
      <c r="BA215" s="51" t="s">
        <v>264</v>
      </c>
      <c r="BB215" s="51" t="s">
        <v>264</v>
      </c>
      <c r="BC215" s="51"/>
      <c r="BD215" s="53">
        <v>123.8</v>
      </c>
      <c r="BE215" s="53">
        <v>51</v>
      </c>
      <c r="BF215" s="55"/>
      <c r="BG215" s="55"/>
      <c r="BH215" s="53">
        <v>286.8</v>
      </c>
      <c r="BI215" s="55"/>
      <c r="BJ215" s="55"/>
      <c r="BK215" s="53">
        <v>222.7</v>
      </c>
      <c r="BL215" s="53">
        <v>3.7</v>
      </c>
      <c r="BM215" s="53">
        <v>513.20000000000005</v>
      </c>
      <c r="BN215" s="53">
        <v>235</v>
      </c>
      <c r="BO215" s="55"/>
      <c r="BP215" s="55"/>
      <c r="BQ215" s="53">
        <v>103.3</v>
      </c>
      <c r="BR215" s="53">
        <v>3.8</v>
      </c>
      <c r="BS215" s="53">
        <v>342.1</v>
      </c>
      <c r="BT215" s="52" t="s">
        <v>264</v>
      </c>
      <c r="BU215" s="53">
        <v>23</v>
      </c>
      <c r="BV215" s="51">
        <v>346.3</v>
      </c>
      <c r="BW215" s="51">
        <v>102.3</v>
      </c>
      <c r="BX215" s="51">
        <v>457.2</v>
      </c>
      <c r="BY215" s="51">
        <v>51.7</v>
      </c>
      <c r="BZ215" s="51">
        <v>9.3000000000000007</v>
      </c>
      <c r="CA215" s="49">
        <v>61</v>
      </c>
      <c r="CB215" s="55"/>
      <c r="CC215" s="55"/>
      <c r="CD215" s="55"/>
      <c r="CE215" s="55"/>
      <c r="CF215" s="53">
        <v>116.4</v>
      </c>
      <c r="CG215" s="53">
        <v>237.5</v>
      </c>
      <c r="CH215" s="53">
        <v>32</v>
      </c>
      <c r="CI215" s="55"/>
      <c r="CJ215" s="55"/>
      <c r="CK215" s="55"/>
      <c r="CL215" s="55"/>
      <c r="CM215" s="55"/>
      <c r="CN215" s="53">
        <v>34</v>
      </c>
      <c r="CO215" s="52">
        <v>143.69999999999999</v>
      </c>
      <c r="CP215" s="53">
        <v>87.7</v>
      </c>
      <c r="CQ215" s="53">
        <v>56</v>
      </c>
      <c r="CR215" s="52" t="s">
        <v>264</v>
      </c>
      <c r="CS215" s="52">
        <v>35.1</v>
      </c>
      <c r="CT215" s="52">
        <v>19.3</v>
      </c>
      <c r="CU215" s="52">
        <v>15.8</v>
      </c>
      <c r="CV215" s="52">
        <v>46.8</v>
      </c>
      <c r="CW215" s="53">
        <v>11.9</v>
      </c>
      <c r="CX215" s="53">
        <v>34.9</v>
      </c>
      <c r="CY215" s="53" t="s">
        <v>264</v>
      </c>
      <c r="CZ215" s="53">
        <v>74.099999999999994</v>
      </c>
      <c r="DA215" s="52">
        <v>36.9</v>
      </c>
      <c r="DB215" s="53">
        <v>36.5</v>
      </c>
      <c r="DC215" s="53">
        <v>0.4</v>
      </c>
      <c r="DD215" s="55"/>
      <c r="DE215" s="55"/>
      <c r="DF215" s="55"/>
      <c r="DG215" s="53">
        <v>90.658000000000001</v>
      </c>
      <c r="DH215" s="55"/>
      <c r="DI215" s="53">
        <v>534.69200000000001</v>
      </c>
      <c r="DJ215" s="53">
        <v>239.624</v>
      </c>
      <c r="DK215" s="55"/>
      <c r="DL215" s="53">
        <v>139.88200000000001</v>
      </c>
      <c r="DM215" s="53">
        <v>240.72499999999999</v>
      </c>
      <c r="DN215" s="55"/>
      <c r="DO215" s="55"/>
      <c r="DP215" s="53">
        <v>244.09200000000001</v>
      </c>
      <c r="DQ215" s="55"/>
      <c r="DR215" s="55"/>
      <c r="DS215" s="53">
        <v>896.15200000000004</v>
      </c>
      <c r="DT215" s="53">
        <v>3266.6869999999999</v>
      </c>
      <c r="DU215" s="53">
        <v>-971.51999999999953</v>
      </c>
      <c r="DV215" s="53">
        <v>-1.2999999999919964E-2</v>
      </c>
      <c r="DW215" s="55"/>
      <c r="DX215" s="55"/>
      <c r="DY215" s="55"/>
      <c r="DZ215" s="55"/>
      <c r="EA215" s="55"/>
      <c r="EB215" s="55"/>
      <c r="EC215" s="55"/>
      <c r="ED215" s="55"/>
      <c r="EE215" s="55"/>
      <c r="EF215" s="55"/>
      <c r="EG215" s="55"/>
      <c r="EH215" s="55"/>
      <c r="EI215" s="55"/>
      <c r="EJ215" s="55"/>
      <c r="EK215" s="55"/>
      <c r="EL215" s="55"/>
      <c r="EM215" s="55"/>
      <c r="EN215" s="55"/>
      <c r="EO215" s="55"/>
      <c r="EP215" s="55"/>
      <c r="EQ215" s="55"/>
      <c r="ER215" s="55"/>
      <c r="ES215" s="55"/>
      <c r="ET215" s="55"/>
      <c r="EU215" s="55"/>
      <c r="EV215" s="55"/>
      <c r="EW215" s="55"/>
      <c r="EX215" s="55"/>
      <c r="EY215" s="55"/>
      <c r="EZ215" s="55"/>
      <c r="FA215" s="55"/>
      <c r="FB215" s="55"/>
      <c r="FC215" s="55"/>
      <c r="FD215" s="55"/>
      <c r="FE215" s="55"/>
      <c r="FF215" s="55"/>
      <c r="FG215" s="55"/>
      <c r="FH215" s="55"/>
      <c r="FI215" s="55"/>
      <c r="FJ215" s="55"/>
      <c r="FK215" s="55"/>
      <c r="FL215" s="55"/>
      <c r="FM215" s="55"/>
      <c r="FN215" s="55"/>
      <c r="FO215" s="55"/>
      <c r="FP215" s="55"/>
      <c r="FQ215" s="55"/>
      <c r="FR215" s="55"/>
      <c r="FS215" s="55"/>
      <c r="FT215" s="55"/>
      <c r="FU215" s="55"/>
      <c r="FV215" s="55"/>
      <c r="FW215" s="55"/>
      <c r="FX215" s="55"/>
      <c r="FY215" s="55"/>
      <c r="FZ215" s="55"/>
      <c r="GA215" s="55"/>
      <c r="GB215" s="55"/>
      <c r="GC215" s="55"/>
      <c r="GD215" s="55"/>
      <c r="GE215" s="55"/>
      <c r="GF215" s="55"/>
      <c r="GG215" s="55"/>
      <c r="GH215" s="55"/>
      <c r="GI215" s="55"/>
      <c r="GJ215" s="55"/>
      <c r="GK215" s="55"/>
      <c r="GL215" s="55"/>
      <c r="GM215" s="55"/>
      <c r="GN215" s="55"/>
      <c r="GO215" s="55"/>
      <c r="GP215" s="55"/>
      <c r="GQ215" s="55"/>
      <c r="GR215" s="55"/>
      <c r="GS215" s="55"/>
      <c r="GT215" s="55"/>
      <c r="GU215" s="55"/>
      <c r="GV215" s="55"/>
      <c r="GW215" s="55"/>
      <c r="GX215" s="55"/>
      <c r="GY215" s="19">
        <v>0.95975051164603842</v>
      </c>
      <c r="GZ215" s="53">
        <v>984.8</v>
      </c>
      <c r="HA215" s="53">
        <v>1026.0999999999999</v>
      </c>
      <c r="HB215" s="55"/>
      <c r="HC215" s="55"/>
      <c r="HD215" s="55"/>
      <c r="HE215" s="55"/>
      <c r="HF215" s="53">
        <v>999.6</v>
      </c>
      <c r="HG215" s="53">
        <v>967</v>
      </c>
      <c r="HH215" s="53">
        <v>370.1</v>
      </c>
      <c r="HI215" s="53">
        <v>123.8</v>
      </c>
      <c r="HJ215" s="53">
        <v>468.1</v>
      </c>
      <c r="HK215" s="53">
        <v>5</v>
      </c>
      <c r="HL215" s="53">
        <v>32.6</v>
      </c>
      <c r="HM215" s="55"/>
      <c r="HN215" s="55"/>
      <c r="HO215" s="55"/>
      <c r="HP215" s="53" t="e">
        <v>#VALUE!</v>
      </c>
      <c r="HQ215" s="53">
        <v>5.3</v>
      </c>
      <c r="HR215" s="53">
        <v>11.8</v>
      </c>
      <c r="HS215" s="53" t="e">
        <v>#VALUE!</v>
      </c>
      <c r="HT215" s="53" t="e">
        <v>#VALUE!</v>
      </c>
      <c r="HU215" s="55"/>
      <c r="HV215" s="55"/>
      <c r="HW215" s="53">
        <v>279.60000000000002</v>
      </c>
      <c r="HX215" s="53" t="e">
        <v>#VALUE!</v>
      </c>
      <c r="HY215" s="53">
        <v>279.60000000000002</v>
      </c>
      <c r="HZ215" s="53">
        <v>54.9</v>
      </c>
      <c r="IA215" s="53">
        <v>192.8</v>
      </c>
      <c r="IB215" s="53" t="e">
        <v>#VALUE!</v>
      </c>
      <c r="IC215" s="53" t="e">
        <v>#VALUE!</v>
      </c>
      <c r="ID215" s="53" t="e">
        <v>#VALUE!</v>
      </c>
      <c r="IE215" s="53" t="e">
        <v>#VALUE!</v>
      </c>
      <c r="IF215" s="53">
        <v>6.6</v>
      </c>
      <c r="IG215" s="53">
        <v>21.3</v>
      </c>
      <c r="IH215" s="55"/>
      <c r="II215" s="55"/>
      <c r="IJ215" s="55"/>
      <c r="IK215" s="55"/>
      <c r="IL215" s="55"/>
      <c r="IM215" s="55"/>
      <c r="IN215" s="53">
        <v>56.4</v>
      </c>
      <c r="IO215" s="53">
        <v>58.4</v>
      </c>
      <c r="IP215" s="53" t="e">
        <v>#VALUE!</v>
      </c>
      <c r="IQ215" s="53">
        <v>50.7</v>
      </c>
      <c r="IR215" s="53">
        <v>24.3</v>
      </c>
      <c r="IS215" s="53" t="e">
        <v>#VALUE!</v>
      </c>
      <c r="IT215" s="53">
        <v>25</v>
      </c>
      <c r="IU215" s="53" t="e">
        <v>#VALUE!</v>
      </c>
      <c r="IV215" s="53" t="e">
        <v>#VALUE!</v>
      </c>
      <c r="IY215" s="48">
        <f t="shared" si="11"/>
        <v>47.264211589677657</v>
      </c>
      <c r="IZ215" s="48">
        <f>IY215-'NOPA Crush'!J215</f>
        <v>-7.5788410322346067E-2</v>
      </c>
      <c r="JB215" s="63">
        <f t="shared" si="9"/>
        <v>10.980806318302875</v>
      </c>
      <c r="JC215" s="64">
        <f>JB215-'NOPA Crush'!O215</f>
        <v>1.0806318302874374E-2</v>
      </c>
      <c r="JD215" s="65"/>
      <c r="JE215" s="67">
        <f t="shared" si="10"/>
        <v>2137.9</v>
      </c>
      <c r="JF215" s="68">
        <f>'NOPA Crush'!Q215/'Census Crush'!JE215</f>
        <v>0.81693905234108244</v>
      </c>
    </row>
    <row r="216" spans="1:266">
      <c r="A216" s="39">
        <v>35612</v>
      </c>
      <c r="B216" s="51">
        <v>3182.9</v>
      </c>
      <c r="C216" s="51">
        <v>1309.0999999999999</v>
      </c>
      <c r="D216" s="51">
        <v>294</v>
      </c>
      <c r="E216" s="51">
        <v>522.79999999999995</v>
      </c>
      <c r="F216" s="51">
        <v>13.4</v>
      </c>
      <c r="G216" s="51" t="s">
        <v>264</v>
      </c>
      <c r="H216" s="51" t="s">
        <v>264</v>
      </c>
      <c r="I216" s="51" t="s">
        <v>264</v>
      </c>
      <c r="J216" s="51" t="s">
        <v>264</v>
      </c>
      <c r="K216" s="51">
        <v>1175.9000000000001</v>
      </c>
      <c r="L216" s="49">
        <v>1978.1</v>
      </c>
      <c r="M216" s="51">
        <v>1760.3</v>
      </c>
      <c r="N216" s="51">
        <v>217.8</v>
      </c>
      <c r="O216" s="51">
        <v>85.9</v>
      </c>
      <c r="P216" s="51">
        <v>85.9</v>
      </c>
      <c r="Q216" s="51">
        <v>24.2</v>
      </c>
      <c r="R216" s="51">
        <v>61.7</v>
      </c>
      <c r="S216" s="51"/>
      <c r="T216" s="51">
        <v>9.9</v>
      </c>
      <c r="U216" s="51">
        <v>85.7</v>
      </c>
      <c r="V216" s="51">
        <v>80.3</v>
      </c>
      <c r="W216" s="51">
        <v>5.4</v>
      </c>
      <c r="X216" s="51" t="s">
        <v>264</v>
      </c>
      <c r="Y216" s="51" t="s">
        <v>264</v>
      </c>
      <c r="Z216" s="49">
        <v>85.2</v>
      </c>
      <c r="AA216" s="51">
        <v>80.400000000000006</v>
      </c>
      <c r="AB216" s="51">
        <v>4.8</v>
      </c>
      <c r="AC216" s="51" t="s">
        <v>264</v>
      </c>
      <c r="AD216" s="51">
        <v>20.5</v>
      </c>
      <c r="AE216" s="51"/>
      <c r="AF216" s="51">
        <v>61.6</v>
      </c>
      <c r="AG216" s="51">
        <v>42.2</v>
      </c>
      <c r="AH216" s="51">
        <v>19.399999999999999</v>
      </c>
      <c r="AI216" s="51">
        <v>174</v>
      </c>
      <c r="AJ216" s="51"/>
      <c r="AK216" s="51"/>
      <c r="AL216" s="51">
        <v>170.5</v>
      </c>
      <c r="AM216" s="51">
        <v>115.6</v>
      </c>
      <c r="AN216" s="51">
        <v>54.9</v>
      </c>
      <c r="AO216" s="51">
        <v>2342.6</v>
      </c>
      <c r="AP216" s="51">
        <v>264.3</v>
      </c>
      <c r="AQ216" s="51">
        <v>174.8</v>
      </c>
      <c r="AR216" s="51">
        <v>38.799999999999997</v>
      </c>
      <c r="AS216" s="51">
        <v>123.2</v>
      </c>
      <c r="AT216" s="51">
        <v>64.900000000000006</v>
      </c>
      <c r="AU216" s="51">
        <v>84.3</v>
      </c>
      <c r="AV216" s="51">
        <v>27.7</v>
      </c>
      <c r="AW216" s="51" t="s">
        <v>264</v>
      </c>
      <c r="AX216" s="51" t="s">
        <v>264</v>
      </c>
      <c r="AY216" s="51" t="s">
        <v>264</v>
      </c>
      <c r="AZ216" s="51" t="s">
        <v>264</v>
      </c>
      <c r="BA216" s="51" t="s">
        <v>264</v>
      </c>
      <c r="BB216" s="51" t="s">
        <v>264</v>
      </c>
      <c r="BC216" s="51"/>
      <c r="BD216" s="53">
        <v>125.8</v>
      </c>
      <c r="BE216" s="53">
        <v>54.8</v>
      </c>
      <c r="BF216" s="55"/>
      <c r="BG216" s="55"/>
      <c r="BH216" s="53">
        <v>291.39999999999998</v>
      </c>
      <c r="BI216" s="55"/>
      <c r="BJ216" s="55"/>
      <c r="BK216" s="53">
        <v>230.9</v>
      </c>
      <c r="BL216" s="53">
        <v>3.1</v>
      </c>
      <c r="BM216" s="53">
        <v>525.4</v>
      </c>
      <c r="BN216" s="53">
        <v>203</v>
      </c>
      <c r="BO216" s="55"/>
      <c r="BP216" s="55"/>
      <c r="BQ216" s="53">
        <v>118.3</v>
      </c>
      <c r="BR216" s="53">
        <v>3.9</v>
      </c>
      <c r="BS216" s="53">
        <v>325.2</v>
      </c>
      <c r="BT216" s="52" t="s">
        <v>264</v>
      </c>
      <c r="BU216" s="53">
        <v>23.2</v>
      </c>
      <c r="BV216" s="51">
        <v>367.5</v>
      </c>
      <c r="BW216" s="51">
        <v>105.4</v>
      </c>
      <c r="BX216" s="51">
        <v>478.2</v>
      </c>
      <c r="BY216" s="51">
        <v>48.8</v>
      </c>
      <c r="BZ216" s="51">
        <v>13.1</v>
      </c>
      <c r="CA216" s="49">
        <v>61.9</v>
      </c>
      <c r="CB216" s="55"/>
      <c r="CC216" s="55"/>
      <c r="CD216" s="55"/>
      <c r="CE216" s="55"/>
      <c r="CF216" s="53">
        <v>135</v>
      </c>
      <c r="CG216" s="53">
        <v>248.5</v>
      </c>
      <c r="CH216" s="53">
        <v>13.2</v>
      </c>
      <c r="CI216" s="55"/>
      <c r="CJ216" s="55"/>
      <c r="CK216" s="55"/>
      <c r="CL216" s="55"/>
      <c r="CM216" s="55"/>
      <c r="CN216" s="53">
        <v>25.2</v>
      </c>
      <c r="CO216" s="52">
        <v>143.39999999999998</v>
      </c>
      <c r="CP216" s="53">
        <v>91.6</v>
      </c>
      <c r="CQ216" s="53">
        <v>51.8</v>
      </c>
      <c r="CR216" s="52" t="s">
        <v>264</v>
      </c>
      <c r="CS216" s="52">
        <v>35.1</v>
      </c>
      <c r="CT216" s="52">
        <v>19.3</v>
      </c>
      <c r="CU216" s="52">
        <v>15.8</v>
      </c>
      <c r="CV216" s="52">
        <v>50.5</v>
      </c>
      <c r="CW216" s="53">
        <v>12</v>
      </c>
      <c r="CX216" s="53">
        <v>38.5</v>
      </c>
      <c r="CY216" s="53" t="s">
        <v>264</v>
      </c>
      <c r="CZ216" s="53">
        <v>53.7</v>
      </c>
      <c r="DA216" s="52">
        <v>42</v>
      </c>
      <c r="DB216" s="53">
        <v>41.6</v>
      </c>
      <c r="DC216" s="53">
        <v>0.4</v>
      </c>
      <c r="DD216" s="55"/>
      <c r="DE216" s="55"/>
      <c r="DF216" s="55"/>
      <c r="DG216" s="53">
        <v>108.511</v>
      </c>
      <c r="DH216" s="55"/>
      <c r="DI216" s="53">
        <v>551.58199999999999</v>
      </c>
      <c r="DJ216" s="53">
        <v>222.71899999999999</v>
      </c>
      <c r="DK216" s="55"/>
      <c r="DL216" s="53">
        <v>132.983</v>
      </c>
      <c r="DM216" s="53">
        <v>180.452</v>
      </c>
      <c r="DN216" s="55"/>
      <c r="DO216" s="55"/>
      <c r="DP216" s="53">
        <v>240.38900000000001</v>
      </c>
      <c r="DQ216" s="55"/>
      <c r="DR216" s="55"/>
      <c r="DS216" s="53">
        <v>869.02599999999995</v>
      </c>
      <c r="DT216" s="53">
        <v>3181.6990000000001</v>
      </c>
      <c r="DU216" s="53">
        <v>-984.54800000000023</v>
      </c>
      <c r="DV216" s="53">
        <v>-1.2010000000000218</v>
      </c>
      <c r="DW216" s="55"/>
      <c r="DX216" s="55"/>
      <c r="DY216" s="55"/>
      <c r="DZ216" s="55"/>
      <c r="EA216" s="55"/>
      <c r="EB216" s="55"/>
      <c r="EC216" s="55"/>
      <c r="ED216" s="55"/>
      <c r="EE216" s="55"/>
      <c r="EF216" s="55"/>
      <c r="EG216" s="55"/>
      <c r="EH216" s="55"/>
      <c r="EI216" s="55"/>
      <c r="EJ216" s="55"/>
      <c r="EK216" s="55"/>
      <c r="EL216" s="55"/>
      <c r="EM216" s="55"/>
      <c r="EN216" s="55"/>
      <c r="EO216" s="55"/>
      <c r="EP216" s="55"/>
      <c r="EQ216" s="55"/>
      <c r="ER216" s="55"/>
      <c r="ES216" s="55"/>
      <c r="ET216" s="55"/>
      <c r="EU216" s="55"/>
      <c r="EV216" s="55"/>
      <c r="EW216" s="55"/>
      <c r="EX216" s="55"/>
      <c r="EY216" s="55"/>
      <c r="EZ216" s="55"/>
      <c r="FA216" s="55"/>
      <c r="FB216" s="55"/>
      <c r="FC216" s="55"/>
      <c r="FD216" s="55"/>
      <c r="FE216" s="55"/>
      <c r="FF216" s="55"/>
      <c r="FG216" s="55"/>
      <c r="FH216" s="55"/>
      <c r="FI216" s="55"/>
      <c r="FJ216" s="55"/>
      <c r="FK216" s="55"/>
      <c r="FL216" s="55"/>
      <c r="FM216" s="55"/>
      <c r="FN216" s="55"/>
      <c r="FO216" s="55"/>
      <c r="FP216" s="55"/>
      <c r="FQ216" s="55"/>
      <c r="FR216" s="55"/>
      <c r="FS216" s="55"/>
      <c r="FT216" s="55"/>
      <c r="FU216" s="55"/>
      <c r="FV216" s="55"/>
      <c r="FW216" s="55"/>
      <c r="FX216" s="55"/>
      <c r="FY216" s="55"/>
      <c r="FZ216" s="55"/>
      <c r="GA216" s="55"/>
      <c r="GB216" s="55"/>
      <c r="GC216" s="55"/>
      <c r="GD216" s="55"/>
      <c r="GE216" s="55"/>
      <c r="GF216" s="55"/>
      <c r="GG216" s="55"/>
      <c r="GH216" s="55"/>
      <c r="GI216" s="55"/>
      <c r="GJ216" s="55"/>
      <c r="GK216" s="55"/>
      <c r="GL216" s="55"/>
      <c r="GM216" s="55"/>
      <c r="GN216" s="55"/>
      <c r="GO216" s="55"/>
      <c r="GP216" s="55"/>
      <c r="GQ216" s="55"/>
      <c r="GR216" s="55"/>
      <c r="GS216" s="55"/>
      <c r="GT216" s="55"/>
      <c r="GU216" s="55"/>
      <c r="GV216" s="55"/>
      <c r="GW216" s="55"/>
      <c r="GX216" s="55"/>
      <c r="GY216" s="19">
        <v>0.96387023550553308</v>
      </c>
      <c r="GZ216" s="53">
        <v>1019.1</v>
      </c>
      <c r="HA216" s="53">
        <v>1057.3</v>
      </c>
      <c r="HB216" s="55"/>
      <c r="HC216" s="55"/>
      <c r="HD216" s="55"/>
      <c r="HE216" s="55"/>
      <c r="HF216" s="53">
        <v>995.7</v>
      </c>
      <c r="HG216" s="53">
        <v>960.9</v>
      </c>
      <c r="HH216" s="53">
        <v>364.8</v>
      </c>
      <c r="HI216" s="53">
        <v>127.4</v>
      </c>
      <c r="HJ216" s="53">
        <v>463.1</v>
      </c>
      <c r="HK216" s="53">
        <v>5.6</v>
      </c>
      <c r="HL216" s="53">
        <v>34.799999999999997</v>
      </c>
      <c r="HM216" s="55"/>
      <c r="HN216" s="55"/>
      <c r="HO216" s="55"/>
      <c r="HP216" s="53" t="e">
        <v>#VALUE!</v>
      </c>
      <c r="HQ216" s="53">
        <v>5</v>
      </c>
      <c r="HR216" s="53">
        <v>11.7</v>
      </c>
      <c r="HS216" s="53" t="e">
        <v>#VALUE!</v>
      </c>
      <c r="HT216" s="53" t="e">
        <v>#VALUE!</v>
      </c>
      <c r="HU216" s="55"/>
      <c r="HV216" s="55"/>
      <c r="HW216" s="53">
        <v>292.8</v>
      </c>
      <c r="HX216" s="53" t="e">
        <v>#VALUE!</v>
      </c>
      <c r="HY216" s="53">
        <v>292.8</v>
      </c>
      <c r="HZ216" s="53">
        <v>52.5</v>
      </c>
      <c r="IA216" s="53">
        <v>204.6</v>
      </c>
      <c r="IB216" s="53" t="e">
        <v>#VALUE!</v>
      </c>
      <c r="IC216" s="53" t="e">
        <v>#VALUE!</v>
      </c>
      <c r="ID216" s="53" t="e">
        <v>#VALUE!</v>
      </c>
      <c r="IE216" s="53" t="e">
        <v>#VALUE!</v>
      </c>
      <c r="IF216" s="53">
        <v>7.3</v>
      </c>
      <c r="IG216" s="53">
        <v>24.7</v>
      </c>
      <c r="IH216" s="55"/>
      <c r="II216" s="55"/>
      <c r="IJ216" s="55"/>
      <c r="IK216" s="55"/>
      <c r="IL216" s="55"/>
      <c r="IM216" s="55"/>
      <c r="IN216" s="53">
        <v>53.6</v>
      </c>
      <c r="IO216" s="53">
        <v>55.3</v>
      </c>
      <c r="IP216" s="53" t="e">
        <v>#VALUE!</v>
      </c>
      <c r="IQ216" s="53">
        <v>37.700000000000003</v>
      </c>
      <c r="IR216" s="53">
        <v>18.3</v>
      </c>
      <c r="IS216" s="53" t="e">
        <v>#VALUE!</v>
      </c>
      <c r="IT216" s="53">
        <v>17.899999999999999</v>
      </c>
      <c r="IU216" s="53" t="e">
        <v>#VALUE!</v>
      </c>
      <c r="IV216" s="53" t="e">
        <v>#VALUE!</v>
      </c>
      <c r="IY216" s="48">
        <f t="shared" si="11"/>
        <v>47.454836784064852</v>
      </c>
      <c r="IZ216" s="48">
        <f>IY216-'NOPA Crush'!J216</f>
        <v>-0.11516321593514789</v>
      </c>
      <c r="JB216" s="63">
        <f t="shared" si="9"/>
        <v>11.08328882465676</v>
      </c>
      <c r="JC216" s="64">
        <f>JB216-'NOPA Crush'!O216</f>
        <v>-6.6711175343240114E-2</v>
      </c>
      <c r="JD216" s="65"/>
      <c r="JE216" s="67">
        <f t="shared" si="10"/>
        <v>1978.1</v>
      </c>
      <c r="JF216" s="68">
        <f>'NOPA Crush'!Q216/'Census Crush'!JE216</f>
        <v>0.86138162883575142</v>
      </c>
    </row>
    <row r="217" spans="1:266">
      <c r="A217" s="39">
        <v>35643</v>
      </c>
      <c r="B217" s="51">
        <v>3113.2</v>
      </c>
      <c r="C217" s="51">
        <v>847.8</v>
      </c>
      <c r="D217" s="51">
        <v>244.4</v>
      </c>
      <c r="E217" s="51">
        <v>353.3</v>
      </c>
      <c r="F217" s="51">
        <v>15.2</v>
      </c>
      <c r="G217" s="51" t="s">
        <v>264</v>
      </c>
      <c r="H217" s="51" t="s">
        <v>264</v>
      </c>
      <c r="I217" s="51" t="s">
        <v>264</v>
      </c>
      <c r="J217" s="51" t="s">
        <v>264</v>
      </c>
      <c r="K217" s="51">
        <v>1141.3</v>
      </c>
      <c r="L217" s="49">
        <v>1699.8999999999999</v>
      </c>
      <c r="M217" s="51">
        <v>1492.8</v>
      </c>
      <c r="N217" s="51">
        <v>207.1</v>
      </c>
      <c r="O217" s="51">
        <v>80.599999999999994</v>
      </c>
      <c r="P217" s="51">
        <v>78</v>
      </c>
      <c r="Q217" s="51">
        <v>21.7</v>
      </c>
      <c r="R217" s="51">
        <v>56.3</v>
      </c>
      <c r="S217" s="51"/>
      <c r="T217" s="51">
        <v>12</v>
      </c>
      <c r="U217" s="51">
        <v>83</v>
      </c>
      <c r="V217" s="51">
        <v>77.5</v>
      </c>
      <c r="W217" s="51">
        <v>5.5</v>
      </c>
      <c r="X217" s="51" t="s">
        <v>264</v>
      </c>
      <c r="Y217" s="51">
        <v>3.6</v>
      </c>
      <c r="Z217" s="49">
        <v>59.199999999999996</v>
      </c>
      <c r="AA217" s="51">
        <v>51.9</v>
      </c>
      <c r="AB217" s="51">
        <v>7.3</v>
      </c>
      <c r="AC217" s="51" t="s">
        <v>264</v>
      </c>
      <c r="AD217" s="51">
        <v>31.7</v>
      </c>
      <c r="AE217" s="51"/>
      <c r="AF217" s="51">
        <v>59</v>
      </c>
      <c r="AG217" s="51">
        <v>38.6</v>
      </c>
      <c r="AH217" s="51">
        <v>20.399999999999999</v>
      </c>
      <c r="AI217" s="51">
        <v>180.6</v>
      </c>
      <c r="AJ217" s="51"/>
      <c r="AK217" s="51"/>
      <c r="AL217" s="51">
        <v>124.7</v>
      </c>
      <c r="AM217" s="51">
        <v>82.9</v>
      </c>
      <c r="AN217" s="51">
        <v>41.8</v>
      </c>
      <c r="AO217" s="51">
        <v>2291.8000000000002</v>
      </c>
      <c r="AP217" s="51">
        <v>222</v>
      </c>
      <c r="AQ217" s="51">
        <v>173.4</v>
      </c>
      <c r="AR217" s="51">
        <v>36.200000000000003</v>
      </c>
      <c r="AS217" s="51">
        <v>128.19999999999999</v>
      </c>
      <c r="AT217" s="51">
        <v>62.7</v>
      </c>
      <c r="AU217" s="51">
        <v>73.599999999999994</v>
      </c>
      <c r="AV217" s="51">
        <v>22.4</v>
      </c>
      <c r="AW217" s="51" t="s">
        <v>264</v>
      </c>
      <c r="AX217" s="51" t="s">
        <v>264</v>
      </c>
      <c r="AY217" s="51" t="s">
        <v>264</v>
      </c>
      <c r="AZ217" s="51" t="s">
        <v>264</v>
      </c>
      <c r="BA217" s="51" t="s">
        <v>264</v>
      </c>
      <c r="BB217" s="51" t="s">
        <v>264</v>
      </c>
      <c r="BC217" s="51"/>
      <c r="BD217" s="53">
        <v>123.6</v>
      </c>
      <c r="BE217" s="53">
        <v>50.6</v>
      </c>
      <c r="BF217" s="55"/>
      <c r="BG217" s="55"/>
      <c r="BH217" s="53">
        <v>291.3</v>
      </c>
      <c r="BI217" s="55"/>
      <c r="BJ217" s="55"/>
      <c r="BK217" s="53">
        <v>220.8</v>
      </c>
      <c r="BL217" s="53">
        <v>2.7</v>
      </c>
      <c r="BM217" s="53">
        <v>514.79999999999995</v>
      </c>
      <c r="BN217" s="53">
        <v>225.3</v>
      </c>
      <c r="BO217" s="55"/>
      <c r="BP217" s="55"/>
      <c r="BQ217" s="53">
        <v>134</v>
      </c>
      <c r="BR217" s="53">
        <v>4.3</v>
      </c>
      <c r="BS217" s="53">
        <v>363.6</v>
      </c>
      <c r="BT217" s="52" t="s">
        <v>264</v>
      </c>
      <c r="BU217" s="53">
        <v>21.5</v>
      </c>
      <c r="BV217" s="51">
        <v>347.5</v>
      </c>
      <c r="BW217" s="51">
        <v>106</v>
      </c>
      <c r="BX217" s="51">
        <v>458.8</v>
      </c>
      <c r="BY217" s="51">
        <v>55.6</v>
      </c>
      <c r="BZ217" s="51">
        <v>10.4</v>
      </c>
      <c r="CA217" s="49">
        <v>66</v>
      </c>
      <c r="CB217" s="55"/>
      <c r="CC217" s="55"/>
      <c r="CD217" s="55"/>
      <c r="CE217" s="55"/>
      <c r="CF217" s="53">
        <v>132.80000000000001</v>
      </c>
      <c r="CG217" s="53">
        <v>242.2</v>
      </c>
      <c r="CH217" s="53">
        <v>16.600000000000001</v>
      </c>
      <c r="CI217" s="55"/>
      <c r="CJ217" s="55"/>
      <c r="CK217" s="55"/>
      <c r="CL217" s="55"/>
      <c r="CM217" s="55"/>
      <c r="CN217" s="53">
        <v>41.6</v>
      </c>
      <c r="CO217" s="52">
        <v>154.30000000000001</v>
      </c>
      <c r="CP217" s="53">
        <v>91.8</v>
      </c>
      <c r="CQ217" s="53">
        <v>62.5</v>
      </c>
      <c r="CR217" s="52" t="s">
        <v>264</v>
      </c>
      <c r="CS217" s="52">
        <v>30.299999999999997</v>
      </c>
      <c r="CT217" s="52">
        <v>18.2</v>
      </c>
      <c r="CU217" s="52">
        <v>12.1</v>
      </c>
      <c r="CV217" s="52">
        <v>47.8</v>
      </c>
      <c r="CW217" s="53">
        <v>10.8</v>
      </c>
      <c r="CX217" s="53">
        <v>37</v>
      </c>
      <c r="CY217" s="53" t="s">
        <v>264</v>
      </c>
      <c r="CZ217" s="53">
        <v>61.5</v>
      </c>
      <c r="DA217" s="52">
        <v>40.5</v>
      </c>
      <c r="DB217" s="53">
        <v>40.200000000000003</v>
      </c>
      <c r="DC217" s="53">
        <v>0.3</v>
      </c>
      <c r="DD217" s="55"/>
      <c r="DE217" s="55"/>
      <c r="DF217" s="55"/>
      <c r="DG217" s="53">
        <v>114.102</v>
      </c>
      <c r="DH217" s="55"/>
      <c r="DI217" s="53">
        <v>452.11399999999998</v>
      </c>
      <c r="DJ217" s="53">
        <v>157.93600000000001</v>
      </c>
      <c r="DK217" s="55"/>
      <c r="DL217" s="53">
        <v>149.77099999999999</v>
      </c>
      <c r="DM217" s="53">
        <v>202.77799999999999</v>
      </c>
      <c r="DN217" s="55"/>
      <c r="DO217" s="55"/>
      <c r="DP217" s="53">
        <v>282.51</v>
      </c>
      <c r="DQ217" s="55"/>
      <c r="DR217" s="55"/>
      <c r="DS217" s="53">
        <v>838.85699999999997</v>
      </c>
      <c r="DT217" s="53">
        <v>3112.3119999999999</v>
      </c>
      <c r="DU217" s="53">
        <v>-1028.346</v>
      </c>
      <c r="DV217" s="53">
        <v>-0.88799999999991996</v>
      </c>
      <c r="DW217" s="55"/>
      <c r="DX217" s="55"/>
      <c r="DY217" s="55"/>
      <c r="DZ217" s="55"/>
      <c r="EA217" s="55"/>
      <c r="EB217" s="55"/>
      <c r="EC217" s="55"/>
      <c r="ED217" s="55"/>
      <c r="EE217" s="55"/>
      <c r="EF217" s="55"/>
      <c r="EG217" s="55"/>
      <c r="EH217" s="55"/>
      <c r="EI217" s="55"/>
      <c r="EJ217" s="55"/>
      <c r="EK217" s="55"/>
      <c r="EL217" s="55"/>
      <c r="EM217" s="55"/>
      <c r="EN217" s="55"/>
      <c r="EO217" s="55"/>
      <c r="EP217" s="55"/>
      <c r="EQ217" s="55"/>
      <c r="ER217" s="55"/>
      <c r="ES217" s="55"/>
      <c r="ET217" s="55"/>
      <c r="EU217" s="55"/>
      <c r="EV217" s="55"/>
      <c r="EW217" s="55"/>
      <c r="EX217" s="55"/>
      <c r="EY217" s="55"/>
      <c r="EZ217" s="55"/>
      <c r="FA217" s="55"/>
      <c r="FB217" s="55"/>
      <c r="FC217" s="55"/>
      <c r="FD217" s="55"/>
      <c r="FE217" s="55"/>
      <c r="FF217" s="55"/>
      <c r="FG217" s="55"/>
      <c r="FH217" s="55"/>
      <c r="FI217" s="55"/>
      <c r="FJ217" s="55"/>
      <c r="FK217" s="55"/>
      <c r="FL217" s="55"/>
      <c r="FM217" s="55"/>
      <c r="FN217" s="55"/>
      <c r="FO217" s="55"/>
      <c r="FP217" s="55"/>
      <c r="FQ217" s="55"/>
      <c r="FR217" s="55"/>
      <c r="FS217" s="55"/>
      <c r="FT217" s="55"/>
      <c r="FU217" s="55"/>
      <c r="FV217" s="55"/>
      <c r="FW217" s="55"/>
      <c r="FX217" s="55"/>
      <c r="FY217" s="55"/>
      <c r="FZ217" s="55"/>
      <c r="GA217" s="55"/>
      <c r="GB217" s="55"/>
      <c r="GC217" s="55"/>
      <c r="GD217" s="55"/>
      <c r="GE217" s="55"/>
      <c r="GF217" s="55"/>
      <c r="GG217" s="55"/>
      <c r="GH217" s="55"/>
      <c r="GI217" s="55"/>
      <c r="GJ217" s="55"/>
      <c r="GK217" s="55"/>
      <c r="GL217" s="55"/>
      <c r="GM217" s="55"/>
      <c r="GN217" s="55"/>
      <c r="GO217" s="55"/>
      <c r="GP217" s="55"/>
      <c r="GQ217" s="55"/>
      <c r="GR217" s="55"/>
      <c r="GS217" s="55"/>
      <c r="GT217" s="55"/>
      <c r="GU217" s="55"/>
      <c r="GV217" s="55"/>
      <c r="GW217" s="55"/>
      <c r="GX217" s="55"/>
      <c r="GY217" s="19">
        <v>0.95630516472952898</v>
      </c>
      <c r="GZ217" s="53">
        <v>1094.3</v>
      </c>
      <c r="HA217" s="53">
        <v>1144.3</v>
      </c>
      <c r="HB217" s="55"/>
      <c r="HC217" s="55"/>
      <c r="HD217" s="55"/>
      <c r="HE217" s="55"/>
      <c r="HF217" s="53">
        <v>1130.4000000000001</v>
      </c>
      <c r="HG217" s="53">
        <v>1097.2</v>
      </c>
      <c r="HH217" s="53">
        <v>415.3</v>
      </c>
      <c r="HI217" s="53">
        <v>132.6</v>
      </c>
      <c r="HJ217" s="53">
        <v>544.5</v>
      </c>
      <c r="HK217" s="53">
        <v>4.8</v>
      </c>
      <c r="HL217" s="53">
        <v>33.200000000000003</v>
      </c>
      <c r="HM217" s="55"/>
      <c r="HN217" s="55"/>
      <c r="HO217" s="55"/>
      <c r="HP217" s="53" t="e">
        <v>#VALUE!</v>
      </c>
      <c r="HQ217" s="53">
        <v>4.2</v>
      </c>
      <c r="HR217" s="53">
        <v>13.6</v>
      </c>
      <c r="HS217" s="53" t="e">
        <v>#VALUE!</v>
      </c>
      <c r="HT217" s="53" t="e">
        <v>#VALUE!</v>
      </c>
      <c r="HU217" s="55"/>
      <c r="HV217" s="55"/>
      <c r="HW217" s="53">
        <v>271.5</v>
      </c>
      <c r="HX217" s="53" t="e">
        <v>#VALUE!</v>
      </c>
      <c r="HY217" s="53">
        <v>271.5</v>
      </c>
      <c r="HZ217" s="53">
        <v>49.3</v>
      </c>
      <c r="IA217" s="53">
        <v>195.3</v>
      </c>
      <c r="IB217" s="53" t="e">
        <v>#VALUE!</v>
      </c>
      <c r="IC217" s="53" t="e">
        <v>#VALUE!</v>
      </c>
      <c r="ID217" s="53" t="e">
        <v>#VALUE!</v>
      </c>
      <c r="IE217" s="53" t="e">
        <v>#VALUE!</v>
      </c>
      <c r="IF217" s="53">
        <v>6.9</v>
      </c>
      <c r="IG217" s="53">
        <v>16.600000000000001</v>
      </c>
      <c r="IH217" s="55"/>
      <c r="II217" s="55"/>
      <c r="IJ217" s="55"/>
      <c r="IK217" s="55"/>
      <c r="IL217" s="55"/>
      <c r="IM217" s="55"/>
      <c r="IN217" s="53">
        <v>57.4</v>
      </c>
      <c r="IO217" s="53">
        <v>59</v>
      </c>
      <c r="IP217" s="53" t="e">
        <v>#VALUE!</v>
      </c>
      <c r="IQ217" s="53">
        <v>44.9</v>
      </c>
      <c r="IR217" s="53">
        <v>24.5</v>
      </c>
      <c r="IS217" s="53" t="e">
        <v>#VALUE!</v>
      </c>
      <c r="IT217" s="53">
        <v>18.899999999999999</v>
      </c>
      <c r="IU217" s="53" t="e">
        <v>#VALUE!</v>
      </c>
      <c r="IV217" s="53" t="e">
        <v>#VALUE!</v>
      </c>
      <c r="IY217" s="48">
        <f t="shared" si="11"/>
        <v>47.511242451496862</v>
      </c>
      <c r="IZ217" s="48">
        <f>IY217-'NOPA Crush'!J217</f>
        <v>0.15124245149686288</v>
      </c>
      <c r="JB217" s="63">
        <f t="shared" si="9"/>
        <v>10.998008480020557</v>
      </c>
      <c r="JC217" s="64">
        <f>JB217-'NOPA Crush'!O217</f>
        <v>-6.199151997944341E-2</v>
      </c>
      <c r="JD217" s="65"/>
      <c r="JE217" s="67">
        <f t="shared" si="10"/>
        <v>1699.8999999999999</v>
      </c>
      <c r="JF217" s="68">
        <f>'NOPA Crush'!Q217/'Census Crush'!JE217</f>
        <v>0.81548444026119182</v>
      </c>
    </row>
    <row r="218" spans="1:266">
      <c r="A218" s="39">
        <v>35674</v>
      </c>
      <c r="B218" s="51">
        <v>3324.3</v>
      </c>
      <c r="C218" s="51">
        <v>1110.7</v>
      </c>
      <c r="D218" s="51">
        <v>178.6</v>
      </c>
      <c r="E218" s="51">
        <v>340.3</v>
      </c>
      <c r="F218" s="51">
        <v>8.6</v>
      </c>
      <c r="G218" s="51" t="s">
        <v>264</v>
      </c>
      <c r="H218" s="51" t="s">
        <v>264</v>
      </c>
      <c r="I218" s="51" t="s">
        <v>264</v>
      </c>
      <c r="J218" s="51" t="s">
        <v>264</v>
      </c>
      <c r="K218" s="51">
        <v>1230.8</v>
      </c>
      <c r="L218" s="49">
        <v>1520.1</v>
      </c>
      <c r="M218" s="51">
        <v>1321.1</v>
      </c>
      <c r="N218" s="51">
        <v>199</v>
      </c>
      <c r="O218" s="51">
        <v>66</v>
      </c>
      <c r="P218" s="51">
        <v>66.400000000000006</v>
      </c>
      <c r="Q218" s="51">
        <v>22</v>
      </c>
      <c r="R218" s="51">
        <v>44.4</v>
      </c>
      <c r="S218" s="51"/>
      <c r="T218" s="51">
        <v>6.1</v>
      </c>
      <c r="U218" s="51">
        <v>74.599999999999994</v>
      </c>
      <c r="V218" s="51">
        <v>69</v>
      </c>
      <c r="W218" s="51">
        <v>5.6</v>
      </c>
      <c r="X218" s="51" t="s">
        <v>264</v>
      </c>
      <c r="Y218" s="51" t="s">
        <v>264</v>
      </c>
      <c r="Z218" s="49">
        <v>93.1</v>
      </c>
      <c r="AA218" s="51">
        <v>87</v>
      </c>
      <c r="AB218" s="51">
        <v>6.1</v>
      </c>
      <c r="AC218" s="51" t="s">
        <v>264</v>
      </c>
      <c r="AD218" s="51">
        <v>24.8</v>
      </c>
      <c r="AE218" s="51"/>
      <c r="AF218" s="51">
        <v>67.800000000000011</v>
      </c>
      <c r="AG218" s="51">
        <v>46.2</v>
      </c>
      <c r="AH218" s="51">
        <v>21.6</v>
      </c>
      <c r="AI218" s="51">
        <v>182.2</v>
      </c>
      <c r="AJ218" s="51"/>
      <c r="AK218" s="51"/>
      <c r="AL218" s="51">
        <v>128.79999999999998</v>
      </c>
      <c r="AM218" s="51">
        <v>101.1</v>
      </c>
      <c r="AN218" s="51">
        <v>27.7</v>
      </c>
      <c r="AO218" s="51">
        <v>2424.4</v>
      </c>
      <c r="AP218" s="51">
        <v>170.1</v>
      </c>
      <c r="AQ218" s="51">
        <v>186.6</v>
      </c>
      <c r="AR218" s="51">
        <v>39.4</v>
      </c>
      <c r="AS218" s="51">
        <v>92.1</v>
      </c>
      <c r="AT218" s="51">
        <v>26</v>
      </c>
      <c r="AU218" s="51">
        <v>62.4</v>
      </c>
      <c r="AV218" s="51">
        <v>20.5</v>
      </c>
      <c r="AW218" s="51" t="s">
        <v>264</v>
      </c>
      <c r="AX218" s="51" t="s">
        <v>264</v>
      </c>
      <c r="AY218" s="51" t="s">
        <v>264</v>
      </c>
      <c r="AZ218" s="51" t="s">
        <v>264</v>
      </c>
      <c r="BA218" s="51" t="s">
        <v>264</v>
      </c>
      <c r="BB218" s="51" t="s">
        <v>264</v>
      </c>
      <c r="BC218" s="51"/>
      <c r="BD218" s="53">
        <v>124.1</v>
      </c>
      <c r="BE218" s="53">
        <v>48</v>
      </c>
      <c r="BF218" s="55"/>
      <c r="BG218" s="55"/>
      <c r="BH218" s="53">
        <v>297.10000000000002</v>
      </c>
      <c r="BI218" s="55"/>
      <c r="BJ218" s="55"/>
      <c r="BK218" s="53">
        <v>234.5</v>
      </c>
      <c r="BL218" s="53">
        <v>2.7</v>
      </c>
      <c r="BM218" s="53">
        <v>534.29999999999995</v>
      </c>
      <c r="BN218" s="53">
        <v>220.2</v>
      </c>
      <c r="BO218" s="55"/>
      <c r="BP218" s="55"/>
      <c r="BQ218" s="53">
        <v>136.80000000000001</v>
      </c>
      <c r="BR218" s="53">
        <v>4.9000000000000004</v>
      </c>
      <c r="BS218" s="53">
        <v>361.9</v>
      </c>
      <c r="BT218" s="52" t="s">
        <v>264</v>
      </c>
      <c r="BU218" s="53">
        <v>19.899999999999999</v>
      </c>
      <c r="BV218" s="51">
        <v>353.9</v>
      </c>
      <c r="BW218" s="51">
        <v>96.6</v>
      </c>
      <c r="BX218" s="51">
        <v>455.8</v>
      </c>
      <c r="BY218" s="51">
        <v>51.9</v>
      </c>
      <c r="BZ218" s="51">
        <v>11</v>
      </c>
      <c r="CA218" s="49">
        <v>62.9</v>
      </c>
      <c r="CB218" s="55"/>
      <c r="CC218" s="55"/>
      <c r="CD218" s="55"/>
      <c r="CE218" s="55"/>
      <c r="CF218" s="53">
        <v>131.6</v>
      </c>
      <c r="CG218" s="53">
        <v>208.6</v>
      </c>
      <c r="CH218" s="53">
        <v>32.299999999999997</v>
      </c>
      <c r="CI218" s="55"/>
      <c r="CJ218" s="55"/>
      <c r="CK218" s="55"/>
      <c r="CL218" s="55"/>
      <c r="CM218" s="55"/>
      <c r="CN218" s="53">
        <v>17.3</v>
      </c>
      <c r="CO218" s="52">
        <v>149.6</v>
      </c>
      <c r="CP218" s="53">
        <v>99.6</v>
      </c>
      <c r="CQ218" s="53">
        <v>50</v>
      </c>
      <c r="CR218" s="52" t="s">
        <v>264</v>
      </c>
      <c r="CS218" s="52">
        <v>33.200000000000003</v>
      </c>
      <c r="CT218" s="52">
        <v>23.3</v>
      </c>
      <c r="CU218" s="52">
        <v>9.9</v>
      </c>
      <c r="CV218" s="52">
        <v>47.199999999999996</v>
      </c>
      <c r="CW218" s="53">
        <v>9.9</v>
      </c>
      <c r="CX218" s="53">
        <v>37.299999999999997</v>
      </c>
      <c r="CY218" s="53" t="s">
        <v>264</v>
      </c>
      <c r="CZ218" s="53">
        <v>50</v>
      </c>
      <c r="DA218" s="52">
        <v>27.400000000000002</v>
      </c>
      <c r="DB218" s="53">
        <v>26.3</v>
      </c>
      <c r="DC218" s="53">
        <v>1.1000000000000001</v>
      </c>
      <c r="DD218" s="55"/>
      <c r="DE218" s="55"/>
      <c r="DF218" s="55"/>
      <c r="DG218" s="53">
        <v>107.27200000000001</v>
      </c>
      <c r="DH218" s="55"/>
      <c r="DI218" s="53">
        <v>583.678</v>
      </c>
      <c r="DJ218" s="53">
        <v>256.36700000000002</v>
      </c>
      <c r="DK218" s="55"/>
      <c r="DL218" s="53">
        <v>92.620999999999995</v>
      </c>
      <c r="DM218" s="53">
        <v>262.59500000000003</v>
      </c>
      <c r="DN218" s="55"/>
      <c r="DO218" s="55"/>
      <c r="DP218" s="53">
        <v>275.71899999999999</v>
      </c>
      <c r="DQ218" s="55"/>
      <c r="DR218" s="55"/>
      <c r="DS218" s="53">
        <v>866.245</v>
      </c>
      <c r="DT218" s="53">
        <v>3298.9169999999999</v>
      </c>
      <c r="DU218" s="53">
        <v>-961.69200000000001</v>
      </c>
      <c r="DV218" s="53">
        <v>-25.383000000000266</v>
      </c>
      <c r="DW218" s="55"/>
      <c r="DX218" s="55"/>
      <c r="DY218" s="55"/>
      <c r="DZ218" s="55"/>
      <c r="EA218" s="55"/>
      <c r="EB218" s="55"/>
      <c r="EC218" s="55"/>
      <c r="ED218" s="55"/>
      <c r="EE218" s="55"/>
      <c r="EF218" s="55"/>
      <c r="EG218" s="55"/>
      <c r="EH218" s="55"/>
      <c r="EI218" s="55"/>
      <c r="EJ218" s="55"/>
      <c r="EK218" s="55"/>
      <c r="EL218" s="55"/>
      <c r="EM218" s="55"/>
      <c r="EN218" s="55"/>
      <c r="EO218" s="55"/>
      <c r="EP218" s="55"/>
      <c r="EQ218" s="55"/>
      <c r="ER218" s="55"/>
      <c r="ES218" s="55"/>
      <c r="ET218" s="55"/>
      <c r="EU218" s="55"/>
      <c r="EV218" s="55"/>
      <c r="EW218" s="55"/>
      <c r="EX218" s="55"/>
      <c r="EY218" s="55"/>
      <c r="EZ218" s="55"/>
      <c r="FA218" s="55"/>
      <c r="FB218" s="55"/>
      <c r="FC218" s="55"/>
      <c r="FD218" s="55"/>
      <c r="FE218" s="55"/>
      <c r="FF218" s="55"/>
      <c r="FG218" s="55"/>
      <c r="FH218" s="55"/>
      <c r="FI218" s="55"/>
      <c r="FJ218" s="55"/>
      <c r="FK218" s="55"/>
      <c r="FL218" s="55"/>
      <c r="FM218" s="55"/>
      <c r="FN218" s="55"/>
      <c r="FO218" s="55"/>
      <c r="FP218" s="55"/>
      <c r="FQ218" s="55"/>
      <c r="FR218" s="55"/>
      <c r="FS218" s="55"/>
      <c r="FT218" s="55"/>
      <c r="FU218" s="55"/>
      <c r="FV218" s="55"/>
      <c r="FW218" s="55"/>
      <c r="FX218" s="55"/>
      <c r="FY218" s="55"/>
      <c r="FZ218" s="55"/>
      <c r="GA218" s="55"/>
      <c r="GB218" s="55"/>
      <c r="GC218" s="55"/>
      <c r="GD218" s="55"/>
      <c r="GE218" s="55"/>
      <c r="GF218" s="55"/>
      <c r="GG218" s="55"/>
      <c r="GH218" s="55"/>
      <c r="GI218" s="55"/>
      <c r="GJ218" s="55"/>
      <c r="GK218" s="55"/>
      <c r="GL218" s="55"/>
      <c r="GM218" s="55"/>
      <c r="GN218" s="55"/>
      <c r="GO218" s="55"/>
      <c r="GP218" s="55"/>
      <c r="GQ218" s="55"/>
      <c r="GR218" s="55"/>
      <c r="GS218" s="55"/>
      <c r="GT218" s="55"/>
      <c r="GU218" s="55"/>
      <c r="GV218" s="55"/>
      <c r="GW218" s="55"/>
      <c r="GX218" s="55"/>
      <c r="GY218" s="19">
        <v>0.95921652803863711</v>
      </c>
      <c r="GZ218" s="53">
        <v>1072.5</v>
      </c>
      <c r="HA218" s="53">
        <v>1118.0999999999999</v>
      </c>
      <c r="HB218" s="55"/>
      <c r="HC218" s="55"/>
      <c r="HD218" s="55"/>
      <c r="HE218" s="55"/>
      <c r="HF218" s="53">
        <v>1072.0999999999999</v>
      </c>
      <c r="HG218" s="53">
        <v>1043.0999999999999</v>
      </c>
      <c r="HH218" s="53">
        <v>394</v>
      </c>
      <c r="HI218" s="53">
        <v>147.19999999999999</v>
      </c>
      <c r="HJ218" s="53">
        <v>496.4</v>
      </c>
      <c r="HK218" s="53">
        <v>5.5</v>
      </c>
      <c r="HL218" s="53">
        <v>29</v>
      </c>
      <c r="HM218" s="55"/>
      <c r="HN218" s="55"/>
      <c r="HO218" s="55"/>
      <c r="HP218" s="53" t="e">
        <v>#VALUE!</v>
      </c>
      <c r="HQ218" s="53">
        <v>3.3</v>
      </c>
      <c r="HR218" s="53">
        <v>10.3</v>
      </c>
      <c r="HS218" s="53" t="e">
        <v>#VALUE!</v>
      </c>
      <c r="HT218" s="53" t="e">
        <v>#VALUE!</v>
      </c>
      <c r="HU218" s="55"/>
      <c r="HV218" s="55"/>
      <c r="HW218" s="53">
        <v>297.5</v>
      </c>
      <c r="HX218" s="53" t="e">
        <v>#VALUE!</v>
      </c>
      <c r="HY218" s="53">
        <v>297.5</v>
      </c>
      <c r="HZ218" s="53">
        <v>53.6</v>
      </c>
      <c r="IA218" s="53">
        <v>210</v>
      </c>
      <c r="IB218" s="53" t="e">
        <v>#VALUE!</v>
      </c>
      <c r="IC218" s="53" t="e">
        <v>#VALUE!</v>
      </c>
      <c r="ID218" s="53" t="e">
        <v>#VALUE!</v>
      </c>
      <c r="IE218" s="53" t="e">
        <v>#VALUE!</v>
      </c>
      <c r="IF218" s="53">
        <v>6.8</v>
      </c>
      <c r="IG218" s="53">
        <v>22.9</v>
      </c>
      <c r="IH218" s="55"/>
      <c r="II218" s="55"/>
      <c r="IJ218" s="55"/>
      <c r="IK218" s="55"/>
      <c r="IL218" s="55"/>
      <c r="IM218" s="55"/>
      <c r="IN218" s="53">
        <v>38.1</v>
      </c>
      <c r="IO218" s="53">
        <v>39.200000000000003</v>
      </c>
      <c r="IP218" s="53" t="e">
        <v>#VALUE!</v>
      </c>
      <c r="IQ218" s="53">
        <v>36.5</v>
      </c>
      <c r="IR218" s="53">
        <v>20.6</v>
      </c>
      <c r="IS218" s="53" t="e">
        <v>#VALUE!</v>
      </c>
      <c r="IT218" s="53">
        <v>14.2</v>
      </c>
      <c r="IU218" s="53" t="e">
        <v>#VALUE!</v>
      </c>
      <c r="IV218" s="53" t="e">
        <v>#VALUE!</v>
      </c>
      <c r="IY218" s="48">
        <f t="shared" si="11"/>
        <v>47.125710675931771</v>
      </c>
      <c r="IZ218" s="48">
        <f>IY218-'NOPA Crush'!J218</f>
        <v>-3.4289324068225824E-2</v>
      </c>
      <c r="JB218" s="63">
        <f t="shared" si="9"/>
        <v>11.107300785127695</v>
      </c>
      <c r="JC218" s="64">
        <f>JB218-'NOPA Crush'!O218</f>
        <v>-7.2699214872304907E-2</v>
      </c>
      <c r="JD218" s="65"/>
      <c r="JE218" s="67">
        <f t="shared" si="10"/>
        <v>1520.1</v>
      </c>
      <c r="JF218" s="68">
        <f>'NOPA Crush'!Q218/'Census Crush'!JE218</f>
        <v>0.78331359778961906</v>
      </c>
    </row>
    <row r="219" spans="1:266">
      <c r="A219" s="39">
        <v>35704</v>
      </c>
      <c r="B219" s="51">
        <v>4266.3999999999996</v>
      </c>
      <c r="C219" s="51">
        <v>3792</v>
      </c>
      <c r="D219" s="51">
        <v>329.7</v>
      </c>
      <c r="E219" s="51">
        <v>1254.2</v>
      </c>
      <c r="F219" s="51">
        <v>16.399999999999999</v>
      </c>
      <c r="G219" s="51" t="s">
        <v>264</v>
      </c>
      <c r="H219" s="51" t="s">
        <v>264</v>
      </c>
      <c r="I219" s="51" t="s">
        <v>264</v>
      </c>
      <c r="J219" s="51" t="s">
        <v>264</v>
      </c>
      <c r="K219" s="51">
        <v>1590.6</v>
      </c>
      <c r="L219" s="49">
        <v>1525.6</v>
      </c>
      <c r="M219" s="51">
        <v>1307</v>
      </c>
      <c r="N219" s="51">
        <v>218.6</v>
      </c>
      <c r="O219" s="51">
        <v>97.8</v>
      </c>
      <c r="P219" s="51">
        <v>68.5</v>
      </c>
      <c r="Q219" s="51">
        <v>20</v>
      </c>
      <c r="R219" s="51">
        <v>48.5</v>
      </c>
      <c r="S219" s="51"/>
      <c r="T219" s="51">
        <v>12.2</v>
      </c>
      <c r="U219" s="51">
        <v>52.4</v>
      </c>
      <c r="V219" s="51">
        <v>48</v>
      </c>
      <c r="W219" s="51">
        <v>4.4000000000000004</v>
      </c>
      <c r="X219" s="51" t="s">
        <v>264</v>
      </c>
      <c r="Y219" s="51">
        <v>5.7</v>
      </c>
      <c r="Z219" s="49">
        <v>120.7</v>
      </c>
      <c r="AA219" s="51">
        <v>113.8</v>
      </c>
      <c r="AB219" s="51">
        <v>6.9</v>
      </c>
      <c r="AC219" s="51" t="s">
        <v>264</v>
      </c>
      <c r="AD219" s="51">
        <v>30.5</v>
      </c>
      <c r="AE219" s="51"/>
      <c r="AF219" s="51">
        <v>58.1</v>
      </c>
      <c r="AG219" s="51">
        <v>33.5</v>
      </c>
      <c r="AH219" s="51">
        <v>24.6</v>
      </c>
      <c r="AI219" s="51">
        <v>199.2</v>
      </c>
      <c r="AJ219" s="51"/>
      <c r="AK219" s="51"/>
      <c r="AL219" s="51">
        <v>132.5</v>
      </c>
      <c r="AM219" s="51">
        <v>100.3</v>
      </c>
      <c r="AN219" s="51">
        <v>32.200000000000003</v>
      </c>
      <c r="AO219" s="51">
        <v>3127.3</v>
      </c>
      <c r="AP219" s="51">
        <v>187.8</v>
      </c>
      <c r="AQ219" s="51">
        <v>216.7</v>
      </c>
      <c r="AR219" s="51">
        <v>44.3</v>
      </c>
      <c r="AS219" s="51">
        <v>147.80000000000001</v>
      </c>
      <c r="AT219" s="51">
        <v>24.4</v>
      </c>
      <c r="AU219" s="51">
        <v>87.4</v>
      </c>
      <c r="AV219" s="51">
        <v>19.100000000000001</v>
      </c>
      <c r="AW219" s="51" t="s">
        <v>264</v>
      </c>
      <c r="AX219" s="51" t="s">
        <v>264</v>
      </c>
      <c r="AY219" s="51" t="s">
        <v>264</v>
      </c>
      <c r="AZ219" s="51" t="s">
        <v>264</v>
      </c>
      <c r="BA219" s="51" t="s">
        <v>264</v>
      </c>
      <c r="BB219" s="51" t="s">
        <v>264</v>
      </c>
      <c r="BC219" s="51"/>
      <c r="BD219" s="53">
        <v>123.2</v>
      </c>
      <c r="BE219" s="53">
        <v>47.8</v>
      </c>
      <c r="BF219" s="55"/>
      <c r="BG219" s="55"/>
      <c r="BH219" s="53">
        <v>319.7</v>
      </c>
      <c r="BI219" s="55"/>
      <c r="BJ219" s="55"/>
      <c r="BK219" s="53">
        <v>249.3</v>
      </c>
      <c r="BL219" s="53">
        <v>2.8</v>
      </c>
      <c r="BM219" s="53">
        <v>571.79999999999995</v>
      </c>
      <c r="BN219" s="53">
        <v>227.9</v>
      </c>
      <c r="BO219" s="55"/>
      <c r="BP219" s="55"/>
      <c r="BQ219" s="53">
        <v>125.1</v>
      </c>
      <c r="BR219" s="53">
        <v>4.0999999999999996</v>
      </c>
      <c r="BS219" s="53">
        <v>357.1</v>
      </c>
      <c r="BT219" s="52" t="s">
        <v>264</v>
      </c>
      <c r="BU219" s="53">
        <v>21.3</v>
      </c>
      <c r="BV219" s="51">
        <v>383</v>
      </c>
      <c r="BW219" s="51">
        <v>106.4</v>
      </c>
      <c r="BX219" s="51">
        <v>494.6</v>
      </c>
      <c r="BY219" s="51">
        <v>61.9</v>
      </c>
      <c r="BZ219" s="51">
        <v>10.6</v>
      </c>
      <c r="CA219" s="49">
        <v>72.5</v>
      </c>
      <c r="CB219" s="55"/>
      <c r="CC219" s="55"/>
      <c r="CD219" s="55"/>
      <c r="CE219" s="55"/>
      <c r="CF219" s="53">
        <v>122.7</v>
      </c>
      <c r="CG219" s="53">
        <v>187.9</v>
      </c>
      <c r="CH219" s="53">
        <v>25.6</v>
      </c>
      <c r="CI219" s="55"/>
      <c r="CJ219" s="55"/>
      <c r="CK219" s="55"/>
      <c r="CL219" s="55"/>
      <c r="CM219" s="55"/>
      <c r="CN219" s="53">
        <v>34.700000000000003</v>
      </c>
      <c r="CO219" s="52">
        <v>162.10000000000002</v>
      </c>
      <c r="CP219" s="53">
        <v>102.9</v>
      </c>
      <c r="CQ219" s="53">
        <v>59.2</v>
      </c>
      <c r="CR219" s="52" t="s">
        <v>264</v>
      </c>
      <c r="CS219" s="52">
        <v>38.6</v>
      </c>
      <c r="CT219" s="52">
        <v>23</v>
      </c>
      <c r="CU219" s="52">
        <v>15.6</v>
      </c>
      <c r="CV219" s="52">
        <v>48.3</v>
      </c>
      <c r="CW219" s="53">
        <v>10.3</v>
      </c>
      <c r="CX219" s="53">
        <v>38</v>
      </c>
      <c r="CY219" s="53" t="s">
        <v>264</v>
      </c>
      <c r="CZ219" s="53">
        <v>48</v>
      </c>
      <c r="DA219" s="52">
        <v>37.9</v>
      </c>
      <c r="DB219" s="53">
        <v>36.5</v>
      </c>
      <c r="DC219" s="53">
        <v>1.4</v>
      </c>
      <c r="DD219" s="55"/>
      <c r="DE219" s="55"/>
      <c r="DF219" s="55"/>
      <c r="DG219" s="53">
        <v>148.14500000000001</v>
      </c>
      <c r="DH219" s="55"/>
      <c r="DI219" s="53">
        <v>735.81899999999996</v>
      </c>
      <c r="DJ219" s="53">
        <v>313.75400000000002</v>
      </c>
      <c r="DK219" s="55"/>
      <c r="DL219" s="53">
        <v>165.21199999999999</v>
      </c>
      <c r="DM219" s="53">
        <v>268.95</v>
      </c>
      <c r="DN219" s="55"/>
      <c r="DO219" s="53">
        <v>249.846</v>
      </c>
      <c r="DP219" s="53">
        <v>330.35399999999998</v>
      </c>
      <c r="DQ219" s="55"/>
      <c r="DR219" s="55"/>
      <c r="DS219" s="53">
        <v>1067.6859999999999</v>
      </c>
      <c r="DT219" s="53">
        <v>4213.1270000000004</v>
      </c>
      <c r="DU219" s="53">
        <v>-1081.5060000000003</v>
      </c>
      <c r="DV219" s="53">
        <v>-53.272999999999229</v>
      </c>
      <c r="DW219" s="55"/>
      <c r="DX219" s="55"/>
      <c r="DY219" s="55"/>
      <c r="DZ219" s="55"/>
      <c r="EA219" s="55"/>
      <c r="EB219" s="55"/>
      <c r="EC219" s="55"/>
      <c r="ED219" s="55"/>
      <c r="EE219" s="55"/>
      <c r="EF219" s="55"/>
      <c r="EG219" s="55"/>
      <c r="EH219" s="55"/>
      <c r="EI219" s="55"/>
      <c r="EJ219" s="55"/>
      <c r="EK219" s="55"/>
      <c r="EL219" s="55"/>
      <c r="EM219" s="55"/>
      <c r="EN219" s="55"/>
      <c r="EO219" s="55"/>
      <c r="EP219" s="55"/>
      <c r="EQ219" s="55"/>
      <c r="ER219" s="55"/>
      <c r="ES219" s="55"/>
      <c r="ET219" s="55"/>
      <c r="EU219" s="55"/>
      <c r="EV219" s="55"/>
      <c r="EW219" s="55"/>
      <c r="EX219" s="55"/>
      <c r="EY219" s="55"/>
      <c r="EZ219" s="55"/>
      <c r="FA219" s="55"/>
      <c r="FB219" s="55"/>
      <c r="FC219" s="55"/>
      <c r="FD219" s="55"/>
      <c r="FE219" s="55"/>
      <c r="FF219" s="55"/>
      <c r="FG219" s="55"/>
      <c r="FH219" s="55"/>
      <c r="FI219" s="55"/>
      <c r="FJ219" s="55"/>
      <c r="FK219" s="55"/>
      <c r="FL219" s="55"/>
      <c r="FM219" s="55"/>
      <c r="FN219" s="55"/>
      <c r="FO219" s="55"/>
      <c r="FP219" s="55"/>
      <c r="FQ219" s="55"/>
      <c r="FR219" s="55"/>
      <c r="FS219" s="55"/>
      <c r="FT219" s="55"/>
      <c r="FU219" s="55"/>
      <c r="FV219" s="55"/>
      <c r="FW219" s="55"/>
      <c r="FX219" s="55"/>
      <c r="FY219" s="55"/>
      <c r="FZ219" s="55"/>
      <c r="GA219" s="55"/>
      <c r="GB219" s="55"/>
      <c r="GC219" s="55"/>
      <c r="GD219" s="55"/>
      <c r="GE219" s="55"/>
      <c r="GF219" s="55"/>
      <c r="GG219" s="55"/>
      <c r="GH219" s="55"/>
      <c r="GI219" s="55"/>
      <c r="GJ219" s="55"/>
      <c r="GK219" s="55"/>
      <c r="GL219" s="55"/>
      <c r="GM219" s="55"/>
      <c r="GN219" s="55"/>
      <c r="GO219" s="55"/>
      <c r="GP219" s="55"/>
      <c r="GQ219" s="55"/>
      <c r="GR219" s="55"/>
      <c r="GS219" s="55"/>
      <c r="GT219" s="55"/>
      <c r="GU219" s="55"/>
      <c r="GV219" s="55"/>
      <c r="GW219" s="55"/>
      <c r="GX219" s="55"/>
      <c r="GY219" s="19">
        <v>0.96103151862464187</v>
      </c>
      <c r="GZ219" s="53">
        <v>1173.9000000000001</v>
      </c>
      <c r="HA219" s="53">
        <v>1221.5</v>
      </c>
      <c r="HB219" s="55"/>
      <c r="HC219" s="55"/>
      <c r="HD219" s="55"/>
      <c r="HE219" s="55"/>
      <c r="HF219" s="53">
        <v>1132.8</v>
      </c>
      <c r="HG219" s="53">
        <v>1099.4000000000001</v>
      </c>
      <c r="HH219" s="53">
        <v>419.8</v>
      </c>
      <c r="HI219" s="53">
        <v>156.6</v>
      </c>
      <c r="HJ219" s="53">
        <v>517.79999999999995</v>
      </c>
      <c r="HK219" s="53">
        <v>5.2</v>
      </c>
      <c r="HL219" s="53">
        <v>33.4</v>
      </c>
      <c r="HM219" s="55"/>
      <c r="HN219" s="55"/>
      <c r="HO219" s="55"/>
      <c r="HP219" s="53" t="e">
        <v>#VALUE!</v>
      </c>
      <c r="HQ219" s="53">
        <v>5.0999999999999996</v>
      </c>
      <c r="HR219" s="53">
        <v>11.8</v>
      </c>
      <c r="HS219" s="53" t="e">
        <v>#VALUE!</v>
      </c>
      <c r="HT219" s="53" t="e">
        <v>#VALUE!</v>
      </c>
      <c r="HU219" s="55"/>
      <c r="HV219" s="55"/>
      <c r="HW219" s="53">
        <v>322.39999999999998</v>
      </c>
      <c r="HX219" s="53" t="e">
        <v>#VALUE!</v>
      </c>
      <c r="HY219" s="53">
        <v>322.39999999999998</v>
      </c>
      <c r="HZ219" s="53">
        <v>55.4</v>
      </c>
      <c r="IA219" s="53">
        <v>230</v>
      </c>
      <c r="IB219" s="53" t="e">
        <v>#VALUE!</v>
      </c>
      <c r="IC219" s="53" t="e">
        <v>#VALUE!</v>
      </c>
      <c r="ID219" s="53" t="e">
        <v>#VALUE!</v>
      </c>
      <c r="IE219" s="53" t="e">
        <v>#VALUE!</v>
      </c>
      <c r="IF219" s="53">
        <v>8</v>
      </c>
      <c r="IG219" s="53">
        <v>24.5</v>
      </c>
      <c r="IH219" s="55"/>
      <c r="II219" s="55"/>
      <c r="IJ219" s="55"/>
      <c r="IK219" s="55"/>
      <c r="IL219" s="55"/>
      <c r="IM219" s="55"/>
      <c r="IN219" s="53">
        <v>48.3</v>
      </c>
      <c r="IO219" s="53">
        <v>49.8</v>
      </c>
      <c r="IP219" s="53" t="e">
        <v>#VALUE!</v>
      </c>
      <c r="IQ219" s="53">
        <v>35.299999999999997</v>
      </c>
      <c r="IR219" s="53">
        <v>19.8</v>
      </c>
      <c r="IS219" s="53" t="e">
        <v>#VALUE!</v>
      </c>
      <c r="IT219" s="53">
        <v>13.7</v>
      </c>
      <c r="IU219" s="53" t="e">
        <v>#VALUE!</v>
      </c>
      <c r="IV219" s="53" t="e">
        <v>#VALUE!</v>
      </c>
      <c r="IY219" s="48">
        <f t="shared" si="11"/>
        <v>47.027939246202898</v>
      </c>
      <c r="IZ219" s="48">
        <f>IY219-'NOPA Crush'!J219</f>
        <v>-0.13206075379709858</v>
      </c>
      <c r="JB219" s="63">
        <f t="shared" si="9"/>
        <v>11.184605287830491</v>
      </c>
      <c r="JC219" s="64">
        <f>JB219-'NOPA Crush'!O219</f>
        <v>-4.5394712169509077E-2</v>
      </c>
      <c r="JD219" s="65"/>
      <c r="JE219" s="67">
        <f t="shared" si="10"/>
        <v>1525.6</v>
      </c>
      <c r="JF219" s="68">
        <f>'NOPA Crush'!Q219/'Census Crush'!JE219</f>
        <v>0.82644336654431039</v>
      </c>
    </row>
    <row r="220" spans="1:266">
      <c r="A220" s="39">
        <v>35735</v>
      </c>
      <c r="B220" s="51">
        <v>4283.8</v>
      </c>
      <c r="C220" s="51">
        <v>3728.9</v>
      </c>
      <c r="D220" s="51">
        <v>374.5</v>
      </c>
      <c r="E220" s="51">
        <v>2275.6999999999998</v>
      </c>
      <c r="F220" s="51">
        <v>14</v>
      </c>
      <c r="G220" s="51" t="s">
        <v>264</v>
      </c>
      <c r="H220" s="51" t="s">
        <v>264</v>
      </c>
      <c r="I220" s="51" t="s">
        <v>264</v>
      </c>
      <c r="J220" s="51" t="s">
        <v>264</v>
      </c>
      <c r="K220" s="51">
        <v>1579.9</v>
      </c>
      <c r="L220" s="49">
        <v>1525.5</v>
      </c>
      <c r="M220" s="51">
        <v>1303.5999999999999</v>
      </c>
      <c r="N220" s="51">
        <v>221.9</v>
      </c>
      <c r="O220" s="51">
        <v>120.3</v>
      </c>
      <c r="P220" s="51">
        <v>86.4</v>
      </c>
      <c r="Q220" s="51">
        <v>23.9</v>
      </c>
      <c r="R220" s="51">
        <v>62.5</v>
      </c>
      <c r="S220" s="51"/>
      <c r="T220" s="51">
        <v>11.6</v>
      </c>
      <c r="U220" s="51">
        <v>41.9</v>
      </c>
      <c r="V220" s="51">
        <v>38.4</v>
      </c>
      <c r="W220" s="51">
        <v>3.5</v>
      </c>
      <c r="X220" s="51" t="s">
        <v>264</v>
      </c>
      <c r="Y220" s="51" t="s">
        <v>264</v>
      </c>
      <c r="Z220" s="49">
        <v>140.19999999999999</v>
      </c>
      <c r="AA220" s="51">
        <v>135.69999999999999</v>
      </c>
      <c r="AB220" s="51">
        <v>4.5</v>
      </c>
      <c r="AC220" s="51" t="s">
        <v>264</v>
      </c>
      <c r="AD220" s="51">
        <v>23.5</v>
      </c>
      <c r="AE220" s="51"/>
      <c r="AF220" s="51">
        <v>64.599999999999994</v>
      </c>
      <c r="AG220" s="51">
        <v>47.1</v>
      </c>
      <c r="AH220" s="51">
        <v>17.5</v>
      </c>
      <c r="AI220" s="51">
        <v>207.5</v>
      </c>
      <c r="AJ220" s="51"/>
      <c r="AK220" s="51"/>
      <c r="AL220" s="51">
        <v>126.80000000000001</v>
      </c>
      <c r="AM220" s="51">
        <v>104.9</v>
      </c>
      <c r="AN220" s="51">
        <v>21.9</v>
      </c>
      <c r="AO220" s="51">
        <v>3155.7</v>
      </c>
      <c r="AP220" s="51">
        <v>354.2</v>
      </c>
      <c r="AQ220" s="51">
        <v>234.9</v>
      </c>
      <c r="AR220" s="51">
        <v>58</v>
      </c>
      <c r="AS220" s="51">
        <v>168.7</v>
      </c>
      <c r="AT220" s="51">
        <v>42</v>
      </c>
      <c r="AU220" s="51">
        <v>103.8</v>
      </c>
      <c r="AV220" s="51">
        <v>34.9</v>
      </c>
      <c r="AW220" s="51" t="s">
        <v>264</v>
      </c>
      <c r="AX220" s="51" t="s">
        <v>264</v>
      </c>
      <c r="AY220" s="51" t="s">
        <v>264</v>
      </c>
      <c r="AZ220" s="51" t="s">
        <v>264</v>
      </c>
      <c r="BA220" s="51" t="s">
        <v>264</v>
      </c>
      <c r="BB220" s="51" t="s">
        <v>264</v>
      </c>
      <c r="BC220" s="51"/>
      <c r="BD220" s="53">
        <v>118.7</v>
      </c>
      <c r="BE220" s="53">
        <v>50.2</v>
      </c>
      <c r="BF220" s="55"/>
      <c r="BG220" s="55"/>
      <c r="BH220" s="53">
        <v>292.39999999999998</v>
      </c>
      <c r="BI220" s="55"/>
      <c r="BJ220" s="55"/>
      <c r="BK220" s="53">
        <v>216.4</v>
      </c>
      <c r="BL220" s="53">
        <v>2.7</v>
      </c>
      <c r="BM220" s="53">
        <v>511.5</v>
      </c>
      <c r="BN220" s="53">
        <v>212.3</v>
      </c>
      <c r="BO220" s="55"/>
      <c r="BP220" s="55"/>
      <c r="BQ220" s="53">
        <v>125.8</v>
      </c>
      <c r="BR220" s="53">
        <v>4.2</v>
      </c>
      <c r="BS220" s="53">
        <v>342.3</v>
      </c>
      <c r="BT220" s="52" t="s">
        <v>264</v>
      </c>
      <c r="BU220" s="53">
        <v>19.7</v>
      </c>
      <c r="BV220" s="51">
        <v>369.3</v>
      </c>
      <c r="BW220" s="51">
        <v>98.7</v>
      </c>
      <c r="BX220" s="51">
        <v>472.6</v>
      </c>
      <c r="BY220" s="51">
        <v>64</v>
      </c>
      <c r="BZ220" s="51">
        <v>12.6</v>
      </c>
      <c r="CA220" s="49">
        <v>76.599999999999994</v>
      </c>
      <c r="CB220" s="55"/>
      <c r="CC220" s="55"/>
      <c r="CD220" s="55"/>
      <c r="CE220" s="55"/>
      <c r="CF220" s="53">
        <v>115</v>
      </c>
      <c r="CG220" s="53">
        <v>209.7</v>
      </c>
      <c r="CH220" s="53">
        <v>34.9</v>
      </c>
      <c r="CI220" s="55"/>
      <c r="CJ220" s="55"/>
      <c r="CK220" s="55"/>
      <c r="CL220" s="55"/>
      <c r="CM220" s="55"/>
      <c r="CN220" s="53">
        <v>40.1</v>
      </c>
      <c r="CO220" s="52">
        <v>194.2</v>
      </c>
      <c r="CP220" s="53">
        <v>144</v>
      </c>
      <c r="CQ220" s="53">
        <v>50.2</v>
      </c>
      <c r="CR220" s="52" t="s">
        <v>264</v>
      </c>
      <c r="CS220" s="52">
        <v>40.299999999999997</v>
      </c>
      <c r="CT220" s="52">
        <v>24.6</v>
      </c>
      <c r="CU220" s="52">
        <v>15.7</v>
      </c>
      <c r="CV220" s="52">
        <v>43.9</v>
      </c>
      <c r="CW220" s="53">
        <v>10.1</v>
      </c>
      <c r="CX220" s="53">
        <v>33.799999999999997</v>
      </c>
      <c r="CY220" s="53" t="s">
        <v>264</v>
      </c>
      <c r="CZ220" s="53">
        <v>53.1</v>
      </c>
      <c r="DA220" s="52">
        <v>35.200000000000003</v>
      </c>
      <c r="DB220" s="53">
        <v>33.6</v>
      </c>
      <c r="DC220" s="53">
        <v>1.6</v>
      </c>
      <c r="DD220" s="55"/>
      <c r="DE220" s="55"/>
      <c r="DF220" s="55"/>
      <c r="DG220" s="53">
        <v>147.001</v>
      </c>
      <c r="DH220" s="55"/>
      <c r="DI220" s="53">
        <v>735.21199999999999</v>
      </c>
      <c r="DJ220" s="53">
        <v>340.08600000000001</v>
      </c>
      <c r="DK220" s="55"/>
      <c r="DL220" s="53">
        <v>179.85300000000001</v>
      </c>
      <c r="DM220" s="53">
        <v>261.29899999999998</v>
      </c>
      <c r="DN220" s="55"/>
      <c r="DO220" s="53">
        <v>254.99</v>
      </c>
      <c r="DP220" s="53">
        <v>310.39800000000002</v>
      </c>
      <c r="DQ220" s="55"/>
      <c r="DR220" s="55"/>
      <c r="DS220" s="53">
        <v>1066.5070000000001</v>
      </c>
      <c r="DT220" s="53">
        <v>4267.808</v>
      </c>
      <c r="DU220" s="53">
        <v>-1119.4629999999997</v>
      </c>
      <c r="DV220" s="53">
        <v>-15.992000000000189</v>
      </c>
      <c r="DW220" s="55"/>
      <c r="DX220" s="55"/>
      <c r="DY220" s="55"/>
      <c r="DZ220" s="55"/>
      <c r="EA220" s="55"/>
      <c r="EB220" s="55"/>
      <c r="EC220" s="55"/>
      <c r="ED220" s="55"/>
      <c r="EE220" s="55"/>
      <c r="EF220" s="55"/>
      <c r="EG220" s="55"/>
      <c r="EH220" s="55"/>
      <c r="EI220" s="55"/>
      <c r="EJ220" s="55"/>
      <c r="EK220" s="55"/>
      <c r="EL220" s="55"/>
      <c r="EM220" s="55"/>
      <c r="EN220" s="55"/>
      <c r="EO220" s="55"/>
      <c r="EP220" s="55"/>
      <c r="EQ220" s="55"/>
      <c r="ER220" s="55"/>
      <c r="ES220" s="55"/>
      <c r="ET220" s="55"/>
      <c r="EU220" s="55"/>
      <c r="EV220" s="55"/>
      <c r="EW220" s="55"/>
      <c r="EX220" s="55"/>
      <c r="EY220" s="55"/>
      <c r="EZ220" s="55"/>
      <c r="FA220" s="55"/>
      <c r="FB220" s="55"/>
      <c r="FC220" s="55"/>
      <c r="FD220" s="55"/>
      <c r="FE220" s="55"/>
      <c r="FF220" s="55"/>
      <c r="FG220" s="55"/>
      <c r="FH220" s="55"/>
      <c r="FI220" s="55"/>
      <c r="FJ220" s="55"/>
      <c r="FK220" s="55"/>
      <c r="FL220" s="55"/>
      <c r="FM220" s="55"/>
      <c r="FN220" s="55"/>
      <c r="FO220" s="55"/>
      <c r="FP220" s="55"/>
      <c r="FQ220" s="55"/>
      <c r="FR220" s="55"/>
      <c r="FS220" s="55"/>
      <c r="FT220" s="55"/>
      <c r="FU220" s="55"/>
      <c r="FV220" s="55"/>
      <c r="FW220" s="55"/>
      <c r="FX220" s="55"/>
      <c r="FY220" s="55"/>
      <c r="FZ220" s="55"/>
      <c r="GA220" s="55"/>
      <c r="GB220" s="55"/>
      <c r="GC220" s="55"/>
      <c r="GD220" s="55"/>
      <c r="GE220" s="55"/>
      <c r="GF220" s="55"/>
      <c r="GG220" s="55"/>
      <c r="GH220" s="55"/>
      <c r="GI220" s="55"/>
      <c r="GJ220" s="55"/>
      <c r="GK220" s="55"/>
      <c r="GL220" s="55"/>
      <c r="GM220" s="55"/>
      <c r="GN220" s="55"/>
      <c r="GO220" s="55"/>
      <c r="GP220" s="55"/>
      <c r="GQ220" s="55"/>
      <c r="GR220" s="55"/>
      <c r="GS220" s="55"/>
      <c r="GT220" s="55"/>
      <c r="GU220" s="55"/>
      <c r="GV220" s="55"/>
      <c r="GW220" s="55"/>
      <c r="GX220" s="55"/>
      <c r="GY220" s="19">
        <v>0.96470882696479232</v>
      </c>
      <c r="GZ220" s="53">
        <v>1156.3</v>
      </c>
      <c r="HA220" s="53">
        <v>1198.5999999999999</v>
      </c>
      <c r="HB220" s="55"/>
      <c r="HC220" s="55"/>
      <c r="HD220" s="55"/>
      <c r="HE220" s="55"/>
      <c r="HF220" s="53">
        <v>1104.3</v>
      </c>
      <c r="HG220" s="53">
        <v>1071.5999999999999</v>
      </c>
      <c r="HH220" s="53">
        <v>377.2</v>
      </c>
      <c r="HI220" s="53">
        <v>141.9</v>
      </c>
      <c r="HJ220" s="53">
        <v>547.9</v>
      </c>
      <c r="HK220" s="53">
        <v>4.5999999999999996</v>
      </c>
      <c r="HL220" s="53">
        <v>32.700000000000003</v>
      </c>
      <c r="HM220" s="55"/>
      <c r="HN220" s="55"/>
      <c r="HO220" s="55"/>
      <c r="HP220" s="53" t="e">
        <v>#VALUE!</v>
      </c>
      <c r="HQ220" s="53">
        <v>3.6</v>
      </c>
      <c r="HR220" s="53">
        <v>9.9</v>
      </c>
      <c r="HS220" s="53" t="e">
        <v>#VALUE!</v>
      </c>
      <c r="HT220" s="53" t="e">
        <v>#VALUE!</v>
      </c>
      <c r="HU220" s="55"/>
      <c r="HV220" s="55"/>
      <c r="HW220" s="53">
        <v>270.89999999999998</v>
      </c>
      <c r="HX220" s="53" t="e">
        <v>#VALUE!</v>
      </c>
      <c r="HY220" s="53">
        <v>270.89999999999998</v>
      </c>
      <c r="HZ220" s="53">
        <v>51.6</v>
      </c>
      <c r="IA220" s="53">
        <v>191</v>
      </c>
      <c r="IB220" s="53" t="e">
        <v>#VALUE!</v>
      </c>
      <c r="IC220" s="53" t="e">
        <v>#VALUE!</v>
      </c>
      <c r="ID220" s="53" t="e">
        <v>#VALUE!</v>
      </c>
      <c r="IE220" s="53" t="e">
        <v>#VALUE!</v>
      </c>
      <c r="IF220" s="53">
        <v>6.4</v>
      </c>
      <c r="IG220" s="53">
        <v>17.600000000000001</v>
      </c>
      <c r="IH220" s="55"/>
      <c r="II220" s="55"/>
      <c r="IJ220" s="55"/>
      <c r="IK220" s="55"/>
      <c r="IL220" s="55"/>
      <c r="IM220" s="55"/>
      <c r="IN220" s="53">
        <v>71</v>
      </c>
      <c r="IO220" s="53">
        <v>73.099999999999994</v>
      </c>
      <c r="IP220" s="53" t="e">
        <v>#VALUE!</v>
      </c>
      <c r="IQ220" s="53">
        <v>37.4</v>
      </c>
      <c r="IR220" s="53">
        <v>18.600000000000001</v>
      </c>
      <c r="IS220" s="53" t="e">
        <v>#VALUE!</v>
      </c>
      <c r="IT220" s="53">
        <v>17.3</v>
      </c>
      <c r="IU220" s="53" t="e">
        <v>#VALUE!</v>
      </c>
      <c r="IV220" s="53" t="e">
        <v>#VALUE!</v>
      </c>
      <c r="IY220" s="48">
        <f t="shared" si="11"/>
        <v>47.489612026705252</v>
      </c>
      <c r="IZ220" s="48">
        <f>IY220-'NOPA Crush'!J220</f>
        <v>0.14961202670524898</v>
      </c>
      <c r="JB220" s="63">
        <f t="shared" si="9"/>
        <v>11.064242028105886</v>
      </c>
      <c r="JC220" s="64">
        <f>JB220-'NOPA Crush'!O220</f>
        <v>-4.575797189411368E-2</v>
      </c>
      <c r="JD220" s="65"/>
      <c r="JE220" s="67">
        <f t="shared" si="10"/>
        <v>1525.5</v>
      </c>
      <c r="JF220" s="68">
        <f>'NOPA Crush'!Q220/'Census Crush'!JE220</f>
        <v>0.79727433628318578</v>
      </c>
    </row>
    <row r="221" spans="1:266">
      <c r="A221" s="39">
        <v>35765</v>
      </c>
      <c r="B221" s="51">
        <v>4591.8</v>
      </c>
      <c r="C221" s="51">
        <v>3308.1</v>
      </c>
      <c r="D221" s="51">
        <v>381.3</v>
      </c>
      <c r="E221" s="51">
        <v>2470.6</v>
      </c>
      <c r="F221" s="51">
        <v>17.2</v>
      </c>
      <c r="G221" s="51" t="s">
        <v>264</v>
      </c>
      <c r="H221" s="51" t="s">
        <v>264</v>
      </c>
      <c r="I221" s="51" t="s">
        <v>264</v>
      </c>
      <c r="J221" s="51" t="s">
        <v>264</v>
      </c>
      <c r="K221" s="51">
        <v>1689.3</v>
      </c>
      <c r="L221" s="49">
        <v>1679.6</v>
      </c>
      <c r="M221" s="51">
        <v>1439.8</v>
      </c>
      <c r="N221" s="51">
        <v>239.8</v>
      </c>
      <c r="O221" s="51">
        <v>119.6</v>
      </c>
      <c r="P221" s="51">
        <v>105.30000000000001</v>
      </c>
      <c r="Q221" s="51">
        <v>25.1</v>
      </c>
      <c r="R221" s="51">
        <v>80.2</v>
      </c>
      <c r="S221" s="51"/>
      <c r="T221" s="51">
        <v>14</v>
      </c>
      <c r="U221" s="51">
        <v>45.6</v>
      </c>
      <c r="V221" s="51">
        <v>42.6</v>
      </c>
      <c r="W221" s="51">
        <v>3</v>
      </c>
      <c r="X221" s="51" t="s">
        <v>264</v>
      </c>
      <c r="Y221" s="51" t="s">
        <v>264</v>
      </c>
      <c r="Z221" s="49">
        <v>33.299999999999997</v>
      </c>
      <c r="AA221" s="51">
        <v>31.5</v>
      </c>
      <c r="AB221" s="51">
        <v>1.8</v>
      </c>
      <c r="AC221" s="51" t="s">
        <v>264</v>
      </c>
      <c r="AD221" s="51">
        <v>21.6</v>
      </c>
      <c r="AE221" s="51"/>
      <c r="AF221" s="51">
        <v>65.2</v>
      </c>
      <c r="AG221" s="51">
        <v>44.2</v>
      </c>
      <c r="AH221" s="51">
        <v>21</v>
      </c>
      <c r="AI221" s="51">
        <v>202</v>
      </c>
      <c r="AJ221" s="51"/>
      <c r="AK221" s="51"/>
      <c r="AL221" s="51">
        <v>204.9</v>
      </c>
      <c r="AM221" s="51">
        <v>119.5</v>
      </c>
      <c r="AN221" s="51">
        <v>85.4</v>
      </c>
      <c r="AO221" s="51">
        <v>3382.5</v>
      </c>
      <c r="AP221" s="51">
        <v>223.5</v>
      </c>
      <c r="AQ221" s="51">
        <v>241.7</v>
      </c>
      <c r="AR221" s="51">
        <v>38.5</v>
      </c>
      <c r="AS221" s="51">
        <v>178.2</v>
      </c>
      <c r="AT221" s="51">
        <v>37.299999999999997</v>
      </c>
      <c r="AU221" s="51">
        <v>105</v>
      </c>
      <c r="AV221" s="51">
        <v>37.799999999999997</v>
      </c>
      <c r="AW221" s="51" t="s">
        <v>264</v>
      </c>
      <c r="AX221" s="51" t="s">
        <v>264</v>
      </c>
      <c r="AY221" s="51" t="s">
        <v>264</v>
      </c>
      <c r="AZ221" s="51" t="s">
        <v>264</v>
      </c>
      <c r="BA221" s="51" t="s">
        <v>264</v>
      </c>
      <c r="BB221" s="51" t="s">
        <v>264</v>
      </c>
      <c r="BC221" s="51"/>
      <c r="BD221" s="53">
        <v>123.9</v>
      </c>
      <c r="BE221" s="53">
        <v>51.8</v>
      </c>
      <c r="BF221" s="55"/>
      <c r="BG221" s="55"/>
      <c r="BH221" s="53">
        <v>297.3</v>
      </c>
      <c r="BI221" s="55"/>
      <c r="BJ221" s="55"/>
      <c r="BK221" s="53">
        <v>246.3</v>
      </c>
      <c r="BL221" s="53">
        <v>2.8</v>
      </c>
      <c r="BM221" s="53">
        <v>546.4</v>
      </c>
      <c r="BN221" s="53">
        <v>221.4</v>
      </c>
      <c r="BO221" s="55"/>
      <c r="BP221" s="55"/>
      <c r="BQ221" s="53">
        <v>113.6</v>
      </c>
      <c r="BR221" s="53">
        <v>4.0999999999999996</v>
      </c>
      <c r="BS221" s="53">
        <v>339.1</v>
      </c>
      <c r="BT221" s="52" t="s">
        <v>264</v>
      </c>
      <c r="BU221" s="53">
        <v>27.1</v>
      </c>
      <c r="BV221" s="51">
        <v>388.7</v>
      </c>
      <c r="BW221" s="51">
        <v>105.3</v>
      </c>
      <c r="BX221" s="51">
        <v>498.7</v>
      </c>
      <c r="BY221" s="51">
        <v>53.2</v>
      </c>
      <c r="BZ221" s="51">
        <v>12.7</v>
      </c>
      <c r="CA221" s="49">
        <v>65.900000000000006</v>
      </c>
      <c r="CB221" s="55"/>
      <c r="CC221" s="55"/>
      <c r="CD221" s="55"/>
      <c r="CE221" s="55"/>
      <c r="CF221" s="53">
        <v>135.4</v>
      </c>
      <c r="CG221" s="53">
        <v>293.60000000000002</v>
      </c>
      <c r="CH221" s="53">
        <v>31.6</v>
      </c>
      <c r="CI221" s="55"/>
      <c r="CJ221" s="55"/>
      <c r="CK221" s="55"/>
      <c r="CL221" s="55"/>
      <c r="CM221" s="55"/>
      <c r="CN221" s="53">
        <v>38.5</v>
      </c>
      <c r="CO221" s="52">
        <v>274.2</v>
      </c>
      <c r="CP221" s="53">
        <v>221.9</v>
      </c>
      <c r="CQ221" s="53">
        <v>52.3</v>
      </c>
      <c r="CR221" s="52" t="s">
        <v>264</v>
      </c>
      <c r="CS221" s="52">
        <v>40.9</v>
      </c>
      <c r="CT221" s="52">
        <v>23.7</v>
      </c>
      <c r="CU221" s="52">
        <v>17.2</v>
      </c>
      <c r="CV221" s="52">
        <v>64.099999999999994</v>
      </c>
      <c r="CW221" s="53">
        <v>12.7</v>
      </c>
      <c r="CX221" s="53">
        <v>51.4</v>
      </c>
      <c r="CY221" s="53" t="s">
        <v>264</v>
      </c>
      <c r="CZ221" s="53">
        <v>61.3</v>
      </c>
      <c r="DA221" s="52">
        <v>33.299999999999997</v>
      </c>
      <c r="DB221" s="53">
        <v>31.5</v>
      </c>
      <c r="DC221" s="53">
        <v>1.8</v>
      </c>
      <c r="DD221" s="55"/>
      <c r="DE221" s="55"/>
      <c r="DF221" s="55"/>
      <c r="DG221" s="53">
        <v>161.905</v>
      </c>
      <c r="DH221" s="55"/>
      <c r="DI221" s="53">
        <v>811.19200000000001</v>
      </c>
      <c r="DJ221" s="53">
        <v>372.96</v>
      </c>
      <c r="DK221" s="55"/>
      <c r="DL221" s="53">
        <v>190.93</v>
      </c>
      <c r="DM221" s="53">
        <v>281.65499999999997</v>
      </c>
      <c r="DN221" s="55"/>
      <c r="DO221" s="53">
        <v>268.87700000000001</v>
      </c>
      <c r="DP221" s="53">
        <v>326.51299999999998</v>
      </c>
      <c r="DQ221" s="55"/>
      <c r="DR221" s="55"/>
      <c r="DS221" s="53">
        <v>1140.2760000000001</v>
      </c>
      <c r="DT221" s="53">
        <v>4591.8</v>
      </c>
      <c r="DU221" s="53">
        <v>-1199.3969999999999</v>
      </c>
      <c r="DV221" s="53">
        <v>0</v>
      </c>
      <c r="DW221" s="55"/>
      <c r="DX221" s="55"/>
      <c r="DY221" s="55"/>
      <c r="DZ221" s="55"/>
      <c r="EA221" s="55"/>
      <c r="EB221" s="55"/>
      <c r="EC221" s="55"/>
      <c r="ED221" s="55"/>
      <c r="EE221" s="55"/>
      <c r="EF221" s="55"/>
      <c r="EG221" s="55"/>
      <c r="EH221" s="55"/>
      <c r="EI221" s="55"/>
      <c r="EJ221" s="55"/>
      <c r="EK221" s="55"/>
      <c r="EL221" s="55"/>
      <c r="EM221" s="55"/>
      <c r="EN221" s="55"/>
      <c r="EO221" s="55"/>
      <c r="EP221" s="55"/>
      <c r="EQ221" s="55"/>
      <c r="ER221" s="55"/>
      <c r="ES221" s="55"/>
      <c r="ET221" s="55"/>
      <c r="EU221" s="55"/>
      <c r="EV221" s="55"/>
      <c r="EW221" s="55"/>
      <c r="EX221" s="55"/>
      <c r="EY221" s="55"/>
      <c r="EZ221" s="55"/>
      <c r="FA221" s="55"/>
      <c r="FB221" s="55"/>
      <c r="FC221" s="55"/>
      <c r="FD221" s="55"/>
      <c r="FE221" s="55"/>
      <c r="FF221" s="55"/>
      <c r="FG221" s="55"/>
      <c r="FH221" s="55"/>
      <c r="FI221" s="55"/>
      <c r="FJ221" s="55"/>
      <c r="FK221" s="55"/>
      <c r="FL221" s="55"/>
      <c r="FM221" s="55"/>
      <c r="FN221" s="55"/>
      <c r="FO221" s="55"/>
      <c r="FP221" s="55"/>
      <c r="FQ221" s="55"/>
      <c r="FR221" s="55"/>
      <c r="FS221" s="55"/>
      <c r="FT221" s="55"/>
      <c r="FU221" s="55"/>
      <c r="FV221" s="55"/>
      <c r="FW221" s="55"/>
      <c r="FX221" s="55"/>
      <c r="FY221" s="55"/>
      <c r="FZ221" s="55"/>
      <c r="GA221" s="55"/>
      <c r="GB221" s="55"/>
      <c r="GC221" s="55"/>
      <c r="GD221" s="55"/>
      <c r="GE221" s="55"/>
      <c r="GF221" s="55"/>
      <c r="GG221" s="55"/>
      <c r="GH221" s="55"/>
      <c r="GI221" s="55"/>
      <c r="GJ221" s="55"/>
      <c r="GK221" s="55"/>
      <c r="GL221" s="55"/>
      <c r="GM221" s="55"/>
      <c r="GN221" s="55"/>
      <c r="GO221" s="55"/>
      <c r="GP221" s="55"/>
      <c r="GQ221" s="55"/>
      <c r="GR221" s="55"/>
      <c r="GS221" s="55"/>
      <c r="GT221" s="55"/>
      <c r="GU221" s="55"/>
      <c r="GV221" s="55"/>
      <c r="GW221" s="55"/>
      <c r="GX221" s="55"/>
      <c r="GY221" s="19">
        <v>0.96179171720672318</v>
      </c>
      <c r="GZ221" s="53">
        <v>1110.0999999999999</v>
      </c>
      <c r="HA221" s="53">
        <v>1154.2</v>
      </c>
      <c r="HB221" s="55"/>
      <c r="HC221" s="55"/>
      <c r="HD221" s="55"/>
      <c r="HE221" s="55"/>
      <c r="HF221" s="53">
        <v>1092.0999999999999</v>
      </c>
      <c r="HG221" s="53">
        <v>1054.9000000000001</v>
      </c>
      <c r="HH221" s="53">
        <v>369.9</v>
      </c>
      <c r="HI221" s="53">
        <v>154.6</v>
      </c>
      <c r="HJ221" s="53">
        <v>525.6</v>
      </c>
      <c r="HK221" s="53">
        <v>4.8</v>
      </c>
      <c r="HL221" s="53">
        <v>37.200000000000003</v>
      </c>
      <c r="HM221" s="55"/>
      <c r="HN221" s="55"/>
      <c r="HO221" s="55"/>
      <c r="HP221" s="53" t="e">
        <v>#VALUE!</v>
      </c>
      <c r="HQ221" s="53">
        <v>3.2</v>
      </c>
      <c r="HR221" s="53">
        <v>9.8000000000000007</v>
      </c>
      <c r="HS221" s="53" t="e">
        <v>#VALUE!</v>
      </c>
      <c r="HT221" s="53" t="e">
        <v>#VALUE!</v>
      </c>
      <c r="HU221" s="55"/>
      <c r="HV221" s="55"/>
      <c r="HW221" s="53">
        <v>288.60000000000002</v>
      </c>
      <c r="HX221" s="53" t="e">
        <v>#VALUE!</v>
      </c>
      <c r="HY221" s="53">
        <v>288.60000000000002</v>
      </c>
      <c r="HZ221" s="53">
        <v>36.799999999999997</v>
      </c>
      <c r="IA221" s="53">
        <v>220.1</v>
      </c>
      <c r="IB221" s="53" t="e">
        <v>#VALUE!</v>
      </c>
      <c r="IC221" s="53" t="e">
        <v>#VALUE!</v>
      </c>
      <c r="ID221" s="53" t="e">
        <v>#VALUE!</v>
      </c>
      <c r="IE221" s="53" t="e">
        <v>#VALUE!</v>
      </c>
      <c r="IF221" s="53">
        <v>6.6</v>
      </c>
      <c r="IG221" s="53">
        <v>19</v>
      </c>
      <c r="IH221" s="55"/>
      <c r="II221" s="55"/>
      <c r="IJ221" s="55"/>
      <c r="IK221" s="55"/>
      <c r="IL221" s="55"/>
      <c r="IM221" s="55"/>
      <c r="IN221" s="53">
        <v>74.8</v>
      </c>
      <c r="IO221" s="53">
        <v>7.2</v>
      </c>
      <c r="IP221" s="53" t="e">
        <v>#VALUE!</v>
      </c>
      <c r="IQ221" s="53">
        <v>34</v>
      </c>
      <c r="IR221" s="53">
        <v>17.399999999999999</v>
      </c>
      <c r="IS221" s="53" t="e">
        <v>#VALUE!</v>
      </c>
      <c r="IT221" s="53">
        <v>15.2</v>
      </c>
      <c r="IU221" s="53" t="e">
        <v>#VALUE!</v>
      </c>
      <c r="IV221" s="53" t="e">
        <v>#VALUE!</v>
      </c>
      <c r="IY221" s="48">
        <f t="shared" si="11"/>
        <v>47.35659218607082</v>
      </c>
      <c r="IZ221" s="48">
        <f>IY221-'NOPA Crush'!J221</f>
        <v>0.11659218607081812</v>
      </c>
      <c r="JB221" s="63">
        <f t="shared" si="9"/>
        <v>11.036848294786358</v>
      </c>
      <c r="JC221" s="64">
        <f>JB221-'NOPA Crush'!O221</f>
        <v>-7.3151705213641449E-2</v>
      </c>
      <c r="JD221" s="65"/>
      <c r="JE221" s="67">
        <f t="shared" si="10"/>
        <v>1679.6</v>
      </c>
      <c r="JF221" s="68">
        <f>'NOPA Crush'!Q221/'Census Crush'!JE221</f>
        <v>0.78775184567754231</v>
      </c>
    </row>
    <row r="222" spans="1:266">
      <c r="A222" s="39">
        <v>35796</v>
      </c>
      <c r="B222" s="51">
        <v>4552.8999999999996</v>
      </c>
      <c r="C222" s="51">
        <v>3015</v>
      </c>
      <c r="D222" s="51">
        <v>428.4</v>
      </c>
      <c r="E222" s="51">
        <v>2212.6999999999998</v>
      </c>
      <c r="F222" s="51">
        <v>19.399999999999999</v>
      </c>
      <c r="G222" s="51" t="s">
        <v>264</v>
      </c>
      <c r="H222" s="51" t="s">
        <v>264</v>
      </c>
      <c r="I222" s="51" t="s">
        <v>264</v>
      </c>
      <c r="J222" s="51" t="s">
        <v>264</v>
      </c>
      <c r="K222" s="51">
        <v>1684.3</v>
      </c>
      <c r="L222" s="49">
        <v>1787.9</v>
      </c>
      <c r="M222" s="51">
        <v>1518.8</v>
      </c>
      <c r="N222" s="51">
        <v>269.10000000000002</v>
      </c>
      <c r="O222" s="51">
        <v>136.4</v>
      </c>
      <c r="P222" s="51">
        <v>133.80000000000001</v>
      </c>
      <c r="Q222" s="51">
        <v>27.8</v>
      </c>
      <c r="R222" s="51">
        <v>106</v>
      </c>
      <c r="S222" s="51"/>
      <c r="T222" s="51">
        <v>16</v>
      </c>
      <c r="U222" s="51">
        <v>34.4</v>
      </c>
      <c r="V222" s="51">
        <v>31.2</v>
      </c>
      <c r="W222" s="51">
        <v>3.2</v>
      </c>
      <c r="X222" s="51" t="s">
        <v>264</v>
      </c>
      <c r="Y222" s="51" t="s">
        <v>264</v>
      </c>
      <c r="Z222" s="49">
        <v>81.800000000000011</v>
      </c>
      <c r="AA222" s="51">
        <v>75.900000000000006</v>
      </c>
      <c r="AB222" s="51">
        <v>5.9</v>
      </c>
      <c r="AC222" s="51" t="s">
        <v>264</v>
      </c>
      <c r="AD222" s="51">
        <v>25.8</v>
      </c>
      <c r="AE222" s="51"/>
      <c r="AF222" s="51">
        <v>74.400000000000006</v>
      </c>
      <c r="AG222" s="51">
        <v>47.2</v>
      </c>
      <c r="AH222" s="51">
        <v>27.2</v>
      </c>
      <c r="AI222" s="51">
        <v>171.4</v>
      </c>
      <c r="AJ222" s="51"/>
      <c r="AK222" s="51"/>
      <c r="AL222" s="51">
        <v>91.7</v>
      </c>
      <c r="AM222" s="51">
        <v>61.7</v>
      </c>
      <c r="AN222" s="51">
        <v>30</v>
      </c>
      <c r="AO222" s="51">
        <v>3350.1</v>
      </c>
      <c r="AP222" s="51">
        <v>235.4</v>
      </c>
      <c r="AQ222" s="51">
        <v>242</v>
      </c>
      <c r="AR222" s="51">
        <v>33.5</v>
      </c>
      <c r="AS222" s="51">
        <v>194.4</v>
      </c>
      <c r="AT222" s="51">
        <v>55.2</v>
      </c>
      <c r="AU222" s="51">
        <v>114.7</v>
      </c>
      <c r="AV222" s="51">
        <v>47.8</v>
      </c>
      <c r="AW222" s="51">
        <v>11.2</v>
      </c>
      <c r="AX222" s="51" t="s">
        <v>264</v>
      </c>
      <c r="AY222" s="51" t="s">
        <v>264</v>
      </c>
      <c r="AZ222" s="51" t="s">
        <v>264</v>
      </c>
      <c r="BA222" s="51" t="s">
        <v>264</v>
      </c>
      <c r="BB222" s="51" t="s">
        <v>264</v>
      </c>
      <c r="BC222" s="51"/>
      <c r="BD222" s="53">
        <v>114.9</v>
      </c>
      <c r="BE222" s="53">
        <v>55.3</v>
      </c>
      <c r="BF222" s="55"/>
      <c r="BG222" s="55"/>
      <c r="BH222" s="53">
        <v>293.60000000000002</v>
      </c>
      <c r="BI222" s="55"/>
      <c r="BJ222" s="55"/>
      <c r="BK222" s="53">
        <v>236.2</v>
      </c>
      <c r="BL222" s="53">
        <v>2.9</v>
      </c>
      <c r="BM222" s="53">
        <v>532.6</v>
      </c>
      <c r="BN222" s="53">
        <v>247.1</v>
      </c>
      <c r="BO222" s="55"/>
      <c r="BP222" s="55"/>
      <c r="BQ222" s="53">
        <v>123.4</v>
      </c>
      <c r="BR222" s="53">
        <v>4.4000000000000004</v>
      </c>
      <c r="BS222" s="53">
        <v>374.9</v>
      </c>
      <c r="BT222" s="52" t="s">
        <v>264</v>
      </c>
      <c r="BU222" s="53">
        <v>30.1</v>
      </c>
      <c r="BV222" s="51">
        <v>369</v>
      </c>
      <c r="BW222" s="51">
        <v>106.4</v>
      </c>
      <c r="BX222" s="51">
        <v>477.6</v>
      </c>
      <c r="BY222" s="51">
        <v>66.5</v>
      </c>
      <c r="BZ222" s="51">
        <v>14.5</v>
      </c>
      <c r="CA222" s="49">
        <v>81</v>
      </c>
      <c r="CB222" s="55"/>
      <c r="CC222" s="55"/>
      <c r="CD222" s="55"/>
      <c r="CE222" s="55"/>
      <c r="CF222" s="53">
        <v>137.69999999999999</v>
      </c>
      <c r="CG222" s="53">
        <v>202.8</v>
      </c>
      <c r="CH222" s="53">
        <v>30.4</v>
      </c>
      <c r="CI222" s="55"/>
      <c r="CJ222" s="55"/>
      <c r="CK222" s="55"/>
      <c r="CL222" s="55"/>
      <c r="CM222" s="55"/>
      <c r="CN222" s="53">
        <v>30.3</v>
      </c>
      <c r="CO222" s="52">
        <v>332.40000000000003</v>
      </c>
      <c r="CP222" s="53">
        <v>297.3</v>
      </c>
      <c r="CQ222" s="53">
        <v>35.1</v>
      </c>
      <c r="CR222" s="52" t="s">
        <v>264</v>
      </c>
      <c r="CS222" s="52">
        <v>60.8</v>
      </c>
      <c r="CT222" s="52">
        <v>38.6</v>
      </c>
      <c r="CU222" s="52">
        <v>22.2</v>
      </c>
      <c r="CV222" s="52">
        <v>55.9</v>
      </c>
      <c r="CW222" s="53">
        <v>10</v>
      </c>
      <c r="CX222" s="53">
        <v>45.9</v>
      </c>
      <c r="CY222" s="53" t="s">
        <v>264</v>
      </c>
      <c r="CZ222" s="53">
        <v>59.6</v>
      </c>
      <c r="DA222" s="52">
        <v>31.5</v>
      </c>
      <c r="DB222" s="53">
        <v>29.1</v>
      </c>
      <c r="DC222" s="53">
        <v>2.4</v>
      </c>
      <c r="DD222" s="55"/>
      <c r="DE222" s="55"/>
      <c r="DF222" s="55"/>
      <c r="DG222" s="53">
        <v>153.905</v>
      </c>
      <c r="DH222" s="55"/>
      <c r="DI222" s="53">
        <v>809.52700000000004</v>
      </c>
      <c r="DJ222" s="53">
        <v>372.346</v>
      </c>
      <c r="DK222" s="55"/>
      <c r="DL222" s="53">
        <v>185.52500000000001</v>
      </c>
      <c r="DM222" s="53">
        <v>281.05</v>
      </c>
      <c r="DN222" s="55"/>
      <c r="DO222" s="53">
        <v>267.27999999999997</v>
      </c>
      <c r="DP222" s="53">
        <v>318.47000000000003</v>
      </c>
      <c r="DQ222" s="55"/>
      <c r="DR222" s="55"/>
      <c r="DS222" s="53">
        <v>1135.327</v>
      </c>
      <c r="DT222" s="53">
        <v>4557.3599999999997</v>
      </c>
      <c r="DU222" s="53">
        <v>-1187.8349999999991</v>
      </c>
      <c r="DV222" s="53">
        <v>4.4600000000000364</v>
      </c>
      <c r="DW222" s="55"/>
      <c r="DX222" s="55"/>
      <c r="DY222" s="55"/>
      <c r="DZ222" s="55"/>
      <c r="EA222" s="55"/>
      <c r="EB222" s="55"/>
      <c r="EC222" s="55"/>
      <c r="ED222" s="55"/>
      <c r="EE222" s="55"/>
      <c r="EF222" s="55"/>
      <c r="EG222" s="55"/>
      <c r="EH222" s="55"/>
      <c r="EI222" s="55"/>
      <c r="EJ222" s="55"/>
      <c r="EK222" s="55"/>
      <c r="EL222" s="55"/>
      <c r="EM222" s="55"/>
      <c r="EN222" s="55"/>
      <c r="EO222" s="55"/>
      <c r="EP222" s="55"/>
      <c r="EQ222" s="55"/>
      <c r="ER222" s="55"/>
      <c r="ES222" s="55"/>
      <c r="ET222" s="55"/>
      <c r="EU222" s="55"/>
      <c r="EV222" s="55"/>
      <c r="EW222" s="55"/>
      <c r="EX222" s="55"/>
      <c r="EY222" s="55"/>
      <c r="EZ222" s="55"/>
      <c r="FA222" s="55"/>
      <c r="FB222" s="55"/>
      <c r="FC222" s="55"/>
      <c r="FD222" s="55"/>
      <c r="FE222" s="55"/>
      <c r="FF222" s="55"/>
      <c r="FG222" s="55"/>
      <c r="FH222" s="55"/>
      <c r="FI222" s="55"/>
      <c r="FJ222" s="55"/>
      <c r="FK222" s="55"/>
      <c r="FL222" s="55"/>
      <c r="FM222" s="55"/>
      <c r="FN222" s="55"/>
      <c r="FO222" s="55"/>
      <c r="FP222" s="55"/>
      <c r="FQ222" s="55"/>
      <c r="FR222" s="55"/>
      <c r="FS222" s="55"/>
      <c r="FT222" s="55"/>
      <c r="FU222" s="55"/>
      <c r="FV222" s="55"/>
      <c r="FW222" s="55"/>
      <c r="FX222" s="55"/>
      <c r="FY222" s="55"/>
      <c r="FZ222" s="55"/>
      <c r="GA222" s="55"/>
      <c r="GB222" s="55"/>
      <c r="GC222" s="55"/>
      <c r="GD222" s="55"/>
      <c r="GE222" s="55"/>
      <c r="GF222" s="55"/>
      <c r="GG222" s="55"/>
      <c r="GH222" s="55"/>
      <c r="GI222" s="55"/>
      <c r="GJ222" s="55"/>
      <c r="GK222" s="55"/>
      <c r="GL222" s="55"/>
      <c r="GM222" s="55"/>
      <c r="GN222" s="55"/>
      <c r="GO222" s="55"/>
      <c r="GP222" s="55"/>
      <c r="GQ222" s="55"/>
      <c r="GR222" s="55"/>
      <c r="GS222" s="55"/>
      <c r="GT222" s="55"/>
      <c r="GU222" s="55"/>
      <c r="GV222" s="55"/>
      <c r="GW222" s="55"/>
      <c r="GX222" s="55"/>
      <c r="GY222" s="19">
        <v>0.96323723882570744</v>
      </c>
      <c r="GZ222" s="53">
        <v>1092.5999999999999</v>
      </c>
      <c r="HA222" s="53">
        <v>1134.3</v>
      </c>
      <c r="HB222" s="55"/>
      <c r="HC222" s="55"/>
      <c r="HD222" s="55"/>
      <c r="HE222" s="55"/>
      <c r="HF222" s="53">
        <v>1049.2</v>
      </c>
      <c r="HG222" s="53">
        <v>1002.4</v>
      </c>
      <c r="HH222" s="53">
        <v>349.2</v>
      </c>
      <c r="HI222" s="53">
        <v>124.9</v>
      </c>
      <c r="HJ222" s="53">
        <v>523.4</v>
      </c>
      <c r="HK222" s="53">
        <v>5</v>
      </c>
      <c r="HL222" s="53">
        <v>46.7</v>
      </c>
      <c r="HM222" s="55"/>
      <c r="HN222" s="55"/>
      <c r="HO222" s="55"/>
      <c r="HP222" s="53" t="e">
        <v>#VALUE!</v>
      </c>
      <c r="HQ222" s="53">
        <v>3.2</v>
      </c>
      <c r="HR222" s="53">
        <v>9</v>
      </c>
      <c r="HS222" s="53" t="e">
        <v>#VALUE!</v>
      </c>
      <c r="HT222" s="53">
        <v>30.4</v>
      </c>
      <c r="HU222" s="55"/>
      <c r="HV222" s="55"/>
      <c r="HW222" s="53">
        <v>271.89999999999998</v>
      </c>
      <c r="HX222" s="53" t="e">
        <v>#VALUE!</v>
      </c>
      <c r="HY222" s="53">
        <v>271.89999999999998</v>
      </c>
      <c r="HZ222" s="53">
        <v>54.4</v>
      </c>
      <c r="IA222" s="53">
        <v>183.6</v>
      </c>
      <c r="IB222" s="53">
        <v>54.6</v>
      </c>
      <c r="IC222" s="53">
        <v>129</v>
      </c>
      <c r="ID222" s="53" t="e">
        <v>#VALUE!</v>
      </c>
      <c r="IE222" s="53" t="e">
        <v>#VALUE!</v>
      </c>
      <c r="IF222" s="53">
        <v>6.7</v>
      </c>
      <c r="IG222" s="53">
        <v>21.1</v>
      </c>
      <c r="IH222" s="55"/>
      <c r="II222" s="55"/>
      <c r="IJ222" s="55"/>
      <c r="IK222" s="55"/>
      <c r="IL222" s="55"/>
      <c r="IM222" s="55"/>
      <c r="IN222" s="53">
        <v>82.2</v>
      </c>
      <c r="IO222" s="53">
        <v>85</v>
      </c>
      <c r="IP222" s="53" t="e">
        <v>#VALUE!</v>
      </c>
      <c r="IQ222" s="53">
        <v>34.9</v>
      </c>
      <c r="IR222" s="53">
        <v>16.3</v>
      </c>
      <c r="IS222" s="53" t="e">
        <v>#VALUE!</v>
      </c>
      <c r="IT222" s="53">
        <v>17.600000000000001</v>
      </c>
      <c r="IU222" s="53" t="e">
        <v>#VALUE!</v>
      </c>
      <c r="IV222" s="53" t="e">
        <v>#VALUE!</v>
      </c>
      <c r="IY222" s="48">
        <f t="shared" si="11"/>
        <v>47.338180061059987</v>
      </c>
      <c r="IZ222" s="48">
        <f>IY222-'NOPA Crush'!J222</f>
        <v>-1.819938940016641E-3</v>
      </c>
      <c r="JB222" s="63">
        <f t="shared" si="9"/>
        <v>11.098201146521998</v>
      </c>
      <c r="JC222" s="64">
        <f>JB222-'NOPA Crush'!O222</f>
        <v>-9.1798853478001874E-2</v>
      </c>
      <c r="JD222" s="65"/>
      <c r="JE222" s="67">
        <f t="shared" si="10"/>
        <v>1787.9</v>
      </c>
      <c r="JF222" s="68">
        <f>'NOPA Crush'!Q222/'Census Crush'!JE222</f>
        <v>0.82272554393422448</v>
      </c>
    </row>
    <row r="223" spans="1:266">
      <c r="A223" s="39">
        <v>35827</v>
      </c>
      <c r="B223" s="51">
        <v>4147.6000000000004</v>
      </c>
      <c r="C223" s="51">
        <v>2802.3</v>
      </c>
      <c r="D223" s="51">
        <v>352.3</v>
      </c>
      <c r="E223" s="51">
        <v>1990.6</v>
      </c>
      <c r="F223" s="51">
        <v>17.600000000000001</v>
      </c>
      <c r="G223" s="51" t="s">
        <v>264</v>
      </c>
      <c r="H223" s="51" t="s">
        <v>264</v>
      </c>
      <c r="I223" s="51" t="s">
        <v>264</v>
      </c>
      <c r="J223" s="51" t="s">
        <v>264</v>
      </c>
      <c r="K223" s="51">
        <v>1557.6</v>
      </c>
      <c r="L223" s="49">
        <v>1711.1999999999998</v>
      </c>
      <c r="M223" s="51">
        <v>1459.1</v>
      </c>
      <c r="N223" s="51">
        <v>252.1</v>
      </c>
      <c r="O223" s="51">
        <v>111.1</v>
      </c>
      <c r="P223" s="51">
        <v>141.30000000000001</v>
      </c>
      <c r="Q223" s="51">
        <v>35.6</v>
      </c>
      <c r="R223" s="51">
        <v>105.7</v>
      </c>
      <c r="S223" s="51"/>
      <c r="T223" s="51">
        <v>14.5</v>
      </c>
      <c r="U223" s="51">
        <v>37.5</v>
      </c>
      <c r="V223" s="51">
        <v>33</v>
      </c>
      <c r="W223" s="51">
        <v>4.5</v>
      </c>
      <c r="X223" s="51" t="s">
        <v>264</v>
      </c>
      <c r="Y223" s="51" t="s">
        <v>264</v>
      </c>
      <c r="Z223" s="49">
        <v>91.2</v>
      </c>
      <c r="AA223" s="51">
        <v>86.2</v>
      </c>
      <c r="AB223" s="51">
        <v>5</v>
      </c>
      <c r="AC223" s="51" t="s">
        <v>264</v>
      </c>
      <c r="AD223" s="51">
        <v>21.1</v>
      </c>
      <c r="AE223" s="51"/>
      <c r="AF223" s="51">
        <v>100.2</v>
      </c>
      <c r="AG223" s="51">
        <v>69.900000000000006</v>
      </c>
      <c r="AH223" s="51">
        <v>30.3</v>
      </c>
      <c r="AI223" s="51">
        <v>162.69999999999999</v>
      </c>
      <c r="AJ223" s="51"/>
      <c r="AK223" s="51"/>
      <c r="AL223" s="51">
        <v>87.4</v>
      </c>
      <c r="AM223" s="51">
        <v>58.5</v>
      </c>
      <c r="AN223" s="51">
        <v>28.9</v>
      </c>
      <c r="AO223" s="51">
        <v>3058.3</v>
      </c>
      <c r="AP223" s="51">
        <v>244.9</v>
      </c>
      <c r="AQ223" s="51">
        <v>220.9</v>
      </c>
      <c r="AR223" s="51">
        <v>35.799999999999997</v>
      </c>
      <c r="AS223" s="51">
        <v>158.5</v>
      </c>
      <c r="AT223" s="51">
        <v>66.3</v>
      </c>
      <c r="AU223" s="51">
        <v>90.8</v>
      </c>
      <c r="AV223" s="51">
        <v>42.7</v>
      </c>
      <c r="AW223" s="51">
        <v>10</v>
      </c>
      <c r="AX223" s="51" t="s">
        <v>264</v>
      </c>
      <c r="AY223" s="51" t="s">
        <v>264</v>
      </c>
      <c r="AZ223" s="51" t="s">
        <v>264</v>
      </c>
      <c r="BA223" s="51" t="s">
        <v>264</v>
      </c>
      <c r="BB223" s="51" t="s">
        <v>264</v>
      </c>
      <c r="BC223" s="51"/>
      <c r="BD223" s="53">
        <v>117</v>
      </c>
      <c r="BE223" s="53">
        <v>48.8</v>
      </c>
      <c r="BF223" s="55"/>
      <c r="BG223" s="55"/>
      <c r="BH223" s="53">
        <v>288.10000000000002</v>
      </c>
      <c r="BI223" s="55"/>
      <c r="BJ223" s="55"/>
      <c r="BK223" s="53">
        <v>222.7</v>
      </c>
      <c r="BL223" s="53">
        <v>2.5</v>
      </c>
      <c r="BM223" s="53">
        <v>513.29999999999995</v>
      </c>
      <c r="BN223" s="53">
        <v>300.8</v>
      </c>
      <c r="BO223" s="55"/>
      <c r="BP223" s="55"/>
      <c r="BQ223" s="53">
        <v>144.4</v>
      </c>
      <c r="BR223" s="53">
        <v>4.8</v>
      </c>
      <c r="BS223" s="53">
        <v>450.00000000000006</v>
      </c>
      <c r="BT223" s="52" t="s">
        <v>264</v>
      </c>
      <c r="BU223" s="53">
        <v>38.299999999999997</v>
      </c>
      <c r="BV223" s="51">
        <v>334.9</v>
      </c>
      <c r="BW223" s="51">
        <v>101.1</v>
      </c>
      <c r="BX223" s="51">
        <v>439.1</v>
      </c>
      <c r="BY223" s="51">
        <v>62.2</v>
      </c>
      <c r="BZ223" s="51">
        <v>12.9</v>
      </c>
      <c r="CA223" s="49">
        <v>75.100000000000009</v>
      </c>
      <c r="CB223" s="55"/>
      <c r="CC223" s="55"/>
      <c r="CD223" s="55"/>
      <c r="CE223" s="55"/>
      <c r="CF223" s="53">
        <v>126.6</v>
      </c>
      <c r="CG223" s="53">
        <v>219.4</v>
      </c>
      <c r="CH223" s="53">
        <v>17</v>
      </c>
      <c r="CI223" s="55"/>
      <c r="CJ223" s="55"/>
      <c r="CK223" s="55"/>
      <c r="CL223" s="55"/>
      <c r="CM223" s="55"/>
      <c r="CN223" s="53">
        <v>38.700000000000003</v>
      </c>
      <c r="CO223" s="52">
        <v>344.5</v>
      </c>
      <c r="CP223" s="53">
        <v>286.2</v>
      </c>
      <c r="CQ223" s="53">
        <v>58.3</v>
      </c>
      <c r="CR223" s="52" t="s">
        <v>264</v>
      </c>
      <c r="CS223" s="52">
        <v>55.900000000000006</v>
      </c>
      <c r="CT223" s="52">
        <v>33.200000000000003</v>
      </c>
      <c r="CU223" s="52">
        <v>22.7</v>
      </c>
      <c r="CV223" s="52">
        <v>47.7</v>
      </c>
      <c r="CW223" s="53">
        <v>12.6</v>
      </c>
      <c r="CX223" s="53">
        <v>35.1</v>
      </c>
      <c r="CY223" s="53" t="s">
        <v>264</v>
      </c>
      <c r="CZ223" s="53">
        <v>53.1</v>
      </c>
      <c r="DA223" s="52">
        <v>24.8</v>
      </c>
      <c r="DB223" s="53">
        <v>23.6</v>
      </c>
      <c r="DC223" s="53">
        <v>1.2</v>
      </c>
      <c r="DD223" s="55"/>
      <c r="DE223" s="55"/>
      <c r="DF223" s="55"/>
      <c r="DG223" s="53">
        <v>146.21199999999999</v>
      </c>
      <c r="DH223" s="55"/>
      <c r="DI223" s="53">
        <v>748.34</v>
      </c>
      <c r="DJ223" s="53">
        <v>340.42500000000001</v>
      </c>
      <c r="DK223" s="55"/>
      <c r="DL223" s="53">
        <v>170.09299999999999</v>
      </c>
      <c r="DM223" s="53">
        <v>252.20099999999999</v>
      </c>
      <c r="DN223" s="55"/>
      <c r="DO223" s="53">
        <v>231.65</v>
      </c>
      <c r="DP223" s="53">
        <v>287.69099999999997</v>
      </c>
      <c r="DQ223" s="55"/>
      <c r="DR223" s="55"/>
      <c r="DS223" s="53">
        <v>1027.692</v>
      </c>
      <c r="DT223" s="53">
        <v>4147.05</v>
      </c>
      <c r="DU223" s="53">
        <v>-1088.9579999999996</v>
      </c>
      <c r="DV223" s="53">
        <v>-0.5500000000001819</v>
      </c>
      <c r="DW223" s="55"/>
      <c r="DX223" s="55"/>
      <c r="DY223" s="55"/>
      <c r="DZ223" s="55"/>
      <c r="EA223" s="55"/>
      <c r="EB223" s="55"/>
      <c r="EC223" s="55"/>
      <c r="ED223" s="55"/>
      <c r="EE223" s="55"/>
      <c r="EF223" s="55"/>
      <c r="EG223" s="55"/>
      <c r="EH223" s="55"/>
      <c r="EI223" s="55"/>
      <c r="EJ223" s="55"/>
      <c r="EK223" s="55"/>
      <c r="EL223" s="55"/>
      <c r="EM223" s="55"/>
      <c r="EN223" s="55"/>
      <c r="EO223" s="55"/>
      <c r="EP223" s="55"/>
      <c r="EQ223" s="55"/>
      <c r="ER223" s="55"/>
      <c r="ES223" s="55"/>
      <c r="ET223" s="55"/>
      <c r="EU223" s="55"/>
      <c r="EV223" s="55"/>
      <c r="EW223" s="55"/>
      <c r="EX223" s="55"/>
      <c r="EY223" s="55"/>
      <c r="EZ223" s="55"/>
      <c r="FA223" s="55"/>
      <c r="FB223" s="55"/>
      <c r="FC223" s="55"/>
      <c r="FD223" s="55"/>
      <c r="FE223" s="55"/>
      <c r="FF223" s="55"/>
      <c r="FG223" s="55"/>
      <c r="FH223" s="55"/>
      <c r="FI223" s="55"/>
      <c r="FJ223" s="55"/>
      <c r="FK223" s="55"/>
      <c r="FL223" s="55"/>
      <c r="FM223" s="55"/>
      <c r="FN223" s="55"/>
      <c r="FO223" s="55"/>
      <c r="FP223" s="55"/>
      <c r="FQ223" s="55"/>
      <c r="FR223" s="55"/>
      <c r="FS223" s="55"/>
      <c r="FT223" s="55"/>
      <c r="FU223" s="55"/>
      <c r="FV223" s="55"/>
      <c r="FW223" s="55"/>
      <c r="FX223" s="55"/>
      <c r="FY223" s="55"/>
      <c r="FZ223" s="55"/>
      <c r="GA223" s="55"/>
      <c r="GB223" s="55"/>
      <c r="GC223" s="55"/>
      <c r="GD223" s="55"/>
      <c r="GE223" s="55"/>
      <c r="GF223" s="55"/>
      <c r="GG223" s="55"/>
      <c r="GH223" s="55"/>
      <c r="GI223" s="55"/>
      <c r="GJ223" s="55"/>
      <c r="GK223" s="55"/>
      <c r="GL223" s="55"/>
      <c r="GM223" s="55"/>
      <c r="GN223" s="55"/>
      <c r="GO223" s="55"/>
      <c r="GP223" s="55"/>
      <c r="GQ223" s="55"/>
      <c r="GR223" s="55"/>
      <c r="GS223" s="55"/>
      <c r="GT223" s="55"/>
      <c r="GU223" s="55"/>
      <c r="GV223" s="55"/>
      <c r="GW223" s="55"/>
      <c r="GX223" s="55"/>
      <c r="GY223" s="19">
        <v>0.96339220014716709</v>
      </c>
      <c r="GZ223" s="53">
        <v>1047.4000000000001</v>
      </c>
      <c r="HA223" s="53">
        <v>1087.2</v>
      </c>
      <c r="HB223" s="55"/>
      <c r="HC223" s="55"/>
      <c r="HD223" s="55"/>
      <c r="HE223" s="55"/>
      <c r="HF223" s="53">
        <v>1020.2</v>
      </c>
      <c r="HG223" s="53">
        <v>982.8</v>
      </c>
      <c r="HH223" s="53">
        <v>333.9</v>
      </c>
      <c r="HI223" s="53">
        <v>125.8</v>
      </c>
      <c r="HJ223" s="53">
        <v>518.9</v>
      </c>
      <c r="HK223" s="53">
        <v>4.2</v>
      </c>
      <c r="HL223" s="53">
        <v>37.4</v>
      </c>
      <c r="HM223" s="55"/>
      <c r="HN223" s="55"/>
      <c r="HO223" s="55"/>
      <c r="HP223" s="53" t="e">
        <v>#VALUE!</v>
      </c>
      <c r="HQ223" s="53">
        <v>3.7</v>
      </c>
      <c r="HR223" s="53">
        <v>7.8</v>
      </c>
      <c r="HS223" s="53" t="e">
        <v>#VALUE!</v>
      </c>
      <c r="HT223" s="53">
        <v>21.4</v>
      </c>
      <c r="HU223" s="55"/>
      <c r="HV223" s="55"/>
      <c r="HW223" s="53">
        <v>262.7</v>
      </c>
      <c r="HX223" s="53" t="e">
        <v>#VALUE!</v>
      </c>
      <c r="HY223" s="53">
        <v>262.7</v>
      </c>
      <c r="HZ223" s="53">
        <v>51</v>
      </c>
      <c r="IA223" s="53">
        <v>177.3</v>
      </c>
      <c r="IB223" s="53">
        <v>55.8</v>
      </c>
      <c r="IC223" s="53">
        <v>121.5</v>
      </c>
      <c r="ID223" s="53" t="e">
        <v>#VALUE!</v>
      </c>
      <c r="IE223" s="53" t="e">
        <v>#VALUE!</v>
      </c>
      <c r="IF223" s="53">
        <v>7.2</v>
      </c>
      <c r="IG223" s="53">
        <v>21.1</v>
      </c>
      <c r="IH223" s="55"/>
      <c r="II223" s="55"/>
      <c r="IJ223" s="55"/>
      <c r="IK223" s="55"/>
      <c r="IL223" s="55"/>
      <c r="IM223" s="55"/>
      <c r="IN223" s="53">
        <v>73.099999999999994</v>
      </c>
      <c r="IO223" s="53">
        <v>75.7</v>
      </c>
      <c r="IP223" s="53" t="e">
        <v>#VALUE!</v>
      </c>
      <c r="IQ223" s="53">
        <v>33</v>
      </c>
      <c r="IR223" s="53">
        <v>15.8</v>
      </c>
      <c r="IS223" s="53" t="e">
        <v>#VALUE!</v>
      </c>
      <c r="IT223" s="53">
        <v>15.6</v>
      </c>
      <c r="IU223" s="53" t="e">
        <v>#VALUE!</v>
      </c>
      <c r="IV223" s="53" t="e">
        <v>#VALUE!</v>
      </c>
      <c r="IY223" s="48">
        <f t="shared" si="11"/>
        <v>47.437554248239941</v>
      </c>
      <c r="IZ223" s="48">
        <f>IY223-'NOPA Crush'!J223</f>
        <v>-7.2445751760056964E-2</v>
      </c>
      <c r="JB223" s="63">
        <f t="shared" si="9"/>
        <v>11.266274471983795</v>
      </c>
      <c r="JC223" s="64">
        <f>JB223-'NOPA Crush'!O223</f>
        <v>0.18627447198379521</v>
      </c>
      <c r="JD223" s="65"/>
      <c r="JE223" s="67">
        <f t="shared" si="10"/>
        <v>1711.1999999999998</v>
      </c>
      <c r="JF223" s="68">
        <f>'NOPA Crush'!Q223/'Census Crush'!JE223</f>
        <v>0.83360916316035538</v>
      </c>
    </row>
    <row r="224" spans="1:266">
      <c r="A224" s="39">
        <v>35855</v>
      </c>
      <c r="B224" s="51">
        <v>4409.3999999999996</v>
      </c>
      <c r="C224" s="51">
        <v>2160.9</v>
      </c>
      <c r="D224" s="51">
        <v>374.8</v>
      </c>
      <c r="E224" s="51">
        <v>1626.1</v>
      </c>
      <c r="F224" s="51">
        <v>17.899999999999999</v>
      </c>
      <c r="G224" s="51" t="s">
        <v>264</v>
      </c>
      <c r="H224" s="51" t="s">
        <v>264</v>
      </c>
      <c r="I224" s="51" t="s">
        <v>264</v>
      </c>
      <c r="J224" s="51" t="s">
        <v>264</v>
      </c>
      <c r="K224" s="51">
        <v>1654.7</v>
      </c>
      <c r="L224" s="49">
        <v>1762.6</v>
      </c>
      <c r="M224" s="51">
        <v>1498.6</v>
      </c>
      <c r="N224" s="51">
        <v>264</v>
      </c>
      <c r="O224" s="51">
        <v>116.7</v>
      </c>
      <c r="P224" s="51">
        <v>140.69999999999999</v>
      </c>
      <c r="Q224" s="51">
        <v>28.4</v>
      </c>
      <c r="R224" s="51">
        <v>112.3</v>
      </c>
      <c r="S224" s="51"/>
      <c r="T224" s="51">
        <v>14.3</v>
      </c>
      <c r="U224" s="51">
        <v>39.200000000000003</v>
      </c>
      <c r="V224" s="51">
        <v>34.700000000000003</v>
      </c>
      <c r="W224" s="51">
        <v>4.5</v>
      </c>
      <c r="X224" s="51" t="s">
        <v>264</v>
      </c>
      <c r="Y224" s="51">
        <v>16.2</v>
      </c>
      <c r="Z224" s="49">
        <v>81.7</v>
      </c>
      <c r="AA224" s="51">
        <v>73.400000000000006</v>
      </c>
      <c r="AB224" s="51">
        <v>8.3000000000000007</v>
      </c>
      <c r="AC224" s="51" t="s">
        <v>264</v>
      </c>
      <c r="AD224" s="51">
        <v>42.1</v>
      </c>
      <c r="AE224" s="51"/>
      <c r="AF224" s="51">
        <v>110.5</v>
      </c>
      <c r="AG224" s="51">
        <v>91.8</v>
      </c>
      <c r="AH224" s="51">
        <v>18.7</v>
      </c>
      <c r="AI224" s="51">
        <v>201</v>
      </c>
      <c r="AJ224" s="51"/>
      <c r="AK224" s="51"/>
      <c r="AL224" s="51">
        <v>95.8</v>
      </c>
      <c r="AM224" s="51">
        <v>58.5</v>
      </c>
      <c r="AN224" s="51">
        <v>37.299999999999997</v>
      </c>
      <c r="AO224" s="51">
        <v>3240.8</v>
      </c>
      <c r="AP224" s="51">
        <v>213.9</v>
      </c>
      <c r="AQ224" s="51">
        <v>243.2</v>
      </c>
      <c r="AR224" s="51">
        <v>24.1</v>
      </c>
      <c r="AS224" s="51">
        <v>172.7</v>
      </c>
      <c r="AT224" s="51">
        <v>81.599999999999994</v>
      </c>
      <c r="AU224" s="51">
        <v>99.8</v>
      </c>
      <c r="AV224" s="51">
        <v>43.3</v>
      </c>
      <c r="AW224" s="51">
        <v>9.6</v>
      </c>
      <c r="AX224" s="51" t="s">
        <v>264</v>
      </c>
      <c r="AY224" s="51" t="s">
        <v>264</v>
      </c>
      <c r="AZ224" s="51" t="s">
        <v>264</v>
      </c>
      <c r="BA224" s="51" t="s">
        <v>264</v>
      </c>
      <c r="BB224" s="51" t="s">
        <v>264</v>
      </c>
      <c r="BC224" s="51"/>
      <c r="BD224" s="53">
        <v>130.80000000000001</v>
      </c>
      <c r="BE224" s="53">
        <v>42.5</v>
      </c>
      <c r="BF224" s="55"/>
      <c r="BG224" s="55"/>
      <c r="BH224" s="53">
        <v>317.3</v>
      </c>
      <c r="BI224" s="55"/>
      <c r="BJ224" s="55"/>
      <c r="BK224" s="53">
        <v>233.8</v>
      </c>
      <c r="BL224" s="53">
        <v>2.7</v>
      </c>
      <c r="BM224" s="53">
        <v>553.70000000000005</v>
      </c>
      <c r="BN224" s="53">
        <v>319.10000000000002</v>
      </c>
      <c r="BO224" s="55"/>
      <c r="BP224" s="55"/>
      <c r="BQ224" s="53">
        <v>142.9</v>
      </c>
      <c r="BR224" s="53">
        <v>5.0999999999999996</v>
      </c>
      <c r="BS224" s="53">
        <v>467.1</v>
      </c>
      <c r="BT224" s="52" t="s">
        <v>264</v>
      </c>
      <c r="BU224" s="53">
        <v>34.1</v>
      </c>
      <c r="BV224" s="51">
        <v>346.1</v>
      </c>
      <c r="BW224" s="51">
        <v>106.5</v>
      </c>
      <c r="BX224" s="51">
        <v>455.7</v>
      </c>
      <c r="BY224" s="51">
        <v>67.5</v>
      </c>
      <c r="BZ224" s="51">
        <v>16.8</v>
      </c>
      <c r="CA224" s="49">
        <v>84.3</v>
      </c>
      <c r="CB224" s="55"/>
      <c r="CC224" s="55"/>
      <c r="CD224" s="55"/>
      <c r="CE224" s="55"/>
      <c r="CF224" s="53">
        <v>127.5</v>
      </c>
      <c r="CG224" s="53">
        <v>256.8</v>
      </c>
      <c r="CH224" s="53">
        <v>14.2</v>
      </c>
      <c r="CI224" s="55"/>
      <c r="CJ224" s="55"/>
      <c r="CK224" s="55"/>
      <c r="CL224" s="55"/>
      <c r="CM224" s="55"/>
      <c r="CN224" s="53">
        <v>34.5</v>
      </c>
      <c r="CO224" s="52">
        <v>337.4</v>
      </c>
      <c r="CP224" s="53">
        <v>284</v>
      </c>
      <c r="CQ224" s="53">
        <v>53.4</v>
      </c>
      <c r="CR224" s="52" t="s">
        <v>264</v>
      </c>
      <c r="CS224" s="52">
        <v>63</v>
      </c>
      <c r="CT224" s="52">
        <v>37.6</v>
      </c>
      <c r="CU224" s="52">
        <v>25.4</v>
      </c>
      <c r="CV224" s="52">
        <v>40</v>
      </c>
      <c r="CW224" s="53">
        <v>14.8</v>
      </c>
      <c r="CX224" s="53">
        <v>25.2</v>
      </c>
      <c r="CY224" s="53" t="s">
        <v>264</v>
      </c>
      <c r="CZ224" s="53">
        <v>52.9</v>
      </c>
      <c r="DA224" s="52">
        <v>36.6</v>
      </c>
      <c r="DB224" s="53">
        <v>35.5</v>
      </c>
      <c r="DC224" s="53">
        <v>1.1000000000000001</v>
      </c>
      <c r="DD224" s="55"/>
      <c r="DE224" s="55"/>
      <c r="DF224" s="55"/>
      <c r="DG224" s="55"/>
      <c r="DH224" s="55"/>
      <c r="DI224" s="53">
        <v>780.01499999999999</v>
      </c>
      <c r="DJ224" s="53">
        <v>334.37700000000001</v>
      </c>
      <c r="DK224" s="55"/>
      <c r="DL224" s="53">
        <v>198.374</v>
      </c>
      <c r="DM224" s="53">
        <v>264.27499999999998</v>
      </c>
      <c r="DN224" s="55"/>
      <c r="DO224" s="53">
        <v>263.81400000000002</v>
      </c>
      <c r="DP224" s="53">
        <v>312.44400000000002</v>
      </c>
      <c r="DQ224" s="55"/>
      <c r="DR224" s="55"/>
      <c r="DS224" s="53">
        <v>1100.691</v>
      </c>
      <c r="DT224" s="53">
        <v>4408.8140000000003</v>
      </c>
      <c r="DU224" s="53">
        <v>-1154.8239999999996</v>
      </c>
      <c r="DV224" s="53">
        <v>-0.58599999999933061</v>
      </c>
      <c r="DW224" s="55"/>
      <c r="DX224" s="55"/>
      <c r="DY224" s="55"/>
      <c r="DZ224" s="55"/>
      <c r="EA224" s="55"/>
      <c r="EB224" s="55"/>
      <c r="EC224" s="55"/>
      <c r="ED224" s="55"/>
      <c r="EE224" s="55"/>
      <c r="EF224" s="55"/>
      <c r="EG224" s="55"/>
      <c r="EH224" s="55"/>
      <c r="EI224" s="55"/>
      <c r="EJ224" s="55"/>
      <c r="EK224" s="55"/>
      <c r="EL224" s="55"/>
      <c r="EM224" s="55"/>
      <c r="EN224" s="55"/>
      <c r="EO224" s="55"/>
      <c r="EP224" s="55"/>
      <c r="EQ224" s="55"/>
      <c r="ER224" s="55"/>
      <c r="ES224" s="55"/>
      <c r="ET224" s="55"/>
      <c r="EU224" s="55"/>
      <c r="EV224" s="55"/>
      <c r="EW224" s="55"/>
      <c r="EX224" s="55"/>
      <c r="EY224" s="55"/>
      <c r="EZ224" s="55"/>
      <c r="FA224" s="55"/>
      <c r="FB224" s="55"/>
      <c r="FC224" s="55"/>
      <c r="FD224" s="55"/>
      <c r="FE224" s="55"/>
      <c r="FF224" s="55"/>
      <c r="FG224" s="55"/>
      <c r="FH224" s="55"/>
      <c r="FI224" s="55"/>
      <c r="FJ224" s="55"/>
      <c r="FK224" s="55"/>
      <c r="FL224" s="55"/>
      <c r="FM224" s="55"/>
      <c r="FN224" s="55"/>
      <c r="FO224" s="55"/>
      <c r="FP224" s="55"/>
      <c r="FQ224" s="55"/>
      <c r="FR224" s="55"/>
      <c r="FS224" s="55"/>
      <c r="FT224" s="55"/>
      <c r="FU224" s="55"/>
      <c r="FV224" s="55"/>
      <c r="FW224" s="55"/>
      <c r="FX224" s="55"/>
      <c r="FY224" s="55"/>
      <c r="FZ224" s="55"/>
      <c r="GA224" s="55"/>
      <c r="GB224" s="55"/>
      <c r="GC224" s="55"/>
      <c r="GD224" s="55"/>
      <c r="GE224" s="55"/>
      <c r="GF224" s="55"/>
      <c r="GG224" s="55"/>
      <c r="GH224" s="55"/>
      <c r="GI224" s="55"/>
      <c r="GJ224" s="55"/>
      <c r="GK224" s="55"/>
      <c r="GL224" s="55"/>
      <c r="GM224" s="55"/>
      <c r="GN224" s="55"/>
      <c r="GO224" s="55"/>
      <c r="GP224" s="55"/>
      <c r="GQ224" s="55"/>
      <c r="GR224" s="55"/>
      <c r="GS224" s="55"/>
      <c r="GT224" s="55"/>
      <c r="GU224" s="55"/>
      <c r="GV224" s="55"/>
      <c r="GW224" s="55"/>
      <c r="GX224" s="55"/>
      <c r="GY224" s="19">
        <v>0.96382103584319656</v>
      </c>
      <c r="GZ224" s="53">
        <v>1148.2</v>
      </c>
      <c r="HA224" s="53">
        <v>1191.3</v>
      </c>
      <c r="HB224" s="55"/>
      <c r="HC224" s="55"/>
      <c r="HD224" s="55"/>
      <c r="HE224" s="55"/>
      <c r="HF224" s="53">
        <v>1129.8</v>
      </c>
      <c r="HG224" s="53">
        <v>1083.3</v>
      </c>
      <c r="HH224" s="53">
        <v>406.5</v>
      </c>
      <c r="HI224" s="53">
        <v>147.6</v>
      </c>
      <c r="HJ224" s="53">
        <v>521</v>
      </c>
      <c r="HK224" s="53">
        <v>8.3000000000000007</v>
      </c>
      <c r="HL224" s="53">
        <v>46.5</v>
      </c>
      <c r="HM224" s="55"/>
      <c r="HN224" s="55"/>
      <c r="HO224" s="55"/>
      <c r="HP224" s="53" t="e">
        <v>#VALUE!</v>
      </c>
      <c r="HQ224" s="53">
        <v>4</v>
      </c>
      <c r="HR224" s="53">
        <v>10.8</v>
      </c>
      <c r="HS224" s="53" t="e">
        <v>#VALUE!</v>
      </c>
      <c r="HT224" s="53">
        <v>26.4</v>
      </c>
      <c r="HU224" s="55"/>
      <c r="HV224" s="55"/>
      <c r="HW224" s="53">
        <v>295.89999999999998</v>
      </c>
      <c r="HX224" s="53" t="e">
        <v>#VALUE!</v>
      </c>
      <c r="HY224" s="53">
        <v>295.89999999999998</v>
      </c>
      <c r="HZ224" s="53">
        <v>53.9</v>
      </c>
      <c r="IA224" s="53">
        <v>208.2</v>
      </c>
      <c r="IB224" s="53">
        <v>69.599999999999994</v>
      </c>
      <c r="IC224" s="53">
        <v>138.69999999999999</v>
      </c>
      <c r="ID224" s="53" t="e">
        <v>#VALUE!</v>
      </c>
      <c r="IE224" s="53" t="e">
        <v>#VALUE!</v>
      </c>
      <c r="IF224" s="53">
        <v>8.1</v>
      </c>
      <c r="IG224" s="53">
        <v>20.9</v>
      </c>
      <c r="IH224" s="55"/>
      <c r="II224" s="55"/>
      <c r="IJ224" s="55"/>
      <c r="IK224" s="55"/>
      <c r="IL224" s="55"/>
      <c r="IM224" s="55"/>
      <c r="IN224" s="53">
        <v>68.2</v>
      </c>
      <c r="IO224" s="53">
        <v>70.2</v>
      </c>
      <c r="IP224" s="53">
        <v>30.9</v>
      </c>
      <c r="IQ224" s="53">
        <v>30.6</v>
      </c>
      <c r="IR224" s="53">
        <v>16</v>
      </c>
      <c r="IS224" s="53" t="e">
        <v>#VALUE!</v>
      </c>
      <c r="IT224" s="53">
        <v>12.4</v>
      </c>
      <c r="IU224" s="53" t="e">
        <v>#VALUE!</v>
      </c>
      <c r="IV224" s="53">
        <v>0.3</v>
      </c>
      <c r="IY224" s="48">
        <f t="shared" si="11"/>
        <v>47.407810586474355</v>
      </c>
      <c r="IZ224" s="48">
        <f>IY224-'NOPA Crush'!J224</f>
        <v>7.8105864743562847E-3</v>
      </c>
      <c r="JB224" s="63">
        <f t="shared" si="9"/>
        <v>11.257994284936727</v>
      </c>
      <c r="JC224" s="64">
        <f>JB224-'NOPA Crush'!O224</f>
        <v>-6.200571506327357E-2</v>
      </c>
      <c r="JD224" s="65"/>
      <c r="JE224" s="67">
        <f t="shared" si="10"/>
        <v>1762.6</v>
      </c>
      <c r="JF224" s="68">
        <f>'NOPA Crush'!Q224/'Census Crush'!JE224</f>
        <v>0.77388063088619086</v>
      </c>
    </row>
    <row r="225" spans="1:266">
      <c r="A225" s="39">
        <v>35886</v>
      </c>
      <c r="B225" s="51">
        <v>4018.7</v>
      </c>
      <c r="C225" s="51">
        <v>1706.5</v>
      </c>
      <c r="D225" s="51">
        <v>359.1</v>
      </c>
      <c r="E225" s="51">
        <v>1324.7</v>
      </c>
      <c r="F225" s="51">
        <v>16.399999999999999</v>
      </c>
      <c r="G225" s="51" t="s">
        <v>264</v>
      </c>
      <c r="H225" s="51" t="s">
        <v>264</v>
      </c>
      <c r="I225" s="51" t="s">
        <v>264</v>
      </c>
      <c r="J225" s="51" t="s">
        <v>264</v>
      </c>
      <c r="K225" s="51">
        <v>1525.8</v>
      </c>
      <c r="L225" s="49">
        <v>1857.6</v>
      </c>
      <c r="M225" s="51">
        <v>1533.3</v>
      </c>
      <c r="N225" s="51">
        <v>324.3</v>
      </c>
      <c r="O225" s="51">
        <v>112.7</v>
      </c>
      <c r="P225" s="51">
        <v>159.80000000000001</v>
      </c>
      <c r="Q225" s="51">
        <v>35.700000000000003</v>
      </c>
      <c r="R225" s="51">
        <v>124.1</v>
      </c>
      <c r="S225" s="51"/>
      <c r="T225" s="51">
        <v>13</v>
      </c>
      <c r="U225" s="51">
        <v>46</v>
      </c>
      <c r="V225" s="51">
        <v>42.9</v>
      </c>
      <c r="W225" s="51">
        <v>3.1</v>
      </c>
      <c r="X225" s="51" t="s">
        <v>264</v>
      </c>
      <c r="Y225" s="51">
        <v>15.7</v>
      </c>
      <c r="Z225" s="49">
        <v>92.899999999999991</v>
      </c>
      <c r="AA225" s="51">
        <v>85.6</v>
      </c>
      <c r="AB225" s="51">
        <v>7.3</v>
      </c>
      <c r="AC225" s="51" t="s">
        <v>264</v>
      </c>
      <c r="AD225" s="51">
        <v>51</v>
      </c>
      <c r="AE225" s="51"/>
      <c r="AF225" s="51">
        <v>123</v>
      </c>
      <c r="AG225" s="51">
        <v>105.6</v>
      </c>
      <c r="AH225" s="51">
        <v>17.399999999999999</v>
      </c>
      <c r="AI225" s="51">
        <v>203.9</v>
      </c>
      <c r="AJ225" s="51"/>
      <c r="AK225" s="51"/>
      <c r="AL225" s="51">
        <v>87</v>
      </c>
      <c r="AM225" s="51">
        <v>64.099999999999994</v>
      </c>
      <c r="AN225" s="51">
        <v>22.9</v>
      </c>
      <c r="AO225" s="51">
        <v>2948.3</v>
      </c>
      <c r="AP225" s="51">
        <v>181.9</v>
      </c>
      <c r="AQ225" s="51">
        <v>224.2</v>
      </c>
      <c r="AR225" s="51">
        <v>28.4</v>
      </c>
      <c r="AS225" s="51">
        <v>162.30000000000001</v>
      </c>
      <c r="AT225" s="51">
        <v>118.5</v>
      </c>
      <c r="AU225" s="51">
        <v>91.8</v>
      </c>
      <c r="AV225" s="51">
        <v>51.4</v>
      </c>
      <c r="AW225" s="51">
        <v>8.9</v>
      </c>
      <c r="AX225" s="51">
        <v>13.5</v>
      </c>
      <c r="AY225" s="51" t="s">
        <v>264</v>
      </c>
      <c r="AZ225" s="51" t="s">
        <v>264</v>
      </c>
      <c r="BA225" s="51" t="s">
        <v>264</v>
      </c>
      <c r="BB225" s="51" t="s">
        <v>264</v>
      </c>
      <c r="BC225" s="51"/>
      <c r="BD225" s="53">
        <v>129.69999999999999</v>
      </c>
      <c r="BE225" s="53">
        <v>54.6</v>
      </c>
      <c r="BF225" s="55"/>
      <c r="BG225" s="55"/>
      <c r="BH225" s="53">
        <v>309.3</v>
      </c>
      <c r="BI225" s="55"/>
      <c r="BJ225" s="55"/>
      <c r="BK225" s="53">
        <v>247</v>
      </c>
      <c r="BL225" s="53">
        <v>2.9</v>
      </c>
      <c r="BM225" s="53">
        <v>559.1</v>
      </c>
      <c r="BN225" s="53">
        <v>279.5</v>
      </c>
      <c r="BO225" s="55"/>
      <c r="BP225" s="55"/>
      <c r="BQ225" s="53">
        <v>137.19999999999999</v>
      </c>
      <c r="BR225" s="53">
        <v>5.0999999999999996</v>
      </c>
      <c r="BS225" s="53">
        <v>421.8</v>
      </c>
      <c r="BT225" s="52" t="s">
        <v>264</v>
      </c>
      <c r="BU225" s="53">
        <v>41.6</v>
      </c>
      <c r="BV225" s="51">
        <v>348.2</v>
      </c>
      <c r="BW225" s="51">
        <v>105.3</v>
      </c>
      <c r="BX225" s="51">
        <v>456.6</v>
      </c>
      <c r="BY225" s="51">
        <v>52.8</v>
      </c>
      <c r="BZ225" s="51">
        <v>10.6</v>
      </c>
      <c r="CA225" s="49">
        <v>63.4</v>
      </c>
      <c r="CB225" s="55"/>
      <c r="CC225" s="55"/>
      <c r="CD225" s="55"/>
      <c r="CE225" s="55"/>
      <c r="CF225" s="53">
        <v>132.30000000000001</v>
      </c>
      <c r="CG225" s="53">
        <v>254.1</v>
      </c>
      <c r="CH225" s="53">
        <v>13</v>
      </c>
      <c r="CI225" s="55"/>
      <c r="CJ225" s="55"/>
      <c r="CK225" s="55"/>
      <c r="CL225" s="55"/>
      <c r="CM225" s="55"/>
      <c r="CN225" s="53">
        <v>37.5</v>
      </c>
      <c r="CO225" s="52">
        <v>318.8</v>
      </c>
      <c r="CP225" s="53">
        <v>264.2</v>
      </c>
      <c r="CQ225" s="53">
        <v>54.6</v>
      </c>
      <c r="CR225" s="52" t="s">
        <v>264</v>
      </c>
      <c r="CS225" s="52">
        <v>54.6</v>
      </c>
      <c r="CT225" s="52">
        <v>34.200000000000003</v>
      </c>
      <c r="CU225" s="52">
        <v>20.399999999999999</v>
      </c>
      <c r="CV225" s="52">
        <v>31.799999999999997</v>
      </c>
      <c r="CW225" s="53">
        <v>9.9</v>
      </c>
      <c r="CX225" s="53">
        <v>21.9</v>
      </c>
      <c r="CY225" s="53" t="s">
        <v>264</v>
      </c>
      <c r="CZ225" s="53">
        <v>73.400000000000006</v>
      </c>
      <c r="DA225" s="52">
        <v>26</v>
      </c>
      <c r="DB225" s="53">
        <v>25.6</v>
      </c>
      <c r="DC225" s="53">
        <v>0.4</v>
      </c>
      <c r="DD225" s="55"/>
      <c r="DE225" s="55"/>
      <c r="DF225" s="55"/>
      <c r="DG225" s="55"/>
      <c r="DH225" s="55"/>
      <c r="DI225" s="53">
        <v>746.24400000000003</v>
      </c>
      <c r="DJ225" s="53">
        <v>349.42</v>
      </c>
      <c r="DK225" s="55"/>
      <c r="DL225" s="53">
        <v>178.87200000000001</v>
      </c>
      <c r="DM225" s="53">
        <v>235.12</v>
      </c>
      <c r="DN225" s="55"/>
      <c r="DO225" s="53">
        <v>203.78200000000001</v>
      </c>
      <c r="DP225" s="53">
        <v>280.28800000000001</v>
      </c>
      <c r="DQ225" s="55"/>
      <c r="DR225" s="55"/>
      <c r="DS225" s="53">
        <v>996.82600000000002</v>
      </c>
      <c r="DT225" s="53">
        <v>4018.1370000000002</v>
      </c>
      <c r="DU225" s="53">
        <v>-1027.5850000000005</v>
      </c>
      <c r="DV225" s="53">
        <v>-0.56299999999964712</v>
      </c>
      <c r="DW225" s="55"/>
      <c r="DX225" s="55"/>
      <c r="DY225" s="55"/>
      <c r="DZ225" s="55"/>
      <c r="EA225" s="55"/>
      <c r="EB225" s="55"/>
      <c r="EC225" s="55"/>
      <c r="ED225" s="55"/>
      <c r="EE225" s="55"/>
      <c r="EF225" s="55"/>
      <c r="EG225" s="55"/>
      <c r="EH225" s="55"/>
      <c r="EI225" s="55"/>
      <c r="EJ225" s="55"/>
      <c r="EK225" s="55"/>
      <c r="EL225" s="55"/>
      <c r="EM225" s="55"/>
      <c r="EN225" s="55"/>
      <c r="EO225" s="55"/>
      <c r="EP225" s="55"/>
      <c r="EQ225" s="55"/>
      <c r="ER225" s="55"/>
      <c r="ES225" s="55"/>
      <c r="ET225" s="55"/>
      <c r="EU225" s="55"/>
      <c r="EV225" s="55"/>
      <c r="EW225" s="55"/>
      <c r="EX225" s="55"/>
      <c r="EY225" s="55"/>
      <c r="EZ225" s="55"/>
      <c r="FA225" s="55"/>
      <c r="FB225" s="55"/>
      <c r="FC225" s="55"/>
      <c r="FD225" s="55"/>
      <c r="FE225" s="55"/>
      <c r="FF225" s="55"/>
      <c r="FG225" s="55"/>
      <c r="FH225" s="55"/>
      <c r="FI225" s="55"/>
      <c r="FJ225" s="55"/>
      <c r="FK225" s="55"/>
      <c r="FL225" s="55"/>
      <c r="FM225" s="55"/>
      <c r="FN225" s="55"/>
      <c r="FO225" s="55"/>
      <c r="FP225" s="55"/>
      <c r="FQ225" s="55"/>
      <c r="FR225" s="55"/>
      <c r="FS225" s="55"/>
      <c r="FT225" s="55"/>
      <c r="FU225" s="55"/>
      <c r="FV225" s="55"/>
      <c r="FW225" s="55"/>
      <c r="FX225" s="55"/>
      <c r="FY225" s="55"/>
      <c r="FZ225" s="55"/>
      <c r="GA225" s="55"/>
      <c r="GB225" s="55"/>
      <c r="GC225" s="55"/>
      <c r="GD225" s="55"/>
      <c r="GE225" s="55"/>
      <c r="GF225" s="55"/>
      <c r="GG225" s="55"/>
      <c r="GH225" s="55"/>
      <c r="GI225" s="55"/>
      <c r="GJ225" s="55"/>
      <c r="GK225" s="55"/>
      <c r="GL225" s="55"/>
      <c r="GM225" s="55"/>
      <c r="GN225" s="55"/>
      <c r="GO225" s="55"/>
      <c r="GP225" s="55"/>
      <c r="GQ225" s="55"/>
      <c r="GR225" s="55"/>
      <c r="GS225" s="55"/>
      <c r="GT225" s="55"/>
      <c r="GU225" s="55"/>
      <c r="GV225" s="55"/>
      <c r="GW225" s="55"/>
      <c r="GX225" s="55"/>
      <c r="GY225" s="19">
        <v>0.96305418719211822</v>
      </c>
      <c r="GZ225" s="53">
        <v>1094.8</v>
      </c>
      <c r="HA225" s="53">
        <v>1136.8</v>
      </c>
      <c r="HB225" s="55"/>
      <c r="HC225" s="55"/>
      <c r="HD225" s="55"/>
      <c r="HE225" s="55"/>
      <c r="HF225" s="53">
        <v>1066.7</v>
      </c>
      <c r="HG225" s="53">
        <v>1021.4</v>
      </c>
      <c r="HH225" s="53">
        <v>396.3</v>
      </c>
      <c r="HI225" s="53">
        <v>126.3</v>
      </c>
      <c r="HJ225" s="53">
        <v>491.2</v>
      </c>
      <c r="HK225" s="53">
        <v>7.6</v>
      </c>
      <c r="HL225" s="53">
        <v>45.3</v>
      </c>
      <c r="HM225" s="55"/>
      <c r="HN225" s="55"/>
      <c r="HO225" s="55"/>
      <c r="HP225" s="53" t="e">
        <v>#VALUE!</v>
      </c>
      <c r="HQ225" s="53">
        <v>4.9000000000000004</v>
      </c>
      <c r="HR225" s="53">
        <v>11.5</v>
      </c>
      <c r="HS225" s="53" t="e">
        <v>#VALUE!</v>
      </c>
      <c r="HT225" s="53">
        <v>24.8</v>
      </c>
      <c r="HU225" s="55"/>
      <c r="HV225" s="55"/>
      <c r="HW225" s="53">
        <v>278.10000000000002</v>
      </c>
      <c r="HX225" s="53" t="e">
        <v>#VALUE!</v>
      </c>
      <c r="HY225" s="53">
        <v>278.10000000000002</v>
      </c>
      <c r="HZ225" s="53">
        <v>50.4</v>
      </c>
      <c r="IA225" s="53">
        <v>197.1</v>
      </c>
      <c r="IB225" s="53">
        <v>49.1</v>
      </c>
      <c r="IC225" s="53">
        <v>148.1</v>
      </c>
      <c r="ID225" s="53" t="e">
        <v>#VALUE!</v>
      </c>
      <c r="IE225" s="53" t="e">
        <v>#VALUE!</v>
      </c>
      <c r="IF225" s="53">
        <v>8.3000000000000007</v>
      </c>
      <c r="IG225" s="53">
        <v>17.3</v>
      </c>
      <c r="IH225" s="55"/>
      <c r="II225" s="55"/>
      <c r="IJ225" s="55"/>
      <c r="IK225" s="55"/>
      <c r="IL225" s="55"/>
      <c r="IM225" s="55"/>
      <c r="IN225" s="53">
        <v>69.8</v>
      </c>
      <c r="IO225" s="53">
        <v>72.099999999999994</v>
      </c>
      <c r="IP225" s="53" t="e">
        <v>#VALUE!</v>
      </c>
      <c r="IQ225" s="53">
        <v>28.8</v>
      </c>
      <c r="IR225" s="53">
        <v>15.2</v>
      </c>
      <c r="IS225" s="53" t="e">
        <v>#VALUE!</v>
      </c>
      <c r="IT225" s="53">
        <v>11.4</v>
      </c>
      <c r="IU225" s="53" t="e">
        <v>#VALUE!</v>
      </c>
      <c r="IV225" s="53" t="e">
        <v>#VALUE!</v>
      </c>
      <c r="IY225" s="48">
        <f t="shared" si="11"/>
        <v>47.36606365242492</v>
      </c>
      <c r="IZ225" s="48">
        <f>IY225-'NOPA Crush'!J225</f>
        <v>1.6063652424918473E-2</v>
      </c>
      <c r="JB225" s="63">
        <f t="shared" si="9"/>
        <v>11.390250578545302</v>
      </c>
      <c r="JC225" s="64">
        <f>JB225-'NOPA Crush'!O225</f>
        <v>-6.9749421454698535E-2</v>
      </c>
      <c r="JD225" s="65"/>
      <c r="JE225" s="67">
        <f t="shared" si="10"/>
        <v>1857.6</v>
      </c>
      <c r="JF225" s="68">
        <f>'NOPA Crush'!Q225/'Census Crush'!JE225</f>
        <v>0.75635335917312663</v>
      </c>
    </row>
    <row r="226" spans="1:266">
      <c r="A226" s="39">
        <v>35916</v>
      </c>
      <c r="B226" s="51">
        <v>3718</v>
      </c>
      <c r="C226" s="51">
        <v>1222.3</v>
      </c>
      <c r="D226" s="51">
        <v>309.10000000000002</v>
      </c>
      <c r="E226" s="51">
        <v>1024.5</v>
      </c>
      <c r="F226" s="51">
        <v>13.8</v>
      </c>
      <c r="G226" s="51" t="s">
        <v>264</v>
      </c>
      <c r="H226" s="51" t="s">
        <v>264</v>
      </c>
      <c r="I226" s="51" t="s">
        <v>264</v>
      </c>
      <c r="J226" s="51" t="s">
        <v>264</v>
      </c>
      <c r="K226" s="51">
        <v>1417.9</v>
      </c>
      <c r="L226" s="49">
        <v>1857.1</v>
      </c>
      <c r="M226" s="51">
        <v>1577.6</v>
      </c>
      <c r="N226" s="51">
        <v>279.5</v>
      </c>
      <c r="O226" s="51">
        <v>96.1</v>
      </c>
      <c r="P226" s="51">
        <v>150.4</v>
      </c>
      <c r="Q226" s="51">
        <v>42.2</v>
      </c>
      <c r="R226" s="51">
        <v>108.2</v>
      </c>
      <c r="S226" s="51"/>
      <c r="T226" s="51">
        <v>10.8</v>
      </c>
      <c r="U226" s="51">
        <v>41.400000000000006</v>
      </c>
      <c r="V226" s="51">
        <v>38.200000000000003</v>
      </c>
      <c r="W226" s="51">
        <v>3.2</v>
      </c>
      <c r="X226" s="51" t="s">
        <v>264</v>
      </c>
      <c r="Y226" s="51">
        <v>13.3</v>
      </c>
      <c r="Z226" s="49">
        <v>71.899999999999991</v>
      </c>
      <c r="AA226" s="51">
        <v>66.3</v>
      </c>
      <c r="AB226" s="51">
        <v>5.6</v>
      </c>
      <c r="AC226" s="51" t="s">
        <v>264</v>
      </c>
      <c r="AD226" s="51">
        <v>63.2</v>
      </c>
      <c r="AE226" s="51"/>
      <c r="AF226" s="51">
        <v>92.5</v>
      </c>
      <c r="AG226" s="51">
        <v>67.900000000000006</v>
      </c>
      <c r="AH226" s="51">
        <v>24.6</v>
      </c>
      <c r="AI226" s="51">
        <v>201.2</v>
      </c>
      <c r="AJ226" s="51"/>
      <c r="AK226" s="51"/>
      <c r="AL226" s="51">
        <v>89.5</v>
      </c>
      <c r="AM226" s="51">
        <v>62.9</v>
      </c>
      <c r="AN226" s="51">
        <v>26.6</v>
      </c>
      <c r="AO226" s="51">
        <v>2746.3</v>
      </c>
      <c r="AP226" s="51">
        <v>250.2</v>
      </c>
      <c r="AQ226" s="51">
        <v>210.4</v>
      </c>
      <c r="AR226" s="51">
        <v>39.9</v>
      </c>
      <c r="AS226" s="51">
        <v>141.80000000000001</v>
      </c>
      <c r="AT226" s="51">
        <v>138.1</v>
      </c>
      <c r="AU226" s="51">
        <v>80.099999999999994</v>
      </c>
      <c r="AV226" s="51">
        <v>48</v>
      </c>
      <c r="AW226" s="51">
        <v>7.1</v>
      </c>
      <c r="AX226" s="51">
        <v>13.2</v>
      </c>
      <c r="AY226" s="51" t="s">
        <v>264</v>
      </c>
      <c r="AZ226" s="51" t="s">
        <v>264</v>
      </c>
      <c r="BA226" s="51" t="s">
        <v>264</v>
      </c>
      <c r="BB226" s="51" t="s">
        <v>264</v>
      </c>
      <c r="BC226" s="51"/>
      <c r="BD226" s="53">
        <v>134.5</v>
      </c>
      <c r="BE226" s="53">
        <v>53.5</v>
      </c>
      <c r="BF226" s="55"/>
      <c r="BG226" s="55"/>
      <c r="BH226" s="53">
        <v>297.5</v>
      </c>
      <c r="BI226" s="55"/>
      <c r="BJ226" s="55"/>
      <c r="BK226" s="53">
        <v>237.2</v>
      </c>
      <c r="BL226" s="53">
        <v>2.8</v>
      </c>
      <c r="BM226" s="53">
        <v>537.5</v>
      </c>
      <c r="BN226" s="53">
        <v>284.10000000000002</v>
      </c>
      <c r="BO226" s="55"/>
      <c r="BP226" s="55"/>
      <c r="BQ226" s="53">
        <v>160.19999999999999</v>
      </c>
      <c r="BR226" s="53">
        <v>5.0999999999999996</v>
      </c>
      <c r="BS226" s="53">
        <v>449.40000000000003</v>
      </c>
      <c r="BT226" s="52" t="s">
        <v>264</v>
      </c>
      <c r="BU226" s="53">
        <v>47.6</v>
      </c>
      <c r="BV226" s="51">
        <v>337.8</v>
      </c>
      <c r="BW226" s="51">
        <v>100.2</v>
      </c>
      <c r="BX226" s="51">
        <v>441.1</v>
      </c>
      <c r="BY226" s="51">
        <v>63.7</v>
      </c>
      <c r="BZ226" s="51">
        <v>12.6</v>
      </c>
      <c r="CA226" s="49">
        <v>76.3</v>
      </c>
      <c r="CB226" s="55"/>
      <c r="CC226" s="55"/>
      <c r="CD226" s="55"/>
      <c r="CE226" s="55"/>
      <c r="CF226" s="53">
        <v>131.19999999999999</v>
      </c>
      <c r="CG226" s="53">
        <v>239.1</v>
      </c>
      <c r="CH226" s="53">
        <v>13.1</v>
      </c>
      <c r="CI226" s="55"/>
      <c r="CJ226" s="55"/>
      <c r="CK226" s="55"/>
      <c r="CL226" s="55"/>
      <c r="CM226" s="55"/>
      <c r="CN226" s="53">
        <v>29.5</v>
      </c>
      <c r="CO226" s="52">
        <v>300.60000000000002</v>
      </c>
      <c r="CP226" s="53">
        <v>260.3</v>
      </c>
      <c r="CQ226" s="53">
        <v>40.299999999999997</v>
      </c>
      <c r="CR226" s="52" t="s">
        <v>264</v>
      </c>
      <c r="CS226" s="52">
        <v>49.400000000000006</v>
      </c>
      <c r="CT226" s="52">
        <v>22.1</v>
      </c>
      <c r="CU226" s="52">
        <v>27.3</v>
      </c>
      <c r="CV226" s="52">
        <v>37.9</v>
      </c>
      <c r="CW226" s="53">
        <v>9.4</v>
      </c>
      <c r="CX226" s="53">
        <v>28.5</v>
      </c>
      <c r="CY226" s="53" t="s">
        <v>264</v>
      </c>
      <c r="CZ226" s="53">
        <v>88.4</v>
      </c>
      <c r="DA226" s="52">
        <v>36.4</v>
      </c>
      <c r="DB226" s="53">
        <v>36.1</v>
      </c>
      <c r="DC226" s="53">
        <v>0.3</v>
      </c>
      <c r="DD226" s="55"/>
      <c r="DE226" s="55"/>
      <c r="DF226" s="55"/>
      <c r="DG226" s="55"/>
      <c r="DH226" s="55"/>
      <c r="DI226" s="53">
        <v>690.90300000000002</v>
      </c>
      <c r="DJ226" s="53">
        <v>305.553</v>
      </c>
      <c r="DK226" s="55"/>
      <c r="DL226" s="53">
        <v>179.249</v>
      </c>
      <c r="DM226" s="53">
        <v>222.595</v>
      </c>
      <c r="DN226" s="55"/>
      <c r="DO226" s="53">
        <v>241.071</v>
      </c>
      <c r="DP226" s="53">
        <v>236.667</v>
      </c>
      <c r="DQ226" s="55"/>
      <c r="DR226" s="55"/>
      <c r="DS226" s="53">
        <v>901.81899999999996</v>
      </c>
      <c r="DT226" s="53">
        <v>3716.0830000000001</v>
      </c>
      <c r="DU226" s="53">
        <v>-938.22600000000011</v>
      </c>
      <c r="DV226" s="53">
        <v>-1.9169999999999163</v>
      </c>
      <c r="DW226" s="55"/>
      <c r="DX226" s="55"/>
      <c r="DY226" s="55"/>
      <c r="DZ226" s="55"/>
      <c r="EA226" s="55"/>
      <c r="EB226" s="55"/>
      <c r="EC226" s="55"/>
      <c r="ED226" s="55"/>
      <c r="EE226" s="55"/>
      <c r="EF226" s="55"/>
      <c r="EG226" s="55"/>
      <c r="EH226" s="55"/>
      <c r="EI226" s="55"/>
      <c r="EJ226" s="55"/>
      <c r="EK226" s="55"/>
      <c r="EL226" s="55"/>
      <c r="EM226" s="55"/>
      <c r="EN226" s="55"/>
      <c r="EO226" s="55"/>
      <c r="EP226" s="55"/>
      <c r="EQ226" s="55"/>
      <c r="ER226" s="55"/>
      <c r="ES226" s="55"/>
      <c r="ET226" s="55"/>
      <c r="EU226" s="55"/>
      <c r="EV226" s="55"/>
      <c r="EW226" s="55"/>
      <c r="EX226" s="55"/>
      <c r="EY226" s="55"/>
      <c r="EZ226" s="55"/>
      <c r="FA226" s="55"/>
      <c r="FB226" s="55"/>
      <c r="FC226" s="55"/>
      <c r="FD226" s="55"/>
      <c r="FE226" s="55"/>
      <c r="FF226" s="55"/>
      <c r="FG226" s="55"/>
      <c r="FH226" s="55"/>
      <c r="FI226" s="55"/>
      <c r="FJ226" s="55"/>
      <c r="FK226" s="55"/>
      <c r="FL226" s="55"/>
      <c r="FM226" s="55"/>
      <c r="FN226" s="55"/>
      <c r="FO226" s="55"/>
      <c r="FP226" s="55"/>
      <c r="FQ226" s="55"/>
      <c r="FR226" s="55"/>
      <c r="FS226" s="55"/>
      <c r="FT226" s="55"/>
      <c r="FU226" s="55"/>
      <c r="FV226" s="55"/>
      <c r="FW226" s="55"/>
      <c r="FX226" s="55"/>
      <c r="FY226" s="55"/>
      <c r="FZ226" s="55"/>
      <c r="GA226" s="55"/>
      <c r="GB226" s="55"/>
      <c r="GC226" s="55"/>
      <c r="GD226" s="55"/>
      <c r="GE226" s="55"/>
      <c r="GF226" s="55"/>
      <c r="GG226" s="55"/>
      <c r="GH226" s="55"/>
      <c r="GI226" s="55"/>
      <c r="GJ226" s="55"/>
      <c r="GK226" s="55"/>
      <c r="GL226" s="55"/>
      <c r="GM226" s="55"/>
      <c r="GN226" s="55"/>
      <c r="GO226" s="55"/>
      <c r="GP226" s="55"/>
      <c r="GQ226" s="55"/>
      <c r="GR226" s="55"/>
      <c r="GS226" s="55"/>
      <c r="GT226" s="55"/>
      <c r="GU226" s="55"/>
      <c r="GV226" s="55"/>
      <c r="GW226" s="55"/>
      <c r="GX226" s="55"/>
      <c r="GY226" s="19">
        <v>0.96416194742625316</v>
      </c>
      <c r="GZ226" s="53">
        <v>1140.7</v>
      </c>
      <c r="HA226" s="53">
        <v>1183.0999999999999</v>
      </c>
      <c r="HB226" s="55"/>
      <c r="HC226" s="55"/>
      <c r="HD226" s="55"/>
      <c r="HE226" s="55"/>
      <c r="HF226" s="53">
        <v>1101.8</v>
      </c>
      <c r="HG226" s="53">
        <v>1061.9000000000001</v>
      </c>
      <c r="HH226" s="53">
        <v>401.9</v>
      </c>
      <c r="HI226" s="53">
        <v>121.6</v>
      </c>
      <c r="HJ226" s="53">
        <v>530.20000000000005</v>
      </c>
      <c r="HK226" s="53">
        <v>8.1999999999999993</v>
      </c>
      <c r="HL226" s="53">
        <v>39.9</v>
      </c>
      <c r="HM226" s="55"/>
      <c r="HN226" s="55"/>
      <c r="HO226" s="55"/>
      <c r="HP226" s="53" t="e">
        <v>#VALUE!</v>
      </c>
      <c r="HQ226" s="53">
        <v>4.2</v>
      </c>
      <c r="HR226" s="53">
        <v>10.6</v>
      </c>
      <c r="HS226" s="53" t="e">
        <v>#VALUE!</v>
      </c>
      <c r="HT226" s="53">
        <v>18.899999999999999</v>
      </c>
      <c r="HU226" s="55"/>
      <c r="HV226" s="55"/>
      <c r="HW226" s="53">
        <v>283.8</v>
      </c>
      <c r="HX226" s="53" t="e">
        <v>#VALUE!</v>
      </c>
      <c r="HY226" s="53">
        <v>283.8</v>
      </c>
      <c r="HZ226" s="53">
        <v>57.1</v>
      </c>
      <c r="IA226" s="53">
        <v>196.9</v>
      </c>
      <c r="IB226" s="53">
        <v>54.1</v>
      </c>
      <c r="IC226" s="53">
        <v>142.9</v>
      </c>
      <c r="ID226" s="53" t="e">
        <v>#VALUE!</v>
      </c>
      <c r="IE226" s="53" t="e">
        <v>#VALUE!</v>
      </c>
      <c r="IF226" s="53">
        <v>7.3</v>
      </c>
      <c r="IG226" s="53">
        <v>17.8</v>
      </c>
      <c r="IH226" s="55"/>
      <c r="II226" s="55"/>
      <c r="IJ226" s="55"/>
      <c r="IK226" s="55"/>
      <c r="IL226" s="55"/>
      <c r="IM226" s="55"/>
      <c r="IN226" s="53">
        <v>55.2</v>
      </c>
      <c r="IO226" s="53">
        <v>57.1</v>
      </c>
      <c r="IP226" s="53">
        <v>39.4</v>
      </c>
      <c r="IQ226" s="53">
        <v>39.1</v>
      </c>
      <c r="IR226" s="53">
        <v>18.8</v>
      </c>
      <c r="IS226" s="53" t="e">
        <v>#VALUE!</v>
      </c>
      <c r="IT226" s="53">
        <v>18</v>
      </c>
      <c r="IU226" s="53" t="e">
        <v>#VALUE!</v>
      </c>
      <c r="IV226" s="53">
        <v>0.3</v>
      </c>
      <c r="IY226" s="48">
        <f t="shared" si="11"/>
        <v>47.714362560516406</v>
      </c>
      <c r="IZ226" s="48">
        <f>IY226-'NOPA Crush'!J226</f>
        <v>4.3625605164052672E-3</v>
      </c>
      <c r="JB226" s="63">
        <f t="shared" si="9"/>
        <v>11.440828402366865</v>
      </c>
      <c r="JC226" s="64">
        <f>JB226-'NOPA Crush'!O226</f>
        <v>-5.9171597633135065E-2</v>
      </c>
      <c r="JD226" s="65"/>
      <c r="JE226" s="67">
        <f t="shared" si="10"/>
        <v>1857.1</v>
      </c>
      <c r="JF226" s="68">
        <f>'NOPA Crush'!Q226/'Census Crush'!JE226</f>
        <v>0.76339830919175067</v>
      </c>
    </row>
    <row r="227" spans="1:266">
      <c r="A227" s="39">
        <v>35947</v>
      </c>
      <c r="B227" s="51">
        <v>3524.4</v>
      </c>
      <c r="C227" s="51">
        <v>1274.5999999999999</v>
      </c>
      <c r="D227" s="51">
        <v>278.8</v>
      </c>
      <c r="E227" s="51">
        <v>752.1</v>
      </c>
      <c r="F227" s="51">
        <v>12.9</v>
      </c>
      <c r="G227" s="51" t="s">
        <v>264</v>
      </c>
      <c r="H227" s="51" t="s">
        <v>264</v>
      </c>
      <c r="I227" s="51" t="s">
        <v>264</v>
      </c>
      <c r="J227" s="51" t="s">
        <v>264</v>
      </c>
      <c r="K227" s="51">
        <v>1337.2</v>
      </c>
      <c r="L227" s="49">
        <v>1712.6</v>
      </c>
      <c r="M227" s="51">
        <v>1451.7</v>
      </c>
      <c r="N227" s="51">
        <v>260.89999999999998</v>
      </c>
      <c r="O227" s="51">
        <v>87.3</v>
      </c>
      <c r="P227" s="51">
        <v>130.9</v>
      </c>
      <c r="Q227" s="51">
        <v>37</v>
      </c>
      <c r="R227" s="51">
        <v>93.9</v>
      </c>
      <c r="S227" s="51"/>
      <c r="T227" s="51">
        <v>10</v>
      </c>
      <c r="U227" s="51">
        <v>45</v>
      </c>
      <c r="V227" s="51">
        <v>41.4</v>
      </c>
      <c r="W227" s="51">
        <v>3.6</v>
      </c>
      <c r="X227" s="51" t="s">
        <v>264</v>
      </c>
      <c r="Y227" s="51">
        <v>5.3</v>
      </c>
      <c r="Z227" s="49">
        <v>93.600000000000009</v>
      </c>
      <c r="AA227" s="51">
        <v>87.4</v>
      </c>
      <c r="AB227" s="51">
        <v>6.2</v>
      </c>
      <c r="AC227" s="51" t="s">
        <v>264</v>
      </c>
      <c r="AD227" s="51">
        <v>53.2</v>
      </c>
      <c r="AE227" s="51"/>
      <c r="AF227" s="51">
        <v>92.4</v>
      </c>
      <c r="AG227" s="51">
        <v>63.1</v>
      </c>
      <c r="AH227" s="51">
        <v>29.3</v>
      </c>
      <c r="AI227" s="51">
        <v>201.4</v>
      </c>
      <c r="AJ227" s="51"/>
      <c r="AK227" s="51"/>
      <c r="AL227" s="51">
        <v>96.2</v>
      </c>
      <c r="AM227" s="51">
        <v>56.1</v>
      </c>
      <c r="AN227" s="51">
        <v>40.1</v>
      </c>
      <c r="AO227" s="51">
        <v>2601.8000000000002</v>
      </c>
      <c r="AP227" s="51">
        <v>157</v>
      </c>
      <c r="AQ227" s="51">
        <v>193.4</v>
      </c>
      <c r="AR227" s="51">
        <v>36.200000000000003</v>
      </c>
      <c r="AS227" s="51">
        <v>128.80000000000001</v>
      </c>
      <c r="AT227" s="51">
        <v>108.5</v>
      </c>
      <c r="AU227" s="51">
        <v>75.599999999999994</v>
      </c>
      <c r="AV227" s="51">
        <v>42.6</v>
      </c>
      <c r="AW227" s="51">
        <v>6.9</v>
      </c>
      <c r="AX227" s="51" t="s">
        <v>264</v>
      </c>
      <c r="AY227" s="51" t="s">
        <v>264</v>
      </c>
      <c r="AZ227" s="51" t="s">
        <v>264</v>
      </c>
      <c r="BA227" s="51" t="s">
        <v>264</v>
      </c>
      <c r="BB227" s="51" t="s">
        <v>264</v>
      </c>
      <c r="BC227" s="51"/>
      <c r="BD227" s="53">
        <v>139.4</v>
      </c>
      <c r="BE227" s="53">
        <v>52.3</v>
      </c>
      <c r="BF227" s="55"/>
      <c r="BG227" s="55"/>
      <c r="BH227" s="53">
        <v>316.3</v>
      </c>
      <c r="BI227" s="55"/>
      <c r="BJ227" s="55"/>
      <c r="BK227" s="53">
        <v>251.1</v>
      </c>
      <c r="BL227" s="53">
        <v>2.6</v>
      </c>
      <c r="BM227" s="53">
        <v>570</v>
      </c>
      <c r="BN227" s="53">
        <v>272.3</v>
      </c>
      <c r="BO227" s="55"/>
      <c r="BP227" s="55"/>
      <c r="BQ227" s="53">
        <v>155.19999999999999</v>
      </c>
      <c r="BR227" s="53">
        <v>4.7</v>
      </c>
      <c r="BS227" s="53">
        <v>432.2</v>
      </c>
      <c r="BT227" s="52" t="s">
        <v>264</v>
      </c>
      <c r="BU227" s="53">
        <v>43.7</v>
      </c>
      <c r="BV227" s="51">
        <v>353.7</v>
      </c>
      <c r="BW227" s="51">
        <v>100</v>
      </c>
      <c r="BX227" s="51">
        <v>457.8</v>
      </c>
      <c r="BY227" s="51">
        <v>59.7</v>
      </c>
      <c r="BZ227" s="51">
        <v>10.5</v>
      </c>
      <c r="CA227" s="49">
        <v>70.2</v>
      </c>
      <c r="CB227" s="55"/>
      <c r="CC227" s="55"/>
      <c r="CD227" s="55"/>
      <c r="CE227" s="55"/>
      <c r="CF227" s="53">
        <v>131.1</v>
      </c>
      <c r="CG227" s="53">
        <v>259.10000000000002</v>
      </c>
      <c r="CH227" s="53">
        <v>15.1</v>
      </c>
      <c r="CI227" s="55"/>
      <c r="CJ227" s="55"/>
      <c r="CK227" s="55"/>
      <c r="CL227" s="55"/>
      <c r="CM227" s="55"/>
      <c r="CN227" s="53" t="s">
        <v>264</v>
      </c>
      <c r="CO227" s="52">
        <v>366.29999999999995</v>
      </c>
      <c r="CP227" s="53">
        <v>297.7</v>
      </c>
      <c r="CQ227" s="53">
        <v>68.599999999999994</v>
      </c>
      <c r="CR227" s="52" t="s">
        <v>264</v>
      </c>
      <c r="CS227" s="52">
        <v>49.6</v>
      </c>
      <c r="CT227" s="52">
        <v>24.3</v>
      </c>
      <c r="CU227" s="52">
        <v>25.3</v>
      </c>
      <c r="CV227" s="52">
        <v>33.200000000000003</v>
      </c>
      <c r="CW227" s="53">
        <v>5.5</v>
      </c>
      <c r="CX227" s="53">
        <v>27.7</v>
      </c>
      <c r="CY227" s="53" t="s">
        <v>264</v>
      </c>
      <c r="CZ227" s="53">
        <v>91.4</v>
      </c>
      <c r="DA227" s="52">
        <v>45.5</v>
      </c>
      <c r="DB227" s="53">
        <v>44.2</v>
      </c>
      <c r="DC227" s="53">
        <v>1.3</v>
      </c>
      <c r="DD227" s="55"/>
      <c r="DE227" s="55"/>
      <c r="DF227" s="55"/>
      <c r="DG227" s="55"/>
      <c r="DH227" s="55"/>
      <c r="DI227" s="53">
        <v>675.32399999999996</v>
      </c>
      <c r="DJ227" s="53">
        <v>279.00799999999998</v>
      </c>
      <c r="DK227" s="55"/>
      <c r="DL227" s="53">
        <v>129.27600000000001</v>
      </c>
      <c r="DM227" s="53">
        <v>249.20699999999999</v>
      </c>
      <c r="DN227" s="55"/>
      <c r="DO227" s="53">
        <v>227.06700000000001</v>
      </c>
      <c r="DP227" s="53">
        <v>254.01300000000001</v>
      </c>
      <c r="DQ227" s="55"/>
      <c r="DR227" s="55"/>
      <c r="DS227" s="53">
        <v>818.61900000000003</v>
      </c>
      <c r="DT227" s="53">
        <v>3523.7730000000001</v>
      </c>
      <c r="DU227" s="53">
        <v>-891.25900000000001</v>
      </c>
      <c r="DV227" s="53">
        <v>-0.62699999999995271</v>
      </c>
      <c r="DW227" s="55"/>
      <c r="DX227" s="55"/>
      <c r="DY227" s="55"/>
      <c r="DZ227" s="55"/>
      <c r="EA227" s="55"/>
      <c r="EB227" s="55"/>
      <c r="EC227" s="55"/>
      <c r="ED227" s="55"/>
      <c r="EE227" s="55"/>
      <c r="EF227" s="55"/>
      <c r="EG227" s="55"/>
      <c r="EH227" s="55"/>
      <c r="EI227" s="55"/>
      <c r="EJ227" s="55"/>
      <c r="EK227" s="55"/>
      <c r="EL227" s="55"/>
      <c r="EM227" s="55"/>
      <c r="EN227" s="55"/>
      <c r="EO227" s="55"/>
      <c r="EP227" s="55"/>
      <c r="EQ227" s="55"/>
      <c r="ER227" s="55"/>
      <c r="ES227" s="55"/>
      <c r="ET227" s="55"/>
      <c r="EU227" s="55"/>
      <c r="EV227" s="55"/>
      <c r="EW227" s="55"/>
      <c r="EX227" s="55"/>
      <c r="EY227" s="55"/>
      <c r="EZ227" s="55"/>
      <c r="FA227" s="55"/>
      <c r="FB227" s="55"/>
      <c r="FC227" s="55"/>
      <c r="FD227" s="55"/>
      <c r="FE227" s="55"/>
      <c r="FF227" s="55"/>
      <c r="FG227" s="55"/>
      <c r="FH227" s="55"/>
      <c r="FI227" s="55"/>
      <c r="FJ227" s="55"/>
      <c r="FK227" s="55"/>
      <c r="FL227" s="55"/>
      <c r="FM227" s="55"/>
      <c r="FN227" s="55"/>
      <c r="FO227" s="55"/>
      <c r="FP227" s="55"/>
      <c r="FQ227" s="55"/>
      <c r="FR227" s="55"/>
      <c r="FS227" s="55"/>
      <c r="FT227" s="55"/>
      <c r="FU227" s="55"/>
      <c r="FV227" s="55"/>
      <c r="FW227" s="55"/>
      <c r="FX227" s="55"/>
      <c r="FY227" s="55"/>
      <c r="FZ227" s="55"/>
      <c r="GA227" s="55"/>
      <c r="GB227" s="55"/>
      <c r="GC227" s="55"/>
      <c r="GD227" s="55"/>
      <c r="GE227" s="55"/>
      <c r="GF227" s="55"/>
      <c r="GG227" s="55"/>
      <c r="GH227" s="55"/>
      <c r="GI227" s="55"/>
      <c r="GJ227" s="55"/>
      <c r="GK227" s="55"/>
      <c r="GL227" s="55"/>
      <c r="GM227" s="55"/>
      <c r="GN227" s="55"/>
      <c r="GO227" s="55"/>
      <c r="GP227" s="55"/>
      <c r="GQ227" s="55"/>
      <c r="GR227" s="55"/>
      <c r="GS227" s="55"/>
      <c r="GT227" s="55"/>
      <c r="GU227" s="55"/>
      <c r="GV227" s="55"/>
      <c r="GW227" s="55"/>
      <c r="GX227" s="55"/>
      <c r="GY227" s="19">
        <v>0.96437728937728928</v>
      </c>
      <c r="GZ227" s="53">
        <v>1053.0999999999999</v>
      </c>
      <c r="HA227" s="53">
        <v>1092</v>
      </c>
      <c r="HB227" s="55"/>
      <c r="HC227" s="55"/>
      <c r="HD227" s="55"/>
      <c r="HE227" s="55"/>
      <c r="HF227" s="53">
        <v>1070.3</v>
      </c>
      <c r="HG227" s="53">
        <v>1023.1</v>
      </c>
      <c r="HH227" s="53">
        <v>390.4</v>
      </c>
      <c r="HI227" s="53">
        <v>125.4</v>
      </c>
      <c r="HJ227" s="53">
        <v>498.9</v>
      </c>
      <c r="HK227" s="53">
        <v>8.3000000000000007</v>
      </c>
      <c r="HL227" s="53">
        <v>47.2</v>
      </c>
      <c r="HM227" s="55"/>
      <c r="HN227" s="55"/>
      <c r="HO227" s="55"/>
      <c r="HP227" s="53" t="e">
        <v>#VALUE!</v>
      </c>
      <c r="HQ227" s="53">
        <v>4.5999999999999996</v>
      </c>
      <c r="HR227" s="53">
        <v>11.4</v>
      </c>
      <c r="HS227" s="53" t="e">
        <v>#VALUE!</v>
      </c>
      <c r="HT227" s="53">
        <v>24.5</v>
      </c>
      <c r="HU227" s="55"/>
      <c r="HV227" s="55"/>
      <c r="HW227" s="53">
        <v>299.3</v>
      </c>
      <c r="HX227" s="53" t="e">
        <v>#VALUE!</v>
      </c>
      <c r="HY227" s="53">
        <v>299.3</v>
      </c>
      <c r="HZ227" s="53">
        <v>48.2</v>
      </c>
      <c r="IA227" s="53">
        <v>220.1</v>
      </c>
      <c r="IB227" s="53">
        <v>69.599999999999994</v>
      </c>
      <c r="IC227" s="53">
        <v>150.5</v>
      </c>
      <c r="ID227" s="53" t="e">
        <v>#VALUE!</v>
      </c>
      <c r="IE227" s="53" t="e">
        <v>#VALUE!</v>
      </c>
      <c r="IF227" s="53">
        <v>7.2</v>
      </c>
      <c r="IG227" s="53">
        <v>17.399999999999999</v>
      </c>
      <c r="IH227" s="55"/>
      <c r="II227" s="55"/>
      <c r="IJ227" s="55"/>
      <c r="IK227" s="55"/>
      <c r="IL227" s="55"/>
      <c r="IM227" s="55"/>
      <c r="IN227" s="53">
        <v>50.3</v>
      </c>
      <c r="IO227" s="53">
        <v>51.9</v>
      </c>
      <c r="IP227" s="53">
        <v>36.1</v>
      </c>
      <c r="IQ227" s="53">
        <v>36</v>
      </c>
      <c r="IR227" s="53">
        <v>18</v>
      </c>
      <c r="IS227" s="53" t="e">
        <v>#VALUE!</v>
      </c>
      <c r="IT227" s="53">
        <v>15.9</v>
      </c>
      <c r="IU227" s="53" t="e">
        <v>#VALUE!</v>
      </c>
      <c r="IV227" s="53">
        <v>0.1</v>
      </c>
      <c r="IY227" s="48">
        <f t="shared" si="11"/>
        <v>47.585972080354104</v>
      </c>
      <c r="IZ227" s="48">
        <f>IY227-'NOPA Crush'!J227</f>
        <v>-4.027919645899658E-3</v>
      </c>
      <c r="JB227" s="63">
        <f t="shared" si="9"/>
        <v>11.382362955396664</v>
      </c>
      <c r="JC227" s="64">
        <f>JB227-'NOPA Crush'!O227</f>
        <v>-6.7637044603335639E-2</v>
      </c>
      <c r="JD227" s="65"/>
      <c r="JE227" s="67">
        <f t="shared" si="10"/>
        <v>1712.6</v>
      </c>
      <c r="JF227" s="68">
        <f>'NOPA Crush'!Q227/'Census Crush'!JE227</f>
        <v>0.81176748802989607</v>
      </c>
    </row>
    <row r="228" spans="1:266">
      <c r="A228" s="39">
        <v>35977</v>
      </c>
      <c r="B228" s="51">
        <v>3713.8</v>
      </c>
      <c r="C228" s="51">
        <v>1324.3</v>
      </c>
      <c r="D228" s="51">
        <v>277.60000000000002</v>
      </c>
      <c r="E228" s="51">
        <v>563</v>
      </c>
      <c r="F228" s="51">
        <v>12.4</v>
      </c>
      <c r="G228" s="51" t="s">
        <v>264</v>
      </c>
      <c r="H228" s="51" t="s">
        <v>264</v>
      </c>
      <c r="I228" s="51" t="s">
        <v>264</v>
      </c>
      <c r="J228" s="51" t="s">
        <v>264</v>
      </c>
      <c r="K228" s="51">
        <v>1409.5</v>
      </c>
      <c r="L228" s="49">
        <v>1779.1000000000001</v>
      </c>
      <c r="M228" s="51">
        <v>1535.9</v>
      </c>
      <c r="N228" s="51">
        <v>243.2</v>
      </c>
      <c r="O228" s="51">
        <v>88.8</v>
      </c>
      <c r="P228" s="51">
        <v>118.7</v>
      </c>
      <c r="Q228" s="51">
        <v>28.3</v>
      </c>
      <c r="R228" s="51">
        <v>90.4</v>
      </c>
      <c r="S228" s="51"/>
      <c r="T228" s="51">
        <v>9.5</v>
      </c>
      <c r="U228" s="51">
        <v>41</v>
      </c>
      <c r="V228" s="51">
        <v>37.4</v>
      </c>
      <c r="W228" s="51">
        <v>3.6</v>
      </c>
      <c r="X228" s="51" t="s">
        <v>264</v>
      </c>
      <c r="Y228" s="51">
        <v>10.6</v>
      </c>
      <c r="Z228" s="49">
        <v>55.5</v>
      </c>
      <c r="AA228" s="51">
        <v>50.3</v>
      </c>
      <c r="AB228" s="51">
        <v>5.2</v>
      </c>
      <c r="AC228" s="51" t="s">
        <v>264</v>
      </c>
      <c r="AD228" s="51">
        <v>58.7</v>
      </c>
      <c r="AE228" s="51"/>
      <c r="AF228" s="51">
        <v>79.2</v>
      </c>
      <c r="AG228" s="51">
        <v>45.1</v>
      </c>
      <c r="AH228" s="51">
        <v>34.1</v>
      </c>
      <c r="AI228" s="51">
        <v>192.8</v>
      </c>
      <c r="AJ228" s="51"/>
      <c r="AK228" s="51"/>
      <c r="AL228" s="51">
        <v>114</v>
      </c>
      <c r="AM228" s="51">
        <v>64.099999999999994</v>
      </c>
      <c r="AN228" s="51">
        <v>49.9</v>
      </c>
      <c r="AO228" s="51">
        <v>2730.5</v>
      </c>
      <c r="AP228" s="51">
        <v>166.9</v>
      </c>
      <c r="AQ228" s="51">
        <v>211</v>
      </c>
      <c r="AR228" s="51">
        <v>38.5</v>
      </c>
      <c r="AS228" s="51">
        <v>124</v>
      </c>
      <c r="AT228" s="51">
        <v>95.3</v>
      </c>
      <c r="AU228" s="51">
        <v>71.8</v>
      </c>
      <c r="AV228" s="51">
        <v>38.200000000000003</v>
      </c>
      <c r="AW228" s="51">
        <v>6.5</v>
      </c>
      <c r="AX228" s="51" t="s">
        <v>264</v>
      </c>
      <c r="AY228" s="51" t="s">
        <v>264</v>
      </c>
      <c r="AZ228" s="51" t="s">
        <v>264</v>
      </c>
      <c r="BA228" s="51" t="s">
        <v>264</v>
      </c>
      <c r="BB228" s="51" t="s">
        <v>264</v>
      </c>
      <c r="BC228" s="51"/>
      <c r="BD228" s="53">
        <v>136.6</v>
      </c>
      <c r="BE228" s="53">
        <v>48.7</v>
      </c>
      <c r="BF228" s="55"/>
      <c r="BG228" s="55"/>
      <c r="BH228" s="53">
        <v>306.5</v>
      </c>
      <c r="BI228" s="55"/>
      <c r="BJ228" s="55"/>
      <c r="BK228" s="53">
        <v>248.5</v>
      </c>
      <c r="BL228" s="53">
        <v>3.1</v>
      </c>
      <c r="BM228" s="53">
        <v>558.20000000000005</v>
      </c>
      <c r="BN228" s="53">
        <v>297.2</v>
      </c>
      <c r="BO228" s="55"/>
      <c r="BP228" s="55"/>
      <c r="BQ228" s="53">
        <v>176.4</v>
      </c>
      <c r="BR228" s="53">
        <v>4.9000000000000004</v>
      </c>
      <c r="BS228" s="53">
        <v>478.5</v>
      </c>
      <c r="BT228" s="52" t="s">
        <v>264</v>
      </c>
      <c r="BU228" s="53">
        <v>44.8</v>
      </c>
      <c r="BV228" s="51">
        <v>355.1</v>
      </c>
      <c r="BW228" s="51">
        <v>106.6</v>
      </c>
      <c r="BX228" s="51">
        <v>465.5</v>
      </c>
      <c r="BY228" s="51">
        <v>56.6</v>
      </c>
      <c r="BZ228" s="51">
        <v>12.3</v>
      </c>
      <c r="CA228" s="49">
        <v>68.900000000000006</v>
      </c>
      <c r="CB228" s="55"/>
      <c r="CC228" s="55"/>
      <c r="CD228" s="55"/>
      <c r="CE228" s="55"/>
      <c r="CF228" s="53">
        <v>132</v>
      </c>
      <c r="CG228" s="53">
        <v>278.39999999999998</v>
      </c>
      <c r="CH228" s="53">
        <v>14.7</v>
      </c>
      <c r="CI228" s="55"/>
      <c r="CJ228" s="55"/>
      <c r="CK228" s="55"/>
      <c r="CL228" s="55"/>
      <c r="CM228" s="55"/>
      <c r="CN228" s="53">
        <v>33.9</v>
      </c>
      <c r="CO228" s="52">
        <v>424.6</v>
      </c>
      <c r="CP228" s="53">
        <v>306.8</v>
      </c>
      <c r="CQ228" s="53">
        <v>117.8</v>
      </c>
      <c r="CR228" s="52" t="s">
        <v>264</v>
      </c>
      <c r="CS228" s="52">
        <v>45.3</v>
      </c>
      <c r="CT228" s="52">
        <v>22.8</v>
      </c>
      <c r="CU228" s="52">
        <v>22.5</v>
      </c>
      <c r="CV228" s="52">
        <v>36.4</v>
      </c>
      <c r="CW228" s="53">
        <v>8</v>
      </c>
      <c r="CX228" s="53">
        <v>28.4</v>
      </c>
      <c r="CY228" s="53" t="s">
        <v>264</v>
      </c>
      <c r="CZ228" s="53">
        <v>72.5</v>
      </c>
      <c r="DA228" s="52">
        <v>30.5</v>
      </c>
      <c r="DB228" s="53">
        <v>28.8</v>
      </c>
      <c r="DC228" s="53">
        <v>1.7</v>
      </c>
      <c r="DD228" s="55"/>
      <c r="DE228" s="55"/>
      <c r="DF228" s="55"/>
      <c r="DG228" s="55"/>
      <c r="DH228" s="55"/>
      <c r="DI228" s="53">
        <v>714.78599999999994</v>
      </c>
      <c r="DJ228" s="53">
        <v>326.87</v>
      </c>
      <c r="DK228" s="55"/>
      <c r="DL228" s="53">
        <v>156.02699999999999</v>
      </c>
      <c r="DM228" s="53">
        <v>271.93599999999998</v>
      </c>
      <c r="DN228" s="55"/>
      <c r="DO228" s="53">
        <v>174.274</v>
      </c>
      <c r="DP228" s="53">
        <v>253.67699999999999</v>
      </c>
      <c r="DQ228" s="55"/>
      <c r="DR228" s="55"/>
      <c r="DS228" s="53">
        <v>868.35299999999995</v>
      </c>
      <c r="DT228" s="53">
        <v>3713.056</v>
      </c>
      <c r="DU228" s="53">
        <v>-947.13300000000027</v>
      </c>
      <c r="DV228" s="53">
        <v>-0.74400000000014188</v>
      </c>
      <c r="DW228" s="55"/>
      <c r="DX228" s="55"/>
      <c r="DY228" s="55"/>
      <c r="DZ228" s="55"/>
      <c r="EA228" s="55"/>
      <c r="EB228" s="55"/>
      <c r="EC228" s="55"/>
      <c r="ED228" s="55"/>
      <c r="EE228" s="55"/>
      <c r="EF228" s="55"/>
      <c r="EG228" s="55"/>
      <c r="EH228" s="55"/>
      <c r="EI228" s="55"/>
      <c r="EJ228" s="55"/>
      <c r="EK228" s="55"/>
      <c r="EL228" s="55"/>
      <c r="EM228" s="55"/>
      <c r="EN228" s="55"/>
      <c r="EO228" s="55"/>
      <c r="EP228" s="55"/>
      <c r="EQ228" s="55"/>
      <c r="ER228" s="55"/>
      <c r="ES228" s="55"/>
      <c r="ET228" s="55"/>
      <c r="EU228" s="55"/>
      <c r="EV228" s="55"/>
      <c r="EW228" s="55"/>
      <c r="EX228" s="55"/>
      <c r="EY228" s="55"/>
      <c r="EZ228" s="55"/>
      <c r="FA228" s="55"/>
      <c r="FB228" s="55"/>
      <c r="FC228" s="55"/>
      <c r="FD228" s="55"/>
      <c r="FE228" s="55"/>
      <c r="FF228" s="55"/>
      <c r="FG228" s="55"/>
      <c r="FH228" s="55"/>
      <c r="FI228" s="55"/>
      <c r="FJ228" s="55"/>
      <c r="FK228" s="55"/>
      <c r="FL228" s="55"/>
      <c r="FM228" s="55"/>
      <c r="FN228" s="55"/>
      <c r="FO228" s="55"/>
      <c r="FP228" s="55"/>
      <c r="FQ228" s="55"/>
      <c r="FR228" s="55"/>
      <c r="FS228" s="55"/>
      <c r="FT228" s="55"/>
      <c r="FU228" s="55"/>
      <c r="FV228" s="55"/>
      <c r="FW228" s="55"/>
      <c r="FX228" s="55"/>
      <c r="FY228" s="55"/>
      <c r="FZ228" s="55"/>
      <c r="GA228" s="55"/>
      <c r="GB228" s="55"/>
      <c r="GC228" s="55"/>
      <c r="GD228" s="55"/>
      <c r="GE228" s="55"/>
      <c r="GF228" s="55"/>
      <c r="GG228" s="55"/>
      <c r="GH228" s="55"/>
      <c r="GI228" s="55"/>
      <c r="GJ228" s="55"/>
      <c r="GK228" s="55"/>
      <c r="GL228" s="55"/>
      <c r="GM228" s="55"/>
      <c r="GN228" s="55"/>
      <c r="GO228" s="55"/>
      <c r="GP228" s="55"/>
      <c r="GQ228" s="55"/>
      <c r="GR228" s="55"/>
      <c r="GS228" s="55"/>
      <c r="GT228" s="55"/>
      <c r="GU228" s="55"/>
      <c r="GV228" s="55"/>
      <c r="GW228" s="55"/>
      <c r="GX228" s="55"/>
      <c r="GY228" s="19">
        <v>0.96320981071714218</v>
      </c>
      <c r="GZ228" s="53">
        <v>1083.9000000000001</v>
      </c>
      <c r="HA228" s="53">
        <v>1125.3</v>
      </c>
      <c r="HB228" s="55"/>
      <c r="HC228" s="55"/>
      <c r="HD228" s="55"/>
      <c r="HE228" s="55"/>
      <c r="HF228" s="53">
        <v>1062.4000000000001</v>
      </c>
      <c r="HG228" s="53">
        <v>1012.9</v>
      </c>
      <c r="HH228" s="53">
        <v>393.3</v>
      </c>
      <c r="HI228" s="53">
        <v>119</v>
      </c>
      <c r="HJ228" s="53">
        <v>494.1</v>
      </c>
      <c r="HK228" s="53">
        <v>6.5</v>
      </c>
      <c r="HL228" s="53">
        <v>49.4</v>
      </c>
      <c r="HM228" s="55"/>
      <c r="HN228" s="55"/>
      <c r="HO228" s="55"/>
      <c r="HP228" s="53" t="e">
        <v>#VALUE!</v>
      </c>
      <c r="HQ228" s="53">
        <v>5.8</v>
      </c>
      <c r="HR228" s="53">
        <v>8</v>
      </c>
      <c r="HS228" s="53" t="e">
        <v>#VALUE!</v>
      </c>
      <c r="HT228" s="53">
        <v>30.7</v>
      </c>
      <c r="HU228" s="55"/>
      <c r="HV228" s="55"/>
      <c r="HW228" s="53">
        <v>295.2</v>
      </c>
      <c r="HX228" s="53" t="e">
        <v>#VALUE!</v>
      </c>
      <c r="HY228" s="53">
        <v>295.2</v>
      </c>
      <c r="HZ228" s="53">
        <v>51.6</v>
      </c>
      <c r="IA228" s="53">
        <v>211.6</v>
      </c>
      <c r="IB228" s="53">
        <v>60</v>
      </c>
      <c r="IC228" s="53">
        <v>151.6</v>
      </c>
      <c r="ID228" s="53" t="e">
        <v>#VALUE!</v>
      </c>
      <c r="IE228" s="53" t="e">
        <v>#VALUE!</v>
      </c>
      <c r="IF228" s="53">
        <v>7.7</v>
      </c>
      <c r="IG228" s="53">
        <v>19.100000000000001</v>
      </c>
      <c r="IH228" s="55"/>
      <c r="II228" s="55"/>
      <c r="IJ228" s="55"/>
      <c r="IK228" s="55"/>
      <c r="IL228" s="55"/>
      <c r="IM228" s="55"/>
      <c r="IN228" s="53">
        <v>53</v>
      </c>
      <c r="IO228" s="53">
        <v>54.9</v>
      </c>
      <c r="IP228" s="53">
        <v>35.700000000000003</v>
      </c>
      <c r="IQ228" s="53">
        <v>35.4</v>
      </c>
      <c r="IR228" s="53">
        <v>17.3</v>
      </c>
      <c r="IS228" s="53" t="e">
        <v>#VALUE!</v>
      </c>
      <c r="IT228" s="53">
        <v>16.100000000000001</v>
      </c>
      <c r="IU228" s="53" t="e">
        <v>#VALUE!</v>
      </c>
      <c r="IV228" s="53" t="e">
        <v>#VALUE!</v>
      </c>
      <c r="IY228" s="48">
        <f t="shared" si="11"/>
        <v>47.522752975389089</v>
      </c>
      <c r="IZ228" s="48">
        <f>IY228-'NOPA Crush'!J228</f>
        <v>2.752975389086032E-3</v>
      </c>
      <c r="JB228" s="63">
        <f t="shared" si="9"/>
        <v>11.385912003877429</v>
      </c>
      <c r="JC228" s="64">
        <f>JB228-'NOPA Crush'!O228</f>
        <v>-3.408799612257063E-2</v>
      </c>
      <c r="JD228" s="65"/>
      <c r="JE228" s="67">
        <f t="shared" si="10"/>
        <v>1779.1000000000001</v>
      </c>
      <c r="JF228" s="68">
        <f>'NOPA Crush'!Q228/'Census Crush'!JE228</f>
        <v>0.76712438873587763</v>
      </c>
    </row>
    <row r="229" spans="1:266">
      <c r="A229" s="39">
        <v>36008</v>
      </c>
      <c r="B229" s="51">
        <v>3358.3</v>
      </c>
      <c r="C229" s="51">
        <v>987.9</v>
      </c>
      <c r="D229" s="51">
        <v>246</v>
      </c>
      <c r="E229" s="51">
        <v>450.7</v>
      </c>
      <c r="F229" s="51">
        <v>8.6999999999999993</v>
      </c>
      <c r="G229" s="51" t="s">
        <v>264</v>
      </c>
      <c r="H229" s="51" t="s">
        <v>264</v>
      </c>
      <c r="I229" s="51" t="s">
        <v>264</v>
      </c>
      <c r="J229" s="51" t="s">
        <v>264</v>
      </c>
      <c r="K229" s="51">
        <v>1285.5999999999999</v>
      </c>
      <c r="L229" s="49">
        <v>1453.1</v>
      </c>
      <c r="M229" s="51">
        <v>1240.0999999999999</v>
      </c>
      <c r="N229" s="51">
        <v>213</v>
      </c>
      <c r="O229" s="51">
        <v>77.8</v>
      </c>
      <c r="P229" s="51">
        <v>97.3</v>
      </c>
      <c r="Q229" s="51">
        <v>22.2</v>
      </c>
      <c r="R229" s="51">
        <v>75.099999999999994</v>
      </c>
      <c r="S229" s="51"/>
      <c r="T229" s="51">
        <v>6.3</v>
      </c>
      <c r="U229" s="51">
        <v>73.100000000000009</v>
      </c>
      <c r="V229" s="51">
        <v>70.400000000000006</v>
      </c>
      <c r="W229" s="51">
        <v>2.7</v>
      </c>
      <c r="X229" s="51" t="s">
        <v>264</v>
      </c>
      <c r="Y229" s="51" t="s">
        <v>264</v>
      </c>
      <c r="Z229" s="49">
        <v>57</v>
      </c>
      <c r="AA229" s="51">
        <v>51.8</v>
      </c>
      <c r="AB229" s="51">
        <v>5.2</v>
      </c>
      <c r="AC229" s="51" t="s">
        <v>264</v>
      </c>
      <c r="AD229" s="51">
        <v>65.8</v>
      </c>
      <c r="AE229" s="51"/>
      <c r="AF229" s="51">
        <v>118.30000000000001</v>
      </c>
      <c r="AG229" s="51">
        <v>85.7</v>
      </c>
      <c r="AH229" s="51">
        <v>32.6</v>
      </c>
      <c r="AI229" s="51">
        <v>202.8</v>
      </c>
      <c r="AJ229" s="51"/>
      <c r="AK229" s="51"/>
      <c r="AL229" s="51">
        <v>120.8</v>
      </c>
      <c r="AM229" s="51">
        <v>58.3</v>
      </c>
      <c r="AN229" s="51">
        <v>62.5</v>
      </c>
      <c r="AO229" s="51">
        <v>2477.4</v>
      </c>
      <c r="AP229" s="51">
        <v>149.80000000000001</v>
      </c>
      <c r="AQ229" s="51">
        <v>188.2</v>
      </c>
      <c r="AR229" s="51">
        <v>35.4</v>
      </c>
      <c r="AS229" s="51">
        <v>114.7</v>
      </c>
      <c r="AT229" s="51">
        <v>110.5</v>
      </c>
      <c r="AU229" s="51">
        <v>64.900000000000006</v>
      </c>
      <c r="AV229" s="51">
        <v>35.1</v>
      </c>
      <c r="AW229" s="51">
        <v>4</v>
      </c>
      <c r="AX229" s="51" t="s">
        <v>264</v>
      </c>
      <c r="AY229" s="51" t="s">
        <v>264</v>
      </c>
      <c r="AZ229" s="51" t="s">
        <v>264</v>
      </c>
      <c r="BA229" s="51" t="s">
        <v>264</v>
      </c>
      <c r="BB229" s="51" t="s">
        <v>264</v>
      </c>
      <c r="BC229" s="51"/>
      <c r="BD229" s="53">
        <v>132.5</v>
      </c>
      <c r="BE229" s="53">
        <v>50.8</v>
      </c>
      <c r="BF229" s="55"/>
      <c r="BG229" s="55"/>
      <c r="BH229" s="53">
        <v>286.60000000000002</v>
      </c>
      <c r="BI229" s="55"/>
      <c r="BJ229" s="55"/>
      <c r="BK229" s="53">
        <v>237.7</v>
      </c>
      <c r="BL229" s="53">
        <v>2.6</v>
      </c>
      <c r="BM229" s="53">
        <v>526.9</v>
      </c>
      <c r="BN229" s="53">
        <v>286.8</v>
      </c>
      <c r="BO229" s="55"/>
      <c r="BP229" s="55"/>
      <c r="BQ229" s="53">
        <v>158.4</v>
      </c>
      <c r="BR229" s="53">
        <v>5</v>
      </c>
      <c r="BS229" s="53">
        <v>450.20000000000005</v>
      </c>
      <c r="BT229" s="52" t="s">
        <v>264</v>
      </c>
      <c r="BU229" s="53">
        <v>38.799999999999997</v>
      </c>
      <c r="BV229" s="51">
        <v>336.4</v>
      </c>
      <c r="BW229" s="51">
        <v>101.1</v>
      </c>
      <c r="BX229" s="51">
        <v>442.3</v>
      </c>
      <c r="BY229" s="51">
        <v>72.2</v>
      </c>
      <c r="BZ229" s="51">
        <v>10.7</v>
      </c>
      <c r="CA229" s="49">
        <v>82.9</v>
      </c>
      <c r="CB229" s="55"/>
      <c r="CC229" s="55"/>
      <c r="CD229" s="55"/>
      <c r="CE229" s="55"/>
      <c r="CF229" s="53">
        <v>120.2</v>
      </c>
      <c r="CG229" s="53">
        <v>245.2</v>
      </c>
      <c r="CH229" s="53">
        <v>15.3</v>
      </c>
      <c r="CI229" s="55"/>
      <c r="CJ229" s="55"/>
      <c r="CK229" s="55"/>
      <c r="CL229" s="55"/>
      <c r="CM229" s="55"/>
      <c r="CN229" s="53">
        <v>31</v>
      </c>
      <c r="CO229" s="52">
        <v>434.4</v>
      </c>
      <c r="CP229" s="53">
        <v>307.89999999999998</v>
      </c>
      <c r="CQ229" s="53">
        <v>126.5</v>
      </c>
      <c r="CR229" s="52" t="s">
        <v>264</v>
      </c>
      <c r="CS229" s="52">
        <v>38.5</v>
      </c>
      <c r="CT229" s="52">
        <v>21.4</v>
      </c>
      <c r="CU229" s="52">
        <v>17.100000000000001</v>
      </c>
      <c r="CV229" s="52">
        <v>33.9</v>
      </c>
      <c r="CW229" s="53">
        <v>4.3</v>
      </c>
      <c r="CX229" s="53">
        <v>29.6</v>
      </c>
      <c r="CY229" s="53" t="s">
        <v>264</v>
      </c>
      <c r="CZ229" s="53">
        <v>76.3</v>
      </c>
      <c r="DA229" s="52">
        <v>32.299999999999997</v>
      </c>
      <c r="DB229" s="53">
        <v>31.2</v>
      </c>
      <c r="DC229" s="53">
        <v>1.1000000000000001</v>
      </c>
      <c r="DD229" s="55"/>
      <c r="DE229" s="55"/>
      <c r="DF229" s="55"/>
      <c r="DG229" s="55"/>
      <c r="DH229" s="55"/>
      <c r="DI229" s="53">
        <v>520.15800000000002</v>
      </c>
      <c r="DJ229" s="53">
        <v>304.14100000000002</v>
      </c>
      <c r="DK229" s="55"/>
      <c r="DL229" s="53">
        <v>122.922</v>
      </c>
      <c r="DM229" s="53">
        <v>267.25700000000001</v>
      </c>
      <c r="DN229" s="55"/>
      <c r="DO229" s="53">
        <v>210.40899999999999</v>
      </c>
      <c r="DP229" s="53">
        <v>238.84700000000001</v>
      </c>
      <c r="DQ229" s="55"/>
      <c r="DR229" s="55"/>
      <c r="DS229" s="53">
        <v>804.41899999999998</v>
      </c>
      <c r="DT229" s="53">
        <v>3355.7930000000001</v>
      </c>
      <c r="DU229" s="53">
        <v>-887.63999999999987</v>
      </c>
      <c r="DV229" s="53">
        <v>-2.5070000000000618</v>
      </c>
      <c r="DW229" s="55"/>
      <c r="DX229" s="55"/>
      <c r="DY229" s="55"/>
      <c r="DZ229" s="55"/>
      <c r="EA229" s="55"/>
      <c r="EB229" s="55"/>
      <c r="EC229" s="55"/>
      <c r="ED229" s="55"/>
      <c r="EE229" s="55"/>
      <c r="EF229" s="55"/>
      <c r="EG229" s="55"/>
      <c r="EH229" s="55"/>
      <c r="EI229" s="55"/>
      <c r="EJ229" s="55"/>
      <c r="EK229" s="55"/>
      <c r="EL229" s="55"/>
      <c r="EM229" s="55"/>
      <c r="EN229" s="55"/>
      <c r="EO229" s="55"/>
      <c r="EP229" s="55"/>
      <c r="EQ229" s="55"/>
      <c r="ER229" s="55"/>
      <c r="ES229" s="55"/>
      <c r="ET229" s="55"/>
      <c r="EU229" s="55"/>
      <c r="EV229" s="55"/>
      <c r="EW229" s="55"/>
      <c r="EX229" s="55"/>
      <c r="EY229" s="55"/>
      <c r="EZ229" s="55"/>
      <c r="FA229" s="55"/>
      <c r="FB229" s="55"/>
      <c r="FC229" s="55"/>
      <c r="FD229" s="55"/>
      <c r="FE229" s="55"/>
      <c r="FF229" s="55"/>
      <c r="FG229" s="55"/>
      <c r="FH229" s="55"/>
      <c r="FI229" s="55"/>
      <c r="FJ229" s="55"/>
      <c r="FK229" s="55"/>
      <c r="FL229" s="55"/>
      <c r="FM229" s="55"/>
      <c r="FN229" s="55"/>
      <c r="FO229" s="55"/>
      <c r="FP229" s="55"/>
      <c r="FQ229" s="55"/>
      <c r="FR229" s="55"/>
      <c r="FS229" s="55"/>
      <c r="FT229" s="55"/>
      <c r="FU229" s="55"/>
      <c r="FV229" s="55"/>
      <c r="FW229" s="55"/>
      <c r="FX229" s="55"/>
      <c r="FY229" s="55"/>
      <c r="FZ229" s="55"/>
      <c r="GA229" s="55"/>
      <c r="GB229" s="55"/>
      <c r="GC229" s="55"/>
      <c r="GD229" s="55"/>
      <c r="GE229" s="55"/>
      <c r="GF229" s="55"/>
      <c r="GG229" s="55"/>
      <c r="GH229" s="55"/>
      <c r="GI229" s="55"/>
      <c r="GJ229" s="55"/>
      <c r="GK229" s="55"/>
      <c r="GL229" s="55"/>
      <c r="GM229" s="55"/>
      <c r="GN229" s="55"/>
      <c r="GO229" s="55"/>
      <c r="GP229" s="55"/>
      <c r="GQ229" s="55"/>
      <c r="GR229" s="55"/>
      <c r="GS229" s="55"/>
      <c r="GT229" s="55"/>
      <c r="GU229" s="55"/>
      <c r="GV229" s="55"/>
      <c r="GW229" s="55"/>
      <c r="GX229" s="55"/>
      <c r="GY229" s="19">
        <v>0.96488775594112342</v>
      </c>
      <c r="GZ229" s="53">
        <v>1173.4000000000001</v>
      </c>
      <c r="HA229" s="53">
        <v>1216.0999999999999</v>
      </c>
      <c r="HB229" s="55"/>
      <c r="HC229" s="55"/>
      <c r="HD229" s="55"/>
      <c r="HE229" s="55"/>
      <c r="HF229" s="53">
        <v>1123.5</v>
      </c>
      <c r="HG229" s="53">
        <v>1087.0999999999999</v>
      </c>
      <c r="HH229" s="53">
        <v>423.6</v>
      </c>
      <c r="HI229" s="53">
        <v>131</v>
      </c>
      <c r="HJ229" s="53">
        <v>524.79999999999995</v>
      </c>
      <c r="HK229" s="53">
        <v>7.7</v>
      </c>
      <c r="HL229" s="53">
        <v>36.4</v>
      </c>
      <c r="HM229" s="55"/>
      <c r="HN229" s="55"/>
      <c r="HO229" s="55"/>
      <c r="HP229" s="53" t="e">
        <v>#VALUE!</v>
      </c>
      <c r="HQ229" s="53">
        <v>3.7</v>
      </c>
      <c r="HR229" s="53">
        <v>10.4</v>
      </c>
      <c r="HS229" s="53" t="e">
        <v>#VALUE!</v>
      </c>
      <c r="HT229" s="53">
        <v>16.8</v>
      </c>
      <c r="HU229" s="55"/>
      <c r="HV229" s="55"/>
      <c r="HW229" s="53">
        <v>289.10000000000002</v>
      </c>
      <c r="HX229" s="53" t="e">
        <v>#VALUE!</v>
      </c>
      <c r="HY229" s="53">
        <v>289.10000000000002</v>
      </c>
      <c r="HZ229" s="53">
        <v>47.3</v>
      </c>
      <c r="IA229" s="53">
        <v>209.6</v>
      </c>
      <c r="IB229" s="53">
        <v>65.7</v>
      </c>
      <c r="IC229" s="53">
        <v>143.9</v>
      </c>
      <c r="ID229" s="53" t="e">
        <v>#VALUE!</v>
      </c>
      <c r="IE229" s="53" t="e">
        <v>#VALUE!</v>
      </c>
      <c r="IF229" s="53">
        <v>7.9</v>
      </c>
      <c r="IG229" s="53">
        <v>18.8</v>
      </c>
      <c r="IH229" s="55"/>
      <c r="II229" s="55"/>
      <c r="IJ229" s="55"/>
      <c r="IK229" s="55"/>
      <c r="IL229" s="55"/>
      <c r="IM229" s="55"/>
      <c r="IN229" s="53">
        <v>55.8</v>
      </c>
      <c r="IO229" s="53">
        <v>57.5</v>
      </c>
      <c r="IP229" s="53" t="e">
        <v>#VALUE!</v>
      </c>
      <c r="IQ229" s="53">
        <v>37.6</v>
      </c>
      <c r="IR229" s="53">
        <v>17.5</v>
      </c>
      <c r="IS229" s="53" t="e">
        <v>#VALUE!</v>
      </c>
      <c r="IT229" s="53">
        <v>18</v>
      </c>
      <c r="IU229" s="53" t="e">
        <v>#VALUE!</v>
      </c>
      <c r="IV229" s="53" t="e">
        <v>#VALUE!</v>
      </c>
      <c r="IY229" s="48">
        <f t="shared" si="11"/>
        <v>47.62409552452133</v>
      </c>
      <c r="IZ229" s="48">
        <f>IY229-'NOPA Crush'!J229</f>
        <v>-0.23590447547866944</v>
      </c>
      <c r="JB229" s="63">
        <f t="shared" si="9"/>
        <v>11.484381978977456</v>
      </c>
      <c r="JC229" s="64">
        <f>JB229-'NOPA Crush'!O229</f>
        <v>-6.5618021022544326E-2</v>
      </c>
      <c r="JD229" s="65"/>
      <c r="JE229" s="67">
        <f t="shared" si="10"/>
        <v>1453.1</v>
      </c>
      <c r="JF229" s="68">
        <f>'NOPA Crush'!Q229/'Census Crush'!JE229</f>
        <v>0.7955956231505058</v>
      </c>
    </row>
    <row r="230" spans="1:266">
      <c r="A230" s="39">
        <v>36039</v>
      </c>
      <c r="B230" s="51">
        <v>3717.2</v>
      </c>
      <c r="C230" s="51">
        <v>1995.7</v>
      </c>
      <c r="D230" s="51">
        <v>174.9</v>
      </c>
      <c r="E230" s="51">
        <v>560.20000000000005</v>
      </c>
      <c r="F230" s="51">
        <v>7.5</v>
      </c>
      <c r="G230" s="51" t="s">
        <v>264</v>
      </c>
      <c r="H230" s="51" t="s">
        <v>264</v>
      </c>
      <c r="I230" s="51" t="s">
        <v>264</v>
      </c>
      <c r="J230" s="51" t="s">
        <v>264</v>
      </c>
      <c r="K230" s="51">
        <v>1410.3</v>
      </c>
      <c r="L230" s="49">
        <v>1382.4</v>
      </c>
      <c r="M230" s="51">
        <v>1167.4000000000001</v>
      </c>
      <c r="N230" s="51">
        <v>215</v>
      </c>
      <c r="O230" s="51">
        <v>59.6</v>
      </c>
      <c r="P230" s="51">
        <v>78.599999999999994</v>
      </c>
      <c r="Q230" s="51">
        <v>20.5</v>
      </c>
      <c r="R230" s="51">
        <v>58.1</v>
      </c>
      <c r="S230" s="51"/>
      <c r="T230" s="51">
        <v>5.8</v>
      </c>
      <c r="U230" s="51">
        <v>58.199999999999996</v>
      </c>
      <c r="V230" s="51">
        <v>54.3</v>
      </c>
      <c r="W230" s="51">
        <v>3.9</v>
      </c>
      <c r="X230" s="51" t="s">
        <v>264</v>
      </c>
      <c r="Y230" s="51" t="s">
        <v>264</v>
      </c>
      <c r="Z230" s="49">
        <v>59.5</v>
      </c>
      <c r="AA230" s="51">
        <v>54.5</v>
      </c>
      <c r="AB230" s="51">
        <v>5</v>
      </c>
      <c r="AC230" s="51" t="s">
        <v>264</v>
      </c>
      <c r="AD230" s="51">
        <v>54</v>
      </c>
      <c r="AE230" s="51"/>
      <c r="AF230" s="51">
        <v>112.1</v>
      </c>
      <c r="AG230" s="51">
        <v>83.7</v>
      </c>
      <c r="AH230" s="51">
        <v>28.4</v>
      </c>
      <c r="AI230" s="51">
        <v>188.9</v>
      </c>
      <c r="AJ230" s="51"/>
      <c r="AK230" s="51"/>
      <c r="AL230" s="51">
        <v>101.9</v>
      </c>
      <c r="AM230" s="51">
        <v>66.400000000000006</v>
      </c>
      <c r="AN230" s="51">
        <v>35.5</v>
      </c>
      <c r="AO230" s="51">
        <v>2721.9</v>
      </c>
      <c r="AP230" s="51">
        <v>177</v>
      </c>
      <c r="AQ230" s="51">
        <v>208.8</v>
      </c>
      <c r="AR230" s="51">
        <v>41.1</v>
      </c>
      <c r="AS230" s="51">
        <v>77.099999999999994</v>
      </c>
      <c r="AT230" s="51">
        <v>87.9</v>
      </c>
      <c r="AU230" s="51">
        <v>48.2</v>
      </c>
      <c r="AV230" s="51">
        <v>19.5</v>
      </c>
      <c r="AW230" s="51">
        <v>3.7</v>
      </c>
      <c r="AX230" s="51" t="s">
        <v>264</v>
      </c>
      <c r="AY230" s="51" t="s">
        <v>264</v>
      </c>
      <c r="AZ230" s="51" t="s">
        <v>264</v>
      </c>
      <c r="BA230" s="51" t="s">
        <v>264</v>
      </c>
      <c r="BB230" s="51" t="s">
        <v>264</v>
      </c>
      <c r="BC230" s="51"/>
      <c r="BD230" s="53">
        <v>133.80000000000001</v>
      </c>
      <c r="BE230" s="53">
        <v>46.1</v>
      </c>
      <c r="BF230" s="55"/>
      <c r="BG230" s="55"/>
      <c r="BH230" s="53">
        <v>299.89999999999998</v>
      </c>
      <c r="BI230" s="55"/>
      <c r="BJ230" s="55"/>
      <c r="BK230" s="53">
        <v>259.5</v>
      </c>
      <c r="BL230" s="53">
        <v>2.9</v>
      </c>
      <c r="BM230" s="53">
        <v>562.29999999999995</v>
      </c>
      <c r="BN230" s="53">
        <v>300.8</v>
      </c>
      <c r="BO230" s="55"/>
      <c r="BP230" s="55"/>
      <c r="BQ230" s="53">
        <v>146</v>
      </c>
      <c r="BR230" s="53">
        <v>4.9000000000000004</v>
      </c>
      <c r="BS230" s="53">
        <v>451.7</v>
      </c>
      <c r="BT230" s="52" t="s">
        <v>264</v>
      </c>
      <c r="BU230" s="53">
        <v>40.4</v>
      </c>
      <c r="BV230" s="51">
        <v>349.1</v>
      </c>
      <c r="BW230" s="51">
        <v>109.7</v>
      </c>
      <c r="BX230" s="51">
        <v>463.5</v>
      </c>
      <c r="BY230" s="51">
        <v>56.9</v>
      </c>
      <c r="BZ230" s="51">
        <v>13.9</v>
      </c>
      <c r="CA230" s="49">
        <v>70.8</v>
      </c>
      <c r="CB230" s="55"/>
      <c r="CC230" s="55"/>
      <c r="CD230" s="55"/>
      <c r="CE230" s="55"/>
      <c r="CF230" s="53">
        <v>121.1</v>
      </c>
      <c r="CG230" s="53">
        <v>268.7</v>
      </c>
      <c r="CH230" s="53">
        <v>15.1</v>
      </c>
      <c r="CI230" s="55"/>
      <c r="CJ230" s="55"/>
      <c r="CK230" s="55"/>
      <c r="CL230" s="55"/>
      <c r="CM230" s="55"/>
      <c r="CN230" s="53">
        <v>15.6</v>
      </c>
      <c r="CO230" s="52">
        <v>392.7</v>
      </c>
      <c r="CP230" s="53">
        <v>291</v>
      </c>
      <c r="CQ230" s="53">
        <v>101.7</v>
      </c>
      <c r="CR230" s="52" t="s">
        <v>264</v>
      </c>
      <c r="CS230" s="52">
        <v>55.400000000000006</v>
      </c>
      <c r="CT230" s="52">
        <v>24.6</v>
      </c>
      <c r="CU230" s="52">
        <v>30.8</v>
      </c>
      <c r="CV230" s="52">
        <v>35.6</v>
      </c>
      <c r="CW230" s="53">
        <v>11</v>
      </c>
      <c r="CX230" s="53">
        <v>24.6</v>
      </c>
      <c r="CY230" s="53" t="s">
        <v>264</v>
      </c>
      <c r="CZ230" s="53">
        <v>63.4</v>
      </c>
      <c r="DA230" s="52">
        <v>38.200000000000003</v>
      </c>
      <c r="DB230" s="53">
        <v>36.200000000000003</v>
      </c>
      <c r="DC230" s="53">
        <v>2</v>
      </c>
      <c r="DD230" s="55"/>
      <c r="DE230" s="55"/>
      <c r="DF230" s="55"/>
      <c r="DG230" s="55"/>
      <c r="DH230" s="55"/>
      <c r="DI230" s="53">
        <v>681.55399999999997</v>
      </c>
      <c r="DJ230" s="53">
        <v>296.54199999999997</v>
      </c>
      <c r="DK230" s="55"/>
      <c r="DL230" s="53">
        <v>164.37</v>
      </c>
      <c r="DM230" s="53">
        <v>214.09399999999999</v>
      </c>
      <c r="DN230" s="55"/>
      <c r="DO230" s="53">
        <v>218.751</v>
      </c>
      <c r="DP230" s="53">
        <v>264.04700000000003</v>
      </c>
      <c r="DQ230" s="55"/>
      <c r="DR230" s="55"/>
      <c r="DS230" s="53">
        <v>889.33500000000004</v>
      </c>
      <c r="DT230" s="53">
        <v>3716.2919999999999</v>
      </c>
      <c r="DU230" s="53">
        <v>-987.59899999999971</v>
      </c>
      <c r="DV230" s="53">
        <v>-0.90799999999990177</v>
      </c>
      <c r="DW230" s="55"/>
      <c r="DX230" s="55"/>
      <c r="DY230" s="55"/>
      <c r="DZ230" s="55"/>
      <c r="EA230" s="55"/>
      <c r="EB230" s="55"/>
      <c r="EC230" s="55"/>
      <c r="ED230" s="55"/>
      <c r="EE230" s="55"/>
      <c r="EF230" s="55"/>
      <c r="EG230" s="55"/>
      <c r="EH230" s="55"/>
      <c r="EI230" s="55"/>
      <c r="EJ230" s="55"/>
      <c r="EK230" s="55"/>
      <c r="EL230" s="55"/>
      <c r="EM230" s="55"/>
      <c r="EN230" s="55"/>
      <c r="EO230" s="55"/>
      <c r="EP230" s="55"/>
      <c r="EQ230" s="55"/>
      <c r="ER230" s="55"/>
      <c r="ES230" s="55"/>
      <c r="ET230" s="55"/>
      <c r="EU230" s="55"/>
      <c r="EV230" s="55"/>
      <c r="EW230" s="55"/>
      <c r="EX230" s="55"/>
      <c r="EY230" s="55"/>
      <c r="EZ230" s="55"/>
      <c r="FA230" s="55"/>
      <c r="FB230" s="55"/>
      <c r="FC230" s="55"/>
      <c r="FD230" s="55"/>
      <c r="FE230" s="55"/>
      <c r="FF230" s="55"/>
      <c r="FG230" s="55"/>
      <c r="FH230" s="55"/>
      <c r="FI230" s="55"/>
      <c r="FJ230" s="55"/>
      <c r="FK230" s="55"/>
      <c r="FL230" s="55"/>
      <c r="FM230" s="55"/>
      <c r="FN230" s="55"/>
      <c r="FO230" s="55"/>
      <c r="FP230" s="55"/>
      <c r="FQ230" s="55"/>
      <c r="FR230" s="55"/>
      <c r="FS230" s="55"/>
      <c r="FT230" s="55"/>
      <c r="FU230" s="55"/>
      <c r="FV230" s="55"/>
      <c r="FW230" s="55"/>
      <c r="FX230" s="55"/>
      <c r="FY230" s="55"/>
      <c r="FZ230" s="55"/>
      <c r="GA230" s="55"/>
      <c r="GB230" s="55"/>
      <c r="GC230" s="55"/>
      <c r="GD230" s="55"/>
      <c r="GE230" s="55"/>
      <c r="GF230" s="55"/>
      <c r="GG230" s="55"/>
      <c r="GH230" s="55"/>
      <c r="GI230" s="55"/>
      <c r="GJ230" s="55"/>
      <c r="GK230" s="55"/>
      <c r="GL230" s="55"/>
      <c r="GM230" s="55"/>
      <c r="GN230" s="55"/>
      <c r="GO230" s="55"/>
      <c r="GP230" s="55"/>
      <c r="GQ230" s="55"/>
      <c r="GR230" s="55"/>
      <c r="GS230" s="55"/>
      <c r="GT230" s="55"/>
      <c r="GU230" s="55"/>
      <c r="GV230" s="55"/>
      <c r="GW230" s="55"/>
      <c r="GX230" s="55"/>
      <c r="GY230" s="19">
        <v>0.96410034602076122</v>
      </c>
      <c r="GZ230" s="53">
        <v>1114.5</v>
      </c>
      <c r="HA230" s="53">
        <v>1156</v>
      </c>
      <c r="HB230" s="55"/>
      <c r="HC230" s="55"/>
      <c r="HD230" s="55"/>
      <c r="HE230" s="55"/>
      <c r="HF230" s="53">
        <v>1122.0999999999999</v>
      </c>
      <c r="HG230" s="53">
        <v>1075.5</v>
      </c>
      <c r="HH230" s="53">
        <v>426</v>
      </c>
      <c r="HI230" s="53">
        <v>147.80000000000001</v>
      </c>
      <c r="HJ230" s="53">
        <v>494</v>
      </c>
      <c r="HK230" s="53">
        <v>7.7</v>
      </c>
      <c r="HL230" s="53">
        <v>46.7</v>
      </c>
      <c r="HM230" s="55"/>
      <c r="HN230" s="55"/>
      <c r="HO230" s="55"/>
      <c r="HP230" s="53" t="e">
        <v>#VALUE!</v>
      </c>
      <c r="HQ230" s="53">
        <v>3.3</v>
      </c>
      <c r="HR230" s="53">
        <v>8.6</v>
      </c>
      <c r="HS230" s="53" t="e">
        <v>#VALUE!</v>
      </c>
      <c r="HT230" s="53">
        <v>29.5</v>
      </c>
      <c r="HU230" s="55"/>
      <c r="HV230" s="55"/>
      <c r="HW230" s="53">
        <v>303.60000000000002</v>
      </c>
      <c r="HX230" s="53" t="e">
        <v>#VALUE!</v>
      </c>
      <c r="HY230" s="53">
        <v>303.60000000000002</v>
      </c>
      <c r="HZ230" s="53">
        <v>48.8</v>
      </c>
      <c r="IA230" s="53">
        <v>221.1</v>
      </c>
      <c r="IB230" s="53">
        <v>68.8</v>
      </c>
      <c r="IC230" s="53">
        <v>152.4</v>
      </c>
      <c r="ID230" s="53" t="e">
        <v>#VALUE!</v>
      </c>
      <c r="IE230" s="53" t="e">
        <v>#VALUE!</v>
      </c>
      <c r="IF230" s="53">
        <v>7.4</v>
      </c>
      <c r="IG230" s="53">
        <v>21.2</v>
      </c>
      <c r="IH230" s="55"/>
      <c r="II230" s="55"/>
      <c r="IJ230" s="55"/>
      <c r="IK230" s="55"/>
      <c r="IL230" s="55"/>
      <c r="IM230" s="55"/>
      <c r="IN230" s="53">
        <v>29.1</v>
      </c>
      <c r="IO230" s="53">
        <v>30.1</v>
      </c>
      <c r="IP230" s="53" t="e">
        <v>#VALUE!</v>
      </c>
      <c r="IQ230" s="53">
        <v>32.200000000000003</v>
      </c>
      <c r="IR230" s="53">
        <v>17.2</v>
      </c>
      <c r="IS230" s="53" t="e">
        <v>#VALUE!</v>
      </c>
      <c r="IT230" s="53">
        <v>12.6</v>
      </c>
      <c r="IU230" s="53" t="e">
        <v>#VALUE!</v>
      </c>
      <c r="IV230" s="53" t="e">
        <v>#VALUE!</v>
      </c>
      <c r="IY230" s="48">
        <f t="shared" si="11"/>
        <v>47.304960723124935</v>
      </c>
      <c r="IZ230" s="48">
        <f>IY230-'NOPA Crush'!J230</f>
        <v>4.4960723124937374E-2</v>
      </c>
      <c r="JB230" s="63">
        <f t="shared" si="9"/>
        <v>11.381954159044442</v>
      </c>
      <c r="JC230" s="64">
        <f>JB230-'NOPA Crush'!O230</f>
        <v>-4.804584095555775E-2</v>
      </c>
      <c r="JD230" s="65"/>
      <c r="JE230" s="67">
        <f t="shared" si="10"/>
        <v>1382.4</v>
      </c>
      <c r="JF230" s="68">
        <f>'NOPA Crush'!Q230/'Census Crush'!JE230</f>
        <v>0.69171947337962958</v>
      </c>
    </row>
    <row r="231" spans="1:266">
      <c r="A231" s="39">
        <v>36069</v>
      </c>
      <c r="B231" s="51">
        <v>4271</v>
      </c>
      <c r="C231" s="51">
        <v>5230.8</v>
      </c>
      <c r="D231" s="51">
        <v>272.7</v>
      </c>
      <c r="E231" s="51">
        <v>1325</v>
      </c>
      <c r="F231" s="51">
        <v>8.9</v>
      </c>
      <c r="G231" s="51" t="s">
        <v>264</v>
      </c>
      <c r="H231" s="51" t="s">
        <v>264</v>
      </c>
      <c r="I231" s="51" t="s">
        <v>264</v>
      </c>
      <c r="J231" s="51" t="s">
        <v>264</v>
      </c>
      <c r="K231" s="51">
        <v>1598.4</v>
      </c>
      <c r="L231" s="49">
        <v>1416.7</v>
      </c>
      <c r="M231" s="51">
        <v>1195</v>
      </c>
      <c r="N231" s="51">
        <v>221.7</v>
      </c>
      <c r="O231" s="51">
        <v>78.3</v>
      </c>
      <c r="P231" s="51">
        <v>89</v>
      </c>
      <c r="Q231" s="51">
        <v>35.299999999999997</v>
      </c>
      <c r="R231" s="51">
        <v>53.7</v>
      </c>
      <c r="S231" s="51"/>
      <c r="T231" s="51">
        <v>6.9</v>
      </c>
      <c r="U231" s="51">
        <v>69.300000000000011</v>
      </c>
      <c r="V231" s="51">
        <v>67.900000000000006</v>
      </c>
      <c r="W231" s="51">
        <v>1.4</v>
      </c>
      <c r="X231" s="51" t="s">
        <v>264</v>
      </c>
      <c r="Y231" s="51">
        <v>9.6999999999999993</v>
      </c>
      <c r="Z231" s="49">
        <v>119.60000000000001</v>
      </c>
      <c r="AA231" s="51">
        <v>115.7</v>
      </c>
      <c r="AB231" s="51">
        <v>3.9</v>
      </c>
      <c r="AC231" s="51" t="s">
        <v>264</v>
      </c>
      <c r="AD231" s="51">
        <v>56.6</v>
      </c>
      <c r="AE231" s="51"/>
      <c r="AF231" s="51">
        <v>115.30000000000001</v>
      </c>
      <c r="AG231" s="51">
        <v>75.7</v>
      </c>
      <c r="AH231" s="51">
        <v>39.6</v>
      </c>
      <c r="AI231" s="51">
        <v>209.2</v>
      </c>
      <c r="AJ231" s="51"/>
      <c r="AK231" s="51"/>
      <c r="AL231" s="51">
        <v>92.5</v>
      </c>
      <c r="AM231" s="51">
        <v>60.5</v>
      </c>
      <c r="AN231" s="51">
        <v>32</v>
      </c>
      <c r="AO231" s="51">
        <v>3143.1</v>
      </c>
      <c r="AP231" s="51">
        <v>233.7</v>
      </c>
      <c r="AQ231" s="51">
        <v>222</v>
      </c>
      <c r="AR231" s="51">
        <v>38.1</v>
      </c>
      <c r="AS231" s="51">
        <v>118.7</v>
      </c>
      <c r="AT231" s="51">
        <v>92.1</v>
      </c>
      <c r="AU231" s="51">
        <v>67.5</v>
      </c>
      <c r="AV231" s="51">
        <v>22.2</v>
      </c>
      <c r="AW231" s="51">
        <v>5</v>
      </c>
      <c r="AX231" s="51" t="s">
        <v>264</v>
      </c>
      <c r="AY231" s="51" t="s">
        <v>264</v>
      </c>
      <c r="AZ231" s="51" t="s">
        <v>264</v>
      </c>
      <c r="BA231" s="51" t="s">
        <v>264</v>
      </c>
      <c r="BB231" s="51" t="s">
        <v>264</v>
      </c>
      <c r="BC231" s="51"/>
      <c r="BD231" s="53">
        <v>125.2</v>
      </c>
      <c r="BE231" s="53">
        <v>44.1</v>
      </c>
      <c r="BF231" s="55"/>
      <c r="BG231" s="55"/>
      <c r="BH231" s="53">
        <v>307.7</v>
      </c>
      <c r="BI231" s="55"/>
      <c r="BJ231" s="55"/>
      <c r="BK231" s="53">
        <v>255.7</v>
      </c>
      <c r="BL231" s="53">
        <v>3.7</v>
      </c>
      <c r="BM231" s="53">
        <v>567.1</v>
      </c>
      <c r="BN231" s="53">
        <v>281.7</v>
      </c>
      <c r="BO231" s="55"/>
      <c r="BP231" s="55"/>
      <c r="BQ231" s="53">
        <v>141.69999999999999</v>
      </c>
      <c r="BR231" s="53">
        <v>5.0999999999999996</v>
      </c>
      <c r="BS231" s="53">
        <v>428.5</v>
      </c>
      <c r="BT231" s="52" t="s">
        <v>264</v>
      </c>
      <c r="BU231" s="53">
        <v>34.799999999999997</v>
      </c>
      <c r="BV231" s="51">
        <v>376</v>
      </c>
      <c r="BW231" s="51">
        <v>107.9</v>
      </c>
      <c r="BX231" s="51">
        <v>484.6</v>
      </c>
      <c r="BY231" s="51">
        <v>56.3</v>
      </c>
      <c r="BZ231" s="51">
        <v>16.3</v>
      </c>
      <c r="CA231" s="49">
        <v>72.599999999999994</v>
      </c>
      <c r="CB231" s="55"/>
      <c r="CC231" s="55"/>
      <c r="CD231" s="55"/>
      <c r="CE231" s="55"/>
      <c r="CF231" s="53">
        <v>118.4</v>
      </c>
      <c r="CG231" s="53">
        <v>219.8</v>
      </c>
      <c r="CH231" s="53">
        <v>14.9</v>
      </c>
      <c r="CI231" s="55"/>
      <c r="CJ231" s="55"/>
      <c r="CK231" s="55"/>
      <c r="CL231" s="55"/>
      <c r="CM231" s="55"/>
      <c r="CN231" s="53">
        <v>28.7</v>
      </c>
      <c r="CO231" s="52">
        <v>431.8</v>
      </c>
      <c r="CP231" s="53">
        <v>316.5</v>
      </c>
      <c r="CQ231" s="53">
        <v>115.3</v>
      </c>
      <c r="CR231" s="52" t="s">
        <v>264</v>
      </c>
      <c r="CS231" s="52">
        <v>35.700000000000003</v>
      </c>
      <c r="CT231" s="52">
        <v>18.600000000000001</v>
      </c>
      <c r="CU231" s="52">
        <v>17.100000000000001</v>
      </c>
      <c r="CV231" s="52">
        <v>29.6</v>
      </c>
      <c r="CW231" s="53">
        <v>9.5</v>
      </c>
      <c r="CX231" s="53">
        <v>20.100000000000001</v>
      </c>
      <c r="CY231" s="53" t="s">
        <v>264</v>
      </c>
      <c r="CZ231" s="53">
        <v>70.7</v>
      </c>
      <c r="DA231" s="52">
        <v>36.1</v>
      </c>
      <c r="DB231" s="53">
        <v>34.9</v>
      </c>
      <c r="DC231" s="53">
        <v>1.2</v>
      </c>
      <c r="DD231" s="55"/>
      <c r="DE231" s="55"/>
      <c r="DF231" s="55"/>
      <c r="DG231" s="55"/>
      <c r="DH231" s="55"/>
      <c r="DI231" s="53">
        <v>761.85699999999997</v>
      </c>
      <c r="DJ231" s="53">
        <v>393.11500000000001</v>
      </c>
      <c r="DK231" s="55"/>
      <c r="DL231" s="53">
        <v>183.036</v>
      </c>
      <c r="DM231" s="53">
        <v>267.548</v>
      </c>
      <c r="DN231" s="55"/>
      <c r="DO231" s="53">
        <v>257.38400000000001</v>
      </c>
      <c r="DP231" s="53">
        <v>310.14100000000002</v>
      </c>
      <c r="DQ231" s="55"/>
      <c r="DR231" s="55"/>
      <c r="DS231" s="53">
        <v>1051.306</v>
      </c>
      <c r="DT231" s="53">
        <v>4349.4319999999998</v>
      </c>
      <c r="DU231" s="53">
        <v>-1125.0449999999996</v>
      </c>
      <c r="DV231" s="53">
        <v>78.431999999999789</v>
      </c>
      <c r="DW231" s="55"/>
      <c r="DX231" s="55"/>
      <c r="DY231" s="55"/>
      <c r="DZ231" s="55"/>
      <c r="EA231" s="55"/>
      <c r="EB231" s="55"/>
      <c r="EC231" s="55"/>
      <c r="ED231" s="55"/>
      <c r="EE231" s="55"/>
      <c r="EF231" s="55"/>
      <c r="EG231" s="55"/>
      <c r="EH231" s="55"/>
      <c r="EI231" s="55"/>
      <c r="EJ231" s="55"/>
      <c r="EK231" s="55"/>
      <c r="EL231" s="55"/>
      <c r="EM231" s="55"/>
      <c r="EN231" s="55"/>
      <c r="EO231" s="55"/>
      <c r="EP231" s="55"/>
      <c r="EQ231" s="55"/>
      <c r="ER231" s="55"/>
      <c r="ES231" s="55"/>
      <c r="ET231" s="55"/>
      <c r="EU231" s="55"/>
      <c r="EV231" s="55"/>
      <c r="EW231" s="55"/>
      <c r="EX231" s="55"/>
      <c r="EY231" s="55"/>
      <c r="EZ231" s="55"/>
      <c r="FA231" s="55"/>
      <c r="FB231" s="55"/>
      <c r="FC231" s="55"/>
      <c r="FD231" s="55"/>
      <c r="FE231" s="55"/>
      <c r="FF231" s="55"/>
      <c r="FG231" s="55"/>
      <c r="FH231" s="55"/>
      <c r="FI231" s="55"/>
      <c r="FJ231" s="55"/>
      <c r="FK231" s="55"/>
      <c r="FL231" s="55"/>
      <c r="FM231" s="55"/>
      <c r="FN231" s="55"/>
      <c r="FO231" s="55"/>
      <c r="FP231" s="55"/>
      <c r="FQ231" s="55"/>
      <c r="FR231" s="55"/>
      <c r="FS231" s="55"/>
      <c r="FT231" s="55"/>
      <c r="FU231" s="55"/>
      <c r="FV231" s="55"/>
      <c r="FW231" s="55"/>
      <c r="FX231" s="55"/>
      <c r="FY231" s="55"/>
      <c r="FZ231" s="55"/>
      <c r="GA231" s="55"/>
      <c r="GB231" s="55"/>
      <c r="GC231" s="55"/>
      <c r="GD231" s="55"/>
      <c r="GE231" s="55"/>
      <c r="GF231" s="55"/>
      <c r="GG231" s="55"/>
      <c r="GH231" s="55"/>
      <c r="GI231" s="55"/>
      <c r="GJ231" s="55"/>
      <c r="GK231" s="55"/>
      <c r="GL231" s="55"/>
      <c r="GM231" s="55"/>
      <c r="GN231" s="55"/>
      <c r="GO231" s="55"/>
      <c r="GP231" s="55"/>
      <c r="GQ231" s="55"/>
      <c r="GR231" s="55"/>
      <c r="GS231" s="55"/>
      <c r="GT231" s="55"/>
      <c r="GU231" s="55"/>
      <c r="GV231" s="55"/>
      <c r="GW231" s="55"/>
      <c r="GX231" s="55"/>
      <c r="GY231" s="19">
        <v>0.95543530160751233</v>
      </c>
      <c r="GZ231" s="53">
        <v>1200.5999999999999</v>
      </c>
      <c r="HA231" s="53">
        <v>1256.5999999999999</v>
      </c>
      <c r="HB231" s="55"/>
      <c r="HC231" s="55"/>
      <c r="HD231" s="55"/>
      <c r="HE231" s="55"/>
      <c r="HF231" s="53">
        <v>1231.5</v>
      </c>
      <c r="HG231" s="53">
        <v>1182.2</v>
      </c>
      <c r="HH231" s="53">
        <v>448.6</v>
      </c>
      <c r="HI231" s="53">
        <v>155.5</v>
      </c>
      <c r="HJ231" s="53">
        <v>570.29999999999995</v>
      </c>
      <c r="HK231" s="53">
        <v>7.9</v>
      </c>
      <c r="HL231" s="53">
        <v>49.4</v>
      </c>
      <c r="HM231" s="55"/>
      <c r="HN231" s="55"/>
      <c r="HO231" s="55"/>
      <c r="HP231" s="53" t="e">
        <v>#VALUE!</v>
      </c>
      <c r="HQ231" s="53">
        <v>2.8</v>
      </c>
      <c r="HR231" s="53">
        <v>9.4</v>
      </c>
      <c r="HS231" s="53" t="e">
        <v>#VALUE!</v>
      </c>
      <c r="HT231" s="53">
        <v>30.4</v>
      </c>
      <c r="HU231" s="55"/>
      <c r="HV231" s="55"/>
      <c r="HW231" s="53">
        <v>294.5</v>
      </c>
      <c r="HX231" s="53" t="e">
        <v>#VALUE!</v>
      </c>
      <c r="HY231" s="53">
        <v>294.5</v>
      </c>
      <c r="HZ231" s="53">
        <v>53.5</v>
      </c>
      <c r="IA231" s="53">
        <v>211</v>
      </c>
      <c r="IB231" s="53">
        <v>66.900000000000006</v>
      </c>
      <c r="IC231" s="53">
        <v>144.1</v>
      </c>
      <c r="ID231" s="53" t="e">
        <v>#VALUE!</v>
      </c>
      <c r="IE231" s="53" t="e">
        <v>#VALUE!</v>
      </c>
      <c r="IF231" s="53">
        <v>7.9</v>
      </c>
      <c r="IG231" s="53">
        <v>15.7</v>
      </c>
      <c r="IH231" s="55"/>
      <c r="II231" s="55"/>
      <c r="IJ231" s="55"/>
      <c r="IK231" s="55"/>
      <c r="IL231" s="55"/>
      <c r="IM231" s="55"/>
      <c r="IN231" s="53">
        <v>51.1</v>
      </c>
      <c r="IO231" s="53">
        <v>52.9</v>
      </c>
      <c r="IP231" s="53" t="e">
        <v>#VALUE!</v>
      </c>
      <c r="IQ231" s="53">
        <v>34.700000000000003</v>
      </c>
      <c r="IR231" s="53">
        <v>18.100000000000001</v>
      </c>
      <c r="IS231" s="53" t="e">
        <v>#VALUE!</v>
      </c>
      <c r="IT231" s="53">
        <v>14.4</v>
      </c>
      <c r="IU231" s="53" t="e">
        <v>#VALUE!</v>
      </c>
      <c r="IV231" s="53" t="e">
        <v>#VALUE!</v>
      </c>
      <c r="IY231" s="48">
        <f t="shared" si="11"/>
        <v>47.273706391945673</v>
      </c>
      <c r="IZ231" s="48">
        <f>IY231-'NOPA Crush'!J231</f>
        <v>-6.2936080543281037E-3</v>
      </c>
      <c r="JB231" s="63">
        <f t="shared" si="9"/>
        <v>11.227347225474128</v>
      </c>
      <c r="JC231" s="64">
        <f>JB231-'NOPA Crush'!O231</f>
        <v>-3.2652774525871564E-2</v>
      </c>
      <c r="JD231" s="65"/>
      <c r="JE231" s="67">
        <f t="shared" si="10"/>
        <v>1416.7</v>
      </c>
      <c r="JF231" s="68">
        <f>'NOPA Crush'!Q231/'Census Crush'!JE231</f>
        <v>0.74929201665843148</v>
      </c>
    </row>
    <row r="232" spans="1:266">
      <c r="A232" s="39">
        <v>36100</v>
      </c>
      <c r="B232" s="51">
        <v>4290.7</v>
      </c>
      <c r="C232" s="51">
        <v>4629.3999999999996</v>
      </c>
      <c r="D232" s="51">
        <v>254.3</v>
      </c>
      <c r="E232" s="51">
        <v>1733.1</v>
      </c>
      <c r="F232" s="51">
        <v>17.600000000000001</v>
      </c>
      <c r="G232" s="51" t="s">
        <v>264</v>
      </c>
      <c r="H232" s="51" t="s">
        <v>264</v>
      </c>
      <c r="I232" s="51" t="s">
        <v>264</v>
      </c>
      <c r="J232" s="51" t="s">
        <v>264</v>
      </c>
      <c r="K232" s="51">
        <v>1598</v>
      </c>
      <c r="L232" s="49">
        <v>1406.4</v>
      </c>
      <c r="M232" s="51">
        <v>1142</v>
      </c>
      <c r="N232" s="51">
        <v>264.39999999999998</v>
      </c>
      <c r="O232" s="51">
        <v>80</v>
      </c>
      <c r="P232" s="51">
        <v>110</v>
      </c>
      <c r="Q232" s="51">
        <v>42.1</v>
      </c>
      <c r="R232" s="51">
        <v>67.900000000000006</v>
      </c>
      <c r="S232" s="51"/>
      <c r="T232" s="51">
        <v>13.6</v>
      </c>
      <c r="U232" s="51">
        <v>56.6</v>
      </c>
      <c r="V232" s="51">
        <v>54.6</v>
      </c>
      <c r="W232" s="51">
        <v>2</v>
      </c>
      <c r="X232" s="51" t="s">
        <v>264</v>
      </c>
      <c r="Y232" s="51">
        <v>18.899999999999999</v>
      </c>
      <c r="Z232" s="49">
        <v>158</v>
      </c>
      <c r="AA232" s="51">
        <v>150.19999999999999</v>
      </c>
      <c r="AB232" s="51">
        <v>7.8</v>
      </c>
      <c r="AC232" s="51" t="s">
        <v>264</v>
      </c>
      <c r="AD232" s="51">
        <v>40.799999999999997</v>
      </c>
      <c r="AE232" s="51"/>
      <c r="AF232" s="51">
        <v>110</v>
      </c>
      <c r="AG232" s="51">
        <v>72.599999999999994</v>
      </c>
      <c r="AH232" s="51">
        <v>37.4</v>
      </c>
      <c r="AI232" s="51">
        <v>199.4</v>
      </c>
      <c r="AJ232" s="51"/>
      <c r="AK232" s="51"/>
      <c r="AL232" s="51">
        <v>100.7</v>
      </c>
      <c r="AM232" s="51">
        <v>47.6</v>
      </c>
      <c r="AN232" s="51">
        <v>53.1</v>
      </c>
      <c r="AO232" s="51">
        <v>3142.5</v>
      </c>
      <c r="AP232" s="51">
        <v>311</v>
      </c>
      <c r="AQ232" s="51">
        <v>225.9</v>
      </c>
      <c r="AR232" s="51">
        <v>41.3</v>
      </c>
      <c r="AS232" s="51">
        <v>115.9</v>
      </c>
      <c r="AT232" s="51">
        <v>82.6</v>
      </c>
      <c r="AU232" s="51">
        <v>66.8</v>
      </c>
      <c r="AV232" s="51">
        <v>17.399999999999999</v>
      </c>
      <c r="AW232" s="51">
        <v>10.1</v>
      </c>
      <c r="AX232" s="51">
        <v>8</v>
      </c>
      <c r="AY232" s="51" t="s">
        <v>264</v>
      </c>
      <c r="AZ232" s="51" t="s">
        <v>264</v>
      </c>
      <c r="BA232" s="51" t="s">
        <v>264</v>
      </c>
      <c r="BB232" s="51" t="s">
        <v>264</v>
      </c>
      <c r="BC232" s="51"/>
      <c r="BD232" s="53">
        <v>124.3</v>
      </c>
      <c r="BE232" s="53">
        <v>39.700000000000003</v>
      </c>
      <c r="BF232" s="55"/>
      <c r="BG232" s="55"/>
      <c r="BH232" s="53">
        <v>297</v>
      </c>
      <c r="BI232" s="55"/>
      <c r="BJ232" s="55"/>
      <c r="BK232" s="53">
        <v>236.7</v>
      </c>
      <c r="BL232" s="53">
        <v>3.5</v>
      </c>
      <c r="BM232" s="53">
        <v>537.20000000000005</v>
      </c>
      <c r="BN232" s="53">
        <v>308.89999999999998</v>
      </c>
      <c r="BO232" s="55"/>
      <c r="BP232" s="55"/>
      <c r="BQ232" s="53">
        <v>143.4</v>
      </c>
      <c r="BR232" s="53">
        <v>5.6</v>
      </c>
      <c r="BS232" s="53">
        <v>457.9</v>
      </c>
      <c r="BT232" s="52" t="s">
        <v>264</v>
      </c>
      <c r="BU232" s="53">
        <v>26.3</v>
      </c>
      <c r="BV232" s="51">
        <v>346.9</v>
      </c>
      <c r="BW232" s="51">
        <v>107.2</v>
      </c>
      <c r="BX232" s="51">
        <v>457</v>
      </c>
      <c r="BY232" s="51">
        <v>61.2</v>
      </c>
      <c r="BZ232" s="51">
        <v>17.3</v>
      </c>
      <c r="CA232" s="49">
        <v>78.5</v>
      </c>
      <c r="CB232" s="55"/>
      <c r="CC232" s="55"/>
      <c r="CD232" s="55"/>
      <c r="CE232" s="55"/>
      <c r="CF232" s="53">
        <v>113.4</v>
      </c>
      <c r="CG232" s="53">
        <v>200.3</v>
      </c>
      <c r="CH232" s="53">
        <v>17</v>
      </c>
      <c r="CI232" s="55"/>
      <c r="CJ232" s="55"/>
      <c r="CK232" s="55"/>
      <c r="CL232" s="55"/>
      <c r="CM232" s="55"/>
      <c r="CN232" s="53">
        <v>33</v>
      </c>
      <c r="CO232" s="52">
        <v>447.3</v>
      </c>
      <c r="CP232" s="53">
        <v>322.8</v>
      </c>
      <c r="CQ232" s="53">
        <v>124.5</v>
      </c>
      <c r="CR232" s="52" t="s">
        <v>264</v>
      </c>
      <c r="CS232" s="52">
        <v>44.5</v>
      </c>
      <c r="CT232" s="52">
        <v>26.7</v>
      </c>
      <c r="CU232" s="52">
        <v>17.8</v>
      </c>
      <c r="CV232" s="52">
        <v>33.9</v>
      </c>
      <c r="CW232" s="53">
        <v>9.5</v>
      </c>
      <c r="CX232" s="53">
        <v>24.4</v>
      </c>
      <c r="CY232" s="53" t="s">
        <v>264</v>
      </c>
      <c r="CZ232" s="53">
        <v>74.599999999999994</v>
      </c>
      <c r="DA232" s="52">
        <v>40.099999999999994</v>
      </c>
      <c r="DB232" s="53">
        <v>38.799999999999997</v>
      </c>
      <c r="DC232" s="53">
        <v>1.3</v>
      </c>
      <c r="DD232" s="55"/>
      <c r="DE232" s="55"/>
      <c r="DF232" s="55"/>
      <c r="DG232" s="55"/>
      <c r="DH232" s="55"/>
      <c r="DI232" s="53">
        <v>748.28200000000004</v>
      </c>
      <c r="DJ232" s="53">
        <v>367.46600000000001</v>
      </c>
      <c r="DK232" s="55"/>
      <c r="DL232" s="53">
        <v>171.499</v>
      </c>
      <c r="DM232" s="53">
        <v>256.77</v>
      </c>
      <c r="DN232" s="55"/>
      <c r="DO232" s="53">
        <v>251.74100000000001</v>
      </c>
      <c r="DP232" s="53">
        <v>311.827</v>
      </c>
      <c r="DQ232" s="55"/>
      <c r="DR232" s="55"/>
      <c r="DS232" s="53">
        <v>1048.8019999999999</v>
      </c>
      <c r="DT232" s="53">
        <v>4289.4780000000001</v>
      </c>
      <c r="DU232" s="53">
        <v>-1133.0910000000003</v>
      </c>
      <c r="DV232" s="53">
        <v>-1.2219999999997526</v>
      </c>
      <c r="DW232" s="55"/>
      <c r="DX232" s="55"/>
      <c r="DY232" s="55"/>
      <c r="DZ232" s="55"/>
      <c r="EA232" s="55"/>
      <c r="EB232" s="55"/>
      <c r="EC232" s="55"/>
      <c r="ED232" s="55"/>
      <c r="EE232" s="55"/>
      <c r="EF232" s="55"/>
      <c r="EG232" s="55"/>
      <c r="EH232" s="55"/>
      <c r="EI232" s="55"/>
      <c r="EJ232" s="55"/>
      <c r="EK232" s="55"/>
      <c r="EL232" s="55"/>
      <c r="EM232" s="55"/>
      <c r="EN232" s="55"/>
      <c r="EO232" s="55"/>
      <c r="EP232" s="55"/>
      <c r="EQ232" s="55"/>
      <c r="ER232" s="55"/>
      <c r="ES232" s="55"/>
      <c r="ET232" s="55"/>
      <c r="EU232" s="55"/>
      <c r="EV232" s="55"/>
      <c r="EW232" s="55"/>
      <c r="EX232" s="55"/>
      <c r="EY232" s="55"/>
      <c r="EZ232" s="55"/>
      <c r="FA232" s="55"/>
      <c r="FB232" s="55"/>
      <c r="FC232" s="55"/>
      <c r="FD232" s="55"/>
      <c r="FE232" s="55"/>
      <c r="FF232" s="55"/>
      <c r="FG232" s="55"/>
      <c r="FH232" s="55"/>
      <c r="FI232" s="55"/>
      <c r="FJ232" s="55"/>
      <c r="FK232" s="55"/>
      <c r="FL232" s="55"/>
      <c r="FM232" s="55"/>
      <c r="FN232" s="55"/>
      <c r="FO232" s="55"/>
      <c r="FP232" s="55"/>
      <c r="FQ232" s="55"/>
      <c r="FR232" s="55"/>
      <c r="FS232" s="55"/>
      <c r="FT232" s="55"/>
      <c r="FU232" s="55"/>
      <c r="FV232" s="55"/>
      <c r="FW232" s="55"/>
      <c r="FX232" s="55"/>
      <c r="FY232" s="55"/>
      <c r="FZ232" s="55"/>
      <c r="GA232" s="55"/>
      <c r="GB232" s="55"/>
      <c r="GC232" s="55"/>
      <c r="GD232" s="55"/>
      <c r="GE232" s="55"/>
      <c r="GF232" s="55"/>
      <c r="GG232" s="55"/>
      <c r="GH232" s="55"/>
      <c r="GI232" s="55"/>
      <c r="GJ232" s="55"/>
      <c r="GK232" s="55"/>
      <c r="GL232" s="55"/>
      <c r="GM232" s="55"/>
      <c r="GN232" s="55"/>
      <c r="GO232" s="55"/>
      <c r="GP232" s="55"/>
      <c r="GQ232" s="55"/>
      <c r="GR232" s="55"/>
      <c r="GS232" s="55"/>
      <c r="GT232" s="55"/>
      <c r="GU232" s="55"/>
      <c r="GV232" s="55"/>
      <c r="GW232" s="55"/>
      <c r="GX232" s="55"/>
      <c r="GY232" s="19">
        <v>0.96442550230494906</v>
      </c>
      <c r="GZ232" s="53">
        <v>1108.8</v>
      </c>
      <c r="HA232" s="53">
        <v>1149.7</v>
      </c>
      <c r="HB232" s="55"/>
      <c r="HC232" s="55"/>
      <c r="HD232" s="55"/>
      <c r="HE232" s="55"/>
      <c r="HF232" s="53">
        <v>1150.3</v>
      </c>
      <c r="HG232" s="53">
        <v>1104</v>
      </c>
      <c r="HH232" s="53">
        <v>401.8</v>
      </c>
      <c r="HI232" s="53">
        <v>146.19999999999999</v>
      </c>
      <c r="HJ232" s="53">
        <v>547.20000000000005</v>
      </c>
      <c r="HK232" s="53">
        <v>8.8000000000000007</v>
      </c>
      <c r="HL232" s="53">
        <v>46.4</v>
      </c>
      <c r="HM232" s="55"/>
      <c r="HN232" s="55"/>
      <c r="HO232" s="55"/>
      <c r="HP232" s="53" t="e">
        <v>#VALUE!</v>
      </c>
      <c r="HQ232" s="53">
        <v>2.4</v>
      </c>
      <c r="HR232" s="53">
        <v>10.4</v>
      </c>
      <c r="HS232" s="53" t="e">
        <v>#VALUE!</v>
      </c>
      <c r="HT232" s="53">
        <v>28.2</v>
      </c>
      <c r="HU232" s="55"/>
      <c r="HV232" s="55"/>
      <c r="HW232" s="53">
        <v>277.3</v>
      </c>
      <c r="HX232" s="53" t="e">
        <v>#VALUE!</v>
      </c>
      <c r="HY232" s="53">
        <v>277.3</v>
      </c>
      <c r="HZ232" s="53">
        <v>42.2</v>
      </c>
      <c r="IA232" s="53">
        <v>201.3</v>
      </c>
      <c r="IB232" s="53">
        <v>63.3</v>
      </c>
      <c r="IC232" s="53">
        <v>138</v>
      </c>
      <c r="ID232" s="53" t="e">
        <v>#VALUE!</v>
      </c>
      <c r="IE232" s="53" t="e">
        <v>#VALUE!</v>
      </c>
      <c r="IF232" s="53">
        <v>7.7</v>
      </c>
      <c r="IG232" s="53">
        <v>21.1</v>
      </c>
      <c r="IH232" s="55"/>
      <c r="II232" s="55"/>
      <c r="IJ232" s="55"/>
      <c r="IK232" s="55"/>
      <c r="IL232" s="55"/>
      <c r="IM232" s="55"/>
      <c r="IN232" s="53">
        <v>47.9</v>
      </c>
      <c r="IO232" s="53">
        <v>49.6</v>
      </c>
      <c r="IP232" s="53" t="e">
        <v>#VALUE!</v>
      </c>
      <c r="IQ232" s="53">
        <v>28.9</v>
      </c>
      <c r="IR232" s="53">
        <v>15.2</v>
      </c>
      <c r="IS232" s="53" t="e">
        <v>#VALUE!</v>
      </c>
      <c r="IT232" s="53">
        <v>11.6</v>
      </c>
      <c r="IU232" s="53" t="e">
        <v>#VALUE!</v>
      </c>
      <c r="IV232" s="53" t="e">
        <v>#VALUE!</v>
      </c>
      <c r="IY232" s="48">
        <f t="shared" si="11"/>
        <v>47.102803738317753</v>
      </c>
      <c r="IZ232" s="48">
        <f>IY232-'NOPA Crush'!J232</f>
        <v>-5.7196261682243232E-2</v>
      </c>
      <c r="JB232" s="63">
        <f t="shared" si="9"/>
        <v>11.173002074253617</v>
      </c>
      <c r="JC232" s="64">
        <f>JB232-'NOPA Crush'!O232</f>
        <v>-3.6997925746383942E-2</v>
      </c>
      <c r="JD232" s="65"/>
      <c r="JE232" s="67">
        <f t="shared" si="10"/>
        <v>1406.4</v>
      </c>
      <c r="JF232" s="68">
        <f>'NOPA Crush'!Q232/'Census Crush'!JE232</f>
        <v>0.68507750284414104</v>
      </c>
    </row>
    <row r="233" spans="1:266">
      <c r="A233" s="39">
        <v>36130</v>
      </c>
      <c r="B233" s="51">
        <v>4338.5</v>
      </c>
      <c r="C233" s="51">
        <v>3928.7</v>
      </c>
      <c r="D233" s="51">
        <v>262.7</v>
      </c>
      <c r="E233" s="51">
        <v>1846.1</v>
      </c>
      <c r="F233" s="51">
        <v>17.2</v>
      </c>
      <c r="G233" s="51" t="s">
        <v>264</v>
      </c>
      <c r="H233" s="51" t="s">
        <v>264</v>
      </c>
      <c r="I233" s="51" t="s">
        <v>264</v>
      </c>
      <c r="J233" s="51" t="s">
        <v>264</v>
      </c>
      <c r="K233" s="51">
        <v>1610.6</v>
      </c>
      <c r="L233" s="49">
        <v>1312.9</v>
      </c>
      <c r="M233" s="51">
        <v>1066.2</v>
      </c>
      <c r="N233" s="51">
        <v>246.7</v>
      </c>
      <c r="O233" s="51">
        <v>80.599999999999994</v>
      </c>
      <c r="P233" s="51">
        <v>85.5</v>
      </c>
      <c r="Q233" s="51">
        <v>22.6</v>
      </c>
      <c r="R233" s="51">
        <v>62.9</v>
      </c>
      <c r="S233" s="51"/>
      <c r="T233" s="51">
        <v>13.9</v>
      </c>
      <c r="U233" s="51">
        <v>51.5</v>
      </c>
      <c r="V233" s="51">
        <v>48</v>
      </c>
      <c r="W233" s="51">
        <v>3.5</v>
      </c>
      <c r="X233" s="51" t="s">
        <v>264</v>
      </c>
      <c r="Y233" s="51">
        <v>11.9</v>
      </c>
      <c r="Z233" s="49">
        <v>200.20000000000002</v>
      </c>
      <c r="AA233" s="51">
        <v>188.9</v>
      </c>
      <c r="AB233" s="51">
        <v>11.3</v>
      </c>
      <c r="AC233" s="51" t="s">
        <v>264</v>
      </c>
      <c r="AD233" s="51">
        <v>42.5</v>
      </c>
      <c r="AE233" s="51"/>
      <c r="AF233" s="51">
        <v>124.2</v>
      </c>
      <c r="AG233" s="51">
        <v>98.5</v>
      </c>
      <c r="AH233" s="51">
        <v>25.7</v>
      </c>
      <c r="AI233" s="51">
        <v>189.2</v>
      </c>
      <c r="AJ233" s="51"/>
      <c r="AK233" s="51"/>
      <c r="AL233" s="51">
        <v>100.4</v>
      </c>
      <c r="AM233" s="51">
        <v>32.4</v>
      </c>
      <c r="AN233" s="51">
        <v>68</v>
      </c>
      <c r="AO233" s="51">
        <v>3193</v>
      </c>
      <c r="AP233" s="51">
        <v>276.39999999999998</v>
      </c>
      <c r="AQ233" s="51">
        <v>229.4</v>
      </c>
      <c r="AR233" s="51">
        <v>37.4</v>
      </c>
      <c r="AS233" s="51">
        <v>122.5</v>
      </c>
      <c r="AT233" s="51">
        <v>85</v>
      </c>
      <c r="AU233" s="51">
        <v>68.099999999999994</v>
      </c>
      <c r="AV233" s="51">
        <v>15.7</v>
      </c>
      <c r="AW233" s="51">
        <v>9.8000000000000007</v>
      </c>
      <c r="AX233" s="51">
        <v>6.4</v>
      </c>
      <c r="AY233" s="51" t="s">
        <v>264</v>
      </c>
      <c r="AZ233" s="51" t="s">
        <v>264</v>
      </c>
      <c r="BA233" s="51" t="s">
        <v>264</v>
      </c>
      <c r="BB233" s="51" t="s">
        <v>264</v>
      </c>
      <c r="BC233" s="51"/>
      <c r="BD233" s="53">
        <v>118</v>
      </c>
      <c r="BE233" s="53">
        <v>39.1</v>
      </c>
      <c r="BF233" s="55"/>
      <c r="BG233" s="55"/>
      <c r="BH233" s="53">
        <v>291.8</v>
      </c>
      <c r="BI233" s="55"/>
      <c r="BJ233" s="55"/>
      <c r="BK233" s="53">
        <v>261.5</v>
      </c>
      <c r="BL233" s="53">
        <v>3.8</v>
      </c>
      <c r="BM233" s="53">
        <v>557.1</v>
      </c>
      <c r="BN233" s="53">
        <v>294.3</v>
      </c>
      <c r="BO233" s="55"/>
      <c r="BP233" s="55"/>
      <c r="BQ233" s="53">
        <v>138.19999999999999</v>
      </c>
      <c r="BR233" s="53">
        <v>4.9000000000000004</v>
      </c>
      <c r="BS233" s="53">
        <v>437.4</v>
      </c>
      <c r="BT233" s="52" t="s">
        <v>264</v>
      </c>
      <c r="BU233" s="53">
        <v>28.4</v>
      </c>
      <c r="BV233" s="51">
        <v>382.9</v>
      </c>
      <c r="BW233" s="51">
        <v>108.6</v>
      </c>
      <c r="BX233" s="51">
        <v>494.3</v>
      </c>
      <c r="BY233" s="51">
        <v>55.5</v>
      </c>
      <c r="BZ233" s="51">
        <v>13.2</v>
      </c>
      <c r="CA233" s="49">
        <v>68.7</v>
      </c>
      <c r="CB233" s="55"/>
      <c r="CC233" s="55"/>
      <c r="CD233" s="55"/>
      <c r="CE233" s="55"/>
      <c r="CF233" s="53">
        <v>119.3</v>
      </c>
      <c r="CG233" s="53">
        <v>197.5</v>
      </c>
      <c r="CH233" s="53">
        <v>12.5</v>
      </c>
      <c r="CI233" s="55"/>
      <c r="CJ233" s="55"/>
      <c r="CK233" s="55"/>
      <c r="CL233" s="55"/>
      <c r="CM233" s="55"/>
      <c r="CN233" s="53">
        <v>28</v>
      </c>
      <c r="CO233" s="52">
        <v>401.7</v>
      </c>
      <c r="CP233" s="53">
        <v>298.7</v>
      </c>
      <c r="CQ233" s="53">
        <v>103</v>
      </c>
      <c r="CR233" s="52" t="s">
        <v>264</v>
      </c>
      <c r="CS233" s="52">
        <v>45.2</v>
      </c>
      <c r="CT233" s="52">
        <v>22.3</v>
      </c>
      <c r="CU233" s="52">
        <v>22.9</v>
      </c>
      <c r="CV233" s="52">
        <v>27.8</v>
      </c>
      <c r="CW233" s="53">
        <v>3.2</v>
      </c>
      <c r="CX233" s="53">
        <v>24.6</v>
      </c>
      <c r="CY233" s="53" t="s">
        <v>264</v>
      </c>
      <c r="CZ233" s="53">
        <v>55.9</v>
      </c>
      <c r="DA233" s="52">
        <v>43.6</v>
      </c>
      <c r="DB233" s="53">
        <v>42.9</v>
      </c>
      <c r="DC233" s="53">
        <v>0.7</v>
      </c>
      <c r="DD233" s="55"/>
      <c r="DE233" s="55"/>
      <c r="DF233" s="55"/>
      <c r="DG233" s="55"/>
      <c r="DH233" s="55"/>
      <c r="DI233" s="53">
        <v>766.80600000000004</v>
      </c>
      <c r="DJ233" s="53">
        <v>371.44099999999997</v>
      </c>
      <c r="DK233" s="55"/>
      <c r="DL233" s="53">
        <v>181.501</v>
      </c>
      <c r="DM233" s="53">
        <v>282.54199999999997</v>
      </c>
      <c r="DN233" s="55"/>
      <c r="DO233" s="53">
        <v>244.95</v>
      </c>
      <c r="DP233" s="53">
        <v>297.18900000000002</v>
      </c>
      <c r="DQ233" s="55"/>
      <c r="DR233" s="55"/>
      <c r="DS233" s="53">
        <v>1074.856</v>
      </c>
      <c r="DT233" s="53">
        <v>4337.0990000000002</v>
      </c>
      <c r="DU233" s="53">
        <v>-1117.8140000000003</v>
      </c>
      <c r="DV233" s="53">
        <v>-1.4009999999998399</v>
      </c>
      <c r="DW233" s="55"/>
      <c r="DX233" s="55"/>
      <c r="DY233" s="55"/>
      <c r="DZ233" s="55"/>
      <c r="EA233" s="55"/>
      <c r="EB233" s="55"/>
      <c r="EC233" s="55"/>
      <c r="ED233" s="55"/>
      <c r="EE233" s="55"/>
      <c r="EF233" s="55"/>
      <c r="EG233" s="55"/>
      <c r="EH233" s="55"/>
      <c r="EI233" s="55"/>
      <c r="EJ233" s="55"/>
      <c r="EK233" s="55"/>
      <c r="EL233" s="55"/>
      <c r="EM233" s="55"/>
      <c r="EN233" s="55"/>
      <c r="EO233" s="55"/>
      <c r="EP233" s="55"/>
      <c r="EQ233" s="55"/>
      <c r="ER233" s="55"/>
      <c r="ES233" s="55"/>
      <c r="ET233" s="55"/>
      <c r="EU233" s="55"/>
      <c r="EV233" s="55"/>
      <c r="EW233" s="55"/>
      <c r="EX233" s="55"/>
      <c r="EY233" s="55"/>
      <c r="EZ233" s="55"/>
      <c r="FA233" s="55"/>
      <c r="FB233" s="55"/>
      <c r="FC233" s="55"/>
      <c r="FD233" s="55"/>
      <c r="FE233" s="55"/>
      <c r="FF233" s="55"/>
      <c r="FG233" s="55"/>
      <c r="FH233" s="55"/>
      <c r="FI233" s="55"/>
      <c r="FJ233" s="55"/>
      <c r="FK233" s="55"/>
      <c r="FL233" s="55"/>
      <c r="FM233" s="55"/>
      <c r="FN233" s="55"/>
      <c r="FO233" s="55"/>
      <c r="FP233" s="55"/>
      <c r="FQ233" s="55"/>
      <c r="FR233" s="55"/>
      <c r="FS233" s="55"/>
      <c r="FT233" s="55"/>
      <c r="FU233" s="55"/>
      <c r="FV233" s="55"/>
      <c r="FW233" s="55"/>
      <c r="FX233" s="55"/>
      <c r="FY233" s="55"/>
      <c r="FZ233" s="55"/>
      <c r="GA233" s="55"/>
      <c r="GB233" s="55"/>
      <c r="GC233" s="55"/>
      <c r="GD233" s="55"/>
      <c r="GE233" s="55"/>
      <c r="GF233" s="55"/>
      <c r="GG233" s="55"/>
      <c r="GH233" s="55"/>
      <c r="GI233" s="55"/>
      <c r="GJ233" s="55"/>
      <c r="GK233" s="55"/>
      <c r="GL233" s="55"/>
      <c r="GM233" s="55"/>
      <c r="GN233" s="55"/>
      <c r="GO233" s="55"/>
      <c r="GP233" s="55"/>
      <c r="GQ233" s="55"/>
      <c r="GR233" s="55"/>
      <c r="GS233" s="55"/>
      <c r="GT233" s="55"/>
      <c r="GU233" s="55"/>
      <c r="GV233" s="55"/>
      <c r="GW233" s="55"/>
      <c r="GX233" s="55"/>
      <c r="GY233" s="19">
        <v>0.96437494216711395</v>
      </c>
      <c r="GZ233" s="53">
        <v>1042.2</v>
      </c>
      <c r="HA233" s="53">
        <v>1080.7</v>
      </c>
      <c r="HB233" s="55"/>
      <c r="HC233" s="55"/>
      <c r="HD233" s="55"/>
      <c r="HE233" s="55"/>
      <c r="HF233" s="53">
        <v>1057.0999999999999</v>
      </c>
      <c r="HG233" s="53">
        <v>1008.1</v>
      </c>
      <c r="HH233" s="53">
        <v>376.2</v>
      </c>
      <c r="HI233" s="53">
        <v>135</v>
      </c>
      <c r="HJ233" s="53">
        <v>486.3</v>
      </c>
      <c r="HK233" s="53">
        <v>10.5</v>
      </c>
      <c r="HL233" s="53">
        <v>49</v>
      </c>
      <c r="HM233" s="55"/>
      <c r="HN233" s="55"/>
      <c r="HO233" s="55"/>
      <c r="HP233" s="53" t="e">
        <v>#VALUE!</v>
      </c>
      <c r="HQ233" s="53">
        <v>2.6</v>
      </c>
      <c r="HR233" s="53">
        <v>7</v>
      </c>
      <c r="HS233" s="53" t="e">
        <v>#VALUE!</v>
      </c>
      <c r="HT233" s="53">
        <v>33.5</v>
      </c>
      <c r="HU233" s="55"/>
      <c r="HV233" s="55"/>
      <c r="HW233" s="53">
        <v>290.89999999999998</v>
      </c>
      <c r="HX233" s="53" t="e">
        <v>#VALUE!</v>
      </c>
      <c r="HY233" s="53">
        <v>290.89999999999998</v>
      </c>
      <c r="HZ233" s="53">
        <v>49.9</v>
      </c>
      <c r="IA233" s="53">
        <v>214</v>
      </c>
      <c r="IB233" s="53">
        <v>71.099999999999994</v>
      </c>
      <c r="IC233" s="53">
        <v>142.9</v>
      </c>
      <c r="ID233" s="53" t="e">
        <v>#VALUE!</v>
      </c>
      <c r="IE233" s="53" t="e">
        <v>#VALUE!</v>
      </c>
      <c r="IF233" s="53">
        <v>6.7</v>
      </c>
      <c r="IG233" s="53">
        <v>16.3</v>
      </c>
      <c r="IH233" s="55"/>
      <c r="II233" s="55"/>
      <c r="IJ233" s="55"/>
      <c r="IK233" s="55"/>
      <c r="IL233" s="55"/>
      <c r="IM233" s="55"/>
      <c r="IN233" s="53">
        <v>48.5</v>
      </c>
      <c r="IO233" s="53">
        <v>50.2</v>
      </c>
      <c r="IP233" s="53" t="e">
        <v>#VALUE!</v>
      </c>
      <c r="IQ233" s="53">
        <v>30.4</v>
      </c>
      <c r="IR233" s="53">
        <v>14.5</v>
      </c>
      <c r="IS233" s="53" t="e">
        <v>#VALUE!</v>
      </c>
      <c r="IT233" s="53">
        <v>14.1</v>
      </c>
      <c r="IU233" s="53" t="e">
        <v>#VALUE!</v>
      </c>
      <c r="IV233" s="53" t="e">
        <v>#VALUE!</v>
      </c>
      <c r="IY233" s="48">
        <f t="shared" si="11"/>
        <v>47.330644231877379</v>
      </c>
      <c r="IZ233" s="48">
        <f>IY233-'NOPA Crush'!J233</f>
        <v>0.10064423187738214</v>
      </c>
      <c r="JB233" s="63">
        <f t="shared" si="9"/>
        <v>11.137028927048517</v>
      </c>
      <c r="JC233" s="64">
        <f>JB233-'NOPA Crush'!O233</f>
        <v>-5.2971072951482512E-2</v>
      </c>
      <c r="JD233" s="65"/>
      <c r="JE233" s="67">
        <f t="shared" si="10"/>
        <v>1312.9</v>
      </c>
      <c r="JF233" s="68">
        <f>'NOPA Crush'!Q233/'Census Crush'!JE233</f>
        <v>0.68934039149973336</v>
      </c>
    </row>
    <row r="234" spans="1:266">
      <c r="A234" s="39">
        <v>36161</v>
      </c>
      <c r="B234" s="51">
        <v>4091.3</v>
      </c>
      <c r="C234" s="51">
        <v>3287.1</v>
      </c>
      <c r="D234" s="51">
        <v>282.2</v>
      </c>
      <c r="E234" s="51">
        <v>1668.1</v>
      </c>
      <c r="F234" s="51">
        <v>20.100000000000001</v>
      </c>
      <c r="G234" s="51" t="s">
        <v>264</v>
      </c>
      <c r="H234" s="51" t="s">
        <v>264</v>
      </c>
      <c r="I234" s="51" t="s">
        <v>264</v>
      </c>
      <c r="J234" s="51" t="s">
        <v>264</v>
      </c>
      <c r="K234" s="51">
        <v>1527.5</v>
      </c>
      <c r="L234" s="49">
        <v>1505.6</v>
      </c>
      <c r="M234" s="51">
        <v>1209.5</v>
      </c>
      <c r="N234" s="51">
        <v>296.10000000000002</v>
      </c>
      <c r="O234" s="51">
        <v>84</v>
      </c>
      <c r="P234" s="51">
        <v>109.5</v>
      </c>
      <c r="Q234" s="51">
        <v>31.4</v>
      </c>
      <c r="R234" s="51">
        <v>78.099999999999994</v>
      </c>
      <c r="S234" s="51"/>
      <c r="T234" s="51">
        <v>16.2</v>
      </c>
      <c r="U234" s="51">
        <v>56.2</v>
      </c>
      <c r="V234" s="51">
        <v>52</v>
      </c>
      <c r="W234" s="51">
        <v>4.2</v>
      </c>
      <c r="X234" s="51" t="s">
        <v>264</v>
      </c>
      <c r="Y234" s="51" t="s">
        <v>264</v>
      </c>
      <c r="Z234" s="49">
        <v>163.80000000000001</v>
      </c>
      <c r="AA234" s="51">
        <v>155.9</v>
      </c>
      <c r="AB234" s="51">
        <v>7.9</v>
      </c>
      <c r="AC234" s="51" t="s">
        <v>264</v>
      </c>
      <c r="AD234" s="51">
        <v>34.4</v>
      </c>
      <c r="AE234" s="51"/>
      <c r="AF234" s="51">
        <v>147.6</v>
      </c>
      <c r="AG234" s="51">
        <v>114</v>
      </c>
      <c r="AH234" s="51">
        <v>33.6</v>
      </c>
      <c r="AI234" s="51">
        <v>182.9</v>
      </c>
      <c r="AJ234" s="51"/>
      <c r="AK234" s="51"/>
      <c r="AL234" s="51">
        <v>108.9</v>
      </c>
      <c r="AM234" s="51">
        <v>37.6</v>
      </c>
      <c r="AN234" s="51">
        <v>71.3</v>
      </c>
      <c r="AO234" s="51">
        <v>2998.5</v>
      </c>
      <c r="AP234" s="51">
        <v>338.3</v>
      </c>
      <c r="AQ234" s="51">
        <v>215.9</v>
      </c>
      <c r="AR234" s="51">
        <v>42.3</v>
      </c>
      <c r="AS234" s="51">
        <v>130.19999999999999</v>
      </c>
      <c r="AT234" s="51">
        <v>88.3</v>
      </c>
      <c r="AU234" s="51">
        <v>76.599999999999994</v>
      </c>
      <c r="AV234" s="51">
        <v>29.9</v>
      </c>
      <c r="AW234" s="51">
        <v>11.4</v>
      </c>
      <c r="AX234" s="51" t="s">
        <v>264</v>
      </c>
      <c r="AY234" s="51" t="s">
        <v>264</v>
      </c>
      <c r="AZ234" s="51" t="s">
        <v>264</v>
      </c>
      <c r="BA234" s="51" t="s">
        <v>264</v>
      </c>
      <c r="BB234" s="51" t="s">
        <v>264</v>
      </c>
      <c r="BC234" s="51"/>
      <c r="BD234" s="53">
        <v>133.1</v>
      </c>
      <c r="BE234" s="53">
        <v>40.5</v>
      </c>
      <c r="BF234" s="55"/>
      <c r="BG234" s="55"/>
      <c r="BH234" s="53">
        <v>307.3</v>
      </c>
      <c r="BI234" s="55"/>
      <c r="BJ234" s="55"/>
      <c r="BK234" s="53">
        <v>254.8</v>
      </c>
      <c r="BL234" s="53">
        <v>3.6</v>
      </c>
      <c r="BM234" s="53">
        <v>565.70000000000005</v>
      </c>
      <c r="BN234" s="53">
        <v>336</v>
      </c>
      <c r="BO234" s="55"/>
      <c r="BP234" s="55"/>
      <c r="BQ234" s="53">
        <v>130.69999999999999</v>
      </c>
      <c r="BR234" s="53">
        <v>5.2</v>
      </c>
      <c r="BS234" s="53">
        <v>471.9</v>
      </c>
      <c r="BT234" s="52" t="s">
        <v>264</v>
      </c>
      <c r="BU234" s="53">
        <v>34</v>
      </c>
      <c r="BV234" s="51">
        <v>399.6</v>
      </c>
      <c r="BW234" s="51">
        <v>102.4</v>
      </c>
      <c r="BX234" s="51">
        <v>507.6</v>
      </c>
      <c r="BY234" s="51">
        <v>53.7</v>
      </c>
      <c r="BZ234" s="51">
        <v>17.7</v>
      </c>
      <c r="CA234" s="49">
        <v>71.400000000000006</v>
      </c>
      <c r="CB234" s="55"/>
      <c r="CC234" s="55"/>
      <c r="CD234" s="55"/>
      <c r="CE234" s="55"/>
      <c r="CF234" s="53">
        <v>118</v>
      </c>
      <c r="CG234" s="53">
        <v>164.8</v>
      </c>
      <c r="CH234" s="53">
        <v>14.8</v>
      </c>
      <c r="CI234" s="55"/>
      <c r="CJ234" s="55"/>
      <c r="CK234" s="55"/>
      <c r="CL234" s="55"/>
      <c r="CM234" s="55"/>
      <c r="CN234" s="53">
        <v>32.200000000000003</v>
      </c>
      <c r="CO234" s="52">
        <v>446.5</v>
      </c>
      <c r="CP234" s="53">
        <v>329.7</v>
      </c>
      <c r="CQ234" s="53">
        <v>116.8</v>
      </c>
      <c r="CR234" s="52" t="s">
        <v>264</v>
      </c>
      <c r="CS234" s="52">
        <v>58.5</v>
      </c>
      <c r="CT234" s="52">
        <v>32.1</v>
      </c>
      <c r="CU234" s="52">
        <v>26.4</v>
      </c>
      <c r="CV234" s="52">
        <v>35.800000000000004</v>
      </c>
      <c r="CW234" s="53">
        <v>2.2000000000000002</v>
      </c>
      <c r="CX234" s="53">
        <v>33.6</v>
      </c>
      <c r="CY234" s="53" t="s">
        <v>264</v>
      </c>
      <c r="CZ234" s="53">
        <v>51.6</v>
      </c>
      <c r="DA234" s="52">
        <v>54.3</v>
      </c>
      <c r="DB234" s="53">
        <v>52.4</v>
      </c>
      <c r="DC234" s="53">
        <v>1.9</v>
      </c>
      <c r="DD234" s="55"/>
      <c r="DE234" s="55"/>
      <c r="DF234" s="55"/>
      <c r="DG234" s="55"/>
      <c r="DH234" s="55"/>
      <c r="DI234" s="53">
        <v>631.6</v>
      </c>
      <c r="DJ234" s="53">
        <v>343.4</v>
      </c>
      <c r="DK234" s="55"/>
      <c r="DL234" s="53">
        <v>175.1</v>
      </c>
      <c r="DM234" s="53">
        <v>273.2</v>
      </c>
      <c r="DN234" s="55"/>
      <c r="DO234" s="53">
        <v>237.1</v>
      </c>
      <c r="DP234" s="53">
        <v>290.39999999999998</v>
      </c>
      <c r="DQ234" s="55"/>
      <c r="DR234" s="55"/>
      <c r="DS234" s="53">
        <v>1055.43</v>
      </c>
      <c r="DT234" s="53">
        <v>4091.3</v>
      </c>
      <c r="DU234" s="53">
        <v>-1085.0700000000006</v>
      </c>
      <c r="DV234" s="53">
        <v>0</v>
      </c>
      <c r="DW234" s="55"/>
      <c r="DX234" s="55"/>
      <c r="DY234" s="55"/>
      <c r="DZ234" s="55"/>
      <c r="EA234" s="55"/>
      <c r="EB234" s="55"/>
      <c r="EC234" s="55"/>
      <c r="ED234" s="55"/>
      <c r="EE234" s="55"/>
      <c r="EF234" s="55"/>
      <c r="EG234" s="55"/>
      <c r="EH234" s="55"/>
      <c r="EI234" s="55"/>
      <c r="EJ234" s="55"/>
      <c r="EK234" s="55"/>
      <c r="EL234" s="55"/>
      <c r="EM234" s="55"/>
      <c r="EN234" s="55"/>
      <c r="EO234" s="55"/>
      <c r="EP234" s="55"/>
      <c r="EQ234" s="55"/>
      <c r="ER234" s="55"/>
      <c r="ES234" s="55"/>
      <c r="ET234" s="55"/>
      <c r="EU234" s="55"/>
      <c r="EV234" s="55"/>
      <c r="EW234" s="55"/>
      <c r="EX234" s="55"/>
      <c r="EY234" s="55"/>
      <c r="EZ234" s="55"/>
      <c r="FA234" s="55"/>
      <c r="FB234" s="55"/>
      <c r="FC234" s="55"/>
      <c r="FD234" s="55"/>
      <c r="FE234" s="55"/>
      <c r="FF234" s="55"/>
      <c r="FG234" s="55"/>
      <c r="FH234" s="55"/>
      <c r="FI234" s="55"/>
      <c r="FJ234" s="55"/>
      <c r="FK234" s="55"/>
      <c r="FL234" s="55"/>
      <c r="FM234" s="55"/>
      <c r="FN234" s="55"/>
      <c r="FO234" s="55"/>
      <c r="FP234" s="55"/>
      <c r="FQ234" s="55"/>
      <c r="FR234" s="55"/>
      <c r="FS234" s="55"/>
      <c r="FT234" s="55"/>
      <c r="FU234" s="55"/>
      <c r="FV234" s="55"/>
      <c r="FW234" s="55"/>
      <c r="FX234" s="55"/>
      <c r="FY234" s="55"/>
      <c r="FZ234" s="55"/>
      <c r="GA234" s="55"/>
      <c r="GB234" s="55"/>
      <c r="GC234" s="55"/>
      <c r="GD234" s="55"/>
      <c r="GE234" s="55"/>
      <c r="GF234" s="55"/>
      <c r="GG234" s="55"/>
      <c r="GH234" s="55"/>
      <c r="GI234" s="55"/>
      <c r="GJ234" s="55"/>
      <c r="GK234" s="55"/>
      <c r="GL234" s="55"/>
      <c r="GM234" s="55"/>
      <c r="GN234" s="55"/>
      <c r="GO234" s="55"/>
      <c r="GP234" s="55"/>
      <c r="GQ234" s="55"/>
      <c r="GR234" s="55"/>
      <c r="GS234" s="55"/>
      <c r="GT234" s="55"/>
      <c r="GU234" s="55"/>
      <c r="GV234" s="55"/>
      <c r="GW234" s="55"/>
      <c r="GX234" s="55"/>
      <c r="GY234" s="19">
        <v>0.96406220367912021</v>
      </c>
      <c r="GZ234" s="53">
        <v>1016.7</v>
      </c>
      <c r="HA234" s="53">
        <v>1054.5999999999999</v>
      </c>
      <c r="HB234" s="55"/>
      <c r="HC234" s="55"/>
      <c r="HD234" s="55"/>
      <c r="HE234" s="55"/>
      <c r="HF234" s="53">
        <v>1031.5</v>
      </c>
      <c r="HG234" s="53">
        <v>1003.2</v>
      </c>
      <c r="HH234" s="53">
        <v>393.7</v>
      </c>
      <c r="HI234" s="53">
        <v>125.1</v>
      </c>
      <c r="HJ234" s="53">
        <v>474</v>
      </c>
      <c r="HK234" s="53">
        <v>10.4</v>
      </c>
      <c r="HL234" s="53">
        <v>45.1</v>
      </c>
      <c r="HM234" s="55"/>
      <c r="HN234" s="55"/>
      <c r="HO234" s="55"/>
      <c r="HP234" s="53" t="e">
        <v>#VALUE!</v>
      </c>
      <c r="HQ234" s="53">
        <v>3.1</v>
      </c>
      <c r="HR234" s="53">
        <v>9.9</v>
      </c>
      <c r="HS234" s="53" t="e">
        <v>#VALUE!</v>
      </c>
      <c r="HT234" s="53">
        <v>26.1</v>
      </c>
      <c r="HU234" s="55"/>
      <c r="HV234" s="55"/>
      <c r="HW234" s="53">
        <v>278.2</v>
      </c>
      <c r="HX234" s="53" t="e">
        <v>#VALUE!</v>
      </c>
      <c r="HY234" s="53">
        <v>278.2</v>
      </c>
      <c r="HZ234" s="53">
        <v>41</v>
      </c>
      <c r="IA234" s="53">
        <v>205.4</v>
      </c>
      <c r="IB234" s="53">
        <v>63.8</v>
      </c>
      <c r="IC234" s="53">
        <v>141.6</v>
      </c>
      <c r="ID234" s="53" t="e">
        <v>#VALUE!</v>
      </c>
      <c r="IE234" s="53" t="e">
        <v>#VALUE!</v>
      </c>
      <c r="IF234" s="53">
        <v>7.8</v>
      </c>
      <c r="IG234" s="53">
        <v>17.7</v>
      </c>
      <c r="IH234" s="55"/>
      <c r="II234" s="55"/>
      <c r="IJ234" s="55"/>
      <c r="IK234" s="55"/>
      <c r="IL234" s="55"/>
      <c r="IM234" s="55"/>
      <c r="IN234" s="53">
        <v>45.4</v>
      </c>
      <c r="IO234" s="53">
        <v>46.6</v>
      </c>
      <c r="IP234" s="53" t="e">
        <v>#VALUE!</v>
      </c>
      <c r="IQ234" s="53">
        <v>28.5</v>
      </c>
      <c r="IR234" s="53">
        <v>11.7</v>
      </c>
      <c r="IS234" s="53" t="e">
        <v>#VALUE!</v>
      </c>
      <c r="IT234" s="53">
        <v>15.1</v>
      </c>
      <c r="IU234" s="53" t="e">
        <v>#VALUE!</v>
      </c>
      <c r="IV234" s="53" t="e">
        <v>#VALUE!</v>
      </c>
      <c r="IY234" s="48">
        <f t="shared" si="11"/>
        <v>47.140028841688462</v>
      </c>
      <c r="IZ234" s="48">
        <f>IY234-'NOPA Crush'!J234</f>
        <v>-3.9971158311537636E-2</v>
      </c>
      <c r="JB234" s="63">
        <f t="shared" si="9"/>
        <v>11.20059638745631</v>
      </c>
      <c r="JC234" s="64">
        <f>JB234-'NOPA Crush'!O234</f>
        <v>-6.9403612543689874E-2</v>
      </c>
      <c r="JD234" s="65"/>
      <c r="JE234" s="67">
        <f t="shared" si="10"/>
        <v>1505.6</v>
      </c>
      <c r="JF234" s="68">
        <f>'NOPA Crush'!Q234/'Census Crush'!JE234</f>
        <v>0.70092720510095652</v>
      </c>
    </row>
    <row r="235" spans="1:266">
      <c r="A235" s="39">
        <v>36192</v>
      </c>
      <c r="B235" s="51">
        <v>3829.1</v>
      </c>
      <c r="C235" s="51">
        <v>3073.7</v>
      </c>
      <c r="D235" s="51">
        <v>259.5</v>
      </c>
      <c r="E235" s="51">
        <v>1452.7</v>
      </c>
      <c r="F235" s="51">
        <v>21.7</v>
      </c>
      <c r="G235" s="51" t="s">
        <v>264</v>
      </c>
      <c r="H235" s="51" t="s">
        <v>264</v>
      </c>
      <c r="I235" s="51" t="s">
        <v>264</v>
      </c>
      <c r="J235" s="51" t="s">
        <v>264</v>
      </c>
      <c r="K235" s="51">
        <v>1438.6</v>
      </c>
      <c r="L235" s="49">
        <v>1607.6</v>
      </c>
      <c r="M235" s="51">
        <v>1318.6</v>
      </c>
      <c r="N235" s="51">
        <v>289</v>
      </c>
      <c r="O235" s="51">
        <v>80.2</v>
      </c>
      <c r="P235" s="51">
        <v>113.3</v>
      </c>
      <c r="Q235" s="51">
        <v>32.799999999999997</v>
      </c>
      <c r="R235" s="51">
        <v>80.5</v>
      </c>
      <c r="S235" s="51"/>
      <c r="T235" s="51">
        <v>18.2</v>
      </c>
      <c r="U235" s="51">
        <v>57</v>
      </c>
      <c r="V235" s="51">
        <v>52.9</v>
      </c>
      <c r="W235" s="51">
        <v>4.0999999999999996</v>
      </c>
      <c r="X235" s="51" t="s">
        <v>264</v>
      </c>
      <c r="Y235" s="51" t="s">
        <v>264</v>
      </c>
      <c r="Z235" s="49">
        <v>202.1</v>
      </c>
      <c r="AA235" s="51">
        <v>190.1</v>
      </c>
      <c r="AB235" s="51">
        <v>12</v>
      </c>
      <c r="AC235" s="51" t="s">
        <v>264</v>
      </c>
      <c r="AD235" s="51">
        <v>36.299999999999997</v>
      </c>
      <c r="AE235" s="51"/>
      <c r="AF235" s="51">
        <v>179.3</v>
      </c>
      <c r="AG235" s="51">
        <v>145.30000000000001</v>
      </c>
      <c r="AH235" s="51">
        <v>34</v>
      </c>
      <c r="AI235" s="51">
        <v>177</v>
      </c>
      <c r="AJ235" s="51"/>
      <c r="AK235" s="51"/>
      <c r="AL235" s="51">
        <v>99.5</v>
      </c>
      <c r="AM235" s="51">
        <v>43.4</v>
      </c>
      <c r="AN235" s="51">
        <v>56.1</v>
      </c>
      <c r="AO235" s="51">
        <v>2828.6</v>
      </c>
      <c r="AP235" s="51">
        <v>382.8</v>
      </c>
      <c r="AQ235" s="51">
        <v>199.1</v>
      </c>
      <c r="AR235" s="51">
        <v>53.6</v>
      </c>
      <c r="AS235" s="51">
        <v>114.8</v>
      </c>
      <c r="AT235" s="51">
        <v>78.2</v>
      </c>
      <c r="AU235" s="51">
        <v>66</v>
      </c>
      <c r="AV235" s="51">
        <v>31.5</v>
      </c>
      <c r="AW235" s="51">
        <v>12.2</v>
      </c>
      <c r="AX235" s="51">
        <v>4.5</v>
      </c>
      <c r="AY235" s="51" t="s">
        <v>264</v>
      </c>
      <c r="AZ235" s="51" t="s">
        <v>264</v>
      </c>
      <c r="BA235" s="51" t="s">
        <v>264</v>
      </c>
      <c r="BB235" s="51" t="s">
        <v>264</v>
      </c>
      <c r="BC235" s="51"/>
      <c r="BD235" s="53">
        <v>128.80000000000001</v>
      </c>
      <c r="BE235" s="53">
        <v>43.6</v>
      </c>
      <c r="BF235" s="55"/>
      <c r="BG235" s="55"/>
      <c r="BH235" s="53">
        <v>298.2</v>
      </c>
      <c r="BI235" s="55"/>
      <c r="BJ235" s="55"/>
      <c r="BK235" s="53">
        <v>246.5</v>
      </c>
      <c r="BL235" s="53">
        <v>3.9</v>
      </c>
      <c r="BM235" s="53">
        <v>548.6</v>
      </c>
      <c r="BN235" s="53">
        <v>335.9</v>
      </c>
      <c r="BO235" s="55"/>
      <c r="BP235" s="55"/>
      <c r="BQ235" s="53">
        <v>151.80000000000001</v>
      </c>
      <c r="BR235" s="53">
        <v>5.5</v>
      </c>
      <c r="BS235" s="53">
        <v>493.2</v>
      </c>
      <c r="BT235" s="52" t="s">
        <v>264</v>
      </c>
      <c r="BU235" s="53">
        <v>30.6</v>
      </c>
      <c r="BV235" s="51">
        <v>374</v>
      </c>
      <c r="BW235" s="51">
        <v>94.4</v>
      </c>
      <c r="BX235" s="51">
        <v>475.4</v>
      </c>
      <c r="BY235" s="51">
        <v>53</v>
      </c>
      <c r="BZ235" s="51">
        <v>17.100000000000001</v>
      </c>
      <c r="CA235" s="49">
        <v>70.099999999999994</v>
      </c>
      <c r="CB235" s="55"/>
      <c r="CC235" s="55"/>
      <c r="CD235" s="55"/>
      <c r="CE235" s="55"/>
      <c r="CF235" s="53">
        <v>115.2</v>
      </c>
      <c r="CG235" s="53">
        <v>156.9</v>
      </c>
      <c r="CH235" s="53">
        <v>9.9</v>
      </c>
      <c r="CI235" s="55"/>
      <c r="CJ235" s="55"/>
      <c r="CK235" s="55"/>
      <c r="CL235" s="55"/>
      <c r="CM235" s="55"/>
      <c r="CN235" s="53">
        <v>28.1</v>
      </c>
      <c r="CO235" s="52">
        <v>387.5</v>
      </c>
      <c r="CP235" s="53">
        <v>300.10000000000002</v>
      </c>
      <c r="CQ235" s="53">
        <v>87.4</v>
      </c>
      <c r="CR235" s="52" t="s">
        <v>264</v>
      </c>
      <c r="CS235" s="52">
        <v>54.599999999999994</v>
      </c>
      <c r="CT235" s="52">
        <v>28.7</v>
      </c>
      <c r="CU235" s="52">
        <v>25.9</v>
      </c>
      <c r="CV235" s="52">
        <v>70.7</v>
      </c>
      <c r="CW235" s="53">
        <v>4.7</v>
      </c>
      <c r="CX235" s="53">
        <v>66</v>
      </c>
      <c r="CY235" s="53" t="s">
        <v>264</v>
      </c>
      <c r="CZ235" s="53">
        <v>67.599999999999994</v>
      </c>
      <c r="DA235" s="52">
        <v>48.199999999999996</v>
      </c>
      <c r="DB235" s="53">
        <v>46.3</v>
      </c>
      <c r="DC235" s="53">
        <v>1.9</v>
      </c>
      <c r="DD235" s="55"/>
      <c r="DE235" s="55"/>
      <c r="DF235" s="55"/>
      <c r="DG235" s="55"/>
      <c r="DH235" s="55"/>
      <c r="DI235" s="53">
        <v>603.1</v>
      </c>
      <c r="DJ235" s="53">
        <v>320.3</v>
      </c>
      <c r="DK235" s="55"/>
      <c r="DL235" s="53">
        <v>142.30000000000001</v>
      </c>
      <c r="DM235" s="53">
        <v>243.7</v>
      </c>
      <c r="DN235" s="55"/>
      <c r="DO235" s="53">
        <v>223.2</v>
      </c>
      <c r="DP235" s="53">
        <v>272.60000000000002</v>
      </c>
      <c r="DQ235" s="55"/>
      <c r="DR235" s="55"/>
      <c r="DS235" s="53">
        <v>971.69899999999996</v>
      </c>
      <c r="DT235" s="53">
        <v>3829.1</v>
      </c>
      <c r="DU235" s="53">
        <v>-1052.2009999999996</v>
      </c>
      <c r="DV235" s="53">
        <v>0</v>
      </c>
      <c r="DW235" s="55"/>
      <c r="DX235" s="55"/>
      <c r="DY235" s="55"/>
      <c r="DZ235" s="55"/>
      <c r="EA235" s="55"/>
      <c r="EB235" s="55"/>
      <c r="EC235" s="55"/>
      <c r="ED235" s="55"/>
      <c r="EE235" s="55"/>
      <c r="EF235" s="55"/>
      <c r="EG235" s="55"/>
      <c r="EH235" s="55"/>
      <c r="EI235" s="55"/>
      <c r="EJ235" s="55"/>
      <c r="EK235" s="55"/>
      <c r="EL235" s="55"/>
      <c r="EM235" s="55"/>
      <c r="EN235" s="55"/>
      <c r="EO235" s="55"/>
      <c r="EP235" s="55"/>
      <c r="EQ235" s="55"/>
      <c r="ER235" s="55"/>
      <c r="ES235" s="55"/>
      <c r="ET235" s="55"/>
      <c r="EU235" s="55"/>
      <c r="EV235" s="55"/>
      <c r="EW235" s="55"/>
      <c r="EX235" s="55"/>
      <c r="EY235" s="55"/>
      <c r="EZ235" s="55"/>
      <c r="FA235" s="55"/>
      <c r="FB235" s="55"/>
      <c r="FC235" s="55"/>
      <c r="FD235" s="55"/>
      <c r="FE235" s="55"/>
      <c r="FF235" s="55"/>
      <c r="FG235" s="55"/>
      <c r="FH235" s="55"/>
      <c r="FI235" s="55"/>
      <c r="FJ235" s="55"/>
      <c r="FK235" s="55"/>
      <c r="FL235" s="55"/>
      <c r="FM235" s="55"/>
      <c r="FN235" s="55"/>
      <c r="FO235" s="55"/>
      <c r="FP235" s="55"/>
      <c r="FQ235" s="55"/>
      <c r="FR235" s="55"/>
      <c r="FS235" s="55"/>
      <c r="FT235" s="55"/>
      <c r="FU235" s="55"/>
      <c r="FV235" s="55"/>
      <c r="FW235" s="55"/>
      <c r="FX235" s="55"/>
      <c r="FY235" s="55"/>
      <c r="FZ235" s="55"/>
      <c r="GA235" s="55"/>
      <c r="GB235" s="55"/>
      <c r="GC235" s="55"/>
      <c r="GD235" s="55"/>
      <c r="GE235" s="55"/>
      <c r="GF235" s="55"/>
      <c r="GG235" s="55"/>
      <c r="GH235" s="55"/>
      <c r="GI235" s="55"/>
      <c r="GJ235" s="55"/>
      <c r="GK235" s="55"/>
      <c r="GL235" s="55"/>
      <c r="GM235" s="55"/>
      <c r="GN235" s="55"/>
      <c r="GO235" s="55"/>
      <c r="GP235" s="55"/>
      <c r="GQ235" s="55"/>
      <c r="GR235" s="55"/>
      <c r="GS235" s="55"/>
      <c r="GT235" s="55"/>
      <c r="GU235" s="55"/>
      <c r="GV235" s="55"/>
      <c r="GW235" s="55"/>
      <c r="GX235" s="55"/>
      <c r="GY235" s="19">
        <v>0.95595576000783011</v>
      </c>
      <c r="GZ235" s="53">
        <v>976.7</v>
      </c>
      <c r="HA235" s="53">
        <v>1021.7</v>
      </c>
      <c r="HB235" s="55"/>
      <c r="HC235" s="55"/>
      <c r="HD235" s="55"/>
      <c r="HE235" s="55"/>
      <c r="HF235" s="53">
        <v>979</v>
      </c>
      <c r="HG235" s="53">
        <v>946.2</v>
      </c>
      <c r="HH235" s="53">
        <v>366</v>
      </c>
      <c r="HI235" s="53">
        <v>120.3</v>
      </c>
      <c r="HJ235" s="53">
        <v>448.9</v>
      </c>
      <c r="HK235" s="53">
        <v>11</v>
      </c>
      <c r="HL235" s="53">
        <v>49.6</v>
      </c>
      <c r="HM235" s="55"/>
      <c r="HN235" s="55"/>
      <c r="HO235" s="55"/>
      <c r="HP235" s="53" t="e">
        <v>#VALUE!</v>
      </c>
      <c r="HQ235" s="53">
        <v>3.7</v>
      </c>
      <c r="HR235" s="53">
        <v>8.4</v>
      </c>
      <c r="HS235" s="53" t="e">
        <v>#VALUE!</v>
      </c>
      <c r="HT235" s="53">
        <v>30.8</v>
      </c>
      <c r="HU235" s="55"/>
      <c r="HV235" s="55"/>
      <c r="HW235" s="53">
        <v>283.5</v>
      </c>
      <c r="HX235" s="53" t="e">
        <v>#VALUE!</v>
      </c>
      <c r="HY235" s="53">
        <v>283.5</v>
      </c>
      <c r="HZ235" s="53">
        <v>44.9</v>
      </c>
      <c r="IA235" s="53">
        <v>208.8</v>
      </c>
      <c r="IB235" s="53">
        <v>69.400000000000006</v>
      </c>
      <c r="IC235" s="53">
        <v>139.4</v>
      </c>
      <c r="ID235" s="53" t="e">
        <v>#VALUE!</v>
      </c>
      <c r="IE235" s="53" t="e">
        <v>#VALUE!</v>
      </c>
      <c r="IF235" s="53">
        <v>7.7</v>
      </c>
      <c r="IG235" s="53">
        <v>16</v>
      </c>
      <c r="IH235" s="55"/>
      <c r="II235" s="55"/>
      <c r="IJ235" s="55"/>
      <c r="IK235" s="55"/>
      <c r="IL235" s="55"/>
      <c r="IM235" s="55"/>
      <c r="IN235" s="53">
        <v>47.3</v>
      </c>
      <c r="IO235" s="53">
        <v>48.9</v>
      </c>
      <c r="IP235" s="53">
        <v>38.700000000000003</v>
      </c>
      <c r="IQ235" s="53">
        <v>38.4</v>
      </c>
      <c r="IR235" s="53">
        <v>13.7</v>
      </c>
      <c r="IS235" s="53" t="e">
        <v>#VALUE!</v>
      </c>
      <c r="IT235" s="53">
        <v>22.6</v>
      </c>
      <c r="IU235" s="53" t="e">
        <v>#VALUE!</v>
      </c>
      <c r="IV235" s="53">
        <v>0.3</v>
      </c>
      <c r="IY235" s="48">
        <f t="shared" si="11"/>
        <v>47.442479956125453</v>
      </c>
      <c r="IZ235" s="48">
        <f>IY235-'NOPA Crush'!J235</f>
        <v>0.21247995612545623</v>
      </c>
      <c r="JB235" s="63">
        <f t="shared" si="9"/>
        <v>11.271055861690735</v>
      </c>
      <c r="JC235" s="64">
        <f>JB235-'NOPA Crush'!O235</f>
        <v>-3.8944138309265242E-2</v>
      </c>
      <c r="JD235" s="65"/>
      <c r="JE235" s="67">
        <f t="shared" si="10"/>
        <v>1607.6</v>
      </c>
      <c r="JF235" s="68">
        <f>'NOPA Crush'!Q235/'Census Crush'!JE235</f>
        <v>0.74076449365513819</v>
      </c>
    </row>
    <row r="236" spans="1:266">
      <c r="A236" s="39">
        <v>36220</v>
      </c>
      <c r="B236" s="51">
        <v>4199.2</v>
      </c>
      <c r="C236" s="51">
        <v>2811.2</v>
      </c>
      <c r="D236" s="51">
        <v>280.2</v>
      </c>
      <c r="E236" s="51">
        <v>1190.5999999999999</v>
      </c>
      <c r="F236" s="51">
        <v>19.8</v>
      </c>
      <c r="G236" s="51" t="s">
        <v>264</v>
      </c>
      <c r="H236" s="51" t="s">
        <v>264</v>
      </c>
      <c r="I236" s="51" t="s">
        <v>264</v>
      </c>
      <c r="J236" s="51" t="s">
        <v>264</v>
      </c>
      <c r="K236" s="51">
        <v>1586.9</v>
      </c>
      <c r="L236" s="49">
        <v>1716.2</v>
      </c>
      <c r="M236" s="51">
        <v>1462</v>
      </c>
      <c r="N236" s="51">
        <v>254.2</v>
      </c>
      <c r="O236" s="51">
        <v>86.7</v>
      </c>
      <c r="P236" s="51">
        <v>125.39999999999999</v>
      </c>
      <c r="Q236" s="51">
        <v>34.799999999999997</v>
      </c>
      <c r="R236" s="51">
        <v>90.6</v>
      </c>
      <c r="S236" s="51"/>
      <c r="T236" s="51">
        <v>15.8</v>
      </c>
      <c r="U236" s="51">
        <v>52.3</v>
      </c>
      <c r="V236" s="51">
        <v>49.9</v>
      </c>
      <c r="W236" s="51">
        <v>2.4</v>
      </c>
      <c r="X236" s="51" t="s">
        <v>264</v>
      </c>
      <c r="Y236" s="51">
        <v>11</v>
      </c>
      <c r="Z236" s="49">
        <v>156.19999999999999</v>
      </c>
      <c r="AA236" s="51">
        <v>143.6</v>
      </c>
      <c r="AB236" s="51">
        <v>12.6</v>
      </c>
      <c r="AC236" s="51" t="s">
        <v>264</v>
      </c>
      <c r="AD236" s="51">
        <v>44.2</v>
      </c>
      <c r="AE236" s="51"/>
      <c r="AF236" s="51">
        <v>174.9</v>
      </c>
      <c r="AG236" s="51">
        <v>143.6</v>
      </c>
      <c r="AH236" s="51">
        <v>31.3</v>
      </c>
      <c r="AI236" s="51">
        <v>201</v>
      </c>
      <c r="AJ236" s="51"/>
      <c r="AK236" s="51"/>
      <c r="AL236" s="51">
        <v>113.19999999999999</v>
      </c>
      <c r="AM236" s="51">
        <v>41.6</v>
      </c>
      <c r="AN236" s="51">
        <v>71.599999999999994</v>
      </c>
      <c r="AO236" s="51">
        <v>3081.7</v>
      </c>
      <c r="AP236" s="51">
        <v>301</v>
      </c>
      <c r="AQ236" s="51">
        <v>221</v>
      </c>
      <c r="AR236" s="51">
        <v>40</v>
      </c>
      <c r="AS236" s="51">
        <v>127.2</v>
      </c>
      <c r="AT236" s="51">
        <v>72.3</v>
      </c>
      <c r="AU236" s="51">
        <v>76.8</v>
      </c>
      <c r="AV236" s="51">
        <v>30.2</v>
      </c>
      <c r="AW236" s="51">
        <v>11.1</v>
      </c>
      <c r="AX236" s="51" t="s">
        <v>264</v>
      </c>
      <c r="AY236" s="51" t="s">
        <v>264</v>
      </c>
      <c r="AZ236" s="51" t="s">
        <v>264</v>
      </c>
      <c r="BA236" s="51" t="s">
        <v>264</v>
      </c>
      <c r="BB236" s="51" t="s">
        <v>264</v>
      </c>
      <c r="BC236" s="51"/>
      <c r="BD236" s="53">
        <v>142.69999999999999</v>
      </c>
      <c r="BE236" s="53">
        <v>39.4</v>
      </c>
      <c r="BF236" s="55"/>
      <c r="BG236" s="55"/>
      <c r="BH236" s="53">
        <v>328.3</v>
      </c>
      <c r="BI236" s="55"/>
      <c r="BJ236" s="55"/>
      <c r="BK236" s="53">
        <v>272.10000000000002</v>
      </c>
      <c r="BL236" s="53">
        <v>4.2</v>
      </c>
      <c r="BM236" s="53">
        <v>604.6</v>
      </c>
      <c r="BN236" s="53">
        <v>320.3</v>
      </c>
      <c r="BO236" s="55"/>
      <c r="BP236" s="55"/>
      <c r="BQ236" s="53">
        <v>177.8</v>
      </c>
      <c r="BR236" s="53">
        <v>5.7</v>
      </c>
      <c r="BS236" s="53">
        <v>503.8</v>
      </c>
      <c r="BT236" s="52" t="s">
        <v>264</v>
      </c>
      <c r="BU236" s="53">
        <v>30.4</v>
      </c>
      <c r="BV236" s="51">
        <v>422.7</v>
      </c>
      <c r="BW236" s="51">
        <v>109.9</v>
      </c>
      <c r="BX236" s="51">
        <v>538.29999999999995</v>
      </c>
      <c r="BY236" s="51">
        <v>51</v>
      </c>
      <c r="BZ236" s="51">
        <v>16.399999999999999</v>
      </c>
      <c r="CA236" s="49">
        <v>67.400000000000006</v>
      </c>
      <c r="CB236" s="55"/>
      <c r="CC236" s="55"/>
      <c r="CD236" s="55"/>
      <c r="CE236" s="55"/>
      <c r="CF236" s="53">
        <v>134.6</v>
      </c>
      <c r="CG236" s="53">
        <v>163.30000000000001</v>
      </c>
      <c r="CH236" s="53">
        <v>7.2</v>
      </c>
      <c r="CI236" s="55"/>
      <c r="CJ236" s="55"/>
      <c r="CK236" s="55"/>
      <c r="CL236" s="55"/>
      <c r="CM236" s="55"/>
      <c r="CN236" s="53">
        <v>22.6</v>
      </c>
      <c r="CO236" s="52">
        <v>366.4</v>
      </c>
      <c r="CP236" s="53">
        <v>295.7</v>
      </c>
      <c r="CQ236" s="53">
        <v>70.7</v>
      </c>
      <c r="CR236" s="52" t="s">
        <v>264</v>
      </c>
      <c r="CS236" s="52">
        <v>68.3</v>
      </c>
      <c r="CT236" s="52">
        <v>39.799999999999997</v>
      </c>
      <c r="CU236" s="52">
        <v>28.5</v>
      </c>
      <c r="CV236" s="52">
        <v>71.3</v>
      </c>
      <c r="CW236" s="53">
        <v>7.4</v>
      </c>
      <c r="CX236" s="53">
        <v>63.9</v>
      </c>
      <c r="CY236" s="53" t="s">
        <v>264</v>
      </c>
      <c r="CZ236" s="53">
        <v>108.4</v>
      </c>
      <c r="DA236" s="52">
        <v>40.9</v>
      </c>
      <c r="DB236" s="53">
        <v>39.1</v>
      </c>
      <c r="DC236" s="53">
        <v>1.8</v>
      </c>
      <c r="DD236" s="55"/>
      <c r="DE236" s="55"/>
      <c r="DF236" s="55"/>
      <c r="DG236" s="55"/>
      <c r="DH236" s="55"/>
      <c r="DI236" s="53">
        <v>667.5</v>
      </c>
      <c r="DJ236" s="53">
        <v>353.5</v>
      </c>
      <c r="DK236" s="55"/>
      <c r="DL236" s="53">
        <v>152.69999999999999</v>
      </c>
      <c r="DM236" s="53">
        <v>271</v>
      </c>
      <c r="DN236" s="55"/>
      <c r="DO236" s="53">
        <v>248.7</v>
      </c>
      <c r="DP236" s="53">
        <v>294.60000000000002</v>
      </c>
      <c r="DQ236" s="55"/>
      <c r="DR236" s="55"/>
      <c r="DS236" s="53">
        <v>992.65800000000002</v>
      </c>
      <c r="DT236" s="53">
        <v>4199.2</v>
      </c>
      <c r="DU236" s="53">
        <v>-1218.5419999999999</v>
      </c>
      <c r="DV236" s="53">
        <v>0</v>
      </c>
      <c r="DW236" s="55"/>
      <c r="DX236" s="55"/>
      <c r="DY236" s="55"/>
      <c r="DZ236" s="55"/>
      <c r="EA236" s="55"/>
      <c r="EB236" s="55"/>
      <c r="EC236" s="55"/>
      <c r="ED236" s="55"/>
      <c r="EE236" s="55"/>
      <c r="EF236" s="55"/>
      <c r="EG236" s="55"/>
      <c r="EH236" s="55"/>
      <c r="EI236" s="55"/>
      <c r="EJ236" s="55"/>
      <c r="EK236" s="55"/>
      <c r="EL236" s="55"/>
      <c r="EM236" s="55"/>
      <c r="EN236" s="55"/>
      <c r="EO236" s="55"/>
      <c r="EP236" s="55"/>
      <c r="EQ236" s="55"/>
      <c r="ER236" s="55"/>
      <c r="ES236" s="55"/>
      <c r="ET236" s="55"/>
      <c r="EU236" s="55"/>
      <c r="EV236" s="55"/>
      <c r="EW236" s="55"/>
      <c r="EX236" s="55"/>
      <c r="EY236" s="55"/>
      <c r="EZ236" s="55"/>
      <c r="FA236" s="55"/>
      <c r="FB236" s="55"/>
      <c r="FC236" s="55"/>
      <c r="FD236" s="55"/>
      <c r="FE236" s="55"/>
      <c r="FF236" s="55"/>
      <c r="FG236" s="55"/>
      <c r="FH236" s="55"/>
      <c r="FI236" s="55"/>
      <c r="FJ236" s="55"/>
      <c r="FK236" s="55"/>
      <c r="FL236" s="55"/>
      <c r="FM236" s="55"/>
      <c r="FN236" s="55"/>
      <c r="FO236" s="55"/>
      <c r="FP236" s="55"/>
      <c r="FQ236" s="55"/>
      <c r="FR236" s="55"/>
      <c r="FS236" s="55"/>
      <c r="FT236" s="55"/>
      <c r="FU236" s="55"/>
      <c r="FV236" s="55"/>
      <c r="FW236" s="55"/>
      <c r="FX236" s="55"/>
      <c r="FY236" s="55"/>
      <c r="FZ236" s="55"/>
      <c r="GA236" s="55"/>
      <c r="GB236" s="55"/>
      <c r="GC236" s="55"/>
      <c r="GD236" s="55"/>
      <c r="GE236" s="55"/>
      <c r="GF236" s="55"/>
      <c r="GG236" s="55"/>
      <c r="GH236" s="55"/>
      <c r="GI236" s="55"/>
      <c r="GJ236" s="55"/>
      <c r="GK236" s="55"/>
      <c r="GL236" s="55"/>
      <c r="GM236" s="55"/>
      <c r="GN236" s="55"/>
      <c r="GO236" s="55"/>
      <c r="GP236" s="55"/>
      <c r="GQ236" s="55"/>
      <c r="GR236" s="55"/>
      <c r="GS236" s="55"/>
      <c r="GT236" s="55"/>
      <c r="GU236" s="55"/>
      <c r="GV236" s="55"/>
      <c r="GW236" s="55"/>
      <c r="GX236" s="55"/>
      <c r="GY236" s="19">
        <v>0.95647058823529418</v>
      </c>
      <c r="GZ236" s="53">
        <v>1138.2</v>
      </c>
      <c r="HA236" s="53">
        <v>1190</v>
      </c>
      <c r="HB236" s="55"/>
      <c r="HC236" s="55"/>
      <c r="HD236" s="55"/>
      <c r="HE236" s="55"/>
      <c r="HF236" s="53">
        <v>1156.0999999999999</v>
      </c>
      <c r="HG236" s="53">
        <v>1121.8</v>
      </c>
      <c r="HH236" s="53">
        <v>430.7</v>
      </c>
      <c r="HI236" s="53">
        <v>139.5</v>
      </c>
      <c r="HJ236" s="53">
        <v>539.4</v>
      </c>
      <c r="HK236" s="53">
        <v>12.2</v>
      </c>
      <c r="HL236" s="53">
        <v>51.2</v>
      </c>
      <c r="HM236" s="55"/>
      <c r="HN236" s="55"/>
      <c r="HO236" s="55"/>
      <c r="HP236" s="53" t="e">
        <v>#VALUE!</v>
      </c>
      <c r="HQ236" s="53">
        <v>4.0999999999999996</v>
      </c>
      <c r="HR236" s="53">
        <v>10.8</v>
      </c>
      <c r="HS236" s="53" t="e">
        <v>#VALUE!</v>
      </c>
      <c r="HT236" s="53">
        <v>28.6</v>
      </c>
      <c r="HU236" s="55"/>
      <c r="HV236" s="55"/>
      <c r="HW236" s="53">
        <v>336.3</v>
      </c>
      <c r="HX236" s="53" t="e">
        <v>#VALUE!</v>
      </c>
      <c r="HY236" s="53">
        <v>336.3</v>
      </c>
      <c r="HZ236" s="53">
        <v>504</v>
      </c>
      <c r="IA236" s="53">
        <v>250.1</v>
      </c>
      <c r="IB236" s="53">
        <v>90.7</v>
      </c>
      <c r="IC236" s="53">
        <v>159.5</v>
      </c>
      <c r="ID236" s="53" t="e">
        <v>#VALUE!</v>
      </c>
      <c r="IE236" s="53" t="e">
        <v>#VALUE!</v>
      </c>
      <c r="IF236" s="53">
        <v>7.7</v>
      </c>
      <c r="IG236" s="53">
        <v>21.4</v>
      </c>
      <c r="IH236" s="55"/>
      <c r="II236" s="55"/>
      <c r="IJ236" s="55"/>
      <c r="IK236" s="55"/>
      <c r="IL236" s="55"/>
      <c r="IM236" s="55"/>
      <c r="IN236" s="53">
        <v>49</v>
      </c>
      <c r="IO236" s="53">
        <v>50.7</v>
      </c>
      <c r="IP236" s="53">
        <v>44.7</v>
      </c>
      <c r="IQ236" s="53">
        <v>44.3</v>
      </c>
      <c r="IR236" s="53">
        <v>15.1</v>
      </c>
      <c r="IS236" s="53" t="e">
        <v>#VALUE!</v>
      </c>
      <c r="IT236" s="53">
        <v>27</v>
      </c>
      <c r="IU236" s="53" t="e">
        <v>#VALUE!</v>
      </c>
      <c r="IV236" s="53">
        <v>0.4</v>
      </c>
      <c r="IY236" s="48">
        <f t="shared" si="11"/>
        <v>47.190417222328058</v>
      </c>
      <c r="IZ236" s="48">
        <f>IY236-'NOPA Crush'!J236</f>
        <v>4.0417222328059665E-2</v>
      </c>
      <c r="JB236" s="63">
        <f t="shared" si="9"/>
        <v>11.337159458944562</v>
      </c>
      <c r="JC236" s="64">
        <f>JB236-'NOPA Crush'!O236</f>
        <v>-6.2840541055438237E-2</v>
      </c>
      <c r="JD236" s="65"/>
      <c r="JE236" s="67">
        <f t="shared" si="10"/>
        <v>1716.2</v>
      </c>
      <c r="JF236" s="68">
        <f>'NOPA Crush'!Q236/'Census Crush'!JE236</f>
        <v>0.73285922386668212</v>
      </c>
    </row>
    <row r="237" spans="1:266">
      <c r="A237" s="39">
        <v>36251</v>
      </c>
      <c r="B237" s="51">
        <v>3853.3</v>
      </c>
      <c r="C237" s="51">
        <v>2414.1999999999998</v>
      </c>
      <c r="D237" s="51">
        <v>205.5</v>
      </c>
      <c r="E237" s="51">
        <v>986.9</v>
      </c>
      <c r="F237" s="51">
        <v>22.3</v>
      </c>
      <c r="G237" s="51" t="s">
        <v>264</v>
      </c>
      <c r="H237" s="51" t="s">
        <v>264</v>
      </c>
      <c r="I237" s="51" t="s">
        <v>264</v>
      </c>
      <c r="J237" s="51" t="s">
        <v>264</v>
      </c>
      <c r="K237" s="51">
        <v>1452.7</v>
      </c>
      <c r="L237" s="49">
        <v>1640.6000000000001</v>
      </c>
      <c r="M237" s="51">
        <v>1399.4</v>
      </c>
      <c r="N237" s="51">
        <v>241.2</v>
      </c>
      <c r="O237" s="51">
        <v>64.400000000000006</v>
      </c>
      <c r="P237" s="51">
        <v>126</v>
      </c>
      <c r="Q237" s="51">
        <v>33.200000000000003</v>
      </c>
      <c r="R237" s="51">
        <v>92.8</v>
      </c>
      <c r="S237" s="51"/>
      <c r="T237" s="51">
        <v>18.2</v>
      </c>
      <c r="U237" s="51">
        <v>43.4</v>
      </c>
      <c r="V237" s="51">
        <v>40.9</v>
      </c>
      <c r="W237" s="51">
        <v>2.5</v>
      </c>
      <c r="X237" s="51" t="s">
        <v>264</v>
      </c>
      <c r="Y237" s="51">
        <v>16.399999999999999</v>
      </c>
      <c r="Z237" s="49">
        <v>175.4</v>
      </c>
      <c r="AA237" s="51">
        <v>167.4</v>
      </c>
      <c r="AB237" s="51">
        <v>8</v>
      </c>
      <c r="AC237" s="51" t="s">
        <v>264</v>
      </c>
      <c r="AD237" s="51">
        <v>37.5</v>
      </c>
      <c r="AE237" s="51"/>
      <c r="AF237" s="51">
        <v>183.39999999999998</v>
      </c>
      <c r="AG237" s="51">
        <v>153.69999999999999</v>
      </c>
      <c r="AH237" s="51">
        <v>29.7</v>
      </c>
      <c r="AI237" s="51">
        <v>201.1</v>
      </c>
      <c r="AJ237" s="51"/>
      <c r="AK237" s="51"/>
      <c r="AL237" s="51">
        <v>117.6</v>
      </c>
      <c r="AM237" s="51">
        <v>49.8</v>
      </c>
      <c r="AN237" s="51">
        <v>67.8</v>
      </c>
      <c r="AO237" s="51">
        <v>2842.7</v>
      </c>
      <c r="AP237" s="51">
        <v>279.7</v>
      </c>
      <c r="AQ237" s="51">
        <v>201.5</v>
      </c>
      <c r="AR237" s="51">
        <v>36.299999999999997</v>
      </c>
      <c r="AS237" s="51">
        <v>90.6</v>
      </c>
      <c r="AT237" s="51">
        <v>73.599999999999994</v>
      </c>
      <c r="AU237" s="51">
        <v>56.2</v>
      </c>
      <c r="AV237" s="51">
        <v>34.5</v>
      </c>
      <c r="AW237" s="51">
        <v>12.7</v>
      </c>
      <c r="AX237" s="51" t="s">
        <v>264</v>
      </c>
      <c r="AY237" s="51" t="s">
        <v>264</v>
      </c>
      <c r="AZ237" s="51" t="s">
        <v>264</v>
      </c>
      <c r="BA237" s="51" t="s">
        <v>264</v>
      </c>
      <c r="BB237" s="51" t="s">
        <v>264</v>
      </c>
      <c r="BC237" s="51"/>
      <c r="BD237" s="53">
        <v>141.1</v>
      </c>
      <c r="BE237" s="53">
        <v>42.3</v>
      </c>
      <c r="BF237" s="55"/>
      <c r="BG237" s="55"/>
      <c r="BH237" s="53">
        <v>322.39999999999998</v>
      </c>
      <c r="BI237" s="55"/>
      <c r="BJ237" s="55"/>
      <c r="BK237" s="53">
        <v>272.60000000000002</v>
      </c>
      <c r="BL237" s="53">
        <v>3.9</v>
      </c>
      <c r="BM237" s="53">
        <v>599</v>
      </c>
      <c r="BN237" s="53">
        <v>278.3</v>
      </c>
      <c r="BO237" s="55"/>
      <c r="BP237" s="55"/>
      <c r="BQ237" s="53">
        <v>174.9</v>
      </c>
      <c r="BR237" s="53">
        <v>4.9000000000000004</v>
      </c>
      <c r="BS237" s="53">
        <v>458.1</v>
      </c>
      <c r="BT237" s="52" t="s">
        <v>264</v>
      </c>
      <c r="BU237" s="53">
        <v>27.1</v>
      </c>
      <c r="BV237" s="51">
        <v>408.6</v>
      </c>
      <c r="BW237" s="51">
        <v>105.6</v>
      </c>
      <c r="BX237" s="51">
        <v>517.79999999999995</v>
      </c>
      <c r="BY237" s="51">
        <v>49.4</v>
      </c>
      <c r="BZ237" s="51">
        <v>13.3</v>
      </c>
      <c r="CA237" s="49">
        <v>62.7</v>
      </c>
      <c r="CB237" s="55"/>
      <c r="CC237" s="55"/>
      <c r="CD237" s="55"/>
      <c r="CE237" s="55"/>
      <c r="CF237" s="53">
        <v>121</v>
      </c>
      <c r="CG237" s="53">
        <v>177.5</v>
      </c>
      <c r="CH237" s="53">
        <v>7.6</v>
      </c>
      <c r="CI237" s="55"/>
      <c r="CJ237" s="55"/>
      <c r="CK237" s="55"/>
      <c r="CL237" s="55"/>
      <c r="CM237" s="55"/>
      <c r="CN237" s="53">
        <v>32.200000000000003</v>
      </c>
      <c r="CO237" s="52">
        <v>309.7</v>
      </c>
      <c r="CP237" s="53">
        <v>269</v>
      </c>
      <c r="CQ237" s="53">
        <v>40.700000000000003</v>
      </c>
      <c r="CR237" s="52" t="s">
        <v>264</v>
      </c>
      <c r="CS237" s="52">
        <v>65.3</v>
      </c>
      <c r="CT237" s="52">
        <v>37</v>
      </c>
      <c r="CU237" s="52">
        <v>28.3</v>
      </c>
      <c r="CV237" s="52">
        <v>72.2</v>
      </c>
      <c r="CW237" s="53">
        <v>10.9</v>
      </c>
      <c r="CX237" s="53">
        <v>61.3</v>
      </c>
      <c r="CY237" s="53" t="s">
        <v>264</v>
      </c>
      <c r="CZ237" s="53">
        <v>89.3</v>
      </c>
      <c r="DA237" s="52">
        <v>43.3</v>
      </c>
      <c r="DB237" s="53">
        <v>41.5</v>
      </c>
      <c r="DC237" s="53">
        <v>1.8</v>
      </c>
      <c r="DD237" s="55"/>
      <c r="DE237" s="55"/>
      <c r="DF237" s="55"/>
      <c r="DG237" s="55"/>
      <c r="DH237" s="55"/>
      <c r="DI237" s="53">
        <v>623.70000000000005</v>
      </c>
      <c r="DJ237" s="53">
        <v>336.6</v>
      </c>
      <c r="DK237" s="55"/>
      <c r="DL237" s="53">
        <v>145.6</v>
      </c>
      <c r="DM237" s="53">
        <v>240.6</v>
      </c>
      <c r="DN237" s="55"/>
      <c r="DO237" s="53">
        <v>241.5</v>
      </c>
      <c r="DP237" s="53">
        <v>284.10000000000002</v>
      </c>
      <c r="DQ237" s="55"/>
      <c r="DR237" s="55"/>
      <c r="DS237" s="53">
        <v>913.33699999999999</v>
      </c>
      <c r="DT237" s="53">
        <v>3853.3</v>
      </c>
      <c r="DU237" s="53">
        <v>-1067.8630000000003</v>
      </c>
      <c r="DV237" s="53">
        <v>0</v>
      </c>
      <c r="DW237" s="55"/>
      <c r="DX237" s="55"/>
      <c r="DY237" s="55"/>
      <c r="DZ237" s="55"/>
      <c r="EA237" s="55"/>
      <c r="EB237" s="55"/>
      <c r="EC237" s="55"/>
      <c r="ED237" s="55"/>
      <c r="EE237" s="55"/>
      <c r="EF237" s="55"/>
      <c r="EG237" s="55"/>
      <c r="EH237" s="55"/>
      <c r="EI237" s="55"/>
      <c r="EJ237" s="55"/>
      <c r="EK237" s="55"/>
      <c r="EL237" s="55"/>
      <c r="EM237" s="55"/>
      <c r="EN237" s="55"/>
      <c r="EO237" s="55"/>
      <c r="EP237" s="55"/>
      <c r="EQ237" s="55"/>
      <c r="ER237" s="55"/>
      <c r="ES237" s="55"/>
      <c r="ET237" s="55"/>
      <c r="EU237" s="55"/>
      <c r="EV237" s="55"/>
      <c r="EW237" s="55"/>
      <c r="EX237" s="55"/>
      <c r="EY237" s="55"/>
      <c r="EZ237" s="55"/>
      <c r="FA237" s="55"/>
      <c r="FB237" s="55"/>
      <c r="FC237" s="55"/>
      <c r="FD237" s="55"/>
      <c r="FE237" s="55"/>
      <c r="FF237" s="55"/>
      <c r="FG237" s="55"/>
      <c r="FH237" s="55"/>
      <c r="FI237" s="55"/>
      <c r="FJ237" s="55"/>
      <c r="FK237" s="55"/>
      <c r="FL237" s="55"/>
      <c r="FM237" s="55"/>
      <c r="FN237" s="55"/>
      <c r="FO237" s="55"/>
      <c r="FP237" s="55"/>
      <c r="FQ237" s="55"/>
      <c r="FR237" s="55"/>
      <c r="FS237" s="55"/>
      <c r="FT237" s="55"/>
      <c r="FU237" s="55"/>
      <c r="FV237" s="55"/>
      <c r="FW237" s="55"/>
      <c r="FX237" s="55"/>
      <c r="FY237" s="55"/>
      <c r="FZ237" s="55"/>
      <c r="GA237" s="55"/>
      <c r="GB237" s="55"/>
      <c r="GC237" s="55"/>
      <c r="GD237" s="55"/>
      <c r="GE237" s="55"/>
      <c r="GF237" s="55"/>
      <c r="GG237" s="55"/>
      <c r="GH237" s="55"/>
      <c r="GI237" s="55"/>
      <c r="GJ237" s="55"/>
      <c r="GK237" s="55"/>
      <c r="GL237" s="55"/>
      <c r="GM237" s="55"/>
      <c r="GN237" s="55"/>
      <c r="GO237" s="55"/>
      <c r="GP237" s="55"/>
      <c r="GQ237" s="55"/>
      <c r="GR237" s="55"/>
      <c r="GS237" s="55"/>
      <c r="GT237" s="55"/>
      <c r="GU237" s="55"/>
      <c r="GV237" s="55"/>
      <c r="GW237" s="55"/>
      <c r="GX237" s="55"/>
      <c r="GY237" s="19">
        <v>0.96458745281323044</v>
      </c>
      <c r="GZ237" s="53">
        <v>1073.2</v>
      </c>
      <c r="HA237" s="53">
        <v>1112.5999999999999</v>
      </c>
      <c r="HB237" s="55"/>
      <c r="HC237" s="55"/>
      <c r="HD237" s="55"/>
      <c r="HE237" s="55"/>
      <c r="HF237" s="53">
        <v>1087.7</v>
      </c>
      <c r="HG237" s="53">
        <v>1057.4000000000001</v>
      </c>
      <c r="HH237" s="53">
        <v>406.6</v>
      </c>
      <c r="HI237" s="53">
        <v>126</v>
      </c>
      <c r="HJ237" s="53">
        <v>513.79999999999995</v>
      </c>
      <c r="HK237" s="53">
        <v>10.9</v>
      </c>
      <c r="HL237" s="53">
        <v>47.1</v>
      </c>
      <c r="HM237" s="55"/>
      <c r="HN237" s="55"/>
      <c r="HO237" s="55"/>
      <c r="HP237" s="53" t="e">
        <v>#VALUE!</v>
      </c>
      <c r="HQ237" s="53">
        <v>3.5</v>
      </c>
      <c r="HR237" s="53">
        <v>9.9</v>
      </c>
      <c r="HS237" s="53" t="e">
        <v>#VALUE!</v>
      </c>
      <c r="HT237" s="53">
        <v>26.9</v>
      </c>
      <c r="HU237" s="55"/>
      <c r="HV237" s="55"/>
      <c r="HW237" s="53">
        <v>309.2</v>
      </c>
      <c r="HX237" s="53" t="e">
        <v>#VALUE!</v>
      </c>
      <c r="HY237" s="53">
        <v>309.2</v>
      </c>
      <c r="HZ237" s="53">
        <v>52</v>
      </c>
      <c r="IA237" s="53">
        <v>223.3</v>
      </c>
      <c r="IB237" s="53">
        <v>73.400000000000006</v>
      </c>
      <c r="IC237" s="53">
        <v>149.9</v>
      </c>
      <c r="ID237" s="53" t="e">
        <v>#VALUE!</v>
      </c>
      <c r="IE237" s="53" t="e">
        <v>#VALUE!</v>
      </c>
      <c r="IF237" s="53">
        <v>7.7</v>
      </c>
      <c r="IG237" s="53">
        <v>19.7</v>
      </c>
      <c r="IH237" s="55"/>
      <c r="II237" s="55"/>
      <c r="IJ237" s="55"/>
      <c r="IK237" s="55"/>
      <c r="IL237" s="55"/>
      <c r="IM237" s="55"/>
      <c r="IN237" s="53">
        <v>35.200000000000003</v>
      </c>
      <c r="IO237" s="53">
        <v>36.4</v>
      </c>
      <c r="IP237" s="53">
        <v>46.6</v>
      </c>
      <c r="IQ237" s="53">
        <v>46.3</v>
      </c>
      <c r="IR237" s="53">
        <v>13.4</v>
      </c>
      <c r="IS237" s="53" t="e">
        <v>#VALUE!</v>
      </c>
      <c r="IT237" s="53">
        <v>31</v>
      </c>
      <c r="IU237" s="53" t="e">
        <v>#VALUE!</v>
      </c>
      <c r="IV237" s="53">
        <v>0.3</v>
      </c>
      <c r="IY237" s="48">
        <f t="shared" si="11"/>
        <v>47.401448109412712</v>
      </c>
      <c r="IZ237" s="48">
        <f>IY237-'NOPA Crush'!J237</f>
        <v>7.1448109412713734E-2</v>
      </c>
      <c r="JB237" s="63">
        <f t="shared" si="9"/>
        <v>11.310045934653415</v>
      </c>
      <c r="JC237" s="64">
        <f>JB237-'NOPA Crush'!O237</f>
        <v>-6.9954065346585992E-2</v>
      </c>
      <c r="JD237" s="65"/>
      <c r="JE237" s="67">
        <f t="shared" si="10"/>
        <v>1640.6000000000001</v>
      </c>
      <c r="JF237" s="68">
        <f>'NOPA Crush'!Q237/'Census Crush'!JE237</f>
        <v>0.72028343289040586</v>
      </c>
    </row>
    <row r="238" spans="1:266">
      <c r="A238" s="39">
        <v>36281</v>
      </c>
      <c r="B238" s="51">
        <v>3841.3</v>
      </c>
      <c r="C238" s="51">
        <v>1707.6</v>
      </c>
      <c r="D238" s="51">
        <v>172</v>
      </c>
      <c r="E238" s="51">
        <v>778.1</v>
      </c>
      <c r="F238" s="51">
        <v>19.5</v>
      </c>
      <c r="G238" s="51" t="s">
        <v>264</v>
      </c>
      <c r="H238" s="51" t="s">
        <v>264</v>
      </c>
      <c r="I238" s="51" t="s">
        <v>264</v>
      </c>
      <c r="J238" s="51" t="s">
        <v>264</v>
      </c>
      <c r="K238" s="51">
        <v>1450.3</v>
      </c>
      <c r="L238" s="49">
        <v>1767.3</v>
      </c>
      <c r="M238" s="51">
        <v>1499.5</v>
      </c>
      <c r="N238" s="51">
        <v>267.8</v>
      </c>
      <c r="O238" s="51">
        <v>53.4</v>
      </c>
      <c r="P238" s="51">
        <v>112</v>
      </c>
      <c r="Q238" s="51">
        <v>33.4</v>
      </c>
      <c r="R238" s="51">
        <v>78.599999999999994</v>
      </c>
      <c r="S238" s="51"/>
      <c r="T238" s="51">
        <v>16.399999999999999</v>
      </c>
      <c r="U238" s="51">
        <v>41.3</v>
      </c>
      <c r="V238" s="51">
        <v>38.799999999999997</v>
      </c>
      <c r="W238" s="51">
        <v>2.5</v>
      </c>
      <c r="X238" s="51" t="s">
        <v>264</v>
      </c>
      <c r="Y238" s="51">
        <v>9</v>
      </c>
      <c r="Z238" s="49">
        <v>204.1</v>
      </c>
      <c r="AA238" s="51">
        <v>193.5</v>
      </c>
      <c r="AB238" s="51">
        <v>10.6</v>
      </c>
      <c r="AC238" s="51" t="s">
        <v>264</v>
      </c>
      <c r="AD238" s="51">
        <v>40.700000000000003</v>
      </c>
      <c r="AE238" s="51"/>
      <c r="AF238" s="51">
        <v>190.89999999999998</v>
      </c>
      <c r="AG238" s="51">
        <v>156.6</v>
      </c>
      <c r="AH238" s="51">
        <v>34.299999999999997</v>
      </c>
      <c r="AI238" s="51">
        <v>205.3</v>
      </c>
      <c r="AJ238" s="51"/>
      <c r="AK238" s="51"/>
      <c r="AL238" s="51">
        <v>68.900000000000006</v>
      </c>
      <c r="AM238" s="51">
        <v>45.3</v>
      </c>
      <c r="AN238" s="51">
        <v>23.6</v>
      </c>
      <c r="AO238" s="51">
        <v>2822.3</v>
      </c>
      <c r="AP238" s="51">
        <v>401.8</v>
      </c>
      <c r="AQ238" s="51">
        <v>202.1</v>
      </c>
      <c r="AR238" s="51">
        <v>45.9</v>
      </c>
      <c r="AS238" s="51">
        <v>75.599999999999994</v>
      </c>
      <c r="AT238" s="51">
        <v>71.5</v>
      </c>
      <c r="AU238" s="51">
        <v>46.8</v>
      </c>
      <c r="AV238" s="51">
        <v>29.1</v>
      </c>
      <c r="AW238" s="51">
        <v>11</v>
      </c>
      <c r="AX238" s="51">
        <v>2.6</v>
      </c>
      <c r="AY238" s="51" t="s">
        <v>264</v>
      </c>
      <c r="AZ238" s="51" t="s">
        <v>264</v>
      </c>
      <c r="BA238" s="51" t="s">
        <v>264</v>
      </c>
      <c r="BB238" s="51" t="s">
        <v>264</v>
      </c>
      <c r="BC238" s="51"/>
      <c r="BD238" s="53">
        <v>157.5</v>
      </c>
      <c r="BE238" s="53">
        <v>49.9</v>
      </c>
      <c r="BF238" s="55"/>
      <c r="BG238" s="55"/>
      <c r="BH238" s="53">
        <v>324.39999999999998</v>
      </c>
      <c r="BI238" s="55"/>
      <c r="BJ238" s="55"/>
      <c r="BK238" s="53">
        <v>277.8</v>
      </c>
      <c r="BL238" s="53">
        <v>3.6</v>
      </c>
      <c r="BM238" s="53">
        <v>605.79999999999995</v>
      </c>
      <c r="BN238" s="53">
        <v>269.10000000000002</v>
      </c>
      <c r="BO238" s="55"/>
      <c r="BP238" s="55"/>
      <c r="BQ238" s="53">
        <v>163.4</v>
      </c>
      <c r="BR238" s="53">
        <v>4.5999999999999996</v>
      </c>
      <c r="BS238" s="53">
        <v>437.1</v>
      </c>
      <c r="BT238" s="52" t="s">
        <v>264</v>
      </c>
      <c r="BU238" s="53">
        <v>39.9</v>
      </c>
      <c r="BV238" s="51">
        <v>387.9</v>
      </c>
      <c r="BW238" s="51">
        <v>108</v>
      </c>
      <c r="BX238" s="51">
        <v>502.5</v>
      </c>
      <c r="BY238" s="51">
        <v>51.5</v>
      </c>
      <c r="BZ238" s="51">
        <v>16.8</v>
      </c>
      <c r="CA238" s="49">
        <v>68.3</v>
      </c>
      <c r="CB238" s="55"/>
      <c r="CC238" s="55"/>
      <c r="CD238" s="55"/>
      <c r="CE238" s="55"/>
      <c r="CF238" s="53">
        <v>103.8</v>
      </c>
      <c r="CG238" s="53">
        <v>183</v>
      </c>
      <c r="CH238" s="53">
        <v>7.2</v>
      </c>
      <c r="CI238" s="55"/>
      <c r="CJ238" s="55"/>
      <c r="CK238" s="55"/>
      <c r="CL238" s="55"/>
      <c r="CM238" s="55"/>
      <c r="CN238" s="53" t="s">
        <v>264</v>
      </c>
      <c r="CO238" s="52">
        <v>240.4</v>
      </c>
      <c r="CP238" s="53">
        <v>197.5</v>
      </c>
      <c r="CQ238" s="53">
        <v>42.9</v>
      </c>
      <c r="CR238" s="52" t="s">
        <v>264</v>
      </c>
      <c r="CS238" s="52">
        <v>76.199999999999989</v>
      </c>
      <c r="CT238" s="52">
        <v>46.3</v>
      </c>
      <c r="CU238" s="52">
        <v>29.9</v>
      </c>
      <c r="CV238" s="52">
        <v>69.2</v>
      </c>
      <c r="CW238" s="53">
        <v>13.5</v>
      </c>
      <c r="CX238" s="53">
        <v>55.7</v>
      </c>
      <c r="CY238" s="53" t="s">
        <v>264</v>
      </c>
      <c r="CZ238" s="53">
        <v>88.7</v>
      </c>
      <c r="DA238" s="52">
        <v>35.9</v>
      </c>
      <c r="DB238" s="53">
        <v>33.799999999999997</v>
      </c>
      <c r="DC238" s="53">
        <v>2.1</v>
      </c>
      <c r="DD238" s="55"/>
      <c r="DE238" s="55"/>
      <c r="DF238" s="55"/>
      <c r="DG238" s="55"/>
      <c r="DH238" s="55"/>
      <c r="DI238" s="53">
        <v>633.20000000000005</v>
      </c>
      <c r="DJ238" s="53">
        <v>352.5</v>
      </c>
      <c r="DK238" s="55"/>
      <c r="DL238" s="53">
        <v>143.19999999999999</v>
      </c>
      <c r="DM238" s="53">
        <v>262.8</v>
      </c>
      <c r="DN238" s="55"/>
      <c r="DO238" s="53">
        <v>202.5</v>
      </c>
      <c r="DP238" s="53">
        <v>231.2</v>
      </c>
      <c r="DQ238" s="55"/>
      <c r="DR238" s="55"/>
      <c r="DS238" s="53">
        <v>968.93899999999996</v>
      </c>
      <c r="DT238" s="53">
        <v>3841.3</v>
      </c>
      <c r="DU238" s="53">
        <v>-1046.9610000000002</v>
      </c>
      <c r="DV238" s="53">
        <v>0</v>
      </c>
      <c r="DW238" s="55"/>
      <c r="DX238" s="55"/>
      <c r="DY238" s="55"/>
      <c r="DZ238" s="55"/>
      <c r="EA238" s="55"/>
      <c r="EB238" s="55"/>
      <c r="EC238" s="55"/>
      <c r="ED238" s="55"/>
      <c r="EE238" s="55"/>
      <c r="EF238" s="55"/>
      <c r="EG238" s="55"/>
      <c r="EH238" s="55"/>
      <c r="EI238" s="55"/>
      <c r="EJ238" s="55"/>
      <c r="EK238" s="55"/>
      <c r="EL238" s="55"/>
      <c r="EM238" s="55"/>
      <c r="EN238" s="55"/>
      <c r="EO238" s="55"/>
      <c r="EP238" s="55"/>
      <c r="EQ238" s="55"/>
      <c r="ER238" s="55"/>
      <c r="ES238" s="55"/>
      <c r="ET238" s="55"/>
      <c r="EU238" s="55"/>
      <c r="EV238" s="55"/>
      <c r="EW238" s="55"/>
      <c r="EX238" s="55"/>
      <c r="EY238" s="55"/>
      <c r="EZ238" s="55"/>
      <c r="FA238" s="55"/>
      <c r="FB238" s="55"/>
      <c r="FC238" s="55"/>
      <c r="FD238" s="55"/>
      <c r="FE238" s="55"/>
      <c r="FF238" s="55"/>
      <c r="FG238" s="55"/>
      <c r="FH238" s="55"/>
      <c r="FI238" s="55"/>
      <c r="FJ238" s="55"/>
      <c r="FK238" s="55"/>
      <c r="FL238" s="55"/>
      <c r="FM238" s="55"/>
      <c r="FN238" s="55"/>
      <c r="FO238" s="55"/>
      <c r="FP238" s="55"/>
      <c r="FQ238" s="55"/>
      <c r="FR238" s="55"/>
      <c r="FS238" s="55"/>
      <c r="FT238" s="55"/>
      <c r="FU238" s="55"/>
      <c r="FV238" s="55"/>
      <c r="FW238" s="55"/>
      <c r="FX238" s="55"/>
      <c r="FY238" s="55"/>
      <c r="FZ238" s="55"/>
      <c r="GA238" s="55"/>
      <c r="GB238" s="55"/>
      <c r="GC238" s="55"/>
      <c r="GD238" s="55"/>
      <c r="GE238" s="55"/>
      <c r="GF238" s="55"/>
      <c r="GG238" s="55"/>
      <c r="GH238" s="55"/>
      <c r="GI238" s="55"/>
      <c r="GJ238" s="55"/>
      <c r="GK238" s="55"/>
      <c r="GL238" s="55"/>
      <c r="GM238" s="55"/>
      <c r="GN238" s="55"/>
      <c r="GO238" s="55"/>
      <c r="GP238" s="55"/>
      <c r="GQ238" s="55"/>
      <c r="GR238" s="55"/>
      <c r="GS238" s="55"/>
      <c r="GT238" s="55"/>
      <c r="GU238" s="55"/>
      <c r="GV238" s="55"/>
      <c r="GW238" s="55"/>
      <c r="GX238" s="55"/>
      <c r="GY238" s="19">
        <v>0.96487181761731577</v>
      </c>
      <c r="GZ238" s="53">
        <v>1087.7</v>
      </c>
      <c r="HA238" s="53">
        <v>1127.3</v>
      </c>
      <c r="HB238" s="55"/>
      <c r="HC238" s="55"/>
      <c r="HD238" s="55"/>
      <c r="HE238" s="55"/>
      <c r="HF238" s="53">
        <v>1091.9000000000001</v>
      </c>
      <c r="HG238" s="53">
        <v>1061.5999999999999</v>
      </c>
      <c r="HH238" s="53">
        <v>410.8</v>
      </c>
      <c r="HI238" s="53">
        <v>119.8</v>
      </c>
      <c r="HJ238" s="53">
        <v>519.4</v>
      </c>
      <c r="HK238" s="53">
        <v>11.6</v>
      </c>
      <c r="HL238" s="53">
        <v>47</v>
      </c>
      <c r="HM238" s="55"/>
      <c r="HN238" s="55"/>
      <c r="HO238" s="55"/>
      <c r="HP238" s="53" t="e">
        <v>#VALUE!</v>
      </c>
      <c r="HQ238" s="53">
        <v>3.8</v>
      </c>
      <c r="HR238" s="53">
        <v>10.6</v>
      </c>
      <c r="HS238" s="53" t="e">
        <v>#VALUE!</v>
      </c>
      <c r="HT238" s="53">
        <v>26.5</v>
      </c>
      <c r="HU238" s="55"/>
      <c r="HV238" s="55"/>
      <c r="HW238" s="53">
        <v>288.89999999999998</v>
      </c>
      <c r="HX238" s="53" t="e">
        <v>#VALUE!</v>
      </c>
      <c r="HY238" s="53">
        <v>288.89999999999998</v>
      </c>
      <c r="HZ238" s="53">
        <v>48.5</v>
      </c>
      <c r="IA238" s="53">
        <v>211.4</v>
      </c>
      <c r="IB238" s="53">
        <v>72.8</v>
      </c>
      <c r="IC238" s="53">
        <v>138.69999999999999</v>
      </c>
      <c r="ID238" s="53" t="e">
        <v>#VALUE!</v>
      </c>
      <c r="IE238" s="53" t="e">
        <v>#VALUE!</v>
      </c>
      <c r="IF238" s="53">
        <v>6.4</v>
      </c>
      <c r="IG238" s="53">
        <v>17.3</v>
      </c>
      <c r="IH238" s="55"/>
      <c r="II238" s="55"/>
      <c r="IJ238" s="55"/>
      <c r="IK238" s="55"/>
      <c r="IL238" s="55"/>
      <c r="IM238" s="55"/>
      <c r="IN238" s="53">
        <v>27.4</v>
      </c>
      <c r="IO238" s="53">
        <v>28.3</v>
      </c>
      <c r="IP238" s="53" t="e">
        <v>#VALUE!</v>
      </c>
      <c r="IQ238" s="53">
        <v>42.9</v>
      </c>
      <c r="IR238" s="53">
        <v>13.4</v>
      </c>
      <c r="IS238" s="53" t="e">
        <v>#VALUE!</v>
      </c>
      <c r="IT238" s="53">
        <v>27.3</v>
      </c>
      <c r="IU238" s="53" t="e">
        <v>#VALUE!</v>
      </c>
      <c r="IV238" s="53" t="e">
        <v>#VALUE!</v>
      </c>
      <c r="IY238" s="48">
        <f t="shared" si="11"/>
        <v>47.24025720459219</v>
      </c>
      <c r="IZ238" s="48">
        <f>IY238-'NOPA Crush'!J238</f>
        <v>-7.9742795407810263E-2</v>
      </c>
      <c r="JB238" s="63">
        <f t="shared" si="9"/>
        <v>11.326634212376016</v>
      </c>
      <c r="JC238" s="64">
        <f>JB238-'NOPA Crush'!O238</f>
        <v>4.6634212376016393E-2</v>
      </c>
      <c r="JD238" s="65"/>
      <c r="JE238" s="67">
        <f t="shared" si="10"/>
        <v>1767.3</v>
      </c>
      <c r="JF238" s="68">
        <f>'NOPA Crush'!Q238/'Census Crush'!JE238</f>
        <v>0.71335030838001467</v>
      </c>
    </row>
    <row r="239" spans="1:266">
      <c r="A239" s="39">
        <v>36312</v>
      </c>
      <c r="B239" s="51">
        <v>3634.6</v>
      </c>
      <c r="C239" s="51">
        <v>1664.5</v>
      </c>
      <c r="D239" s="51">
        <v>159.9</v>
      </c>
      <c r="E239" s="51">
        <v>563.29999999999995</v>
      </c>
      <c r="F239" s="51">
        <v>25.2</v>
      </c>
      <c r="G239" s="51" t="s">
        <v>264</v>
      </c>
      <c r="H239" s="51" t="s">
        <v>264</v>
      </c>
      <c r="I239" s="51" t="s">
        <v>264</v>
      </c>
      <c r="J239" s="51" t="s">
        <v>264</v>
      </c>
      <c r="K239" s="51">
        <v>1383.1</v>
      </c>
      <c r="L239" s="49">
        <v>1647.3999999999999</v>
      </c>
      <c r="M239" s="51">
        <v>1411.8</v>
      </c>
      <c r="N239" s="51">
        <v>235.6</v>
      </c>
      <c r="O239" s="51">
        <v>52.4</v>
      </c>
      <c r="P239" s="51">
        <v>100.7</v>
      </c>
      <c r="Q239" s="51">
        <v>30.7</v>
      </c>
      <c r="R239" s="51">
        <v>70</v>
      </c>
      <c r="S239" s="51"/>
      <c r="T239" s="51">
        <v>20.7</v>
      </c>
      <c r="U239" s="51">
        <v>38.1</v>
      </c>
      <c r="V239" s="51">
        <v>35.9</v>
      </c>
      <c r="W239" s="51">
        <v>2.2000000000000002</v>
      </c>
      <c r="X239" s="51" t="s">
        <v>264</v>
      </c>
      <c r="Y239" s="51">
        <v>15.7</v>
      </c>
      <c r="Z239" s="49">
        <v>159.60000000000002</v>
      </c>
      <c r="AA239" s="51">
        <v>145.80000000000001</v>
      </c>
      <c r="AB239" s="51">
        <v>13.8</v>
      </c>
      <c r="AC239" s="51" t="s">
        <v>264</v>
      </c>
      <c r="AD239" s="51">
        <v>37.700000000000003</v>
      </c>
      <c r="AE239" s="51"/>
      <c r="AF239" s="51">
        <v>169</v>
      </c>
      <c r="AG239" s="51">
        <v>142.80000000000001</v>
      </c>
      <c r="AH239" s="51">
        <v>26.2</v>
      </c>
      <c r="AI239" s="51">
        <v>205.7</v>
      </c>
      <c r="AJ239" s="51"/>
      <c r="AK239" s="51"/>
      <c r="AL239" s="51">
        <v>109</v>
      </c>
      <c r="AM239" s="51">
        <v>53.3</v>
      </c>
      <c r="AN239" s="51">
        <v>55.7</v>
      </c>
      <c r="AO239" s="51">
        <v>2662.6</v>
      </c>
      <c r="AP239" s="51">
        <v>246</v>
      </c>
      <c r="AQ239" s="51">
        <v>181.4</v>
      </c>
      <c r="AR239" s="51">
        <v>38.200000000000003</v>
      </c>
      <c r="AS239" s="51">
        <v>75.599999999999994</v>
      </c>
      <c r="AT239" s="51">
        <v>61</v>
      </c>
      <c r="AU239" s="51">
        <v>47</v>
      </c>
      <c r="AV239" s="51">
        <v>24.8</v>
      </c>
      <c r="AW239" s="51">
        <v>14.7</v>
      </c>
      <c r="AX239" s="51">
        <v>2.6</v>
      </c>
      <c r="AY239" s="51" t="s">
        <v>264</v>
      </c>
      <c r="AZ239" s="51" t="s">
        <v>264</v>
      </c>
      <c r="BA239" s="51" t="s">
        <v>264</v>
      </c>
      <c r="BB239" s="51" t="s">
        <v>264</v>
      </c>
      <c r="BC239" s="51"/>
      <c r="BD239" s="53">
        <v>160.19999999999999</v>
      </c>
      <c r="BE239" s="53">
        <v>46.5</v>
      </c>
      <c r="BF239" s="55"/>
      <c r="BG239" s="55"/>
      <c r="BH239" s="53">
        <v>322.60000000000002</v>
      </c>
      <c r="BI239" s="55"/>
      <c r="BJ239" s="55"/>
      <c r="BK239" s="53">
        <v>277.7</v>
      </c>
      <c r="BL239" s="53">
        <v>3.9</v>
      </c>
      <c r="BM239" s="53">
        <v>604.1</v>
      </c>
      <c r="BN239" s="53">
        <v>265.39999999999998</v>
      </c>
      <c r="BO239" s="55"/>
      <c r="BP239" s="55"/>
      <c r="BQ239" s="53">
        <v>176.7</v>
      </c>
      <c r="BR239" s="53">
        <v>5.3</v>
      </c>
      <c r="BS239" s="53">
        <v>447.4</v>
      </c>
      <c r="BT239" s="52" t="s">
        <v>264</v>
      </c>
      <c r="BU239" s="53">
        <v>30.7</v>
      </c>
      <c r="BV239" s="51">
        <v>391.1</v>
      </c>
      <c r="BW239" s="51">
        <v>117.9</v>
      </c>
      <c r="BX239" s="51">
        <v>513.5</v>
      </c>
      <c r="BY239" s="51">
        <v>49.8</v>
      </c>
      <c r="BZ239" s="51">
        <v>16.7</v>
      </c>
      <c r="CA239" s="49">
        <v>66.5</v>
      </c>
      <c r="CB239" s="55"/>
      <c r="CC239" s="55"/>
      <c r="CD239" s="55"/>
      <c r="CE239" s="55"/>
      <c r="CF239" s="53">
        <v>100.7</v>
      </c>
      <c r="CG239" s="53">
        <v>180.7</v>
      </c>
      <c r="CH239" s="53">
        <v>7.3</v>
      </c>
      <c r="CI239" s="55"/>
      <c r="CJ239" s="55"/>
      <c r="CK239" s="55"/>
      <c r="CL239" s="55"/>
      <c r="CM239" s="55"/>
      <c r="CN239" s="53">
        <v>34</v>
      </c>
      <c r="CO239" s="52">
        <v>134.70000000000002</v>
      </c>
      <c r="CP239" s="53">
        <v>103.9</v>
      </c>
      <c r="CQ239" s="53">
        <v>30.8</v>
      </c>
      <c r="CR239" s="52" t="s">
        <v>264</v>
      </c>
      <c r="CS239" s="52">
        <v>68.699999999999989</v>
      </c>
      <c r="CT239" s="52">
        <v>35.9</v>
      </c>
      <c r="CU239" s="52">
        <v>32.799999999999997</v>
      </c>
      <c r="CV239" s="52">
        <v>49.7</v>
      </c>
      <c r="CW239" s="53">
        <v>12.5</v>
      </c>
      <c r="CX239" s="53">
        <v>37.200000000000003</v>
      </c>
      <c r="CY239" s="53" t="s">
        <v>264</v>
      </c>
      <c r="CZ239" s="53">
        <v>78.2</v>
      </c>
      <c r="DA239" s="52">
        <v>34.6</v>
      </c>
      <c r="DB239" s="53">
        <v>32.6</v>
      </c>
      <c r="DC239" s="53">
        <v>2</v>
      </c>
      <c r="DD239" s="55"/>
      <c r="DE239" s="55"/>
      <c r="DF239" s="55"/>
      <c r="DG239" s="55"/>
      <c r="DH239" s="55"/>
      <c r="DI239" s="53">
        <v>621.70000000000005</v>
      </c>
      <c r="DJ239" s="53">
        <v>322</v>
      </c>
      <c r="DK239" s="55"/>
      <c r="DL239" s="55"/>
      <c r="DM239" s="53">
        <v>270.39999999999998</v>
      </c>
      <c r="DN239" s="55"/>
      <c r="DO239" s="53">
        <v>198.7</v>
      </c>
      <c r="DP239" s="53">
        <v>286.3</v>
      </c>
      <c r="DQ239" s="55"/>
      <c r="DR239" s="55"/>
      <c r="DS239" s="53">
        <v>848.84799999999996</v>
      </c>
      <c r="DT239" s="53">
        <v>3634.6</v>
      </c>
      <c r="DU239" s="53">
        <v>-1086.652</v>
      </c>
      <c r="DV239" s="53">
        <v>0</v>
      </c>
      <c r="DW239" s="55"/>
      <c r="DX239" s="55"/>
      <c r="DY239" s="55"/>
      <c r="DZ239" s="55"/>
      <c r="EA239" s="55"/>
      <c r="EB239" s="55"/>
      <c r="EC239" s="55"/>
      <c r="ED239" s="55"/>
      <c r="EE239" s="55"/>
      <c r="EF239" s="55"/>
      <c r="EG239" s="55"/>
      <c r="EH239" s="55"/>
      <c r="EI239" s="55"/>
      <c r="EJ239" s="55"/>
      <c r="EK239" s="55"/>
      <c r="EL239" s="55"/>
      <c r="EM239" s="55"/>
      <c r="EN239" s="55"/>
      <c r="EO239" s="55"/>
      <c r="EP239" s="55"/>
      <c r="EQ239" s="55"/>
      <c r="ER239" s="55"/>
      <c r="ES239" s="55"/>
      <c r="ET239" s="55"/>
      <c r="EU239" s="55"/>
      <c r="EV239" s="55"/>
      <c r="EW239" s="55"/>
      <c r="EX239" s="55"/>
      <c r="EY239" s="55"/>
      <c r="EZ239" s="55"/>
      <c r="FA239" s="55"/>
      <c r="FB239" s="55"/>
      <c r="FC239" s="55"/>
      <c r="FD239" s="55"/>
      <c r="FE239" s="55"/>
      <c r="FF239" s="55"/>
      <c r="FG239" s="55"/>
      <c r="FH239" s="55"/>
      <c r="FI239" s="55"/>
      <c r="FJ239" s="55"/>
      <c r="FK239" s="55"/>
      <c r="FL239" s="55"/>
      <c r="FM239" s="55"/>
      <c r="FN239" s="55"/>
      <c r="FO239" s="55"/>
      <c r="FP239" s="55"/>
      <c r="FQ239" s="55"/>
      <c r="FR239" s="55"/>
      <c r="FS239" s="55"/>
      <c r="FT239" s="55"/>
      <c r="FU239" s="55"/>
      <c r="FV239" s="55"/>
      <c r="FW239" s="55"/>
      <c r="FX239" s="55"/>
      <c r="FY239" s="55"/>
      <c r="FZ239" s="55"/>
      <c r="GA239" s="55"/>
      <c r="GB239" s="55"/>
      <c r="GC239" s="55"/>
      <c r="GD239" s="55"/>
      <c r="GE239" s="55"/>
      <c r="GF239" s="55"/>
      <c r="GG239" s="55"/>
      <c r="GH239" s="55"/>
      <c r="GI239" s="55"/>
      <c r="GJ239" s="55"/>
      <c r="GK239" s="55"/>
      <c r="GL239" s="55"/>
      <c r="GM239" s="55"/>
      <c r="GN239" s="55"/>
      <c r="GO239" s="55"/>
      <c r="GP239" s="55"/>
      <c r="GQ239" s="55"/>
      <c r="GR239" s="55"/>
      <c r="GS239" s="55"/>
      <c r="GT239" s="55"/>
      <c r="GU239" s="55"/>
      <c r="GV239" s="55"/>
      <c r="GW239" s="55"/>
      <c r="GX239" s="55"/>
      <c r="GY239" s="19">
        <v>0.96409743682966731</v>
      </c>
      <c r="GZ239" s="53">
        <v>1060.7</v>
      </c>
      <c r="HA239" s="53">
        <v>1100.2</v>
      </c>
      <c r="HB239" s="55"/>
      <c r="HC239" s="55"/>
      <c r="HD239" s="55"/>
      <c r="HE239" s="55"/>
      <c r="HF239" s="53">
        <v>1079.5</v>
      </c>
      <c r="HG239" s="53">
        <v>1042.0999999999999</v>
      </c>
      <c r="HH239" s="53">
        <v>404</v>
      </c>
      <c r="HI239" s="53">
        <v>125.4</v>
      </c>
      <c r="HJ239" s="53">
        <v>501</v>
      </c>
      <c r="HK239" s="53">
        <v>11.8</v>
      </c>
      <c r="HL239" s="53">
        <v>54.2</v>
      </c>
      <c r="HM239" s="55"/>
      <c r="HN239" s="55"/>
      <c r="HO239" s="55"/>
      <c r="HP239" s="53" t="e">
        <v>#VALUE!</v>
      </c>
      <c r="HQ239" s="53">
        <v>3.6</v>
      </c>
      <c r="HR239" s="53">
        <v>10</v>
      </c>
      <c r="HS239" s="53" t="e">
        <v>#VALUE!</v>
      </c>
      <c r="HT239" s="53">
        <v>29.7</v>
      </c>
      <c r="HU239" s="55"/>
      <c r="HV239" s="55"/>
      <c r="HW239" s="53">
        <v>313.10000000000002</v>
      </c>
      <c r="HX239" s="53" t="e">
        <v>#VALUE!</v>
      </c>
      <c r="HY239" s="53">
        <v>313.10000000000002</v>
      </c>
      <c r="HZ239" s="53">
        <v>48.9</v>
      </c>
      <c r="IA239" s="53">
        <v>231.7</v>
      </c>
      <c r="IB239" s="53">
        <v>72.099999999999994</v>
      </c>
      <c r="IC239" s="53">
        <v>159.6</v>
      </c>
      <c r="ID239" s="53" t="e">
        <v>#VALUE!</v>
      </c>
      <c r="IE239" s="53" t="e">
        <v>#VALUE!</v>
      </c>
      <c r="IF239" s="53">
        <v>8</v>
      </c>
      <c r="IG239" s="53">
        <v>19.100000000000001</v>
      </c>
      <c r="IH239" s="55"/>
      <c r="II239" s="55"/>
      <c r="IJ239" s="55"/>
      <c r="IK239" s="55"/>
      <c r="IL239" s="55"/>
      <c r="IM239" s="55"/>
      <c r="IN239" s="53">
        <v>27.5</v>
      </c>
      <c r="IO239" s="53">
        <v>28.4</v>
      </c>
      <c r="IP239" s="53" t="e">
        <v>#VALUE!</v>
      </c>
      <c r="IQ239" s="53">
        <v>44.8</v>
      </c>
      <c r="IR239" s="53">
        <v>13.6</v>
      </c>
      <c r="IS239" s="53" t="e">
        <v>#VALUE!</v>
      </c>
      <c r="IT239" s="53">
        <v>29.2</v>
      </c>
      <c r="IU239" s="53" t="e">
        <v>#VALUE!</v>
      </c>
      <c r="IV239" s="53" t="e">
        <v>#VALUE!</v>
      </c>
      <c r="IY239" s="48">
        <f t="shared" si="11"/>
        <v>46.948770153524457</v>
      </c>
      <c r="IZ239" s="48">
        <f>IY239-'NOPA Crush'!J239</f>
        <v>-0.19122984647554375</v>
      </c>
      <c r="JB239" s="63">
        <f t="shared" si="9"/>
        <v>11.4161118142299</v>
      </c>
      <c r="JC239" s="64">
        <f>JB239-'NOPA Crush'!O239</f>
        <v>-8.388818577009971E-2</v>
      </c>
      <c r="JD239" s="65"/>
      <c r="JE239" s="67">
        <f t="shared" si="10"/>
        <v>1647.3999999999999</v>
      </c>
      <c r="JF239" s="68">
        <f>'NOPA Crush'!Q239/'Census Crush'!JE239</f>
        <v>0.73341872040791556</v>
      </c>
    </row>
    <row r="240" spans="1:266">
      <c r="A240" s="39">
        <v>36342</v>
      </c>
      <c r="B240" s="51">
        <v>3820.2</v>
      </c>
      <c r="C240" s="51">
        <v>1444.1</v>
      </c>
      <c r="D240" s="51">
        <v>149.19999999999999</v>
      </c>
      <c r="E240" s="51">
        <v>393.2</v>
      </c>
      <c r="F240" s="51">
        <v>25.8</v>
      </c>
      <c r="G240" s="51" t="s">
        <v>264</v>
      </c>
      <c r="H240" s="51" t="s">
        <v>264</v>
      </c>
      <c r="I240" s="51" t="s">
        <v>264</v>
      </c>
      <c r="J240" s="51" t="s">
        <v>264</v>
      </c>
      <c r="K240" s="51">
        <v>1451.2</v>
      </c>
      <c r="L240" s="49">
        <v>1671.2</v>
      </c>
      <c r="M240" s="51">
        <v>1441.8</v>
      </c>
      <c r="N240" s="51">
        <v>229.4</v>
      </c>
      <c r="O240" s="51">
        <v>45.9</v>
      </c>
      <c r="P240" s="51">
        <v>83.7</v>
      </c>
      <c r="Q240" s="51">
        <v>22.8</v>
      </c>
      <c r="R240" s="51">
        <v>60.9</v>
      </c>
      <c r="S240" s="51"/>
      <c r="T240" s="51">
        <v>20.8</v>
      </c>
      <c r="U240" s="51">
        <v>40.1</v>
      </c>
      <c r="V240" s="51">
        <v>37.6</v>
      </c>
      <c r="W240" s="51">
        <v>2.5</v>
      </c>
      <c r="X240" s="51" t="s">
        <v>264</v>
      </c>
      <c r="Y240" s="51">
        <v>19.100000000000001</v>
      </c>
      <c r="Z240" s="49">
        <v>174.10000000000002</v>
      </c>
      <c r="AA240" s="51">
        <v>165.8</v>
      </c>
      <c r="AB240" s="51">
        <v>8.3000000000000007</v>
      </c>
      <c r="AC240" s="51" t="s">
        <v>264</v>
      </c>
      <c r="AD240" s="51">
        <v>30.2</v>
      </c>
      <c r="AE240" s="51"/>
      <c r="AF240" s="51">
        <v>172.20000000000002</v>
      </c>
      <c r="AG240" s="51">
        <v>144.4</v>
      </c>
      <c r="AH240" s="51">
        <v>27.8</v>
      </c>
      <c r="AI240" s="51">
        <v>194.8</v>
      </c>
      <c r="AJ240" s="51"/>
      <c r="AK240" s="51"/>
      <c r="AL240" s="51">
        <v>134.1</v>
      </c>
      <c r="AM240" s="51">
        <v>76.599999999999994</v>
      </c>
      <c r="AN240" s="51">
        <v>57.5</v>
      </c>
      <c r="AO240" s="51">
        <v>2812</v>
      </c>
      <c r="AP240" s="51">
        <v>340.1</v>
      </c>
      <c r="AQ240" s="51">
        <v>199.9</v>
      </c>
      <c r="AR240" s="51">
        <v>54.8</v>
      </c>
      <c r="AS240" s="51">
        <v>71</v>
      </c>
      <c r="AT240" s="51">
        <v>51.9</v>
      </c>
      <c r="AU240" s="51">
        <v>41.3</v>
      </c>
      <c r="AV240" s="51">
        <v>20.9</v>
      </c>
      <c r="AW240" s="51">
        <v>14.6</v>
      </c>
      <c r="AX240" s="51">
        <v>4.7</v>
      </c>
      <c r="AY240" s="51" t="s">
        <v>264</v>
      </c>
      <c r="AZ240" s="51" t="s">
        <v>264</v>
      </c>
      <c r="BA240" s="51" t="s">
        <v>264</v>
      </c>
      <c r="BB240" s="51" t="s">
        <v>264</v>
      </c>
      <c r="BC240" s="51"/>
      <c r="BD240" s="53">
        <v>151.9</v>
      </c>
      <c r="BE240" s="53">
        <v>49.2</v>
      </c>
      <c r="BF240" s="55"/>
      <c r="BG240" s="55"/>
      <c r="BH240" s="53">
        <v>323.5</v>
      </c>
      <c r="BI240" s="55"/>
      <c r="BJ240" s="55"/>
      <c r="BK240" s="53">
        <v>263.60000000000002</v>
      </c>
      <c r="BL240" s="53">
        <v>3.6</v>
      </c>
      <c r="BM240" s="53">
        <v>590.70000000000005</v>
      </c>
      <c r="BN240" s="53">
        <v>218.8</v>
      </c>
      <c r="BO240" s="55"/>
      <c r="BP240" s="55"/>
      <c r="BQ240" s="53">
        <v>141.9</v>
      </c>
      <c r="BR240" s="53">
        <v>4.5</v>
      </c>
      <c r="BS240" s="53">
        <v>365.20000000000005</v>
      </c>
      <c r="BT240" s="52" t="s">
        <v>264</v>
      </c>
      <c r="BU240" s="53">
        <v>25.5</v>
      </c>
      <c r="BV240" s="51">
        <v>395.3</v>
      </c>
      <c r="BW240" s="51">
        <v>112.2</v>
      </c>
      <c r="BX240" s="51">
        <v>513.1</v>
      </c>
      <c r="BY240" s="51">
        <v>57.3</v>
      </c>
      <c r="BZ240" s="51">
        <v>17.8</v>
      </c>
      <c r="CA240" s="49">
        <v>75.099999999999994</v>
      </c>
      <c r="CB240" s="55"/>
      <c r="CC240" s="55"/>
      <c r="CD240" s="55"/>
      <c r="CE240" s="55"/>
      <c r="CF240" s="53">
        <v>103.2</v>
      </c>
      <c r="CG240" s="53">
        <v>183.6</v>
      </c>
      <c r="CH240" s="53">
        <v>6.3</v>
      </c>
      <c r="CI240" s="55"/>
      <c r="CJ240" s="55"/>
      <c r="CK240" s="55"/>
      <c r="CL240" s="55"/>
      <c r="CM240" s="55"/>
      <c r="CN240" s="53">
        <v>20.7</v>
      </c>
      <c r="CO240" s="52">
        <v>197.5</v>
      </c>
      <c r="CP240" s="53">
        <v>168.3</v>
      </c>
      <c r="CQ240" s="53">
        <v>29.2</v>
      </c>
      <c r="CR240" s="52" t="s">
        <v>264</v>
      </c>
      <c r="CS240" s="52">
        <v>65.5</v>
      </c>
      <c r="CT240" s="52">
        <v>30.6</v>
      </c>
      <c r="CU240" s="52">
        <v>34.9</v>
      </c>
      <c r="CV240" s="52">
        <v>56.699999999999996</v>
      </c>
      <c r="CW240" s="53">
        <v>7.4</v>
      </c>
      <c r="CX240" s="53">
        <v>49.3</v>
      </c>
      <c r="CY240" s="53" t="s">
        <v>264</v>
      </c>
      <c r="CZ240" s="53">
        <v>62.9</v>
      </c>
      <c r="DA240" s="52">
        <v>37.699999999999996</v>
      </c>
      <c r="DB240" s="53">
        <v>35.799999999999997</v>
      </c>
      <c r="DC240" s="53">
        <v>1.9</v>
      </c>
      <c r="DD240" s="55"/>
      <c r="DE240" s="55"/>
      <c r="DF240" s="55"/>
      <c r="DG240" s="55"/>
      <c r="DH240" s="55"/>
      <c r="DI240" s="53">
        <v>638.70000000000005</v>
      </c>
      <c r="DJ240" s="53">
        <v>306.7</v>
      </c>
      <c r="DK240" s="55"/>
      <c r="DL240" s="53">
        <v>133.80000000000001</v>
      </c>
      <c r="DM240" s="53">
        <v>275.3</v>
      </c>
      <c r="DN240" s="55"/>
      <c r="DO240" s="53">
        <v>227.3</v>
      </c>
      <c r="DP240" s="53">
        <v>266.10000000000002</v>
      </c>
      <c r="DQ240" s="55"/>
      <c r="DR240" s="55"/>
      <c r="DS240" s="53">
        <v>968.08399999999995</v>
      </c>
      <c r="DT240" s="53">
        <v>3820.2</v>
      </c>
      <c r="DU240" s="53">
        <v>-1004.2159999999999</v>
      </c>
      <c r="DV240" s="53">
        <v>0</v>
      </c>
      <c r="DW240" s="55"/>
      <c r="DX240" s="55"/>
      <c r="DY240" s="55"/>
      <c r="DZ240" s="55"/>
      <c r="EA240" s="55"/>
      <c r="EB240" s="55"/>
      <c r="EC240" s="55"/>
      <c r="ED240" s="55"/>
      <c r="EE240" s="55"/>
      <c r="EF240" s="55"/>
      <c r="EG240" s="55"/>
      <c r="EH240" s="55"/>
      <c r="EI240" s="55"/>
      <c r="EJ240" s="55"/>
      <c r="EK240" s="55"/>
      <c r="EL240" s="55"/>
      <c r="EM240" s="55"/>
      <c r="EN240" s="55"/>
      <c r="EO240" s="55"/>
      <c r="EP240" s="55"/>
      <c r="EQ240" s="55"/>
      <c r="ER240" s="55"/>
      <c r="ES240" s="55"/>
      <c r="ET240" s="55"/>
      <c r="EU240" s="55"/>
      <c r="EV240" s="55"/>
      <c r="EW240" s="55"/>
      <c r="EX240" s="55"/>
      <c r="EY240" s="55"/>
      <c r="EZ240" s="55"/>
      <c r="FA240" s="55"/>
      <c r="FB240" s="55"/>
      <c r="FC240" s="55"/>
      <c r="FD240" s="55"/>
      <c r="FE240" s="55"/>
      <c r="FF240" s="55"/>
      <c r="FG240" s="55"/>
      <c r="FH240" s="55"/>
      <c r="FI240" s="55"/>
      <c r="FJ240" s="55"/>
      <c r="FK240" s="55"/>
      <c r="FL240" s="55"/>
      <c r="FM240" s="55"/>
      <c r="FN240" s="55"/>
      <c r="FO240" s="55"/>
      <c r="FP240" s="55"/>
      <c r="FQ240" s="55"/>
      <c r="FR240" s="55"/>
      <c r="FS240" s="55"/>
      <c r="FT240" s="55"/>
      <c r="FU240" s="55"/>
      <c r="FV240" s="55"/>
      <c r="FW240" s="55"/>
      <c r="FX240" s="55"/>
      <c r="FY240" s="55"/>
      <c r="FZ240" s="55"/>
      <c r="GA240" s="55"/>
      <c r="GB240" s="55"/>
      <c r="GC240" s="55"/>
      <c r="GD240" s="55"/>
      <c r="GE240" s="55"/>
      <c r="GF240" s="55"/>
      <c r="GG240" s="55"/>
      <c r="GH240" s="55"/>
      <c r="GI240" s="55"/>
      <c r="GJ240" s="55"/>
      <c r="GK240" s="55"/>
      <c r="GL240" s="55"/>
      <c r="GM240" s="55"/>
      <c r="GN240" s="55"/>
      <c r="GO240" s="55"/>
      <c r="GP240" s="55"/>
      <c r="GQ240" s="55"/>
      <c r="GR240" s="55"/>
      <c r="GS240" s="55"/>
      <c r="GT240" s="55"/>
      <c r="GU240" s="55"/>
      <c r="GV240" s="55"/>
      <c r="GW240" s="55"/>
      <c r="GX240" s="55"/>
      <c r="GY240" s="19">
        <v>0.96455580865603641</v>
      </c>
      <c r="GZ240" s="53">
        <v>1058.5999999999999</v>
      </c>
      <c r="HA240" s="53">
        <v>1097.5</v>
      </c>
      <c r="HB240" s="55"/>
      <c r="HC240" s="55"/>
      <c r="HD240" s="55"/>
      <c r="HE240" s="55"/>
      <c r="HF240" s="53">
        <v>1082.9000000000001</v>
      </c>
      <c r="HG240" s="53">
        <v>1056.7</v>
      </c>
      <c r="HH240" s="53">
        <v>397.5</v>
      </c>
      <c r="HI240" s="53">
        <v>119.5</v>
      </c>
      <c r="HJ240" s="53">
        <v>527.9</v>
      </c>
      <c r="HK240" s="53">
        <v>11.8</v>
      </c>
      <c r="HL240" s="53">
        <v>46.1</v>
      </c>
      <c r="HM240" s="55"/>
      <c r="HN240" s="55"/>
      <c r="HO240" s="55"/>
      <c r="HP240" s="53" t="e">
        <v>#VALUE!</v>
      </c>
      <c r="HQ240" s="53">
        <v>3.9</v>
      </c>
      <c r="HR240" s="53">
        <v>9.4</v>
      </c>
      <c r="HS240" s="53" t="e">
        <v>#VALUE!</v>
      </c>
      <c r="HT240" s="53">
        <v>20.7</v>
      </c>
      <c r="HU240" s="55"/>
      <c r="HV240" s="55"/>
      <c r="HW240" s="53">
        <v>318.2</v>
      </c>
      <c r="HX240" s="53" t="e">
        <v>#VALUE!</v>
      </c>
      <c r="HY240" s="53">
        <v>318.2</v>
      </c>
      <c r="HZ240" s="53">
        <v>52</v>
      </c>
      <c r="IA240" s="53">
        <v>233.8</v>
      </c>
      <c r="IB240" s="53">
        <v>86</v>
      </c>
      <c r="IC240" s="53">
        <v>147.80000000000001</v>
      </c>
      <c r="ID240" s="53" t="e">
        <v>#VALUE!</v>
      </c>
      <c r="IE240" s="53" t="e">
        <v>#VALUE!</v>
      </c>
      <c r="IF240" s="53">
        <v>9</v>
      </c>
      <c r="IG240" s="53">
        <v>19</v>
      </c>
      <c r="IH240" s="55"/>
      <c r="II240" s="55"/>
      <c r="IJ240" s="55"/>
      <c r="IK240" s="55"/>
      <c r="IL240" s="55"/>
      <c r="IM240" s="55"/>
      <c r="IN240" s="53">
        <v>29.7</v>
      </c>
      <c r="IO240" s="53">
        <v>30.5</v>
      </c>
      <c r="IP240" s="53" t="e">
        <v>#VALUE!</v>
      </c>
      <c r="IQ240" s="53">
        <v>40.5</v>
      </c>
      <c r="IR240" s="53">
        <v>14.4</v>
      </c>
      <c r="IS240" s="53" t="e">
        <v>#VALUE!</v>
      </c>
      <c r="IT240" s="53">
        <v>24.1</v>
      </c>
      <c r="IU240" s="53" t="e">
        <v>#VALUE!</v>
      </c>
      <c r="IV240" s="53">
        <v>0.2</v>
      </c>
      <c r="IY240" s="48">
        <f t="shared" si="11"/>
        <v>47.304853149049791</v>
      </c>
      <c r="IZ240" s="48">
        <f>IY240-'NOPA Crush'!J240</f>
        <v>3.4853149049787646E-2</v>
      </c>
      <c r="JB240" s="63">
        <f t="shared" si="9"/>
        <v>11.396261975812786</v>
      </c>
      <c r="JC240" s="64">
        <f>JB240-'NOPA Crush'!O240</f>
        <v>-4.3738024187213398E-2</v>
      </c>
      <c r="JD240" s="65"/>
      <c r="JE240" s="67">
        <f t="shared" si="10"/>
        <v>1671.2</v>
      </c>
      <c r="JF240" s="68">
        <f>'NOPA Crush'!Q240/'Census Crush'!JE240</f>
        <v>0.73852920057443749</v>
      </c>
    </row>
    <row r="241" spans="1:266">
      <c r="A241" s="39">
        <v>36373</v>
      </c>
      <c r="B241" s="51">
        <v>3807.2</v>
      </c>
      <c r="C241" s="51">
        <v>1251.5</v>
      </c>
      <c r="D241" s="51">
        <v>166.8</v>
      </c>
      <c r="E241" s="51">
        <v>340.3</v>
      </c>
      <c r="F241" s="51">
        <v>21.5</v>
      </c>
      <c r="G241" s="51" t="s">
        <v>264</v>
      </c>
      <c r="H241" s="51" t="s">
        <v>264</v>
      </c>
      <c r="I241" s="51" t="s">
        <v>264</v>
      </c>
      <c r="J241" s="51" t="s">
        <v>264</v>
      </c>
      <c r="K241" s="51">
        <v>1452.4</v>
      </c>
      <c r="L241" s="49">
        <v>1630.8</v>
      </c>
      <c r="M241" s="51">
        <v>1417.8</v>
      </c>
      <c r="N241" s="51">
        <v>213</v>
      </c>
      <c r="O241" s="51">
        <v>56.1</v>
      </c>
      <c r="P241" s="51">
        <v>107.8</v>
      </c>
      <c r="Q241" s="51">
        <v>39</v>
      </c>
      <c r="R241" s="51">
        <v>68.8</v>
      </c>
      <c r="S241" s="51"/>
      <c r="T241" s="51">
        <v>17.8</v>
      </c>
      <c r="U241" s="51">
        <v>48.8</v>
      </c>
      <c r="V241" s="51">
        <v>45.9</v>
      </c>
      <c r="W241" s="51">
        <v>2.9</v>
      </c>
      <c r="X241" s="51" t="s">
        <v>264</v>
      </c>
      <c r="Y241" s="51" t="s">
        <v>264</v>
      </c>
      <c r="Z241" s="49">
        <v>132</v>
      </c>
      <c r="AA241" s="51">
        <v>124.5</v>
      </c>
      <c r="AB241" s="51">
        <v>7.5</v>
      </c>
      <c r="AC241" s="51" t="s">
        <v>264</v>
      </c>
      <c r="AD241" s="51">
        <v>28.6</v>
      </c>
      <c r="AE241" s="51"/>
      <c r="AF241" s="51">
        <v>153.20000000000002</v>
      </c>
      <c r="AG241" s="51">
        <v>134.4</v>
      </c>
      <c r="AH241" s="51">
        <v>18.8</v>
      </c>
      <c r="AI241" s="51">
        <v>212.5</v>
      </c>
      <c r="AJ241" s="51"/>
      <c r="AK241" s="51"/>
      <c r="AL241" s="51">
        <v>126.39999999999999</v>
      </c>
      <c r="AM241" s="51">
        <v>70.099999999999994</v>
      </c>
      <c r="AN241" s="51">
        <v>56.3</v>
      </c>
      <c r="AO241" s="51">
        <v>2801.3</v>
      </c>
      <c r="AP241" s="51">
        <v>238.8</v>
      </c>
      <c r="AQ241" s="51">
        <v>202.2</v>
      </c>
      <c r="AR241" s="51">
        <v>40.6</v>
      </c>
      <c r="AS241" s="51">
        <v>82.1</v>
      </c>
      <c r="AT241" s="51">
        <v>36.4</v>
      </c>
      <c r="AU241" s="51">
        <v>49.3</v>
      </c>
      <c r="AV241" s="51">
        <v>22.5</v>
      </c>
      <c r="AW241" s="51">
        <v>12.1</v>
      </c>
      <c r="AX241" s="51">
        <v>5.0999999999999996</v>
      </c>
      <c r="AY241" s="51" t="s">
        <v>264</v>
      </c>
      <c r="AZ241" s="51" t="s">
        <v>264</v>
      </c>
      <c r="BA241" s="51" t="s">
        <v>264</v>
      </c>
      <c r="BB241" s="51" t="s">
        <v>264</v>
      </c>
      <c r="BC241" s="51"/>
      <c r="BD241" s="53">
        <v>147.1</v>
      </c>
      <c r="BE241" s="53">
        <v>41.5</v>
      </c>
      <c r="BF241" s="55"/>
      <c r="BG241" s="55"/>
      <c r="BH241" s="53">
        <v>329.2</v>
      </c>
      <c r="BI241" s="55"/>
      <c r="BJ241" s="55"/>
      <c r="BK241" s="53">
        <v>270</v>
      </c>
      <c r="BL241" s="53">
        <v>3.8</v>
      </c>
      <c r="BM241" s="53">
        <v>603</v>
      </c>
      <c r="BN241" s="53">
        <v>243.7</v>
      </c>
      <c r="BO241" s="55"/>
      <c r="BP241" s="55"/>
      <c r="BQ241" s="53">
        <v>137.1</v>
      </c>
      <c r="BR241" s="53">
        <v>4.5</v>
      </c>
      <c r="BS241" s="53">
        <v>385.29999999999995</v>
      </c>
      <c r="BT241" s="52" t="s">
        <v>264</v>
      </c>
      <c r="BU241" s="53">
        <v>29.4</v>
      </c>
      <c r="BV241" s="51">
        <v>398.7</v>
      </c>
      <c r="BW241" s="51">
        <v>111.7</v>
      </c>
      <c r="BX241" s="51">
        <v>515.1</v>
      </c>
      <c r="BY241" s="51">
        <v>53.1</v>
      </c>
      <c r="BZ241" s="51">
        <v>18</v>
      </c>
      <c r="CA241" s="49">
        <v>71.099999999999994</v>
      </c>
      <c r="CB241" s="55"/>
      <c r="CC241" s="55"/>
      <c r="CD241" s="55"/>
      <c r="CE241" s="55"/>
      <c r="CF241" s="53">
        <v>103.5</v>
      </c>
      <c r="CG241" s="53">
        <v>152.69999999999999</v>
      </c>
      <c r="CH241" s="53">
        <v>7</v>
      </c>
      <c r="CI241" s="55"/>
      <c r="CJ241" s="55"/>
      <c r="CK241" s="55"/>
      <c r="CL241" s="55"/>
      <c r="CM241" s="55"/>
      <c r="CN241" s="53" t="s">
        <v>264</v>
      </c>
      <c r="CO241" s="52">
        <v>191.8</v>
      </c>
      <c r="CP241" s="53">
        <v>155.1</v>
      </c>
      <c r="CQ241" s="53">
        <v>36.700000000000003</v>
      </c>
      <c r="CR241" s="52" t="s">
        <v>264</v>
      </c>
      <c r="CS241" s="52">
        <v>68.900000000000006</v>
      </c>
      <c r="CT241" s="52">
        <v>34.200000000000003</v>
      </c>
      <c r="CU241" s="52">
        <v>34.700000000000003</v>
      </c>
      <c r="CV241" s="52">
        <v>53.9</v>
      </c>
      <c r="CW241" s="53">
        <v>10.9</v>
      </c>
      <c r="CX241" s="53">
        <v>43</v>
      </c>
      <c r="CY241" s="53" t="s">
        <v>264</v>
      </c>
      <c r="CZ241" s="53">
        <v>85.3</v>
      </c>
      <c r="DA241" s="52">
        <v>46.699999999999996</v>
      </c>
      <c r="DB241" s="53">
        <v>44.8</v>
      </c>
      <c r="DC241" s="53">
        <v>1.9</v>
      </c>
      <c r="DD241" s="55"/>
      <c r="DE241" s="55"/>
      <c r="DF241" s="55"/>
      <c r="DG241" s="55"/>
      <c r="DH241" s="55"/>
      <c r="DI241" s="53">
        <v>507</v>
      </c>
      <c r="DJ241" s="53">
        <v>284.89999999999998</v>
      </c>
      <c r="DK241" s="55"/>
      <c r="DL241" s="53">
        <v>121.2</v>
      </c>
      <c r="DM241" s="53">
        <v>261</v>
      </c>
      <c r="DN241" s="55"/>
      <c r="DO241" s="53">
        <v>244.9</v>
      </c>
      <c r="DP241" s="53">
        <v>262.7</v>
      </c>
      <c r="DQ241" s="55"/>
      <c r="DR241" s="55"/>
      <c r="DS241" s="53">
        <v>978.01700000000005</v>
      </c>
      <c r="DT241" s="53">
        <v>3807.2</v>
      </c>
      <c r="DU241" s="53">
        <v>-1147.4829999999997</v>
      </c>
      <c r="DV241" s="53">
        <v>0</v>
      </c>
      <c r="DW241" s="55"/>
      <c r="DX241" s="55"/>
      <c r="DY241" s="55"/>
      <c r="DZ241" s="55"/>
      <c r="EA241" s="55"/>
      <c r="EB241" s="55"/>
      <c r="EC241" s="55"/>
      <c r="ED241" s="55"/>
      <c r="EE241" s="55"/>
      <c r="EF241" s="55"/>
      <c r="EG241" s="55"/>
      <c r="EH241" s="55"/>
      <c r="EI241" s="55"/>
      <c r="EJ241" s="55"/>
      <c r="EK241" s="55"/>
      <c r="EL241" s="55"/>
      <c r="EM241" s="55"/>
      <c r="EN241" s="55"/>
      <c r="EO241" s="55"/>
      <c r="EP241" s="55"/>
      <c r="EQ241" s="55"/>
      <c r="ER241" s="55"/>
      <c r="ES241" s="55"/>
      <c r="ET241" s="55"/>
      <c r="EU241" s="55"/>
      <c r="EV241" s="55"/>
      <c r="EW241" s="55"/>
      <c r="EX241" s="55"/>
      <c r="EY241" s="55"/>
      <c r="EZ241" s="55"/>
      <c r="FA241" s="55"/>
      <c r="FB241" s="55"/>
      <c r="FC241" s="55"/>
      <c r="FD241" s="55"/>
      <c r="FE241" s="55"/>
      <c r="FF241" s="55"/>
      <c r="FG241" s="55"/>
      <c r="FH241" s="55"/>
      <c r="FI241" s="55"/>
      <c r="FJ241" s="55"/>
      <c r="FK241" s="55"/>
      <c r="FL241" s="55"/>
      <c r="FM241" s="55"/>
      <c r="FN241" s="55"/>
      <c r="FO241" s="55"/>
      <c r="FP241" s="55"/>
      <c r="FQ241" s="55"/>
      <c r="FR241" s="55"/>
      <c r="FS241" s="55"/>
      <c r="FT241" s="55"/>
      <c r="FU241" s="55"/>
      <c r="FV241" s="55"/>
      <c r="FW241" s="55"/>
      <c r="FX241" s="55"/>
      <c r="FY241" s="55"/>
      <c r="FZ241" s="55"/>
      <c r="GA241" s="55"/>
      <c r="GB241" s="55"/>
      <c r="GC241" s="55"/>
      <c r="GD241" s="55"/>
      <c r="GE241" s="55"/>
      <c r="GF241" s="55"/>
      <c r="GG241" s="55"/>
      <c r="GH241" s="55"/>
      <c r="GI241" s="55"/>
      <c r="GJ241" s="55"/>
      <c r="GK241" s="55"/>
      <c r="GL241" s="55"/>
      <c r="GM241" s="55"/>
      <c r="GN241" s="55"/>
      <c r="GO241" s="55"/>
      <c r="GP241" s="55"/>
      <c r="GQ241" s="55"/>
      <c r="GR241" s="55"/>
      <c r="GS241" s="55"/>
      <c r="GT241" s="55"/>
      <c r="GU241" s="55"/>
      <c r="GV241" s="55"/>
      <c r="GW241" s="55"/>
      <c r="GX241" s="55"/>
      <c r="GY241" s="19">
        <v>0.96319176319176314</v>
      </c>
      <c r="GZ241" s="53">
        <v>1122.5999999999999</v>
      </c>
      <c r="HA241" s="53">
        <v>1165.5</v>
      </c>
      <c r="HB241" s="55"/>
      <c r="HC241" s="55"/>
      <c r="HD241" s="55"/>
      <c r="HE241" s="55"/>
      <c r="HF241" s="53">
        <v>1185</v>
      </c>
      <c r="HG241" s="53">
        <v>1157.3</v>
      </c>
      <c r="HH241" s="53">
        <v>444.4</v>
      </c>
      <c r="HI241" s="53">
        <v>142.80000000000001</v>
      </c>
      <c r="HJ241" s="53">
        <v>558.6</v>
      </c>
      <c r="HK241" s="53">
        <v>11.6</v>
      </c>
      <c r="HL241" s="53">
        <v>47.7</v>
      </c>
      <c r="HM241" s="55"/>
      <c r="HN241" s="55"/>
      <c r="HO241" s="55"/>
      <c r="HP241" s="53" t="e">
        <v>#VALUE!</v>
      </c>
      <c r="HQ241" s="53">
        <v>2.7</v>
      </c>
      <c r="HR241" s="53">
        <v>10</v>
      </c>
      <c r="HS241" s="53" t="e">
        <v>#VALUE!</v>
      </c>
      <c r="HT241" s="53">
        <v>24</v>
      </c>
      <c r="HU241" s="55"/>
      <c r="HV241" s="55"/>
      <c r="HW241" s="53">
        <v>322.10000000000002</v>
      </c>
      <c r="HX241" s="53" t="e">
        <v>#VALUE!</v>
      </c>
      <c r="HY241" s="53">
        <v>322.10000000000002</v>
      </c>
      <c r="HZ241" s="53">
        <v>50.4</v>
      </c>
      <c r="IA241" s="53">
        <v>242.4</v>
      </c>
      <c r="IB241" s="53">
        <v>88.3</v>
      </c>
      <c r="IC241" s="53">
        <v>154.1</v>
      </c>
      <c r="ID241" s="53" t="e">
        <v>#VALUE!</v>
      </c>
      <c r="IE241" s="53" t="e">
        <v>#VALUE!</v>
      </c>
      <c r="IF241" s="53">
        <v>8.6999999999999993</v>
      </c>
      <c r="IG241" s="53">
        <v>14.1</v>
      </c>
      <c r="IH241" s="55"/>
      <c r="II241" s="55"/>
      <c r="IJ241" s="55"/>
      <c r="IK241" s="55"/>
      <c r="IL241" s="55"/>
      <c r="IM241" s="55"/>
      <c r="IN241" s="53">
        <v>44.8</v>
      </c>
      <c r="IO241" s="53">
        <v>46.2</v>
      </c>
      <c r="IP241" s="53" t="e">
        <v>#VALUE!</v>
      </c>
      <c r="IQ241" s="53">
        <v>40</v>
      </c>
      <c r="IR241" s="53">
        <v>13.3</v>
      </c>
      <c r="IS241" s="53" t="e">
        <v>#VALUE!</v>
      </c>
      <c r="IT241" s="53">
        <v>24.5</v>
      </c>
      <c r="IU241" s="53" t="e">
        <v>#VALUE!</v>
      </c>
      <c r="IV241" s="53" t="e">
        <v>#VALUE!</v>
      </c>
      <c r="IY241" s="48">
        <f t="shared" si="11"/>
        <v>47.333998739230928</v>
      </c>
      <c r="IZ241" s="48">
        <f>IY241-'NOPA Crush'!J241</f>
        <v>4.3998739230929118E-2</v>
      </c>
      <c r="JB241" s="63">
        <f t="shared" si="9"/>
        <v>11.44463122504728</v>
      </c>
      <c r="JC241" s="64">
        <f>JB241-'NOPA Crush'!O241</f>
        <v>-4.5368774952720514E-2</v>
      </c>
      <c r="JD241" s="65"/>
      <c r="JE241" s="67">
        <f t="shared" si="10"/>
        <v>1630.8</v>
      </c>
      <c r="JF241" s="68">
        <f>'NOPA Crush'!Q241/'Census Crush'!JE241</f>
        <v>0.73947694383124851</v>
      </c>
    </row>
    <row r="242" spans="1:266">
      <c r="A242" s="39">
        <v>36404</v>
      </c>
      <c r="B242" s="51">
        <v>4013.4</v>
      </c>
      <c r="C242" s="51">
        <v>2122.6</v>
      </c>
      <c r="D242" s="51">
        <v>230.7</v>
      </c>
      <c r="E242" s="51">
        <v>563.4</v>
      </c>
      <c r="F242" s="51">
        <v>20</v>
      </c>
      <c r="G242" s="51" t="s">
        <v>264</v>
      </c>
      <c r="H242" s="51" t="s">
        <v>264</v>
      </c>
      <c r="I242" s="51" t="s">
        <v>264</v>
      </c>
      <c r="J242" s="51" t="s">
        <v>264</v>
      </c>
      <c r="K242" s="51">
        <v>1528.4</v>
      </c>
      <c r="L242" s="49">
        <v>1519.5</v>
      </c>
      <c r="M242" s="51">
        <v>1316.1</v>
      </c>
      <c r="N242" s="51">
        <v>203.4</v>
      </c>
      <c r="O242" s="51">
        <v>69.599999999999994</v>
      </c>
      <c r="P242" s="51">
        <v>76</v>
      </c>
      <c r="Q242" s="51">
        <v>15.5</v>
      </c>
      <c r="R242" s="51">
        <v>60.5</v>
      </c>
      <c r="S242" s="51"/>
      <c r="T242" s="51">
        <v>16.3</v>
      </c>
      <c r="U242" s="51">
        <v>39.599999999999994</v>
      </c>
      <c r="V242" s="51">
        <v>36.799999999999997</v>
      </c>
      <c r="W242" s="51">
        <v>2.8</v>
      </c>
      <c r="X242" s="51" t="s">
        <v>264</v>
      </c>
      <c r="Y242" s="51">
        <v>15.6</v>
      </c>
      <c r="Z242" s="49">
        <v>121.5</v>
      </c>
      <c r="AA242" s="51">
        <v>110.3</v>
      </c>
      <c r="AB242" s="51">
        <v>11.2</v>
      </c>
      <c r="AC242" s="51" t="s">
        <v>264</v>
      </c>
      <c r="AD242" s="51">
        <v>31.5</v>
      </c>
      <c r="AE242" s="51"/>
      <c r="AF242" s="51">
        <v>169.3</v>
      </c>
      <c r="AG242" s="51">
        <v>148.30000000000001</v>
      </c>
      <c r="AH242" s="51">
        <v>21</v>
      </c>
      <c r="AI242" s="51">
        <v>196.3</v>
      </c>
      <c r="AJ242" s="51"/>
      <c r="AK242" s="51"/>
      <c r="AL242" s="51">
        <v>135.39999999999998</v>
      </c>
      <c r="AM242" s="51">
        <v>74.599999999999994</v>
      </c>
      <c r="AN242" s="51">
        <v>60.8</v>
      </c>
      <c r="AO242" s="51">
        <v>2949.9</v>
      </c>
      <c r="AP242" s="51">
        <v>284</v>
      </c>
      <c r="AQ242" s="51">
        <v>217.9</v>
      </c>
      <c r="AR242" s="51">
        <v>46.3</v>
      </c>
      <c r="AS242" s="51">
        <v>107.5</v>
      </c>
      <c r="AT242" s="51">
        <v>24.1</v>
      </c>
      <c r="AU242" s="51">
        <v>56.9</v>
      </c>
      <c r="AV242" s="51">
        <v>21.6</v>
      </c>
      <c r="AW242" s="51">
        <v>10.8</v>
      </c>
      <c r="AX242" s="51">
        <v>1</v>
      </c>
      <c r="AY242" s="51" t="s">
        <v>264</v>
      </c>
      <c r="AZ242" s="51" t="s">
        <v>264</v>
      </c>
      <c r="BA242" s="51" t="s">
        <v>264</v>
      </c>
      <c r="BB242" s="51" t="s">
        <v>264</v>
      </c>
      <c r="BC242" s="51"/>
      <c r="BD242" s="53">
        <v>147</v>
      </c>
      <c r="BE242" s="53">
        <v>43.4</v>
      </c>
      <c r="BF242" s="55"/>
      <c r="BG242" s="55"/>
      <c r="BH242" s="53">
        <v>322.89999999999998</v>
      </c>
      <c r="BI242" s="55"/>
      <c r="BJ242" s="55"/>
      <c r="BK242" s="53">
        <v>264.2</v>
      </c>
      <c r="BL242" s="53">
        <v>3.6</v>
      </c>
      <c r="BM242" s="53">
        <v>590.70000000000005</v>
      </c>
      <c r="BN242" s="53">
        <v>247.3</v>
      </c>
      <c r="BO242" s="55"/>
      <c r="BP242" s="55"/>
      <c r="BQ242" s="53">
        <v>134.30000000000001</v>
      </c>
      <c r="BR242" s="53">
        <v>4.5999999999999996</v>
      </c>
      <c r="BS242" s="53">
        <v>386.20000000000005</v>
      </c>
      <c r="BT242" s="52" t="s">
        <v>264</v>
      </c>
      <c r="BU242" s="53">
        <v>20.8</v>
      </c>
      <c r="BV242" s="51">
        <v>399</v>
      </c>
      <c r="BW242" s="51">
        <v>102.5</v>
      </c>
      <c r="BX242" s="51">
        <v>506</v>
      </c>
      <c r="BY242" s="51">
        <v>50.9</v>
      </c>
      <c r="BZ242" s="51">
        <v>15.3</v>
      </c>
      <c r="CA242" s="49">
        <v>66.2</v>
      </c>
      <c r="CB242" s="55"/>
      <c r="CC242" s="55"/>
      <c r="CD242" s="55"/>
      <c r="CE242" s="55"/>
      <c r="CF242" s="53">
        <v>113.6</v>
      </c>
      <c r="CG242" s="53">
        <v>146.80000000000001</v>
      </c>
      <c r="CH242" s="53">
        <v>7.5</v>
      </c>
      <c r="CI242" s="55"/>
      <c r="CJ242" s="55"/>
      <c r="CK242" s="55"/>
      <c r="CL242" s="55"/>
      <c r="CM242" s="55"/>
      <c r="CN242" s="53">
        <v>16.899999999999999</v>
      </c>
      <c r="CO242" s="52">
        <v>152.1</v>
      </c>
      <c r="CP242" s="53">
        <v>103.5</v>
      </c>
      <c r="CQ242" s="53">
        <v>48.6</v>
      </c>
      <c r="CR242" s="52" t="s">
        <v>264</v>
      </c>
      <c r="CS242" s="52">
        <v>73.900000000000006</v>
      </c>
      <c r="CT242" s="52">
        <v>37.5</v>
      </c>
      <c r="CU242" s="52">
        <v>36.4</v>
      </c>
      <c r="CV242" s="52">
        <v>46.5</v>
      </c>
      <c r="CW242" s="53">
        <v>10.6</v>
      </c>
      <c r="CX242" s="53">
        <v>35.9</v>
      </c>
      <c r="CY242" s="53" t="s">
        <v>264</v>
      </c>
      <c r="CZ242" s="53">
        <v>73.900000000000006</v>
      </c>
      <c r="DA242" s="52">
        <v>48.400000000000006</v>
      </c>
      <c r="DB242" s="53">
        <v>46.2</v>
      </c>
      <c r="DC242" s="53">
        <v>2.2000000000000002</v>
      </c>
      <c r="DD242" s="55"/>
      <c r="DE242" s="55"/>
      <c r="DF242" s="55"/>
      <c r="DG242" s="55"/>
      <c r="DH242" s="55"/>
      <c r="DI242" s="53">
        <v>646.9</v>
      </c>
      <c r="DJ242" s="53">
        <v>338.9</v>
      </c>
      <c r="DK242" s="55"/>
      <c r="DL242" s="53">
        <v>146.5</v>
      </c>
      <c r="DM242" s="53">
        <v>255.7</v>
      </c>
      <c r="DN242" s="55"/>
      <c r="DO242" s="53">
        <v>234.2</v>
      </c>
      <c r="DP242" s="53">
        <v>289.5</v>
      </c>
      <c r="DQ242" s="55"/>
      <c r="DR242" s="55"/>
      <c r="DS242" s="53">
        <v>1025.0029999999999</v>
      </c>
      <c r="DT242" s="53">
        <v>4013.4</v>
      </c>
      <c r="DU242" s="53">
        <v>-1076.6970000000001</v>
      </c>
      <c r="DV242" s="53">
        <v>0</v>
      </c>
      <c r="DW242" s="55"/>
      <c r="DX242" s="55"/>
      <c r="DY242" s="55"/>
      <c r="DZ242" s="55"/>
      <c r="EA242" s="55"/>
      <c r="EB242" s="55"/>
      <c r="EC242" s="55"/>
      <c r="ED242" s="55"/>
      <c r="EE242" s="55"/>
      <c r="EF242" s="55"/>
      <c r="EG242" s="55"/>
      <c r="EH242" s="55"/>
      <c r="EI242" s="55"/>
      <c r="EJ242" s="55"/>
      <c r="EK242" s="55"/>
      <c r="EL242" s="55"/>
      <c r="EM242" s="55"/>
      <c r="EN242" s="55"/>
      <c r="EO242" s="55"/>
      <c r="EP242" s="55"/>
      <c r="EQ242" s="55"/>
      <c r="ER242" s="55"/>
      <c r="ES242" s="55"/>
      <c r="ET242" s="55"/>
      <c r="EU242" s="55"/>
      <c r="EV242" s="55"/>
      <c r="EW242" s="55"/>
      <c r="EX242" s="55"/>
      <c r="EY242" s="55"/>
      <c r="EZ242" s="55"/>
      <c r="FA242" s="55"/>
      <c r="FB242" s="55"/>
      <c r="FC242" s="55"/>
      <c r="FD242" s="55"/>
      <c r="FE242" s="55"/>
      <c r="FF242" s="55"/>
      <c r="FG242" s="55"/>
      <c r="FH242" s="55"/>
      <c r="FI242" s="55"/>
      <c r="FJ242" s="55"/>
      <c r="FK242" s="55"/>
      <c r="FL242" s="55"/>
      <c r="FM242" s="55"/>
      <c r="FN242" s="55"/>
      <c r="FO242" s="55"/>
      <c r="FP242" s="55"/>
      <c r="FQ242" s="55"/>
      <c r="FR242" s="55"/>
      <c r="FS242" s="55"/>
      <c r="FT242" s="55"/>
      <c r="FU242" s="55"/>
      <c r="FV242" s="55"/>
      <c r="FW242" s="55"/>
      <c r="FX242" s="55"/>
      <c r="FY242" s="55"/>
      <c r="FZ242" s="55"/>
      <c r="GA242" s="55"/>
      <c r="GB242" s="55"/>
      <c r="GC242" s="55"/>
      <c r="GD242" s="55"/>
      <c r="GE242" s="55"/>
      <c r="GF242" s="55"/>
      <c r="GG242" s="55"/>
      <c r="GH242" s="55"/>
      <c r="GI242" s="55"/>
      <c r="GJ242" s="55"/>
      <c r="GK242" s="55"/>
      <c r="GL242" s="55"/>
      <c r="GM242" s="55"/>
      <c r="GN242" s="55"/>
      <c r="GO242" s="55"/>
      <c r="GP242" s="55"/>
      <c r="GQ242" s="55"/>
      <c r="GR242" s="55"/>
      <c r="GS242" s="55"/>
      <c r="GT242" s="55"/>
      <c r="GU242" s="55"/>
      <c r="GV242" s="55"/>
      <c r="GW242" s="55"/>
      <c r="GX242" s="55"/>
      <c r="GY242" s="19">
        <v>0.96423635107118189</v>
      </c>
      <c r="GZ242" s="53">
        <v>1116.2</v>
      </c>
      <c r="HA242" s="53">
        <v>1157.5999999999999</v>
      </c>
      <c r="HB242" s="55"/>
      <c r="HC242" s="55"/>
      <c r="HD242" s="55"/>
      <c r="HE242" s="55"/>
      <c r="HF242" s="53">
        <v>1185.7</v>
      </c>
      <c r="HG242" s="53">
        <v>1152.5999999999999</v>
      </c>
      <c r="HH242" s="53">
        <v>459.3</v>
      </c>
      <c r="HI242" s="53">
        <v>145.6</v>
      </c>
      <c r="HJ242" s="53">
        <v>536.4</v>
      </c>
      <c r="HK242" s="53">
        <v>11.3</v>
      </c>
      <c r="HL242" s="53">
        <v>50</v>
      </c>
      <c r="HM242" s="55"/>
      <c r="HN242" s="55"/>
      <c r="HO242" s="55"/>
      <c r="HP242" s="53" t="e">
        <v>#VALUE!</v>
      </c>
      <c r="HQ242" s="53">
        <v>2.2999999999999998</v>
      </c>
      <c r="HR242" s="53">
        <v>9.1</v>
      </c>
      <c r="HS242" s="53" t="e">
        <v>#VALUE!</v>
      </c>
      <c r="HT242" s="53">
        <v>29.9</v>
      </c>
      <c r="HU242" s="55"/>
      <c r="HV242" s="55"/>
      <c r="HW242" s="53">
        <v>337.4</v>
      </c>
      <c r="HX242" s="53" t="e">
        <v>#VALUE!</v>
      </c>
      <c r="HY242" s="53">
        <v>337.4</v>
      </c>
      <c r="HZ242" s="53">
        <v>57.2</v>
      </c>
      <c r="IA242" s="53">
        <v>240.5</v>
      </c>
      <c r="IB242" s="53">
        <v>83.9</v>
      </c>
      <c r="IC242" s="53">
        <v>156.6</v>
      </c>
      <c r="ID242" s="53" t="e">
        <v>#VALUE!</v>
      </c>
      <c r="IE242" s="53" t="e">
        <v>#VALUE!</v>
      </c>
      <c r="IF242" s="53">
        <v>9.4</v>
      </c>
      <c r="IG242" s="53">
        <v>24.3</v>
      </c>
      <c r="IH242" s="55"/>
      <c r="II242" s="55"/>
      <c r="IJ242" s="55"/>
      <c r="IK242" s="55"/>
      <c r="IL242" s="55"/>
      <c r="IM242" s="55"/>
      <c r="IN242" s="53">
        <v>42.4</v>
      </c>
      <c r="IO242" s="53">
        <v>43.5</v>
      </c>
      <c r="IP242" s="53" t="e">
        <v>#VALUE!</v>
      </c>
      <c r="IQ242" s="53">
        <v>37.200000000000003</v>
      </c>
      <c r="IR242" s="53">
        <v>13.7</v>
      </c>
      <c r="IS242" s="53" t="e">
        <v>#VALUE!</v>
      </c>
      <c r="IT242" s="53">
        <v>21.4</v>
      </c>
      <c r="IU242" s="53" t="e">
        <v>#VALUE!</v>
      </c>
      <c r="IV242" s="53" t="e">
        <v>#VALUE!</v>
      </c>
      <c r="IY242" s="48">
        <f t="shared" si="11"/>
        <v>47.358349529077593</v>
      </c>
      <c r="IZ242" s="48">
        <f>IY242-'NOPA Crush'!J242</f>
        <v>8.3495290775914555E-3</v>
      </c>
      <c r="JB242" s="63">
        <f t="shared" si="9"/>
        <v>11.424727164000599</v>
      </c>
      <c r="JC242" s="64">
        <f>JB242-'NOPA Crush'!O242</f>
        <v>-6.527283599940148E-2</v>
      </c>
      <c r="JD242" s="65"/>
      <c r="JE242" s="67">
        <f t="shared" si="10"/>
        <v>1519.5</v>
      </c>
      <c r="JF242" s="68">
        <f>'NOPA Crush'!Q242/'Census Crush'!JE242</f>
        <v>0.79514116485686093</v>
      </c>
    </row>
    <row r="243" spans="1:266">
      <c r="A243" s="39">
        <v>36434</v>
      </c>
      <c r="B243" s="51">
        <v>4505.8</v>
      </c>
      <c r="C243" s="51">
        <v>4886.2</v>
      </c>
      <c r="D243" s="51">
        <v>281.60000000000002</v>
      </c>
      <c r="E243" s="51">
        <v>1247</v>
      </c>
      <c r="F243" s="51">
        <v>13.3</v>
      </c>
      <c r="G243" s="51" t="s">
        <v>264</v>
      </c>
      <c r="H243" s="51" t="s">
        <v>264</v>
      </c>
      <c r="I243" s="51" t="s">
        <v>264</v>
      </c>
      <c r="J243" s="51" t="s">
        <v>264</v>
      </c>
      <c r="K243" s="51">
        <v>1687.1</v>
      </c>
      <c r="L243" s="49">
        <v>1616.3999999999999</v>
      </c>
      <c r="M243" s="51">
        <v>1378.3</v>
      </c>
      <c r="N243" s="51">
        <v>238.1</v>
      </c>
      <c r="O243" s="51">
        <v>88.3</v>
      </c>
      <c r="P243" s="51">
        <v>81.099999999999994</v>
      </c>
      <c r="Q243" s="51">
        <v>21.8</v>
      </c>
      <c r="R243" s="51">
        <v>59.3</v>
      </c>
      <c r="S243" s="51"/>
      <c r="T243" s="51">
        <v>13.5</v>
      </c>
      <c r="U243" s="51">
        <v>30.7</v>
      </c>
      <c r="V243" s="51">
        <v>28.8</v>
      </c>
      <c r="W243" s="51">
        <v>1.9</v>
      </c>
      <c r="X243" s="51" t="s">
        <v>264</v>
      </c>
      <c r="Y243" s="51" t="s">
        <v>264</v>
      </c>
      <c r="Z243" s="49">
        <v>120.10000000000001</v>
      </c>
      <c r="AA243" s="51">
        <v>106.7</v>
      </c>
      <c r="AB243" s="51">
        <v>13.4</v>
      </c>
      <c r="AC243" s="51" t="s">
        <v>264</v>
      </c>
      <c r="AD243" s="51">
        <v>19.399999999999999</v>
      </c>
      <c r="AE243" s="51"/>
      <c r="AF243" s="51">
        <v>186</v>
      </c>
      <c r="AG243" s="51">
        <v>152.6</v>
      </c>
      <c r="AH243" s="51">
        <v>33.4</v>
      </c>
      <c r="AI243" s="51">
        <v>204.3</v>
      </c>
      <c r="AJ243" s="51"/>
      <c r="AK243" s="51"/>
      <c r="AL243" s="51">
        <v>151.69999999999999</v>
      </c>
      <c r="AM243" s="51">
        <v>86.9</v>
      </c>
      <c r="AN243" s="51">
        <v>64.8</v>
      </c>
      <c r="AO243" s="51">
        <v>3321.3</v>
      </c>
      <c r="AP243" s="51">
        <v>409.8</v>
      </c>
      <c r="AQ243" s="51">
        <v>252.1</v>
      </c>
      <c r="AR243" s="51">
        <v>57.8</v>
      </c>
      <c r="AS243" s="51">
        <v>132.1</v>
      </c>
      <c r="AT243" s="51">
        <v>34.5</v>
      </c>
      <c r="AU243" s="51">
        <v>75</v>
      </c>
      <c r="AV243" s="51">
        <v>22.4</v>
      </c>
      <c r="AW243" s="51">
        <v>6.1</v>
      </c>
      <c r="AX243" s="51">
        <v>2.5</v>
      </c>
      <c r="AY243" s="51" t="s">
        <v>264</v>
      </c>
      <c r="AZ243" s="51" t="s">
        <v>264</v>
      </c>
      <c r="BA243" s="51" t="s">
        <v>264</v>
      </c>
      <c r="BB243" s="51" t="s">
        <v>264</v>
      </c>
      <c r="BC243" s="51"/>
      <c r="BD243" s="53">
        <v>148.6</v>
      </c>
      <c r="BE243" s="53">
        <v>42.5</v>
      </c>
      <c r="BF243" s="55"/>
      <c r="BG243" s="55"/>
      <c r="BH243" s="53">
        <v>324.89999999999998</v>
      </c>
      <c r="BI243" s="55"/>
      <c r="BJ243" s="55"/>
      <c r="BK243" s="53">
        <v>255.3</v>
      </c>
      <c r="BL243" s="53">
        <v>3.7</v>
      </c>
      <c r="BM243" s="53">
        <v>584</v>
      </c>
      <c r="BN243" s="53">
        <v>254.3</v>
      </c>
      <c r="BO243" s="55"/>
      <c r="BP243" s="55"/>
      <c r="BQ243" s="53">
        <v>146.9</v>
      </c>
      <c r="BR243" s="53">
        <v>4.8</v>
      </c>
      <c r="BS243" s="53">
        <v>406.00000000000006</v>
      </c>
      <c r="BT243" s="52" t="s">
        <v>264</v>
      </c>
      <c r="BU243" s="53">
        <v>19.100000000000001</v>
      </c>
      <c r="BV243" s="51">
        <v>379.7</v>
      </c>
      <c r="BW243" s="51">
        <v>105.4</v>
      </c>
      <c r="BX243" s="51">
        <v>489.5</v>
      </c>
      <c r="BY243" s="51">
        <v>55.5</v>
      </c>
      <c r="BZ243" s="51">
        <v>15.8</v>
      </c>
      <c r="CA243" s="49">
        <v>71.3</v>
      </c>
      <c r="CB243" s="55"/>
      <c r="CC243" s="55"/>
      <c r="CD243" s="55"/>
      <c r="CE243" s="55"/>
      <c r="CF243" s="53">
        <v>93.8</v>
      </c>
      <c r="CG243" s="53">
        <v>130.9</v>
      </c>
      <c r="CH243" s="53">
        <v>7</v>
      </c>
      <c r="CI243" s="55"/>
      <c r="CJ243" s="55"/>
      <c r="CK243" s="55"/>
      <c r="CL243" s="55"/>
      <c r="CM243" s="55"/>
      <c r="CN243" s="53">
        <v>14.9</v>
      </c>
      <c r="CO243" s="52">
        <v>106.4</v>
      </c>
      <c r="CP243" s="53">
        <v>53.1</v>
      </c>
      <c r="CQ243" s="53">
        <v>53.3</v>
      </c>
      <c r="CR243" s="52" t="s">
        <v>264</v>
      </c>
      <c r="CS243" s="52">
        <v>92.4</v>
      </c>
      <c r="CT243" s="52">
        <v>47.7</v>
      </c>
      <c r="CU243" s="52">
        <v>44.7</v>
      </c>
      <c r="CV243" s="52">
        <v>36.4</v>
      </c>
      <c r="CW243" s="53">
        <v>9.6</v>
      </c>
      <c r="CX243" s="53">
        <v>26.8</v>
      </c>
      <c r="CY243" s="53" t="s">
        <v>264</v>
      </c>
      <c r="CZ243" s="53">
        <v>77.2</v>
      </c>
      <c r="DA243" s="52">
        <v>42</v>
      </c>
      <c r="DB243" s="53">
        <v>39.9</v>
      </c>
      <c r="DC243" s="53">
        <v>2.1</v>
      </c>
      <c r="DD243" s="55"/>
      <c r="DE243" s="55"/>
      <c r="DF243" s="55"/>
      <c r="DG243" s="55"/>
      <c r="DH243" s="55"/>
      <c r="DI243" s="53">
        <v>714.6</v>
      </c>
      <c r="DJ243" s="53">
        <v>376.3</v>
      </c>
      <c r="DK243" s="55"/>
      <c r="DL243" s="53">
        <v>163.5</v>
      </c>
      <c r="DM243" s="53">
        <v>279.3</v>
      </c>
      <c r="DN243" s="55"/>
      <c r="DO243" s="53">
        <v>251.1</v>
      </c>
      <c r="DP243" s="53">
        <v>308.60000000000002</v>
      </c>
      <c r="DQ243" s="55"/>
      <c r="DR243" s="55"/>
      <c r="DS243" s="53">
        <v>1115.383</v>
      </c>
      <c r="DT243" s="53">
        <v>4505.8</v>
      </c>
      <c r="DU243" s="53">
        <v>-1297.0169999999998</v>
      </c>
      <c r="DV243" s="53">
        <v>0</v>
      </c>
      <c r="DW243" s="55"/>
      <c r="DX243" s="55"/>
      <c r="DY243" s="55"/>
      <c r="DZ243" s="55"/>
      <c r="EA243" s="55"/>
      <c r="EB243" s="55"/>
      <c r="EC243" s="55"/>
      <c r="ED243" s="55"/>
      <c r="EE243" s="55"/>
      <c r="EF243" s="55"/>
      <c r="EG243" s="55"/>
      <c r="EH243" s="55"/>
      <c r="EI243" s="55"/>
      <c r="EJ243" s="55"/>
      <c r="EK243" s="55"/>
      <c r="EL243" s="55"/>
      <c r="EM243" s="55"/>
      <c r="EN243" s="55"/>
      <c r="EO243" s="55"/>
      <c r="EP243" s="55"/>
      <c r="EQ243" s="55"/>
      <c r="ER243" s="55"/>
      <c r="ES243" s="55"/>
      <c r="ET243" s="55"/>
      <c r="EU243" s="55"/>
      <c r="EV243" s="55"/>
      <c r="EW243" s="55"/>
      <c r="EX243" s="55"/>
      <c r="EY243" s="55"/>
      <c r="EZ243" s="55"/>
      <c r="FA243" s="55"/>
      <c r="FB243" s="55"/>
      <c r="FC243" s="55"/>
      <c r="FD243" s="55"/>
      <c r="FE243" s="55"/>
      <c r="FF243" s="55"/>
      <c r="FG243" s="55"/>
      <c r="FH243" s="55"/>
      <c r="FI243" s="55"/>
      <c r="FJ243" s="55"/>
      <c r="FK243" s="55"/>
      <c r="FL243" s="55"/>
      <c r="FM243" s="55"/>
      <c r="FN243" s="55"/>
      <c r="FO243" s="55"/>
      <c r="FP243" s="55"/>
      <c r="FQ243" s="55"/>
      <c r="FR243" s="55"/>
      <c r="FS243" s="55"/>
      <c r="FT243" s="55"/>
      <c r="FU243" s="55"/>
      <c r="FV243" s="55"/>
      <c r="FW243" s="55"/>
      <c r="FX243" s="55"/>
      <c r="FY243" s="55"/>
      <c r="FZ243" s="55"/>
      <c r="GA243" s="55"/>
      <c r="GB243" s="55"/>
      <c r="GC243" s="55"/>
      <c r="GD243" s="55"/>
      <c r="GE243" s="55"/>
      <c r="GF243" s="55"/>
      <c r="GG243" s="55"/>
      <c r="GH243" s="55"/>
      <c r="GI243" s="55"/>
      <c r="GJ243" s="55"/>
      <c r="GK243" s="55"/>
      <c r="GL243" s="55"/>
      <c r="GM243" s="55"/>
      <c r="GN243" s="55"/>
      <c r="GO243" s="55"/>
      <c r="GP243" s="55"/>
      <c r="GQ243" s="55"/>
      <c r="GR243" s="55"/>
      <c r="GS243" s="55"/>
      <c r="GT243" s="55"/>
      <c r="GU243" s="55"/>
      <c r="GV243" s="55"/>
      <c r="GW243" s="55"/>
      <c r="GX243" s="55"/>
      <c r="GY243" s="19">
        <v>0.9642742453436095</v>
      </c>
      <c r="GZ243" s="53">
        <v>1201.0999999999999</v>
      </c>
      <c r="HA243" s="53">
        <v>1245.5999999999999</v>
      </c>
      <c r="HB243" s="55"/>
      <c r="HC243" s="55"/>
      <c r="HD243" s="55"/>
      <c r="HE243" s="55"/>
      <c r="HF243" s="53">
        <v>1183</v>
      </c>
      <c r="HG243" s="53">
        <v>1152.4000000000001</v>
      </c>
      <c r="HH243" s="53">
        <v>476</v>
      </c>
      <c r="HI243" s="53">
        <v>138.4</v>
      </c>
      <c r="HJ243" s="53">
        <v>525.6</v>
      </c>
      <c r="HK243" s="53">
        <v>12.5</v>
      </c>
      <c r="HL243" s="53">
        <v>47.4</v>
      </c>
      <c r="HM243" s="55"/>
      <c r="HN243" s="55"/>
      <c r="HO243" s="55"/>
      <c r="HP243" s="53" t="e">
        <v>#VALUE!</v>
      </c>
      <c r="HQ243" s="53">
        <v>2.7</v>
      </c>
      <c r="HR243" s="53">
        <v>8.5</v>
      </c>
      <c r="HS243" s="53" t="e">
        <v>#VALUE!</v>
      </c>
      <c r="HT243" s="53">
        <v>27.6</v>
      </c>
      <c r="HU243" s="55"/>
      <c r="HV243" s="55"/>
      <c r="HW243" s="53">
        <v>304.89999999999998</v>
      </c>
      <c r="HX243" s="53" t="e">
        <v>#VALUE!</v>
      </c>
      <c r="HY243" s="53">
        <v>304.89999999999998</v>
      </c>
      <c r="HZ243" s="53">
        <v>45.1</v>
      </c>
      <c r="IA243" s="53">
        <v>223.4</v>
      </c>
      <c r="IB243" s="53">
        <v>79.400000000000006</v>
      </c>
      <c r="IC243" s="53">
        <v>144</v>
      </c>
      <c r="ID243" s="53" t="e">
        <v>#VALUE!</v>
      </c>
      <c r="IE243" s="53" t="e">
        <v>#VALUE!</v>
      </c>
      <c r="IF243" s="53">
        <v>9.9</v>
      </c>
      <c r="IG243" s="53">
        <v>21.6</v>
      </c>
      <c r="IH243" s="55"/>
      <c r="II243" s="55"/>
      <c r="IJ243" s="55"/>
      <c r="IK243" s="55"/>
      <c r="IL243" s="55"/>
      <c r="IM243" s="55"/>
      <c r="IN243" s="53">
        <v>50.4</v>
      </c>
      <c r="IO243" s="53">
        <v>51.9</v>
      </c>
      <c r="IP243" s="53" t="e">
        <v>#VALUE!</v>
      </c>
      <c r="IQ243" s="53">
        <v>45.7</v>
      </c>
      <c r="IR243" s="53">
        <v>15.7</v>
      </c>
      <c r="IS243" s="53" t="e">
        <v>#VALUE!</v>
      </c>
      <c r="IT243" s="53">
        <v>27.6</v>
      </c>
      <c r="IU243" s="53" t="e">
        <v>#VALUE!</v>
      </c>
      <c r="IV243" s="53" t="e">
        <v>#VALUE!</v>
      </c>
      <c r="IY243" s="48">
        <f t="shared" si="11"/>
        <v>47.584002840782993</v>
      </c>
      <c r="IZ243" s="48">
        <f>IY243-'NOPA Crush'!J243</f>
        <v>0.10400284078299649</v>
      </c>
      <c r="JB243" s="63">
        <f t="shared" si="9"/>
        <v>11.232855430778107</v>
      </c>
      <c r="JC243" s="64">
        <f>JB243-'NOPA Crush'!O243</f>
        <v>-6.7144569221893491E-2</v>
      </c>
      <c r="JD243" s="65"/>
      <c r="JE243" s="67">
        <f t="shared" si="10"/>
        <v>1616.3999999999999</v>
      </c>
      <c r="JF243" s="68">
        <f>'NOPA Crush'!Q243/'Census Crush'!JE243</f>
        <v>0.77284954219252666</v>
      </c>
    </row>
    <row r="244" spans="1:266">
      <c r="A244" s="39">
        <v>36465</v>
      </c>
      <c r="B244" s="51">
        <v>4283.2</v>
      </c>
      <c r="C244" s="51">
        <v>4341.1000000000004</v>
      </c>
      <c r="D244" s="51">
        <v>302.5</v>
      </c>
      <c r="E244" s="51">
        <v>1686.1</v>
      </c>
      <c r="F244" s="51">
        <v>17.5</v>
      </c>
      <c r="G244" s="51" t="s">
        <v>264</v>
      </c>
      <c r="H244" s="51" t="s">
        <v>264</v>
      </c>
      <c r="I244" s="51" t="s">
        <v>264</v>
      </c>
      <c r="J244" s="51" t="s">
        <v>264</v>
      </c>
      <c r="K244" s="51">
        <v>1596.6</v>
      </c>
      <c r="L244" s="49">
        <v>1663.6000000000001</v>
      </c>
      <c r="M244" s="51">
        <v>1422.9</v>
      </c>
      <c r="N244" s="51">
        <v>240.7</v>
      </c>
      <c r="O244" s="51">
        <v>95.4</v>
      </c>
      <c r="P244" s="51">
        <v>88.699999999999989</v>
      </c>
      <c r="Q244" s="51">
        <v>42.3</v>
      </c>
      <c r="R244" s="51">
        <v>46.4</v>
      </c>
      <c r="S244" s="51"/>
      <c r="T244" s="51">
        <v>22.6</v>
      </c>
      <c r="U244" s="51">
        <v>26.8</v>
      </c>
      <c r="V244" s="51">
        <v>25.5</v>
      </c>
      <c r="W244" s="51">
        <v>1.3</v>
      </c>
      <c r="X244" s="51" t="s">
        <v>264</v>
      </c>
      <c r="Y244" s="51" t="s">
        <v>264</v>
      </c>
      <c r="Z244" s="49">
        <v>135.30000000000001</v>
      </c>
      <c r="AA244" s="51">
        <v>127.7</v>
      </c>
      <c r="AB244" s="51">
        <v>7.6</v>
      </c>
      <c r="AC244" s="51" t="s">
        <v>264</v>
      </c>
      <c r="AD244" s="51">
        <v>41.9</v>
      </c>
      <c r="AE244" s="51"/>
      <c r="AF244" s="51">
        <v>198.1</v>
      </c>
      <c r="AG244" s="51">
        <v>179.4</v>
      </c>
      <c r="AH244" s="51">
        <v>18.7</v>
      </c>
      <c r="AI244" s="51">
        <v>212.3</v>
      </c>
      <c r="AJ244" s="51"/>
      <c r="AK244" s="51"/>
      <c r="AL244" s="51">
        <v>175.5</v>
      </c>
      <c r="AM244" s="51">
        <v>107.5</v>
      </c>
      <c r="AN244" s="51">
        <v>68</v>
      </c>
      <c r="AO244" s="51">
        <v>3155.1</v>
      </c>
      <c r="AP244" s="51">
        <v>396.6</v>
      </c>
      <c r="AQ244" s="51">
        <v>245.3</v>
      </c>
      <c r="AR244" s="51">
        <v>63.6</v>
      </c>
      <c r="AS244" s="51">
        <v>140.80000000000001</v>
      </c>
      <c r="AT244" s="51">
        <v>34.9</v>
      </c>
      <c r="AU244" s="51">
        <v>80.8</v>
      </c>
      <c r="AV244" s="51">
        <v>22.1</v>
      </c>
      <c r="AW244" s="51">
        <v>9.6</v>
      </c>
      <c r="AX244" s="51" t="s">
        <v>264</v>
      </c>
      <c r="AY244" s="51" t="s">
        <v>264</v>
      </c>
      <c r="AZ244" s="51" t="s">
        <v>264</v>
      </c>
      <c r="BA244" s="51" t="s">
        <v>264</v>
      </c>
      <c r="BB244" s="51" t="s">
        <v>264</v>
      </c>
      <c r="BC244" s="51"/>
      <c r="BD244" s="53">
        <v>134.80000000000001</v>
      </c>
      <c r="BE244" s="53">
        <v>34.299999999999997</v>
      </c>
      <c r="BF244" s="55"/>
      <c r="BG244" s="55"/>
      <c r="BH244" s="53">
        <v>318.89999999999998</v>
      </c>
      <c r="BI244" s="55"/>
      <c r="BJ244" s="55"/>
      <c r="BK244" s="53">
        <v>255.7</v>
      </c>
      <c r="BL244" s="53">
        <v>3.4</v>
      </c>
      <c r="BM244" s="53">
        <v>578</v>
      </c>
      <c r="BN244" s="53">
        <v>248.6</v>
      </c>
      <c r="BO244" s="55"/>
      <c r="BP244" s="55"/>
      <c r="BQ244" s="53">
        <v>120</v>
      </c>
      <c r="BR244" s="53">
        <v>4.5999999999999996</v>
      </c>
      <c r="BS244" s="53">
        <v>373.20000000000005</v>
      </c>
      <c r="BT244" s="52" t="s">
        <v>264</v>
      </c>
      <c r="BU244" s="53">
        <v>22.8</v>
      </c>
      <c r="BV244" s="51">
        <v>371</v>
      </c>
      <c r="BW244" s="51">
        <v>101.3</v>
      </c>
      <c r="BX244" s="51">
        <v>476.6</v>
      </c>
      <c r="BY244" s="51">
        <v>59.2</v>
      </c>
      <c r="BZ244" s="51">
        <v>19.2</v>
      </c>
      <c r="CA244" s="49">
        <v>78.400000000000006</v>
      </c>
      <c r="CB244" s="55"/>
      <c r="CC244" s="55"/>
      <c r="CD244" s="55"/>
      <c r="CE244" s="55"/>
      <c r="CF244" s="53">
        <v>101.6</v>
      </c>
      <c r="CG244" s="53">
        <v>135.30000000000001</v>
      </c>
      <c r="CH244" s="53">
        <v>8.5</v>
      </c>
      <c r="CI244" s="55"/>
      <c r="CJ244" s="55"/>
      <c r="CK244" s="55"/>
      <c r="CL244" s="55"/>
      <c r="CM244" s="55"/>
      <c r="CN244" s="53">
        <v>17.5</v>
      </c>
      <c r="CO244" s="52">
        <v>142.30000000000001</v>
      </c>
      <c r="CP244" s="53">
        <v>106.5</v>
      </c>
      <c r="CQ244" s="53">
        <v>35.799999999999997</v>
      </c>
      <c r="CR244" s="52" t="s">
        <v>264</v>
      </c>
      <c r="CS244" s="52">
        <v>69.599999999999994</v>
      </c>
      <c r="CT244" s="52">
        <v>36.799999999999997</v>
      </c>
      <c r="CU244" s="52">
        <v>32.799999999999997</v>
      </c>
      <c r="CV244" s="52">
        <v>35.799999999999997</v>
      </c>
      <c r="CW244" s="53">
        <v>11.1</v>
      </c>
      <c r="CX244" s="53">
        <v>24.7</v>
      </c>
      <c r="CY244" s="53" t="s">
        <v>264</v>
      </c>
      <c r="CZ244" s="53">
        <v>75.5</v>
      </c>
      <c r="DA244" s="52">
        <v>35.799999999999997</v>
      </c>
      <c r="DB244" s="53">
        <v>35</v>
      </c>
      <c r="DC244" s="53">
        <v>0.8</v>
      </c>
      <c r="DD244" s="55"/>
      <c r="DE244" s="55"/>
      <c r="DF244" s="55"/>
      <c r="DG244" s="55"/>
      <c r="DH244" s="55"/>
      <c r="DI244" s="53">
        <v>697.5</v>
      </c>
      <c r="DJ244" s="53">
        <v>367.7</v>
      </c>
      <c r="DK244" s="55"/>
      <c r="DL244" s="53">
        <v>162.5</v>
      </c>
      <c r="DM244" s="53">
        <v>261</v>
      </c>
      <c r="DN244" s="55"/>
      <c r="DO244" s="53">
        <v>240.9</v>
      </c>
      <c r="DP244" s="53">
        <v>287.10000000000002</v>
      </c>
      <c r="DQ244" s="55"/>
      <c r="DR244" s="55"/>
      <c r="DS244" s="53">
        <v>1059.6959999999999</v>
      </c>
      <c r="DT244" s="53">
        <v>4283.2</v>
      </c>
      <c r="DU244" s="53">
        <v>-1206.8039999999996</v>
      </c>
      <c r="DV244" s="53">
        <v>0</v>
      </c>
      <c r="DW244" s="55"/>
      <c r="DX244" s="55"/>
      <c r="DY244" s="55"/>
      <c r="DZ244" s="55"/>
      <c r="EA244" s="55"/>
      <c r="EB244" s="55"/>
      <c r="EC244" s="55"/>
      <c r="ED244" s="55"/>
      <c r="EE244" s="55"/>
      <c r="EF244" s="55"/>
      <c r="EG244" s="55"/>
      <c r="EH244" s="55"/>
      <c r="EI244" s="55"/>
      <c r="EJ244" s="55"/>
      <c r="EK244" s="55"/>
      <c r="EL244" s="55"/>
      <c r="EM244" s="55"/>
      <c r="EN244" s="55"/>
      <c r="EO244" s="55"/>
      <c r="EP244" s="55"/>
      <c r="EQ244" s="55"/>
      <c r="ER244" s="55"/>
      <c r="ES244" s="55"/>
      <c r="ET244" s="55"/>
      <c r="EU244" s="55"/>
      <c r="EV244" s="55"/>
      <c r="EW244" s="55"/>
      <c r="EX244" s="55"/>
      <c r="EY244" s="55"/>
      <c r="EZ244" s="55"/>
      <c r="FA244" s="55"/>
      <c r="FB244" s="55"/>
      <c r="FC244" s="55"/>
      <c r="FD244" s="55"/>
      <c r="FE244" s="55"/>
      <c r="FF244" s="55"/>
      <c r="FG244" s="55"/>
      <c r="FH244" s="55"/>
      <c r="FI244" s="55"/>
      <c r="FJ244" s="55"/>
      <c r="FK244" s="55"/>
      <c r="FL244" s="55"/>
      <c r="FM244" s="55"/>
      <c r="FN244" s="55"/>
      <c r="FO244" s="55"/>
      <c r="FP244" s="55"/>
      <c r="FQ244" s="55"/>
      <c r="FR244" s="55"/>
      <c r="FS244" s="55"/>
      <c r="FT244" s="55"/>
      <c r="FU244" s="55"/>
      <c r="FV244" s="55"/>
      <c r="FW244" s="55"/>
      <c r="FX244" s="55"/>
      <c r="FY244" s="55"/>
      <c r="FZ244" s="55"/>
      <c r="GA244" s="55"/>
      <c r="GB244" s="55"/>
      <c r="GC244" s="55"/>
      <c r="GD244" s="55"/>
      <c r="GE244" s="55"/>
      <c r="GF244" s="55"/>
      <c r="GG244" s="55"/>
      <c r="GH244" s="55"/>
      <c r="GI244" s="55"/>
      <c r="GJ244" s="55"/>
      <c r="GK244" s="55"/>
      <c r="GL244" s="55"/>
      <c r="GM244" s="55"/>
      <c r="GN244" s="55"/>
      <c r="GO244" s="55"/>
      <c r="GP244" s="55"/>
      <c r="GQ244" s="55"/>
      <c r="GR244" s="55"/>
      <c r="GS244" s="55"/>
      <c r="GT244" s="55"/>
      <c r="GU244" s="55"/>
      <c r="GV244" s="55"/>
      <c r="GW244" s="55"/>
      <c r="GX244" s="55"/>
      <c r="GY244" s="19">
        <v>0.96379324248044518</v>
      </c>
      <c r="GZ244" s="53">
        <v>1195.2</v>
      </c>
      <c r="HA244" s="53">
        <v>1240.0999999999999</v>
      </c>
      <c r="HB244" s="55"/>
      <c r="HC244" s="55"/>
      <c r="HD244" s="55"/>
      <c r="HE244" s="55"/>
      <c r="HF244" s="53">
        <v>1199.3</v>
      </c>
      <c r="HG244" s="53">
        <v>1165.3</v>
      </c>
      <c r="HH244" s="53">
        <v>455.4</v>
      </c>
      <c r="HI244" s="53">
        <v>139.6</v>
      </c>
      <c r="HJ244" s="53">
        <v>558</v>
      </c>
      <c r="HK244" s="53">
        <v>12.4</v>
      </c>
      <c r="HL244" s="53">
        <v>50.8</v>
      </c>
      <c r="HM244" s="55"/>
      <c r="HN244" s="55"/>
      <c r="HO244" s="55"/>
      <c r="HP244" s="53" t="e">
        <v>#VALUE!</v>
      </c>
      <c r="HQ244" s="53">
        <v>4.5999999999999996</v>
      </c>
      <c r="HR244" s="53">
        <v>7.8</v>
      </c>
      <c r="HS244" s="53" t="e">
        <v>#VALUE!</v>
      </c>
      <c r="HT244" s="53">
        <v>31.5</v>
      </c>
      <c r="HU244" s="55"/>
      <c r="HV244" s="55"/>
      <c r="HW244" s="53">
        <v>315.5</v>
      </c>
      <c r="HX244" s="53" t="e">
        <v>#VALUE!</v>
      </c>
      <c r="HY244" s="53">
        <v>315.5</v>
      </c>
      <c r="HZ244" s="53">
        <v>51.6</v>
      </c>
      <c r="IA244" s="53">
        <v>227.7</v>
      </c>
      <c r="IB244" s="53">
        <v>82.7</v>
      </c>
      <c r="IC244" s="53">
        <v>145</v>
      </c>
      <c r="ID244" s="53" t="e">
        <v>#VALUE!</v>
      </c>
      <c r="IE244" s="53" t="e">
        <v>#VALUE!</v>
      </c>
      <c r="IF244" s="53">
        <v>9.1999999999999993</v>
      </c>
      <c r="IG244" s="53">
        <v>21.9</v>
      </c>
      <c r="IH244" s="55"/>
      <c r="II244" s="55"/>
      <c r="IJ244" s="55"/>
      <c r="IK244" s="55"/>
      <c r="IL244" s="55"/>
      <c r="IM244" s="55"/>
      <c r="IN244" s="53">
        <v>55.6</v>
      </c>
      <c r="IO244" s="53">
        <v>57.3</v>
      </c>
      <c r="IP244" s="53" t="e">
        <v>#VALUE!</v>
      </c>
      <c r="IQ244" s="53">
        <v>46.6</v>
      </c>
      <c r="IR244" s="53">
        <v>15.4</v>
      </c>
      <c r="IS244" s="53" t="e">
        <v>#VALUE!</v>
      </c>
      <c r="IT244" s="53">
        <v>28.9</v>
      </c>
      <c r="IU244" s="53" t="e">
        <v>#VALUE!</v>
      </c>
      <c r="IV244" s="53" t="e">
        <v>#VALUE!</v>
      </c>
      <c r="IY244" s="48">
        <f t="shared" si="11"/>
        <v>47.633545013074333</v>
      </c>
      <c r="IZ244" s="48">
        <f>IY244-'NOPA Crush'!J244</f>
        <v>2.3545013074333099E-2</v>
      </c>
      <c r="JB244" s="63">
        <f t="shared" si="9"/>
        <v>11.182760552857676</v>
      </c>
      <c r="JC244" s="64">
        <f>JB244-'NOPA Crush'!O244</f>
        <v>-8.7239447142323456E-2</v>
      </c>
      <c r="JD244" s="65"/>
      <c r="JE244" s="67">
        <f t="shared" si="10"/>
        <v>1663.6000000000001</v>
      </c>
      <c r="JF244" s="68">
        <f>'NOPA Crush'!Q244/'Census Crush'!JE244</f>
        <v>0.7573310892041355</v>
      </c>
    </row>
    <row r="245" spans="1:266">
      <c r="A245" s="39">
        <v>36495</v>
      </c>
      <c r="B245" s="51">
        <v>4289.3</v>
      </c>
      <c r="C245" s="51">
        <v>4325.8</v>
      </c>
      <c r="D245" s="51">
        <v>296.39999999999998</v>
      </c>
      <c r="E245" s="51">
        <v>1754.5</v>
      </c>
      <c r="F245" s="51">
        <v>23.5</v>
      </c>
      <c r="G245" s="51" t="s">
        <v>264</v>
      </c>
      <c r="H245" s="51" t="s">
        <v>264</v>
      </c>
      <c r="I245" s="51" t="s">
        <v>264</v>
      </c>
      <c r="J245" s="51" t="s">
        <v>264</v>
      </c>
      <c r="K245" s="51">
        <v>1599.2</v>
      </c>
      <c r="L245" s="49">
        <v>1791.1</v>
      </c>
      <c r="M245" s="51">
        <v>1516.5</v>
      </c>
      <c r="N245" s="51">
        <v>274.60000000000002</v>
      </c>
      <c r="O245" s="51">
        <v>94.2</v>
      </c>
      <c r="P245" s="51">
        <v>87.199999999999989</v>
      </c>
      <c r="Q245" s="51">
        <v>28.4</v>
      </c>
      <c r="R245" s="51">
        <v>58.8</v>
      </c>
      <c r="S245" s="51"/>
      <c r="T245" s="51">
        <v>22.7</v>
      </c>
      <c r="U245" s="51">
        <v>21.4</v>
      </c>
      <c r="V245" s="51">
        <v>19.7</v>
      </c>
      <c r="W245" s="51">
        <v>1.7</v>
      </c>
      <c r="X245" s="51" t="s">
        <v>264</v>
      </c>
      <c r="Y245" s="51" t="s">
        <v>264</v>
      </c>
      <c r="Z245" s="49">
        <v>165.10000000000002</v>
      </c>
      <c r="AA245" s="51">
        <v>159.30000000000001</v>
      </c>
      <c r="AB245" s="51">
        <v>5.8</v>
      </c>
      <c r="AC245" s="51" t="s">
        <v>264</v>
      </c>
      <c r="AD245" s="51">
        <v>36.6</v>
      </c>
      <c r="AE245" s="51"/>
      <c r="AF245" s="51">
        <v>193</v>
      </c>
      <c r="AG245" s="51">
        <v>176.6</v>
      </c>
      <c r="AH245" s="51">
        <v>16.399999999999999</v>
      </c>
      <c r="AI245" s="51">
        <v>218.6</v>
      </c>
      <c r="AJ245" s="51"/>
      <c r="AK245" s="51"/>
      <c r="AL245" s="51">
        <v>206.6</v>
      </c>
      <c r="AM245" s="51">
        <v>99.8</v>
      </c>
      <c r="AN245" s="51">
        <v>106.8</v>
      </c>
      <c r="AO245" s="51">
        <v>3161.4</v>
      </c>
      <c r="AP245" s="51">
        <v>377.2</v>
      </c>
      <c r="AQ245" s="51">
        <v>252.1</v>
      </c>
      <c r="AR245" s="51">
        <v>59.3</v>
      </c>
      <c r="AS245" s="51">
        <v>138.30000000000001</v>
      </c>
      <c r="AT245" s="51">
        <v>22.7</v>
      </c>
      <c r="AU245" s="51">
        <v>79.2</v>
      </c>
      <c r="AV245" s="51">
        <v>21.1</v>
      </c>
      <c r="AW245" s="51">
        <v>12.9</v>
      </c>
      <c r="AX245" s="51">
        <v>2</v>
      </c>
      <c r="AY245" s="51" t="s">
        <v>264</v>
      </c>
      <c r="AZ245" s="51" t="s">
        <v>264</v>
      </c>
      <c r="BA245" s="51" t="s">
        <v>264</v>
      </c>
      <c r="BB245" s="51" t="s">
        <v>264</v>
      </c>
      <c r="BC245" s="51"/>
      <c r="BD245" s="53">
        <v>136.6</v>
      </c>
      <c r="BE245" s="53">
        <v>33.299999999999997</v>
      </c>
      <c r="BF245" s="55"/>
      <c r="BG245" s="55"/>
      <c r="BH245" s="53">
        <v>336.5</v>
      </c>
      <c r="BI245" s="55"/>
      <c r="BJ245" s="55"/>
      <c r="BK245" s="53">
        <v>261.5</v>
      </c>
      <c r="BL245" s="53">
        <v>3.5</v>
      </c>
      <c r="BM245" s="53">
        <v>601.5</v>
      </c>
      <c r="BN245" s="53">
        <v>251.3</v>
      </c>
      <c r="BO245" s="55"/>
      <c r="BP245" s="55"/>
      <c r="BQ245" s="53">
        <v>149.19999999999999</v>
      </c>
      <c r="BR245" s="53">
        <v>4.5999999999999996</v>
      </c>
      <c r="BS245" s="53">
        <v>405.1</v>
      </c>
      <c r="BT245" s="52" t="s">
        <v>264</v>
      </c>
      <c r="BU245" s="53">
        <v>26.7</v>
      </c>
      <c r="BV245" s="51">
        <v>386</v>
      </c>
      <c r="BW245" s="51">
        <v>113.9</v>
      </c>
      <c r="BX245" s="51">
        <v>503.2</v>
      </c>
      <c r="BY245" s="51">
        <v>57.2</v>
      </c>
      <c r="BZ245" s="51">
        <v>14.5</v>
      </c>
      <c r="CA245" s="49">
        <v>71.7</v>
      </c>
      <c r="CB245" s="55"/>
      <c r="CC245" s="55"/>
      <c r="CD245" s="55"/>
      <c r="CE245" s="55"/>
      <c r="CF245" s="53">
        <v>107.8</v>
      </c>
      <c r="CG245" s="53">
        <v>121.5</v>
      </c>
      <c r="CH245" s="53">
        <v>9.1</v>
      </c>
      <c r="CI245" s="55"/>
      <c r="CJ245" s="55"/>
      <c r="CK245" s="55"/>
      <c r="CL245" s="55"/>
      <c r="CM245" s="55"/>
      <c r="CN245" s="53">
        <v>36.700000000000003</v>
      </c>
      <c r="CO245" s="52">
        <v>93.7</v>
      </c>
      <c r="CP245" s="53">
        <v>53.6</v>
      </c>
      <c r="CQ245" s="53">
        <v>40.1</v>
      </c>
      <c r="CR245" s="52" t="s">
        <v>264</v>
      </c>
      <c r="CS245" s="52">
        <v>71.900000000000006</v>
      </c>
      <c r="CT245" s="52">
        <v>36.5</v>
      </c>
      <c r="CU245" s="52">
        <v>35.4</v>
      </c>
      <c r="CV245" s="52">
        <v>34.200000000000003</v>
      </c>
      <c r="CW245" s="53">
        <v>12.2</v>
      </c>
      <c r="CX245" s="53">
        <v>22</v>
      </c>
      <c r="CY245" s="53" t="s">
        <v>264</v>
      </c>
      <c r="CZ245" s="53">
        <v>60</v>
      </c>
      <c r="DA245" s="52">
        <v>35.199999999999996</v>
      </c>
      <c r="DB245" s="53">
        <v>33.9</v>
      </c>
      <c r="DC245" s="53">
        <v>1.3</v>
      </c>
      <c r="DD245" s="55"/>
      <c r="DE245" s="55"/>
      <c r="DF245" s="55"/>
      <c r="DG245" s="55"/>
      <c r="DH245" s="55"/>
      <c r="DI245" s="53">
        <v>659.6</v>
      </c>
      <c r="DJ245" s="53">
        <v>375.4</v>
      </c>
      <c r="DK245" s="55"/>
      <c r="DL245" s="53">
        <v>152</v>
      </c>
      <c r="DM245" s="53">
        <v>269.89999999999998</v>
      </c>
      <c r="DN245" s="55"/>
      <c r="DO245" s="53">
        <v>243.2</v>
      </c>
      <c r="DP245" s="53">
        <v>291.5</v>
      </c>
      <c r="DQ245" s="55"/>
      <c r="DR245" s="55"/>
      <c r="DS245" s="53">
        <v>1093.3389999999999</v>
      </c>
      <c r="DT245" s="53">
        <v>4289.3</v>
      </c>
      <c r="DU245" s="53">
        <v>-1204.3609999999999</v>
      </c>
      <c r="DV245" s="53">
        <v>0</v>
      </c>
      <c r="DW245" s="55"/>
      <c r="DX245" s="55"/>
      <c r="DY245" s="55"/>
      <c r="DZ245" s="55"/>
      <c r="EA245" s="55"/>
      <c r="EB245" s="55"/>
      <c r="EC245" s="55"/>
      <c r="ED245" s="55"/>
      <c r="EE245" s="55"/>
      <c r="EF245" s="55"/>
      <c r="EG245" s="55"/>
      <c r="EH245" s="55"/>
      <c r="EI245" s="55"/>
      <c r="EJ245" s="55"/>
      <c r="EK245" s="55"/>
      <c r="EL245" s="55"/>
      <c r="EM245" s="55"/>
      <c r="EN245" s="55"/>
      <c r="EO245" s="55"/>
      <c r="EP245" s="55"/>
      <c r="EQ245" s="55"/>
      <c r="ER245" s="55"/>
      <c r="ES245" s="55"/>
      <c r="ET245" s="55"/>
      <c r="EU245" s="55"/>
      <c r="EV245" s="55"/>
      <c r="EW245" s="55"/>
      <c r="EX245" s="55"/>
      <c r="EY245" s="55"/>
      <c r="EZ245" s="55"/>
      <c r="FA245" s="55"/>
      <c r="FB245" s="55"/>
      <c r="FC245" s="55"/>
      <c r="FD245" s="55"/>
      <c r="FE245" s="55"/>
      <c r="FF245" s="55"/>
      <c r="FG245" s="55"/>
      <c r="FH245" s="55"/>
      <c r="FI245" s="55"/>
      <c r="FJ245" s="55"/>
      <c r="FK245" s="55"/>
      <c r="FL245" s="55"/>
      <c r="FM245" s="55"/>
      <c r="FN245" s="55"/>
      <c r="FO245" s="55"/>
      <c r="FP245" s="55"/>
      <c r="FQ245" s="55"/>
      <c r="FR245" s="55"/>
      <c r="FS245" s="55"/>
      <c r="FT245" s="55"/>
      <c r="FU245" s="55"/>
      <c r="FV245" s="55"/>
      <c r="FW245" s="55"/>
      <c r="FX245" s="55"/>
      <c r="FY245" s="55"/>
      <c r="FZ245" s="55"/>
      <c r="GA245" s="55"/>
      <c r="GB245" s="55"/>
      <c r="GC245" s="55"/>
      <c r="GD245" s="55"/>
      <c r="GE245" s="55"/>
      <c r="GF245" s="55"/>
      <c r="GG245" s="55"/>
      <c r="GH245" s="55"/>
      <c r="GI245" s="55"/>
      <c r="GJ245" s="55"/>
      <c r="GK245" s="55"/>
      <c r="GL245" s="55"/>
      <c r="GM245" s="55"/>
      <c r="GN245" s="55"/>
      <c r="GO245" s="55"/>
      <c r="GP245" s="55"/>
      <c r="GQ245" s="55"/>
      <c r="GR245" s="55"/>
      <c r="GS245" s="55"/>
      <c r="GT245" s="55"/>
      <c r="GU245" s="55"/>
      <c r="GV245" s="55"/>
      <c r="GW245" s="55"/>
      <c r="GX245" s="55"/>
      <c r="GY245" s="19">
        <v>0.96429170159262367</v>
      </c>
      <c r="GZ245" s="53">
        <v>1150.4000000000001</v>
      </c>
      <c r="HA245" s="53">
        <v>1193</v>
      </c>
      <c r="HB245" s="55"/>
      <c r="HC245" s="55"/>
      <c r="HD245" s="55"/>
      <c r="HE245" s="55"/>
      <c r="HF245" s="53">
        <v>1135.5999999999999</v>
      </c>
      <c r="HG245" s="53">
        <v>1100.4000000000001</v>
      </c>
      <c r="HH245" s="53">
        <v>424.1</v>
      </c>
      <c r="HI245" s="53">
        <v>132.4</v>
      </c>
      <c r="HJ245" s="53">
        <v>531.70000000000005</v>
      </c>
      <c r="HK245" s="53">
        <v>12.2</v>
      </c>
      <c r="HL245" s="53">
        <v>52</v>
      </c>
      <c r="HM245" s="55"/>
      <c r="HN245" s="55"/>
      <c r="HO245" s="55"/>
      <c r="HP245" s="53" t="e">
        <v>#VALUE!</v>
      </c>
      <c r="HQ245" s="53">
        <v>4.2</v>
      </c>
      <c r="HR245" s="53">
        <v>7</v>
      </c>
      <c r="HS245" s="53" t="e">
        <v>#VALUE!</v>
      </c>
      <c r="HT245" s="53">
        <v>32.200000000000003</v>
      </c>
      <c r="HU245" s="55"/>
      <c r="HV245" s="55"/>
      <c r="HW245" s="53">
        <v>320.39999999999998</v>
      </c>
      <c r="HX245" s="53" t="e">
        <v>#VALUE!</v>
      </c>
      <c r="HY245" s="53">
        <v>320.39999999999998</v>
      </c>
      <c r="HZ245" s="53">
        <v>36</v>
      </c>
      <c r="IA245" s="53">
        <v>252.3</v>
      </c>
      <c r="IB245" s="53">
        <v>97.8</v>
      </c>
      <c r="IC245" s="53">
        <v>154.6</v>
      </c>
      <c r="ID245" s="53" t="e">
        <v>#VALUE!</v>
      </c>
      <c r="IE245" s="53" t="e">
        <v>#VALUE!</v>
      </c>
      <c r="IF245" s="53">
        <v>9.3000000000000007</v>
      </c>
      <c r="IG245" s="53">
        <v>17.100000000000001</v>
      </c>
      <c r="IH245" s="55"/>
      <c r="II245" s="55"/>
      <c r="IJ245" s="55"/>
      <c r="IK245" s="55"/>
      <c r="IL245" s="55"/>
      <c r="IM245" s="55"/>
      <c r="IN245" s="53">
        <v>59.5</v>
      </c>
      <c r="IO245" s="53">
        <v>61.5</v>
      </c>
      <c r="IP245" s="53" t="e">
        <v>#VALUE!</v>
      </c>
      <c r="IQ245" s="53">
        <v>46.4</v>
      </c>
      <c r="IR245" s="53">
        <v>13.7</v>
      </c>
      <c r="IS245" s="53" t="e">
        <v>#VALUE!</v>
      </c>
      <c r="IT245" s="53">
        <v>30.4</v>
      </c>
      <c r="IU245" s="53" t="e">
        <v>#VALUE!</v>
      </c>
      <c r="IV245" s="53" t="e">
        <v>#VALUE!</v>
      </c>
      <c r="IY245" s="48">
        <f t="shared" si="11"/>
        <v>47.749049961532187</v>
      </c>
      <c r="IZ245" s="48">
        <f>IY245-'NOPA Crush'!J245</f>
        <v>2.9049961532187751E-2</v>
      </c>
      <c r="JB245" s="63">
        <f t="shared" si="9"/>
        <v>11.185041848320239</v>
      </c>
      <c r="JC245" s="64">
        <f>JB245-'NOPA Crush'!O245</f>
        <v>-6.4958151679761045E-2</v>
      </c>
      <c r="JD245" s="65"/>
      <c r="JE245" s="67">
        <f t="shared" si="10"/>
        <v>1791.1</v>
      </c>
      <c r="JF245" s="68">
        <f>'NOPA Crush'!Q245/'Census Crush'!JE245</f>
        <v>0.76755513371671047</v>
      </c>
    </row>
    <row r="246" spans="1:266">
      <c r="A246" s="39">
        <v>36526</v>
      </c>
      <c r="B246" s="51">
        <v>4176.8999999999996</v>
      </c>
      <c r="C246" s="51">
        <v>4209.3</v>
      </c>
      <c r="D246" s="51">
        <v>300.2</v>
      </c>
      <c r="E246" s="51">
        <v>1574.2</v>
      </c>
      <c r="F246" s="51">
        <v>39.1</v>
      </c>
      <c r="G246" s="51" t="s">
        <v>264</v>
      </c>
      <c r="H246" s="51" t="s">
        <v>264</v>
      </c>
      <c r="I246" s="51" t="s">
        <v>264</v>
      </c>
      <c r="J246" s="51" t="s">
        <v>264</v>
      </c>
      <c r="K246" s="51">
        <v>1579.8</v>
      </c>
      <c r="L246" s="49">
        <v>1993.2</v>
      </c>
      <c r="M246" s="51">
        <v>1731.2</v>
      </c>
      <c r="N246" s="51">
        <v>262</v>
      </c>
      <c r="O246" s="51">
        <v>94.1</v>
      </c>
      <c r="P246" s="51">
        <v>83.6</v>
      </c>
      <c r="Q246" s="51">
        <v>28.2</v>
      </c>
      <c r="R246" s="51">
        <v>55.4</v>
      </c>
      <c r="S246" s="51"/>
      <c r="T246" s="51">
        <v>35.200000000000003</v>
      </c>
      <c r="U246" s="51">
        <v>24.2</v>
      </c>
      <c r="V246" s="51">
        <v>21.3</v>
      </c>
      <c r="W246" s="51">
        <v>2.9</v>
      </c>
      <c r="X246" s="51" t="s">
        <v>264</v>
      </c>
      <c r="Y246" s="51">
        <v>14.2</v>
      </c>
      <c r="Z246" s="49">
        <v>152.10000000000002</v>
      </c>
      <c r="AA246" s="51">
        <v>145.30000000000001</v>
      </c>
      <c r="AB246" s="51">
        <v>6.8</v>
      </c>
      <c r="AC246" s="51" t="s">
        <v>264</v>
      </c>
      <c r="AD246" s="51">
        <v>47</v>
      </c>
      <c r="AE246" s="51"/>
      <c r="AF246" s="51">
        <v>208.8</v>
      </c>
      <c r="AG246" s="51">
        <v>185</v>
      </c>
      <c r="AH246" s="51">
        <v>23.8</v>
      </c>
      <c r="AI246" s="51">
        <v>185.7</v>
      </c>
      <c r="AJ246" s="51"/>
      <c r="AK246" s="51"/>
      <c r="AL246" s="51">
        <v>206.4</v>
      </c>
      <c r="AM246" s="51">
        <v>117.7</v>
      </c>
      <c r="AN246" s="51">
        <v>88.7</v>
      </c>
      <c r="AO246" s="51">
        <v>3092.4</v>
      </c>
      <c r="AP246" s="51">
        <v>413.8</v>
      </c>
      <c r="AQ246" s="51">
        <v>240.4</v>
      </c>
      <c r="AR246" s="51">
        <v>76</v>
      </c>
      <c r="AS246" s="51">
        <v>136.30000000000001</v>
      </c>
      <c r="AT246" s="51">
        <v>25.5</v>
      </c>
      <c r="AU246" s="51">
        <v>79</v>
      </c>
      <c r="AV246" s="51">
        <v>32.299999999999997</v>
      </c>
      <c r="AW246" s="51">
        <v>21.6</v>
      </c>
      <c r="AX246" s="51">
        <v>7.4</v>
      </c>
      <c r="AY246" s="51" t="s">
        <v>264</v>
      </c>
      <c r="AZ246" s="51" t="s">
        <v>264</v>
      </c>
      <c r="BA246" s="51" t="s">
        <v>264</v>
      </c>
      <c r="BB246" s="51" t="s">
        <v>264</v>
      </c>
      <c r="BC246" s="51"/>
      <c r="BD246" s="53">
        <v>139.69999999999999</v>
      </c>
      <c r="BE246" s="53">
        <v>35.200000000000003</v>
      </c>
      <c r="BF246" s="53">
        <v>64</v>
      </c>
      <c r="BG246" s="53">
        <v>8</v>
      </c>
      <c r="BH246" s="53">
        <v>294.10000000000002</v>
      </c>
      <c r="BI246" s="55"/>
      <c r="BJ246" s="55"/>
      <c r="BK246" s="53">
        <v>202</v>
      </c>
      <c r="BL246" s="53">
        <v>4</v>
      </c>
      <c r="BM246" s="53">
        <v>496.1</v>
      </c>
      <c r="BN246" s="53">
        <v>266.3</v>
      </c>
      <c r="BO246" s="55"/>
      <c r="BP246" s="55"/>
      <c r="BQ246" s="53">
        <v>114.3</v>
      </c>
      <c r="BR246" s="53">
        <v>4.9000000000000004</v>
      </c>
      <c r="BS246" s="53">
        <v>385.5</v>
      </c>
      <c r="BT246" s="52">
        <v>39.200000000000003</v>
      </c>
      <c r="BU246" s="53">
        <v>27.3</v>
      </c>
      <c r="BV246" s="51">
        <v>317.3</v>
      </c>
      <c r="BW246" s="51">
        <v>102.7</v>
      </c>
      <c r="BX246" s="51">
        <v>420</v>
      </c>
      <c r="BY246" s="51">
        <v>39.6</v>
      </c>
      <c r="BZ246" s="51">
        <v>17.100000000000001</v>
      </c>
      <c r="CA246" s="49">
        <v>56.7</v>
      </c>
      <c r="CB246" s="55"/>
      <c r="CC246" s="55"/>
      <c r="CD246" s="55"/>
      <c r="CE246" s="55"/>
      <c r="CF246" s="53">
        <v>102.7</v>
      </c>
      <c r="CG246" s="53">
        <v>117.8</v>
      </c>
      <c r="CH246" s="53">
        <v>7.5</v>
      </c>
      <c r="CI246" s="55"/>
      <c r="CJ246" s="55"/>
      <c r="CK246" s="51">
        <v>318.60000000000002</v>
      </c>
      <c r="CL246" s="51">
        <v>40.6</v>
      </c>
      <c r="CM246" s="51"/>
      <c r="CN246" s="53">
        <v>39.1</v>
      </c>
      <c r="CO246" s="52">
        <v>115.3</v>
      </c>
      <c r="CP246" s="53">
        <v>84.6</v>
      </c>
      <c r="CQ246" s="53">
        <v>30.7</v>
      </c>
      <c r="CR246" s="52" t="s">
        <v>264</v>
      </c>
      <c r="CS246" s="52">
        <v>69.5</v>
      </c>
      <c r="CT246" s="52">
        <v>51.4</v>
      </c>
      <c r="CU246" s="52">
        <v>18.100000000000001</v>
      </c>
      <c r="CV246" s="52">
        <v>39.4</v>
      </c>
      <c r="CW246" s="53">
        <v>8.1999999999999993</v>
      </c>
      <c r="CX246" s="53">
        <v>31.2</v>
      </c>
      <c r="CY246" s="53" t="s">
        <v>264</v>
      </c>
      <c r="CZ246" s="53">
        <v>58.4</v>
      </c>
      <c r="DA246" s="52">
        <v>41</v>
      </c>
      <c r="DB246" s="53">
        <v>39.700000000000003</v>
      </c>
      <c r="DC246" s="53">
        <v>1.3</v>
      </c>
      <c r="DD246" s="55"/>
      <c r="DE246" s="55"/>
      <c r="DF246" s="55"/>
      <c r="DG246" s="55"/>
      <c r="DH246" s="55"/>
      <c r="DI246" s="53">
        <v>652.20000000000005</v>
      </c>
      <c r="DJ246" s="53">
        <v>368.2</v>
      </c>
      <c r="DK246" s="55"/>
      <c r="DL246" s="53">
        <v>147.5</v>
      </c>
      <c r="DM246" s="53">
        <v>271.10000000000002</v>
      </c>
      <c r="DN246" s="55"/>
      <c r="DO246" s="53">
        <v>239.7</v>
      </c>
      <c r="DP246" s="53">
        <v>288.3</v>
      </c>
      <c r="DQ246" s="55"/>
      <c r="DR246" s="55"/>
      <c r="DS246" s="53">
        <v>1023.076</v>
      </c>
      <c r="DT246" s="53">
        <v>4176.8999999999996</v>
      </c>
      <c r="DU246" s="53">
        <v>-1186.8239999999996</v>
      </c>
      <c r="DV246" s="53">
        <v>0</v>
      </c>
      <c r="DW246" s="55"/>
      <c r="DX246" s="55"/>
      <c r="DY246" s="55"/>
      <c r="DZ246" s="55"/>
      <c r="EA246" s="53">
        <v>982.1</v>
      </c>
      <c r="EB246" s="53">
        <v>371.8</v>
      </c>
      <c r="EC246" s="55"/>
      <c r="ED246" s="53">
        <v>167.5</v>
      </c>
      <c r="EE246" s="53">
        <v>80.5</v>
      </c>
      <c r="EF246" s="55"/>
      <c r="EG246" s="53">
        <v>191.2</v>
      </c>
      <c r="EH246" s="53" t="e">
        <v>#VALUE!</v>
      </c>
      <c r="EI246" s="55"/>
      <c r="EJ246" s="55"/>
      <c r="EK246" s="55"/>
      <c r="EL246" s="53">
        <v>4209.3</v>
      </c>
      <c r="EM246" s="55"/>
      <c r="EN246" s="55"/>
      <c r="EO246" s="55"/>
      <c r="EP246" s="55"/>
      <c r="EQ246" s="53">
        <v>253.7</v>
      </c>
      <c r="ER246" s="53">
        <v>138.69999999999999</v>
      </c>
      <c r="ES246" s="55"/>
      <c r="ET246" s="53">
        <v>56.1</v>
      </c>
      <c r="EU246" s="53">
        <v>103.6</v>
      </c>
      <c r="EV246" s="55"/>
      <c r="EW246" s="53">
        <v>93.9</v>
      </c>
      <c r="EX246" s="53">
        <v>105.5</v>
      </c>
      <c r="EY246" s="55"/>
      <c r="EZ246" s="55"/>
      <c r="FA246" s="55"/>
      <c r="FB246" s="53">
        <v>1579.8</v>
      </c>
      <c r="FC246" s="55"/>
      <c r="FD246" s="55"/>
      <c r="FE246" s="55"/>
      <c r="FF246" s="55"/>
      <c r="FG246" s="53">
        <v>517</v>
      </c>
      <c r="FH246" s="53">
        <v>293.2</v>
      </c>
      <c r="FI246" s="55"/>
      <c r="FJ246" s="53">
        <v>117.5</v>
      </c>
      <c r="FK246" s="53">
        <v>216.8</v>
      </c>
      <c r="FL246" s="55"/>
      <c r="FM246" s="53">
        <v>190.7</v>
      </c>
      <c r="FN246" s="53">
        <v>231.2</v>
      </c>
      <c r="FO246" s="55"/>
      <c r="FP246" s="55"/>
      <c r="FQ246" s="55"/>
      <c r="FR246" s="53">
        <v>3341.1</v>
      </c>
      <c r="FS246" s="55"/>
      <c r="FT246" s="55"/>
      <c r="FU246" s="55"/>
      <c r="FV246" s="55"/>
      <c r="FW246" s="53">
        <v>252.4</v>
      </c>
      <c r="FX246" s="53">
        <v>47.8</v>
      </c>
      <c r="FY246" s="55"/>
      <c r="FZ246" s="55"/>
      <c r="GA246" s="53">
        <v>56</v>
      </c>
      <c r="GB246" s="55"/>
      <c r="GC246" s="53" t="e">
        <v>#VALUE!</v>
      </c>
      <c r="GD246" s="53" t="e">
        <v>#VALUE!</v>
      </c>
      <c r="GE246" s="55"/>
      <c r="GF246" s="55"/>
      <c r="GG246" s="55"/>
      <c r="GH246" s="53">
        <v>909.7</v>
      </c>
      <c r="GI246" s="55"/>
      <c r="GJ246" s="55"/>
      <c r="GK246" s="55"/>
      <c r="GL246" s="55"/>
      <c r="GM246" s="53" t="e">
        <v>#VALUE!</v>
      </c>
      <c r="GN246" s="53">
        <v>34</v>
      </c>
      <c r="GO246" s="55"/>
      <c r="GP246" s="53">
        <v>6.9</v>
      </c>
      <c r="GQ246" s="53">
        <v>17.2</v>
      </c>
      <c r="GR246" s="55"/>
      <c r="GS246" s="53" t="e">
        <v>#VALUE!</v>
      </c>
      <c r="GT246" s="53" t="e">
        <v>#VALUE!</v>
      </c>
      <c r="GU246" s="55"/>
      <c r="GV246" s="55"/>
      <c r="GW246" s="55"/>
      <c r="GX246" s="53">
        <v>489.8</v>
      </c>
      <c r="GY246" s="19">
        <v>0.97336219095979359</v>
      </c>
      <c r="GZ246" s="53">
        <v>1169.3</v>
      </c>
      <c r="HA246" s="53">
        <v>1201.3</v>
      </c>
      <c r="HB246" s="55"/>
      <c r="HC246" s="55"/>
      <c r="HD246" s="55"/>
      <c r="HE246" s="55"/>
      <c r="HF246" s="53">
        <v>1400</v>
      </c>
      <c r="HG246" s="53">
        <v>1358.3</v>
      </c>
      <c r="HH246" s="53">
        <v>631.29999999999995</v>
      </c>
      <c r="HI246" s="53">
        <v>122.9</v>
      </c>
      <c r="HJ246" s="53">
        <v>594.5</v>
      </c>
      <c r="HK246" s="53">
        <v>9.6</v>
      </c>
      <c r="HL246" s="53">
        <v>41.7</v>
      </c>
      <c r="HM246" s="55"/>
      <c r="HN246" s="55"/>
      <c r="HO246" s="55"/>
      <c r="HP246" s="53" t="e">
        <v>#VALUE!</v>
      </c>
      <c r="HQ246" s="53">
        <v>4.2</v>
      </c>
      <c r="HR246" s="53">
        <v>8</v>
      </c>
      <c r="HS246" s="53" t="e">
        <v>#VALUE!</v>
      </c>
      <c r="HT246" s="53">
        <v>23.5</v>
      </c>
      <c r="HU246" s="55"/>
      <c r="HV246" s="55"/>
      <c r="HW246" s="53">
        <v>209.2</v>
      </c>
      <c r="HX246" s="53" t="e">
        <v>#VALUE!</v>
      </c>
      <c r="HY246" s="53">
        <v>209.2</v>
      </c>
      <c r="HZ246" s="53">
        <v>19</v>
      </c>
      <c r="IA246" s="53">
        <v>161.4</v>
      </c>
      <c r="IB246" s="53">
        <v>64.900000000000006</v>
      </c>
      <c r="IC246" s="53">
        <v>96.4</v>
      </c>
      <c r="ID246" s="53" t="e">
        <v>#VALUE!</v>
      </c>
      <c r="IE246" s="53" t="e">
        <v>#VALUE!</v>
      </c>
      <c r="IF246" s="53">
        <v>9.1999999999999993</v>
      </c>
      <c r="IG246" s="53">
        <v>12.6</v>
      </c>
      <c r="IH246" s="55"/>
      <c r="II246" s="55"/>
      <c r="IJ246" s="55"/>
      <c r="IK246" s="55"/>
      <c r="IL246" s="55"/>
      <c r="IM246" s="55"/>
      <c r="IN246" s="53">
        <v>61.4</v>
      </c>
      <c r="IO246" s="53">
        <v>63.5</v>
      </c>
      <c r="IP246" s="53" t="e">
        <v>#VALUE!</v>
      </c>
      <c r="IQ246" s="53">
        <v>46.8</v>
      </c>
      <c r="IR246" s="53">
        <v>14</v>
      </c>
      <c r="IS246" s="53" t="e">
        <v>#VALUE!</v>
      </c>
      <c r="IT246" s="53">
        <v>30.9</v>
      </c>
      <c r="IU246" s="53" t="e">
        <v>#VALUE!</v>
      </c>
      <c r="IV246" s="53" t="e">
        <v>#VALUE!</v>
      </c>
      <c r="IY246" s="48">
        <f t="shared" si="11"/>
        <v>47.874739639445529</v>
      </c>
      <c r="IZ246" s="48">
        <f>IY246-'NOPA Crush'!J246</f>
        <v>0.12473963944552935</v>
      </c>
      <c r="JB246" s="63">
        <f t="shared" si="9"/>
        <v>11.346692523163112</v>
      </c>
      <c r="JC246" s="64">
        <f>JB246-'NOPA Crush'!O246</f>
        <v>-3.3074768368877017E-3</v>
      </c>
      <c r="JD246" s="65"/>
      <c r="JE246" s="67">
        <f t="shared" si="10"/>
        <v>1993.2</v>
      </c>
      <c r="JF246" s="68">
        <f>'NOPA Crush'!Q246/'Census Crush'!JE246</f>
        <v>0.79400060204695966</v>
      </c>
    </row>
    <row r="247" spans="1:266">
      <c r="A247" s="39">
        <v>36557</v>
      </c>
      <c r="B247" s="51">
        <v>3763.2</v>
      </c>
      <c r="C247" s="51">
        <v>4132.5</v>
      </c>
      <c r="D247" s="51">
        <v>299.39999999999998</v>
      </c>
      <c r="E247" s="51">
        <v>1367.7</v>
      </c>
      <c r="F247" s="51">
        <v>34.6</v>
      </c>
      <c r="G247" s="51" t="s">
        <v>264</v>
      </c>
      <c r="H247" s="51" t="s">
        <v>264</v>
      </c>
      <c r="I247" s="51" t="s">
        <v>264</v>
      </c>
      <c r="J247" s="51" t="s">
        <v>264</v>
      </c>
      <c r="K247" s="51">
        <v>1417.2</v>
      </c>
      <c r="L247" s="49">
        <v>2058.6999999999998</v>
      </c>
      <c r="M247" s="51">
        <v>1802.1</v>
      </c>
      <c r="N247" s="51">
        <v>256.60000000000002</v>
      </c>
      <c r="O247" s="51">
        <v>93.1</v>
      </c>
      <c r="P247" s="51">
        <v>78.199999999999989</v>
      </c>
      <c r="Q247" s="51">
        <v>30.4</v>
      </c>
      <c r="R247" s="51">
        <v>47.8</v>
      </c>
      <c r="S247" s="51"/>
      <c r="T247" s="51">
        <v>32.1</v>
      </c>
      <c r="U247" s="51">
        <v>21.2</v>
      </c>
      <c r="V247" s="51">
        <v>18.2</v>
      </c>
      <c r="W247" s="51">
        <v>3</v>
      </c>
      <c r="X247" s="51" t="s">
        <v>264</v>
      </c>
      <c r="Y247" s="51">
        <v>16</v>
      </c>
      <c r="Z247" s="49">
        <v>200.1</v>
      </c>
      <c r="AA247" s="51">
        <v>194</v>
      </c>
      <c r="AB247" s="51">
        <v>6.1</v>
      </c>
      <c r="AC247" s="51" t="s">
        <v>264</v>
      </c>
      <c r="AD247" s="51">
        <v>43.7</v>
      </c>
      <c r="AE247" s="51"/>
      <c r="AF247" s="51">
        <v>201.8</v>
      </c>
      <c r="AG247" s="51">
        <v>179</v>
      </c>
      <c r="AH247" s="51">
        <v>22.8</v>
      </c>
      <c r="AI247" s="51">
        <v>185.3</v>
      </c>
      <c r="AJ247" s="51"/>
      <c r="AK247" s="51"/>
      <c r="AL247" s="51">
        <v>222.70000000000002</v>
      </c>
      <c r="AM247" s="51">
        <v>156.30000000000001</v>
      </c>
      <c r="AN247" s="51">
        <v>66.400000000000006</v>
      </c>
      <c r="AO247" s="51">
        <v>2779.3</v>
      </c>
      <c r="AP247" s="51">
        <v>418.6</v>
      </c>
      <c r="AQ247" s="51">
        <v>218.9</v>
      </c>
      <c r="AR247" s="51">
        <v>63.9</v>
      </c>
      <c r="AS247" s="51">
        <v>137.5</v>
      </c>
      <c r="AT247" s="51">
        <v>25.4</v>
      </c>
      <c r="AU247" s="51">
        <v>80.3</v>
      </c>
      <c r="AV247" s="51">
        <v>40.200000000000003</v>
      </c>
      <c r="AW247" s="51">
        <v>18.2</v>
      </c>
      <c r="AX247" s="51">
        <v>5.5</v>
      </c>
      <c r="AY247" s="51" t="s">
        <v>264</v>
      </c>
      <c r="AZ247" s="51" t="s">
        <v>264</v>
      </c>
      <c r="BA247" s="51" t="s">
        <v>264</v>
      </c>
      <c r="BB247" s="51" t="s">
        <v>264</v>
      </c>
      <c r="BC247" s="51"/>
      <c r="BD247" s="53">
        <v>154.80000000000001</v>
      </c>
      <c r="BE247" s="53">
        <v>38.6</v>
      </c>
      <c r="BF247" s="53">
        <v>67.099999999999994</v>
      </c>
      <c r="BG247" s="53">
        <v>6.3</v>
      </c>
      <c r="BH247" s="53">
        <v>312.10000000000002</v>
      </c>
      <c r="BI247" s="55"/>
      <c r="BJ247" s="55"/>
      <c r="BK247" s="53">
        <v>201.6</v>
      </c>
      <c r="BL247" s="53">
        <v>3.4</v>
      </c>
      <c r="BM247" s="53">
        <v>513.70000000000005</v>
      </c>
      <c r="BN247" s="53">
        <v>293.8</v>
      </c>
      <c r="BO247" s="55"/>
      <c r="BP247" s="55"/>
      <c r="BQ247" s="53">
        <v>136.6</v>
      </c>
      <c r="BR247" s="53">
        <v>8.8000000000000007</v>
      </c>
      <c r="BS247" s="53">
        <v>439.2</v>
      </c>
      <c r="BT247" s="52">
        <v>44.2</v>
      </c>
      <c r="BU247" s="53">
        <v>29</v>
      </c>
      <c r="BV247" s="51">
        <v>320.2</v>
      </c>
      <c r="BW247" s="51">
        <v>104.5</v>
      </c>
      <c r="BX247" s="51">
        <v>424.7</v>
      </c>
      <c r="BY247" s="51">
        <v>36.6</v>
      </c>
      <c r="BZ247" s="51">
        <v>21.3</v>
      </c>
      <c r="CA247" s="49">
        <v>57.900000000000006</v>
      </c>
      <c r="CB247" s="55"/>
      <c r="CC247" s="55"/>
      <c r="CD247" s="55"/>
      <c r="CE247" s="55"/>
      <c r="CF247" s="53">
        <v>106.9</v>
      </c>
      <c r="CG247" s="53">
        <v>120</v>
      </c>
      <c r="CH247" s="53">
        <v>8.5</v>
      </c>
      <c r="CI247" s="55"/>
      <c r="CJ247" s="55"/>
      <c r="CK247" s="51">
        <v>324.39999999999998</v>
      </c>
      <c r="CL247" s="51">
        <v>44.5</v>
      </c>
      <c r="CM247" s="51"/>
      <c r="CN247" s="53">
        <v>41</v>
      </c>
      <c r="CO247" s="52">
        <v>91.7</v>
      </c>
      <c r="CP247" s="53">
        <v>57.1</v>
      </c>
      <c r="CQ247" s="53">
        <v>34.6</v>
      </c>
      <c r="CR247" s="52" t="s">
        <v>264</v>
      </c>
      <c r="CS247" s="52">
        <v>75.400000000000006</v>
      </c>
      <c r="CT247" s="52">
        <v>56.6</v>
      </c>
      <c r="CU247" s="52">
        <v>18.8</v>
      </c>
      <c r="CV247" s="52">
        <v>61.2</v>
      </c>
      <c r="CW247" s="53">
        <v>7</v>
      </c>
      <c r="CX247" s="53">
        <v>54.2</v>
      </c>
      <c r="CY247" s="53" t="s">
        <v>264</v>
      </c>
      <c r="CZ247" s="53">
        <v>59.3</v>
      </c>
      <c r="DA247" s="52">
        <v>39.5</v>
      </c>
      <c r="DB247" s="53">
        <v>38.299999999999997</v>
      </c>
      <c r="DC247" s="53">
        <v>1.2</v>
      </c>
      <c r="DD247" s="55"/>
      <c r="DE247" s="55"/>
      <c r="DF247" s="55"/>
      <c r="DG247" s="55"/>
      <c r="DH247" s="55"/>
      <c r="DI247" s="53">
        <v>584.9</v>
      </c>
      <c r="DJ247" s="53">
        <v>337.1</v>
      </c>
      <c r="DK247" s="55"/>
      <c r="DL247" s="53">
        <v>133.80000000000001</v>
      </c>
      <c r="DM247" s="53">
        <v>250.3</v>
      </c>
      <c r="DN247" s="55"/>
      <c r="DO247" s="53">
        <v>210.3</v>
      </c>
      <c r="DP247" s="53">
        <v>274.10000000000002</v>
      </c>
      <c r="DQ247" s="55"/>
      <c r="DR247" s="55"/>
      <c r="DS247" s="53">
        <v>899.447</v>
      </c>
      <c r="DT247" s="53">
        <v>3763.2</v>
      </c>
      <c r="DU247" s="53">
        <v>-1073.2529999999997</v>
      </c>
      <c r="DV247" s="53">
        <v>0</v>
      </c>
      <c r="DW247" s="55"/>
      <c r="DX247" s="55"/>
      <c r="DY247" s="55"/>
      <c r="DZ247" s="55"/>
      <c r="EA247" s="53">
        <v>826.7</v>
      </c>
      <c r="EB247" s="53">
        <v>348.9</v>
      </c>
      <c r="EC247" s="55"/>
      <c r="ED247" s="53">
        <v>144</v>
      </c>
      <c r="EE247" s="53">
        <v>85.7</v>
      </c>
      <c r="EF247" s="55"/>
      <c r="EG247" s="53">
        <v>164.3</v>
      </c>
      <c r="EH247" s="53" t="e">
        <v>#VALUE!</v>
      </c>
      <c r="EI247" s="55"/>
      <c r="EJ247" s="55"/>
      <c r="EK247" s="55"/>
      <c r="EL247" s="53">
        <v>4132.5</v>
      </c>
      <c r="EM247" s="55"/>
      <c r="EN247" s="55"/>
      <c r="EO247" s="55"/>
      <c r="EP247" s="55"/>
      <c r="EQ247" s="53">
        <v>225.4</v>
      </c>
      <c r="ER247" s="53">
        <v>126.4</v>
      </c>
      <c r="ES247" s="55"/>
      <c r="ET247" s="53">
        <v>52</v>
      </c>
      <c r="EU247" s="53">
        <v>97</v>
      </c>
      <c r="EV247" s="55"/>
      <c r="EW247" s="53">
        <v>82.2</v>
      </c>
      <c r="EX247" s="53">
        <v>101.5</v>
      </c>
      <c r="EY247" s="55"/>
      <c r="EZ247" s="55"/>
      <c r="FA247" s="55"/>
      <c r="FB247" s="53">
        <v>1417.2</v>
      </c>
      <c r="FC247" s="55"/>
      <c r="FD247" s="55"/>
      <c r="FE247" s="55"/>
      <c r="FF247" s="55"/>
      <c r="FG247" s="53">
        <v>463.6</v>
      </c>
      <c r="FH247" s="53">
        <v>267.89999999999998</v>
      </c>
      <c r="FI247" s="55"/>
      <c r="FJ247" s="53">
        <v>106.6</v>
      </c>
      <c r="FK247" s="53">
        <v>198.5</v>
      </c>
      <c r="FL247" s="55"/>
      <c r="FM247" s="53">
        <v>167.8</v>
      </c>
      <c r="FN247" s="53">
        <v>219.2</v>
      </c>
      <c r="FO247" s="55"/>
      <c r="FP247" s="55"/>
      <c r="FQ247" s="55"/>
      <c r="FR247" s="53">
        <v>3005.9</v>
      </c>
      <c r="FS247" s="55"/>
      <c r="FT247" s="55"/>
      <c r="FU247" s="55"/>
      <c r="FV247" s="55"/>
      <c r="FW247" s="53">
        <v>261.5</v>
      </c>
      <c r="FX247" s="53">
        <v>57.2</v>
      </c>
      <c r="FY247" s="55"/>
      <c r="FZ247" s="55"/>
      <c r="GA247" s="53">
        <v>61.5</v>
      </c>
      <c r="GB247" s="55"/>
      <c r="GC247" s="53" t="e">
        <v>#VALUE!</v>
      </c>
      <c r="GD247" s="53" t="e">
        <v>#VALUE!</v>
      </c>
      <c r="GE247" s="55"/>
      <c r="GF247" s="55"/>
      <c r="GG247" s="55"/>
      <c r="GH247" s="53">
        <v>946.4</v>
      </c>
      <c r="GI247" s="55"/>
      <c r="GJ247" s="55"/>
      <c r="GK247" s="55"/>
      <c r="GL247" s="55"/>
      <c r="GM247" s="53" t="e">
        <v>#VALUE!</v>
      </c>
      <c r="GN247" s="53">
        <v>30.5</v>
      </c>
      <c r="GO247" s="55"/>
      <c r="GP247" s="53">
        <v>9.1999999999999993</v>
      </c>
      <c r="GQ247" s="53">
        <v>15.4</v>
      </c>
      <c r="GR247" s="55"/>
      <c r="GS247" s="53" t="e">
        <v>#VALUE!</v>
      </c>
      <c r="GT247" s="53" t="e">
        <v>#VALUE!</v>
      </c>
      <c r="GU247" s="55"/>
      <c r="GV247" s="55"/>
      <c r="GW247" s="55"/>
      <c r="GX247" s="53">
        <v>482.5</v>
      </c>
      <c r="GY247" s="19">
        <v>0.97737250928740271</v>
      </c>
      <c r="GZ247" s="53">
        <v>1157.5999999999999</v>
      </c>
      <c r="HA247" s="53">
        <v>1184.4000000000001</v>
      </c>
      <c r="HB247" s="55"/>
      <c r="HC247" s="55"/>
      <c r="HD247" s="55"/>
      <c r="HE247" s="55"/>
      <c r="HF247" s="53">
        <v>1336.9</v>
      </c>
      <c r="HG247" s="53">
        <v>1286.3</v>
      </c>
      <c r="HH247" s="53">
        <v>586</v>
      </c>
      <c r="HI247" s="53">
        <v>130.9</v>
      </c>
      <c r="HJ247" s="53">
        <v>558.20000000000005</v>
      </c>
      <c r="HK247" s="53">
        <v>11.2</v>
      </c>
      <c r="HL247" s="53">
        <v>50.6</v>
      </c>
      <c r="HM247" s="55"/>
      <c r="HN247" s="55"/>
      <c r="HO247" s="55"/>
      <c r="HP247" s="53" t="e">
        <v>#VALUE!</v>
      </c>
      <c r="HQ247" s="53">
        <v>4.8</v>
      </c>
      <c r="HR247" s="53">
        <v>8.5</v>
      </c>
      <c r="HS247" s="53" t="e">
        <v>#VALUE!</v>
      </c>
      <c r="HT247" s="53">
        <v>28.1</v>
      </c>
      <c r="HU247" s="55"/>
      <c r="HV247" s="55"/>
      <c r="HW247" s="53">
        <v>206</v>
      </c>
      <c r="HX247" s="53" t="e">
        <v>#VALUE!</v>
      </c>
      <c r="HY247" s="53">
        <v>206</v>
      </c>
      <c r="HZ247" s="53" t="e">
        <v>#VALUE!</v>
      </c>
      <c r="IA247" s="53">
        <v>163.6</v>
      </c>
      <c r="IB247" s="53">
        <v>67.900000000000006</v>
      </c>
      <c r="IC247" s="53">
        <v>95.8</v>
      </c>
      <c r="ID247" s="53" t="e">
        <v>#VALUE!</v>
      </c>
      <c r="IE247" s="53" t="e">
        <v>#VALUE!</v>
      </c>
      <c r="IF247" s="53">
        <v>8.9</v>
      </c>
      <c r="IG247" s="53" t="e">
        <v>#VALUE!</v>
      </c>
      <c r="IH247" s="55"/>
      <c r="II247" s="55"/>
      <c r="IJ247" s="55"/>
      <c r="IK247" s="55"/>
      <c r="IL247" s="55"/>
      <c r="IM247" s="55"/>
      <c r="IN247" s="53">
        <v>60.6</v>
      </c>
      <c r="IO247" s="53">
        <v>65.099999999999994</v>
      </c>
      <c r="IP247" s="53" t="e">
        <v>#VALUE!</v>
      </c>
      <c r="IQ247" s="53">
        <v>48</v>
      </c>
      <c r="IR247" s="53">
        <v>17.5</v>
      </c>
      <c r="IS247" s="53" t="e">
        <v>#VALUE!</v>
      </c>
      <c r="IT247" s="53">
        <v>28.3</v>
      </c>
      <c r="IU247" s="53" t="e">
        <v>#VALUE!</v>
      </c>
      <c r="IV247" s="53" t="e">
        <v>#VALUE!</v>
      </c>
      <c r="IY247" s="48">
        <f t="shared" si="11"/>
        <v>47.80293367346939</v>
      </c>
      <c r="IZ247" s="48">
        <f>IY247-'NOPA Crush'!J247</f>
        <v>1.2933673469390783E-2</v>
      </c>
      <c r="JB247" s="63">
        <f t="shared" si="9"/>
        <v>11.297831632653061</v>
      </c>
      <c r="JC247" s="64">
        <f>JB247-'NOPA Crush'!O247</f>
        <v>-0.11216836734693914</v>
      </c>
      <c r="JD247" s="65"/>
      <c r="JE247" s="67">
        <f t="shared" si="10"/>
        <v>2058.6999999999998</v>
      </c>
      <c r="JF247" s="68">
        <f>'NOPA Crush'!Q247/'Census Crush'!JE247</f>
        <v>0.80756739690095702</v>
      </c>
    </row>
    <row r="248" spans="1:266">
      <c r="A248" s="39">
        <v>36586</v>
      </c>
      <c r="B248" s="51">
        <v>3913.4</v>
      </c>
      <c r="C248" s="51">
        <v>3887.9</v>
      </c>
      <c r="D248" s="51">
        <v>297.7</v>
      </c>
      <c r="E248" s="51">
        <v>1098.5999999999999</v>
      </c>
      <c r="F248" s="51">
        <v>32.4</v>
      </c>
      <c r="G248" s="51" t="s">
        <v>264</v>
      </c>
      <c r="H248" s="51" t="s">
        <v>264</v>
      </c>
      <c r="I248" s="51" t="s">
        <v>264</v>
      </c>
      <c r="J248" s="51" t="s">
        <v>264</v>
      </c>
      <c r="K248" s="51">
        <v>1481.8</v>
      </c>
      <c r="L248" s="49">
        <v>2076.6</v>
      </c>
      <c r="M248" s="51">
        <v>1831.9</v>
      </c>
      <c r="N248" s="51">
        <v>244.7</v>
      </c>
      <c r="O248" s="51">
        <v>92.7</v>
      </c>
      <c r="P248" s="51">
        <v>110.2</v>
      </c>
      <c r="Q248" s="51">
        <v>25.8</v>
      </c>
      <c r="R248" s="51">
        <v>84.4</v>
      </c>
      <c r="S248" s="51"/>
      <c r="T248" s="51">
        <v>27.4</v>
      </c>
      <c r="U248" s="51">
        <v>27.3</v>
      </c>
      <c r="V248" s="51">
        <v>25.2</v>
      </c>
      <c r="W248" s="51">
        <v>2.1</v>
      </c>
      <c r="X248" s="51" t="s">
        <v>264</v>
      </c>
      <c r="Y248" s="51" t="s">
        <v>264</v>
      </c>
      <c r="Z248" s="49">
        <v>206.4</v>
      </c>
      <c r="AA248" s="51">
        <v>195.3</v>
      </c>
      <c r="AB248" s="51">
        <v>11.1</v>
      </c>
      <c r="AC248" s="51" t="s">
        <v>264</v>
      </c>
      <c r="AD248" s="51">
        <v>45.9</v>
      </c>
      <c r="AE248" s="51"/>
      <c r="AF248" s="51">
        <v>202</v>
      </c>
      <c r="AG248" s="51">
        <v>182.8</v>
      </c>
      <c r="AH248" s="51">
        <v>19.2</v>
      </c>
      <c r="AI248" s="51">
        <v>212.7</v>
      </c>
      <c r="AJ248" s="51"/>
      <c r="AK248" s="51"/>
      <c r="AL248" s="51">
        <v>251</v>
      </c>
      <c r="AM248" s="51">
        <v>168.8</v>
      </c>
      <c r="AN248" s="51">
        <v>82.2</v>
      </c>
      <c r="AO248" s="51">
        <v>2900.4</v>
      </c>
      <c r="AP248" s="51">
        <v>311.2</v>
      </c>
      <c r="AQ248" s="51">
        <v>223.2</v>
      </c>
      <c r="AR248" s="51">
        <v>39</v>
      </c>
      <c r="AS248" s="51">
        <v>138.80000000000001</v>
      </c>
      <c r="AT248" s="51">
        <v>39.9</v>
      </c>
      <c r="AU248" s="51">
        <v>76</v>
      </c>
      <c r="AV248" s="51">
        <v>39.5</v>
      </c>
      <c r="AW248" s="51">
        <v>17.7</v>
      </c>
      <c r="AX248" s="51">
        <v>8.8000000000000007</v>
      </c>
      <c r="AY248" s="51" t="s">
        <v>264</v>
      </c>
      <c r="AZ248" s="51" t="s">
        <v>264</v>
      </c>
      <c r="BA248" s="51" t="s">
        <v>264</v>
      </c>
      <c r="BB248" s="51" t="s">
        <v>264</v>
      </c>
      <c r="BC248" s="51"/>
      <c r="BD248" s="53">
        <v>160.4</v>
      </c>
      <c r="BE248" s="53">
        <v>39.200000000000003</v>
      </c>
      <c r="BF248" s="53">
        <v>69.400000000000006</v>
      </c>
      <c r="BG248" s="53">
        <v>6</v>
      </c>
      <c r="BH248" s="53">
        <v>324</v>
      </c>
      <c r="BI248" s="55"/>
      <c r="BJ248" s="55"/>
      <c r="BK248" s="53">
        <v>234.7</v>
      </c>
      <c r="BL248" s="53">
        <v>4.2</v>
      </c>
      <c r="BM248" s="53">
        <v>558.6</v>
      </c>
      <c r="BN248" s="53">
        <v>332.9</v>
      </c>
      <c r="BO248" s="55"/>
      <c r="BP248" s="55"/>
      <c r="BQ248" s="53">
        <v>151.69999999999999</v>
      </c>
      <c r="BR248" s="53">
        <v>0</v>
      </c>
      <c r="BS248" s="53">
        <v>484.59999999999997</v>
      </c>
      <c r="BT248" s="52">
        <v>41.9</v>
      </c>
      <c r="BU248" s="53">
        <v>29.8</v>
      </c>
      <c r="BV248" s="51">
        <v>342</v>
      </c>
      <c r="BW248" s="51">
        <v>112.8</v>
      </c>
      <c r="BX248" s="51">
        <v>454.8</v>
      </c>
      <c r="BY248" s="51">
        <v>34.5</v>
      </c>
      <c r="BZ248" s="51">
        <v>15.8</v>
      </c>
      <c r="CA248" s="49">
        <v>50.3</v>
      </c>
      <c r="CB248" s="55"/>
      <c r="CC248" s="55"/>
      <c r="CD248" s="55"/>
      <c r="CE248" s="55"/>
      <c r="CF248" s="53">
        <v>116.2</v>
      </c>
      <c r="CG248" s="53">
        <v>125.2</v>
      </c>
      <c r="CH248" s="53">
        <v>7.7</v>
      </c>
      <c r="CI248" s="55"/>
      <c r="CJ248" s="55"/>
      <c r="CK248" s="51">
        <v>350.5</v>
      </c>
      <c r="CL248" s="51">
        <v>44.3</v>
      </c>
      <c r="CM248" s="51"/>
      <c r="CN248" s="53">
        <v>36.799999999999997</v>
      </c>
      <c r="CO248" s="52">
        <v>89.2</v>
      </c>
      <c r="CP248" s="53">
        <v>67.400000000000006</v>
      </c>
      <c r="CQ248" s="53">
        <v>21.8</v>
      </c>
      <c r="CR248" s="52" t="s">
        <v>264</v>
      </c>
      <c r="CS248" s="52">
        <v>53.9</v>
      </c>
      <c r="CT248" s="52">
        <v>35.299999999999997</v>
      </c>
      <c r="CU248" s="52">
        <v>18.600000000000001</v>
      </c>
      <c r="CV248" s="52">
        <v>67.8</v>
      </c>
      <c r="CW248" s="53">
        <v>13.4</v>
      </c>
      <c r="CX248" s="53">
        <v>54.4</v>
      </c>
      <c r="CY248" s="53" t="s">
        <v>264</v>
      </c>
      <c r="CZ248" s="53">
        <v>71.3</v>
      </c>
      <c r="DA248" s="52">
        <v>43.3</v>
      </c>
      <c r="DB248" s="53">
        <v>41.5</v>
      </c>
      <c r="DC248" s="53">
        <v>1.8</v>
      </c>
      <c r="DD248" s="55"/>
      <c r="DE248" s="55"/>
      <c r="DF248" s="55"/>
      <c r="DG248" s="55"/>
      <c r="DH248" s="55"/>
      <c r="DI248" s="53">
        <v>596.4</v>
      </c>
      <c r="DJ248" s="53">
        <v>340.5</v>
      </c>
      <c r="DK248" s="55"/>
      <c r="DL248" s="55"/>
      <c r="DM248" s="53">
        <v>365.5</v>
      </c>
      <c r="DN248" s="55"/>
      <c r="DO248" s="53">
        <v>226.5</v>
      </c>
      <c r="DP248" s="53">
        <v>305.10000000000002</v>
      </c>
      <c r="DQ248" s="55"/>
      <c r="DR248" s="55"/>
      <c r="DS248" s="53">
        <v>941.04</v>
      </c>
      <c r="DT248" s="53">
        <v>3913.4</v>
      </c>
      <c r="DU248" s="53">
        <v>-1138.3600000000001</v>
      </c>
      <c r="DV248" s="53">
        <v>0</v>
      </c>
      <c r="DW248" s="55"/>
      <c r="DX248" s="55"/>
      <c r="DY248" s="55"/>
      <c r="DZ248" s="55"/>
      <c r="EA248" s="53">
        <v>733.6</v>
      </c>
      <c r="EB248" s="53">
        <v>378.1</v>
      </c>
      <c r="EC248" s="55"/>
      <c r="ED248" s="53">
        <v>155.69999999999999</v>
      </c>
      <c r="EE248" s="53">
        <v>93.7</v>
      </c>
      <c r="EF248" s="55"/>
      <c r="EG248" s="53">
        <v>158.30000000000001</v>
      </c>
      <c r="EH248" s="53" t="e">
        <v>#VALUE!</v>
      </c>
      <c r="EI248" s="55"/>
      <c r="EJ248" s="55"/>
      <c r="EK248" s="55"/>
      <c r="EL248" s="53">
        <v>3887.9</v>
      </c>
      <c r="EM248" s="55"/>
      <c r="EN248" s="55"/>
      <c r="EO248" s="55"/>
      <c r="EP248" s="55"/>
      <c r="EQ248" s="53">
        <v>232.1</v>
      </c>
      <c r="ER248" s="53">
        <v>129.1</v>
      </c>
      <c r="ES248" s="55"/>
      <c r="ET248" s="53" t="e">
        <v>#VALUE!</v>
      </c>
      <c r="EU248" s="53">
        <v>102</v>
      </c>
      <c r="EV248" s="55"/>
      <c r="EW248" s="53">
        <v>87.1</v>
      </c>
      <c r="EX248" s="53">
        <v>112.2</v>
      </c>
      <c r="EY248" s="55"/>
      <c r="EZ248" s="55"/>
      <c r="FA248" s="55"/>
      <c r="FB248" s="53">
        <v>1481.8</v>
      </c>
      <c r="FC248" s="55"/>
      <c r="FD248" s="55"/>
      <c r="FE248" s="55"/>
      <c r="FF248" s="55"/>
      <c r="FG248" s="53">
        <v>471.5</v>
      </c>
      <c r="FH248" s="53">
        <v>278.3</v>
      </c>
      <c r="FI248" s="55"/>
      <c r="FJ248" s="53" t="e">
        <v>#VALUE!</v>
      </c>
      <c r="FK248" s="53">
        <v>211.9</v>
      </c>
      <c r="FL248" s="55"/>
      <c r="FM248" s="53">
        <v>181.3</v>
      </c>
      <c r="FN248" s="53">
        <v>245.6</v>
      </c>
      <c r="FO248" s="55"/>
      <c r="FP248" s="55"/>
      <c r="FQ248" s="55"/>
      <c r="FR248" s="53">
        <v>3132.7</v>
      </c>
      <c r="FS248" s="55"/>
      <c r="FT248" s="55"/>
      <c r="FU248" s="55"/>
      <c r="FV248" s="55"/>
      <c r="FW248" s="53">
        <v>282.5</v>
      </c>
      <c r="FX248" s="53" t="e">
        <v>#VALUE!</v>
      </c>
      <c r="FY248" s="55"/>
      <c r="FZ248" s="55"/>
      <c r="GA248" s="53">
        <v>67.7</v>
      </c>
      <c r="GB248" s="55"/>
      <c r="GC248" s="53" t="e">
        <v>#VALUE!</v>
      </c>
      <c r="GD248" s="53" t="e">
        <v>#VALUE!</v>
      </c>
      <c r="GE248" s="55"/>
      <c r="GF248" s="55"/>
      <c r="GG248" s="55"/>
      <c r="GH248" s="53">
        <v>961.9</v>
      </c>
      <c r="GI248" s="55"/>
      <c r="GJ248" s="55"/>
      <c r="GK248" s="55"/>
      <c r="GL248" s="55"/>
      <c r="GM248" s="53" t="e">
        <v>#VALUE!</v>
      </c>
      <c r="GN248" s="53" t="e">
        <v>#VALUE!</v>
      </c>
      <c r="GO248" s="55"/>
      <c r="GP248" s="53">
        <v>5.3</v>
      </c>
      <c r="GQ248" s="53">
        <v>12.4</v>
      </c>
      <c r="GR248" s="55"/>
      <c r="GS248" s="53" t="e">
        <v>#VALUE!</v>
      </c>
      <c r="GT248" s="53" t="e">
        <v>#VALUE!</v>
      </c>
      <c r="GU248" s="55"/>
      <c r="GV248" s="55"/>
      <c r="GW248" s="55"/>
      <c r="GX248" s="53">
        <v>350.1</v>
      </c>
      <c r="GY248" s="19">
        <v>0.97564491654021246</v>
      </c>
      <c r="GZ248" s="53">
        <v>1285.9000000000001</v>
      </c>
      <c r="HA248" s="53">
        <v>1318</v>
      </c>
      <c r="HB248" s="55"/>
      <c r="HC248" s="55"/>
      <c r="HD248" s="55"/>
      <c r="HE248" s="55"/>
      <c r="HF248" s="53">
        <v>1505</v>
      </c>
      <c r="HG248" s="53">
        <v>1455.1</v>
      </c>
      <c r="HH248" s="53">
        <v>636.70000000000005</v>
      </c>
      <c r="HI248" s="53">
        <v>151.30000000000001</v>
      </c>
      <c r="HJ248" s="53">
        <v>654.70000000000005</v>
      </c>
      <c r="HK248" s="53">
        <v>12.4</v>
      </c>
      <c r="HL248" s="53">
        <v>49.9</v>
      </c>
      <c r="HM248" s="55"/>
      <c r="HN248" s="55"/>
      <c r="HO248" s="55"/>
      <c r="HP248" s="53" t="e">
        <v>#VALUE!</v>
      </c>
      <c r="HQ248" s="53">
        <v>6.4</v>
      </c>
      <c r="HR248" s="53">
        <v>8.6999999999999993</v>
      </c>
      <c r="HS248" s="53" t="e">
        <v>#VALUE!</v>
      </c>
      <c r="HT248" s="53">
        <v>28.8</v>
      </c>
      <c r="HU248" s="55"/>
      <c r="HV248" s="55"/>
      <c r="HW248" s="53">
        <v>227.5</v>
      </c>
      <c r="HX248" s="53" t="e">
        <v>#VALUE!</v>
      </c>
      <c r="HY248" s="53">
        <v>227.5</v>
      </c>
      <c r="HZ248" s="53" t="e">
        <v>#VALUE!</v>
      </c>
      <c r="IA248" s="53">
        <v>184.7</v>
      </c>
      <c r="IB248" s="53">
        <v>71.2</v>
      </c>
      <c r="IC248" s="53">
        <v>113.5</v>
      </c>
      <c r="ID248" s="53" t="e">
        <v>#VALUE!</v>
      </c>
      <c r="IE248" s="53" t="e">
        <v>#VALUE!</v>
      </c>
      <c r="IF248" s="53">
        <v>11.4</v>
      </c>
      <c r="IG248" s="53" t="e">
        <v>#VALUE!</v>
      </c>
      <c r="IH248" s="55"/>
      <c r="II248" s="55"/>
      <c r="IJ248" s="55"/>
      <c r="IK248" s="55"/>
      <c r="IL248" s="55"/>
      <c r="IM248" s="55"/>
      <c r="IN248" s="53">
        <v>69.7</v>
      </c>
      <c r="IO248" s="53">
        <v>70.8</v>
      </c>
      <c r="IP248" s="53" t="e">
        <v>#VALUE!</v>
      </c>
      <c r="IQ248" s="53">
        <v>47.1</v>
      </c>
      <c r="IR248" s="53">
        <v>13.9</v>
      </c>
      <c r="IS248" s="53" t="e">
        <v>#VALUE!</v>
      </c>
      <c r="IT248" s="53">
        <v>30.9</v>
      </c>
      <c r="IU248" s="53" t="e">
        <v>#VALUE!</v>
      </c>
      <c r="IV248" s="53" t="e">
        <v>#VALUE!</v>
      </c>
      <c r="IY248" s="48">
        <f t="shared" si="11"/>
        <v>47.890836612664181</v>
      </c>
      <c r="IZ248" s="48">
        <f>IY248-'NOPA Crush'!J248</f>
        <v>0.10083661266418176</v>
      </c>
      <c r="JB248" s="63">
        <f t="shared" si="9"/>
        <v>11.359431696223233</v>
      </c>
      <c r="JC248" s="64">
        <f>JB248-'NOPA Crush'!O248</f>
        <v>-8.0568303776766825E-2</v>
      </c>
      <c r="JD248" s="65"/>
      <c r="JE248" s="67">
        <f t="shared" si="10"/>
        <v>2076.6</v>
      </c>
      <c r="JF248" s="68">
        <f>'NOPA Crush'!Q248/'Census Crush'!JE248</f>
        <v>0.78469613791775017</v>
      </c>
    </row>
    <row r="249" spans="1:266">
      <c r="A249" s="39">
        <v>36617</v>
      </c>
      <c r="B249" s="51">
        <v>3645</v>
      </c>
      <c r="C249" s="51">
        <v>2960.2</v>
      </c>
      <c r="D249" s="51">
        <v>263.5</v>
      </c>
      <c r="E249" s="51">
        <v>864.6</v>
      </c>
      <c r="F249" s="51">
        <v>37.6</v>
      </c>
      <c r="G249" s="51" t="s">
        <v>264</v>
      </c>
      <c r="H249" s="51" t="s">
        <v>264</v>
      </c>
      <c r="I249" s="51" t="s">
        <v>264</v>
      </c>
      <c r="J249" s="51" t="s">
        <v>264</v>
      </c>
      <c r="K249" s="51">
        <v>1367.9</v>
      </c>
      <c r="L249" s="49">
        <v>2092.9</v>
      </c>
      <c r="M249" s="51">
        <v>1841.4</v>
      </c>
      <c r="N249" s="51">
        <v>251.5</v>
      </c>
      <c r="O249" s="51">
        <v>82</v>
      </c>
      <c r="P249" s="51">
        <v>122.69999999999999</v>
      </c>
      <c r="Q249" s="51">
        <v>25.9</v>
      </c>
      <c r="R249" s="51">
        <v>96.8</v>
      </c>
      <c r="S249" s="51"/>
      <c r="T249" s="51">
        <v>31.9</v>
      </c>
      <c r="U249" s="51">
        <v>29.9</v>
      </c>
      <c r="V249" s="51">
        <v>26.2</v>
      </c>
      <c r="W249" s="51">
        <v>3.7</v>
      </c>
      <c r="X249" s="51" t="s">
        <v>264</v>
      </c>
      <c r="Y249" s="51">
        <v>15.2</v>
      </c>
      <c r="Z249" s="49">
        <v>224.3</v>
      </c>
      <c r="AA249" s="51">
        <v>214.3</v>
      </c>
      <c r="AB249" s="51">
        <v>10</v>
      </c>
      <c r="AC249" s="51" t="s">
        <v>264</v>
      </c>
      <c r="AD249" s="51">
        <v>40</v>
      </c>
      <c r="AE249" s="51"/>
      <c r="AF249" s="51">
        <v>197.4</v>
      </c>
      <c r="AG249" s="51">
        <v>173.8</v>
      </c>
      <c r="AH249" s="51">
        <v>23.6</v>
      </c>
      <c r="AI249" s="51">
        <v>209.9</v>
      </c>
      <c r="AJ249" s="51"/>
      <c r="AK249" s="51"/>
      <c r="AL249" s="51">
        <v>267.2</v>
      </c>
      <c r="AM249" s="51">
        <v>171.2</v>
      </c>
      <c r="AN249" s="51">
        <v>96</v>
      </c>
      <c r="AO249" s="51">
        <v>2697.7</v>
      </c>
      <c r="AP249" s="51">
        <v>384.6</v>
      </c>
      <c r="AQ249" s="51">
        <v>208.4</v>
      </c>
      <c r="AR249" s="51">
        <v>56.6</v>
      </c>
      <c r="AS249" s="51">
        <v>119.2</v>
      </c>
      <c r="AT249" s="51">
        <v>63</v>
      </c>
      <c r="AU249" s="51">
        <v>67.3</v>
      </c>
      <c r="AV249" s="51">
        <v>45.8</v>
      </c>
      <c r="AW249" s="51">
        <v>20.6</v>
      </c>
      <c r="AX249" s="51">
        <v>7</v>
      </c>
      <c r="AY249" s="51" t="s">
        <v>264</v>
      </c>
      <c r="AZ249" s="51" t="s">
        <v>264</v>
      </c>
      <c r="BA249" s="51" t="s">
        <v>264</v>
      </c>
      <c r="BB249" s="51" t="s">
        <v>264</v>
      </c>
      <c r="BC249" s="51"/>
      <c r="BD249" s="53">
        <v>129.80000000000001</v>
      </c>
      <c r="BE249" s="53">
        <v>38</v>
      </c>
      <c r="BF249" s="53">
        <v>59.8</v>
      </c>
      <c r="BG249" s="53">
        <v>7.7</v>
      </c>
      <c r="BH249" s="53">
        <v>266.5</v>
      </c>
      <c r="BI249" s="55"/>
      <c r="BJ249" s="55"/>
      <c r="BK249" s="53">
        <v>198.4</v>
      </c>
      <c r="BL249" s="53">
        <v>5</v>
      </c>
      <c r="BM249" s="53">
        <v>464.9</v>
      </c>
      <c r="BN249" s="53">
        <v>285.5</v>
      </c>
      <c r="BO249" s="55"/>
      <c r="BP249" s="55"/>
      <c r="BQ249" s="53">
        <v>151.4</v>
      </c>
      <c r="BR249" s="53">
        <v>4.7</v>
      </c>
      <c r="BS249" s="53">
        <v>441.59999999999997</v>
      </c>
      <c r="BT249" s="52">
        <v>40.700000000000003</v>
      </c>
      <c r="BU249" s="53">
        <v>20</v>
      </c>
      <c r="BV249" s="51">
        <v>284.7</v>
      </c>
      <c r="BW249" s="51">
        <v>93.9</v>
      </c>
      <c r="BX249" s="51">
        <v>378.6</v>
      </c>
      <c r="BY249" s="51">
        <v>33.200000000000003</v>
      </c>
      <c r="BZ249" s="51">
        <v>16.2</v>
      </c>
      <c r="CA249" s="49">
        <v>49.400000000000006</v>
      </c>
      <c r="CB249" s="55"/>
      <c r="CC249" s="55"/>
      <c r="CD249" s="55"/>
      <c r="CE249" s="55"/>
      <c r="CF249" s="53">
        <v>100.9</v>
      </c>
      <c r="CG249" s="53">
        <v>126.2</v>
      </c>
      <c r="CH249" s="53">
        <v>10.7</v>
      </c>
      <c r="CI249" s="55"/>
      <c r="CJ249" s="55"/>
      <c r="CK249" s="51">
        <v>306.60000000000002</v>
      </c>
      <c r="CL249" s="51">
        <v>43.5</v>
      </c>
      <c r="CM249" s="51"/>
      <c r="CN249" s="53">
        <v>36.6</v>
      </c>
      <c r="CO249" s="52">
        <v>102.30000000000001</v>
      </c>
      <c r="CP249" s="53">
        <v>77.2</v>
      </c>
      <c r="CQ249" s="53">
        <v>25.1</v>
      </c>
      <c r="CR249" s="52" t="s">
        <v>264</v>
      </c>
      <c r="CS249" s="52">
        <v>49</v>
      </c>
      <c r="CT249" s="52">
        <v>30.3</v>
      </c>
      <c r="CU249" s="52">
        <v>18.7</v>
      </c>
      <c r="CV249" s="52">
        <v>62.8</v>
      </c>
      <c r="CW249" s="53">
        <v>10</v>
      </c>
      <c r="CX249" s="53">
        <v>52.8</v>
      </c>
      <c r="CY249" s="53" t="s">
        <v>264</v>
      </c>
      <c r="CZ249" s="53">
        <v>78.900000000000006</v>
      </c>
      <c r="DA249" s="52">
        <v>56.199999999999996</v>
      </c>
      <c r="DB249" s="53">
        <v>54.9</v>
      </c>
      <c r="DC249" s="53">
        <v>1.3</v>
      </c>
      <c r="DD249" s="55"/>
      <c r="DE249" s="55"/>
      <c r="DF249" s="55"/>
      <c r="DG249" s="55"/>
      <c r="DH249" s="55"/>
      <c r="DI249" s="53">
        <v>555.9</v>
      </c>
      <c r="DJ249" s="53">
        <v>309.10000000000002</v>
      </c>
      <c r="DK249" s="55"/>
      <c r="DL249" s="55"/>
      <c r="DM249" s="53">
        <v>241.1</v>
      </c>
      <c r="DN249" s="55"/>
      <c r="DO249" s="53">
        <v>203.7</v>
      </c>
      <c r="DP249" s="53">
        <v>271.5</v>
      </c>
      <c r="DQ249" s="55"/>
      <c r="DR249" s="55"/>
      <c r="DS249" s="53">
        <v>872.78</v>
      </c>
      <c r="DT249" s="53">
        <v>3645</v>
      </c>
      <c r="DU249" s="53">
        <v>-1190.92</v>
      </c>
      <c r="DV249" s="53">
        <v>0</v>
      </c>
      <c r="DW249" s="55"/>
      <c r="DX249" s="55"/>
      <c r="DY249" s="55"/>
      <c r="DZ249" s="55"/>
      <c r="EA249" s="53">
        <v>489.8</v>
      </c>
      <c r="EB249" s="53">
        <v>294.7</v>
      </c>
      <c r="EC249" s="55"/>
      <c r="ED249" s="53">
        <v>129.69999999999999</v>
      </c>
      <c r="EE249" s="53">
        <v>81.7</v>
      </c>
      <c r="EF249" s="55"/>
      <c r="EG249" s="53">
        <v>93.8</v>
      </c>
      <c r="EH249" s="53" t="e">
        <v>#VALUE!</v>
      </c>
      <c r="EI249" s="55"/>
      <c r="EJ249" s="55"/>
      <c r="EK249" s="55"/>
      <c r="EL249" s="53">
        <v>2960.2</v>
      </c>
      <c r="EM249" s="55"/>
      <c r="EN249" s="55"/>
      <c r="EO249" s="55"/>
      <c r="EP249" s="55"/>
      <c r="EQ249" s="53">
        <v>216.1</v>
      </c>
      <c r="ER249" s="53">
        <v>117.4</v>
      </c>
      <c r="ES249" s="55"/>
      <c r="ET249" s="53" t="e">
        <v>#VALUE!</v>
      </c>
      <c r="EU249" s="53">
        <v>93.1</v>
      </c>
      <c r="EV249" s="55"/>
      <c r="EW249" s="53">
        <v>66</v>
      </c>
      <c r="EX249" s="53">
        <v>99.7</v>
      </c>
      <c r="EY249" s="55"/>
      <c r="EZ249" s="55"/>
      <c r="FA249" s="55"/>
      <c r="FB249" s="53">
        <v>1367.9</v>
      </c>
      <c r="FC249" s="55"/>
      <c r="FD249" s="55"/>
      <c r="FE249" s="55"/>
      <c r="FF249" s="55"/>
      <c r="FG249" s="53">
        <v>442.3</v>
      </c>
      <c r="FH249" s="53">
        <v>246.7</v>
      </c>
      <c r="FI249" s="55"/>
      <c r="FJ249" s="53" t="e">
        <v>#VALUE!</v>
      </c>
      <c r="FK249" s="53">
        <v>192.5</v>
      </c>
      <c r="FL249" s="55"/>
      <c r="FM249" s="53">
        <v>162.4</v>
      </c>
      <c r="FN249" s="53">
        <v>217.9</v>
      </c>
      <c r="FO249" s="55"/>
      <c r="FP249" s="55"/>
      <c r="FQ249" s="55"/>
      <c r="FR249" s="53">
        <v>2914.2</v>
      </c>
      <c r="FS249" s="55"/>
      <c r="FT249" s="55"/>
      <c r="FU249" s="55"/>
      <c r="FV249" s="55"/>
      <c r="FW249" s="53">
        <v>293.39999999999998</v>
      </c>
      <c r="FX249" s="53" t="e">
        <v>#VALUE!</v>
      </c>
      <c r="FY249" s="55"/>
      <c r="FZ249" s="55"/>
      <c r="GA249" s="53">
        <v>64.599999999999994</v>
      </c>
      <c r="GB249" s="55"/>
      <c r="GC249" s="53">
        <v>66.7</v>
      </c>
      <c r="GD249" s="53" t="e">
        <v>#VALUE!</v>
      </c>
      <c r="GE249" s="55"/>
      <c r="GF249" s="55"/>
      <c r="GG249" s="55"/>
      <c r="GH249" s="53">
        <v>1005.3</v>
      </c>
      <c r="GI249" s="55"/>
      <c r="GJ249" s="55"/>
      <c r="GK249" s="55"/>
      <c r="GL249" s="55"/>
      <c r="GM249" s="53" t="e">
        <v>#VALUE!</v>
      </c>
      <c r="GN249" s="53">
        <v>40.799999999999997</v>
      </c>
      <c r="GO249" s="55"/>
      <c r="GP249" s="53">
        <v>10.7</v>
      </c>
      <c r="GQ249" s="53">
        <v>26.1</v>
      </c>
      <c r="GR249" s="55"/>
      <c r="GS249" s="53" t="e">
        <v>#VALUE!</v>
      </c>
      <c r="GT249" s="53" t="e">
        <v>#VALUE!</v>
      </c>
      <c r="GU249" s="55"/>
      <c r="GV249" s="55"/>
      <c r="GW249" s="55"/>
      <c r="GX249" s="53">
        <v>441.2</v>
      </c>
      <c r="GY249" s="19">
        <v>0.97833879948135161</v>
      </c>
      <c r="GZ249" s="53">
        <v>1282.7</v>
      </c>
      <c r="HA249" s="53">
        <v>1311.1</v>
      </c>
      <c r="HB249" s="55"/>
      <c r="HC249" s="55"/>
      <c r="HD249" s="55"/>
      <c r="HE249" s="55"/>
      <c r="HF249" s="53">
        <v>1401.2</v>
      </c>
      <c r="HG249" s="53">
        <v>1354.7</v>
      </c>
      <c r="HH249" s="53">
        <v>604.79999999999995</v>
      </c>
      <c r="HI249" s="53">
        <v>135</v>
      </c>
      <c r="HJ249" s="53">
        <v>605.4</v>
      </c>
      <c r="HK249" s="53">
        <v>9.5</v>
      </c>
      <c r="HL249" s="53">
        <v>46.4</v>
      </c>
      <c r="HM249" s="55"/>
      <c r="HN249" s="55"/>
      <c r="HO249" s="55"/>
      <c r="HP249" s="53" t="e">
        <v>#VALUE!</v>
      </c>
      <c r="HQ249" s="53">
        <v>6.8</v>
      </c>
      <c r="HR249" s="53">
        <v>6.2</v>
      </c>
      <c r="HS249" s="53" t="e">
        <v>#VALUE!</v>
      </c>
      <c r="HT249" s="53">
        <v>27.4</v>
      </c>
      <c r="HU249" s="55"/>
      <c r="HV249" s="55"/>
      <c r="HW249" s="53">
        <v>203.1</v>
      </c>
      <c r="HX249" s="53" t="e">
        <v>#VALUE!</v>
      </c>
      <c r="HY249" s="53">
        <v>203.1</v>
      </c>
      <c r="HZ249" s="53">
        <v>14.4</v>
      </c>
      <c r="IA249" s="53">
        <v>159.19999999999999</v>
      </c>
      <c r="IB249" s="53">
        <v>65.5</v>
      </c>
      <c r="IC249" s="53">
        <v>93.6</v>
      </c>
      <c r="ID249" s="53" t="e">
        <v>#VALUE!</v>
      </c>
      <c r="IE249" s="53" t="e">
        <v>#VALUE!</v>
      </c>
      <c r="IF249" s="53">
        <v>10.1</v>
      </c>
      <c r="IG249" s="53">
        <v>13.6</v>
      </c>
      <c r="IH249" s="55"/>
      <c r="II249" s="55"/>
      <c r="IJ249" s="55"/>
      <c r="IK249" s="55"/>
      <c r="IL249" s="55"/>
      <c r="IM249" s="55"/>
      <c r="IN249" s="53">
        <v>65.7</v>
      </c>
      <c r="IO249" s="53">
        <v>70.8</v>
      </c>
      <c r="IP249" s="53" t="e">
        <v>#VALUE!</v>
      </c>
      <c r="IQ249" s="53">
        <v>40</v>
      </c>
      <c r="IR249" s="53">
        <v>13.4</v>
      </c>
      <c r="IS249" s="53" t="e">
        <v>#VALUE!</v>
      </c>
      <c r="IT249" s="53">
        <v>24.8</v>
      </c>
      <c r="IU249" s="53" t="e">
        <v>#VALUE!</v>
      </c>
      <c r="IV249" s="53" t="e">
        <v>#VALUE!</v>
      </c>
      <c r="IY249" s="48">
        <f t="shared" si="11"/>
        <v>47.837037037037035</v>
      </c>
      <c r="IZ249" s="48">
        <f>IY249-'NOPA Crush'!J249</f>
        <v>6.7037037037032121E-2</v>
      </c>
      <c r="JB249" s="63">
        <f t="shared" si="9"/>
        <v>11.25843621399177</v>
      </c>
      <c r="JC249" s="64">
        <f>JB249-'NOPA Crush'!O249</f>
        <v>-0.19156378600822954</v>
      </c>
      <c r="JD249" s="65"/>
      <c r="JE249" s="67">
        <f t="shared" si="10"/>
        <v>2092.9</v>
      </c>
      <c r="JF249" s="68">
        <f>'NOPA Crush'!Q249/'Census Crush'!JE249</f>
        <v>0.7710798413684361</v>
      </c>
    </row>
    <row r="250" spans="1:266">
      <c r="A250" s="39">
        <v>36647</v>
      </c>
      <c r="B250" s="51">
        <v>3629.4</v>
      </c>
      <c r="C250" s="51">
        <v>2360</v>
      </c>
      <c r="D250" s="51">
        <v>250.3</v>
      </c>
      <c r="E250" s="51">
        <v>611</v>
      </c>
      <c r="F250" s="51">
        <v>36</v>
      </c>
      <c r="G250" s="51" t="s">
        <v>264</v>
      </c>
      <c r="H250" s="51" t="s">
        <v>264</v>
      </c>
      <c r="I250" s="51" t="s">
        <v>264</v>
      </c>
      <c r="J250" s="51" t="s">
        <v>264</v>
      </c>
      <c r="K250" s="51">
        <v>1396</v>
      </c>
      <c r="L250" s="49">
        <v>1978.3</v>
      </c>
      <c r="M250" s="51">
        <v>1747.6</v>
      </c>
      <c r="N250" s="51">
        <v>230.7</v>
      </c>
      <c r="O250" s="51">
        <v>75.8</v>
      </c>
      <c r="P250" s="51">
        <v>123.9</v>
      </c>
      <c r="Q250" s="51">
        <v>23.4</v>
      </c>
      <c r="R250" s="51">
        <v>100.5</v>
      </c>
      <c r="S250" s="51"/>
      <c r="T250" s="51">
        <v>30.4</v>
      </c>
      <c r="U250" s="51">
        <v>30.299999999999997</v>
      </c>
      <c r="V250" s="51">
        <v>26.2</v>
      </c>
      <c r="W250" s="51">
        <v>4.0999999999999996</v>
      </c>
      <c r="X250" s="51" t="s">
        <v>264</v>
      </c>
      <c r="Y250" s="51">
        <v>12.1</v>
      </c>
      <c r="Z250" s="49">
        <v>260.39999999999998</v>
      </c>
      <c r="AA250" s="51">
        <v>248</v>
      </c>
      <c r="AB250" s="51">
        <v>12.4</v>
      </c>
      <c r="AC250" s="51" t="s">
        <v>264</v>
      </c>
      <c r="AD250" s="51">
        <v>33.700000000000003</v>
      </c>
      <c r="AE250" s="51"/>
      <c r="AF250" s="51">
        <v>176.7</v>
      </c>
      <c r="AG250" s="51">
        <v>149.1</v>
      </c>
      <c r="AH250" s="51">
        <v>27.6</v>
      </c>
      <c r="AI250" s="51">
        <v>211.1</v>
      </c>
      <c r="AJ250" s="51"/>
      <c r="AK250" s="51"/>
      <c r="AL250" s="51">
        <v>260.8</v>
      </c>
      <c r="AM250" s="51">
        <v>170</v>
      </c>
      <c r="AN250" s="51">
        <v>90.8</v>
      </c>
      <c r="AO250" s="51">
        <v>2672.3</v>
      </c>
      <c r="AP250" s="51">
        <v>277.8</v>
      </c>
      <c r="AQ250" s="51">
        <v>210.2</v>
      </c>
      <c r="AR250" s="51">
        <v>47.2</v>
      </c>
      <c r="AS250" s="51">
        <v>109.4</v>
      </c>
      <c r="AT250" s="51">
        <v>67</v>
      </c>
      <c r="AU250" s="51">
        <v>65.900000000000006</v>
      </c>
      <c r="AV250" s="51">
        <v>35.9</v>
      </c>
      <c r="AW250" s="51">
        <v>20</v>
      </c>
      <c r="AX250" s="51">
        <v>8.5</v>
      </c>
      <c r="AY250" s="51" t="s">
        <v>264</v>
      </c>
      <c r="AZ250" s="51" t="s">
        <v>264</v>
      </c>
      <c r="BA250" s="51" t="s">
        <v>264</v>
      </c>
      <c r="BB250" s="51" t="s">
        <v>264</v>
      </c>
      <c r="BC250" s="51"/>
      <c r="BD250" s="53">
        <v>165.7</v>
      </c>
      <c r="BE250" s="53">
        <v>38.9</v>
      </c>
      <c r="BF250" s="53">
        <v>75.099999999999994</v>
      </c>
      <c r="BG250" s="53">
        <v>9.3000000000000007</v>
      </c>
      <c r="BH250" s="53">
        <v>328.2</v>
      </c>
      <c r="BI250" s="55"/>
      <c r="BJ250" s="55"/>
      <c r="BK250" s="53">
        <v>231.6</v>
      </c>
      <c r="BL250" s="53">
        <v>3.7</v>
      </c>
      <c r="BM250" s="53">
        <v>559.79999999999995</v>
      </c>
      <c r="BN250" s="53">
        <v>302.8</v>
      </c>
      <c r="BO250" s="55"/>
      <c r="BP250" s="55"/>
      <c r="BQ250" s="53">
        <v>154.4</v>
      </c>
      <c r="BR250" s="53">
        <v>0</v>
      </c>
      <c r="BS250" s="53">
        <v>457.20000000000005</v>
      </c>
      <c r="BT250" s="52">
        <v>32</v>
      </c>
      <c r="BU250" s="53">
        <v>22.6</v>
      </c>
      <c r="BV250" s="51">
        <v>339.1</v>
      </c>
      <c r="BW250" s="51">
        <v>115.4</v>
      </c>
      <c r="BX250" s="51">
        <v>454.5</v>
      </c>
      <c r="BY250" s="51">
        <v>39.799999999999997</v>
      </c>
      <c r="BZ250" s="51">
        <v>11.3</v>
      </c>
      <c r="CA250" s="49">
        <v>51.099999999999994</v>
      </c>
      <c r="CB250" s="55"/>
      <c r="CC250" s="55"/>
      <c r="CD250" s="55"/>
      <c r="CE250" s="55"/>
      <c r="CF250" s="53">
        <v>100.3</v>
      </c>
      <c r="CG250" s="53">
        <v>140.19999999999999</v>
      </c>
      <c r="CH250" s="53">
        <v>8.1</v>
      </c>
      <c r="CI250" s="55"/>
      <c r="CJ250" s="55"/>
      <c r="CK250" s="51">
        <v>361.5</v>
      </c>
      <c r="CL250" s="51">
        <v>44.4</v>
      </c>
      <c r="CM250" s="51"/>
      <c r="CN250" s="53">
        <v>52.4</v>
      </c>
      <c r="CO250" s="52">
        <v>103.9</v>
      </c>
      <c r="CP250" s="53">
        <v>61.6</v>
      </c>
      <c r="CQ250" s="53">
        <v>42.3</v>
      </c>
      <c r="CR250" s="52" t="s">
        <v>264</v>
      </c>
      <c r="CS250" s="52">
        <v>44.1</v>
      </c>
      <c r="CT250" s="52">
        <v>32.200000000000003</v>
      </c>
      <c r="CU250" s="52">
        <v>11.9</v>
      </c>
      <c r="CV250" s="52">
        <v>68.599999999999994</v>
      </c>
      <c r="CW250" s="53">
        <v>15.2</v>
      </c>
      <c r="CX250" s="53">
        <v>53.4</v>
      </c>
      <c r="CY250" s="53" t="s">
        <v>264</v>
      </c>
      <c r="CZ250" s="53">
        <v>78.599999999999994</v>
      </c>
      <c r="DA250" s="52">
        <v>50.2</v>
      </c>
      <c r="DB250" s="53">
        <v>48.2</v>
      </c>
      <c r="DC250" s="53">
        <v>2</v>
      </c>
      <c r="DD250" s="55"/>
      <c r="DE250" s="55"/>
      <c r="DF250" s="55"/>
      <c r="DG250" s="55"/>
      <c r="DH250" s="55"/>
      <c r="DI250" s="53">
        <v>517.20000000000005</v>
      </c>
      <c r="DJ250" s="53">
        <v>370.8</v>
      </c>
      <c r="DK250" s="55"/>
      <c r="DL250" s="55"/>
      <c r="DM250" s="53">
        <v>250.5</v>
      </c>
      <c r="DN250" s="55"/>
      <c r="DO250" s="53">
        <v>208.2</v>
      </c>
      <c r="DP250" s="53">
        <v>261.60000000000002</v>
      </c>
      <c r="DQ250" s="55"/>
      <c r="DR250" s="55"/>
      <c r="DS250" s="53">
        <v>858.06799999999998</v>
      </c>
      <c r="DT250" s="53">
        <v>3629.4</v>
      </c>
      <c r="DU250" s="53">
        <v>-1163.0319999999997</v>
      </c>
      <c r="DV250" s="53">
        <v>0</v>
      </c>
      <c r="DW250" s="55"/>
      <c r="DX250" s="55"/>
      <c r="DY250" s="55"/>
      <c r="DZ250" s="55"/>
      <c r="EA250" s="53">
        <v>454.9</v>
      </c>
      <c r="EB250" s="53">
        <v>153.5</v>
      </c>
      <c r="EC250" s="55"/>
      <c r="ED250" s="53">
        <v>115.4</v>
      </c>
      <c r="EE250" s="53">
        <v>79.900000000000006</v>
      </c>
      <c r="EF250" s="55"/>
      <c r="EG250" s="53">
        <v>82.9</v>
      </c>
      <c r="EH250" s="53">
        <v>100.9</v>
      </c>
      <c r="EI250" s="55"/>
      <c r="EJ250" s="55"/>
      <c r="EK250" s="55"/>
      <c r="EL250" s="53">
        <v>2360</v>
      </c>
      <c r="EM250" s="55"/>
      <c r="EN250" s="55"/>
      <c r="EO250" s="55"/>
      <c r="EP250" s="55"/>
      <c r="EQ250" s="53">
        <v>199.2</v>
      </c>
      <c r="ER250" s="53">
        <v>147.69999999999999</v>
      </c>
      <c r="ES250" s="55"/>
      <c r="ET250" s="53" t="e">
        <v>#VALUE!</v>
      </c>
      <c r="EU250" s="53">
        <v>96.7</v>
      </c>
      <c r="EV250" s="55"/>
      <c r="EW250" s="53">
        <v>81.2</v>
      </c>
      <c r="EX250" s="53">
        <v>97.1</v>
      </c>
      <c r="EY250" s="55"/>
      <c r="EZ250" s="55"/>
      <c r="FA250" s="55"/>
      <c r="FB250" s="53">
        <v>1396</v>
      </c>
      <c r="FC250" s="55"/>
      <c r="FD250" s="55"/>
      <c r="FE250" s="55"/>
      <c r="FF250" s="55"/>
      <c r="FG250" s="53">
        <v>406.9</v>
      </c>
      <c r="FH250" s="53">
        <v>295.8</v>
      </c>
      <c r="FI250" s="55"/>
      <c r="FJ250" s="53" t="e">
        <v>#VALUE!</v>
      </c>
      <c r="FK250" s="53">
        <v>199.6</v>
      </c>
      <c r="FL250" s="55"/>
      <c r="FM250" s="53">
        <v>165.9</v>
      </c>
      <c r="FN250" s="53">
        <v>206.6</v>
      </c>
      <c r="FO250" s="55"/>
      <c r="FP250" s="55"/>
      <c r="FQ250" s="55"/>
      <c r="FR250" s="53">
        <v>2890.6</v>
      </c>
      <c r="FS250" s="55"/>
      <c r="FT250" s="55"/>
      <c r="FU250" s="55"/>
      <c r="FV250" s="55"/>
      <c r="FW250" s="53">
        <v>268.8</v>
      </c>
      <c r="FX250" s="53" t="e">
        <v>#VALUE!</v>
      </c>
      <c r="FY250" s="55"/>
      <c r="FZ250" s="55"/>
      <c r="GA250" s="53">
        <v>61.1</v>
      </c>
      <c r="GB250" s="55"/>
      <c r="GC250" s="53">
        <v>70.2</v>
      </c>
      <c r="GD250" s="53" t="e">
        <v>#VALUE!</v>
      </c>
      <c r="GE250" s="55"/>
      <c r="GF250" s="55"/>
      <c r="GG250" s="55"/>
      <c r="GH250" s="53">
        <v>955.7</v>
      </c>
      <c r="GI250" s="55"/>
      <c r="GJ250" s="55"/>
      <c r="GK250" s="55"/>
      <c r="GL250" s="55"/>
      <c r="GM250" s="53" t="e">
        <v>#VALUE!</v>
      </c>
      <c r="GN250" s="53">
        <v>27.1</v>
      </c>
      <c r="GO250" s="55"/>
      <c r="GP250" s="53">
        <v>2.7</v>
      </c>
      <c r="GQ250" s="53">
        <v>16.5</v>
      </c>
      <c r="GR250" s="55"/>
      <c r="GS250" s="53" t="e">
        <v>#VALUE!</v>
      </c>
      <c r="GT250" s="53" t="e">
        <v>#VALUE!</v>
      </c>
      <c r="GU250" s="55"/>
      <c r="GV250" s="55"/>
      <c r="GW250" s="55"/>
      <c r="GX250" s="53">
        <v>325</v>
      </c>
      <c r="GY250" s="19">
        <v>0.96837439903846145</v>
      </c>
      <c r="GZ250" s="53">
        <v>1289.0999999999999</v>
      </c>
      <c r="HA250" s="53">
        <v>1331.2</v>
      </c>
      <c r="HB250" s="55"/>
      <c r="HC250" s="55"/>
      <c r="HD250" s="55"/>
      <c r="HE250" s="55"/>
      <c r="HF250" s="53">
        <v>1477.7</v>
      </c>
      <c r="HG250" s="53">
        <v>1425.3</v>
      </c>
      <c r="HH250" s="53">
        <v>662.5</v>
      </c>
      <c r="HI250" s="53">
        <v>112.6</v>
      </c>
      <c r="HJ250" s="53">
        <v>639.4</v>
      </c>
      <c r="HK250" s="53">
        <v>10.9</v>
      </c>
      <c r="HL250" s="53">
        <v>52.3</v>
      </c>
      <c r="HM250" s="55"/>
      <c r="HN250" s="55"/>
      <c r="HO250" s="55"/>
      <c r="HP250" s="53" t="e">
        <v>#VALUE!</v>
      </c>
      <c r="HQ250" s="53">
        <v>5.9</v>
      </c>
      <c r="HR250" s="53">
        <v>8.1</v>
      </c>
      <c r="HS250" s="53" t="e">
        <v>#VALUE!</v>
      </c>
      <c r="HT250" s="53">
        <v>31</v>
      </c>
      <c r="HU250" s="55"/>
      <c r="HV250" s="55"/>
      <c r="HW250" s="53">
        <v>261.39999999999998</v>
      </c>
      <c r="HX250" s="53" t="e">
        <v>#VALUE!</v>
      </c>
      <c r="HY250" s="53">
        <v>261.39999999999998</v>
      </c>
      <c r="HZ250" s="53">
        <v>49.9</v>
      </c>
      <c r="IA250" s="53">
        <v>182.7</v>
      </c>
      <c r="IB250" s="53">
        <v>68.5</v>
      </c>
      <c r="IC250" s="53">
        <v>114.2</v>
      </c>
      <c r="ID250" s="53" t="e">
        <v>#VALUE!</v>
      </c>
      <c r="IE250" s="53" t="e">
        <v>#VALUE!</v>
      </c>
      <c r="IF250" s="53">
        <v>5.7</v>
      </c>
      <c r="IG250" s="53">
        <v>16.100000000000001</v>
      </c>
      <c r="IH250" s="55"/>
      <c r="II250" s="55"/>
      <c r="IJ250" s="55"/>
      <c r="IK250" s="55"/>
      <c r="IL250" s="55"/>
      <c r="IM250" s="55"/>
      <c r="IN250" s="53">
        <v>57.7</v>
      </c>
      <c r="IO250" s="53">
        <v>59.4</v>
      </c>
      <c r="IP250" s="53" t="e">
        <v>#VALUE!</v>
      </c>
      <c r="IQ250" s="53">
        <v>50.5</v>
      </c>
      <c r="IR250" s="53">
        <v>16.5</v>
      </c>
      <c r="IS250" s="53" t="e">
        <v>#VALUE!</v>
      </c>
      <c r="IT250" s="53">
        <v>31.7</v>
      </c>
      <c r="IU250" s="53" t="e">
        <v>#VALUE!</v>
      </c>
      <c r="IV250" s="53" t="e">
        <v>#VALUE!</v>
      </c>
      <c r="IY250" s="48">
        <f t="shared" si="11"/>
        <v>47.652504546205982</v>
      </c>
      <c r="IZ250" s="48">
        <f>IY250-'NOPA Crush'!J250</f>
        <v>-3.7495453794015532E-2</v>
      </c>
      <c r="JB250" s="63">
        <f t="shared" si="9"/>
        <v>11.539097371466358</v>
      </c>
      <c r="JC250" s="64">
        <f>JB250-'NOPA Crush'!O250</f>
        <v>7.9097371466357203E-2</v>
      </c>
      <c r="JD250" s="65"/>
      <c r="JE250" s="67">
        <f t="shared" si="10"/>
        <v>1978.3</v>
      </c>
      <c r="JF250" s="68">
        <f>'NOPA Crush'!Q250/'Census Crush'!JE250</f>
        <v>0.78543395844917363</v>
      </c>
    </row>
    <row r="251" spans="1:266">
      <c r="A251" s="39">
        <v>36678</v>
      </c>
      <c r="B251" s="51">
        <v>3538.3</v>
      </c>
      <c r="C251" s="51">
        <v>2352.5</v>
      </c>
      <c r="D251" s="51">
        <v>221.3</v>
      </c>
      <c r="E251" s="51">
        <v>370.5</v>
      </c>
      <c r="F251" s="51">
        <v>32.1</v>
      </c>
      <c r="G251" s="51" t="s">
        <v>264</v>
      </c>
      <c r="H251" s="51" t="s">
        <v>264</v>
      </c>
      <c r="I251" s="51" t="s">
        <v>264</v>
      </c>
      <c r="J251" s="51" t="s">
        <v>264</v>
      </c>
      <c r="K251" s="51">
        <v>1359.6</v>
      </c>
      <c r="L251" s="49">
        <v>2028.3000000000002</v>
      </c>
      <c r="M251" s="51">
        <v>1802.9</v>
      </c>
      <c r="N251" s="51">
        <v>225.4</v>
      </c>
      <c r="O251" s="51">
        <v>68.400000000000006</v>
      </c>
      <c r="P251" s="51">
        <v>100.9</v>
      </c>
      <c r="Q251" s="51">
        <v>18.600000000000001</v>
      </c>
      <c r="R251" s="51">
        <v>82.3</v>
      </c>
      <c r="S251" s="51"/>
      <c r="T251" s="51">
        <v>28</v>
      </c>
      <c r="U251" s="51">
        <v>29.7</v>
      </c>
      <c r="V251" s="51">
        <v>25.7</v>
      </c>
      <c r="W251" s="51">
        <v>4</v>
      </c>
      <c r="X251" s="51" t="s">
        <v>264</v>
      </c>
      <c r="Y251" s="51" t="s">
        <v>264</v>
      </c>
      <c r="Z251" s="49">
        <v>272.8</v>
      </c>
      <c r="AA251" s="51">
        <v>262.10000000000002</v>
      </c>
      <c r="AB251" s="51">
        <v>10.7</v>
      </c>
      <c r="AC251" s="51" t="s">
        <v>264</v>
      </c>
      <c r="AD251" s="51">
        <v>36.9</v>
      </c>
      <c r="AE251" s="51"/>
      <c r="AF251" s="51">
        <v>199</v>
      </c>
      <c r="AG251" s="51">
        <v>176.5</v>
      </c>
      <c r="AH251" s="51">
        <v>22.5</v>
      </c>
      <c r="AI251" s="51">
        <v>207.9</v>
      </c>
      <c r="AJ251" s="51"/>
      <c r="AK251" s="51"/>
      <c r="AL251" s="51">
        <v>280.39999999999998</v>
      </c>
      <c r="AM251" s="51">
        <v>178.6</v>
      </c>
      <c r="AN251" s="51">
        <v>101.8</v>
      </c>
      <c r="AO251" s="51">
        <v>2636.7</v>
      </c>
      <c r="AP251" s="51">
        <v>209.8</v>
      </c>
      <c r="AQ251" s="51">
        <v>208.7</v>
      </c>
      <c r="AR251" s="51">
        <v>50.4</v>
      </c>
      <c r="AS251" s="51">
        <v>106.4</v>
      </c>
      <c r="AT251" s="51">
        <v>79.2</v>
      </c>
      <c r="AU251" s="51">
        <v>61.9</v>
      </c>
      <c r="AV251" s="51">
        <v>34.700000000000003</v>
      </c>
      <c r="AW251" s="51">
        <v>19</v>
      </c>
      <c r="AX251" s="51">
        <v>3.5</v>
      </c>
      <c r="AY251" s="51" t="s">
        <v>264</v>
      </c>
      <c r="AZ251" s="51" t="s">
        <v>264</v>
      </c>
      <c r="BA251" s="51" t="s">
        <v>264</v>
      </c>
      <c r="BB251" s="51" t="s">
        <v>264</v>
      </c>
      <c r="BC251" s="51"/>
      <c r="BD251" s="53">
        <v>155.1</v>
      </c>
      <c r="BE251" s="53">
        <v>43.1</v>
      </c>
      <c r="BF251" s="53">
        <v>70.400000000000006</v>
      </c>
      <c r="BG251" s="53">
        <v>7.8</v>
      </c>
      <c r="BH251" s="53">
        <v>309.60000000000002</v>
      </c>
      <c r="BI251" s="55"/>
      <c r="BJ251" s="55"/>
      <c r="BK251" s="53">
        <v>228.7</v>
      </c>
      <c r="BL251" s="53">
        <v>3.1</v>
      </c>
      <c r="BM251" s="53">
        <v>538.29999999999995</v>
      </c>
      <c r="BN251" s="53">
        <v>294.3</v>
      </c>
      <c r="BO251" s="55"/>
      <c r="BP251" s="55"/>
      <c r="BQ251" s="53">
        <v>163.6</v>
      </c>
      <c r="BR251" s="53">
        <v>0</v>
      </c>
      <c r="BS251" s="53">
        <v>457.9</v>
      </c>
      <c r="BT251" s="52">
        <v>29.2</v>
      </c>
      <c r="BU251" s="53">
        <v>18.899999999999999</v>
      </c>
      <c r="BV251" s="51">
        <v>329.4</v>
      </c>
      <c r="BW251" s="51">
        <v>108.1</v>
      </c>
      <c r="BX251" s="51">
        <v>437.5</v>
      </c>
      <c r="BY251" s="51">
        <v>39.5</v>
      </c>
      <c r="BZ251" s="51">
        <v>12.7</v>
      </c>
      <c r="CA251" s="49">
        <v>52.2</v>
      </c>
      <c r="CB251" s="55"/>
      <c r="CC251" s="55"/>
      <c r="CD251" s="55"/>
      <c r="CE251" s="55"/>
      <c r="CF251" s="53">
        <v>105.3</v>
      </c>
      <c r="CG251" s="53">
        <v>115.9</v>
      </c>
      <c r="CH251" s="53">
        <v>6.7</v>
      </c>
      <c r="CI251" s="55"/>
      <c r="CJ251" s="55"/>
      <c r="CK251" s="51">
        <v>358.9</v>
      </c>
      <c r="CL251" s="51">
        <v>42.1</v>
      </c>
      <c r="CM251" s="51"/>
      <c r="CN251" s="53">
        <v>40.5</v>
      </c>
      <c r="CO251" s="52">
        <v>137.60000000000002</v>
      </c>
      <c r="CP251" s="53">
        <v>94.4</v>
      </c>
      <c r="CQ251" s="53">
        <v>43.2</v>
      </c>
      <c r="CR251" s="52" t="s">
        <v>264</v>
      </c>
      <c r="CS251" s="52">
        <v>39.5</v>
      </c>
      <c r="CT251" s="52">
        <v>25.9</v>
      </c>
      <c r="CU251" s="52">
        <v>13.6</v>
      </c>
      <c r="CV251" s="52">
        <v>65.5</v>
      </c>
      <c r="CW251" s="53">
        <v>12.6</v>
      </c>
      <c r="CX251" s="53">
        <v>52.9</v>
      </c>
      <c r="CY251" s="53" t="s">
        <v>264</v>
      </c>
      <c r="CZ251" s="53">
        <v>53.9</v>
      </c>
      <c r="DA251" s="52">
        <v>68.2</v>
      </c>
      <c r="DB251" s="53">
        <v>66.8</v>
      </c>
      <c r="DC251" s="53">
        <v>1.4</v>
      </c>
      <c r="DD251" s="55"/>
      <c r="DE251" s="55"/>
      <c r="DF251" s="55"/>
      <c r="DG251" s="55"/>
      <c r="DH251" s="55"/>
      <c r="DI251" s="53">
        <v>570.20000000000005</v>
      </c>
      <c r="DJ251" s="53">
        <v>335.4</v>
      </c>
      <c r="DK251" s="55"/>
      <c r="DL251" s="55"/>
      <c r="DM251" s="53">
        <v>253.1</v>
      </c>
      <c r="DN251" s="55"/>
      <c r="DO251" s="53">
        <v>229.7</v>
      </c>
      <c r="DP251" s="53">
        <v>288.8</v>
      </c>
      <c r="DQ251" s="55"/>
      <c r="DR251" s="55"/>
      <c r="DS251" s="53">
        <v>673.64099999999996</v>
      </c>
      <c r="DT251" s="53">
        <v>3538.3</v>
      </c>
      <c r="DU251" s="53">
        <v>-1187.4590000000003</v>
      </c>
      <c r="DV251" s="53">
        <v>0</v>
      </c>
      <c r="DW251" s="55"/>
      <c r="DX251" s="55"/>
      <c r="DY251" s="55"/>
      <c r="DZ251" s="55"/>
      <c r="EA251" s="53">
        <v>472.4</v>
      </c>
      <c r="EB251" s="53">
        <v>128.80000000000001</v>
      </c>
      <c r="EC251" s="55"/>
      <c r="ED251" s="53">
        <v>101.9</v>
      </c>
      <c r="EE251" s="53">
        <v>93</v>
      </c>
      <c r="EF251" s="55"/>
      <c r="EG251" s="53">
        <v>69</v>
      </c>
      <c r="EH251" s="53">
        <v>67.400000000000006</v>
      </c>
      <c r="EI251" s="55"/>
      <c r="EJ251" s="55"/>
      <c r="EK251" s="55"/>
      <c r="EL251" s="53">
        <v>2352.5</v>
      </c>
      <c r="EM251" s="55"/>
      <c r="EN251" s="55"/>
      <c r="EO251" s="55"/>
      <c r="EP251" s="55"/>
      <c r="EQ251" s="53">
        <v>223.9</v>
      </c>
      <c r="ER251" s="53">
        <v>129.4</v>
      </c>
      <c r="ES251" s="55"/>
      <c r="ET251" s="53" t="e">
        <v>#VALUE!</v>
      </c>
      <c r="EU251" s="53">
        <v>100.2</v>
      </c>
      <c r="EV251" s="55"/>
      <c r="EW251" s="53">
        <v>90.6</v>
      </c>
      <c r="EX251" s="53">
        <v>108.1</v>
      </c>
      <c r="EY251" s="55"/>
      <c r="EZ251" s="55"/>
      <c r="FA251" s="55"/>
      <c r="FB251" s="53">
        <v>1359.6</v>
      </c>
      <c r="FC251" s="55"/>
      <c r="FD251" s="55"/>
      <c r="FE251" s="55"/>
      <c r="FF251" s="55"/>
      <c r="FG251" s="53">
        <v>455</v>
      </c>
      <c r="FH251" s="53">
        <v>270.60000000000002</v>
      </c>
      <c r="FI251" s="55"/>
      <c r="FJ251" s="53" t="e">
        <v>#VALUE!</v>
      </c>
      <c r="FK251" s="53">
        <v>206.8</v>
      </c>
      <c r="FL251" s="55"/>
      <c r="FM251" s="53">
        <v>187.6</v>
      </c>
      <c r="FN251" s="53">
        <v>234.4</v>
      </c>
      <c r="FO251" s="55"/>
      <c r="FP251" s="55"/>
      <c r="FQ251" s="55"/>
      <c r="FR251" s="53">
        <v>2853.3</v>
      </c>
      <c r="FS251" s="55"/>
      <c r="FT251" s="55"/>
      <c r="FU251" s="55"/>
      <c r="FV251" s="55"/>
      <c r="FW251" s="53">
        <v>280.8</v>
      </c>
      <c r="FX251" s="53" t="e">
        <v>#VALUE!</v>
      </c>
      <c r="FY251" s="55"/>
      <c r="FZ251" s="55"/>
      <c r="GA251" s="53">
        <v>76.3</v>
      </c>
      <c r="GB251" s="55"/>
      <c r="GC251" s="53">
        <v>77.3</v>
      </c>
      <c r="GD251" s="53" t="e">
        <v>#VALUE!</v>
      </c>
      <c r="GE251" s="55"/>
      <c r="GF251" s="55"/>
      <c r="GG251" s="55"/>
      <c r="GH251" s="53">
        <v>1040.2</v>
      </c>
      <c r="GI251" s="55"/>
      <c r="GJ251" s="55"/>
      <c r="GK251" s="55"/>
      <c r="GL251" s="55"/>
      <c r="GM251" s="53" t="e">
        <v>#VALUE!</v>
      </c>
      <c r="GN251" s="53">
        <v>17</v>
      </c>
      <c r="GO251" s="55"/>
      <c r="GP251" s="53">
        <v>4.9000000000000004</v>
      </c>
      <c r="GQ251" s="53">
        <v>11.4</v>
      </c>
      <c r="GR251" s="55"/>
      <c r="GS251" s="53" t="e">
        <v>#VALUE!</v>
      </c>
      <c r="GT251" s="53" t="e">
        <v>#VALUE!</v>
      </c>
      <c r="GU251" s="55"/>
      <c r="GV251" s="55"/>
      <c r="GW251" s="55"/>
      <c r="GX251" s="53">
        <v>260.2</v>
      </c>
      <c r="GY251" s="19">
        <v>0.96953039107900096</v>
      </c>
      <c r="GZ251" s="53">
        <v>1234.5999999999999</v>
      </c>
      <c r="HA251" s="53">
        <v>1273.4000000000001</v>
      </c>
      <c r="HB251" s="55"/>
      <c r="HC251" s="55"/>
      <c r="HD251" s="55"/>
      <c r="HE251" s="55"/>
      <c r="HF251" s="53">
        <v>1413.3</v>
      </c>
      <c r="HG251" s="53">
        <v>1362.7</v>
      </c>
      <c r="HH251" s="53">
        <v>657.5</v>
      </c>
      <c r="HI251" s="53">
        <v>104.5</v>
      </c>
      <c r="HJ251" s="53">
        <v>590.20000000000005</v>
      </c>
      <c r="HK251" s="53">
        <v>10.5</v>
      </c>
      <c r="HL251" s="53">
        <v>50.6</v>
      </c>
      <c r="HM251" s="55"/>
      <c r="HN251" s="55"/>
      <c r="HO251" s="55"/>
      <c r="HP251" s="53" t="e">
        <v>#VALUE!</v>
      </c>
      <c r="HQ251" s="53">
        <v>5.6</v>
      </c>
      <c r="HR251" s="53">
        <v>7.6</v>
      </c>
      <c r="HS251" s="53" t="e">
        <v>#VALUE!</v>
      </c>
      <c r="HT251" s="53">
        <v>31.6</v>
      </c>
      <c r="HU251" s="55"/>
      <c r="HV251" s="55"/>
      <c r="HW251" s="53">
        <v>252.5</v>
      </c>
      <c r="HX251" s="53" t="e">
        <v>#VALUE!</v>
      </c>
      <c r="HY251" s="53">
        <v>252.5</v>
      </c>
      <c r="HZ251" s="53">
        <v>47.7</v>
      </c>
      <c r="IA251" s="53">
        <v>176.5</v>
      </c>
      <c r="IB251" s="53">
        <v>62.1</v>
      </c>
      <c r="IC251" s="53">
        <v>114.4</v>
      </c>
      <c r="ID251" s="53" t="e">
        <v>#VALUE!</v>
      </c>
      <c r="IE251" s="53" t="e">
        <v>#VALUE!</v>
      </c>
      <c r="IF251" s="53">
        <v>7</v>
      </c>
      <c r="IG251" s="53">
        <v>14.2</v>
      </c>
      <c r="IH251" s="55"/>
      <c r="II251" s="55"/>
      <c r="IJ251" s="55"/>
      <c r="IK251" s="55"/>
      <c r="IL251" s="55"/>
      <c r="IM251" s="55"/>
      <c r="IN251" s="53">
        <v>48.6</v>
      </c>
      <c r="IO251" s="53">
        <v>49.8</v>
      </c>
      <c r="IP251" s="53" t="e">
        <v>#VALUE!</v>
      </c>
      <c r="IQ251" s="53">
        <v>43</v>
      </c>
      <c r="IR251" s="53">
        <v>15.5</v>
      </c>
      <c r="IS251" s="53">
        <v>0.6</v>
      </c>
      <c r="IT251" s="53" t="e">
        <v>#VALUE!</v>
      </c>
      <c r="IU251" s="53" t="e">
        <v>#VALUE!</v>
      </c>
      <c r="IV251" s="53" t="e">
        <v>#VALUE!</v>
      </c>
      <c r="IY251" s="48">
        <f t="shared" si="11"/>
        <v>48.250289687137879</v>
      </c>
      <c r="IZ251" s="48">
        <f>IY251-'NOPA Crush'!J251</f>
        <v>-2.9710312862121668E-2</v>
      </c>
      <c r="JB251" s="63">
        <f t="shared" si="9"/>
        <v>11.527569736879292</v>
      </c>
      <c r="JC251" s="64">
        <f>JB251-'NOPA Crush'!O251</f>
        <v>-7.2430263120708105E-2</v>
      </c>
      <c r="JD251" s="65"/>
      <c r="JE251" s="67">
        <f t="shared" si="10"/>
        <v>2028.3000000000002</v>
      </c>
      <c r="JF251" s="68">
        <f>'NOPA Crush'!Q251/'Census Crush'!JE251</f>
        <v>0.77240003944189717</v>
      </c>
    </row>
    <row r="252" spans="1:266">
      <c r="A252" s="39">
        <v>36708</v>
      </c>
      <c r="B252" s="51">
        <v>3906.3</v>
      </c>
      <c r="C252" s="51">
        <v>1564.4</v>
      </c>
      <c r="D252" s="51">
        <v>153.5</v>
      </c>
      <c r="E252" s="51">
        <v>274.39999999999998</v>
      </c>
      <c r="F252" s="51">
        <v>27.6</v>
      </c>
      <c r="G252" s="51" t="s">
        <v>264</v>
      </c>
      <c r="H252" s="51" t="s">
        <v>264</v>
      </c>
      <c r="I252" s="51" t="s">
        <v>264</v>
      </c>
      <c r="J252" s="51" t="s">
        <v>264</v>
      </c>
      <c r="K252" s="51">
        <v>1485.5</v>
      </c>
      <c r="L252" s="49">
        <v>2120.4</v>
      </c>
      <c r="M252" s="51">
        <v>1903.7</v>
      </c>
      <c r="N252" s="51">
        <v>216.7</v>
      </c>
      <c r="O252" s="51">
        <v>48</v>
      </c>
      <c r="P252" s="51">
        <v>79</v>
      </c>
      <c r="Q252" s="51">
        <v>14.8</v>
      </c>
      <c r="R252" s="51">
        <v>64.2</v>
      </c>
      <c r="S252" s="51"/>
      <c r="T252" s="51">
        <v>24.1</v>
      </c>
      <c r="U252" s="51">
        <v>50.1</v>
      </c>
      <c r="V252" s="51">
        <v>44.7</v>
      </c>
      <c r="W252" s="51">
        <v>5.4</v>
      </c>
      <c r="X252" s="51" t="s">
        <v>264</v>
      </c>
      <c r="Y252" s="51" t="s">
        <v>264</v>
      </c>
      <c r="Z252" s="49">
        <v>229.3</v>
      </c>
      <c r="AA252" s="51">
        <v>217.3</v>
      </c>
      <c r="AB252" s="51">
        <v>12</v>
      </c>
      <c r="AC252" s="51" t="s">
        <v>264</v>
      </c>
      <c r="AD252" s="51">
        <v>43.4</v>
      </c>
      <c r="AE252" s="51"/>
      <c r="AF252" s="51">
        <v>162.6</v>
      </c>
      <c r="AG252" s="51">
        <v>140.9</v>
      </c>
      <c r="AH252" s="51">
        <v>21.7</v>
      </c>
      <c r="AI252" s="51">
        <v>225.2</v>
      </c>
      <c r="AJ252" s="51"/>
      <c r="AK252" s="51"/>
      <c r="AL252" s="51">
        <v>276.29999999999995</v>
      </c>
      <c r="AM252" s="51">
        <v>166.7</v>
      </c>
      <c r="AN252" s="51">
        <v>109.6</v>
      </c>
      <c r="AO252" s="51">
        <v>2890.1</v>
      </c>
      <c r="AP252" s="51">
        <v>251.8</v>
      </c>
      <c r="AQ252" s="51">
        <v>228.7</v>
      </c>
      <c r="AR252" s="51">
        <v>54</v>
      </c>
      <c r="AS252" s="51">
        <v>77.599999999999994</v>
      </c>
      <c r="AT252" s="51">
        <v>79.3</v>
      </c>
      <c r="AU252" s="51">
        <v>43.2</v>
      </c>
      <c r="AV252" s="51">
        <v>39.1</v>
      </c>
      <c r="AW252" s="51">
        <v>14.5</v>
      </c>
      <c r="AX252" s="51">
        <v>5.5</v>
      </c>
      <c r="AY252" s="51" t="s">
        <v>264</v>
      </c>
      <c r="AZ252" s="51" t="s">
        <v>264</v>
      </c>
      <c r="BA252" s="51" t="s">
        <v>264</v>
      </c>
      <c r="BB252" s="51" t="s">
        <v>264</v>
      </c>
      <c r="BC252" s="51"/>
      <c r="BD252" s="53">
        <v>147.69999999999999</v>
      </c>
      <c r="BE252" s="53">
        <v>40.1</v>
      </c>
      <c r="BF252" s="53">
        <v>63.5</v>
      </c>
      <c r="BG252" s="53">
        <v>7.7</v>
      </c>
      <c r="BH252" s="53">
        <v>289.5</v>
      </c>
      <c r="BI252" s="55"/>
      <c r="BJ252" s="55"/>
      <c r="BK252" s="53">
        <v>218.8</v>
      </c>
      <c r="BL252" s="53">
        <v>2.2999999999999998</v>
      </c>
      <c r="BM252" s="53">
        <v>508.2</v>
      </c>
      <c r="BN252" s="53">
        <v>283.39999999999998</v>
      </c>
      <c r="BO252" s="55"/>
      <c r="BP252" s="55"/>
      <c r="BQ252" s="53">
        <v>158.69999999999999</v>
      </c>
      <c r="BR252" s="53">
        <v>1.2</v>
      </c>
      <c r="BS252" s="53">
        <v>443.29999999999995</v>
      </c>
      <c r="BT252" s="52">
        <v>26.4</v>
      </c>
      <c r="BU252" s="53">
        <v>19.100000000000001</v>
      </c>
      <c r="BV252" s="51">
        <v>307.89999999999998</v>
      </c>
      <c r="BW252" s="51">
        <v>107.1</v>
      </c>
      <c r="BX252" s="51">
        <v>415</v>
      </c>
      <c r="BY252" s="51">
        <v>39.700000000000003</v>
      </c>
      <c r="BZ252" s="51">
        <v>14.2</v>
      </c>
      <c r="CA252" s="49">
        <v>53.900000000000006</v>
      </c>
      <c r="CB252" s="55"/>
      <c r="CC252" s="55"/>
      <c r="CD252" s="55"/>
      <c r="CE252" s="55"/>
      <c r="CF252" s="53">
        <v>99.8</v>
      </c>
      <c r="CG252" s="53">
        <v>123.6</v>
      </c>
      <c r="CH252" s="53">
        <v>10.1</v>
      </c>
      <c r="CI252" s="55"/>
      <c r="CJ252" s="55"/>
      <c r="CK252" s="51">
        <v>319.7</v>
      </c>
      <c r="CL252" s="51">
        <v>41.5</v>
      </c>
      <c r="CM252" s="51"/>
      <c r="CN252" s="53">
        <v>47.2</v>
      </c>
      <c r="CO252" s="52">
        <v>164.3</v>
      </c>
      <c r="CP252" s="53">
        <v>105.8</v>
      </c>
      <c r="CQ252" s="53">
        <v>58.5</v>
      </c>
      <c r="CR252" s="52" t="s">
        <v>264</v>
      </c>
      <c r="CS252" s="52">
        <v>42.5</v>
      </c>
      <c r="CT252" s="52">
        <v>24.3</v>
      </c>
      <c r="CU252" s="52">
        <v>18.2</v>
      </c>
      <c r="CV252" s="52">
        <v>74.8</v>
      </c>
      <c r="CW252" s="53">
        <v>10.7</v>
      </c>
      <c r="CX252" s="53">
        <v>64.099999999999994</v>
      </c>
      <c r="CY252" s="53" t="s">
        <v>264</v>
      </c>
      <c r="CZ252" s="53">
        <v>90.1</v>
      </c>
      <c r="DA252" s="52">
        <v>39</v>
      </c>
      <c r="DB252" s="53">
        <v>38.5</v>
      </c>
      <c r="DC252" s="53">
        <v>0.5</v>
      </c>
      <c r="DD252" s="55"/>
      <c r="DE252" s="55"/>
      <c r="DF252" s="55"/>
      <c r="DG252" s="55"/>
      <c r="DH252" s="55"/>
      <c r="DI252" s="53">
        <v>585.5</v>
      </c>
      <c r="DJ252" s="53">
        <v>339.9</v>
      </c>
      <c r="DK252" s="55"/>
      <c r="DL252" s="55"/>
      <c r="DM252" s="53">
        <v>267.10000000000002</v>
      </c>
      <c r="DN252" s="55"/>
      <c r="DO252" s="53">
        <v>211.4</v>
      </c>
      <c r="DP252" s="53">
        <v>285.7</v>
      </c>
      <c r="DQ252" s="55"/>
      <c r="DR252" s="55"/>
      <c r="DS252" s="53">
        <v>938.76</v>
      </c>
      <c r="DT252" s="53">
        <v>3906.3</v>
      </c>
      <c r="DU252" s="53">
        <v>-1277.94</v>
      </c>
      <c r="DV252" s="53">
        <v>0</v>
      </c>
      <c r="DW252" s="55"/>
      <c r="DX252" s="55"/>
      <c r="DY252" s="55"/>
      <c r="DZ252" s="55"/>
      <c r="EA252" s="53">
        <v>274.3</v>
      </c>
      <c r="EB252" s="53">
        <v>72.099999999999994</v>
      </c>
      <c r="EC252" s="55"/>
      <c r="ED252" s="53">
        <v>50.7</v>
      </c>
      <c r="EE252" s="53">
        <v>48.7</v>
      </c>
      <c r="EF252" s="55"/>
      <c r="EG252" s="53">
        <v>63.1</v>
      </c>
      <c r="EH252" s="53">
        <v>63.3</v>
      </c>
      <c r="EI252" s="55"/>
      <c r="EJ252" s="55"/>
      <c r="EK252" s="55"/>
      <c r="EL252" s="53">
        <v>1564.4</v>
      </c>
      <c r="EM252" s="55"/>
      <c r="EN252" s="55"/>
      <c r="EO252" s="55"/>
      <c r="EP252" s="55"/>
      <c r="EQ252" s="53">
        <v>228.9</v>
      </c>
      <c r="ER252" s="53">
        <v>127.7</v>
      </c>
      <c r="ES252" s="55"/>
      <c r="ET252" s="53" t="e">
        <v>#VALUE!</v>
      </c>
      <c r="EU252" s="53">
        <v>103</v>
      </c>
      <c r="EV252" s="55"/>
      <c r="EW252" s="53">
        <v>85.7</v>
      </c>
      <c r="EX252" s="53">
        <v>105.7</v>
      </c>
      <c r="EY252" s="55"/>
      <c r="EZ252" s="55"/>
      <c r="FA252" s="55"/>
      <c r="FB252" s="53">
        <v>1485.5</v>
      </c>
      <c r="FC252" s="55"/>
      <c r="FD252" s="55"/>
      <c r="FE252" s="55"/>
      <c r="FF252" s="55"/>
      <c r="FG252" s="53">
        <v>466.5</v>
      </c>
      <c r="FH252" s="53">
        <v>281</v>
      </c>
      <c r="FI252" s="55"/>
      <c r="FJ252" s="53" t="e">
        <v>#VALUE!</v>
      </c>
      <c r="FK252" s="53">
        <v>212.1</v>
      </c>
      <c r="FL252" s="55"/>
      <c r="FM252" s="53">
        <v>168.3</v>
      </c>
      <c r="FN252" s="53">
        <v>228.1</v>
      </c>
      <c r="FO252" s="55"/>
      <c r="FP252" s="55"/>
      <c r="FQ252" s="55"/>
      <c r="FR252" s="53">
        <v>3127.7</v>
      </c>
      <c r="FS252" s="55"/>
      <c r="FT252" s="55"/>
      <c r="FU252" s="55"/>
      <c r="FV252" s="55"/>
      <c r="FW252" s="53">
        <v>292.2</v>
      </c>
      <c r="FX252" s="53" t="e">
        <v>#VALUE!</v>
      </c>
      <c r="FY252" s="55"/>
      <c r="FZ252" s="55"/>
      <c r="GA252" s="53">
        <v>90.7</v>
      </c>
      <c r="GB252" s="55"/>
      <c r="GC252" s="53">
        <v>65.3</v>
      </c>
      <c r="GD252" s="53" t="e">
        <v>#VALUE!</v>
      </c>
      <c r="GE252" s="55"/>
      <c r="GF252" s="55"/>
      <c r="GG252" s="55"/>
      <c r="GH252" s="53">
        <v>1096.4000000000001</v>
      </c>
      <c r="GI252" s="55"/>
      <c r="GJ252" s="55"/>
      <c r="GK252" s="55"/>
      <c r="GL252" s="55"/>
      <c r="GM252" s="53" t="e">
        <v>#VALUE!</v>
      </c>
      <c r="GN252" s="53">
        <v>30.2</v>
      </c>
      <c r="GO252" s="55"/>
      <c r="GP252" s="53">
        <v>4.2</v>
      </c>
      <c r="GQ252" s="53">
        <v>15.1</v>
      </c>
      <c r="GR252" s="55"/>
      <c r="GS252" s="53" t="e">
        <v>#VALUE!</v>
      </c>
      <c r="GT252" s="53" t="e">
        <v>#VALUE!</v>
      </c>
      <c r="GU252" s="55"/>
      <c r="GV252" s="55"/>
      <c r="GW252" s="55"/>
      <c r="GX252" s="53">
        <v>305.8</v>
      </c>
      <c r="GY252" s="19">
        <v>0.9707953272523604</v>
      </c>
      <c r="GZ252" s="53">
        <v>1213.3</v>
      </c>
      <c r="HA252" s="53">
        <v>1249.8</v>
      </c>
      <c r="HB252" s="55"/>
      <c r="HC252" s="55"/>
      <c r="HD252" s="55"/>
      <c r="HE252" s="55"/>
      <c r="HF252" s="53">
        <v>1397.3</v>
      </c>
      <c r="HG252" s="53">
        <v>1347.9</v>
      </c>
      <c r="HH252" s="53">
        <v>651.20000000000005</v>
      </c>
      <c r="HI252" s="53">
        <v>91.1</v>
      </c>
      <c r="HJ252" s="53">
        <v>595.29999999999995</v>
      </c>
      <c r="HK252" s="53">
        <v>10.199999999999999</v>
      </c>
      <c r="HL252" s="53">
        <v>49.5</v>
      </c>
      <c r="HM252" s="55"/>
      <c r="HN252" s="55"/>
      <c r="HO252" s="55"/>
      <c r="HP252" s="53" t="e">
        <v>#VALUE!</v>
      </c>
      <c r="HQ252" s="53">
        <v>5.5</v>
      </c>
      <c r="HR252" s="53">
        <v>8.5</v>
      </c>
      <c r="HS252" s="53" t="e">
        <v>#VALUE!</v>
      </c>
      <c r="HT252" s="53">
        <v>28.1</v>
      </c>
      <c r="HU252" s="55"/>
      <c r="HV252" s="55"/>
      <c r="HW252" s="53">
        <v>234.4</v>
      </c>
      <c r="HX252" s="53" t="e">
        <v>#VALUE!</v>
      </c>
      <c r="HY252" s="53">
        <v>234.4</v>
      </c>
      <c r="HZ252" s="53">
        <v>43.4</v>
      </c>
      <c r="IA252" s="53">
        <v>167.6</v>
      </c>
      <c r="IB252" s="53">
        <v>57.3</v>
      </c>
      <c r="IC252" s="53">
        <v>110.3</v>
      </c>
      <c r="ID252" s="53" t="e">
        <v>#VALUE!</v>
      </c>
      <c r="IE252" s="53" t="e">
        <v>#VALUE!</v>
      </c>
      <c r="IF252" s="53">
        <v>7.3</v>
      </c>
      <c r="IG252" s="53">
        <v>12</v>
      </c>
      <c r="IH252" s="55"/>
      <c r="II252" s="55"/>
      <c r="IJ252" s="55"/>
      <c r="IK252" s="55"/>
      <c r="IL252" s="55"/>
      <c r="IM252" s="55"/>
      <c r="IN252" s="53">
        <v>28.7</v>
      </c>
      <c r="IO252" s="53">
        <v>29.3</v>
      </c>
      <c r="IP252" s="53" t="e">
        <v>#VALUE!</v>
      </c>
      <c r="IQ252" s="53">
        <v>46.6</v>
      </c>
      <c r="IR252" s="53">
        <v>14.6</v>
      </c>
      <c r="IS252" s="53" t="e">
        <v>#VALUE!</v>
      </c>
      <c r="IT252" s="53">
        <v>30.5</v>
      </c>
      <c r="IU252" s="53" t="e">
        <v>#VALUE!</v>
      </c>
      <c r="IV252" s="53" t="e">
        <v>#VALUE!</v>
      </c>
      <c r="IY252" s="48">
        <f t="shared" si="11"/>
        <v>47.904154826818207</v>
      </c>
      <c r="IZ252" s="48">
        <f>IY252-'NOPA Crush'!J252</f>
        <v>0.15415482681820691</v>
      </c>
      <c r="JB252" s="63">
        <f t="shared" si="9"/>
        <v>11.408493971277167</v>
      </c>
      <c r="JC252" s="64">
        <f>JB252-'NOPA Crush'!O252</f>
        <v>-5.1506028722833719E-2</v>
      </c>
      <c r="JD252" s="65"/>
      <c r="JE252" s="67">
        <f t="shared" si="10"/>
        <v>2120.4</v>
      </c>
      <c r="JF252" s="68">
        <f>'NOPA Crush'!Q252/'Census Crush'!JE252</f>
        <v>0.76678126768534238</v>
      </c>
    </row>
    <row r="253" spans="1:266">
      <c r="A253" s="39">
        <v>36739</v>
      </c>
      <c r="B253" s="51">
        <v>3655.3</v>
      </c>
      <c r="C253" s="51">
        <v>1453.7</v>
      </c>
      <c r="D253" s="51">
        <v>170.8</v>
      </c>
      <c r="E253" s="51">
        <v>220.2</v>
      </c>
      <c r="F253" s="51">
        <v>32.799999999999997</v>
      </c>
      <c r="G253" s="51" t="s">
        <v>264</v>
      </c>
      <c r="H253" s="51" t="s">
        <v>264</v>
      </c>
      <c r="I253" s="51" t="s">
        <v>264</v>
      </c>
      <c r="J253" s="51" t="s">
        <v>264</v>
      </c>
      <c r="K253" s="51">
        <v>1388</v>
      </c>
      <c r="L253" s="49">
        <v>2018.1</v>
      </c>
      <c r="M253" s="51">
        <v>1831.3</v>
      </c>
      <c r="N253" s="51">
        <v>186.8</v>
      </c>
      <c r="O253" s="51">
        <v>55.2</v>
      </c>
      <c r="P253" s="51">
        <v>60</v>
      </c>
      <c r="Q253" s="51">
        <v>15.9</v>
      </c>
      <c r="R253" s="51">
        <v>44.1</v>
      </c>
      <c r="S253" s="51"/>
      <c r="T253" s="51">
        <v>28.8</v>
      </c>
      <c r="U253" s="51">
        <v>42.900000000000006</v>
      </c>
      <c r="V253" s="51">
        <v>38.200000000000003</v>
      </c>
      <c r="W253" s="51">
        <v>4.7</v>
      </c>
      <c r="X253" s="51" t="s">
        <v>264</v>
      </c>
      <c r="Y253" s="51" t="s">
        <v>264</v>
      </c>
      <c r="Z253" s="49">
        <v>204</v>
      </c>
      <c r="AA253" s="51">
        <v>191.6</v>
      </c>
      <c r="AB253" s="51">
        <v>12.4</v>
      </c>
      <c r="AC253" s="51" t="s">
        <v>264</v>
      </c>
      <c r="AD253" s="51">
        <v>41.4</v>
      </c>
      <c r="AE253" s="51"/>
      <c r="AF253" s="51">
        <v>175.4</v>
      </c>
      <c r="AG253" s="51">
        <v>149.4</v>
      </c>
      <c r="AH253" s="51">
        <v>26</v>
      </c>
      <c r="AI253" s="51">
        <v>221.9</v>
      </c>
      <c r="AJ253" s="51"/>
      <c r="AK253" s="51"/>
      <c r="AL253" s="51">
        <v>265.89999999999998</v>
      </c>
      <c r="AM253" s="51">
        <v>149.6</v>
      </c>
      <c r="AN253" s="51">
        <v>116.3</v>
      </c>
      <c r="AO253" s="51">
        <v>2693.6</v>
      </c>
      <c r="AP253" s="51">
        <v>177.8</v>
      </c>
      <c r="AQ253" s="51">
        <v>213.2</v>
      </c>
      <c r="AR253" s="51">
        <v>48.1</v>
      </c>
      <c r="AS253" s="51">
        <v>74.2</v>
      </c>
      <c r="AT253" s="51">
        <v>49</v>
      </c>
      <c r="AU253" s="51">
        <v>47.1</v>
      </c>
      <c r="AV253" s="51">
        <v>27.3</v>
      </c>
      <c r="AW253" s="51">
        <v>18</v>
      </c>
      <c r="AX253" s="51">
        <v>6</v>
      </c>
      <c r="AY253" s="51" t="s">
        <v>264</v>
      </c>
      <c r="AZ253" s="51" t="s">
        <v>264</v>
      </c>
      <c r="BA253" s="51" t="s">
        <v>264</v>
      </c>
      <c r="BB253" s="51" t="s">
        <v>264</v>
      </c>
      <c r="BC253" s="51"/>
      <c r="BD253" s="53">
        <v>166.6</v>
      </c>
      <c r="BE253" s="53">
        <v>38.4</v>
      </c>
      <c r="BF253" s="53">
        <v>74</v>
      </c>
      <c r="BG253" s="53">
        <v>6.7</v>
      </c>
      <c r="BH253" s="53">
        <v>326.60000000000002</v>
      </c>
      <c r="BI253" s="55"/>
      <c r="BJ253" s="55"/>
      <c r="BK253" s="53">
        <v>228.7</v>
      </c>
      <c r="BL253" s="53">
        <v>2.7</v>
      </c>
      <c r="BM253" s="53">
        <v>555.29999999999995</v>
      </c>
      <c r="BN253" s="53">
        <v>256.10000000000002</v>
      </c>
      <c r="BO253" s="55"/>
      <c r="BP253" s="55"/>
      <c r="BQ253" s="53">
        <v>171.4</v>
      </c>
      <c r="BR253" s="53">
        <v>0</v>
      </c>
      <c r="BS253" s="53">
        <v>427.5</v>
      </c>
      <c r="BT253" s="52">
        <v>26.6</v>
      </c>
      <c r="BU253" s="53">
        <v>17.399999999999999</v>
      </c>
      <c r="BV253" s="51">
        <v>338</v>
      </c>
      <c r="BW253" s="51">
        <v>117.7</v>
      </c>
      <c r="BX253" s="51">
        <v>455.7</v>
      </c>
      <c r="BY253" s="51">
        <v>45.6</v>
      </c>
      <c r="BZ253" s="51">
        <v>13.5</v>
      </c>
      <c r="CA253" s="49">
        <v>59.1</v>
      </c>
      <c r="CB253" s="55"/>
      <c r="CC253" s="55"/>
      <c r="CD253" s="55"/>
      <c r="CE253" s="55"/>
      <c r="CF253" s="53">
        <v>98</v>
      </c>
      <c r="CG253" s="53">
        <v>106.3</v>
      </c>
      <c r="CH253" s="53">
        <v>6.5</v>
      </c>
      <c r="CI253" s="55"/>
      <c r="CJ253" s="55"/>
      <c r="CK253" s="51">
        <v>349.2</v>
      </c>
      <c r="CL253" s="51">
        <v>44</v>
      </c>
      <c r="CM253" s="51"/>
      <c r="CN253" s="53">
        <v>48</v>
      </c>
      <c r="CO253" s="52">
        <v>161.4</v>
      </c>
      <c r="CP253" s="53">
        <v>114.3</v>
      </c>
      <c r="CQ253" s="53">
        <v>47.1</v>
      </c>
      <c r="CR253" s="52" t="s">
        <v>264</v>
      </c>
      <c r="CS253" s="52">
        <v>41.3</v>
      </c>
      <c r="CT253" s="52">
        <v>24.7</v>
      </c>
      <c r="CU253" s="52">
        <v>16.600000000000001</v>
      </c>
      <c r="CV253" s="52">
        <v>59.1</v>
      </c>
      <c r="CW253" s="53">
        <v>3.4</v>
      </c>
      <c r="CX253" s="53">
        <v>55.7</v>
      </c>
      <c r="CY253" s="53" t="s">
        <v>264</v>
      </c>
      <c r="CZ253" s="53">
        <v>65.5</v>
      </c>
      <c r="DA253" s="52">
        <v>41.300000000000004</v>
      </c>
      <c r="DB253" s="53">
        <v>39.700000000000003</v>
      </c>
      <c r="DC253" s="53">
        <v>1.6</v>
      </c>
      <c r="DD253" s="55"/>
      <c r="DE253" s="55"/>
      <c r="DF253" s="55"/>
      <c r="DG253" s="55"/>
      <c r="DH253" s="55"/>
      <c r="DI253" s="53">
        <v>542.70000000000005</v>
      </c>
      <c r="DJ253" s="53">
        <v>285.60000000000002</v>
      </c>
      <c r="DK253" s="55"/>
      <c r="DL253" s="55"/>
      <c r="DM253" s="53">
        <v>259.7</v>
      </c>
      <c r="DN253" s="55"/>
      <c r="DO253" s="53">
        <v>205.8</v>
      </c>
      <c r="DP253" s="53">
        <v>252.9</v>
      </c>
      <c r="DQ253" s="55"/>
      <c r="DR253" s="55"/>
      <c r="DS253" s="53">
        <v>911.44299999999998</v>
      </c>
      <c r="DT253" s="53">
        <v>3655.3</v>
      </c>
      <c r="DU253" s="53">
        <v>-1197.1570000000002</v>
      </c>
      <c r="DV253" s="53">
        <v>0</v>
      </c>
      <c r="DW253" s="55"/>
      <c r="DX253" s="55"/>
      <c r="DY253" s="55"/>
      <c r="DZ253" s="55"/>
      <c r="EA253" s="53">
        <v>325.89999999999998</v>
      </c>
      <c r="EB253" s="53">
        <v>66.7</v>
      </c>
      <c r="EC253" s="55"/>
      <c r="ED253" s="53">
        <v>47.4</v>
      </c>
      <c r="EE253" s="53">
        <v>61</v>
      </c>
      <c r="EF253" s="55"/>
      <c r="EG253" s="53">
        <v>63.7</v>
      </c>
      <c r="EH253" s="53">
        <v>48.1</v>
      </c>
      <c r="EI253" s="55"/>
      <c r="EJ253" s="55"/>
      <c r="EK253" s="55"/>
      <c r="EL253" s="53">
        <v>1453.7</v>
      </c>
      <c r="EM253" s="55"/>
      <c r="EN253" s="55"/>
      <c r="EO253" s="55"/>
      <c r="EP253" s="55"/>
      <c r="EQ253" s="53">
        <v>211.9</v>
      </c>
      <c r="ER253" s="53">
        <v>109.6</v>
      </c>
      <c r="ES253" s="55"/>
      <c r="ET253" s="53" t="e">
        <v>#VALUE!</v>
      </c>
      <c r="EU253" s="53">
        <v>100</v>
      </c>
      <c r="EV253" s="55"/>
      <c r="EW253" s="53">
        <v>79.900000000000006</v>
      </c>
      <c r="EX253" s="53">
        <v>93.1</v>
      </c>
      <c r="EY253" s="55"/>
      <c r="EZ253" s="55"/>
      <c r="FA253" s="55"/>
      <c r="FB253" s="53">
        <v>1388</v>
      </c>
      <c r="FC253" s="55"/>
      <c r="FD253" s="55"/>
      <c r="FE253" s="55"/>
      <c r="FF253" s="55"/>
      <c r="FG253" s="53">
        <v>430.5</v>
      </c>
      <c r="FH253" s="53">
        <v>230.9</v>
      </c>
      <c r="FI253" s="55"/>
      <c r="FJ253" s="53" t="e">
        <v>#VALUE!</v>
      </c>
      <c r="FK253" s="53">
        <v>209.8</v>
      </c>
      <c r="FL253" s="55"/>
      <c r="FM253" s="53">
        <v>163.4</v>
      </c>
      <c r="FN253" s="53">
        <v>200.6</v>
      </c>
      <c r="FO253" s="55"/>
      <c r="FP253" s="55"/>
      <c r="FQ253" s="55"/>
      <c r="FR253" s="53">
        <v>2915.5</v>
      </c>
      <c r="FS253" s="55"/>
      <c r="FT253" s="55"/>
      <c r="FU253" s="55"/>
      <c r="FV253" s="55"/>
      <c r="FW253" s="53">
        <v>258.2</v>
      </c>
      <c r="FX253" s="53" t="e">
        <v>#VALUE!</v>
      </c>
      <c r="FY253" s="55"/>
      <c r="FZ253" s="55"/>
      <c r="GA253" s="53">
        <v>94.9</v>
      </c>
      <c r="GB253" s="55"/>
      <c r="GC253" s="53">
        <v>68.5</v>
      </c>
      <c r="GD253" s="53" t="e">
        <v>#VALUE!</v>
      </c>
      <c r="GE253" s="55"/>
      <c r="GF253" s="55"/>
      <c r="GG253" s="55"/>
      <c r="GH253" s="53">
        <v>1007.9</v>
      </c>
      <c r="GI253" s="55"/>
      <c r="GJ253" s="55"/>
      <c r="GK253" s="55"/>
      <c r="GL253" s="55"/>
      <c r="GM253" s="53" t="e">
        <v>#VALUE!</v>
      </c>
      <c r="GN253" s="53">
        <v>10.7</v>
      </c>
      <c r="GO253" s="55"/>
      <c r="GP253" s="53">
        <v>6.9</v>
      </c>
      <c r="GQ253" s="53">
        <v>6.7</v>
      </c>
      <c r="GR253" s="55"/>
      <c r="GS253" s="53">
        <v>4.8</v>
      </c>
      <c r="GT253" s="53" t="e">
        <v>#VALUE!</v>
      </c>
      <c r="GU253" s="55"/>
      <c r="GV253" s="55"/>
      <c r="GW253" s="55"/>
      <c r="GX253" s="53">
        <v>225.9</v>
      </c>
      <c r="GY253" s="19">
        <v>0.96295198577356256</v>
      </c>
      <c r="GZ253" s="53">
        <v>1299.5999999999999</v>
      </c>
      <c r="HA253" s="53">
        <v>1349.6</v>
      </c>
      <c r="HB253" s="55"/>
      <c r="HC253" s="55"/>
      <c r="HD253" s="55"/>
      <c r="HE253" s="55"/>
      <c r="HF253" s="53">
        <v>1529.9</v>
      </c>
      <c r="HG253" s="53">
        <v>1488.7</v>
      </c>
      <c r="HH253" s="53">
        <v>731.9</v>
      </c>
      <c r="HI253" s="53">
        <v>117.6</v>
      </c>
      <c r="HJ253" s="53">
        <v>627.1</v>
      </c>
      <c r="HK253" s="53">
        <v>12.2</v>
      </c>
      <c r="HL253" s="53">
        <v>41.2</v>
      </c>
      <c r="HM253" s="55"/>
      <c r="HN253" s="55"/>
      <c r="HO253" s="55"/>
      <c r="HP253" s="53" t="e">
        <v>#VALUE!</v>
      </c>
      <c r="HQ253" s="53">
        <v>6.6</v>
      </c>
      <c r="HR253" s="53">
        <v>6.5</v>
      </c>
      <c r="HS253" s="53" t="e">
        <v>#VALUE!</v>
      </c>
      <c r="HT253" s="53">
        <v>19.8</v>
      </c>
      <c r="HU253" s="55"/>
      <c r="HV253" s="55"/>
      <c r="HW253" s="53">
        <v>260.60000000000002</v>
      </c>
      <c r="HX253" s="53" t="e">
        <v>#VALUE!</v>
      </c>
      <c r="HY253" s="53">
        <v>260.60000000000002</v>
      </c>
      <c r="HZ253" s="53">
        <v>48.8</v>
      </c>
      <c r="IA253" s="53">
        <v>182.4</v>
      </c>
      <c r="IB253" s="53">
        <v>64.3</v>
      </c>
      <c r="IC253" s="53">
        <v>116.9</v>
      </c>
      <c r="ID253" s="53" t="e">
        <v>#VALUE!</v>
      </c>
      <c r="IE253" s="53">
        <v>1.2</v>
      </c>
      <c r="IF253" s="53">
        <v>8.1999999999999993</v>
      </c>
      <c r="IG253" s="53">
        <v>13.8</v>
      </c>
      <c r="IH253" s="55"/>
      <c r="II253" s="55"/>
      <c r="IJ253" s="55"/>
      <c r="IK253" s="55"/>
      <c r="IL253" s="55"/>
      <c r="IM253" s="55"/>
      <c r="IN253" s="53">
        <v>50.7</v>
      </c>
      <c r="IO253" s="53">
        <v>53.8</v>
      </c>
      <c r="IP253" s="53" t="e">
        <v>#VALUE!</v>
      </c>
      <c r="IQ253" s="53">
        <v>53.3</v>
      </c>
      <c r="IR253" s="53">
        <v>18</v>
      </c>
      <c r="IS253" s="53" t="e">
        <v>#VALUE!</v>
      </c>
      <c r="IT253" s="53">
        <v>33.1</v>
      </c>
      <c r="IU253" s="53" t="e">
        <v>#VALUE!</v>
      </c>
      <c r="IV253" s="53" t="e">
        <v>#VALUE!</v>
      </c>
      <c r="IY253" s="48">
        <f t="shared" si="11"/>
        <v>47.713730747134292</v>
      </c>
      <c r="IZ253" s="48">
        <f>IY253-'NOPA Crush'!J253</f>
        <v>3.7307471342913345E-3</v>
      </c>
      <c r="JB253" s="63">
        <f t="shared" si="9"/>
        <v>11.391677837660383</v>
      </c>
      <c r="JC253" s="64">
        <f>JB253-'NOPA Crush'!O253</f>
        <v>-9.8322162339616881E-2</v>
      </c>
      <c r="JD253" s="65"/>
      <c r="JE253" s="67">
        <f t="shared" si="10"/>
        <v>2018.1</v>
      </c>
      <c r="JF253" s="68">
        <f>'NOPA Crush'!Q253/'Census Crush'!JE253</f>
        <v>0.80415737574946733</v>
      </c>
    </row>
    <row r="254" spans="1:266">
      <c r="A254" s="39">
        <v>36770</v>
      </c>
      <c r="B254" s="51">
        <v>3866.6</v>
      </c>
      <c r="C254" s="51">
        <v>1702.9</v>
      </c>
      <c r="D254" s="51">
        <v>141.1</v>
      </c>
      <c r="E254" s="51">
        <v>535.6</v>
      </c>
      <c r="F254" s="51">
        <v>24.3</v>
      </c>
      <c r="G254" s="51" t="s">
        <v>264</v>
      </c>
      <c r="H254" s="51" t="s">
        <v>264</v>
      </c>
      <c r="I254" s="51" t="s">
        <v>264</v>
      </c>
      <c r="J254" s="51" t="s">
        <v>264</v>
      </c>
      <c r="K254" s="51">
        <v>1466</v>
      </c>
      <c r="L254" s="49">
        <v>1993.5</v>
      </c>
      <c r="M254" s="51">
        <v>1771.5</v>
      </c>
      <c r="N254" s="51">
        <v>222</v>
      </c>
      <c r="O254" s="51">
        <v>52</v>
      </c>
      <c r="P254" s="51">
        <v>49</v>
      </c>
      <c r="Q254" s="51">
        <v>10.8</v>
      </c>
      <c r="R254" s="51">
        <v>38.200000000000003</v>
      </c>
      <c r="S254" s="51"/>
      <c r="T254" s="51">
        <v>21.5</v>
      </c>
      <c r="U254" s="51">
        <v>38.6</v>
      </c>
      <c r="V254" s="51">
        <v>35</v>
      </c>
      <c r="W254" s="51">
        <v>3.6</v>
      </c>
      <c r="X254" s="51" t="s">
        <v>264</v>
      </c>
      <c r="Y254" s="51">
        <v>16.8</v>
      </c>
      <c r="Z254" s="49">
        <v>156.70000000000002</v>
      </c>
      <c r="AA254" s="51">
        <v>143.4</v>
      </c>
      <c r="AB254" s="51">
        <v>13.3</v>
      </c>
      <c r="AC254" s="51" t="s">
        <v>264</v>
      </c>
      <c r="AD254" s="51">
        <v>32.700000000000003</v>
      </c>
      <c r="AE254" s="51"/>
      <c r="AF254" s="51">
        <v>206.3</v>
      </c>
      <c r="AG254" s="51">
        <v>177.5</v>
      </c>
      <c r="AH254" s="51">
        <v>28.8</v>
      </c>
      <c r="AI254" s="51">
        <v>206.5</v>
      </c>
      <c r="AJ254" s="51"/>
      <c r="AK254" s="51"/>
      <c r="AL254" s="51">
        <v>267.3</v>
      </c>
      <c r="AM254" s="51">
        <v>143</v>
      </c>
      <c r="AN254" s="51">
        <v>124.3</v>
      </c>
      <c r="AO254" s="51">
        <v>2866.7</v>
      </c>
      <c r="AP254" s="51">
        <v>249.4</v>
      </c>
      <c r="AQ254" s="51">
        <v>223</v>
      </c>
      <c r="AR254" s="51">
        <v>43.4</v>
      </c>
      <c r="AS254" s="51">
        <v>79.2</v>
      </c>
      <c r="AT254" s="51">
        <v>20.8</v>
      </c>
      <c r="AU254" s="51">
        <v>43.2</v>
      </c>
      <c r="AV254" s="51">
        <v>12.6</v>
      </c>
      <c r="AW254" s="51">
        <v>13.8</v>
      </c>
      <c r="AX254" s="51" t="s">
        <v>264</v>
      </c>
      <c r="AY254" s="51" t="s">
        <v>264</v>
      </c>
      <c r="AZ254" s="51" t="s">
        <v>264</v>
      </c>
      <c r="BA254" s="51" t="s">
        <v>264</v>
      </c>
      <c r="BB254" s="51" t="s">
        <v>264</v>
      </c>
      <c r="BC254" s="51"/>
      <c r="BD254" s="53">
        <v>152.6</v>
      </c>
      <c r="BE254" s="53">
        <v>40.200000000000003</v>
      </c>
      <c r="BF254" s="53">
        <v>64.3</v>
      </c>
      <c r="BG254" s="53">
        <v>6</v>
      </c>
      <c r="BH254" s="53">
        <v>301.10000000000002</v>
      </c>
      <c r="BI254" s="55"/>
      <c r="BJ254" s="55"/>
      <c r="BK254" s="53">
        <v>220.1</v>
      </c>
      <c r="BL254" s="53">
        <v>2.6</v>
      </c>
      <c r="BM254" s="53">
        <v>521.20000000000005</v>
      </c>
      <c r="BN254" s="53">
        <v>254.4</v>
      </c>
      <c r="BO254" s="55"/>
      <c r="BP254" s="55"/>
      <c r="BQ254" s="53">
        <v>174.3</v>
      </c>
      <c r="BR254" s="53">
        <v>0</v>
      </c>
      <c r="BS254" s="53">
        <v>428.70000000000005</v>
      </c>
      <c r="BT254" s="52">
        <v>29</v>
      </c>
      <c r="BU254" s="53">
        <v>17.600000000000001</v>
      </c>
      <c r="BV254" s="51">
        <v>315.60000000000002</v>
      </c>
      <c r="BW254" s="51">
        <v>111</v>
      </c>
      <c r="BX254" s="51">
        <v>426.6</v>
      </c>
      <c r="BY254" s="51">
        <v>46.3</v>
      </c>
      <c r="BZ254" s="51">
        <v>15.1</v>
      </c>
      <c r="CA254" s="49">
        <v>61.4</v>
      </c>
      <c r="CB254" s="55"/>
      <c r="CC254" s="55"/>
      <c r="CD254" s="55"/>
      <c r="CE254" s="55"/>
      <c r="CF254" s="53">
        <v>92.1</v>
      </c>
      <c r="CG254" s="53">
        <v>102.8</v>
      </c>
      <c r="CH254" s="53">
        <v>7.3</v>
      </c>
      <c r="CI254" s="55"/>
      <c r="CJ254" s="55"/>
      <c r="CK254" s="51">
        <v>316.5</v>
      </c>
      <c r="CL254" s="51">
        <v>37.6</v>
      </c>
      <c r="CM254" s="51"/>
      <c r="CN254" s="53">
        <v>31.5</v>
      </c>
      <c r="CO254" s="52">
        <v>136.4</v>
      </c>
      <c r="CP254" s="53">
        <v>85.5</v>
      </c>
      <c r="CQ254" s="53">
        <v>50.9</v>
      </c>
      <c r="CR254" s="52" t="s">
        <v>264</v>
      </c>
      <c r="CS254" s="52">
        <v>54.3</v>
      </c>
      <c r="CT254" s="52">
        <v>37.9</v>
      </c>
      <c r="CU254" s="52">
        <v>16.399999999999999</v>
      </c>
      <c r="CV254" s="52">
        <v>56.7</v>
      </c>
      <c r="CW254" s="53">
        <v>6.1</v>
      </c>
      <c r="CX254" s="53">
        <v>50.6</v>
      </c>
      <c r="CY254" s="53" t="s">
        <v>264</v>
      </c>
      <c r="CZ254" s="53">
        <v>48.1</v>
      </c>
      <c r="DA254" s="52">
        <v>34.5</v>
      </c>
      <c r="DB254" s="53">
        <v>32.9</v>
      </c>
      <c r="DC254" s="53">
        <v>1.6</v>
      </c>
      <c r="DD254" s="55"/>
      <c r="DE254" s="55"/>
      <c r="DF254" s="55"/>
      <c r="DG254" s="55"/>
      <c r="DH254" s="55"/>
      <c r="DI254" s="53">
        <v>631.6</v>
      </c>
      <c r="DJ254" s="53">
        <v>350.4</v>
      </c>
      <c r="DK254" s="55"/>
      <c r="DL254" s="55"/>
      <c r="DM254" s="53">
        <v>256.7</v>
      </c>
      <c r="DN254" s="55"/>
      <c r="DO254" s="53">
        <v>248.6</v>
      </c>
      <c r="DP254" s="53">
        <v>267.8</v>
      </c>
      <c r="DQ254" s="55"/>
      <c r="DR254" s="55"/>
      <c r="DS254" s="53">
        <v>834.83299999999997</v>
      </c>
      <c r="DT254" s="53">
        <v>3866.6</v>
      </c>
      <c r="DU254" s="53">
        <v>-1276.6669999999999</v>
      </c>
      <c r="DV254" s="53">
        <v>0</v>
      </c>
      <c r="DW254" s="55"/>
      <c r="DX254" s="55"/>
      <c r="DY254" s="55"/>
      <c r="DZ254" s="55"/>
      <c r="EA254" s="53">
        <v>474.8</v>
      </c>
      <c r="EB254" s="53">
        <v>93.9</v>
      </c>
      <c r="EC254" s="55"/>
      <c r="ED254" s="53">
        <v>70</v>
      </c>
      <c r="EE254" s="53">
        <v>101</v>
      </c>
      <c r="EF254" s="55"/>
      <c r="EG254" s="53">
        <v>57.2</v>
      </c>
      <c r="EH254" s="53" t="e">
        <v>#VALUE!</v>
      </c>
      <c r="EI254" s="55"/>
      <c r="EJ254" s="55"/>
      <c r="EK254" s="55"/>
      <c r="EL254" s="53">
        <v>1702.9</v>
      </c>
      <c r="EM254" s="55"/>
      <c r="EN254" s="55"/>
      <c r="EO254" s="55"/>
      <c r="EP254" s="55"/>
      <c r="EQ254" s="53">
        <v>246.2</v>
      </c>
      <c r="ER254" s="53">
        <v>128</v>
      </c>
      <c r="ES254" s="55"/>
      <c r="ET254" s="53" t="e">
        <v>#VALUE!</v>
      </c>
      <c r="EU254" s="53">
        <v>97.9</v>
      </c>
      <c r="EV254" s="55"/>
      <c r="EW254" s="53">
        <v>95.8</v>
      </c>
      <c r="EX254" s="53">
        <v>100</v>
      </c>
      <c r="EY254" s="55"/>
      <c r="EZ254" s="55"/>
      <c r="FA254" s="55"/>
      <c r="FB254" s="53">
        <v>1466</v>
      </c>
      <c r="FC254" s="55"/>
      <c r="FD254" s="55"/>
      <c r="FE254" s="55"/>
      <c r="FF254" s="55"/>
      <c r="FG254" s="53">
        <v>501.1</v>
      </c>
      <c r="FH254" s="53">
        <v>290</v>
      </c>
      <c r="FI254" s="55"/>
      <c r="FJ254" s="53" t="e">
        <v>#VALUE!</v>
      </c>
      <c r="FK254" s="53">
        <v>205</v>
      </c>
      <c r="FL254" s="55"/>
      <c r="FM254" s="53">
        <v>198.3</v>
      </c>
      <c r="FN254" s="53">
        <v>210.7</v>
      </c>
      <c r="FO254" s="55"/>
      <c r="FP254" s="55"/>
      <c r="FQ254" s="55"/>
      <c r="FR254" s="53">
        <v>3097.8</v>
      </c>
      <c r="FS254" s="55"/>
      <c r="FT254" s="55"/>
      <c r="FU254" s="55"/>
      <c r="FV254" s="55"/>
      <c r="FW254" s="53">
        <v>264</v>
      </c>
      <c r="FX254" s="53" t="e">
        <v>#VALUE!</v>
      </c>
      <c r="FY254" s="55"/>
      <c r="FZ254" s="55"/>
      <c r="GA254" s="53">
        <v>90.6</v>
      </c>
      <c r="GB254" s="55"/>
      <c r="GC254" s="53">
        <v>71.5</v>
      </c>
      <c r="GD254" s="53" t="e">
        <v>#VALUE!</v>
      </c>
      <c r="GE254" s="55"/>
      <c r="GF254" s="55"/>
      <c r="GG254" s="55"/>
      <c r="GH254" s="53">
        <v>993.8</v>
      </c>
      <c r="GI254" s="55"/>
      <c r="GJ254" s="55"/>
      <c r="GK254" s="55"/>
      <c r="GL254" s="55"/>
      <c r="GM254" s="53" t="e">
        <v>#VALUE!</v>
      </c>
      <c r="GN254" s="53">
        <v>19.100000000000001</v>
      </c>
      <c r="GO254" s="55"/>
      <c r="GP254" s="53" t="e">
        <v>#VALUE!</v>
      </c>
      <c r="GQ254" s="53">
        <v>13.9</v>
      </c>
      <c r="GR254" s="55"/>
      <c r="GS254" s="53" t="e">
        <v>#VALUE!</v>
      </c>
      <c r="GT254" s="53" t="e">
        <v>#VALUE!</v>
      </c>
      <c r="GU254" s="55"/>
      <c r="GV254" s="55"/>
      <c r="GW254" s="55"/>
      <c r="GX254" s="53">
        <v>292.89999999999998</v>
      </c>
      <c r="GY254" s="19">
        <v>0.9715159197673553</v>
      </c>
      <c r="GZ254" s="53">
        <v>1302.9000000000001</v>
      </c>
      <c r="HA254" s="53">
        <v>1341.1</v>
      </c>
      <c r="HB254" s="55"/>
      <c r="HC254" s="55"/>
      <c r="HD254" s="55"/>
      <c r="HE254" s="55"/>
      <c r="HF254" s="53">
        <v>1444.6</v>
      </c>
      <c r="HG254" s="53">
        <v>1393.7</v>
      </c>
      <c r="HH254" s="53">
        <v>667.8</v>
      </c>
      <c r="HI254" s="53">
        <v>108.7</v>
      </c>
      <c r="HJ254" s="53">
        <v>605.9</v>
      </c>
      <c r="HK254" s="53">
        <v>11.3</v>
      </c>
      <c r="HL254" s="53">
        <v>50.9</v>
      </c>
      <c r="HM254" s="55"/>
      <c r="HN254" s="55"/>
      <c r="HO254" s="55"/>
      <c r="HP254" s="53" t="e">
        <v>#VALUE!</v>
      </c>
      <c r="HQ254" s="53">
        <v>7.7</v>
      </c>
      <c r="HR254" s="53">
        <v>7</v>
      </c>
      <c r="HS254" s="53" t="e">
        <v>#VALUE!</v>
      </c>
      <c r="HT254" s="53">
        <v>27.1</v>
      </c>
      <c r="HU254" s="55"/>
      <c r="HV254" s="55"/>
      <c r="HW254" s="53">
        <v>232.5</v>
      </c>
      <c r="HX254" s="53" t="e">
        <v>#VALUE!</v>
      </c>
      <c r="HY254" s="53">
        <v>232.5</v>
      </c>
      <c r="HZ254" s="53">
        <v>40.6</v>
      </c>
      <c r="IA254" s="53">
        <v>167.2</v>
      </c>
      <c r="IB254" s="53">
        <v>62.5</v>
      </c>
      <c r="IC254" s="53">
        <v>104.7</v>
      </c>
      <c r="ID254" s="53" t="e">
        <v>#VALUE!</v>
      </c>
      <c r="IE254" s="53" t="e">
        <v>#VALUE!</v>
      </c>
      <c r="IF254" s="53">
        <v>7.1</v>
      </c>
      <c r="IG254" s="53">
        <v>13.9</v>
      </c>
      <c r="IH254" s="55"/>
      <c r="II254" s="55"/>
      <c r="IJ254" s="55"/>
      <c r="IK254" s="55"/>
      <c r="IL254" s="55"/>
      <c r="IM254" s="55"/>
      <c r="IN254" s="53">
        <v>42.9</v>
      </c>
      <c r="IO254" s="53">
        <v>43.9</v>
      </c>
      <c r="IP254" s="53" t="e">
        <v>#VALUE!</v>
      </c>
      <c r="IQ254" s="53">
        <v>39.700000000000003</v>
      </c>
      <c r="IR254" s="53">
        <v>14.8</v>
      </c>
      <c r="IS254" s="53" t="e">
        <v>#VALUE!</v>
      </c>
      <c r="IT254" s="53">
        <v>22.6</v>
      </c>
      <c r="IU254" s="53" t="e">
        <v>#VALUE!</v>
      </c>
      <c r="IV254" s="53" t="e">
        <v>#VALUE!</v>
      </c>
      <c r="IY254" s="48">
        <f t="shared" si="11"/>
        <v>47.944447318057207</v>
      </c>
      <c r="IZ254" s="48">
        <f>IY254-'NOPA Crush'!J254</f>
        <v>0.55444731805720693</v>
      </c>
      <c r="JB254" s="63">
        <f t="shared" si="9"/>
        <v>11.374334040242074</v>
      </c>
      <c r="JC254" s="64">
        <f>JB254-'NOPA Crush'!O254</f>
        <v>-6.5665959757925663E-2</v>
      </c>
      <c r="JD254" s="65"/>
      <c r="JE254" s="67">
        <f t="shared" si="10"/>
        <v>1993.5</v>
      </c>
      <c r="JF254" s="68">
        <f>'NOPA Crush'!Q254/'Census Crush'!JE254</f>
        <v>0.81233358414848256</v>
      </c>
    </row>
    <row r="255" spans="1:266">
      <c r="A255" s="39">
        <v>36800</v>
      </c>
      <c r="B255" s="51">
        <v>4473.8999999999996</v>
      </c>
      <c r="C255" s="51">
        <v>5383.4</v>
      </c>
      <c r="D255" s="51">
        <v>265.89999999999998</v>
      </c>
      <c r="E255" s="51">
        <v>1317</v>
      </c>
      <c r="F255" s="51">
        <v>28</v>
      </c>
      <c r="G255" s="51" t="s">
        <v>264</v>
      </c>
      <c r="H255" s="51" t="s">
        <v>264</v>
      </c>
      <c r="I255" s="51" t="s">
        <v>264</v>
      </c>
      <c r="J255" s="51" t="s">
        <v>264</v>
      </c>
      <c r="K255" s="51">
        <v>1672.7</v>
      </c>
      <c r="L255" s="49">
        <v>2060.7999999999997</v>
      </c>
      <c r="M255" s="51">
        <v>1873.6</v>
      </c>
      <c r="N255" s="51">
        <v>187.2</v>
      </c>
      <c r="O255" s="51">
        <v>84.8</v>
      </c>
      <c r="P255" s="51">
        <v>66.400000000000006</v>
      </c>
      <c r="Q255" s="51">
        <v>17.399999999999999</v>
      </c>
      <c r="R255" s="51">
        <v>49</v>
      </c>
      <c r="S255" s="51"/>
      <c r="T255" s="51">
        <v>25.4</v>
      </c>
      <c r="U255" s="51">
        <v>27.2</v>
      </c>
      <c r="V255" s="51">
        <v>25</v>
      </c>
      <c r="W255" s="51">
        <v>2.2000000000000002</v>
      </c>
      <c r="X255" s="51" t="s">
        <v>264</v>
      </c>
      <c r="Y255" s="51" t="s">
        <v>264</v>
      </c>
      <c r="Z255" s="49">
        <v>195.9</v>
      </c>
      <c r="AA255" s="51">
        <v>187.4</v>
      </c>
      <c r="AB255" s="51">
        <v>8.5</v>
      </c>
      <c r="AC255" s="51" t="s">
        <v>264</v>
      </c>
      <c r="AD255" s="51">
        <v>70.2</v>
      </c>
      <c r="AE255" s="51"/>
      <c r="AF255" s="51">
        <v>202.4</v>
      </c>
      <c r="AG255" s="51">
        <v>174.8</v>
      </c>
      <c r="AH255" s="51">
        <v>27.6</v>
      </c>
      <c r="AI255" s="51">
        <v>206.5</v>
      </c>
      <c r="AJ255" s="51"/>
      <c r="AK255" s="51"/>
      <c r="AL255" s="51">
        <v>258.89999999999998</v>
      </c>
      <c r="AM255" s="51">
        <v>137.19999999999999</v>
      </c>
      <c r="AN255" s="51">
        <v>121.7</v>
      </c>
      <c r="AO255" s="51">
        <v>3321.5</v>
      </c>
      <c r="AP255" s="51">
        <v>280.5</v>
      </c>
      <c r="AQ255" s="51">
        <v>252.4</v>
      </c>
      <c r="AR255" s="51">
        <v>36.9</v>
      </c>
      <c r="AS255" s="51">
        <v>134.9</v>
      </c>
      <c r="AT255" s="51">
        <v>31.6</v>
      </c>
      <c r="AU255" s="51">
        <v>71</v>
      </c>
      <c r="AV255" s="51">
        <v>15.6</v>
      </c>
      <c r="AW255" s="51">
        <v>15.7</v>
      </c>
      <c r="AX255" s="51">
        <v>6.3</v>
      </c>
      <c r="AY255" s="51" t="s">
        <v>264</v>
      </c>
      <c r="AZ255" s="51" t="s">
        <v>264</v>
      </c>
      <c r="BA255" s="51" t="s">
        <v>264</v>
      </c>
      <c r="BB255" s="51" t="s">
        <v>264</v>
      </c>
      <c r="BC255" s="51"/>
      <c r="BD255" s="53">
        <v>161.1</v>
      </c>
      <c r="BE255" s="53">
        <v>33.4</v>
      </c>
      <c r="BF255" s="53">
        <v>70</v>
      </c>
      <c r="BG255" s="53">
        <v>7.5</v>
      </c>
      <c r="BH255" s="53">
        <v>329</v>
      </c>
      <c r="BI255" s="55"/>
      <c r="BJ255" s="55"/>
      <c r="BK255" s="53">
        <v>226.9</v>
      </c>
      <c r="BL255" s="53">
        <v>2.6</v>
      </c>
      <c r="BM255" s="53">
        <v>555.9</v>
      </c>
      <c r="BN255" s="53">
        <v>223.8</v>
      </c>
      <c r="BO255" s="55"/>
      <c r="BP255" s="55"/>
      <c r="BQ255" s="53">
        <v>134.30000000000001</v>
      </c>
      <c r="BR255" s="53">
        <v>0</v>
      </c>
      <c r="BS255" s="53">
        <v>358.1</v>
      </c>
      <c r="BT255" s="52">
        <v>30.9</v>
      </c>
      <c r="BU255" s="53">
        <v>16.399999999999999</v>
      </c>
      <c r="BV255" s="51">
        <v>322.89999999999998</v>
      </c>
      <c r="BW255" s="51">
        <v>119.7</v>
      </c>
      <c r="BX255" s="51">
        <v>442.5</v>
      </c>
      <c r="BY255" s="51">
        <v>49.4</v>
      </c>
      <c r="BZ255" s="51">
        <v>16.100000000000001</v>
      </c>
      <c r="CA255" s="49">
        <v>65.5</v>
      </c>
      <c r="CB255" s="55"/>
      <c r="CC255" s="55"/>
      <c r="CD255" s="55"/>
      <c r="CE255" s="55"/>
      <c r="CF255" s="53">
        <v>98.3</v>
      </c>
      <c r="CG255" s="53">
        <v>91.4</v>
      </c>
      <c r="CH255" s="53">
        <v>7</v>
      </c>
      <c r="CI255" s="55"/>
      <c r="CJ255" s="55"/>
      <c r="CK255" s="51">
        <v>328</v>
      </c>
      <c r="CL255" s="51">
        <v>32.4</v>
      </c>
      <c r="CM255" s="51"/>
      <c r="CN255" s="53">
        <v>44.1</v>
      </c>
      <c r="CO255" s="52">
        <v>178.1</v>
      </c>
      <c r="CP255" s="53">
        <v>103.8</v>
      </c>
      <c r="CQ255" s="53">
        <v>74.3</v>
      </c>
      <c r="CR255" s="52" t="s">
        <v>264</v>
      </c>
      <c r="CS255" s="52">
        <v>58.7</v>
      </c>
      <c r="CT255" s="52">
        <v>40.6</v>
      </c>
      <c r="CU255" s="52">
        <v>18.100000000000001</v>
      </c>
      <c r="CV255" s="52">
        <v>61.6</v>
      </c>
      <c r="CW255" s="53">
        <v>5.5</v>
      </c>
      <c r="CX255" s="53">
        <v>56.1</v>
      </c>
      <c r="CY255" s="53" t="s">
        <v>264</v>
      </c>
      <c r="CZ255" s="53">
        <v>85</v>
      </c>
      <c r="DA255" s="52">
        <v>31.9</v>
      </c>
      <c r="DB255" s="53">
        <v>30</v>
      </c>
      <c r="DC255" s="53">
        <v>1.9</v>
      </c>
      <c r="DD255" s="55"/>
      <c r="DE255" s="55"/>
      <c r="DF255" s="55"/>
      <c r="DG255" s="55"/>
      <c r="DH255" s="55"/>
      <c r="DI255" s="53">
        <v>733.1</v>
      </c>
      <c r="DJ255" s="53">
        <v>381.4</v>
      </c>
      <c r="DK255" s="55"/>
      <c r="DL255" s="53">
        <v>162.5</v>
      </c>
      <c r="DM255" s="53">
        <v>293.2</v>
      </c>
      <c r="DN255" s="55"/>
      <c r="DO255" s="53">
        <v>274.3</v>
      </c>
      <c r="DP255" s="53">
        <v>322</v>
      </c>
      <c r="DQ255" s="55"/>
      <c r="DR255" s="55"/>
      <c r="DS255" s="53">
        <v>988.67200000000003</v>
      </c>
      <c r="DT255" s="53">
        <v>4473.8999999999996</v>
      </c>
      <c r="DU255" s="53">
        <v>-1318.7279999999996</v>
      </c>
      <c r="DV255" s="53">
        <v>0</v>
      </c>
      <c r="DW255" s="55"/>
      <c r="DX255" s="55"/>
      <c r="DY255" s="55"/>
      <c r="DZ255" s="55"/>
      <c r="EA255" s="53" t="e">
        <v>#VALUE!</v>
      </c>
      <c r="EB255" s="53">
        <v>725.4</v>
      </c>
      <c r="EC255" s="55"/>
      <c r="ED255" s="53" t="e">
        <v>#VALUE!</v>
      </c>
      <c r="EE255" s="53">
        <v>151.80000000000001</v>
      </c>
      <c r="EF255" s="55"/>
      <c r="EG255" s="53">
        <v>215.1</v>
      </c>
      <c r="EH255" s="53" t="e">
        <v>#VALUE!</v>
      </c>
      <c r="EI255" s="55"/>
      <c r="EJ255" s="55"/>
      <c r="EK255" s="55"/>
      <c r="EL255" s="53">
        <v>5383.4</v>
      </c>
      <c r="EM255" s="55"/>
      <c r="EN255" s="55"/>
      <c r="EO255" s="55"/>
      <c r="EP255" s="55"/>
      <c r="EQ255" s="53">
        <v>277.5</v>
      </c>
      <c r="ER255" s="53">
        <v>141.4</v>
      </c>
      <c r="ES255" s="55"/>
      <c r="ET255" s="53">
        <v>60.7</v>
      </c>
      <c r="EU255" s="53">
        <v>113.5</v>
      </c>
      <c r="EV255" s="55"/>
      <c r="EW255" s="53">
        <v>104.6</v>
      </c>
      <c r="EX255" s="53">
        <v>116.7</v>
      </c>
      <c r="EY255" s="55"/>
      <c r="EZ255" s="55"/>
      <c r="FA255" s="55"/>
      <c r="FB255" s="53">
        <v>1672.7</v>
      </c>
      <c r="FC255" s="55"/>
      <c r="FD255" s="55"/>
      <c r="FE255" s="55"/>
      <c r="FF255" s="55"/>
      <c r="FG255" s="53">
        <v>583.70000000000005</v>
      </c>
      <c r="FH255" s="53">
        <v>312.10000000000002</v>
      </c>
      <c r="FI255" s="55"/>
      <c r="FJ255" s="53" t="e">
        <v>#VALUE!</v>
      </c>
      <c r="FK255" s="53">
        <v>235.2</v>
      </c>
      <c r="FL255" s="55"/>
      <c r="FM255" s="53">
        <v>218.9</v>
      </c>
      <c r="FN255" s="53">
        <v>253.8</v>
      </c>
      <c r="FO255" s="55"/>
      <c r="FP255" s="55"/>
      <c r="FQ255" s="55"/>
      <c r="FR255" s="53">
        <v>3582.7</v>
      </c>
      <c r="FS255" s="55"/>
      <c r="FT255" s="55"/>
      <c r="FU255" s="55"/>
      <c r="FV255" s="55"/>
      <c r="FW255" s="53">
        <v>276.8</v>
      </c>
      <c r="FX255" s="53" t="e">
        <v>#VALUE!</v>
      </c>
      <c r="FY255" s="55"/>
      <c r="FZ255" s="55"/>
      <c r="GA255" s="53">
        <v>83.7</v>
      </c>
      <c r="GB255" s="55"/>
      <c r="GC255" s="53" t="e">
        <v>#VALUE!</v>
      </c>
      <c r="GD255" s="53" t="e">
        <v>#VALUE!</v>
      </c>
      <c r="GE255" s="55"/>
      <c r="GF255" s="55"/>
      <c r="GG255" s="55"/>
      <c r="GH255" s="53">
        <v>1039.2</v>
      </c>
      <c r="GI255" s="55"/>
      <c r="GJ255" s="55"/>
      <c r="GK255" s="55"/>
      <c r="GL255" s="55"/>
      <c r="GM255" s="53">
        <v>116.9</v>
      </c>
      <c r="GN255" s="53">
        <v>17.399999999999999</v>
      </c>
      <c r="GO255" s="55"/>
      <c r="GP255" s="53">
        <v>6.1</v>
      </c>
      <c r="GQ255" s="53">
        <v>23.6</v>
      </c>
      <c r="GR255" s="55"/>
      <c r="GS255" s="53" t="e">
        <v>#VALUE!</v>
      </c>
      <c r="GT255" s="53" t="e">
        <v>#VALUE!</v>
      </c>
      <c r="GU255" s="55"/>
      <c r="GV255" s="55"/>
      <c r="GW255" s="55"/>
      <c r="GX255" s="53">
        <v>317.39999999999998</v>
      </c>
      <c r="GY255" s="19">
        <v>0.96966937517511909</v>
      </c>
      <c r="GZ255" s="53">
        <v>1384.3</v>
      </c>
      <c r="HA255" s="53">
        <v>1427.6</v>
      </c>
      <c r="HB255" s="55"/>
      <c r="HC255" s="55"/>
      <c r="HD255" s="55"/>
      <c r="HE255" s="55"/>
      <c r="HF255" s="53">
        <v>1610.4</v>
      </c>
      <c r="HG255" s="53">
        <v>1560.1</v>
      </c>
      <c r="HH255" s="53">
        <v>738.1</v>
      </c>
      <c r="HI255" s="53">
        <v>138.1</v>
      </c>
      <c r="HJ255" s="53">
        <v>672.2</v>
      </c>
      <c r="HK255" s="53">
        <v>11.7</v>
      </c>
      <c r="HL255" s="53">
        <v>50.3</v>
      </c>
      <c r="HM255" s="55"/>
      <c r="HN255" s="55"/>
      <c r="HO255" s="55"/>
      <c r="HP255" s="53" t="e">
        <v>#VALUE!</v>
      </c>
      <c r="HQ255" s="53">
        <v>6.3</v>
      </c>
      <c r="HR255" s="53">
        <v>7.9</v>
      </c>
      <c r="HS255" s="53" t="e">
        <v>#VALUE!</v>
      </c>
      <c r="HT255" s="53">
        <v>28.6</v>
      </c>
      <c r="HU255" s="55"/>
      <c r="HV255" s="55"/>
      <c r="HW255" s="53">
        <v>257.8</v>
      </c>
      <c r="HX255" s="53" t="e">
        <v>#VALUE!</v>
      </c>
      <c r="HY255" s="53">
        <v>257.8</v>
      </c>
      <c r="HZ255" s="53">
        <v>51.1</v>
      </c>
      <c r="IA255" s="53">
        <v>183.5</v>
      </c>
      <c r="IB255" s="53">
        <v>65.7</v>
      </c>
      <c r="IC255" s="53">
        <v>117.8</v>
      </c>
      <c r="ID255" s="53" t="e">
        <v>#VALUE!</v>
      </c>
      <c r="IE255" s="53" t="e">
        <v>#VALUE!</v>
      </c>
      <c r="IF255" s="53">
        <v>8.6</v>
      </c>
      <c r="IG255" s="53">
        <v>9.5</v>
      </c>
      <c r="IH255" s="55"/>
      <c r="II255" s="55"/>
      <c r="IJ255" s="55"/>
      <c r="IK255" s="55"/>
      <c r="IL255" s="55"/>
      <c r="IM255" s="55"/>
      <c r="IN255" s="53">
        <v>61.4</v>
      </c>
      <c r="IO255" s="53">
        <v>63.6</v>
      </c>
      <c r="IP255" s="53" t="e">
        <v>#VALUE!</v>
      </c>
      <c r="IQ255" s="53">
        <v>42</v>
      </c>
      <c r="IR255" s="53">
        <v>18.2</v>
      </c>
      <c r="IS255" s="53" t="e">
        <v>#VALUE!</v>
      </c>
      <c r="IT255" s="53">
        <v>21.5</v>
      </c>
      <c r="IU255" s="53" t="e">
        <v>#VALUE!</v>
      </c>
      <c r="IV255" s="53" t="e">
        <v>#VALUE!</v>
      </c>
      <c r="IY255" s="48">
        <f t="shared" si="11"/>
        <v>47.929993964996989</v>
      </c>
      <c r="IZ255" s="48">
        <f>IY255-'NOPA Crush'!J255</f>
        <v>0.14999396499698747</v>
      </c>
      <c r="JB255" s="63">
        <f t="shared" si="9"/>
        <v>11.216388385971971</v>
      </c>
      <c r="JC255" s="64">
        <f>JB255-'NOPA Crush'!O255</f>
        <v>-7.3611614028028072E-2</v>
      </c>
      <c r="JD255" s="65"/>
      <c r="JE255" s="67">
        <f t="shared" si="10"/>
        <v>2060.7999999999997</v>
      </c>
      <c r="JF255" s="68">
        <f>'NOPA Crush'!Q255/'Census Crush'!JE255</f>
        <v>0.84519361413043492</v>
      </c>
    </row>
    <row r="256" spans="1:266">
      <c r="A256" s="39">
        <v>36831</v>
      </c>
      <c r="B256" s="51">
        <v>4293.6000000000004</v>
      </c>
      <c r="C256" s="51">
        <v>5002.8999999999996</v>
      </c>
      <c r="D256" s="51">
        <v>252.3</v>
      </c>
      <c r="E256" s="51">
        <v>1754.1</v>
      </c>
      <c r="F256" s="51">
        <v>19.2</v>
      </c>
      <c r="G256" s="51" t="s">
        <v>264</v>
      </c>
      <c r="H256" s="51" t="s">
        <v>264</v>
      </c>
      <c r="I256" s="51" t="s">
        <v>264</v>
      </c>
      <c r="J256" s="51" t="s">
        <v>264</v>
      </c>
      <c r="K256" s="51">
        <v>1590.8</v>
      </c>
      <c r="L256" s="49">
        <v>2163.4</v>
      </c>
      <c r="M256" s="51">
        <v>1957.7</v>
      </c>
      <c r="N256" s="51">
        <v>205.7</v>
      </c>
      <c r="O256" s="51">
        <v>76.5</v>
      </c>
      <c r="P256" s="51">
        <v>75.099999999999994</v>
      </c>
      <c r="Q256" s="51">
        <v>20.7</v>
      </c>
      <c r="R256" s="51">
        <v>54.4</v>
      </c>
      <c r="S256" s="51"/>
      <c r="T256" s="51">
        <v>16.399999999999999</v>
      </c>
      <c r="U256" s="51">
        <v>24.9</v>
      </c>
      <c r="V256" s="51">
        <v>23</v>
      </c>
      <c r="W256" s="51">
        <v>1.9</v>
      </c>
      <c r="X256" s="51" t="s">
        <v>264</v>
      </c>
      <c r="Y256" s="51" t="s">
        <v>264</v>
      </c>
      <c r="Z256" s="49">
        <v>245.2</v>
      </c>
      <c r="AA256" s="51">
        <v>225.7</v>
      </c>
      <c r="AB256" s="51">
        <v>19.5</v>
      </c>
      <c r="AC256" s="51" t="s">
        <v>264</v>
      </c>
      <c r="AD256" s="51">
        <v>52.6</v>
      </c>
      <c r="AE256" s="51"/>
      <c r="AF256" s="51">
        <v>148.5</v>
      </c>
      <c r="AG256" s="51">
        <v>116.8</v>
      </c>
      <c r="AH256" s="51">
        <v>31.7</v>
      </c>
      <c r="AI256" s="51">
        <v>190.3</v>
      </c>
      <c r="AJ256" s="51"/>
      <c r="AK256" s="51"/>
      <c r="AL256" s="51">
        <v>241.8</v>
      </c>
      <c r="AM256" s="51">
        <v>119.4</v>
      </c>
      <c r="AN256" s="51">
        <v>122.4</v>
      </c>
      <c r="AO256" s="51">
        <v>3197.7</v>
      </c>
      <c r="AP256" s="51">
        <v>315.10000000000002</v>
      </c>
      <c r="AQ256" s="51">
        <v>235.1</v>
      </c>
      <c r="AR256" s="51">
        <v>28.8</v>
      </c>
      <c r="AS256" s="51">
        <v>120.9</v>
      </c>
      <c r="AT256" s="51">
        <v>38.6</v>
      </c>
      <c r="AU256" s="51">
        <v>68.2</v>
      </c>
      <c r="AV256" s="51">
        <v>16.399999999999999</v>
      </c>
      <c r="AW256" s="51">
        <v>10.5</v>
      </c>
      <c r="AX256" s="51">
        <v>1.4</v>
      </c>
      <c r="AY256" s="51" t="s">
        <v>264</v>
      </c>
      <c r="AZ256" s="51" t="s">
        <v>264</v>
      </c>
      <c r="BA256" s="51" t="s">
        <v>264</v>
      </c>
      <c r="BB256" s="51" t="s">
        <v>264</v>
      </c>
      <c r="BC256" s="51"/>
      <c r="BD256" s="53">
        <v>147.1</v>
      </c>
      <c r="BE256" s="53">
        <v>36</v>
      </c>
      <c r="BF256" s="53">
        <v>65.900000000000006</v>
      </c>
      <c r="BG256" s="53">
        <v>6.8</v>
      </c>
      <c r="BH256" s="53">
        <v>307.2</v>
      </c>
      <c r="BI256" s="55"/>
      <c r="BJ256" s="55"/>
      <c r="BK256" s="53">
        <v>217.9</v>
      </c>
      <c r="BL256" s="53">
        <v>2.4</v>
      </c>
      <c r="BM256" s="53">
        <v>525.1</v>
      </c>
      <c r="BN256" s="53">
        <v>221.7</v>
      </c>
      <c r="BO256" s="55"/>
      <c r="BP256" s="55"/>
      <c r="BQ256" s="53">
        <v>138.80000000000001</v>
      </c>
      <c r="BR256" s="53">
        <v>7.7</v>
      </c>
      <c r="BS256" s="53">
        <v>368.2</v>
      </c>
      <c r="BT256" s="52">
        <v>29.3</v>
      </c>
      <c r="BU256" s="53">
        <v>16.899999999999999</v>
      </c>
      <c r="BV256" s="51">
        <v>323.5</v>
      </c>
      <c r="BW256" s="51">
        <v>118.8</v>
      </c>
      <c r="BX256" s="51">
        <v>442.3</v>
      </c>
      <c r="BY256" s="51">
        <v>56.4</v>
      </c>
      <c r="BZ256" s="51">
        <v>17.5</v>
      </c>
      <c r="CA256" s="49">
        <v>73.900000000000006</v>
      </c>
      <c r="CB256" s="55"/>
      <c r="CC256" s="55"/>
      <c r="CD256" s="55"/>
      <c r="CE256" s="55"/>
      <c r="CF256" s="53">
        <v>97.6</v>
      </c>
      <c r="CG256" s="53">
        <v>98</v>
      </c>
      <c r="CH256" s="53">
        <v>7.7</v>
      </c>
      <c r="CI256" s="55"/>
      <c r="CJ256" s="55"/>
      <c r="CK256" s="51">
        <v>319.5</v>
      </c>
      <c r="CL256" s="51">
        <v>33.299999999999997</v>
      </c>
      <c r="CM256" s="51"/>
      <c r="CN256" s="53">
        <v>44.2</v>
      </c>
      <c r="CO256" s="52">
        <v>165.4</v>
      </c>
      <c r="CP256" s="53">
        <v>118.4</v>
      </c>
      <c r="CQ256" s="53">
        <v>47</v>
      </c>
      <c r="CR256" s="52" t="s">
        <v>264</v>
      </c>
      <c r="CS256" s="52">
        <v>87.100000000000009</v>
      </c>
      <c r="CT256" s="52">
        <v>65.900000000000006</v>
      </c>
      <c r="CU256" s="52">
        <v>21.2</v>
      </c>
      <c r="CV256" s="52">
        <v>67.8</v>
      </c>
      <c r="CW256" s="53">
        <v>15.9</v>
      </c>
      <c r="CX256" s="53">
        <v>51.9</v>
      </c>
      <c r="CY256" s="53" t="s">
        <v>264</v>
      </c>
      <c r="CZ256" s="53">
        <v>89</v>
      </c>
      <c r="DA256" s="52">
        <v>27.3</v>
      </c>
      <c r="DB256" s="53">
        <v>25.8</v>
      </c>
      <c r="DC256" s="53">
        <v>1.5</v>
      </c>
      <c r="DD256" s="55"/>
      <c r="DE256" s="55"/>
      <c r="DF256" s="55"/>
      <c r="DG256" s="55"/>
      <c r="DH256" s="55"/>
      <c r="DI256" s="53">
        <v>695.8</v>
      </c>
      <c r="DJ256" s="53">
        <v>389.7</v>
      </c>
      <c r="DK256" s="55"/>
      <c r="DL256" s="53">
        <v>143.19999999999999</v>
      </c>
      <c r="DM256" s="53">
        <v>268.3</v>
      </c>
      <c r="DN256" s="55"/>
      <c r="DO256" s="53">
        <v>265.10000000000002</v>
      </c>
      <c r="DP256" s="53">
        <v>308</v>
      </c>
      <c r="DQ256" s="55"/>
      <c r="DR256" s="55"/>
      <c r="DS256" s="53">
        <v>938.25300000000004</v>
      </c>
      <c r="DT256" s="53">
        <v>4293.6000000000004</v>
      </c>
      <c r="DU256" s="53">
        <v>-1285.2470000000003</v>
      </c>
      <c r="DV256" s="53">
        <v>0</v>
      </c>
      <c r="DW256" s="55"/>
      <c r="DX256" s="55"/>
      <c r="DY256" s="55"/>
      <c r="DZ256" s="55"/>
      <c r="EA256" s="53" t="e">
        <v>#VALUE!</v>
      </c>
      <c r="EB256" s="53">
        <v>601.5</v>
      </c>
      <c r="EC256" s="55"/>
      <c r="ED256" s="53" t="e">
        <v>#VALUE!</v>
      </c>
      <c r="EE256" s="53">
        <v>99.1</v>
      </c>
      <c r="EF256" s="55"/>
      <c r="EG256" s="53">
        <v>192</v>
      </c>
      <c r="EH256" s="53" t="e">
        <v>#VALUE!</v>
      </c>
      <c r="EI256" s="55"/>
      <c r="EJ256" s="55"/>
      <c r="EK256" s="55"/>
      <c r="EL256" s="53">
        <v>5002.8999999999996</v>
      </c>
      <c r="EM256" s="55"/>
      <c r="EN256" s="55"/>
      <c r="EO256" s="55"/>
      <c r="EP256" s="55"/>
      <c r="EQ256" s="53">
        <v>259.10000000000002</v>
      </c>
      <c r="ER256" s="53">
        <v>144.5</v>
      </c>
      <c r="ES256" s="55"/>
      <c r="ET256" s="53">
        <v>54.2</v>
      </c>
      <c r="EU256" s="53">
        <v>103.7</v>
      </c>
      <c r="EV256" s="55"/>
      <c r="EW256" s="53">
        <v>100.4</v>
      </c>
      <c r="EX256" s="53">
        <v>107.1</v>
      </c>
      <c r="EY256" s="55"/>
      <c r="EZ256" s="55"/>
      <c r="FA256" s="55"/>
      <c r="FB256" s="53">
        <v>1590.8</v>
      </c>
      <c r="FC256" s="55"/>
      <c r="FD256" s="55"/>
      <c r="FE256" s="55"/>
      <c r="FF256" s="55"/>
      <c r="FG256" s="53">
        <v>550.70000000000005</v>
      </c>
      <c r="FH256" s="53">
        <v>319.5</v>
      </c>
      <c r="FI256" s="55"/>
      <c r="FJ256" s="53">
        <v>130.80000000000001</v>
      </c>
      <c r="FK256" s="53">
        <v>220.6</v>
      </c>
      <c r="FL256" s="55"/>
      <c r="FM256" s="53">
        <v>210.1</v>
      </c>
      <c r="FN256" s="53">
        <v>244.9</v>
      </c>
      <c r="FO256" s="55"/>
      <c r="FP256" s="55"/>
      <c r="FQ256" s="55"/>
      <c r="FR256" s="53">
        <v>3441.5</v>
      </c>
      <c r="FS256" s="55"/>
      <c r="FT256" s="55"/>
      <c r="FU256" s="55"/>
      <c r="FV256" s="55"/>
      <c r="FW256" s="53">
        <v>283.2</v>
      </c>
      <c r="FX256" s="53" t="e">
        <v>#VALUE!</v>
      </c>
      <c r="FY256" s="55"/>
      <c r="FZ256" s="55"/>
      <c r="GA256" s="53">
        <v>85.6</v>
      </c>
      <c r="GB256" s="55"/>
      <c r="GC256" s="53">
        <v>89.8</v>
      </c>
      <c r="GD256" s="53" t="e">
        <v>#VALUE!</v>
      </c>
      <c r="GE256" s="55"/>
      <c r="GF256" s="55"/>
      <c r="GG256" s="55"/>
      <c r="GH256" s="53">
        <v>1048.9000000000001</v>
      </c>
      <c r="GI256" s="55"/>
      <c r="GJ256" s="55"/>
      <c r="GK256" s="55"/>
      <c r="GL256" s="55"/>
      <c r="GM256" s="53">
        <v>157.19999999999999</v>
      </c>
      <c r="GN256" s="53">
        <v>14</v>
      </c>
      <c r="GO256" s="55"/>
      <c r="GP256" s="53">
        <v>9.5</v>
      </c>
      <c r="GQ256" s="53">
        <v>15.3</v>
      </c>
      <c r="GR256" s="55"/>
      <c r="GS256" s="53" t="e">
        <v>#VALUE!</v>
      </c>
      <c r="GT256" s="53" t="e">
        <v>#VALUE!</v>
      </c>
      <c r="GU256" s="55"/>
      <c r="GV256" s="55"/>
      <c r="GW256" s="55"/>
      <c r="GX256" s="53">
        <v>343.8</v>
      </c>
      <c r="GY256" s="19">
        <v>0.97032170367014048</v>
      </c>
      <c r="GZ256" s="53">
        <v>1284.9000000000001</v>
      </c>
      <c r="HA256" s="53">
        <v>1324.2</v>
      </c>
      <c r="HB256" s="55"/>
      <c r="HC256" s="55"/>
      <c r="HD256" s="55"/>
      <c r="HE256" s="55"/>
      <c r="HF256" s="53">
        <v>1475</v>
      </c>
      <c r="HG256" s="53">
        <v>1423.1</v>
      </c>
      <c r="HH256" s="53">
        <v>689.9</v>
      </c>
      <c r="HI256" s="53">
        <v>124.4</v>
      </c>
      <c r="HJ256" s="53">
        <v>596.79999999999995</v>
      </c>
      <c r="HK256" s="53">
        <v>12</v>
      </c>
      <c r="HL256" s="53">
        <v>51.9</v>
      </c>
      <c r="HM256" s="55"/>
      <c r="HN256" s="55"/>
      <c r="HO256" s="55"/>
      <c r="HP256" s="53" t="e">
        <v>#VALUE!</v>
      </c>
      <c r="HQ256" s="53">
        <v>5.4</v>
      </c>
      <c r="HR256" s="53">
        <v>8.3000000000000007</v>
      </c>
      <c r="HS256" s="53" t="e">
        <v>#VALUE!</v>
      </c>
      <c r="HT256" s="53">
        <v>31.9</v>
      </c>
      <c r="HU256" s="55"/>
      <c r="HV256" s="55"/>
      <c r="HW256" s="53">
        <v>252.9</v>
      </c>
      <c r="HX256" s="53" t="e">
        <v>#VALUE!</v>
      </c>
      <c r="HY256" s="53">
        <v>252.9</v>
      </c>
      <c r="HZ256" s="53">
        <v>45.7</v>
      </c>
      <c r="IA256" s="53">
        <v>183.6</v>
      </c>
      <c r="IB256" s="53">
        <v>67.7</v>
      </c>
      <c r="IC256" s="53">
        <v>115.9</v>
      </c>
      <c r="ID256" s="53" t="e">
        <v>#VALUE!</v>
      </c>
      <c r="IE256" s="53" t="e">
        <v>#VALUE!</v>
      </c>
      <c r="IF256" s="53">
        <v>9</v>
      </c>
      <c r="IG256" s="53">
        <v>8.4</v>
      </c>
      <c r="IH256" s="55"/>
      <c r="II256" s="55"/>
      <c r="IJ256" s="55"/>
      <c r="IK256" s="55"/>
      <c r="IL256" s="55"/>
      <c r="IM256" s="55"/>
      <c r="IN256" s="53">
        <v>58.9</v>
      </c>
      <c r="IO256" s="53">
        <v>60.2</v>
      </c>
      <c r="IP256" s="53" t="e">
        <v>#VALUE!</v>
      </c>
      <c r="IQ256" s="53">
        <v>42.1</v>
      </c>
      <c r="IR256" s="53">
        <v>15.8</v>
      </c>
      <c r="IS256" s="53" t="e">
        <v>#VALUE!</v>
      </c>
      <c r="IT256" s="53">
        <v>24.1</v>
      </c>
      <c r="IU256" s="53" t="e">
        <v>#VALUE!</v>
      </c>
      <c r="IV256" s="53" t="e">
        <v>#VALUE!</v>
      </c>
      <c r="IY256" s="48">
        <f t="shared" si="11"/>
        <v>47.97093348239239</v>
      </c>
      <c r="IZ256" s="48">
        <f>IY256-'NOPA Crush'!J256</f>
        <v>0.20093348239238651</v>
      </c>
      <c r="JB256" s="63">
        <f t="shared" si="9"/>
        <v>11.115148127445499</v>
      </c>
      <c r="JC256" s="64">
        <f>JB256-'NOPA Crush'!O256</f>
        <v>-6.4851872554500645E-2</v>
      </c>
      <c r="JD256" s="65"/>
      <c r="JE256" s="67">
        <f t="shared" si="10"/>
        <v>2163.4</v>
      </c>
      <c r="JF256" s="68">
        <f>'NOPA Crush'!Q256/'Census Crush'!JE256</f>
        <v>0.82387307016732914</v>
      </c>
    </row>
    <row r="257" spans="1:266">
      <c r="A257" s="39">
        <v>36861</v>
      </c>
      <c r="B257" s="51">
        <v>4268.3999999999996</v>
      </c>
      <c r="C257" s="51">
        <v>4133.8999999999996</v>
      </c>
      <c r="D257" s="51">
        <v>241.5</v>
      </c>
      <c r="E257" s="51">
        <v>1957.2</v>
      </c>
      <c r="F257" s="51">
        <v>17.600000000000001</v>
      </c>
      <c r="G257" s="51" t="s">
        <v>264</v>
      </c>
      <c r="H257" s="51" t="s">
        <v>264</v>
      </c>
      <c r="I257" s="51" t="s">
        <v>264</v>
      </c>
      <c r="J257" s="51" t="s">
        <v>264</v>
      </c>
      <c r="K257" s="51">
        <v>1579</v>
      </c>
      <c r="L257" s="49">
        <v>2271.6</v>
      </c>
      <c r="M257" s="51">
        <v>2033.5</v>
      </c>
      <c r="N257" s="51">
        <v>238.1</v>
      </c>
      <c r="O257" s="51">
        <v>73.3</v>
      </c>
      <c r="P257" s="51">
        <v>92.9</v>
      </c>
      <c r="Q257" s="51">
        <v>25.6</v>
      </c>
      <c r="R257" s="51">
        <v>67.3</v>
      </c>
      <c r="S257" s="51"/>
      <c r="T257" s="51">
        <v>15.2</v>
      </c>
      <c r="U257" s="51">
        <v>26.4</v>
      </c>
      <c r="V257" s="51">
        <v>24.5</v>
      </c>
      <c r="W257" s="51">
        <v>1.9</v>
      </c>
      <c r="X257" s="51" t="s">
        <v>264</v>
      </c>
      <c r="Y257" s="51">
        <v>21.4</v>
      </c>
      <c r="Z257" s="49">
        <v>243.5</v>
      </c>
      <c r="AA257" s="51">
        <v>226.4</v>
      </c>
      <c r="AB257" s="51">
        <v>17.100000000000001</v>
      </c>
      <c r="AC257" s="51" t="s">
        <v>264</v>
      </c>
      <c r="AD257" s="51">
        <v>54.2</v>
      </c>
      <c r="AE257" s="51"/>
      <c r="AF257" s="51">
        <v>148.9</v>
      </c>
      <c r="AG257" s="51">
        <v>124.6</v>
      </c>
      <c r="AH257" s="51">
        <v>24.3</v>
      </c>
      <c r="AI257" s="51">
        <v>194.5</v>
      </c>
      <c r="AJ257" s="51"/>
      <c r="AK257" s="51"/>
      <c r="AL257" s="51">
        <v>248.89999999999998</v>
      </c>
      <c r="AM257" s="51">
        <v>134.19999999999999</v>
      </c>
      <c r="AN257" s="51">
        <v>114.7</v>
      </c>
      <c r="AO257" s="51">
        <v>3161</v>
      </c>
      <c r="AP257" s="51">
        <v>384.6</v>
      </c>
      <c r="AQ257" s="51">
        <v>238.4</v>
      </c>
      <c r="AR257" s="51">
        <v>39.1</v>
      </c>
      <c r="AS257" s="51">
        <v>116.9</v>
      </c>
      <c r="AT257" s="51">
        <v>35.299999999999997</v>
      </c>
      <c r="AU257" s="51">
        <v>63.5</v>
      </c>
      <c r="AV257" s="51">
        <v>14.3</v>
      </c>
      <c r="AW257" s="51">
        <v>10</v>
      </c>
      <c r="AX257" s="51">
        <v>1.6</v>
      </c>
      <c r="AY257" s="51" t="s">
        <v>264</v>
      </c>
      <c r="AZ257" s="51" t="s">
        <v>264</v>
      </c>
      <c r="BA257" s="51" t="s">
        <v>264</v>
      </c>
      <c r="BB257" s="51" t="s">
        <v>264</v>
      </c>
      <c r="BC257" s="51"/>
      <c r="BD257" s="53">
        <v>144.4</v>
      </c>
      <c r="BE257" s="53">
        <v>36.700000000000003</v>
      </c>
      <c r="BF257" s="53">
        <v>63.1</v>
      </c>
      <c r="BG257" s="53">
        <v>6.9</v>
      </c>
      <c r="BH257" s="53">
        <v>285.5</v>
      </c>
      <c r="BI257" s="55"/>
      <c r="BJ257" s="55"/>
      <c r="BK257" s="53">
        <v>204.1</v>
      </c>
      <c r="BL257" s="53">
        <v>2.4</v>
      </c>
      <c r="BM257" s="53">
        <v>489.6</v>
      </c>
      <c r="BN257" s="53">
        <v>210</v>
      </c>
      <c r="BO257" s="55"/>
      <c r="BP257" s="55"/>
      <c r="BQ257" s="53">
        <v>120.7</v>
      </c>
      <c r="BR257" s="53">
        <v>0</v>
      </c>
      <c r="BS257" s="53">
        <v>330.7</v>
      </c>
      <c r="BT257" s="52">
        <v>25.6</v>
      </c>
      <c r="BU257" s="53">
        <v>16.2</v>
      </c>
      <c r="BV257" s="51">
        <v>317.60000000000002</v>
      </c>
      <c r="BW257" s="51">
        <v>97.2</v>
      </c>
      <c r="BX257" s="51">
        <v>414.8</v>
      </c>
      <c r="BY257" s="51">
        <v>45.4</v>
      </c>
      <c r="BZ257" s="51">
        <v>13.5</v>
      </c>
      <c r="CA257" s="49">
        <v>58.9</v>
      </c>
      <c r="CB257" s="55"/>
      <c r="CC257" s="55"/>
      <c r="CD257" s="55"/>
      <c r="CE257" s="55"/>
      <c r="CF257" s="53">
        <v>87.7</v>
      </c>
      <c r="CG257" s="53">
        <v>106.6</v>
      </c>
      <c r="CH257" s="53">
        <v>7.8</v>
      </c>
      <c r="CI257" s="55"/>
      <c r="CJ257" s="55"/>
      <c r="CK257" s="51">
        <v>312.3</v>
      </c>
      <c r="CL257" s="51">
        <v>34.799999999999997</v>
      </c>
      <c r="CM257" s="51"/>
      <c r="CN257" s="53">
        <v>47.4</v>
      </c>
      <c r="CO257" s="52">
        <v>245.5</v>
      </c>
      <c r="CP257" s="53">
        <v>170.1</v>
      </c>
      <c r="CQ257" s="53">
        <v>75.400000000000006</v>
      </c>
      <c r="CR257" s="52" t="s">
        <v>264</v>
      </c>
      <c r="CS257" s="52">
        <v>61.6</v>
      </c>
      <c r="CT257" s="52">
        <v>39.700000000000003</v>
      </c>
      <c r="CU257" s="52">
        <v>21.9</v>
      </c>
      <c r="CV257" s="52">
        <v>71.900000000000006</v>
      </c>
      <c r="CW257" s="53">
        <v>16.100000000000001</v>
      </c>
      <c r="CX257" s="53">
        <v>55.8</v>
      </c>
      <c r="CY257" s="53" t="s">
        <v>264</v>
      </c>
      <c r="CZ257" s="53">
        <v>97.3</v>
      </c>
      <c r="DA257" s="52">
        <v>19</v>
      </c>
      <c r="DB257" s="53">
        <v>17.2</v>
      </c>
      <c r="DC257" s="53">
        <v>1.8</v>
      </c>
      <c r="DD257" s="55"/>
      <c r="DE257" s="55"/>
      <c r="DF257" s="55"/>
      <c r="DG257" s="55"/>
      <c r="DH257" s="55"/>
      <c r="DI257" s="53">
        <v>725.9</v>
      </c>
      <c r="DJ257" s="53">
        <v>392.5</v>
      </c>
      <c r="DK257" s="55"/>
      <c r="DL257" s="55"/>
      <c r="DM257" s="53">
        <v>285</v>
      </c>
      <c r="DN257" s="55"/>
      <c r="DO257" s="53">
        <v>242.2</v>
      </c>
      <c r="DP257" s="53">
        <v>315.3</v>
      </c>
      <c r="DQ257" s="55"/>
      <c r="DR257" s="55"/>
      <c r="DS257" s="53">
        <v>936.79200000000003</v>
      </c>
      <c r="DT257" s="53">
        <v>4268.3999999999996</v>
      </c>
      <c r="DU257" s="53">
        <v>-1370.7079999999996</v>
      </c>
      <c r="DV257" s="53">
        <v>0</v>
      </c>
      <c r="DW257" s="55"/>
      <c r="DX257" s="55"/>
      <c r="DY257" s="55"/>
      <c r="DZ257" s="55"/>
      <c r="EA257" s="53" t="e">
        <v>#VALUE!</v>
      </c>
      <c r="EB257" s="53">
        <v>549.4</v>
      </c>
      <c r="EC257" s="55"/>
      <c r="ED257" s="53">
        <v>78</v>
      </c>
      <c r="EE257" s="53">
        <v>43.4</v>
      </c>
      <c r="EF257" s="55"/>
      <c r="EG257" s="53">
        <v>125.7</v>
      </c>
      <c r="EH257" s="53" t="e">
        <v>#VALUE!</v>
      </c>
      <c r="EI257" s="55"/>
      <c r="EJ257" s="55"/>
      <c r="EK257" s="55"/>
      <c r="EL257" s="53">
        <v>4133.8999999999996</v>
      </c>
      <c r="EM257" s="55"/>
      <c r="EN257" s="55"/>
      <c r="EO257" s="55"/>
      <c r="EP257" s="55"/>
      <c r="EQ257" s="53">
        <v>272.60000000000002</v>
      </c>
      <c r="ER257" s="53">
        <v>138</v>
      </c>
      <c r="ES257" s="55"/>
      <c r="ET257" s="55"/>
      <c r="EU257" s="53">
        <v>109.1</v>
      </c>
      <c r="EV257" s="55"/>
      <c r="EW257" s="53">
        <v>92.1</v>
      </c>
      <c r="EX257" s="53">
        <v>111.2</v>
      </c>
      <c r="EY257" s="55"/>
      <c r="EZ257" s="55"/>
      <c r="FA257" s="55"/>
      <c r="FB257" s="53">
        <v>1579</v>
      </c>
      <c r="FC257" s="55"/>
      <c r="FD257" s="55"/>
      <c r="FE257" s="55"/>
      <c r="FF257" s="55"/>
      <c r="FG257" s="53">
        <v>574.70000000000005</v>
      </c>
      <c r="FH257" s="53">
        <v>313.8</v>
      </c>
      <c r="FI257" s="55"/>
      <c r="FJ257" s="53">
        <v>115.6</v>
      </c>
      <c r="FK257" s="53">
        <v>228</v>
      </c>
      <c r="FL257" s="55"/>
      <c r="FM257" s="53">
        <v>191.6</v>
      </c>
      <c r="FN257" s="53">
        <v>249.9</v>
      </c>
      <c r="FO257" s="55"/>
      <c r="FP257" s="55"/>
      <c r="FQ257" s="55"/>
      <c r="FR257" s="53">
        <v>3407.2</v>
      </c>
      <c r="FS257" s="55"/>
      <c r="FT257" s="55"/>
      <c r="FU257" s="55"/>
      <c r="FV257" s="55"/>
      <c r="FW257" s="53">
        <v>332.2</v>
      </c>
      <c r="FX257" s="53" t="e">
        <v>#VALUE!</v>
      </c>
      <c r="FY257" s="55"/>
      <c r="FZ257" s="55"/>
      <c r="GA257" s="53">
        <v>91.6</v>
      </c>
      <c r="GB257" s="55"/>
      <c r="GC257" s="53">
        <v>88</v>
      </c>
      <c r="GD257" s="53" t="e">
        <v>#VALUE!</v>
      </c>
      <c r="GE257" s="55"/>
      <c r="GF257" s="55"/>
      <c r="GG257" s="55"/>
      <c r="GH257" s="53">
        <v>1165.5</v>
      </c>
      <c r="GI257" s="55"/>
      <c r="GJ257" s="55"/>
      <c r="GK257" s="55"/>
      <c r="GL257" s="55"/>
      <c r="GM257" s="53">
        <v>131</v>
      </c>
      <c r="GN257" s="53">
        <v>30</v>
      </c>
      <c r="GO257" s="55"/>
      <c r="GP257" s="55"/>
      <c r="GQ257" s="53">
        <v>24.4</v>
      </c>
      <c r="GR257" s="55"/>
      <c r="GS257" s="53" t="e">
        <v>#VALUE!</v>
      </c>
      <c r="GT257" s="53" t="e">
        <v>#VALUE!</v>
      </c>
      <c r="GU257" s="55"/>
      <c r="GV257" s="55"/>
      <c r="GW257" s="55"/>
      <c r="GX257" s="53">
        <v>423.7</v>
      </c>
      <c r="GY257" s="19">
        <v>0.97014568903749698</v>
      </c>
      <c r="GZ257" s="53">
        <v>1218.5999999999999</v>
      </c>
      <c r="HA257" s="53">
        <v>1256.0999999999999</v>
      </c>
      <c r="HB257" s="55"/>
      <c r="HC257" s="55"/>
      <c r="HD257" s="55"/>
      <c r="HE257" s="55"/>
      <c r="HF257" s="53">
        <v>1408.3</v>
      </c>
      <c r="HG257" s="53">
        <v>1361.1</v>
      </c>
      <c r="HH257" s="53">
        <v>649.79999999999995</v>
      </c>
      <c r="HI257" s="53">
        <v>127.9</v>
      </c>
      <c r="HJ257" s="53">
        <v>572.29999999999995</v>
      </c>
      <c r="HK257" s="53">
        <v>11.1</v>
      </c>
      <c r="HL257" s="53">
        <v>47.3</v>
      </c>
      <c r="HM257" s="55"/>
      <c r="HN257" s="55"/>
      <c r="HO257" s="55"/>
      <c r="HP257" s="53" t="e">
        <v>#VALUE!</v>
      </c>
      <c r="HQ257" s="53">
        <v>7.6</v>
      </c>
      <c r="HR257" s="53">
        <v>7.4</v>
      </c>
      <c r="HS257" s="53" t="e">
        <v>#VALUE!</v>
      </c>
      <c r="HT257" s="53">
        <v>27.9</v>
      </c>
      <c r="HU257" s="55"/>
      <c r="HV257" s="55"/>
      <c r="HW257" s="53">
        <v>240.2</v>
      </c>
      <c r="HX257" s="53" t="e">
        <v>#VALUE!</v>
      </c>
      <c r="HY257" s="53">
        <v>240.2</v>
      </c>
      <c r="HZ257" s="53">
        <v>46.6</v>
      </c>
      <c r="IA257" s="53">
        <v>173.6</v>
      </c>
      <c r="IB257" s="53">
        <v>66.8</v>
      </c>
      <c r="IC257" s="53">
        <v>106.9</v>
      </c>
      <c r="ID257" s="53" t="e">
        <v>#VALUE!</v>
      </c>
      <c r="IE257" s="53" t="e">
        <v>#VALUE!</v>
      </c>
      <c r="IF257" s="53">
        <v>8.5</v>
      </c>
      <c r="IG257" s="53">
        <v>6.5</v>
      </c>
      <c r="IH257" s="55"/>
      <c r="II257" s="55"/>
      <c r="IJ257" s="55"/>
      <c r="IK257" s="55"/>
      <c r="IL257" s="55"/>
      <c r="IM257" s="55"/>
      <c r="IN257" s="53">
        <v>57.9</v>
      </c>
      <c r="IO257" s="53">
        <v>59.7</v>
      </c>
      <c r="IP257" s="53" t="e">
        <v>#VALUE!</v>
      </c>
      <c r="IQ257" s="53">
        <v>39.9</v>
      </c>
      <c r="IR257" s="53">
        <v>15.4</v>
      </c>
      <c r="IS257" s="53" t="e">
        <v>#VALUE!</v>
      </c>
      <c r="IT257" s="53">
        <v>22.4</v>
      </c>
      <c r="IU257" s="53" t="e">
        <v>#VALUE!</v>
      </c>
      <c r="IV257" s="53" t="e">
        <v>#VALUE!</v>
      </c>
      <c r="IY257" s="48">
        <f t="shared" si="11"/>
        <v>47.784649985943211</v>
      </c>
      <c r="IZ257" s="48">
        <f>IY257-'NOPA Crush'!J257</f>
        <v>7.4649985943210595E-2</v>
      </c>
      <c r="JB257" s="63">
        <f t="shared" si="9"/>
        <v>11.097835254427888</v>
      </c>
      <c r="JC257" s="64">
        <f>JB257-'NOPA Crush'!O257</f>
        <v>-0.11216474557211242</v>
      </c>
      <c r="JD257" s="65"/>
      <c r="JE257" s="67">
        <f t="shared" si="10"/>
        <v>2271.6</v>
      </c>
      <c r="JF257" s="68">
        <f>'NOPA Crush'!Q257/'Census Crush'!JE257</f>
        <v>0.79759816869167111</v>
      </c>
    </row>
    <row r="258" spans="1:266">
      <c r="A258" s="39">
        <v>36892</v>
      </c>
      <c r="B258" s="51">
        <v>4401.8</v>
      </c>
      <c r="C258" s="51">
        <v>4286.1000000000004</v>
      </c>
      <c r="D258" s="51">
        <v>295.2</v>
      </c>
      <c r="E258" s="51">
        <v>1811.2</v>
      </c>
      <c r="F258" s="51">
        <v>20.9</v>
      </c>
      <c r="G258" s="51" t="s">
        <v>264</v>
      </c>
      <c r="H258" s="51" t="s">
        <v>264</v>
      </c>
      <c r="I258" s="51" t="s">
        <v>264</v>
      </c>
      <c r="J258" s="51" t="s">
        <v>264</v>
      </c>
      <c r="K258" s="51">
        <v>1642.3</v>
      </c>
      <c r="L258" s="49">
        <v>2436.7999999999997</v>
      </c>
      <c r="M258" s="51">
        <v>2197.6999999999998</v>
      </c>
      <c r="N258" s="51">
        <v>239.1</v>
      </c>
      <c r="O258" s="51">
        <v>89.1</v>
      </c>
      <c r="P258" s="51">
        <v>106.3</v>
      </c>
      <c r="Q258" s="51">
        <v>32</v>
      </c>
      <c r="R258" s="51">
        <v>74.3</v>
      </c>
      <c r="S258" s="51"/>
      <c r="T258" s="51">
        <v>17.3</v>
      </c>
      <c r="U258" s="51">
        <v>46.162999999999997</v>
      </c>
      <c r="V258" s="51">
        <v>42.8</v>
      </c>
      <c r="W258" s="51">
        <v>3.363</v>
      </c>
      <c r="X258" s="51" t="s">
        <v>264</v>
      </c>
      <c r="Y258" s="51" t="s">
        <v>264</v>
      </c>
      <c r="Z258" s="49">
        <v>269.327</v>
      </c>
      <c r="AA258" s="51">
        <v>249.553</v>
      </c>
      <c r="AB258" s="51">
        <v>19.774000000000001</v>
      </c>
      <c r="AC258" s="51" t="s">
        <v>264</v>
      </c>
      <c r="AD258" s="51">
        <v>56.8</v>
      </c>
      <c r="AE258" s="51"/>
      <c r="AF258" s="51">
        <v>107.755</v>
      </c>
      <c r="AG258" s="51">
        <v>75.355000000000004</v>
      </c>
      <c r="AH258" s="51">
        <v>32.4</v>
      </c>
      <c r="AI258" s="51">
        <v>199</v>
      </c>
      <c r="AJ258" s="55"/>
      <c r="AK258" s="55"/>
      <c r="AL258" s="51">
        <v>236.6</v>
      </c>
      <c r="AM258" s="51">
        <v>125.6</v>
      </c>
      <c r="AN258" s="51">
        <v>111</v>
      </c>
      <c r="AO258" s="51">
        <v>3282.6</v>
      </c>
      <c r="AP258" s="51">
        <v>298.10000000000002</v>
      </c>
      <c r="AQ258" s="51">
        <v>239</v>
      </c>
      <c r="AR258" s="51">
        <v>35.799999999999997</v>
      </c>
      <c r="AS258" s="51">
        <v>141.19999999999999</v>
      </c>
      <c r="AT258" s="51">
        <v>35.4</v>
      </c>
      <c r="AU258" s="51">
        <v>78.099999999999994</v>
      </c>
      <c r="AV258" s="51">
        <v>18.899999999999999</v>
      </c>
      <c r="AW258" s="51">
        <v>11.7</v>
      </c>
      <c r="AX258" s="51">
        <v>1.1000000000000001</v>
      </c>
      <c r="AY258" s="51" t="s">
        <v>264</v>
      </c>
      <c r="AZ258" s="51" t="s">
        <v>264</v>
      </c>
      <c r="BA258" s="51" t="s">
        <v>264</v>
      </c>
      <c r="BB258" s="51" t="s">
        <v>264</v>
      </c>
      <c r="BC258" s="51"/>
      <c r="BD258" s="53">
        <v>137.30000000000001</v>
      </c>
      <c r="BE258" s="53">
        <v>30.7</v>
      </c>
      <c r="BF258" s="53">
        <v>63.6</v>
      </c>
      <c r="BG258" s="53">
        <v>6.8</v>
      </c>
      <c r="BH258" s="53">
        <v>296.7</v>
      </c>
      <c r="BI258" s="55"/>
      <c r="BJ258" s="55"/>
      <c r="BK258" s="53">
        <v>185.2</v>
      </c>
      <c r="BL258" s="53">
        <v>0</v>
      </c>
      <c r="BM258" s="53">
        <v>481.9</v>
      </c>
      <c r="BN258" s="53">
        <v>226.3</v>
      </c>
      <c r="BO258" s="55"/>
      <c r="BP258" s="55"/>
      <c r="BQ258" s="53">
        <v>64.3</v>
      </c>
      <c r="BR258" s="53">
        <v>0.5</v>
      </c>
      <c r="BS258" s="53">
        <v>291.10000000000002</v>
      </c>
      <c r="BT258" s="52">
        <v>27.3</v>
      </c>
      <c r="BU258" s="53">
        <v>14.928000000000001</v>
      </c>
      <c r="BV258" s="51">
        <v>326.7</v>
      </c>
      <c r="BW258" s="51">
        <v>105.8</v>
      </c>
      <c r="BX258" s="51">
        <v>432.5</v>
      </c>
      <c r="BY258" s="51">
        <v>42.5</v>
      </c>
      <c r="BZ258" s="51">
        <v>7.7</v>
      </c>
      <c r="CA258" s="49">
        <v>50.2</v>
      </c>
      <c r="CB258" s="55"/>
      <c r="CC258" s="55"/>
      <c r="CD258" s="55"/>
      <c r="CE258" s="55"/>
      <c r="CF258" s="53">
        <v>94.923000000000002</v>
      </c>
      <c r="CG258" s="53">
        <v>107.6</v>
      </c>
      <c r="CH258" s="53">
        <v>10.1</v>
      </c>
      <c r="CI258" s="55"/>
      <c r="CJ258" s="55"/>
      <c r="CK258" s="51">
        <v>320.10000000000002</v>
      </c>
      <c r="CL258" s="51">
        <v>32.799999999999997</v>
      </c>
      <c r="CM258" s="51"/>
      <c r="CN258" s="53">
        <v>49.738</v>
      </c>
      <c r="CO258" s="52">
        <v>280.10000000000002</v>
      </c>
      <c r="CP258" s="53">
        <v>182</v>
      </c>
      <c r="CQ258" s="53">
        <v>98.1</v>
      </c>
      <c r="CR258" s="52" t="s">
        <v>264</v>
      </c>
      <c r="CS258" s="52">
        <v>47.8</v>
      </c>
      <c r="CT258" s="52">
        <v>28.7</v>
      </c>
      <c r="CU258" s="52">
        <v>19.100000000000001</v>
      </c>
      <c r="CV258" s="52">
        <v>58.370999999999995</v>
      </c>
      <c r="CW258" s="53">
        <v>18.274999999999999</v>
      </c>
      <c r="CX258" s="53">
        <v>40.095999999999997</v>
      </c>
      <c r="CY258" s="53" t="s">
        <v>264</v>
      </c>
      <c r="CZ258" s="53">
        <v>108.5</v>
      </c>
      <c r="DA258" s="52">
        <v>25.693000000000001</v>
      </c>
      <c r="DB258" s="53">
        <v>24.561</v>
      </c>
      <c r="DC258" s="53">
        <v>1.1319999999999999</v>
      </c>
      <c r="DD258" s="55"/>
      <c r="DE258" s="55"/>
      <c r="DF258" s="55"/>
      <c r="DG258" s="55"/>
      <c r="DH258" s="55"/>
      <c r="DI258" s="53">
        <v>749.3</v>
      </c>
      <c r="DJ258" s="53">
        <v>398.6</v>
      </c>
      <c r="DK258" s="55"/>
      <c r="DL258" s="55"/>
      <c r="DM258" s="53">
        <v>281.7</v>
      </c>
      <c r="DN258" s="55"/>
      <c r="DO258" s="53">
        <v>265.10000000000002</v>
      </c>
      <c r="DP258" s="53">
        <v>299.8</v>
      </c>
      <c r="DQ258" s="55"/>
      <c r="DR258" s="55"/>
      <c r="DS258" s="53">
        <v>979.42200000000003</v>
      </c>
      <c r="DT258" s="53">
        <v>4401.8</v>
      </c>
      <c r="DU258" s="53">
        <v>-1427.8779999999997</v>
      </c>
      <c r="DV258" s="53">
        <v>0</v>
      </c>
      <c r="DW258" s="55"/>
      <c r="DX258" s="55"/>
      <c r="DY258" s="55"/>
      <c r="DZ258" s="55"/>
      <c r="EA258" s="53">
        <v>1115.5</v>
      </c>
      <c r="EB258" s="53">
        <v>607.9</v>
      </c>
      <c r="EC258" s="55"/>
      <c r="ED258" s="55"/>
      <c r="EE258" s="53">
        <v>77.400000000000006</v>
      </c>
      <c r="EF258" s="55"/>
      <c r="EG258" s="53">
        <v>152</v>
      </c>
      <c r="EH258" s="53" t="e">
        <v>#VALUE!</v>
      </c>
      <c r="EI258" s="55"/>
      <c r="EJ258" s="55"/>
      <c r="EK258" s="55"/>
      <c r="EL258" s="53">
        <v>4286.1000000000004</v>
      </c>
      <c r="EM258" s="55"/>
      <c r="EN258" s="55"/>
      <c r="EO258" s="55"/>
      <c r="EP258" s="55"/>
      <c r="EQ258" s="53">
        <v>284.3</v>
      </c>
      <c r="ER258" s="53">
        <v>147.6</v>
      </c>
      <c r="ES258" s="55"/>
      <c r="ET258" s="55"/>
      <c r="EU258" s="53">
        <v>107.9</v>
      </c>
      <c r="EV258" s="55"/>
      <c r="EW258" s="53">
        <v>101.2</v>
      </c>
      <c r="EX258" s="53">
        <v>107.8</v>
      </c>
      <c r="EY258" s="55"/>
      <c r="EZ258" s="55"/>
      <c r="FA258" s="55"/>
      <c r="FB258" s="53">
        <v>1642.3</v>
      </c>
      <c r="FC258" s="55"/>
      <c r="FD258" s="55"/>
      <c r="FE258" s="55"/>
      <c r="FF258" s="55"/>
      <c r="FG258" s="53">
        <v>597.9</v>
      </c>
      <c r="FH258" s="53">
        <v>318.3</v>
      </c>
      <c r="FI258" s="55"/>
      <c r="FJ258" s="55"/>
      <c r="FK258" s="53">
        <v>226.3</v>
      </c>
      <c r="FL258" s="55"/>
      <c r="FM258" s="53">
        <v>211.9</v>
      </c>
      <c r="FN258" s="53">
        <v>241.9</v>
      </c>
      <c r="FO258" s="55"/>
      <c r="FP258" s="55"/>
      <c r="FQ258" s="55"/>
      <c r="FR258" s="53">
        <v>3532.7</v>
      </c>
      <c r="FS258" s="55"/>
      <c r="FT258" s="55"/>
      <c r="FU258" s="55"/>
      <c r="FV258" s="55"/>
      <c r="FW258" s="53">
        <v>336.8</v>
      </c>
      <c r="FX258" s="53" t="e">
        <v>#VALUE!</v>
      </c>
      <c r="FY258" s="55"/>
      <c r="FZ258" s="55"/>
      <c r="GA258" s="53">
        <v>81.3</v>
      </c>
      <c r="GB258" s="55"/>
      <c r="GC258" s="53">
        <v>77.900000000000006</v>
      </c>
      <c r="GD258" s="53" t="e">
        <v>#VALUE!</v>
      </c>
      <c r="GE258" s="55"/>
      <c r="GF258" s="55"/>
      <c r="GG258" s="55"/>
      <c r="GH258" s="53">
        <v>1140.7</v>
      </c>
      <c r="GI258" s="55"/>
      <c r="GJ258" s="55"/>
      <c r="GK258" s="55"/>
      <c r="GL258" s="55"/>
      <c r="GM258" s="53" t="e">
        <v>#VALUE!</v>
      </c>
      <c r="GN258" s="53">
        <v>20.100000000000001</v>
      </c>
      <c r="GO258" s="55"/>
      <c r="GP258" s="55"/>
      <c r="GQ258" s="53">
        <v>18.100000000000001</v>
      </c>
      <c r="GR258" s="55"/>
      <c r="GS258" s="53" t="e">
        <v>#VALUE!</v>
      </c>
      <c r="GT258" s="53" t="e">
        <v>#VALUE!</v>
      </c>
      <c r="GU258" s="55"/>
      <c r="GV258" s="55"/>
      <c r="GW258" s="55"/>
      <c r="GX258" s="53">
        <v>334</v>
      </c>
      <c r="GY258" s="19">
        <v>0.94965747968774894</v>
      </c>
      <c r="GZ258" s="53">
        <v>1192.2</v>
      </c>
      <c r="HA258" s="53">
        <v>1255.4000000000001</v>
      </c>
      <c r="HB258" s="55"/>
      <c r="HC258" s="55"/>
      <c r="HD258" s="55"/>
      <c r="HE258" s="55"/>
      <c r="HF258" s="53">
        <v>1351.5</v>
      </c>
      <c r="HG258" s="53">
        <v>1306.0999999999999</v>
      </c>
      <c r="HH258" s="53">
        <v>632.5</v>
      </c>
      <c r="HI258" s="53">
        <v>86.7</v>
      </c>
      <c r="HJ258" s="53">
        <v>578.20000000000005</v>
      </c>
      <c r="HK258" s="53">
        <v>8.6999999999999993</v>
      </c>
      <c r="HL258" s="53">
        <v>45.5</v>
      </c>
      <c r="HM258" s="55"/>
      <c r="HN258" s="55"/>
      <c r="HO258" s="55"/>
      <c r="HP258" s="53" t="e">
        <v>#VALUE!</v>
      </c>
      <c r="HQ258" s="53">
        <v>3.4</v>
      </c>
      <c r="HR258" s="53">
        <v>6.4</v>
      </c>
      <c r="HS258" s="53" t="e">
        <v>#VALUE!</v>
      </c>
      <c r="HT258" s="53">
        <v>30.6</v>
      </c>
      <c r="HU258" s="55"/>
      <c r="HV258" s="55"/>
      <c r="HW258" s="53">
        <v>247.5</v>
      </c>
      <c r="HX258" s="53" t="e">
        <v>#VALUE!</v>
      </c>
      <c r="HY258" s="53">
        <v>247.5</v>
      </c>
      <c r="HZ258" s="53">
        <v>49</v>
      </c>
      <c r="IA258" s="53">
        <v>176.8</v>
      </c>
      <c r="IB258" s="53">
        <v>67.3</v>
      </c>
      <c r="IC258" s="53">
        <v>109.5</v>
      </c>
      <c r="ID258" s="53" t="e">
        <v>#VALUE!</v>
      </c>
      <c r="IE258" s="53" t="e">
        <v>#VALUE!</v>
      </c>
      <c r="IF258" s="53">
        <v>8.6999999999999993</v>
      </c>
      <c r="IG258" s="53" t="e">
        <v>#VALUE!</v>
      </c>
      <c r="IH258" s="55"/>
      <c r="II258" s="55"/>
      <c r="IJ258" s="55"/>
      <c r="IK258" s="55"/>
      <c r="IL258" s="55"/>
      <c r="IM258" s="55"/>
      <c r="IN258" s="53">
        <v>64</v>
      </c>
      <c r="IO258" s="53">
        <v>65.8</v>
      </c>
      <c r="IP258" s="53" t="e">
        <v>#VALUE!</v>
      </c>
      <c r="IQ258" s="53">
        <v>34.299999999999997</v>
      </c>
      <c r="IR258" s="53">
        <v>13.6</v>
      </c>
      <c r="IS258" s="53">
        <v>0.7</v>
      </c>
      <c r="IT258" s="53" t="e">
        <v>#VALUE!</v>
      </c>
      <c r="IU258" s="53" t="e">
        <v>#VALUE!</v>
      </c>
      <c r="IV258" s="53" t="e">
        <v>#VALUE!</v>
      </c>
      <c r="IY258" s="48">
        <f t="shared" si="11"/>
        <v>48.002180925984824</v>
      </c>
      <c r="IZ258" s="48">
        <f>IY258-'NOPA Crush'!J258</f>
        <v>0.80218092598482116</v>
      </c>
      <c r="JB258" s="63">
        <f t="shared" ref="JB258:JB321" si="12">K258/(B258/30)</f>
        <v>11.192921077740925</v>
      </c>
      <c r="JC258" s="64">
        <f>JB258-'NOPA Crush'!O258</f>
        <v>8.2921077740925497E-2</v>
      </c>
      <c r="JD258" s="65"/>
      <c r="JE258" s="67">
        <f t="shared" si="10"/>
        <v>2436.7999999999997</v>
      </c>
      <c r="JF258" s="68">
        <f>'NOPA Crush'!Q258/'Census Crush'!JE258</f>
        <v>0.79565003282994096</v>
      </c>
    </row>
    <row r="259" spans="1:266">
      <c r="A259" s="39">
        <v>36923</v>
      </c>
      <c r="B259" s="51">
        <v>3867.9</v>
      </c>
      <c r="C259" s="51">
        <v>3799.1</v>
      </c>
      <c r="D259" s="51">
        <v>268.7</v>
      </c>
      <c r="E259" s="51">
        <v>1591</v>
      </c>
      <c r="F259" s="51">
        <v>18.8</v>
      </c>
      <c r="G259" s="51" t="s">
        <v>264</v>
      </c>
      <c r="H259" s="51" t="s">
        <v>264</v>
      </c>
      <c r="I259" s="51" t="s">
        <v>264</v>
      </c>
      <c r="J259" s="51" t="s">
        <v>264</v>
      </c>
      <c r="K259" s="51">
        <v>1435.7</v>
      </c>
      <c r="L259" s="49">
        <v>2522.7000000000003</v>
      </c>
      <c r="M259" s="51">
        <v>2311.3000000000002</v>
      </c>
      <c r="N259" s="51">
        <v>211.4</v>
      </c>
      <c r="O259" s="51">
        <v>81.599999999999994</v>
      </c>
      <c r="P259" s="51">
        <v>128</v>
      </c>
      <c r="Q259" s="51">
        <v>38</v>
      </c>
      <c r="R259" s="51">
        <v>90</v>
      </c>
      <c r="S259" s="51"/>
      <c r="T259" s="51">
        <v>15.7</v>
      </c>
      <c r="U259" s="51">
        <v>45.641999999999996</v>
      </c>
      <c r="V259" s="51">
        <v>42.463999999999999</v>
      </c>
      <c r="W259" s="51">
        <v>3.1779999999999999</v>
      </c>
      <c r="X259" s="51" t="s">
        <v>264</v>
      </c>
      <c r="Y259" s="51" t="s">
        <v>264</v>
      </c>
      <c r="Z259" s="49">
        <v>261.60000000000002</v>
      </c>
      <c r="AA259" s="51">
        <v>245.4</v>
      </c>
      <c r="AB259" s="51">
        <v>16.2</v>
      </c>
      <c r="AC259" s="51" t="s">
        <v>264</v>
      </c>
      <c r="AD259" s="51">
        <v>52.1</v>
      </c>
      <c r="AE259" s="51"/>
      <c r="AF259" s="51">
        <v>84.134</v>
      </c>
      <c r="AG259" s="51">
        <v>51.11</v>
      </c>
      <c r="AH259" s="51">
        <v>33.024000000000001</v>
      </c>
      <c r="AI259" s="51">
        <v>180.5</v>
      </c>
      <c r="AJ259" s="55"/>
      <c r="AK259" s="55"/>
      <c r="AL259" s="51">
        <v>228.89800000000002</v>
      </c>
      <c r="AM259" s="51">
        <v>140.80000000000001</v>
      </c>
      <c r="AN259" s="51">
        <v>88.097999999999999</v>
      </c>
      <c r="AO259" s="51">
        <v>2870.9</v>
      </c>
      <c r="AP259" s="51">
        <v>285.60000000000002</v>
      </c>
      <c r="AQ259" s="51">
        <v>212.1</v>
      </c>
      <c r="AR259" s="51">
        <v>40.200000000000003</v>
      </c>
      <c r="AS259" s="51">
        <v>124.1</v>
      </c>
      <c r="AT259" s="51">
        <v>49.3</v>
      </c>
      <c r="AU259" s="51">
        <v>72.5</v>
      </c>
      <c r="AV259" s="51">
        <v>30.7</v>
      </c>
      <c r="AW259" s="51">
        <v>10.5</v>
      </c>
      <c r="AX259" s="51">
        <v>2.1</v>
      </c>
      <c r="AY259" s="51" t="s">
        <v>264</v>
      </c>
      <c r="AZ259" s="51" t="s">
        <v>264</v>
      </c>
      <c r="BA259" s="51" t="s">
        <v>264</v>
      </c>
      <c r="BB259" s="51" t="s">
        <v>264</v>
      </c>
      <c r="BC259" s="51"/>
      <c r="BD259" s="53">
        <v>119.1</v>
      </c>
      <c r="BE259" s="53">
        <v>37.9</v>
      </c>
      <c r="BF259" s="53">
        <v>59.5</v>
      </c>
      <c r="BG259" s="53">
        <v>9.1</v>
      </c>
      <c r="BH259" s="53">
        <v>272.2</v>
      </c>
      <c r="BI259" s="55"/>
      <c r="BJ259" s="55"/>
      <c r="BK259" s="53">
        <v>174</v>
      </c>
      <c r="BL259" s="53">
        <v>3.1</v>
      </c>
      <c r="BM259" s="53">
        <v>449.3</v>
      </c>
      <c r="BN259" s="53">
        <v>197.3</v>
      </c>
      <c r="BO259" s="55"/>
      <c r="BP259" s="55"/>
      <c r="BQ259" s="53">
        <v>81.3</v>
      </c>
      <c r="BR259" s="53">
        <v>4.5</v>
      </c>
      <c r="BS259" s="53">
        <v>283.10000000000002</v>
      </c>
      <c r="BT259" s="52">
        <v>21.3</v>
      </c>
      <c r="BU259" s="53">
        <v>14.866</v>
      </c>
      <c r="BV259" s="51">
        <v>320.2</v>
      </c>
      <c r="BW259" s="51">
        <v>101.3</v>
      </c>
      <c r="BX259" s="51">
        <v>421.9</v>
      </c>
      <c r="BY259" s="51">
        <v>39.9</v>
      </c>
      <c r="BZ259" s="51">
        <v>7.7</v>
      </c>
      <c r="CA259" s="49">
        <v>47.6</v>
      </c>
      <c r="CB259" s="55"/>
      <c r="CC259" s="55"/>
      <c r="CD259" s="55"/>
      <c r="CE259" s="55"/>
      <c r="CF259" s="53">
        <v>83.9</v>
      </c>
      <c r="CG259" s="53">
        <v>107.3</v>
      </c>
      <c r="CH259" s="53">
        <v>11.9</v>
      </c>
      <c r="CI259" s="55"/>
      <c r="CJ259" s="55"/>
      <c r="CK259" s="51">
        <v>286.8</v>
      </c>
      <c r="CL259" s="51">
        <v>36.4</v>
      </c>
      <c r="CM259" s="51"/>
      <c r="CN259" s="53">
        <v>30.4</v>
      </c>
      <c r="CO259" s="52">
        <v>357.65800000000002</v>
      </c>
      <c r="CP259" s="53">
        <v>236.65799999999999</v>
      </c>
      <c r="CQ259" s="53">
        <v>121</v>
      </c>
      <c r="CR259" s="52" t="s">
        <v>264</v>
      </c>
      <c r="CS259" s="52">
        <v>48.099999999999994</v>
      </c>
      <c r="CT259" s="52">
        <v>30.4</v>
      </c>
      <c r="CU259" s="52">
        <v>17.7</v>
      </c>
      <c r="CV259" s="52">
        <v>50.019000000000005</v>
      </c>
      <c r="CW259" s="53">
        <v>15.255000000000001</v>
      </c>
      <c r="CX259" s="53">
        <v>34.764000000000003</v>
      </c>
      <c r="CY259" s="53" t="s">
        <v>264</v>
      </c>
      <c r="CZ259" s="53">
        <v>142.9</v>
      </c>
      <c r="DA259" s="52">
        <v>24.433</v>
      </c>
      <c r="DB259" s="53">
        <v>23.13</v>
      </c>
      <c r="DC259" s="53">
        <v>1.3029999999999999</v>
      </c>
      <c r="DD259" s="55"/>
      <c r="DE259" s="55"/>
      <c r="DF259" s="55"/>
      <c r="DG259" s="55"/>
      <c r="DH259" s="55"/>
      <c r="DI259" s="53">
        <v>603.9</v>
      </c>
      <c r="DJ259" s="53">
        <v>361.5</v>
      </c>
      <c r="DK259" s="55"/>
      <c r="DL259" s="55"/>
      <c r="DM259" s="53">
        <v>247.7</v>
      </c>
      <c r="DN259" s="55"/>
      <c r="DO259" s="53">
        <v>243</v>
      </c>
      <c r="DP259" s="53">
        <v>274.89999999999998</v>
      </c>
      <c r="DQ259" s="55"/>
      <c r="DR259" s="55"/>
      <c r="DS259" s="53">
        <v>880.47799999999995</v>
      </c>
      <c r="DT259" s="53">
        <v>3867.9</v>
      </c>
      <c r="DU259" s="53">
        <v>-1256.422</v>
      </c>
      <c r="DV259" s="53">
        <v>0</v>
      </c>
      <c r="DW259" s="55"/>
      <c r="DX259" s="55"/>
      <c r="DY259" s="55"/>
      <c r="DZ259" s="55"/>
      <c r="EA259" s="53">
        <v>791</v>
      </c>
      <c r="EB259" s="53">
        <v>569.29999999999995</v>
      </c>
      <c r="EC259" s="55"/>
      <c r="ED259" s="55"/>
      <c r="EE259" s="53">
        <v>46.3</v>
      </c>
      <c r="EF259" s="55"/>
      <c r="EG259" s="53">
        <v>106.6</v>
      </c>
      <c r="EH259" s="53" t="e">
        <v>#VALUE!</v>
      </c>
      <c r="EI259" s="55"/>
      <c r="EJ259" s="55"/>
      <c r="EK259" s="55"/>
      <c r="EL259" s="53">
        <v>3799.1</v>
      </c>
      <c r="EM259" s="55"/>
      <c r="EN259" s="55"/>
      <c r="EO259" s="55"/>
      <c r="EP259" s="55"/>
      <c r="EQ259" s="53">
        <v>227</v>
      </c>
      <c r="ER259" s="53">
        <v>132.69999999999999</v>
      </c>
      <c r="ES259" s="55"/>
      <c r="ET259" s="55"/>
      <c r="EU259" s="53">
        <v>97.2</v>
      </c>
      <c r="EV259" s="55"/>
      <c r="EW259" s="53">
        <v>92.2</v>
      </c>
      <c r="EX259" s="53">
        <v>99.5</v>
      </c>
      <c r="EY259" s="55"/>
      <c r="EZ259" s="55"/>
      <c r="FA259" s="55"/>
      <c r="FB259" s="53">
        <v>1435.7</v>
      </c>
      <c r="FC259" s="55"/>
      <c r="FD259" s="55"/>
      <c r="FE259" s="55"/>
      <c r="FF259" s="55"/>
      <c r="FG259" s="53">
        <v>484.3</v>
      </c>
      <c r="FH259" s="53">
        <v>288.5</v>
      </c>
      <c r="FI259" s="55"/>
      <c r="FJ259" s="55"/>
      <c r="FK259" s="53">
        <v>205</v>
      </c>
      <c r="FL259" s="55"/>
      <c r="FM259" s="53">
        <v>195.2</v>
      </c>
      <c r="FN259" s="53">
        <v>218.8</v>
      </c>
      <c r="FO259" s="55"/>
      <c r="FP259" s="55"/>
      <c r="FQ259" s="55"/>
      <c r="FR259" s="53">
        <v>3093.3</v>
      </c>
      <c r="FS259" s="55"/>
      <c r="FT259" s="55"/>
      <c r="FU259" s="55"/>
      <c r="FV259" s="55"/>
      <c r="FW259" s="53">
        <v>334.9</v>
      </c>
      <c r="FX259" s="53" t="e">
        <v>#VALUE!</v>
      </c>
      <c r="FY259" s="55"/>
      <c r="FZ259" s="55"/>
      <c r="GA259" s="53">
        <v>71.2</v>
      </c>
      <c r="GB259" s="55"/>
      <c r="GC259" s="53">
        <v>67.2</v>
      </c>
      <c r="GD259" s="53" t="e">
        <v>#VALUE!</v>
      </c>
      <c r="GE259" s="55"/>
      <c r="GF259" s="55"/>
      <c r="GG259" s="55"/>
      <c r="GH259" s="53">
        <v>1183.4000000000001</v>
      </c>
      <c r="GI259" s="55"/>
      <c r="GJ259" s="55"/>
      <c r="GK259" s="55"/>
      <c r="GL259" s="55"/>
      <c r="GM259" s="53">
        <v>93.4</v>
      </c>
      <c r="GN259" s="53">
        <v>16.2</v>
      </c>
      <c r="GO259" s="55"/>
      <c r="GP259" s="55"/>
      <c r="GQ259" s="53">
        <v>16.3</v>
      </c>
      <c r="GR259" s="55"/>
      <c r="GS259" s="53" t="e">
        <v>#VALUE!</v>
      </c>
      <c r="GT259" s="53" t="e">
        <v>#VALUE!</v>
      </c>
      <c r="GU259" s="55"/>
      <c r="GV259" s="55"/>
      <c r="GW259" s="55"/>
      <c r="GX259" s="53">
        <v>325.7</v>
      </c>
      <c r="GY259" s="19">
        <v>0.96027099364335899</v>
      </c>
      <c r="GZ259" s="53">
        <v>1148.0999999999999</v>
      </c>
      <c r="HA259" s="53">
        <v>1195.5999999999999</v>
      </c>
      <c r="HB259" s="55"/>
      <c r="HC259" s="55"/>
      <c r="HD259" s="55"/>
      <c r="HE259" s="55"/>
      <c r="HF259" s="53">
        <v>1297.9000000000001</v>
      </c>
      <c r="HG259" s="53">
        <v>1254.5</v>
      </c>
      <c r="HH259" s="53">
        <v>588.20000000000005</v>
      </c>
      <c r="HI259" s="53">
        <v>89.4</v>
      </c>
      <c r="HJ259" s="53">
        <v>567.5</v>
      </c>
      <c r="HK259" s="53">
        <v>9.5</v>
      </c>
      <c r="HL259" s="53">
        <v>43.4</v>
      </c>
      <c r="HM259" s="55"/>
      <c r="HN259" s="55"/>
      <c r="HO259" s="55"/>
      <c r="HP259" s="53" t="e">
        <v>#VALUE!</v>
      </c>
      <c r="HQ259" s="53">
        <v>3.6</v>
      </c>
      <c r="HR259" s="53">
        <v>6.9</v>
      </c>
      <c r="HS259" s="53" t="e">
        <v>#VALUE!</v>
      </c>
      <c r="HT259" s="53">
        <v>28.1</v>
      </c>
      <c r="HU259" s="55"/>
      <c r="HV259" s="55"/>
      <c r="HW259" s="53">
        <v>232</v>
      </c>
      <c r="HX259" s="53" t="e">
        <v>#VALUE!</v>
      </c>
      <c r="HY259" s="53">
        <v>232</v>
      </c>
      <c r="HZ259" s="53">
        <v>55.9</v>
      </c>
      <c r="IA259" s="53">
        <v>155.4</v>
      </c>
      <c r="IB259" s="53">
        <v>54.6</v>
      </c>
      <c r="IC259" s="53">
        <v>100.5</v>
      </c>
      <c r="ID259" s="53" t="e">
        <v>#VALUE!</v>
      </c>
      <c r="IE259" s="53">
        <v>0.3</v>
      </c>
      <c r="IF259" s="53">
        <v>7.6</v>
      </c>
      <c r="IG259" s="53" t="e">
        <v>#VALUE!</v>
      </c>
      <c r="IH259" s="55"/>
      <c r="II259" s="55"/>
      <c r="IJ259" s="55"/>
      <c r="IK259" s="55"/>
      <c r="IL259" s="55"/>
      <c r="IM259" s="55"/>
      <c r="IN259" s="53">
        <v>57.8</v>
      </c>
      <c r="IO259" s="53">
        <v>59.5</v>
      </c>
      <c r="IP259" s="53" t="e">
        <v>#VALUE!</v>
      </c>
      <c r="IQ259" s="53">
        <v>32.6</v>
      </c>
      <c r="IR259" s="53">
        <v>13.1</v>
      </c>
      <c r="IS259" s="53" t="e">
        <v>#VALUE!</v>
      </c>
      <c r="IT259" s="53">
        <v>16.899999999999999</v>
      </c>
      <c r="IU259" s="53" t="e">
        <v>#VALUE!</v>
      </c>
      <c r="IV259" s="53" t="e">
        <v>#VALUE!</v>
      </c>
      <c r="IY259" s="48">
        <f t="shared" si="11"/>
        <v>47.824400837663845</v>
      </c>
      <c r="IZ259" s="48">
        <f>IY259-'NOPA Crush'!J259</f>
        <v>-0.10559916233615496</v>
      </c>
      <c r="JB259" s="63">
        <f t="shared" si="12"/>
        <v>11.135499883657799</v>
      </c>
      <c r="JC259" s="64">
        <f>JB259-'NOPA Crush'!O259</f>
        <v>-0.11450011634220125</v>
      </c>
      <c r="JD259" s="65"/>
      <c r="JE259" s="67">
        <f t="shared" ref="JE259:JE322" si="13">L259</f>
        <v>2522.7000000000003</v>
      </c>
      <c r="JF259" s="68">
        <f>'NOPA Crush'!Q259/'Census Crush'!JE259</f>
        <v>0.76342252348674033</v>
      </c>
    </row>
    <row r="260" spans="1:266">
      <c r="A260" s="39">
        <v>36951</v>
      </c>
      <c r="B260" s="51">
        <v>4252.8999999999996</v>
      </c>
      <c r="C260" s="51">
        <v>3604.7</v>
      </c>
      <c r="D260" s="51">
        <v>261.89999999999998</v>
      </c>
      <c r="E260" s="51">
        <v>1323.9</v>
      </c>
      <c r="F260" s="51">
        <v>23.7</v>
      </c>
      <c r="G260" s="51" t="s">
        <v>264</v>
      </c>
      <c r="H260" s="51" t="s">
        <v>264</v>
      </c>
      <c r="I260" s="51" t="s">
        <v>264</v>
      </c>
      <c r="J260" s="51" t="s">
        <v>264</v>
      </c>
      <c r="K260" s="51">
        <v>1602.4</v>
      </c>
      <c r="L260" s="49">
        <v>2549.6</v>
      </c>
      <c r="M260" s="51">
        <v>2349.6999999999998</v>
      </c>
      <c r="N260" s="51">
        <v>199.9</v>
      </c>
      <c r="O260" s="51">
        <v>79.599999999999994</v>
      </c>
      <c r="P260" s="51">
        <v>132.5</v>
      </c>
      <c r="Q260" s="51">
        <v>46.3</v>
      </c>
      <c r="R260" s="51">
        <v>86.2</v>
      </c>
      <c r="S260" s="51"/>
      <c r="T260" s="51">
        <v>20.100000000000001</v>
      </c>
      <c r="U260" s="51">
        <v>48.344000000000001</v>
      </c>
      <c r="V260" s="51">
        <v>46.5</v>
      </c>
      <c r="W260" s="51">
        <v>1.8440000000000001</v>
      </c>
      <c r="X260" s="51" t="s">
        <v>264</v>
      </c>
      <c r="Y260" s="51">
        <v>17.923999999999999</v>
      </c>
      <c r="Z260" s="49">
        <v>341.51299999999998</v>
      </c>
      <c r="AA260" s="51">
        <v>323.44499999999999</v>
      </c>
      <c r="AB260" s="51">
        <v>18.068000000000001</v>
      </c>
      <c r="AC260" s="51" t="s">
        <v>264</v>
      </c>
      <c r="AD260" s="51">
        <v>52.9</v>
      </c>
      <c r="AE260" s="51"/>
      <c r="AF260" s="51">
        <v>73.66</v>
      </c>
      <c r="AG260" s="51">
        <v>41.497999999999998</v>
      </c>
      <c r="AH260" s="51">
        <v>32.161999999999999</v>
      </c>
      <c r="AI260" s="51">
        <v>201.6</v>
      </c>
      <c r="AJ260" s="55"/>
      <c r="AK260" s="55"/>
      <c r="AL260" s="51">
        <v>177.63499999999999</v>
      </c>
      <c r="AM260" s="51">
        <v>115.89</v>
      </c>
      <c r="AN260" s="51">
        <v>61.744999999999997</v>
      </c>
      <c r="AO260" s="51">
        <v>3178.7</v>
      </c>
      <c r="AP260" s="51">
        <v>270.8</v>
      </c>
      <c r="AQ260" s="51">
        <v>233.8</v>
      </c>
      <c r="AR260" s="51">
        <v>38.299999999999997</v>
      </c>
      <c r="AS260" s="51">
        <v>125.5</v>
      </c>
      <c r="AT260" s="51">
        <v>72.5</v>
      </c>
      <c r="AU260" s="51">
        <v>69.7</v>
      </c>
      <c r="AV260" s="51">
        <v>31.8</v>
      </c>
      <c r="AW260" s="51">
        <v>12.8</v>
      </c>
      <c r="AX260" s="51">
        <v>2.1</v>
      </c>
      <c r="AY260" s="51" t="s">
        <v>264</v>
      </c>
      <c r="AZ260" s="51" t="s">
        <v>264</v>
      </c>
      <c r="BA260" s="51" t="s">
        <v>264</v>
      </c>
      <c r="BB260" s="51" t="s">
        <v>264</v>
      </c>
      <c r="BC260" s="51"/>
      <c r="BD260" s="53">
        <v>140.4</v>
      </c>
      <c r="BE260" s="53">
        <v>33.9</v>
      </c>
      <c r="BF260" s="53">
        <v>69.099999999999994</v>
      </c>
      <c r="BG260" s="53">
        <v>10.6</v>
      </c>
      <c r="BH260" s="53">
        <v>278.60000000000002</v>
      </c>
      <c r="BI260" s="55"/>
      <c r="BJ260" s="55"/>
      <c r="BK260" s="53">
        <v>191.9</v>
      </c>
      <c r="BL260" s="53">
        <v>4.2</v>
      </c>
      <c r="BM260" s="53">
        <v>474.7</v>
      </c>
      <c r="BN260" s="53">
        <v>214.8</v>
      </c>
      <c r="BO260" s="55"/>
      <c r="BP260" s="55"/>
      <c r="BQ260" s="53">
        <v>96.7</v>
      </c>
      <c r="BR260" s="53">
        <v>3.9</v>
      </c>
      <c r="BS260" s="53">
        <v>315.39999999999998</v>
      </c>
      <c r="BT260" s="52">
        <v>24.9</v>
      </c>
      <c r="BU260" s="53">
        <v>18.100000000000001</v>
      </c>
      <c r="BV260" s="51">
        <v>312</v>
      </c>
      <c r="BW260" s="51">
        <v>98.4</v>
      </c>
      <c r="BX260" s="51">
        <v>410.7</v>
      </c>
      <c r="BY260" s="51">
        <v>44.9</v>
      </c>
      <c r="BZ260" s="51">
        <v>9.9</v>
      </c>
      <c r="CA260" s="49">
        <v>54.8</v>
      </c>
      <c r="CB260" s="55"/>
      <c r="CC260" s="55"/>
      <c r="CD260" s="55"/>
      <c r="CE260" s="55"/>
      <c r="CF260" s="53">
        <v>103.702</v>
      </c>
      <c r="CG260" s="53">
        <v>123.9</v>
      </c>
      <c r="CH260" s="53">
        <v>11.4</v>
      </c>
      <c r="CI260" s="55"/>
      <c r="CJ260" s="55"/>
      <c r="CK260" s="51">
        <v>361.3</v>
      </c>
      <c r="CL260" s="51">
        <v>50.2</v>
      </c>
      <c r="CM260" s="51"/>
      <c r="CN260" s="53">
        <v>48</v>
      </c>
      <c r="CO260" s="52">
        <v>276.416</v>
      </c>
      <c r="CP260" s="53">
        <v>182.61600000000001</v>
      </c>
      <c r="CQ260" s="53">
        <v>93.8</v>
      </c>
      <c r="CR260" s="52" t="s">
        <v>264</v>
      </c>
      <c r="CS260" s="52">
        <v>50.8</v>
      </c>
      <c r="CT260" s="52">
        <v>31.6</v>
      </c>
      <c r="CU260" s="52">
        <v>19.2</v>
      </c>
      <c r="CV260" s="52">
        <v>41.974000000000004</v>
      </c>
      <c r="CW260" s="53">
        <v>11.425000000000001</v>
      </c>
      <c r="CX260" s="53">
        <v>30.548999999999999</v>
      </c>
      <c r="CY260" s="53" t="s">
        <v>264</v>
      </c>
      <c r="CZ260" s="53">
        <v>114.521</v>
      </c>
      <c r="DA260" s="52">
        <v>27.356999999999999</v>
      </c>
      <c r="DB260" s="53">
        <v>26.218</v>
      </c>
      <c r="DC260" s="53">
        <v>1.139</v>
      </c>
      <c r="DD260" s="55"/>
      <c r="DE260" s="55"/>
      <c r="DF260" s="55"/>
      <c r="DG260" s="55"/>
      <c r="DH260" s="55"/>
      <c r="DI260" s="53">
        <v>734.9</v>
      </c>
      <c r="DJ260" s="53">
        <v>393.6</v>
      </c>
      <c r="DK260" s="55"/>
      <c r="DL260" s="55"/>
      <c r="DM260" s="53">
        <v>263</v>
      </c>
      <c r="DN260" s="55"/>
      <c r="DO260" s="53">
        <v>251.3</v>
      </c>
      <c r="DP260" s="53">
        <v>277</v>
      </c>
      <c r="DQ260" s="55"/>
      <c r="DR260" s="55"/>
      <c r="DS260" s="53">
        <v>983.28099999999995</v>
      </c>
      <c r="DT260" s="53">
        <v>4252.8999999999996</v>
      </c>
      <c r="DU260" s="53">
        <v>-1349.8189999999995</v>
      </c>
      <c r="DV260" s="53">
        <v>0</v>
      </c>
      <c r="DW260" s="55"/>
      <c r="DX260" s="55"/>
      <c r="DY260" s="55"/>
      <c r="DZ260" s="55"/>
      <c r="EA260" s="53">
        <v>665.3</v>
      </c>
      <c r="EB260" s="53">
        <v>494.3</v>
      </c>
      <c r="EC260" s="55"/>
      <c r="ED260" s="55"/>
      <c r="EE260" s="53">
        <v>55.7</v>
      </c>
      <c r="EF260" s="55"/>
      <c r="EG260" s="53">
        <v>125.1</v>
      </c>
      <c r="EH260" s="53" t="e">
        <v>#VALUE!</v>
      </c>
      <c r="EI260" s="55"/>
      <c r="EJ260" s="55"/>
      <c r="EK260" s="55"/>
      <c r="EL260" s="53">
        <v>3604.7</v>
      </c>
      <c r="EM260" s="55"/>
      <c r="EN260" s="55"/>
      <c r="EO260" s="55"/>
      <c r="EP260" s="55"/>
      <c r="EQ260" s="53">
        <v>281.60000000000002</v>
      </c>
      <c r="ER260" s="53">
        <v>147.80000000000001</v>
      </c>
      <c r="ES260" s="55"/>
      <c r="ET260" s="55"/>
      <c r="EU260" s="53">
        <v>100.9</v>
      </c>
      <c r="EV260" s="55"/>
      <c r="EW260" s="53">
        <v>96.7</v>
      </c>
      <c r="EX260" s="53">
        <v>99.3</v>
      </c>
      <c r="EY260" s="55"/>
      <c r="EZ260" s="55"/>
      <c r="FA260" s="55"/>
      <c r="FB260" s="53">
        <v>1602.4</v>
      </c>
      <c r="FC260" s="55"/>
      <c r="FD260" s="55"/>
      <c r="FE260" s="55"/>
      <c r="FF260" s="55"/>
      <c r="FG260" s="53">
        <v>592.1</v>
      </c>
      <c r="FH260" s="53">
        <v>315.8</v>
      </c>
      <c r="FI260" s="55"/>
      <c r="FJ260" s="55"/>
      <c r="FK260" s="53">
        <v>210</v>
      </c>
      <c r="FL260" s="55"/>
      <c r="FM260" s="53">
        <v>201</v>
      </c>
      <c r="FN260" s="53">
        <v>221.4</v>
      </c>
      <c r="FO260" s="55"/>
      <c r="FP260" s="55"/>
      <c r="FQ260" s="55"/>
      <c r="FR260" s="53">
        <v>3421.1</v>
      </c>
      <c r="FS260" s="55"/>
      <c r="FT260" s="55"/>
      <c r="FU260" s="55"/>
      <c r="FV260" s="55"/>
      <c r="FW260" s="53">
        <v>361.5</v>
      </c>
      <c r="FX260" s="53" t="e">
        <v>#VALUE!</v>
      </c>
      <c r="FY260" s="55"/>
      <c r="FZ260" s="55"/>
      <c r="GA260" s="53">
        <v>60.2</v>
      </c>
      <c r="GB260" s="55"/>
      <c r="GC260" s="53">
        <v>68.599999999999994</v>
      </c>
      <c r="GD260" s="53" t="e">
        <v>#VALUE!</v>
      </c>
      <c r="GE260" s="55"/>
      <c r="GF260" s="55"/>
      <c r="GG260" s="55"/>
      <c r="GH260" s="53">
        <v>1210.4000000000001</v>
      </c>
      <c r="GI260" s="55"/>
      <c r="GJ260" s="55"/>
      <c r="GK260" s="55"/>
      <c r="GL260" s="55"/>
      <c r="GM260" s="53">
        <v>108.7</v>
      </c>
      <c r="GN260" s="53">
        <v>24.3</v>
      </c>
      <c r="GO260" s="55"/>
      <c r="GP260" s="55"/>
      <c r="GQ260" s="53">
        <v>10.9</v>
      </c>
      <c r="GR260" s="55"/>
      <c r="GS260" s="53">
        <v>8.6999999999999993</v>
      </c>
      <c r="GT260" s="53" t="e">
        <v>#VALUE!</v>
      </c>
      <c r="GU260" s="55"/>
      <c r="GV260" s="55"/>
      <c r="GW260" s="55"/>
      <c r="GX260" s="53">
        <v>309.10000000000002</v>
      </c>
      <c r="GY260" s="19">
        <v>0.95907558979297058</v>
      </c>
      <c r="GZ260" s="53">
        <v>1195.2</v>
      </c>
      <c r="HA260" s="53">
        <v>1246.2</v>
      </c>
      <c r="HB260" s="55"/>
      <c r="HC260" s="55"/>
      <c r="HD260" s="55"/>
      <c r="HE260" s="55"/>
      <c r="HF260" s="53">
        <v>1465.4</v>
      </c>
      <c r="HG260" s="53">
        <v>1421.2</v>
      </c>
      <c r="HH260" s="53">
        <v>655.20000000000005</v>
      </c>
      <c r="HI260" s="53">
        <v>100.9</v>
      </c>
      <c r="HJ260" s="53">
        <v>655</v>
      </c>
      <c r="HK260" s="53">
        <v>10.199999999999999</v>
      </c>
      <c r="HL260" s="53">
        <v>44.2</v>
      </c>
      <c r="HM260" s="55"/>
      <c r="HN260" s="55"/>
      <c r="HO260" s="55"/>
      <c r="HP260" s="53" t="e">
        <v>#VALUE!</v>
      </c>
      <c r="HQ260" s="53">
        <v>3.2</v>
      </c>
      <c r="HR260" s="53">
        <v>5</v>
      </c>
      <c r="HS260" s="53" t="e">
        <v>#VALUE!</v>
      </c>
      <c r="HT260" s="53">
        <v>32.200000000000003</v>
      </c>
      <c r="HU260" s="55"/>
      <c r="HV260" s="55"/>
      <c r="HW260" s="53">
        <v>251.2</v>
      </c>
      <c r="HX260" s="53" t="e">
        <v>#VALUE!</v>
      </c>
      <c r="HY260" s="53">
        <v>251.2</v>
      </c>
      <c r="HZ260" s="53">
        <v>53.7</v>
      </c>
      <c r="IA260" s="53">
        <v>176.8</v>
      </c>
      <c r="IB260" s="53">
        <v>63.8</v>
      </c>
      <c r="IC260" s="53">
        <v>112.4</v>
      </c>
      <c r="ID260" s="53" t="e">
        <v>#VALUE!</v>
      </c>
      <c r="IE260" s="53">
        <v>0.5</v>
      </c>
      <c r="IF260" s="53" t="e">
        <v>#VALUE!</v>
      </c>
      <c r="IG260" s="53" t="e">
        <v>#VALUE!</v>
      </c>
      <c r="IH260" s="55"/>
      <c r="II260" s="55"/>
      <c r="IJ260" s="55"/>
      <c r="IK260" s="55"/>
      <c r="IL260" s="55"/>
      <c r="IM260" s="55"/>
      <c r="IN260" s="53">
        <v>55.6</v>
      </c>
      <c r="IO260" s="53">
        <v>57.4</v>
      </c>
      <c r="IP260" s="53" t="e">
        <v>#VALUE!</v>
      </c>
      <c r="IQ260" s="53">
        <v>37.9</v>
      </c>
      <c r="IR260" s="53">
        <v>14.8</v>
      </c>
      <c r="IS260" s="53" t="e">
        <v>#VALUE!</v>
      </c>
      <c r="IT260" s="53">
        <v>20.399999999999999</v>
      </c>
      <c r="IU260" s="53" t="e">
        <v>#VALUE!</v>
      </c>
      <c r="IV260" s="53" t="e">
        <v>#VALUE!</v>
      </c>
      <c r="IY260" s="48">
        <f t="shared" ref="IY260:IY323" si="14">((AO260+AQ260)*2)/(B260/30)</f>
        <v>48.143619647769761</v>
      </c>
      <c r="IZ260" s="48">
        <f>IY260-'NOPA Crush'!J260</f>
        <v>0.10361964776976151</v>
      </c>
      <c r="JB260" s="63">
        <f t="shared" si="12"/>
        <v>11.303345952173812</v>
      </c>
      <c r="JC260" s="64">
        <f>JB260-'NOPA Crush'!O260</f>
        <v>-6.6654047826187224E-2</v>
      </c>
      <c r="JD260" s="65"/>
      <c r="JE260" s="67">
        <f t="shared" si="13"/>
        <v>2549.6</v>
      </c>
      <c r="JF260" s="68">
        <f>'NOPA Crush'!Q260/'Census Crush'!JE260</f>
        <v>0.76328522121117037</v>
      </c>
    </row>
    <row r="261" spans="1:266">
      <c r="A261" s="39">
        <v>36982</v>
      </c>
      <c r="B261" s="51">
        <v>3931.6</v>
      </c>
      <c r="C261" s="51">
        <v>2835.7</v>
      </c>
      <c r="D261" s="51">
        <v>186</v>
      </c>
      <c r="E261" s="51">
        <v>1167.4000000000001</v>
      </c>
      <c r="F261" s="51">
        <v>18.899999999999999</v>
      </c>
      <c r="G261" s="51" t="s">
        <v>264</v>
      </c>
      <c r="H261" s="51" t="s">
        <v>264</v>
      </c>
      <c r="I261" s="51" t="s">
        <v>264</v>
      </c>
      <c r="J261" s="51" t="s">
        <v>264</v>
      </c>
      <c r="K261" s="51">
        <v>1485.2</v>
      </c>
      <c r="L261" s="49">
        <v>2542.8620000000001</v>
      </c>
      <c r="M261" s="51">
        <v>2358.8000000000002</v>
      </c>
      <c r="N261" s="51">
        <v>184.06200000000001</v>
      </c>
      <c r="O261" s="51">
        <v>57.1</v>
      </c>
      <c r="P261" s="51">
        <v>125.1</v>
      </c>
      <c r="Q261" s="51">
        <v>45.6</v>
      </c>
      <c r="R261" s="51">
        <v>79.5</v>
      </c>
      <c r="S261" s="51"/>
      <c r="T261" s="51">
        <v>15.3</v>
      </c>
      <c r="U261" s="51">
        <v>48.417000000000002</v>
      </c>
      <c r="V261" s="51">
        <v>45.207999999999998</v>
      </c>
      <c r="W261" s="51">
        <v>3.2090000000000001</v>
      </c>
      <c r="X261" s="51" t="s">
        <v>264</v>
      </c>
      <c r="Y261" s="51">
        <v>16.260000000000002</v>
      </c>
      <c r="Z261" s="49">
        <v>337.06799999999998</v>
      </c>
      <c r="AA261" s="51">
        <v>310.56200000000001</v>
      </c>
      <c r="AB261" s="51">
        <v>26.506</v>
      </c>
      <c r="AC261" s="51" t="s">
        <v>264</v>
      </c>
      <c r="AD261" s="51">
        <v>59.2</v>
      </c>
      <c r="AE261" s="51"/>
      <c r="AF261" s="51">
        <v>61.531999999999996</v>
      </c>
      <c r="AG261" s="51">
        <v>38.543999999999997</v>
      </c>
      <c r="AH261" s="51">
        <v>22.988</v>
      </c>
      <c r="AI261" s="51">
        <v>200.7</v>
      </c>
      <c r="AJ261" s="55"/>
      <c r="AK261" s="55"/>
      <c r="AL261" s="51">
        <v>172.012</v>
      </c>
      <c r="AM261" s="51">
        <v>111.29</v>
      </c>
      <c r="AN261" s="51">
        <v>60.722000000000001</v>
      </c>
      <c r="AO261" s="51">
        <v>2941.8</v>
      </c>
      <c r="AP261" s="51">
        <v>273.60000000000002</v>
      </c>
      <c r="AQ261" s="51">
        <v>210.5</v>
      </c>
      <c r="AR261" s="51">
        <v>39.700000000000003</v>
      </c>
      <c r="AS261" s="51">
        <v>88.6</v>
      </c>
      <c r="AT261" s="51">
        <v>78.3</v>
      </c>
      <c r="AU261" s="51">
        <v>49.1</v>
      </c>
      <c r="AV261" s="51">
        <v>23.4</v>
      </c>
      <c r="AW261" s="51">
        <v>10.8</v>
      </c>
      <c r="AX261" s="51">
        <v>2</v>
      </c>
      <c r="AY261" s="51" t="s">
        <v>264</v>
      </c>
      <c r="AZ261" s="51" t="s">
        <v>264</v>
      </c>
      <c r="BA261" s="51" t="s">
        <v>264</v>
      </c>
      <c r="BB261" s="51" t="s">
        <v>264</v>
      </c>
      <c r="BC261" s="51"/>
      <c r="BD261" s="53">
        <v>122.9</v>
      </c>
      <c r="BE261" s="53">
        <v>40.799999999999997</v>
      </c>
      <c r="BF261" s="53">
        <v>61.8</v>
      </c>
      <c r="BG261" s="53">
        <v>7.2</v>
      </c>
      <c r="BH261" s="53">
        <v>256.7</v>
      </c>
      <c r="BI261" s="55"/>
      <c r="BJ261" s="55"/>
      <c r="BK261" s="53">
        <v>193.1</v>
      </c>
      <c r="BL261" s="53">
        <v>4</v>
      </c>
      <c r="BM261" s="53">
        <v>453.8</v>
      </c>
      <c r="BN261" s="53">
        <v>163.80000000000001</v>
      </c>
      <c r="BO261" s="55"/>
      <c r="BP261" s="55"/>
      <c r="BQ261" s="53">
        <v>110.8</v>
      </c>
      <c r="BR261" s="53">
        <v>5.5</v>
      </c>
      <c r="BS261" s="53">
        <v>280.10000000000002</v>
      </c>
      <c r="BT261" s="52">
        <v>22.9</v>
      </c>
      <c r="BU261" s="53">
        <v>13.9</v>
      </c>
      <c r="BV261" s="51">
        <v>289.8</v>
      </c>
      <c r="BW261" s="51">
        <v>93.8</v>
      </c>
      <c r="BX261" s="51">
        <v>383.8</v>
      </c>
      <c r="BY261" s="51">
        <v>45.9</v>
      </c>
      <c r="BZ261" s="51">
        <v>8.5</v>
      </c>
      <c r="CA261" s="49">
        <v>54.4</v>
      </c>
      <c r="CB261" s="55"/>
      <c r="CC261" s="55"/>
      <c r="CD261" s="55"/>
      <c r="CE261" s="55"/>
      <c r="CF261" s="53">
        <v>99.731999999999999</v>
      </c>
      <c r="CG261" s="53">
        <v>129.4</v>
      </c>
      <c r="CH261" s="53">
        <v>13.6</v>
      </c>
      <c r="CI261" s="55"/>
      <c r="CJ261" s="55"/>
      <c r="CK261" s="51">
        <v>309.10000000000002</v>
      </c>
      <c r="CL261" s="51">
        <v>48.9</v>
      </c>
      <c r="CM261" s="51"/>
      <c r="CN261" s="53">
        <v>46.6</v>
      </c>
      <c r="CO261" s="52">
        <v>286.875</v>
      </c>
      <c r="CP261" s="53">
        <v>184.98400000000001</v>
      </c>
      <c r="CQ261" s="53">
        <v>101.89100000000001</v>
      </c>
      <c r="CR261" s="52" t="s">
        <v>264</v>
      </c>
      <c r="CS261" s="52">
        <v>39.299999999999997</v>
      </c>
      <c r="CT261" s="52">
        <v>22.4</v>
      </c>
      <c r="CU261" s="52">
        <v>16.899999999999999</v>
      </c>
      <c r="CV261" s="52">
        <v>43.780999999999999</v>
      </c>
      <c r="CW261" s="53">
        <v>15.99</v>
      </c>
      <c r="CX261" s="53">
        <v>27.791</v>
      </c>
      <c r="CY261" s="53" t="s">
        <v>264</v>
      </c>
      <c r="CZ261" s="53">
        <v>123.3</v>
      </c>
      <c r="DA261" s="52">
        <v>31.181000000000001</v>
      </c>
      <c r="DB261" s="53">
        <v>29.768000000000001</v>
      </c>
      <c r="DC261" s="53">
        <v>1.413</v>
      </c>
      <c r="DD261" s="55"/>
      <c r="DE261" s="55"/>
      <c r="DF261" s="55"/>
      <c r="DG261" s="55"/>
      <c r="DH261" s="55"/>
      <c r="DI261" s="53">
        <v>684.6</v>
      </c>
      <c r="DJ261" s="53">
        <v>371.7</v>
      </c>
      <c r="DK261" s="55"/>
      <c r="DL261" s="55"/>
      <c r="DM261" s="53">
        <v>248.6</v>
      </c>
      <c r="DN261" s="55"/>
      <c r="DO261" s="53">
        <v>193.3</v>
      </c>
      <c r="DP261" s="53">
        <v>245.8</v>
      </c>
      <c r="DQ261" s="55"/>
      <c r="DR261" s="55"/>
      <c r="DS261" s="53">
        <v>2020</v>
      </c>
      <c r="DT261" s="53">
        <v>3931.6</v>
      </c>
      <c r="DU261" s="53">
        <v>-167.59999999999991</v>
      </c>
      <c r="DV261" s="53">
        <v>0</v>
      </c>
      <c r="DW261" s="55"/>
      <c r="DX261" s="55"/>
      <c r="DY261" s="55"/>
      <c r="DZ261" s="55"/>
      <c r="EA261" s="53">
        <v>303.2</v>
      </c>
      <c r="EB261" s="53">
        <v>373.3</v>
      </c>
      <c r="EC261" s="55"/>
      <c r="ED261" s="55"/>
      <c r="EE261" s="53">
        <v>62.2</v>
      </c>
      <c r="EF261" s="55"/>
      <c r="EG261" s="53">
        <v>137.30000000000001</v>
      </c>
      <c r="EH261" s="53" t="e">
        <v>#VALUE!</v>
      </c>
      <c r="EI261" s="55"/>
      <c r="EJ261" s="55"/>
      <c r="EK261" s="55"/>
      <c r="EL261" s="53">
        <v>2835.7</v>
      </c>
      <c r="EM261" s="55"/>
      <c r="EN261" s="55"/>
      <c r="EO261" s="55"/>
      <c r="EP261" s="55"/>
      <c r="EQ261" s="53">
        <v>261.2</v>
      </c>
      <c r="ER261" s="53">
        <v>259.5</v>
      </c>
      <c r="ES261" s="55"/>
      <c r="ET261" s="55"/>
      <c r="EU261" s="53">
        <v>96.6</v>
      </c>
      <c r="EV261" s="55"/>
      <c r="EW261" s="53">
        <v>73</v>
      </c>
      <c r="EX261" s="53">
        <v>87.9</v>
      </c>
      <c r="EY261" s="55"/>
      <c r="EZ261" s="55"/>
      <c r="FA261" s="55"/>
      <c r="FB261" s="53">
        <v>1485.2</v>
      </c>
      <c r="FC261" s="55"/>
      <c r="FD261" s="55"/>
      <c r="FE261" s="55"/>
      <c r="FF261" s="55"/>
      <c r="FG261" s="53">
        <v>546.20000000000005</v>
      </c>
      <c r="FH261" s="53">
        <v>296.89999999999998</v>
      </c>
      <c r="FI261" s="55"/>
      <c r="FJ261" s="55"/>
      <c r="FK261" s="53" t="e">
        <v>#VALUE!</v>
      </c>
      <c r="FL261" s="55"/>
      <c r="FM261" s="53">
        <v>156</v>
      </c>
      <c r="FN261" s="53">
        <v>197.3</v>
      </c>
      <c r="FO261" s="55"/>
      <c r="FP261" s="55"/>
      <c r="FQ261" s="55"/>
      <c r="FR261" s="53">
        <v>3161.2</v>
      </c>
      <c r="FS261" s="55"/>
      <c r="FT261" s="55"/>
      <c r="FU261" s="55"/>
      <c r="FV261" s="55"/>
      <c r="FW261" s="53">
        <v>381.9</v>
      </c>
      <c r="FX261" s="53" t="e">
        <v>#VALUE!</v>
      </c>
      <c r="FY261" s="55"/>
      <c r="FZ261" s="55"/>
      <c r="GA261" s="53">
        <v>42.1</v>
      </c>
      <c r="GB261" s="55"/>
      <c r="GC261" s="53">
        <v>68.7</v>
      </c>
      <c r="GD261" s="53" t="e">
        <v>#VALUE!</v>
      </c>
      <c r="GE261" s="55"/>
      <c r="GF261" s="55"/>
      <c r="GG261" s="55"/>
      <c r="GH261" s="53">
        <v>1207.3</v>
      </c>
      <c r="GI261" s="55"/>
      <c r="GJ261" s="55"/>
      <c r="GK261" s="55"/>
      <c r="GL261" s="55"/>
      <c r="GM261" s="53">
        <v>134.69999999999999</v>
      </c>
      <c r="GN261" s="53">
        <v>18.8</v>
      </c>
      <c r="GO261" s="55"/>
      <c r="GP261" s="55"/>
      <c r="GQ261" s="53">
        <v>31</v>
      </c>
      <c r="GR261" s="55"/>
      <c r="GS261" s="53" t="e">
        <v>#VALUE!</v>
      </c>
      <c r="GT261" s="53" t="e">
        <v>#VALUE!</v>
      </c>
      <c r="GU261" s="55"/>
      <c r="GV261" s="55"/>
      <c r="GW261" s="55"/>
      <c r="GX261" s="53">
        <v>313.3</v>
      </c>
      <c r="GY261" s="19">
        <v>0.96380090497737558</v>
      </c>
      <c r="GZ261" s="53">
        <v>1150.2</v>
      </c>
      <c r="HA261" s="53">
        <v>1193.4000000000001</v>
      </c>
      <c r="HB261" s="55"/>
      <c r="HC261" s="55"/>
      <c r="HD261" s="55"/>
      <c r="HE261" s="55"/>
      <c r="HF261" s="53">
        <v>1363.5</v>
      </c>
      <c r="HG261" s="53">
        <v>1320.6</v>
      </c>
      <c r="HH261" s="53">
        <v>623.4</v>
      </c>
      <c r="HI261" s="53">
        <v>102.7</v>
      </c>
      <c r="HJ261" s="53">
        <v>584</v>
      </c>
      <c r="HK261" s="53">
        <v>10.6</v>
      </c>
      <c r="HL261" s="53">
        <v>42.9</v>
      </c>
      <c r="HM261" s="55"/>
      <c r="HN261" s="55"/>
      <c r="HO261" s="55"/>
      <c r="HP261" s="53" t="e">
        <v>#VALUE!</v>
      </c>
      <c r="HQ261" s="53">
        <v>3.7</v>
      </c>
      <c r="HR261" s="53">
        <v>6.1</v>
      </c>
      <c r="HS261" s="53" t="e">
        <v>#VALUE!</v>
      </c>
      <c r="HT261" s="53">
        <v>27.2</v>
      </c>
      <c r="HU261" s="55"/>
      <c r="HV261" s="55"/>
      <c r="HW261" s="53">
        <v>243.5</v>
      </c>
      <c r="HX261" s="53" t="e">
        <v>#VALUE!</v>
      </c>
      <c r="HY261" s="53">
        <v>243.5</v>
      </c>
      <c r="HZ261" s="53" t="e">
        <v>#VALUE!</v>
      </c>
      <c r="IA261" s="53">
        <v>169.4</v>
      </c>
      <c r="IB261" s="53">
        <v>58.2</v>
      </c>
      <c r="IC261" s="53">
        <v>110.3</v>
      </c>
      <c r="ID261" s="53" t="e">
        <v>#VALUE!</v>
      </c>
      <c r="IE261" s="53">
        <v>0.8</v>
      </c>
      <c r="IF261" s="53">
        <v>7.1</v>
      </c>
      <c r="IG261" s="53" t="e">
        <v>#VALUE!</v>
      </c>
      <c r="IH261" s="55"/>
      <c r="II261" s="55"/>
      <c r="IJ261" s="55"/>
      <c r="IK261" s="55"/>
      <c r="IL261" s="55"/>
      <c r="IM261" s="55"/>
      <c r="IN261" s="53">
        <v>34.4</v>
      </c>
      <c r="IO261" s="53">
        <v>35.9</v>
      </c>
      <c r="IP261" s="53" t="e">
        <v>#VALUE!</v>
      </c>
      <c r="IQ261" s="53">
        <v>28.3</v>
      </c>
      <c r="IR261" s="53">
        <v>12.6</v>
      </c>
      <c r="IS261" s="53" t="e">
        <v>#VALUE!</v>
      </c>
      <c r="IT261" s="53">
        <v>13.9</v>
      </c>
      <c r="IU261" s="53" t="e">
        <v>#VALUE!</v>
      </c>
      <c r="IV261" s="53" t="e">
        <v>#VALUE!</v>
      </c>
      <c r="IY261" s="48">
        <f t="shared" si="14"/>
        <v>48.10713195645539</v>
      </c>
      <c r="IZ261" s="48">
        <f>IY261-'NOPA Crush'!J261</f>
        <v>0.11713195645538832</v>
      </c>
      <c r="JB261" s="63">
        <f t="shared" si="12"/>
        <v>11.332790721334826</v>
      </c>
      <c r="JC261" s="64">
        <f>JB261-'NOPA Crush'!O261</f>
        <v>-5.7209278665174779E-2</v>
      </c>
      <c r="JD261" s="65"/>
      <c r="JE261" s="67">
        <f t="shared" si="13"/>
        <v>2542.8620000000001</v>
      </c>
      <c r="JF261" s="68">
        <f>'NOPA Crush'!Q261/'Census Crush'!JE261</f>
        <v>0.78303305488068164</v>
      </c>
    </row>
    <row r="262" spans="1:266">
      <c r="A262" s="39">
        <v>37012</v>
      </c>
      <c r="B262" s="51">
        <v>3980.1</v>
      </c>
      <c r="C262" s="51">
        <v>2571.5</v>
      </c>
      <c r="D262" s="51">
        <v>228.3</v>
      </c>
      <c r="E262" s="51">
        <v>902.1</v>
      </c>
      <c r="F262" s="51">
        <v>15.6</v>
      </c>
      <c r="G262" s="51" t="s">
        <v>264</v>
      </c>
      <c r="H262" s="51" t="s">
        <v>264</v>
      </c>
      <c r="I262" s="51" t="s">
        <v>264</v>
      </c>
      <c r="J262" s="51" t="s">
        <v>264</v>
      </c>
      <c r="K262" s="51">
        <v>1478.6</v>
      </c>
      <c r="L262" s="49">
        <v>2695.6</v>
      </c>
      <c r="M262" s="51">
        <v>2494.6</v>
      </c>
      <c r="N262" s="51">
        <v>201</v>
      </c>
      <c r="O262" s="51">
        <v>70</v>
      </c>
      <c r="P262" s="51">
        <v>114.809</v>
      </c>
      <c r="Q262" s="51">
        <v>42.6</v>
      </c>
      <c r="R262" s="51">
        <v>72.209000000000003</v>
      </c>
      <c r="S262" s="51"/>
      <c r="T262" s="51">
        <v>12.4</v>
      </c>
      <c r="U262" s="51">
        <v>42.836999999999996</v>
      </c>
      <c r="V262" s="51">
        <v>40.298999999999999</v>
      </c>
      <c r="W262" s="51">
        <v>2.5379999999999998</v>
      </c>
      <c r="X262" s="51" t="s">
        <v>264</v>
      </c>
      <c r="Y262" s="51">
        <v>16.576000000000001</v>
      </c>
      <c r="Z262" s="49">
        <v>235.745</v>
      </c>
      <c r="AA262" s="51">
        <v>205.648</v>
      </c>
      <c r="AB262" s="51">
        <v>30.097000000000001</v>
      </c>
      <c r="AC262" s="51" t="s">
        <v>264</v>
      </c>
      <c r="AD262" s="51">
        <v>42.9</v>
      </c>
      <c r="AE262" s="51"/>
      <c r="AF262" s="51">
        <v>56.761000000000003</v>
      </c>
      <c r="AG262" s="51">
        <v>34.712000000000003</v>
      </c>
      <c r="AH262" s="51">
        <v>22.048999999999999</v>
      </c>
      <c r="AI262" s="51">
        <v>206.2</v>
      </c>
      <c r="AJ262" s="55"/>
      <c r="AK262" s="55"/>
      <c r="AL262" s="51">
        <v>152.54599999999999</v>
      </c>
      <c r="AM262" s="51">
        <v>105.078</v>
      </c>
      <c r="AN262" s="51">
        <v>47.468000000000004</v>
      </c>
      <c r="AO262" s="51">
        <v>2973.2</v>
      </c>
      <c r="AP262" s="51">
        <v>247.8</v>
      </c>
      <c r="AQ262" s="51">
        <v>207.8</v>
      </c>
      <c r="AR262" s="51">
        <v>39.1</v>
      </c>
      <c r="AS262" s="51">
        <v>106.2</v>
      </c>
      <c r="AT262" s="51">
        <v>108.5</v>
      </c>
      <c r="AU262" s="51">
        <v>60</v>
      </c>
      <c r="AV262" s="51">
        <v>22.6</v>
      </c>
      <c r="AW262" s="51">
        <v>8.4</v>
      </c>
      <c r="AX262" s="51">
        <v>1.5</v>
      </c>
      <c r="AY262" s="51" t="s">
        <v>264</v>
      </c>
      <c r="AZ262" s="51" t="s">
        <v>264</v>
      </c>
      <c r="BA262" s="51" t="s">
        <v>264</v>
      </c>
      <c r="BB262" s="51" t="s">
        <v>264</v>
      </c>
      <c r="BC262" s="51"/>
      <c r="BD262" s="53">
        <v>161.5</v>
      </c>
      <c r="BE262" s="53">
        <v>39.299999999999997</v>
      </c>
      <c r="BF262" s="53">
        <v>70</v>
      </c>
      <c r="BG262" s="53">
        <v>6.9</v>
      </c>
      <c r="BH262" s="53">
        <v>295.39999999999998</v>
      </c>
      <c r="BI262" s="55"/>
      <c r="BJ262" s="55"/>
      <c r="BK262" s="53">
        <v>211.1</v>
      </c>
      <c r="BL262" s="53">
        <v>3.6</v>
      </c>
      <c r="BM262" s="53">
        <v>510.1</v>
      </c>
      <c r="BN262" s="53">
        <v>173.2</v>
      </c>
      <c r="BO262" s="55"/>
      <c r="BP262" s="55"/>
      <c r="BQ262" s="53">
        <v>87.6</v>
      </c>
      <c r="BR262" s="53">
        <v>0</v>
      </c>
      <c r="BS262" s="53">
        <v>260.79999999999995</v>
      </c>
      <c r="BT262" s="52">
        <v>22.3</v>
      </c>
      <c r="BU262" s="53">
        <v>13.6</v>
      </c>
      <c r="BV262" s="51">
        <v>321.10000000000002</v>
      </c>
      <c r="BW262" s="51">
        <v>105.8</v>
      </c>
      <c r="BX262" s="51">
        <v>423.3</v>
      </c>
      <c r="BY262" s="51">
        <v>41.9</v>
      </c>
      <c r="BZ262" s="51">
        <v>7.5</v>
      </c>
      <c r="CA262" s="49">
        <v>49.4</v>
      </c>
      <c r="CB262" s="55"/>
      <c r="CC262" s="55"/>
      <c r="CD262" s="55"/>
      <c r="CE262" s="55"/>
      <c r="CF262" s="53">
        <v>99.909000000000006</v>
      </c>
      <c r="CG262" s="53">
        <v>159.30000000000001</v>
      </c>
      <c r="CH262" s="53">
        <v>11.8</v>
      </c>
      <c r="CI262" s="55"/>
      <c r="CJ262" s="55"/>
      <c r="CK262" s="51">
        <v>347.8</v>
      </c>
      <c r="CL262" s="51">
        <v>42</v>
      </c>
      <c r="CM262" s="51"/>
      <c r="CN262" s="53">
        <v>58</v>
      </c>
      <c r="CO262" s="52">
        <v>196.81799999999998</v>
      </c>
      <c r="CP262" s="53">
        <v>116.018</v>
      </c>
      <c r="CQ262" s="53">
        <v>80.8</v>
      </c>
      <c r="CR262" s="52" t="s">
        <v>264</v>
      </c>
      <c r="CS262" s="52">
        <v>44.9</v>
      </c>
      <c r="CT262" s="52">
        <v>22.7</v>
      </c>
      <c r="CU262" s="52">
        <v>22.2</v>
      </c>
      <c r="CV262" s="52">
        <v>35.701000000000001</v>
      </c>
      <c r="CW262" s="53">
        <v>13.744</v>
      </c>
      <c r="CX262" s="53">
        <v>21.957000000000001</v>
      </c>
      <c r="CY262" s="53" t="s">
        <v>264</v>
      </c>
      <c r="CZ262" s="53">
        <v>108.61</v>
      </c>
      <c r="DA262" s="52">
        <v>34.496000000000002</v>
      </c>
      <c r="DB262" s="53">
        <v>33.078000000000003</v>
      </c>
      <c r="DC262" s="53">
        <v>1.4179999999999999</v>
      </c>
      <c r="DD262" s="55"/>
      <c r="DE262" s="55"/>
      <c r="DF262" s="55"/>
      <c r="DG262" s="55"/>
      <c r="DH262" s="55"/>
      <c r="DI262" s="53">
        <v>642.1</v>
      </c>
      <c r="DJ262" s="53">
        <v>389.5</v>
      </c>
      <c r="DK262" s="55"/>
      <c r="DL262" s="55"/>
      <c r="DM262" s="53">
        <v>278.10000000000002</v>
      </c>
      <c r="DN262" s="55"/>
      <c r="DO262" s="53">
        <v>260.60000000000002</v>
      </c>
      <c r="DP262" s="53">
        <v>275</v>
      </c>
      <c r="DQ262" s="55"/>
      <c r="DR262" s="55"/>
      <c r="DS262" s="53">
        <v>1970.134</v>
      </c>
      <c r="DT262" s="53">
        <v>3980.1</v>
      </c>
      <c r="DU262" s="53">
        <v>-164.66600000000017</v>
      </c>
      <c r="DV262" s="53">
        <v>0</v>
      </c>
      <c r="DW262" s="55"/>
      <c r="DX262" s="55"/>
      <c r="DY262" s="55"/>
      <c r="DZ262" s="55"/>
      <c r="EA262" s="53">
        <v>278.60000000000002</v>
      </c>
      <c r="EB262" s="53">
        <v>292.39999999999998</v>
      </c>
      <c r="EC262" s="55"/>
      <c r="ED262" s="55"/>
      <c r="EE262" s="53">
        <v>73.2</v>
      </c>
      <c r="EF262" s="55"/>
      <c r="EG262" s="53">
        <v>112.9</v>
      </c>
      <c r="EH262" s="53" t="e">
        <v>#VALUE!</v>
      </c>
      <c r="EI262" s="55"/>
      <c r="EJ262" s="55"/>
      <c r="EK262" s="55"/>
      <c r="EL262" s="53">
        <v>2571.5</v>
      </c>
      <c r="EM262" s="55"/>
      <c r="EN262" s="55"/>
      <c r="EO262" s="55"/>
      <c r="EP262" s="55"/>
      <c r="EQ262" s="53">
        <v>247.1</v>
      </c>
      <c r="ER262" s="53">
        <v>139</v>
      </c>
      <c r="ES262" s="55"/>
      <c r="ET262" s="55"/>
      <c r="EU262" s="53">
        <v>106.4</v>
      </c>
      <c r="EV262" s="55"/>
      <c r="EW262" s="53">
        <v>99.7</v>
      </c>
      <c r="EX262" s="53">
        <v>99.3</v>
      </c>
      <c r="EY262" s="55"/>
      <c r="EZ262" s="55"/>
      <c r="FA262" s="55"/>
      <c r="FB262" s="53">
        <v>1478.6</v>
      </c>
      <c r="FC262" s="55"/>
      <c r="FD262" s="55"/>
      <c r="FE262" s="55"/>
      <c r="FF262" s="55"/>
      <c r="FG262" s="53">
        <v>516.5</v>
      </c>
      <c r="FH262" s="53">
        <v>310.39999999999998</v>
      </c>
      <c r="FI262" s="55"/>
      <c r="FJ262" s="55"/>
      <c r="FK262" s="53">
        <v>222.4</v>
      </c>
      <c r="FL262" s="55"/>
      <c r="FM262" s="53">
        <v>211</v>
      </c>
      <c r="FN262" s="53">
        <v>218.3</v>
      </c>
      <c r="FO262" s="55"/>
      <c r="FP262" s="55"/>
      <c r="FQ262" s="55"/>
      <c r="FR262" s="53">
        <v>3189.6</v>
      </c>
      <c r="FS262" s="55"/>
      <c r="FT262" s="55"/>
      <c r="FU262" s="55"/>
      <c r="FV262" s="55"/>
      <c r="FW262" s="53">
        <v>402</v>
      </c>
      <c r="FX262" s="53" t="e">
        <v>#VALUE!</v>
      </c>
      <c r="FY262" s="55"/>
      <c r="FZ262" s="55"/>
      <c r="GA262" s="53">
        <v>39.700000000000003</v>
      </c>
      <c r="GB262" s="55"/>
      <c r="GC262" s="53">
        <v>71.400000000000006</v>
      </c>
      <c r="GD262" s="53" t="e">
        <v>#VALUE!</v>
      </c>
      <c r="GE262" s="55"/>
      <c r="GF262" s="55"/>
      <c r="GG262" s="55"/>
      <c r="GH262" s="53">
        <v>1298.7</v>
      </c>
      <c r="GI262" s="55"/>
      <c r="GJ262" s="55"/>
      <c r="GK262" s="55"/>
      <c r="GL262" s="55"/>
      <c r="GM262" s="53">
        <v>101.5</v>
      </c>
      <c r="GN262" s="53">
        <v>24.8</v>
      </c>
      <c r="GO262" s="55"/>
      <c r="GP262" s="55"/>
      <c r="GQ262" s="53" t="e">
        <v>#VALUE!</v>
      </c>
      <c r="GR262" s="55"/>
      <c r="GS262" s="53" t="e">
        <v>#VALUE!</v>
      </c>
      <c r="GT262" s="53" t="e">
        <v>#VALUE!</v>
      </c>
      <c r="GU262" s="55"/>
      <c r="GV262" s="55"/>
      <c r="GW262" s="55"/>
      <c r="GX262" s="53">
        <v>286.89999999999998</v>
      </c>
      <c r="GY262" s="19">
        <v>0.9583726786276362</v>
      </c>
      <c r="GZ262" s="53">
        <v>1217.9000000000001</v>
      </c>
      <c r="HA262" s="53">
        <v>1270.8</v>
      </c>
      <c r="HB262" s="55"/>
      <c r="HC262" s="55"/>
      <c r="HD262" s="55"/>
      <c r="HE262" s="55"/>
      <c r="HF262" s="53">
        <v>1422.3</v>
      </c>
      <c r="HG262" s="53">
        <v>1386.5</v>
      </c>
      <c r="HH262" s="53">
        <v>681.7</v>
      </c>
      <c r="HI262" s="53">
        <v>99.1</v>
      </c>
      <c r="HJ262" s="53">
        <v>594.5</v>
      </c>
      <c r="HK262" s="53">
        <v>11.1</v>
      </c>
      <c r="HL262" s="53">
        <v>35.799999999999997</v>
      </c>
      <c r="HM262" s="55"/>
      <c r="HN262" s="55"/>
      <c r="HO262" s="55"/>
      <c r="HP262" s="53" t="e">
        <v>#VALUE!</v>
      </c>
      <c r="HQ262" s="53">
        <v>4.5</v>
      </c>
      <c r="HR262" s="53">
        <v>8.6</v>
      </c>
      <c r="HS262" s="53" t="e">
        <v>#VALUE!</v>
      </c>
      <c r="HT262" s="53">
        <v>18.3</v>
      </c>
      <c r="HU262" s="55"/>
      <c r="HV262" s="55"/>
      <c r="HW262" s="53">
        <v>270</v>
      </c>
      <c r="HX262" s="53" t="e">
        <v>#VALUE!</v>
      </c>
      <c r="HY262" s="53">
        <v>270</v>
      </c>
      <c r="HZ262" s="53" t="e">
        <v>#VALUE!</v>
      </c>
      <c r="IA262" s="53">
        <v>197</v>
      </c>
      <c r="IB262" s="53">
        <v>70.3</v>
      </c>
      <c r="IC262" s="53">
        <v>126.3</v>
      </c>
      <c r="ID262" s="53" t="e">
        <v>#VALUE!</v>
      </c>
      <c r="IE262" s="53">
        <v>0.4</v>
      </c>
      <c r="IF262" s="53">
        <v>7.3</v>
      </c>
      <c r="IG262" s="53" t="e">
        <v>#VALUE!</v>
      </c>
      <c r="IH262" s="55"/>
      <c r="II262" s="55"/>
      <c r="IJ262" s="55"/>
      <c r="IK262" s="55"/>
      <c r="IL262" s="55"/>
      <c r="IM262" s="55"/>
      <c r="IN262" s="53">
        <v>42.4</v>
      </c>
      <c r="IO262" s="53">
        <v>43.6</v>
      </c>
      <c r="IP262" s="53" t="e">
        <v>#VALUE!</v>
      </c>
      <c r="IQ262" s="53">
        <v>31.8</v>
      </c>
      <c r="IR262" s="53">
        <v>13.2</v>
      </c>
      <c r="IS262" s="53" t="e">
        <v>#VALUE!</v>
      </c>
      <c r="IT262" s="53">
        <v>16.7</v>
      </c>
      <c r="IU262" s="53" t="e">
        <v>#VALUE!</v>
      </c>
      <c r="IV262" s="53" t="e">
        <v>#VALUE!</v>
      </c>
      <c r="IY262" s="48">
        <f t="shared" si="14"/>
        <v>47.953569005803878</v>
      </c>
      <c r="IZ262" s="48">
        <f>IY262-'NOPA Crush'!J262</f>
        <v>-0.12643099419612014</v>
      </c>
      <c r="JB262" s="63">
        <f t="shared" si="12"/>
        <v>11.144946106881736</v>
      </c>
      <c r="JC262" s="64">
        <f>JB262-'NOPA Crush'!O262</f>
        <v>-0.1850538931182637</v>
      </c>
      <c r="JD262" s="65"/>
      <c r="JE262" s="67">
        <f t="shared" si="13"/>
        <v>2695.6</v>
      </c>
      <c r="JF262" s="68">
        <f>'NOPA Crush'!Q262/'Census Crush'!JE262</f>
        <v>0.7643760201810359</v>
      </c>
    </row>
    <row r="263" spans="1:266">
      <c r="A263" s="39">
        <v>37043</v>
      </c>
      <c r="B263" s="51">
        <v>3840.3</v>
      </c>
      <c r="C263" s="51">
        <v>2366.3000000000002</v>
      </c>
      <c r="D263" s="51">
        <v>241.9</v>
      </c>
      <c r="E263" s="51">
        <v>649.5</v>
      </c>
      <c r="F263" s="51">
        <v>22.1</v>
      </c>
      <c r="G263" s="51" t="s">
        <v>264</v>
      </c>
      <c r="H263" s="51" t="s">
        <v>264</v>
      </c>
      <c r="I263" s="51" t="s">
        <v>264</v>
      </c>
      <c r="J263" s="51" t="s">
        <v>264</v>
      </c>
      <c r="K263" s="51">
        <v>1448.8</v>
      </c>
      <c r="L263" s="49">
        <v>2776.4290000000001</v>
      </c>
      <c r="M263" s="51">
        <v>2587.1</v>
      </c>
      <c r="N263" s="51">
        <v>189.32900000000001</v>
      </c>
      <c r="O263" s="51">
        <v>69.8</v>
      </c>
      <c r="P263" s="51">
        <v>126.916</v>
      </c>
      <c r="Q263" s="51">
        <v>45.3</v>
      </c>
      <c r="R263" s="51">
        <v>81.616</v>
      </c>
      <c r="S263" s="51"/>
      <c r="T263" s="51">
        <v>19.100000000000001</v>
      </c>
      <c r="U263" s="51">
        <v>40.046999999999997</v>
      </c>
      <c r="V263" s="51">
        <v>36.549999999999997</v>
      </c>
      <c r="W263" s="51">
        <v>3.4969999999999999</v>
      </c>
      <c r="X263" s="51" t="s">
        <v>264</v>
      </c>
      <c r="Y263" s="51" t="s">
        <v>264</v>
      </c>
      <c r="Z263" s="49">
        <v>181.28</v>
      </c>
      <c r="AA263" s="51">
        <v>153.518</v>
      </c>
      <c r="AB263" s="51">
        <v>27.762</v>
      </c>
      <c r="AC263" s="51" t="s">
        <v>264</v>
      </c>
      <c r="AD263" s="51">
        <v>38.9</v>
      </c>
      <c r="AE263" s="51"/>
      <c r="AF263" s="51">
        <v>75.585999999999999</v>
      </c>
      <c r="AG263" s="51">
        <v>58.2</v>
      </c>
      <c r="AH263" s="51">
        <v>17.385999999999999</v>
      </c>
      <c r="AI263" s="51">
        <v>204</v>
      </c>
      <c r="AJ263" s="55"/>
      <c r="AK263" s="55"/>
      <c r="AL263" s="51">
        <v>119.97</v>
      </c>
      <c r="AM263" s="51">
        <v>61.734999999999999</v>
      </c>
      <c r="AN263" s="51">
        <v>58.234999999999999</v>
      </c>
      <c r="AO263" s="51">
        <v>2884.9</v>
      </c>
      <c r="AP263" s="51">
        <v>298.60000000000002</v>
      </c>
      <c r="AQ263" s="51">
        <v>206.7</v>
      </c>
      <c r="AR263" s="51">
        <v>42.7</v>
      </c>
      <c r="AS263" s="51">
        <v>119.5</v>
      </c>
      <c r="AT263" s="51">
        <v>122.6</v>
      </c>
      <c r="AU263" s="51">
        <v>64.8</v>
      </c>
      <c r="AV263" s="51">
        <v>32</v>
      </c>
      <c r="AW263" s="51">
        <v>12.6</v>
      </c>
      <c r="AX263" s="51">
        <v>2.1</v>
      </c>
      <c r="AY263" s="51" t="s">
        <v>264</v>
      </c>
      <c r="AZ263" s="51" t="s">
        <v>264</v>
      </c>
      <c r="BA263" s="51" t="s">
        <v>264</v>
      </c>
      <c r="BB263" s="51" t="s">
        <v>264</v>
      </c>
      <c r="BC263" s="51"/>
      <c r="BD263" s="53">
        <v>149.9</v>
      </c>
      <c r="BE263" s="53">
        <v>41</v>
      </c>
      <c r="BF263" s="53">
        <v>64.5</v>
      </c>
      <c r="BG263" s="53">
        <v>6.3</v>
      </c>
      <c r="BH263" s="53">
        <v>267</v>
      </c>
      <c r="BI263" s="55"/>
      <c r="BJ263" s="55"/>
      <c r="BK263" s="53">
        <v>195.6</v>
      </c>
      <c r="BL263" s="53">
        <v>1.7</v>
      </c>
      <c r="BM263" s="53">
        <v>464.4</v>
      </c>
      <c r="BN263" s="53">
        <v>168.5</v>
      </c>
      <c r="BO263" s="55"/>
      <c r="BP263" s="55"/>
      <c r="BQ263" s="53">
        <v>91.2</v>
      </c>
      <c r="BR263" s="53">
        <v>0</v>
      </c>
      <c r="BS263" s="53">
        <v>259.7</v>
      </c>
      <c r="BT263" s="52">
        <v>20</v>
      </c>
      <c r="BU263" s="53">
        <v>10.5</v>
      </c>
      <c r="BV263" s="51">
        <v>279.89999999999998</v>
      </c>
      <c r="BW263" s="51">
        <v>98.5</v>
      </c>
      <c r="BX263" s="51">
        <v>374.4</v>
      </c>
      <c r="BY263" s="51">
        <v>44.9</v>
      </c>
      <c r="BZ263" s="51">
        <v>7.6</v>
      </c>
      <c r="CA263" s="49">
        <v>52.5</v>
      </c>
      <c r="CB263" s="55"/>
      <c r="CC263" s="55"/>
      <c r="CD263" s="55"/>
      <c r="CE263" s="55"/>
      <c r="CF263" s="53">
        <v>95.061000000000007</v>
      </c>
      <c r="CG263" s="53">
        <v>122.1</v>
      </c>
      <c r="CH263" s="53">
        <v>18.399999999999999</v>
      </c>
      <c r="CI263" s="55"/>
      <c r="CJ263" s="55"/>
      <c r="CK263" s="51">
        <v>357.3</v>
      </c>
      <c r="CL263" s="51">
        <v>49.4</v>
      </c>
      <c r="CM263" s="51"/>
      <c r="CN263" s="53">
        <v>42.006</v>
      </c>
      <c r="CO263" s="52">
        <v>257.62</v>
      </c>
      <c r="CP263" s="53">
        <v>157.91999999999999</v>
      </c>
      <c r="CQ263" s="53">
        <v>99.7</v>
      </c>
      <c r="CR263" s="52" t="s">
        <v>264</v>
      </c>
      <c r="CS263" s="52">
        <v>29.1</v>
      </c>
      <c r="CT263" s="52">
        <v>19.8</v>
      </c>
      <c r="CU263" s="52">
        <v>9.3000000000000007</v>
      </c>
      <c r="CV263" s="52">
        <v>31.308</v>
      </c>
      <c r="CW263" s="53">
        <v>12.093</v>
      </c>
      <c r="CX263" s="53">
        <v>19.215</v>
      </c>
      <c r="CY263" s="53" t="s">
        <v>264</v>
      </c>
      <c r="CZ263" s="53">
        <v>117.622</v>
      </c>
      <c r="DA263" s="52">
        <v>24.128999999999998</v>
      </c>
      <c r="DB263" s="53">
        <v>22.206</v>
      </c>
      <c r="DC263" s="53">
        <v>1.923</v>
      </c>
      <c r="DD263" s="55"/>
      <c r="DE263" s="55"/>
      <c r="DF263" s="55"/>
      <c r="DG263" s="55"/>
      <c r="DH263" s="55"/>
      <c r="DI263" s="53">
        <v>574</v>
      </c>
      <c r="DJ263" s="53">
        <v>349.5</v>
      </c>
      <c r="DK263" s="55"/>
      <c r="DL263" s="55"/>
      <c r="DM263" s="53">
        <v>269.2</v>
      </c>
      <c r="DN263" s="55"/>
      <c r="DO263" s="53">
        <v>252.7</v>
      </c>
      <c r="DP263" s="53">
        <v>303.5</v>
      </c>
      <c r="DQ263" s="55"/>
      <c r="DR263" s="55"/>
      <c r="DS263" s="53">
        <v>1947.595</v>
      </c>
      <c r="DT263" s="53">
        <v>3840.3</v>
      </c>
      <c r="DU263" s="53">
        <v>-143.80500000000029</v>
      </c>
      <c r="DV263" s="53">
        <v>0</v>
      </c>
      <c r="DW263" s="55"/>
      <c r="DX263" s="55"/>
      <c r="DY263" s="55"/>
      <c r="DZ263" s="55"/>
      <c r="EA263" s="53">
        <v>278.39999999999998</v>
      </c>
      <c r="EB263" s="53">
        <v>200.7</v>
      </c>
      <c r="EC263" s="55"/>
      <c r="ED263" s="55"/>
      <c r="EE263" s="53">
        <v>80.2</v>
      </c>
      <c r="EF263" s="55"/>
      <c r="EG263" s="53">
        <v>90.5</v>
      </c>
      <c r="EH263" s="53" t="e">
        <v>#VALUE!</v>
      </c>
      <c r="EI263" s="55"/>
      <c r="EJ263" s="55"/>
      <c r="EK263" s="55"/>
      <c r="EL263" s="53">
        <v>2366.3000000000002</v>
      </c>
      <c r="EM263" s="55"/>
      <c r="EN263" s="55"/>
      <c r="EO263" s="55"/>
      <c r="EP263" s="55"/>
      <c r="EQ263" s="53">
        <v>219.4</v>
      </c>
      <c r="ER263" s="53">
        <v>125.1</v>
      </c>
      <c r="ES263" s="55"/>
      <c r="ET263" s="55"/>
      <c r="EU263" s="53">
        <v>104.5</v>
      </c>
      <c r="EV263" s="55"/>
      <c r="EW263" s="53">
        <v>98.7</v>
      </c>
      <c r="EX263" s="53">
        <v>110.6</v>
      </c>
      <c r="EY263" s="55"/>
      <c r="EZ263" s="55"/>
      <c r="FA263" s="55"/>
      <c r="FB263" s="53">
        <v>1448.8</v>
      </c>
      <c r="FC263" s="55"/>
      <c r="FD263" s="55"/>
      <c r="FE263" s="55"/>
      <c r="FF263" s="55"/>
      <c r="FG263" s="53">
        <v>461.8</v>
      </c>
      <c r="FH263" s="53">
        <v>284</v>
      </c>
      <c r="FI263" s="55"/>
      <c r="FJ263" s="55"/>
      <c r="FK263" s="53">
        <v>218.1</v>
      </c>
      <c r="FL263" s="55"/>
      <c r="FM263" s="53">
        <v>208.3</v>
      </c>
      <c r="FN263" s="53">
        <v>243.7</v>
      </c>
      <c r="FO263" s="55"/>
      <c r="FP263" s="55"/>
      <c r="FQ263" s="55"/>
      <c r="FR263" s="53">
        <v>3100.1</v>
      </c>
      <c r="FS263" s="55"/>
      <c r="FT263" s="55"/>
      <c r="FU263" s="55"/>
      <c r="FV263" s="55"/>
      <c r="FW263" s="53">
        <v>411.8</v>
      </c>
      <c r="FX263" s="53" t="e">
        <v>#VALUE!</v>
      </c>
      <c r="FY263" s="55"/>
      <c r="FZ263" s="55"/>
      <c r="GA263" s="53">
        <v>35.4</v>
      </c>
      <c r="GB263" s="55"/>
      <c r="GC263" s="53">
        <v>78.400000000000006</v>
      </c>
      <c r="GD263" s="53" t="e">
        <v>#VALUE!</v>
      </c>
      <c r="GE263" s="55"/>
      <c r="GF263" s="55"/>
      <c r="GG263" s="55"/>
      <c r="GH263" s="53">
        <v>1252.4000000000001</v>
      </c>
      <c r="GI263" s="55"/>
      <c r="GJ263" s="55"/>
      <c r="GK263" s="55"/>
      <c r="GL263" s="55"/>
      <c r="GM263" s="53">
        <v>126.2</v>
      </c>
      <c r="GN263" s="53">
        <v>21.7</v>
      </c>
      <c r="GO263" s="55"/>
      <c r="GP263" s="55"/>
      <c r="GQ263" s="53">
        <v>19.2</v>
      </c>
      <c r="GR263" s="55"/>
      <c r="GS263" s="53" t="e">
        <v>#VALUE!</v>
      </c>
      <c r="GT263" s="53" t="e">
        <v>#VALUE!</v>
      </c>
      <c r="GU263" s="55"/>
      <c r="GV263" s="55"/>
      <c r="GW263" s="55"/>
      <c r="GX263" s="53">
        <v>341.3</v>
      </c>
      <c r="GY263" s="19">
        <v>0.97147533317746093</v>
      </c>
      <c r="GZ263" s="53">
        <v>1246.5</v>
      </c>
      <c r="HA263" s="53">
        <v>1283.0999999999999</v>
      </c>
      <c r="HB263" s="55"/>
      <c r="HC263" s="55"/>
      <c r="HD263" s="55"/>
      <c r="HE263" s="55"/>
      <c r="HF263" s="53">
        <v>1466.3</v>
      </c>
      <c r="HG263" s="53">
        <v>1422.3</v>
      </c>
      <c r="HH263" s="53">
        <v>679.4</v>
      </c>
      <c r="HI263" s="53">
        <v>101.7</v>
      </c>
      <c r="HJ263" s="53">
        <v>630.9</v>
      </c>
      <c r="HK263" s="53">
        <v>10.4</v>
      </c>
      <c r="HL263" s="53">
        <v>44</v>
      </c>
      <c r="HM263" s="55"/>
      <c r="HN263" s="55"/>
      <c r="HO263" s="55"/>
      <c r="HP263" s="53" t="e">
        <v>#VALUE!</v>
      </c>
      <c r="HQ263" s="53">
        <v>4.5999999999999996</v>
      </c>
      <c r="HR263" s="53">
        <v>7.8</v>
      </c>
      <c r="HS263" s="53" t="e">
        <v>#VALUE!</v>
      </c>
      <c r="HT263" s="53">
        <v>25.5</v>
      </c>
      <c r="HU263" s="55"/>
      <c r="HV263" s="55"/>
      <c r="HW263" s="53">
        <v>222</v>
      </c>
      <c r="HX263" s="53" t="e">
        <v>#VALUE!</v>
      </c>
      <c r="HY263" s="53">
        <v>222</v>
      </c>
      <c r="HZ263" s="53" t="e">
        <v>#VALUE!</v>
      </c>
      <c r="IA263" s="53">
        <v>154.1</v>
      </c>
      <c r="IB263" s="53">
        <v>41</v>
      </c>
      <c r="IC263" s="53">
        <v>112.2</v>
      </c>
      <c r="ID263" s="53" t="e">
        <v>#VALUE!</v>
      </c>
      <c r="IE263" s="53">
        <v>0.9</v>
      </c>
      <c r="IF263" s="53">
        <v>6.8</v>
      </c>
      <c r="IG263" s="53" t="e">
        <v>#VALUE!</v>
      </c>
      <c r="IH263" s="55"/>
      <c r="II263" s="55"/>
      <c r="IJ263" s="55"/>
      <c r="IK263" s="55"/>
      <c r="IL263" s="55"/>
      <c r="IM263" s="55"/>
      <c r="IN263" s="53">
        <v>50.015999999999998</v>
      </c>
      <c r="IO263" s="53">
        <v>51.4</v>
      </c>
      <c r="IP263" s="53" t="e">
        <v>#VALUE!</v>
      </c>
      <c r="IQ263" s="53">
        <v>34.5</v>
      </c>
      <c r="IR263" s="53">
        <v>14</v>
      </c>
      <c r="IS263" s="53" t="e">
        <v>#VALUE!</v>
      </c>
      <c r="IT263" s="53">
        <v>18.600000000000001</v>
      </c>
      <c r="IU263" s="53" t="e">
        <v>#VALUE!</v>
      </c>
      <c r="IV263" s="53" t="e">
        <v>#VALUE!</v>
      </c>
      <c r="IY263" s="48">
        <f t="shared" si="14"/>
        <v>48.302476369033663</v>
      </c>
      <c r="IZ263" s="48">
        <f>IY263-'NOPA Crush'!J263</f>
        <v>4.2476369033664696E-2</v>
      </c>
      <c r="JB263" s="63">
        <f t="shared" si="12"/>
        <v>11.317865791735018</v>
      </c>
      <c r="JC263" s="64">
        <f>JB263-'NOPA Crush'!O263</f>
        <v>-0.13213420826498101</v>
      </c>
      <c r="JD263" s="65"/>
      <c r="JE263" s="67">
        <f t="shared" si="13"/>
        <v>2776.4290000000001</v>
      </c>
      <c r="JF263" s="68">
        <f>'NOPA Crush'!Q263/'Census Crush'!JE263</f>
        <v>0.73358800098976062</v>
      </c>
    </row>
    <row r="264" spans="1:266">
      <c r="A264" s="39">
        <v>37073</v>
      </c>
      <c r="B264" s="51">
        <v>4008.9</v>
      </c>
      <c r="C264" s="51">
        <v>2057.3000000000002</v>
      </c>
      <c r="D264" s="51">
        <v>199.2</v>
      </c>
      <c r="E264" s="51">
        <v>427.1</v>
      </c>
      <c r="F264" s="51">
        <v>20</v>
      </c>
      <c r="G264" s="51" t="s">
        <v>264</v>
      </c>
      <c r="H264" s="51" t="s">
        <v>264</v>
      </c>
      <c r="I264" s="51" t="s">
        <v>264</v>
      </c>
      <c r="J264" s="51" t="s">
        <v>264</v>
      </c>
      <c r="K264" s="51">
        <v>1525.6</v>
      </c>
      <c r="L264" s="49">
        <v>2743.9750000000004</v>
      </c>
      <c r="M264" s="51">
        <v>2566.8000000000002</v>
      </c>
      <c r="N264" s="51">
        <v>177.17500000000001</v>
      </c>
      <c r="O264" s="51">
        <v>58.9</v>
      </c>
      <c r="P264" s="51">
        <v>114.047</v>
      </c>
      <c r="Q264" s="51">
        <v>36</v>
      </c>
      <c r="R264" s="51">
        <v>78.046999999999997</v>
      </c>
      <c r="S264" s="51"/>
      <c r="T264" s="51">
        <v>16.3</v>
      </c>
      <c r="U264" s="51">
        <v>31.032999999999998</v>
      </c>
      <c r="V264" s="51">
        <v>28.4</v>
      </c>
      <c r="W264" s="51">
        <v>2.633</v>
      </c>
      <c r="X264" s="51" t="s">
        <v>264</v>
      </c>
      <c r="Y264" s="51" t="s">
        <v>264</v>
      </c>
      <c r="Z264" s="49">
        <v>158.92000000000002</v>
      </c>
      <c r="AA264" s="51">
        <v>126.128</v>
      </c>
      <c r="AB264" s="51">
        <v>32.792000000000002</v>
      </c>
      <c r="AC264" s="51" t="s">
        <v>264</v>
      </c>
      <c r="AD264" s="51">
        <v>20.6</v>
      </c>
      <c r="AE264" s="51"/>
      <c r="AF264" s="51">
        <v>77.424000000000007</v>
      </c>
      <c r="AG264" s="51">
        <v>63.758000000000003</v>
      </c>
      <c r="AH264" s="51">
        <v>13.666</v>
      </c>
      <c r="AI264" s="51">
        <v>205.7</v>
      </c>
      <c r="AJ264" s="55"/>
      <c r="AK264" s="55"/>
      <c r="AL264" s="51">
        <v>140.51600000000002</v>
      </c>
      <c r="AM264" s="51">
        <v>80.804000000000002</v>
      </c>
      <c r="AN264" s="51">
        <v>59.712000000000003</v>
      </c>
      <c r="AO264" s="51">
        <v>3043.1</v>
      </c>
      <c r="AP264" s="51">
        <v>297.89999999999998</v>
      </c>
      <c r="AQ264" s="51">
        <v>213.5</v>
      </c>
      <c r="AR264" s="51">
        <v>40.200000000000003</v>
      </c>
      <c r="AS264" s="51">
        <v>94.9</v>
      </c>
      <c r="AT264" s="51">
        <v>103</v>
      </c>
      <c r="AU264" s="51">
        <v>57.5</v>
      </c>
      <c r="AV264" s="51">
        <v>36.4</v>
      </c>
      <c r="AW264" s="51">
        <v>10.9</v>
      </c>
      <c r="AX264" s="51">
        <v>2.6</v>
      </c>
      <c r="AY264" s="51" t="s">
        <v>264</v>
      </c>
      <c r="AZ264" s="51" t="s">
        <v>264</v>
      </c>
      <c r="BA264" s="51" t="s">
        <v>264</v>
      </c>
      <c r="BB264" s="51" t="s">
        <v>264</v>
      </c>
      <c r="BC264" s="51"/>
      <c r="BD264" s="53">
        <v>152.5</v>
      </c>
      <c r="BE264" s="53">
        <v>40.5</v>
      </c>
      <c r="BF264" s="53">
        <v>65.599999999999994</v>
      </c>
      <c r="BG264" s="53">
        <v>5.9</v>
      </c>
      <c r="BH264" s="53">
        <v>282.10000000000002</v>
      </c>
      <c r="BI264" s="55"/>
      <c r="BJ264" s="55"/>
      <c r="BK264" s="53">
        <v>198.9</v>
      </c>
      <c r="BL264" s="53">
        <v>2.1</v>
      </c>
      <c r="BM264" s="53">
        <v>483.1</v>
      </c>
      <c r="BN264" s="53">
        <v>164.3</v>
      </c>
      <c r="BO264" s="55"/>
      <c r="BP264" s="55"/>
      <c r="BQ264" s="53">
        <v>95.3</v>
      </c>
      <c r="BR264" s="53">
        <v>0</v>
      </c>
      <c r="BS264" s="53">
        <v>259.60000000000002</v>
      </c>
      <c r="BT264" s="52">
        <v>18.600000000000001</v>
      </c>
      <c r="BU264" s="53">
        <v>12.6</v>
      </c>
      <c r="BV264" s="51">
        <v>305.89999999999998</v>
      </c>
      <c r="BW264" s="51">
        <v>97.3</v>
      </c>
      <c r="BX264" s="51">
        <v>399.6</v>
      </c>
      <c r="BY264" s="51">
        <v>47.3</v>
      </c>
      <c r="BZ264" s="51">
        <v>7.7</v>
      </c>
      <c r="CA264" s="49">
        <v>55</v>
      </c>
      <c r="CB264" s="55"/>
      <c r="CC264" s="55"/>
      <c r="CD264" s="55"/>
      <c r="CE264" s="55"/>
      <c r="CF264" s="53">
        <v>95.5</v>
      </c>
      <c r="CG264" s="53">
        <v>149.19999999999999</v>
      </c>
      <c r="CH264" s="53">
        <v>12.1</v>
      </c>
      <c r="CI264" s="55"/>
      <c r="CJ264" s="55"/>
      <c r="CK264" s="51">
        <v>340.5</v>
      </c>
      <c r="CL264" s="51">
        <v>43.8</v>
      </c>
      <c r="CM264" s="51"/>
      <c r="CN264" s="53">
        <v>49.063000000000002</v>
      </c>
      <c r="CO264" s="52">
        <v>260.85500000000002</v>
      </c>
      <c r="CP264" s="53">
        <v>175.54499999999999</v>
      </c>
      <c r="CQ264" s="53">
        <v>85.31</v>
      </c>
      <c r="CR264" s="52" t="s">
        <v>264</v>
      </c>
      <c r="CS264" s="52">
        <v>30.200000000000003</v>
      </c>
      <c r="CT264" s="52">
        <v>18.600000000000001</v>
      </c>
      <c r="CU264" s="52">
        <v>11.6</v>
      </c>
      <c r="CV264" s="52">
        <v>39.024000000000001</v>
      </c>
      <c r="CW264" s="53">
        <v>21.899000000000001</v>
      </c>
      <c r="CX264" s="53">
        <v>17.125</v>
      </c>
      <c r="CY264" s="53" t="s">
        <v>264</v>
      </c>
      <c r="CZ264" s="53">
        <v>126.804</v>
      </c>
      <c r="DA264" s="52">
        <v>21.334000000000003</v>
      </c>
      <c r="DB264" s="53">
        <v>20.260000000000002</v>
      </c>
      <c r="DC264" s="53">
        <v>1.0740000000000001</v>
      </c>
      <c r="DD264" s="55"/>
      <c r="DE264" s="55"/>
      <c r="DF264" s="55"/>
      <c r="DG264" s="55"/>
      <c r="DH264" s="55"/>
      <c r="DI264" s="53">
        <v>544.9</v>
      </c>
      <c r="DJ264" s="53">
        <v>340.7</v>
      </c>
      <c r="DK264" s="55"/>
      <c r="DL264" s="55"/>
      <c r="DM264" s="53">
        <v>289.2</v>
      </c>
      <c r="DN264" s="55"/>
      <c r="DO264" s="53">
        <v>229.5</v>
      </c>
      <c r="DP264" s="53">
        <v>299.10000000000002</v>
      </c>
      <c r="DQ264" s="55"/>
      <c r="DR264" s="55"/>
      <c r="DS264" s="53">
        <v>2149.1759999999999</v>
      </c>
      <c r="DT264" s="53">
        <v>4008.9</v>
      </c>
      <c r="DU264" s="53">
        <v>-156.32400000000007</v>
      </c>
      <c r="DV264" s="53">
        <v>0</v>
      </c>
      <c r="DW264" s="55"/>
      <c r="DX264" s="55"/>
      <c r="DY264" s="55"/>
      <c r="DZ264" s="55"/>
      <c r="EA264" s="53">
        <v>272.5</v>
      </c>
      <c r="EB264" s="53">
        <v>162</v>
      </c>
      <c r="EC264" s="55"/>
      <c r="ED264" s="55"/>
      <c r="EE264" s="53">
        <v>86.1</v>
      </c>
      <c r="EF264" s="55"/>
      <c r="EG264" s="53">
        <v>80.5</v>
      </c>
      <c r="EH264" s="53" t="e">
        <v>#VALUE!</v>
      </c>
      <c r="EI264" s="55"/>
      <c r="EJ264" s="55"/>
      <c r="EK264" s="55"/>
      <c r="EL264" s="53">
        <v>2057.3000000000002</v>
      </c>
      <c r="EM264" s="55"/>
      <c r="EN264" s="55"/>
      <c r="EO264" s="55"/>
      <c r="EP264" s="55"/>
      <c r="EQ264" s="53">
        <v>210</v>
      </c>
      <c r="ER264" s="53">
        <v>122.9</v>
      </c>
      <c r="ES264" s="55"/>
      <c r="ET264" s="55"/>
      <c r="EU264" s="53">
        <v>109.9</v>
      </c>
      <c r="EV264" s="55"/>
      <c r="EW264" s="53">
        <v>86.8</v>
      </c>
      <c r="EX264" s="53">
        <v>108.8</v>
      </c>
      <c r="EY264" s="55"/>
      <c r="EZ264" s="55"/>
      <c r="FA264" s="55"/>
      <c r="FB264" s="53">
        <v>1525.6</v>
      </c>
      <c r="FC264" s="55"/>
      <c r="FD264" s="55"/>
      <c r="FE264" s="55"/>
      <c r="FF264" s="55"/>
      <c r="FG264" s="53">
        <v>435.5</v>
      </c>
      <c r="FH264" s="53">
        <v>271.2</v>
      </c>
      <c r="FI264" s="55"/>
      <c r="FJ264" s="55"/>
      <c r="FK264" s="53">
        <v>232.3</v>
      </c>
      <c r="FL264" s="55"/>
      <c r="FM264" s="53">
        <v>185</v>
      </c>
      <c r="FN264" s="53">
        <v>239.8</v>
      </c>
      <c r="FO264" s="55"/>
      <c r="FP264" s="55"/>
      <c r="FQ264" s="55"/>
      <c r="FR264" s="53">
        <v>3264.4</v>
      </c>
      <c r="FS264" s="55"/>
      <c r="FT264" s="55"/>
      <c r="FU264" s="55"/>
      <c r="FV264" s="55"/>
      <c r="FW264" s="53">
        <v>404.2</v>
      </c>
      <c r="FX264" s="53" t="e">
        <v>#VALUE!</v>
      </c>
      <c r="FY264" s="55"/>
      <c r="FZ264" s="55"/>
      <c r="GA264" s="53">
        <v>37.4</v>
      </c>
      <c r="GB264" s="55"/>
      <c r="GC264" s="53">
        <v>63.6</v>
      </c>
      <c r="GD264" s="53" t="e">
        <v>#VALUE!</v>
      </c>
      <c r="GE264" s="55"/>
      <c r="GF264" s="55"/>
      <c r="GG264" s="55"/>
      <c r="GH264" s="53">
        <v>1279.4000000000001</v>
      </c>
      <c r="GI264" s="55"/>
      <c r="GJ264" s="55"/>
      <c r="GK264" s="55"/>
      <c r="GL264" s="55"/>
      <c r="GM264" s="53" t="e">
        <v>#VALUE!</v>
      </c>
      <c r="GN264" s="53">
        <v>22.6</v>
      </c>
      <c r="GO264" s="55"/>
      <c r="GP264" s="55"/>
      <c r="GQ264" s="53" t="e">
        <v>#VALUE!</v>
      </c>
      <c r="GR264" s="55"/>
      <c r="GS264" s="53" t="e">
        <v>#VALUE!</v>
      </c>
      <c r="GT264" s="53" t="e">
        <v>#VALUE!</v>
      </c>
      <c r="GU264" s="55"/>
      <c r="GV264" s="55"/>
      <c r="GW264" s="55"/>
      <c r="GX264" s="53">
        <v>338.1</v>
      </c>
      <c r="GY264" s="19">
        <v>0.96333175766170343</v>
      </c>
      <c r="GZ264" s="53">
        <v>1222.7570000000001</v>
      </c>
      <c r="HA264" s="53">
        <v>1269.3</v>
      </c>
      <c r="HB264" s="55"/>
      <c r="HC264" s="55"/>
      <c r="HD264" s="55"/>
      <c r="HE264" s="55"/>
      <c r="HF264" s="53">
        <v>1492.5</v>
      </c>
      <c r="HG264" s="53">
        <v>1442.9</v>
      </c>
      <c r="HH264" s="53">
        <v>682.3</v>
      </c>
      <c r="HI264" s="53">
        <v>97.7</v>
      </c>
      <c r="HJ264" s="53">
        <v>652.6</v>
      </c>
      <c r="HK264" s="53">
        <v>10.3</v>
      </c>
      <c r="HL264" s="53">
        <v>49.6</v>
      </c>
      <c r="HM264" s="55"/>
      <c r="HN264" s="55"/>
      <c r="HO264" s="55"/>
      <c r="HP264" s="53" t="e">
        <v>#VALUE!</v>
      </c>
      <c r="HQ264" s="53">
        <v>4.5999999999999996</v>
      </c>
      <c r="HR264" s="53">
        <v>12.8</v>
      </c>
      <c r="HS264" s="53" t="e">
        <v>#VALUE!</v>
      </c>
      <c r="HT264" s="53">
        <v>26.2</v>
      </c>
      <c r="HU264" s="55"/>
      <c r="HV264" s="55"/>
      <c r="HW264" s="53">
        <v>261.2</v>
      </c>
      <c r="HX264" s="53" t="e">
        <v>#VALUE!</v>
      </c>
      <c r="HY264" s="53">
        <v>261.2</v>
      </c>
      <c r="HZ264" s="53">
        <v>49</v>
      </c>
      <c r="IA264" s="53">
        <v>191.9</v>
      </c>
      <c r="IB264" s="53">
        <v>64.3</v>
      </c>
      <c r="IC264" s="53">
        <v>127.1</v>
      </c>
      <c r="ID264" s="53" t="e">
        <v>#VALUE!</v>
      </c>
      <c r="IE264" s="53">
        <v>0.4</v>
      </c>
      <c r="IF264" s="53">
        <v>8</v>
      </c>
      <c r="IG264" s="53" t="e">
        <v>#VALUE!</v>
      </c>
      <c r="IH264" s="55"/>
      <c r="II264" s="55"/>
      <c r="IJ264" s="55"/>
      <c r="IK264" s="55"/>
      <c r="IL264" s="55"/>
      <c r="IM264" s="55"/>
      <c r="IN264" s="53">
        <v>42.7</v>
      </c>
      <c r="IO264" s="53">
        <v>42.8</v>
      </c>
      <c r="IP264" s="53" t="e">
        <v>#VALUE!</v>
      </c>
      <c r="IQ264" s="53">
        <v>34.799999999999997</v>
      </c>
      <c r="IR264" s="53">
        <v>15.9</v>
      </c>
      <c r="IS264" s="53" t="e">
        <v>#VALUE!</v>
      </c>
      <c r="IT264" s="53">
        <v>17.100000000000001</v>
      </c>
      <c r="IU264" s="53" t="e">
        <v>#VALUE!</v>
      </c>
      <c r="IV264" s="53" t="e">
        <v>#VALUE!</v>
      </c>
      <c r="IY264" s="48">
        <f t="shared" si="14"/>
        <v>48.740552271196584</v>
      </c>
      <c r="IZ264" s="48">
        <f>IY264-'NOPA Crush'!J264</f>
        <v>0.72055227119658127</v>
      </c>
      <c r="JB264" s="63">
        <f t="shared" si="12"/>
        <v>11.416598069295816</v>
      </c>
      <c r="JC264" s="64">
        <f>JB264-'NOPA Crush'!O264</f>
        <v>4.6598069295816558E-2</v>
      </c>
      <c r="JD264" s="65"/>
      <c r="JE264" s="67">
        <f t="shared" si="13"/>
        <v>2743.9750000000004</v>
      </c>
      <c r="JF264" s="68">
        <f>'NOPA Crush'!Q264/'Census Crush'!JE264</f>
        <v>0.85047750070609229</v>
      </c>
    </row>
    <row r="265" spans="1:266">
      <c r="A265" s="39">
        <v>37104</v>
      </c>
      <c r="B265" s="51">
        <v>4004.1</v>
      </c>
      <c r="C265" s="51">
        <v>1681.5</v>
      </c>
      <c r="D265" s="51">
        <v>186.8</v>
      </c>
      <c r="E265" s="51">
        <v>356.1</v>
      </c>
      <c r="F265" s="51">
        <v>19.8</v>
      </c>
      <c r="G265" s="51" t="s">
        <v>264</v>
      </c>
      <c r="H265" s="51" t="s">
        <v>264</v>
      </c>
      <c r="I265" s="51" t="s">
        <v>264</v>
      </c>
      <c r="J265" s="51" t="s">
        <v>264</v>
      </c>
      <c r="K265" s="51">
        <v>1506.1</v>
      </c>
      <c r="L265" s="49">
        <v>2675.4</v>
      </c>
      <c r="M265" s="51">
        <v>2503.6</v>
      </c>
      <c r="N265" s="51">
        <v>171.8</v>
      </c>
      <c r="O265" s="51">
        <v>60.7</v>
      </c>
      <c r="P265" s="51">
        <v>97.830000000000013</v>
      </c>
      <c r="Q265" s="51">
        <v>21.9</v>
      </c>
      <c r="R265" s="51">
        <v>75.930000000000007</v>
      </c>
      <c r="S265" s="51"/>
      <c r="T265" s="51">
        <v>16.7</v>
      </c>
      <c r="U265" s="51">
        <v>22.817</v>
      </c>
      <c r="V265" s="51">
        <v>18.164999999999999</v>
      </c>
      <c r="W265" s="51">
        <v>4.6520000000000001</v>
      </c>
      <c r="X265" s="51" t="s">
        <v>264</v>
      </c>
      <c r="Y265" s="51" t="s">
        <v>264</v>
      </c>
      <c r="Z265" s="49">
        <v>160.50900000000001</v>
      </c>
      <c r="AA265" s="51">
        <v>130.86600000000001</v>
      </c>
      <c r="AB265" s="51">
        <v>29.643000000000001</v>
      </c>
      <c r="AC265" s="51" t="s">
        <v>264</v>
      </c>
      <c r="AD265" s="51">
        <v>29.2</v>
      </c>
      <c r="AE265" s="51"/>
      <c r="AF265" s="51">
        <v>93.3</v>
      </c>
      <c r="AG265" s="51">
        <v>70.734999999999999</v>
      </c>
      <c r="AH265" s="51">
        <v>22.565000000000001</v>
      </c>
      <c r="AI265" s="51">
        <v>211.1</v>
      </c>
      <c r="AJ265" s="55"/>
      <c r="AK265" s="55"/>
      <c r="AL265" s="51">
        <v>175.84</v>
      </c>
      <c r="AM265" s="51">
        <v>103</v>
      </c>
      <c r="AN265" s="51">
        <v>72.84</v>
      </c>
      <c r="AO265" s="51">
        <v>2981.1</v>
      </c>
      <c r="AP265" s="51">
        <v>236.3</v>
      </c>
      <c r="AQ265" s="51">
        <v>222.5</v>
      </c>
      <c r="AR265" s="51">
        <v>37.6</v>
      </c>
      <c r="AS265" s="51">
        <v>89</v>
      </c>
      <c r="AT265" s="51">
        <v>65.900000000000006</v>
      </c>
      <c r="AU265" s="51">
        <v>52.2</v>
      </c>
      <c r="AV265" s="51">
        <v>32.6</v>
      </c>
      <c r="AW265" s="51">
        <v>10.4</v>
      </c>
      <c r="AX265" s="51">
        <v>1.6</v>
      </c>
      <c r="AY265" s="51" t="s">
        <v>264</v>
      </c>
      <c r="AZ265" s="51" t="s">
        <v>264</v>
      </c>
      <c r="BA265" s="51" t="s">
        <v>264</v>
      </c>
      <c r="BB265" s="51" t="s">
        <v>264</v>
      </c>
      <c r="BC265" s="51"/>
      <c r="BD265" s="53">
        <v>176.7</v>
      </c>
      <c r="BE265" s="53">
        <v>43.8</v>
      </c>
      <c r="BF265" s="53">
        <v>68</v>
      </c>
      <c r="BG265" s="53">
        <v>6.4</v>
      </c>
      <c r="BH265" s="53">
        <v>306.89999999999998</v>
      </c>
      <c r="BI265" s="55"/>
      <c r="BJ265" s="55"/>
      <c r="BK265" s="53">
        <v>217.1</v>
      </c>
      <c r="BL265" s="53">
        <v>13.3</v>
      </c>
      <c r="BM265" s="53">
        <v>537.20000000000005</v>
      </c>
      <c r="BN265" s="53">
        <v>199</v>
      </c>
      <c r="BO265" s="55"/>
      <c r="BP265" s="55"/>
      <c r="BQ265" s="53">
        <v>93.6</v>
      </c>
      <c r="BR265" s="53">
        <v>0</v>
      </c>
      <c r="BS265" s="53">
        <v>292.60000000000002</v>
      </c>
      <c r="BT265" s="52">
        <v>18.7</v>
      </c>
      <c r="BU265" s="53">
        <v>11.8</v>
      </c>
      <c r="BV265" s="51">
        <v>325.60000000000002</v>
      </c>
      <c r="BW265" s="51">
        <v>111.4</v>
      </c>
      <c r="BX265" s="51">
        <v>446.2</v>
      </c>
      <c r="BY265" s="51">
        <v>47.4</v>
      </c>
      <c r="BZ265" s="51">
        <v>8.4</v>
      </c>
      <c r="CA265" s="49">
        <v>55.8</v>
      </c>
      <c r="CB265" s="55"/>
      <c r="CC265" s="55"/>
      <c r="CD265" s="55"/>
      <c r="CE265" s="55"/>
      <c r="CF265" s="53">
        <v>105.40600000000001</v>
      </c>
      <c r="CG265" s="53">
        <v>137.1</v>
      </c>
      <c r="CH265" s="53">
        <v>20.5</v>
      </c>
      <c r="CI265" s="55"/>
      <c r="CJ265" s="55"/>
      <c r="CK265" s="51">
        <v>367.6</v>
      </c>
      <c r="CL265" s="51">
        <v>41.9</v>
      </c>
      <c r="CM265" s="51"/>
      <c r="CN265" s="53">
        <v>41.271999999999998</v>
      </c>
      <c r="CO265" s="52">
        <v>246.42399999999998</v>
      </c>
      <c r="CP265" s="53">
        <v>175.583</v>
      </c>
      <c r="CQ265" s="53">
        <v>70.840999999999994</v>
      </c>
      <c r="CR265" s="52" t="s">
        <v>264</v>
      </c>
      <c r="CS265" s="52">
        <v>22.9</v>
      </c>
      <c r="CT265" s="52">
        <v>13</v>
      </c>
      <c r="CU265" s="52">
        <v>9.9</v>
      </c>
      <c r="CV265" s="52">
        <v>33.260999999999996</v>
      </c>
      <c r="CW265" s="53">
        <v>14.898</v>
      </c>
      <c r="CX265" s="53">
        <v>18.363</v>
      </c>
      <c r="CY265" s="53" t="s">
        <v>264</v>
      </c>
      <c r="CZ265" s="53">
        <v>129.66900000000001</v>
      </c>
      <c r="DA265" s="52">
        <v>17.75</v>
      </c>
      <c r="DB265" s="53">
        <v>16.5</v>
      </c>
      <c r="DC265" s="53">
        <v>1.25</v>
      </c>
      <c r="DD265" s="55"/>
      <c r="DE265" s="55"/>
      <c r="DF265" s="55"/>
      <c r="DG265" s="55"/>
      <c r="DH265" s="55"/>
      <c r="DI265" s="53">
        <v>545.9</v>
      </c>
      <c r="DJ265" s="53">
        <v>332.1</v>
      </c>
      <c r="DK265" s="55"/>
      <c r="DL265" s="55"/>
      <c r="DM265" s="53">
        <v>287.5</v>
      </c>
      <c r="DN265" s="55"/>
      <c r="DO265" s="53">
        <v>230.3</v>
      </c>
      <c r="DP265" s="53">
        <v>281.10000000000002</v>
      </c>
      <c r="DQ265" s="55"/>
      <c r="DR265" s="55"/>
      <c r="DS265" s="53">
        <v>2151.498</v>
      </c>
      <c r="DT265" s="53">
        <v>4004.1</v>
      </c>
      <c r="DU265" s="53">
        <v>-175.70199999999977</v>
      </c>
      <c r="DV265" s="53">
        <v>0</v>
      </c>
      <c r="DW265" s="55"/>
      <c r="DX265" s="55"/>
      <c r="DY265" s="55"/>
      <c r="DZ265" s="55"/>
      <c r="EA265" s="53">
        <v>234.1</v>
      </c>
      <c r="EB265" s="53">
        <v>89.5</v>
      </c>
      <c r="EC265" s="55"/>
      <c r="ED265" s="55"/>
      <c r="EE265" s="53">
        <v>73.2</v>
      </c>
      <c r="EF265" s="55"/>
      <c r="EG265" s="53">
        <v>74.900000000000006</v>
      </c>
      <c r="EH265" s="53">
        <v>76.5</v>
      </c>
      <c r="EI265" s="55"/>
      <c r="EJ265" s="55"/>
      <c r="EK265" s="55"/>
      <c r="EL265" s="53">
        <v>1681.5</v>
      </c>
      <c r="EM265" s="55"/>
      <c r="EN265" s="55"/>
      <c r="EO265" s="55"/>
      <c r="EP265" s="55"/>
      <c r="EQ265" s="53">
        <v>211.2</v>
      </c>
      <c r="ER265" s="53">
        <v>117.5</v>
      </c>
      <c r="ES265" s="55"/>
      <c r="ET265" s="55"/>
      <c r="EU265" s="53">
        <v>109</v>
      </c>
      <c r="EV265" s="55"/>
      <c r="EW265" s="53">
        <v>87.6</v>
      </c>
      <c r="EX265" s="53">
        <v>102.1</v>
      </c>
      <c r="EY265" s="55"/>
      <c r="EZ265" s="55"/>
      <c r="FA265" s="55"/>
      <c r="FB265" s="53">
        <v>1506.1</v>
      </c>
      <c r="FC265" s="55"/>
      <c r="FD265" s="55"/>
      <c r="FE265" s="55"/>
      <c r="FF265" s="55"/>
      <c r="FG265" s="53">
        <v>437.6</v>
      </c>
      <c r="FH265" s="53">
        <v>262.60000000000002</v>
      </c>
      <c r="FI265" s="55"/>
      <c r="FJ265" s="55"/>
      <c r="FK265" s="53">
        <v>232</v>
      </c>
      <c r="FL265" s="55"/>
      <c r="FM265" s="53">
        <v>185</v>
      </c>
      <c r="FN265" s="53">
        <v>225.4</v>
      </c>
      <c r="FO265" s="55"/>
      <c r="FP265" s="55"/>
      <c r="FQ265" s="55"/>
      <c r="FR265" s="53">
        <v>3211.4</v>
      </c>
      <c r="FS265" s="55"/>
      <c r="FT265" s="55"/>
      <c r="FU265" s="55"/>
      <c r="FV265" s="55"/>
      <c r="FW265" s="53">
        <v>408.8</v>
      </c>
      <c r="FX265" s="53" t="e">
        <v>#VALUE!</v>
      </c>
      <c r="FY265" s="55"/>
      <c r="FZ265" s="55"/>
      <c r="GA265" s="53">
        <v>40.5</v>
      </c>
      <c r="GB265" s="55"/>
      <c r="GC265" s="53">
        <v>66.2</v>
      </c>
      <c r="GD265" s="53" t="e">
        <v>#VALUE!</v>
      </c>
      <c r="GE265" s="55"/>
      <c r="GF265" s="55"/>
      <c r="GG265" s="55"/>
      <c r="GH265" s="53">
        <v>1190.5999999999999</v>
      </c>
      <c r="GI265" s="55"/>
      <c r="GJ265" s="55"/>
      <c r="GK265" s="55"/>
      <c r="GL265" s="55"/>
      <c r="GM265" s="53">
        <v>91.6</v>
      </c>
      <c r="GN265" s="53">
        <v>11.6</v>
      </c>
      <c r="GO265" s="55"/>
      <c r="GP265" s="55"/>
      <c r="GQ265" s="53" t="e">
        <v>#VALUE!</v>
      </c>
      <c r="GR265" s="55"/>
      <c r="GS265" s="53" t="e">
        <v>#VALUE!</v>
      </c>
      <c r="GT265" s="53" t="e">
        <v>#VALUE!</v>
      </c>
      <c r="GU265" s="55"/>
      <c r="GV265" s="55"/>
      <c r="GW265" s="55"/>
      <c r="GX265" s="53">
        <v>274</v>
      </c>
      <c r="GY265" s="19">
        <v>0.97625611382836808</v>
      </c>
      <c r="GZ265" s="53">
        <v>1317.36</v>
      </c>
      <c r="HA265" s="53">
        <v>1349.4</v>
      </c>
      <c r="HB265" s="55"/>
      <c r="HC265" s="55"/>
      <c r="HD265" s="55"/>
      <c r="HE265" s="55"/>
      <c r="HF265" s="53">
        <v>1545.1</v>
      </c>
      <c r="HG265" s="53">
        <v>1507.7</v>
      </c>
      <c r="HH265" s="53">
        <v>739.1</v>
      </c>
      <c r="HI265" s="53">
        <v>115.2</v>
      </c>
      <c r="HJ265" s="53">
        <v>644</v>
      </c>
      <c r="HK265" s="53">
        <v>9.4</v>
      </c>
      <c r="HL265" s="53">
        <v>37.5</v>
      </c>
      <c r="HM265" s="55"/>
      <c r="HN265" s="55"/>
      <c r="HO265" s="55"/>
      <c r="HP265" s="53" t="e">
        <v>#VALUE!</v>
      </c>
      <c r="HQ265" s="53">
        <v>4.8</v>
      </c>
      <c r="HR265" s="53">
        <v>7.9</v>
      </c>
      <c r="HS265" s="53" t="e">
        <v>#VALUE!</v>
      </c>
      <c r="HT265" s="53">
        <v>20.2</v>
      </c>
      <c r="HU265" s="55"/>
      <c r="HV265" s="55"/>
      <c r="HW265" s="53">
        <v>282.3</v>
      </c>
      <c r="HX265" s="53" t="e">
        <v>#VALUE!</v>
      </c>
      <c r="HY265" s="53">
        <v>282.3</v>
      </c>
      <c r="HZ265" s="53">
        <v>52.4</v>
      </c>
      <c r="IA265" s="53">
        <v>206.1</v>
      </c>
      <c r="IB265" s="53">
        <v>61.9</v>
      </c>
      <c r="IC265" s="53">
        <v>132.19999999999999</v>
      </c>
      <c r="ID265" s="53" t="e">
        <v>#VALUE!</v>
      </c>
      <c r="IE265" s="53">
        <v>12</v>
      </c>
      <c r="IF265" s="53">
        <v>8.8000000000000007</v>
      </c>
      <c r="IG265" s="53" t="e">
        <v>#VALUE!</v>
      </c>
      <c r="IH265" s="55"/>
      <c r="II265" s="55"/>
      <c r="IJ265" s="55"/>
      <c r="IK265" s="55"/>
      <c r="IL265" s="55"/>
      <c r="IM265" s="55"/>
      <c r="IN265" s="53">
        <v>49.369</v>
      </c>
      <c r="IO265" s="53">
        <v>49.6</v>
      </c>
      <c r="IP265" s="53" t="e">
        <v>#VALUE!</v>
      </c>
      <c r="IQ265" s="53">
        <v>34.1</v>
      </c>
      <c r="IR265" s="53">
        <v>15.3</v>
      </c>
      <c r="IS265" s="53" t="e">
        <v>#VALUE!</v>
      </c>
      <c r="IT265" s="53">
        <v>17.2</v>
      </c>
      <c r="IU265" s="53" t="e">
        <v>#VALUE!</v>
      </c>
      <c r="IV265" s="53" t="e">
        <v>#VALUE!</v>
      </c>
      <c r="IY265" s="48">
        <f t="shared" si="14"/>
        <v>48.004795085037834</v>
      </c>
      <c r="IZ265" s="48">
        <f>IY265-'NOPA Crush'!J265</f>
        <v>-5.204914962163798E-3</v>
      </c>
      <c r="JB265" s="63">
        <f t="shared" si="12"/>
        <v>11.284183711695512</v>
      </c>
      <c r="JC265" s="64">
        <f>JB265-'NOPA Crush'!O265</f>
        <v>-0.135816288304488</v>
      </c>
      <c r="JD265" s="65"/>
      <c r="JE265" s="67">
        <f t="shared" si="13"/>
        <v>2675.4</v>
      </c>
      <c r="JF265" s="68">
        <f>'NOPA Crush'!Q265/'Census Crush'!JE265</f>
        <v>0.85568924273005909</v>
      </c>
    </row>
    <row r="266" spans="1:266">
      <c r="A266" s="39">
        <v>37135</v>
      </c>
      <c r="B266" s="51">
        <v>3846.8</v>
      </c>
      <c r="C266" s="51">
        <v>1228.3</v>
      </c>
      <c r="D266" s="51">
        <v>147.6</v>
      </c>
      <c r="E266" s="51">
        <v>360.5</v>
      </c>
      <c r="F266" s="51">
        <v>15.4</v>
      </c>
      <c r="G266" s="51" t="s">
        <v>264</v>
      </c>
      <c r="H266" s="51" t="s">
        <v>264</v>
      </c>
      <c r="I266" s="51" t="s">
        <v>264</v>
      </c>
      <c r="J266" s="51" t="s">
        <v>264</v>
      </c>
      <c r="K266" s="51">
        <v>1452.5</v>
      </c>
      <c r="L266" s="49">
        <v>2767</v>
      </c>
      <c r="M266" s="51">
        <v>2581.8000000000002</v>
      </c>
      <c r="N266" s="51">
        <v>185.2</v>
      </c>
      <c r="O266" s="51">
        <v>45.4</v>
      </c>
      <c r="P266" s="51">
        <v>93</v>
      </c>
      <c r="Q266" s="51">
        <v>19.7</v>
      </c>
      <c r="R266" s="51">
        <v>73.3</v>
      </c>
      <c r="S266" s="51"/>
      <c r="T266" s="51">
        <v>12.9</v>
      </c>
      <c r="U266" s="51">
        <v>24.259999999999998</v>
      </c>
      <c r="V266" s="51">
        <v>22.398</v>
      </c>
      <c r="W266" s="51">
        <v>1.8620000000000001</v>
      </c>
      <c r="X266" s="51" t="s">
        <v>264</v>
      </c>
      <c r="Y266" s="51" t="s">
        <v>264</v>
      </c>
      <c r="Z266" s="49">
        <v>136.11099999999999</v>
      </c>
      <c r="AA266" s="51">
        <v>102.884</v>
      </c>
      <c r="AB266" s="51">
        <v>33.226999999999997</v>
      </c>
      <c r="AC266" s="51" t="s">
        <v>264</v>
      </c>
      <c r="AD266" s="51">
        <v>10.785</v>
      </c>
      <c r="AE266" s="51"/>
      <c r="AF266" s="51">
        <v>109.783</v>
      </c>
      <c r="AG266" s="51">
        <v>93.364000000000004</v>
      </c>
      <c r="AH266" s="51">
        <v>16.419</v>
      </c>
      <c r="AI266" s="51">
        <v>203.2</v>
      </c>
      <c r="AJ266" s="55"/>
      <c r="AK266" s="55"/>
      <c r="AL266" s="51">
        <v>116.605</v>
      </c>
      <c r="AM266" s="51">
        <v>82.165000000000006</v>
      </c>
      <c r="AN266" s="51">
        <v>34.44</v>
      </c>
      <c r="AO266" s="51">
        <v>2867</v>
      </c>
      <c r="AP266" s="51">
        <v>342.3</v>
      </c>
      <c r="AQ266" s="51">
        <v>209.8</v>
      </c>
      <c r="AR266" s="51">
        <v>41</v>
      </c>
      <c r="AS266" s="51">
        <v>75.900000000000006</v>
      </c>
      <c r="AT266" s="51">
        <v>39.9</v>
      </c>
      <c r="AU266" s="51">
        <v>39.799999999999997</v>
      </c>
      <c r="AV266" s="51">
        <v>27.6</v>
      </c>
      <c r="AW266" s="51">
        <v>8</v>
      </c>
      <c r="AX266" s="51">
        <v>2</v>
      </c>
      <c r="AY266" s="51" t="s">
        <v>264</v>
      </c>
      <c r="AZ266" s="51" t="s">
        <v>264</v>
      </c>
      <c r="BA266" s="51" t="s">
        <v>264</v>
      </c>
      <c r="BB266" s="51" t="s">
        <v>264</v>
      </c>
      <c r="BC266" s="51"/>
      <c r="BD266" s="53">
        <v>151.19999999999999</v>
      </c>
      <c r="BE266" s="53">
        <v>49.1</v>
      </c>
      <c r="BF266" s="53">
        <v>60.2</v>
      </c>
      <c r="BG266" s="53">
        <v>7.4</v>
      </c>
      <c r="BH266" s="53">
        <v>279.3</v>
      </c>
      <c r="BI266" s="55"/>
      <c r="BJ266" s="55"/>
      <c r="BK266" s="53">
        <v>199.9</v>
      </c>
      <c r="BL266" s="53">
        <v>0</v>
      </c>
      <c r="BM266" s="53">
        <v>479.2</v>
      </c>
      <c r="BN266" s="53">
        <v>220.9</v>
      </c>
      <c r="BO266" s="55"/>
      <c r="BP266" s="55"/>
      <c r="BQ266" s="53">
        <v>90.2</v>
      </c>
      <c r="BR266" s="53">
        <v>0</v>
      </c>
      <c r="BS266" s="53">
        <v>311.10000000000002</v>
      </c>
      <c r="BT266" s="52">
        <v>20.6</v>
      </c>
      <c r="BU266" s="53">
        <v>13.8</v>
      </c>
      <c r="BV266" s="51">
        <v>290</v>
      </c>
      <c r="BW266" s="51">
        <v>92.3</v>
      </c>
      <c r="BX266" s="51">
        <v>382.3</v>
      </c>
      <c r="BY266" s="51">
        <v>44</v>
      </c>
      <c r="BZ266" s="51">
        <v>8.6</v>
      </c>
      <c r="CA266" s="49">
        <v>52.6</v>
      </c>
      <c r="CB266" s="55"/>
      <c r="CC266" s="55"/>
      <c r="CD266" s="55"/>
      <c r="CE266" s="55"/>
      <c r="CF266" s="53">
        <v>92.972999999999999</v>
      </c>
      <c r="CG266" s="53">
        <v>124.1</v>
      </c>
      <c r="CH266" s="53">
        <v>21.5</v>
      </c>
      <c r="CI266" s="55"/>
      <c r="CJ266" s="55"/>
      <c r="CK266" s="51">
        <v>328.5</v>
      </c>
      <c r="CL266" s="51">
        <v>46.7</v>
      </c>
      <c r="CM266" s="51"/>
      <c r="CN266" s="53">
        <v>33.646999999999998</v>
      </c>
      <c r="CO266" s="52">
        <v>259.70500000000004</v>
      </c>
      <c r="CP266" s="53">
        <v>176.81800000000001</v>
      </c>
      <c r="CQ266" s="53">
        <v>82.887</v>
      </c>
      <c r="CR266" s="52" t="s">
        <v>264</v>
      </c>
      <c r="CS266" s="52">
        <v>38.6</v>
      </c>
      <c r="CT266" s="52">
        <v>25</v>
      </c>
      <c r="CU266" s="52">
        <v>13.6</v>
      </c>
      <c r="CV266" s="52">
        <v>60.631</v>
      </c>
      <c r="CW266" s="52" t="s">
        <v>264</v>
      </c>
      <c r="CX266" s="52" t="s">
        <v>264</v>
      </c>
      <c r="CY266" s="53" t="s">
        <v>264</v>
      </c>
      <c r="CZ266" s="53">
        <v>154.56299999999999</v>
      </c>
      <c r="DA266" s="52">
        <v>21.205000000000002</v>
      </c>
      <c r="DB266" s="53">
        <v>20.03</v>
      </c>
      <c r="DC266" s="53">
        <v>1.175</v>
      </c>
      <c r="DD266" s="55"/>
      <c r="DE266" s="55"/>
      <c r="DF266" s="55"/>
      <c r="DG266" s="55"/>
      <c r="DH266" s="55"/>
      <c r="DI266" s="53">
        <v>654.29999999999995</v>
      </c>
      <c r="DJ266" s="53">
        <v>364.5</v>
      </c>
      <c r="DK266" s="55"/>
      <c r="DL266" s="55"/>
      <c r="DM266" s="53">
        <v>229.5</v>
      </c>
      <c r="DN266" s="55"/>
      <c r="DO266" s="53">
        <v>232</v>
      </c>
      <c r="DP266" s="53">
        <v>253.3</v>
      </c>
      <c r="DQ266" s="55"/>
      <c r="DR266" s="55"/>
      <c r="DS266" s="53">
        <v>1963.9480000000001</v>
      </c>
      <c r="DT266" s="53">
        <v>3846.8</v>
      </c>
      <c r="DU266" s="53">
        <v>-149.25200000000041</v>
      </c>
      <c r="DV266" s="53">
        <v>0</v>
      </c>
      <c r="DW266" s="55"/>
      <c r="DX266" s="55"/>
      <c r="DY266" s="55"/>
      <c r="DZ266" s="55"/>
      <c r="EA266" s="53">
        <v>198.4</v>
      </c>
      <c r="EB266" s="53">
        <v>154.30000000000001</v>
      </c>
      <c r="EC266" s="55"/>
      <c r="ED266" s="55"/>
      <c r="EE266" s="53" t="e">
        <v>#VALUE!</v>
      </c>
      <c r="EF266" s="55"/>
      <c r="EG266" s="53">
        <v>47.7</v>
      </c>
      <c r="EH266" s="53">
        <v>56.2</v>
      </c>
      <c r="EI266" s="55"/>
      <c r="EJ266" s="55"/>
      <c r="EK266" s="55"/>
      <c r="EL266" s="53">
        <v>1228.3</v>
      </c>
      <c r="EM266" s="55"/>
      <c r="EN266" s="55"/>
      <c r="EO266" s="55"/>
      <c r="EP266" s="55"/>
      <c r="EQ266" s="53">
        <v>249.9</v>
      </c>
      <c r="ER266" s="53">
        <v>134.6</v>
      </c>
      <c r="ES266" s="55"/>
      <c r="ET266" s="55"/>
      <c r="EU266" s="53">
        <v>88.2</v>
      </c>
      <c r="EV266" s="55"/>
      <c r="EW266" s="53">
        <v>90.1</v>
      </c>
      <c r="EX266" s="53">
        <v>92.3</v>
      </c>
      <c r="EY266" s="55"/>
      <c r="EZ266" s="55"/>
      <c r="FA266" s="55"/>
      <c r="FB266" s="53">
        <v>1452.5</v>
      </c>
      <c r="FC266" s="55"/>
      <c r="FD266" s="55"/>
      <c r="FE266" s="55"/>
      <c r="FF266" s="55"/>
      <c r="FG266" s="53">
        <v>518.6</v>
      </c>
      <c r="FH266" s="53">
        <v>287.5</v>
      </c>
      <c r="FI266" s="55"/>
      <c r="FJ266" s="55"/>
      <c r="FK266" s="53">
        <v>190.8</v>
      </c>
      <c r="FL266" s="55"/>
      <c r="FM266" s="53">
        <v>183.9</v>
      </c>
      <c r="FN266" s="53">
        <v>200.7</v>
      </c>
      <c r="FO266" s="55"/>
      <c r="FP266" s="55"/>
      <c r="FQ266" s="55"/>
      <c r="FR266" s="53">
        <v>3084.8</v>
      </c>
      <c r="FS266" s="55"/>
      <c r="FT266" s="55"/>
      <c r="FU266" s="55"/>
      <c r="FV266" s="55"/>
      <c r="FW266" s="53">
        <v>400.2</v>
      </c>
      <c r="FX266" s="53" t="e">
        <v>#VALUE!</v>
      </c>
      <c r="FY266" s="55"/>
      <c r="FZ266" s="55"/>
      <c r="GA266" s="53">
        <v>50.9</v>
      </c>
      <c r="GB266" s="55"/>
      <c r="GC266" s="53">
        <v>62</v>
      </c>
      <c r="GD266" s="53" t="e">
        <v>#VALUE!</v>
      </c>
      <c r="GE266" s="55"/>
      <c r="GF266" s="55"/>
      <c r="GG266" s="55"/>
      <c r="GH266" s="53">
        <v>1202</v>
      </c>
      <c r="GI266" s="55"/>
      <c r="GJ266" s="55"/>
      <c r="GK266" s="55"/>
      <c r="GL266" s="55"/>
      <c r="GM266" s="53">
        <v>95.2</v>
      </c>
      <c r="GN266" s="53">
        <v>25</v>
      </c>
      <c r="GO266" s="55"/>
      <c r="GP266" s="55"/>
      <c r="GQ266" s="53">
        <v>23.1</v>
      </c>
      <c r="GR266" s="55"/>
      <c r="GS266" s="53" t="e">
        <v>#VALUE!</v>
      </c>
      <c r="GT266" s="53" t="e">
        <v>#VALUE!</v>
      </c>
      <c r="GU266" s="55"/>
      <c r="GV266" s="55"/>
      <c r="GW266" s="55"/>
      <c r="GX266" s="53">
        <v>383.3</v>
      </c>
      <c r="GY266" s="19">
        <v>0.96747100515463924</v>
      </c>
      <c r="GZ266" s="53">
        <v>1201.212</v>
      </c>
      <c r="HA266" s="53">
        <v>1241.5999999999999</v>
      </c>
      <c r="HB266" s="55"/>
      <c r="HC266" s="55"/>
      <c r="HD266" s="55"/>
      <c r="HE266" s="55"/>
      <c r="HF266" s="53">
        <v>1409.4</v>
      </c>
      <c r="HG266" s="53">
        <v>1366</v>
      </c>
      <c r="HH266" s="53">
        <v>684.8</v>
      </c>
      <c r="HI266" s="53">
        <v>109.8</v>
      </c>
      <c r="HJ266" s="53">
        <v>561.5</v>
      </c>
      <c r="HK266" s="53">
        <v>9.9</v>
      </c>
      <c r="HL266" s="53">
        <v>43.4</v>
      </c>
      <c r="HM266" s="55"/>
      <c r="HN266" s="55"/>
      <c r="HO266" s="55"/>
      <c r="HP266" s="53" t="e">
        <v>#VALUE!</v>
      </c>
      <c r="HQ266" s="53">
        <v>3.3</v>
      </c>
      <c r="HR266" s="53">
        <v>6.5</v>
      </c>
      <c r="HS266" s="53" t="e">
        <v>#VALUE!</v>
      </c>
      <c r="HT266" s="53">
        <v>24</v>
      </c>
      <c r="HU266" s="55"/>
      <c r="HV266" s="55"/>
      <c r="HW266" s="53">
        <v>246.3</v>
      </c>
      <c r="HX266" s="53" t="e">
        <v>#VALUE!</v>
      </c>
      <c r="HY266" s="53">
        <v>246.3</v>
      </c>
      <c r="HZ266" s="53">
        <v>49.7</v>
      </c>
      <c r="IA266" s="53">
        <v>175.3</v>
      </c>
      <c r="IB266" s="53">
        <v>65.099999999999994</v>
      </c>
      <c r="IC266" s="53">
        <v>110.3</v>
      </c>
      <c r="ID266" s="53" t="e">
        <v>#VALUE!</v>
      </c>
      <c r="IE266" s="53" t="e">
        <v>#VALUE!</v>
      </c>
      <c r="IF266" s="53">
        <v>7.7</v>
      </c>
      <c r="IG266" s="53" t="e">
        <v>#VALUE!</v>
      </c>
      <c r="IH266" s="55"/>
      <c r="II266" s="55"/>
      <c r="IJ266" s="55"/>
      <c r="IK266" s="55"/>
      <c r="IL266" s="55"/>
      <c r="IM266" s="55"/>
      <c r="IN266" s="53">
        <v>32.200000000000003</v>
      </c>
      <c r="IO266" s="53">
        <v>32.4</v>
      </c>
      <c r="IP266" s="53" t="e">
        <v>#VALUE!</v>
      </c>
      <c r="IQ266" s="53">
        <v>34.200000000000003</v>
      </c>
      <c r="IR266" s="53">
        <v>16.399999999999999</v>
      </c>
      <c r="IS266" s="53" t="e">
        <v>#VALUE!</v>
      </c>
      <c r="IT266" s="53">
        <v>16</v>
      </c>
      <c r="IU266" s="53" t="e">
        <v>#VALUE!</v>
      </c>
      <c r="IV266" s="53" t="e">
        <v>#VALUE!</v>
      </c>
      <c r="IY266" s="48">
        <f t="shared" si="14"/>
        <v>47.990017677030266</v>
      </c>
      <c r="IZ266" s="48">
        <f>IY266-'NOPA Crush'!J266</f>
        <v>0.11001767703026388</v>
      </c>
      <c r="JB266" s="63">
        <f t="shared" si="12"/>
        <v>11.327596963710098</v>
      </c>
      <c r="JC266" s="64">
        <f>JB266-'NOPA Crush'!O266</f>
        <v>-0.12240303628990112</v>
      </c>
      <c r="JD266" s="65"/>
      <c r="JE266" s="67">
        <f t="shared" si="13"/>
        <v>2767</v>
      </c>
      <c r="JF266" s="68">
        <f>'NOPA Crush'!Q266/'Census Crush'!JE266</f>
        <v>0.82759414528370079</v>
      </c>
    </row>
    <row r="267" spans="1:266">
      <c r="A267" s="39">
        <v>37165</v>
      </c>
      <c r="B267" s="51">
        <v>4507</v>
      </c>
      <c r="C267" s="51">
        <v>4434.8</v>
      </c>
      <c r="D267" s="51">
        <v>267.5</v>
      </c>
      <c r="E267" s="51">
        <v>1116.4000000000001</v>
      </c>
      <c r="F267" s="51">
        <v>21.7</v>
      </c>
      <c r="G267" s="51" t="s">
        <v>264</v>
      </c>
      <c r="H267" s="51" t="s">
        <v>264</v>
      </c>
      <c r="I267" s="51" t="s">
        <v>264</v>
      </c>
      <c r="J267" s="51" t="s">
        <v>264</v>
      </c>
      <c r="K267" s="51">
        <v>1680.1</v>
      </c>
      <c r="L267" s="49">
        <v>2606.64</v>
      </c>
      <c r="M267" s="51">
        <v>2435.1999999999998</v>
      </c>
      <c r="N267" s="51">
        <v>171.44</v>
      </c>
      <c r="O267" s="51">
        <v>82.6</v>
      </c>
      <c r="P267" s="51">
        <v>114.5</v>
      </c>
      <c r="Q267" s="51">
        <v>23.2</v>
      </c>
      <c r="R267" s="51">
        <v>91.3</v>
      </c>
      <c r="S267" s="51"/>
      <c r="T267" s="51">
        <v>18.100000000000001</v>
      </c>
      <c r="U267" s="51">
        <v>21.821999999999999</v>
      </c>
      <c r="V267" s="51">
        <v>20.192</v>
      </c>
      <c r="W267" s="51">
        <v>1.63</v>
      </c>
      <c r="X267" s="51" t="s">
        <v>264</v>
      </c>
      <c r="Y267" s="51" t="s">
        <v>264</v>
      </c>
      <c r="Z267" s="49">
        <v>130.721</v>
      </c>
      <c r="AA267" s="51">
        <v>110.84099999999999</v>
      </c>
      <c r="AB267" s="51">
        <v>19.88</v>
      </c>
      <c r="AC267" s="51" t="s">
        <v>264</v>
      </c>
      <c r="AD267" s="51">
        <v>26.195</v>
      </c>
      <c r="AE267" s="51"/>
      <c r="AF267" s="51">
        <v>86.783999999999992</v>
      </c>
      <c r="AG267" s="51">
        <v>71.721999999999994</v>
      </c>
      <c r="AH267" s="51">
        <v>15.061999999999999</v>
      </c>
      <c r="AI267" s="51">
        <v>196</v>
      </c>
      <c r="AJ267" s="55"/>
      <c r="AK267" s="55"/>
      <c r="AL267" s="51">
        <v>145.76500000000001</v>
      </c>
      <c r="AM267" s="51">
        <v>81.900000000000006</v>
      </c>
      <c r="AN267" s="51">
        <v>63.865000000000002</v>
      </c>
      <c r="AO267" s="51">
        <v>3305.1</v>
      </c>
      <c r="AP267" s="51">
        <v>264</v>
      </c>
      <c r="AQ267" s="51">
        <v>229.3</v>
      </c>
      <c r="AR267" s="51">
        <v>41.5</v>
      </c>
      <c r="AS267" s="51">
        <v>123.7</v>
      </c>
      <c r="AT267" s="51">
        <v>40.9</v>
      </c>
      <c r="AU267" s="51">
        <v>76.2</v>
      </c>
      <c r="AV267" s="51">
        <v>40.4</v>
      </c>
      <c r="AW267" s="51">
        <v>11.6</v>
      </c>
      <c r="AX267" s="51">
        <v>1.3</v>
      </c>
      <c r="AY267" s="51" t="s">
        <v>264</v>
      </c>
      <c r="AZ267" s="51" t="s">
        <v>264</v>
      </c>
      <c r="BA267" s="51" t="s">
        <v>264</v>
      </c>
      <c r="BB267" s="51" t="s">
        <v>264</v>
      </c>
      <c r="BC267" s="51"/>
      <c r="BD267" s="53">
        <v>168.6</v>
      </c>
      <c r="BE267" s="53">
        <v>39.700000000000003</v>
      </c>
      <c r="BF267" s="53">
        <v>70.599999999999994</v>
      </c>
      <c r="BG267" s="53">
        <v>7.1</v>
      </c>
      <c r="BH267" s="53">
        <v>318.5</v>
      </c>
      <c r="BI267" s="55"/>
      <c r="BJ267" s="55"/>
      <c r="BK267" s="53">
        <v>209.8</v>
      </c>
      <c r="BL267" s="53">
        <v>0</v>
      </c>
      <c r="BM267" s="53">
        <v>528.20000000000005</v>
      </c>
      <c r="BN267" s="53">
        <v>226.4</v>
      </c>
      <c r="BO267" s="55"/>
      <c r="BP267" s="55"/>
      <c r="BQ267" s="53">
        <v>88.5</v>
      </c>
      <c r="BR267" s="53">
        <v>0</v>
      </c>
      <c r="BS267" s="53">
        <v>314.89999999999998</v>
      </c>
      <c r="BT267" s="52">
        <v>25.7</v>
      </c>
      <c r="BU267" s="53">
        <v>13.1</v>
      </c>
      <c r="BV267" s="51">
        <v>336.5</v>
      </c>
      <c r="BW267" s="51">
        <v>97.8</v>
      </c>
      <c r="BX267" s="51">
        <v>434.3</v>
      </c>
      <c r="BY267" s="51">
        <v>45.8</v>
      </c>
      <c r="BZ267" s="51">
        <v>10.8</v>
      </c>
      <c r="CA267" s="49">
        <v>56.599999999999994</v>
      </c>
      <c r="CB267" s="55"/>
      <c r="CC267" s="55"/>
      <c r="CD267" s="55"/>
      <c r="CE267" s="55"/>
      <c r="CF267" s="53">
        <v>99.07</v>
      </c>
      <c r="CG267" s="53">
        <v>113.7</v>
      </c>
      <c r="CH267" s="53">
        <v>16.8</v>
      </c>
      <c r="CI267" s="55"/>
      <c r="CJ267" s="55"/>
      <c r="CK267" s="51">
        <v>364.6</v>
      </c>
      <c r="CL267" s="51">
        <v>44.7</v>
      </c>
      <c r="CM267" s="51"/>
      <c r="CN267" s="53">
        <v>47.926000000000002</v>
      </c>
      <c r="CO267" s="52">
        <v>236.33</v>
      </c>
      <c r="CP267" s="53">
        <v>167.83</v>
      </c>
      <c r="CQ267" s="53">
        <v>68.5</v>
      </c>
      <c r="CR267" s="52" t="s">
        <v>264</v>
      </c>
      <c r="CS267" s="52">
        <v>32.400000000000006</v>
      </c>
      <c r="CT267" s="52">
        <v>20.100000000000001</v>
      </c>
      <c r="CU267" s="52">
        <v>12.3</v>
      </c>
      <c r="CV267" s="52">
        <v>52.414999999999999</v>
      </c>
      <c r="CW267" s="52" t="s">
        <v>264</v>
      </c>
      <c r="CX267" s="52" t="s">
        <v>264</v>
      </c>
      <c r="CY267" s="53" t="s">
        <v>264</v>
      </c>
      <c r="CZ267" s="53">
        <v>120.1</v>
      </c>
      <c r="DA267" s="52">
        <v>21.12</v>
      </c>
      <c r="DB267" s="53">
        <v>18.922000000000001</v>
      </c>
      <c r="DC267" s="53">
        <v>2.198</v>
      </c>
      <c r="DD267" s="55"/>
      <c r="DE267" s="55"/>
      <c r="DF267" s="55"/>
      <c r="DG267" s="55"/>
      <c r="DH267" s="55"/>
      <c r="DI267" s="53">
        <v>742.1</v>
      </c>
      <c r="DJ267" s="53">
        <v>403.9</v>
      </c>
      <c r="DK267" s="55"/>
      <c r="DL267" s="55"/>
      <c r="DM267" s="53">
        <v>285.39999999999998</v>
      </c>
      <c r="DN267" s="55"/>
      <c r="DO267" s="53">
        <v>246.5</v>
      </c>
      <c r="DP267" s="53">
        <v>325.39999999999998</v>
      </c>
      <c r="DQ267" s="55"/>
      <c r="DR267" s="55"/>
      <c r="DS267" s="53">
        <v>2295.1190000000001</v>
      </c>
      <c r="DT267" s="53">
        <v>4507</v>
      </c>
      <c r="DU267" s="53">
        <v>-208.58100000000013</v>
      </c>
      <c r="DV267" s="53">
        <v>0</v>
      </c>
      <c r="DW267" s="55"/>
      <c r="DX267" s="55"/>
      <c r="DY267" s="55"/>
      <c r="DZ267" s="55"/>
      <c r="EA267" s="53">
        <v>633.79999999999995</v>
      </c>
      <c r="EB267" s="53">
        <v>690.5</v>
      </c>
      <c r="EC267" s="55"/>
      <c r="ED267" s="55"/>
      <c r="EE267" s="53" t="e">
        <v>#VALUE!</v>
      </c>
      <c r="EF267" s="55"/>
      <c r="EG267" s="53">
        <v>264.3</v>
      </c>
      <c r="EH267" s="53">
        <v>347.8</v>
      </c>
      <c r="EI267" s="55"/>
      <c r="EJ267" s="55"/>
      <c r="EK267" s="55"/>
      <c r="EL267" s="53">
        <v>4434.8</v>
      </c>
      <c r="EM267" s="55"/>
      <c r="EN267" s="55"/>
      <c r="EO267" s="55"/>
      <c r="EP267" s="55"/>
      <c r="EQ267" s="53">
        <v>287.60000000000002</v>
      </c>
      <c r="ER267" s="53">
        <v>148.4</v>
      </c>
      <c r="ES267" s="55"/>
      <c r="ET267" s="55"/>
      <c r="EU267" s="53">
        <v>109.3</v>
      </c>
      <c r="EV267" s="55"/>
      <c r="EW267" s="53">
        <v>92.5</v>
      </c>
      <c r="EX267" s="53">
        <v>119</v>
      </c>
      <c r="EY267" s="55"/>
      <c r="EZ267" s="55"/>
      <c r="FA267" s="55"/>
      <c r="FB267" s="53">
        <v>1680.1</v>
      </c>
      <c r="FC267" s="55"/>
      <c r="FD267" s="55"/>
      <c r="FE267" s="55"/>
      <c r="FF267" s="55"/>
      <c r="FG267" s="53">
        <v>575.5</v>
      </c>
      <c r="FH267" s="53">
        <v>303.60000000000002</v>
      </c>
      <c r="FI267" s="55"/>
      <c r="FJ267" s="55"/>
      <c r="FK267" s="53" t="e">
        <v>#VALUE!</v>
      </c>
      <c r="FL267" s="55"/>
      <c r="FM267" s="53" t="e">
        <v>#VALUE!</v>
      </c>
      <c r="FN267" s="53">
        <v>253.4</v>
      </c>
      <c r="FO267" s="55"/>
      <c r="FP267" s="55"/>
      <c r="FQ267" s="55"/>
      <c r="FR267" s="53">
        <v>3543.5</v>
      </c>
      <c r="FS267" s="55"/>
      <c r="FT267" s="55"/>
      <c r="FU267" s="55"/>
      <c r="FV267" s="55"/>
      <c r="FW267" s="53">
        <v>403.5</v>
      </c>
      <c r="FX267" s="53" t="e">
        <v>#VALUE!</v>
      </c>
      <c r="FY267" s="55"/>
      <c r="FZ267" s="55"/>
      <c r="GA267" s="53">
        <v>51.7</v>
      </c>
      <c r="GB267" s="55"/>
      <c r="GC267" s="53">
        <v>56.2</v>
      </c>
      <c r="GD267" s="53" t="e">
        <v>#VALUE!</v>
      </c>
      <c r="GE267" s="55"/>
      <c r="GF267" s="55"/>
      <c r="GG267" s="55"/>
      <c r="GH267" s="53">
        <v>1188.3</v>
      </c>
      <c r="GI267" s="55"/>
      <c r="GJ267" s="55"/>
      <c r="GK267" s="55"/>
      <c r="GL267" s="55"/>
      <c r="GM267" s="53">
        <v>114</v>
      </c>
      <c r="GN267" s="53">
        <v>10.7</v>
      </c>
      <c r="GO267" s="55"/>
      <c r="GP267" s="55"/>
      <c r="GQ267" s="53" t="e">
        <v>#VALUE!</v>
      </c>
      <c r="GR267" s="55"/>
      <c r="GS267" s="53" t="e">
        <v>#VALUE!</v>
      </c>
      <c r="GT267" s="53" t="e">
        <v>#VALUE!</v>
      </c>
      <c r="GU267" s="55"/>
      <c r="GV267" s="55"/>
      <c r="GW267" s="55"/>
      <c r="GX267" s="53">
        <v>305.5</v>
      </c>
      <c r="GY267" s="19">
        <v>0.97268424753867788</v>
      </c>
      <c r="GZ267" s="53">
        <v>1383.1569999999999</v>
      </c>
      <c r="HA267" s="53">
        <v>1422</v>
      </c>
      <c r="HB267" s="55"/>
      <c r="HC267" s="55"/>
      <c r="HD267" s="55"/>
      <c r="HE267" s="55"/>
      <c r="HF267" s="53">
        <v>1686.7</v>
      </c>
      <c r="HG267" s="53">
        <v>1639.3</v>
      </c>
      <c r="HH267" s="53">
        <v>800.2</v>
      </c>
      <c r="HI267" s="53">
        <v>136.69999999999999</v>
      </c>
      <c r="HJ267" s="53">
        <v>690.9</v>
      </c>
      <c r="HK267" s="53">
        <v>11.5</v>
      </c>
      <c r="HL267" s="53">
        <v>47.4</v>
      </c>
      <c r="HM267" s="55"/>
      <c r="HN267" s="55"/>
      <c r="HO267" s="55"/>
      <c r="HP267" s="53" t="e">
        <v>#VALUE!</v>
      </c>
      <c r="HQ267" s="53">
        <v>6.4</v>
      </c>
      <c r="HR267" s="53">
        <v>5.8</v>
      </c>
      <c r="HS267" s="53" t="e">
        <v>#VALUE!</v>
      </c>
      <c r="HT267" s="53" t="e">
        <v>#VALUE!</v>
      </c>
      <c r="HU267" s="55"/>
      <c r="HV267" s="55"/>
      <c r="HW267" s="53">
        <v>285.10000000000002</v>
      </c>
      <c r="HX267" s="53" t="e">
        <v>#VALUE!</v>
      </c>
      <c r="HY267" s="53">
        <v>285.10000000000002</v>
      </c>
      <c r="HZ267" s="53">
        <v>49.6</v>
      </c>
      <c r="IA267" s="53">
        <v>210.9</v>
      </c>
      <c r="IB267" s="53">
        <v>80.5</v>
      </c>
      <c r="IC267" s="53">
        <v>130.4</v>
      </c>
      <c r="ID267" s="53" t="e">
        <v>#VALUE!</v>
      </c>
      <c r="IE267" s="53" t="e">
        <v>#VALUE!</v>
      </c>
      <c r="IF267" s="53">
        <v>10.4</v>
      </c>
      <c r="IG267" s="53" t="e">
        <v>#VALUE!</v>
      </c>
      <c r="IH267" s="55"/>
      <c r="II267" s="55"/>
      <c r="IJ267" s="55"/>
      <c r="IK267" s="55"/>
      <c r="IL267" s="55"/>
      <c r="IM267" s="55"/>
      <c r="IN267" s="53">
        <v>59</v>
      </c>
      <c r="IO267" s="53">
        <v>59.4</v>
      </c>
      <c r="IP267" s="53" t="e">
        <v>#VALUE!</v>
      </c>
      <c r="IQ267" s="53">
        <v>44.2</v>
      </c>
      <c r="IR267" s="53">
        <v>19.5</v>
      </c>
      <c r="IS267" s="53" t="e">
        <v>#VALUE!</v>
      </c>
      <c r="IT267" s="53">
        <v>22.6</v>
      </c>
      <c r="IU267" s="53" t="e">
        <v>#VALUE!</v>
      </c>
      <c r="IV267" s="53" t="e">
        <v>#VALUE!</v>
      </c>
      <c r="IY267" s="48">
        <f t="shared" si="14"/>
        <v>47.052141113822948</v>
      </c>
      <c r="IZ267" s="48">
        <f>IY267-'NOPA Crush'!J267</f>
        <v>-0.3378588861770524</v>
      </c>
      <c r="JB267" s="63">
        <f t="shared" si="12"/>
        <v>11.183270468160639</v>
      </c>
      <c r="JC267" s="64">
        <f>JB267-'NOPA Crush'!O267</f>
        <v>-9.672953183935995E-2</v>
      </c>
      <c r="JD267" s="65"/>
      <c r="JE267" s="67">
        <f t="shared" si="13"/>
        <v>2606.64</v>
      </c>
      <c r="JF267" s="68">
        <f>'NOPA Crush'!Q267/'Census Crush'!JE267</f>
        <v>0.83631379860663546</v>
      </c>
    </row>
    <row r="268" spans="1:266">
      <c r="A268" s="39">
        <v>37196</v>
      </c>
      <c r="B268" s="51">
        <v>4472.3999999999996</v>
      </c>
      <c r="C268" s="51">
        <v>4100.5</v>
      </c>
      <c r="D268" s="51">
        <v>287</v>
      </c>
      <c r="E268" s="51">
        <v>1821.5</v>
      </c>
      <c r="F268" s="51">
        <v>26.7</v>
      </c>
      <c r="G268" s="51" t="s">
        <v>264</v>
      </c>
      <c r="H268" s="51" t="s">
        <v>264</v>
      </c>
      <c r="I268" s="51" t="s">
        <v>264</v>
      </c>
      <c r="J268" s="51" t="s">
        <v>264</v>
      </c>
      <c r="K268" s="51">
        <v>1629</v>
      </c>
      <c r="L268" s="49">
        <v>2684.5409999999997</v>
      </c>
      <c r="M268" s="51">
        <v>2503.1</v>
      </c>
      <c r="N268" s="51">
        <v>181.441</v>
      </c>
      <c r="O268" s="51">
        <v>89.4</v>
      </c>
      <c r="P268" s="51">
        <v>113.05799999999999</v>
      </c>
      <c r="Q268" s="51">
        <v>26.6</v>
      </c>
      <c r="R268" s="51">
        <v>86.457999999999998</v>
      </c>
      <c r="S268" s="51"/>
      <c r="T268" s="51">
        <v>15.4</v>
      </c>
      <c r="U268" s="51">
        <v>17.100000000000001</v>
      </c>
      <c r="V268" s="51">
        <v>15.9</v>
      </c>
      <c r="W268" s="51">
        <v>1.2</v>
      </c>
      <c r="X268" s="51" t="s">
        <v>264</v>
      </c>
      <c r="Y268" s="51" t="s">
        <v>264</v>
      </c>
      <c r="Z268" s="49">
        <v>138.828</v>
      </c>
      <c r="AA268" s="51">
        <v>119.85899999999999</v>
      </c>
      <c r="AB268" s="51">
        <v>18.969000000000001</v>
      </c>
      <c r="AC268" s="51" t="s">
        <v>264</v>
      </c>
      <c r="AD268" s="51" t="s">
        <v>264</v>
      </c>
      <c r="AE268" s="51"/>
      <c r="AF268" s="51">
        <v>70.155000000000001</v>
      </c>
      <c r="AG268" s="51">
        <v>52.512</v>
      </c>
      <c r="AH268" s="51">
        <v>17.643000000000001</v>
      </c>
      <c r="AI268" s="51">
        <v>203.3</v>
      </c>
      <c r="AJ268" s="55"/>
      <c r="AK268" s="55"/>
      <c r="AL268" s="51">
        <v>127.90600000000001</v>
      </c>
      <c r="AM268" s="51">
        <v>91.465000000000003</v>
      </c>
      <c r="AN268" s="51">
        <v>36.441000000000003</v>
      </c>
      <c r="AO268" s="51">
        <v>3292.6</v>
      </c>
      <c r="AP268" s="51">
        <v>267</v>
      </c>
      <c r="AQ268" s="51">
        <v>246.1</v>
      </c>
      <c r="AR268" s="51">
        <v>35.9</v>
      </c>
      <c r="AS268" s="51">
        <v>131.69999999999999</v>
      </c>
      <c r="AT268" s="51">
        <v>47.9</v>
      </c>
      <c r="AU268" s="51">
        <v>77.2</v>
      </c>
      <c r="AV268" s="51">
        <v>45.2</v>
      </c>
      <c r="AW268" s="51">
        <v>11.2</v>
      </c>
      <c r="AX268" s="51">
        <v>2.1</v>
      </c>
      <c r="AY268" s="51" t="s">
        <v>264</v>
      </c>
      <c r="AZ268" s="51" t="s">
        <v>264</v>
      </c>
      <c r="BA268" s="51" t="s">
        <v>264</v>
      </c>
      <c r="BB268" s="51" t="s">
        <v>264</v>
      </c>
      <c r="BC268" s="51"/>
      <c r="BD268" s="53">
        <v>159.19999999999999</v>
      </c>
      <c r="BE268" s="53">
        <v>36.4</v>
      </c>
      <c r="BF268" s="53">
        <v>64.5</v>
      </c>
      <c r="BG268" s="53">
        <v>6.3</v>
      </c>
      <c r="BH268" s="53">
        <v>299.8</v>
      </c>
      <c r="BI268" s="55"/>
      <c r="BJ268" s="55"/>
      <c r="BK268" s="53">
        <v>213.9</v>
      </c>
      <c r="BL268" s="53">
        <v>0</v>
      </c>
      <c r="BM268" s="53">
        <v>513.6</v>
      </c>
      <c r="BN268" s="53">
        <v>254.5</v>
      </c>
      <c r="BO268" s="55"/>
      <c r="BP268" s="55"/>
      <c r="BQ268" s="53">
        <v>83.5</v>
      </c>
      <c r="BR268" s="53">
        <v>0</v>
      </c>
      <c r="BS268" s="53">
        <v>338</v>
      </c>
      <c r="BT268" s="52">
        <v>24.9</v>
      </c>
      <c r="BU268" s="53">
        <v>11.8</v>
      </c>
      <c r="BV268" s="51">
        <v>311.10000000000002</v>
      </c>
      <c r="BW268" s="51">
        <v>95.1</v>
      </c>
      <c r="BX268" s="51">
        <v>406.2</v>
      </c>
      <c r="BY268" s="51">
        <v>49.9</v>
      </c>
      <c r="BZ268" s="51">
        <v>12.1</v>
      </c>
      <c r="CA268" s="49">
        <v>62</v>
      </c>
      <c r="CB268" s="55"/>
      <c r="CC268" s="55"/>
      <c r="CD268" s="55"/>
      <c r="CE268" s="55"/>
      <c r="CF268" s="53">
        <v>100.657</v>
      </c>
      <c r="CG268" s="53">
        <v>130.5</v>
      </c>
      <c r="CH268" s="53">
        <v>16.5</v>
      </c>
      <c r="CI268" s="55"/>
      <c r="CJ268" s="55"/>
      <c r="CK268" s="51">
        <v>334.2</v>
      </c>
      <c r="CL268" s="51">
        <v>46</v>
      </c>
      <c r="CM268" s="51"/>
      <c r="CN268" s="53">
        <v>42.429000000000002</v>
      </c>
      <c r="CO268" s="52">
        <v>231.191</v>
      </c>
      <c r="CP268" s="53">
        <v>184.3</v>
      </c>
      <c r="CQ268" s="53">
        <v>46.890999999999998</v>
      </c>
      <c r="CR268" s="52" t="s">
        <v>264</v>
      </c>
      <c r="CS268" s="52">
        <v>29.700000000000003</v>
      </c>
      <c r="CT268" s="52">
        <v>17.3</v>
      </c>
      <c r="CU268" s="52">
        <v>12.4</v>
      </c>
      <c r="CV268" s="52">
        <v>38.249000000000002</v>
      </c>
      <c r="CW268" s="52" t="s">
        <v>264</v>
      </c>
      <c r="CX268" s="52" t="s">
        <v>264</v>
      </c>
      <c r="CY268" s="53" t="s">
        <v>264</v>
      </c>
      <c r="CZ268" s="53">
        <v>110.98699999999999</v>
      </c>
      <c r="DA268" s="52">
        <v>20.116</v>
      </c>
      <c r="DB268" s="53">
        <v>19.062999999999999</v>
      </c>
      <c r="DC268" s="53">
        <v>1.0529999999999999</v>
      </c>
      <c r="DD268" s="55"/>
      <c r="DE268" s="55"/>
      <c r="DF268" s="55"/>
      <c r="DG268" s="55"/>
      <c r="DH268" s="55"/>
      <c r="DI268" s="53">
        <v>706.2</v>
      </c>
      <c r="DJ268" s="53">
        <v>403.3</v>
      </c>
      <c r="DK268" s="55"/>
      <c r="DL268" s="55"/>
      <c r="DM268" s="53">
        <v>279.10000000000002</v>
      </c>
      <c r="DN268" s="55"/>
      <c r="DO268" s="53">
        <v>252.5</v>
      </c>
      <c r="DP268" s="53">
        <v>318</v>
      </c>
      <c r="DQ268" s="55"/>
      <c r="DR268" s="55"/>
      <c r="DS268" s="53">
        <v>2267.8119999999999</v>
      </c>
      <c r="DT268" s="53">
        <v>4472.3999999999996</v>
      </c>
      <c r="DU268" s="53">
        <v>-245.48799999999937</v>
      </c>
      <c r="DV268" s="53">
        <v>0</v>
      </c>
      <c r="DW268" s="55"/>
      <c r="DX268" s="55"/>
      <c r="DY268" s="55"/>
      <c r="DZ268" s="55"/>
      <c r="EA268" s="53" t="e">
        <v>#VALUE!</v>
      </c>
      <c r="EB268" s="53">
        <v>666.2</v>
      </c>
      <c r="EC268" s="55"/>
      <c r="ED268" s="55"/>
      <c r="EE268" s="53">
        <v>81.3</v>
      </c>
      <c r="EF268" s="55"/>
      <c r="EG268" s="53">
        <v>209.9</v>
      </c>
      <c r="EH268" s="53">
        <v>322.3</v>
      </c>
      <c r="EI268" s="55"/>
      <c r="EJ268" s="55"/>
      <c r="EK268" s="55"/>
      <c r="EL268" s="53">
        <v>4100.5</v>
      </c>
      <c r="EM268" s="55"/>
      <c r="EN268" s="55"/>
      <c r="EO268" s="55"/>
      <c r="EP268" s="55"/>
      <c r="EQ268" s="53">
        <v>263.39999999999998</v>
      </c>
      <c r="ER268" s="53">
        <v>137.69999999999999</v>
      </c>
      <c r="ES268" s="55"/>
      <c r="ET268" s="55"/>
      <c r="EU268" s="53">
        <v>101.3</v>
      </c>
      <c r="EV268" s="55"/>
      <c r="EW268" s="53">
        <v>92.6</v>
      </c>
      <c r="EX268" s="53">
        <v>114.9</v>
      </c>
      <c r="EY268" s="55"/>
      <c r="EZ268" s="55"/>
      <c r="FA268" s="55"/>
      <c r="FB268" s="53">
        <v>1629</v>
      </c>
      <c r="FC268" s="55"/>
      <c r="FD268" s="55"/>
      <c r="FE268" s="55"/>
      <c r="FF268" s="55"/>
      <c r="FG268" s="53">
        <v>566.79999999999995</v>
      </c>
      <c r="FH268" s="53">
        <v>320.39999999999998</v>
      </c>
      <c r="FI268" s="55"/>
      <c r="FJ268" s="55"/>
      <c r="FK268" s="53">
        <v>220.4</v>
      </c>
      <c r="FL268" s="55"/>
      <c r="FM268" s="53">
        <v>200.7</v>
      </c>
      <c r="FN268" s="53">
        <v>251.3</v>
      </c>
      <c r="FO268" s="55"/>
      <c r="FP268" s="55"/>
      <c r="FQ268" s="55"/>
      <c r="FR268" s="53">
        <v>3547.9</v>
      </c>
      <c r="FS268" s="55"/>
      <c r="FT268" s="55"/>
      <c r="FU268" s="55"/>
      <c r="FV268" s="55"/>
      <c r="FW268" s="53">
        <v>415.7</v>
      </c>
      <c r="FX268" s="53" t="e">
        <v>#VALUE!</v>
      </c>
      <c r="FY268" s="55"/>
      <c r="FZ268" s="55"/>
      <c r="GA268" s="53">
        <v>41.9</v>
      </c>
      <c r="GB268" s="55"/>
      <c r="GC268" s="53">
        <v>61</v>
      </c>
      <c r="GD268" s="53" t="e">
        <v>#VALUE!</v>
      </c>
      <c r="GE268" s="55"/>
      <c r="GF268" s="55"/>
      <c r="GG268" s="55"/>
      <c r="GH268" s="53">
        <v>1313.2</v>
      </c>
      <c r="GI268" s="55"/>
      <c r="GJ268" s="55"/>
      <c r="GK268" s="55"/>
      <c r="GL268" s="55"/>
      <c r="GM268" s="53">
        <v>115.7</v>
      </c>
      <c r="GN268" s="53">
        <v>15</v>
      </c>
      <c r="GO268" s="55"/>
      <c r="GP268" s="55"/>
      <c r="GQ268" s="53" t="e">
        <v>#VALUE!</v>
      </c>
      <c r="GR268" s="55"/>
      <c r="GS268" s="53" t="e">
        <v>#VALUE!</v>
      </c>
      <c r="GT268" s="53" t="e">
        <v>#VALUE!</v>
      </c>
      <c r="GU268" s="55"/>
      <c r="GV268" s="55"/>
      <c r="GW268" s="55"/>
      <c r="GX268" s="53">
        <v>303</v>
      </c>
      <c r="GY268" s="19">
        <v>0.97314395831846412</v>
      </c>
      <c r="GZ268" s="53">
        <v>1363.472</v>
      </c>
      <c r="HA268" s="53">
        <v>1401.1</v>
      </c>
      <c r="HB268" s="55"/>
      <c r="HC268" s="55"/>
      <c r="HD268" s="55"/>
      <c r="HE268" s="55"/>
      <c r="HF268" s="53">
        <v>1624.3</v>
      </c>
      <c r="HG268" s="53">
        <v>1584.1</v>
      </c>
      <c r="HH268" s="53">
        <v>757.9</v>
      </c>
      <c r="HI268" s="53">
        <v>134.6</v>
      </c>
      <c r="HJ268" s="53">
        <v>680.1</v>
      </c>
      <c r="HK268" s="53">
        <v>11.5</v>
      </c>
      <c r="HL268" s="53">
        <v>40.200000000000003</v>
      </c>
      <c r="HM268" s="55"/>
      <c r="HN268" s="55"/>
      <c r="HO268" s="55"/>
      <c r="HP268" s="53" t="e">
        <v>#VALUE!</v>
      </c>
      <c r="HQ268" s="53">
        <v>3.4</v>
      </c>
      <c r="HR268" s="53">
        <v>7.4</v>
      </c>
      <c r="HS268" s="53" t="e">
        <v>#VALUE!</v>
      </c>
      <c r="HT268" s="53">
        <v>23.9</v>
      </c>
      <c r="HU268" s="55"/>
      <c r="HV268" s="55"/>
      <c r="HW268" s="53">
        <v>251.7</v>
      </c>
      <c r="HX268" s="53" t="e">
        <v>#VALUE!</v>
      </c>
      <c r="HY268" s="53">
        <v>251.7</v>
      </c>
      <c r="HZ268" s="53">
        <v>40.299999999999997</v>
      </c>
      <c r="IA268" s="53">
        <v>191</v>
      </c>
      <c r="IB268" s="53">
        <v>71.5</v>
      </c>
      <c r="IC268" s="53">
        <v>119.4</v>
      </c>
      <c r="ID268" s="53" t="e">
        <v>#VALUE!</v>
      </c>
      <c r="IE268" s="53" t="e">
        <v>#VALUE!</v>
      </c>
      <c r="IF268" s="53" t="e">
        <v>#VALUE!</v>
      </c>
      <c r="IG268" s="53" t="e">
        <v>#VALUE!</v>
      </c>
      <c r="IH268" s="55"/>
      <c r="II268" s="55"/>
      <c r="IJ268" s="55"/>
      <c r="IK268" s="55"/>
      <c r="IL268" s="55"/>
      <c r="IM268" s="55"/>
      <c r="IN268" s="53">
        <v>63.597000000000001</v>
      </c>
      <c r="IO268" s="53">
        <v>63.9</v>
      </c>
      <c r="IP268" s="53" t="e">
        <v>#VALUE!</v>
      </c>
      <c r="IQ268" s="53">
        <v>49.7</v>
      </c>
      <c r="IR268" s="53">
        <v>18.100000000000001</v>
      </c>
      <c r="IS268" s="53" t="e">
        <v>#VALUE!</v>
      </c>
      <c r="IT268" s="53">
        <v>29.6</v>
      </c>
      <c r="IU268" s="53" t="e">
        <v>#VALUE!</v>
      </c>
      <c r="IV268" s="53" t="e">
        <v>#VALUE!</v>
      </c>
      <c r="IY268" s="48">
        <f t="shared" si="14"/>
        <v>47.473839549235315</v>
      </c>
      <c r="IZ268" s="48">
        <f>IY268-'NOPA Crush'!J268</f>
        <v>-8.6160450764687369E-2</v>
      </c>
      <c r="JB268" s="63">
        <f t="shared" si="12"/>
        <v>10.927019050174405</v>
      </c>
      <c r="JC268" s="64">
        <f>JB268-'NOPA Crush'!O268</f>
        <v>-0.12298094982559604</v>
      </c>
      <c r="JD268" s="65"/>
      <c r="JE268" s="67">
        <f t="shared" si="13"/>
        <v>2684.5409999999997</v>
      </c>
      <c r="JF268" s="68">
        <f>'NOPA Crush'!Q268/'Census Crush'!JE268</f>
        <v>0.83242870941438407</v>
      </c>
    </row>
    <row r="269" spans="1:266">
      <c r="A269" s="39">
        <v>37226</v>
      </c>
      <c r="B269" s="51">
        <v>4603.3</v>
      </c>
      <c r="C269" s="51">
        <v>3628.6</v>
      </c>
      <c r="D269" s="51">
        <v>273.10000000000002</v>
      </c>
      <c r="E269" s="51">
        <v>1953.5</v>
      </c>
      <c r="F269" s="51">
        <v>28.2</v>
      </c>
      <c r="G269" s="51" t="s">
        <v>264</v>
      </c>
      <c r="H269" s="51" t="s">
        <v>264</v>
      </c>
      <c r="I269" s="51" t="s">
        <v>264</v>
      </c>
      <c r="J269" s="51" t="s">
        <v>264</v>
      </c>
      <c r="K269" s="51">
        <v>1696.4</v>
      </c>
      <c r="L269" s="49">
        <v>2723.7860000000001</v>
      </c>
      <c r="M269" s="51">
        <v>2513.8000000000002</v>
      </c>
      <c r="N269" s="51">
        <v>209.98599999999999</v>
      </c>
      <c r="O269" s="51">
        <v>84.9</v>
      </c>
      <c r="P269" s="51">
        <v>109.9</v>
      </c>
      <c r="Q269" s="51">
        <v>24</v>
      </c>
      <c r="R269" s="51">
        <v>85.9</v>
      </c>
      <c r="S269" s="51"/>
      <c r="T269" s="51">
        <v>25.6</v>
      </c>
      <c r="U269" s="51">
        <v>9.9850000000000012</v>
      </c>
      <c r="V269" s="51">
        <v>8.3000000000000007</v>
      </c>
      <c r="W269" s="51">
        <v>1.6850000000000001</v>
      </c>
      <c r="X269" s="51" t="s">
        <v>264</v>
      </c>
      <c r="Y269" s="51" t="s">
        <v>264</v>
      </c>
      <c r="Z269" s="49">
        <v>123.38499999999999</v>
      </c>
      <c r="AA269" s="51">
        <v>106.392</v>
      </c>
      <c r="AB269" s="51">
        <v>16.992999999999999</v>
      </c>
      <c r="AC269" s="51" t="s">
        <v>264</v>
      </c>
      <c r="AD269" s="51" t="s">
        <v>264</v>
      </c>
      <c r="AE269" s="51"/>
      <c r="AF269" s="51">
        <v>60.311999999999998</v>
      </c>
      <c r="AG269" s="51">
        <v>43.957000000000001</v>
      </c>
      <c r="AH269" s="51">
        <v>16.355</v>
      </c>
      <c r="AI269" s="51">
        <v>206.5</v>
      </c>
      <c r="AJ269" s="55"/>
      <c r="AK269" s="55"/>
      <c r="AL269" s="51">
        <v>124.786</v>
      </c>
      <c r="AM269" s="51">
        <v>102.158</v>
      </c>
      <c r="AN269" s="51">
        <v>22.628</v>
      </c>
      <c r="AO269" s="51">
        <v>3397.5</v>
      </c>
      <c r="AP269" s="51">
        <v>332.1</v>
      </c>
      <c r="AQ269" s="51">
        <v>257.8</v>
      </c>
      <c r="AR269" s="51">
        <v>61.6</v>
      </c>
      <c r="AS269" s="51">
        <v>123.3</v>
      </c>
      <c r="AT269" s="51">
        <v>47.1</v>
      </c>
      <c r="AU269" s="51">
        <v>76</v>
      </c>
      <c r="AV269" s="51">
        <v>60.7</v>
      </c>
      <c r="AW269" s="51">
        <v>16.899999999999999</v>
      </c>
      <c r="AX269" s="51">
        <v>2.9</v>
      </c>
      <c r="AY269" s="51" t="s">
        <v>264</v>
      </c>
      <c r="AZ269" s="51" t="s">
        <v>264</v>
      </c>
      <c r="BA269" s="51" t="s">
        <v>264</v>
      </c>
      <c r="BB269" s="51" t="s">
        <v>264</v>
      </c>
      <c r="BC269" s="51"/>
      <c r="BD269" s="53">
        <v>152.30000000000001</v>
      </c>
      <c r="BE269" s="53">
        <v>40.299999999999997</v>
      </c>
      <c r="BF269" s="53">
        <v>62.5</v>
      </c>
      <c r="BG269" s="53">
        <v>6.3</v>
      </c>
      <c r="BH269" s="53">
        <v>295.39999999999998</v>
      </c>
      <c r="BI269" s="55"/>
      <c r="BJ269" s="55"/>
      <c r="BK269" s="53">
        <v>259.7</v>
      </c>
      <c r="BL269" s="53">
        <v>0</v>
      </c>
      <c r="BM269" s="53">
        <v>555.1</v>
      </c>
      <c r="BN269" s="53">
        <v>237.4</v>
      </c>
      <c r="BO269" s="55"/>
      <c r="BP269" s="55"/>
      <c r="BQ269" s="53">
        <v>78.400000000000006</v>
      </c>
      <c r="BR269" s="53">
        <v>0</v>
      </c>
      <c r="BS269" s="53">
        <v>315.8</v>
      </c>
      <c r="BT269" s="52">
        <v>23.5</v>
      </c>
      <c r="BU269" s="53">
        <v>13.6</v>
      </c>
      <c r="BV269" s="51">
        <v>322.2</v>
      </c>
      <c r="BW269" s="51">
        <v>79.3</v>
      </c>
      <c r="BX269" s="51">
        <v>401.5</v>
      </c>
      <c r="BY269" s="51">
        <v>44.6</v>
      </c>
      <c r="BZ269" s="51">
        <v>7.4</v>
      </c>
      <c r="CA269" s="49">
        <v>52</v>
      </c>
      <c r="CB269" s="55"/>
      <c r="CC269" s="55"/>
      <c r="CD269" s="55"/>
      <c r="CE269" s="55"/>
      <c r="CF269" s="53">
        <v>86.513000000000005</v>
      </c>
      <c r="CG269" s="53">
        <v>128.5</v>
      </c>
      <c r="CH269" s="53">
        <v>18.8</v>
      </c>
      <c r="CI269" s="55"/>
      <c r="CJ269" s="55"/>
      <c r="CK269" s="51">
        <v>330.1</v>
      </c>
      <c r="CL269" s="51">
        <v>48.2</v>
      </c>
      <c r="CM269" s="51"/>
      <c r="CN269" s="53">
        <v>49.106999999999999</v>
      </c>
      <c r="CO269" s="52">
        <v>245.864</v>
      </c>
      <c r="CP269" s="53">
        <v>178.965</v>
      </c>
      <c r="CQ269" s="53">
        <v>66.899000000000001</v>
      </c>
      <c r="CR269" s="52" t="s">
        <v>264</v>
      </c>
      <c r="CS269" s="52">
        <v>33.4</v>
      </c>
      <c r="CT269" s="52">
        <v>19.899999999999999</v>
      </c>
      <c r="CU269" s="52">
        <v>13.5</v>
      </c>
      <c r="CV269" s="52">
        <v>30.84</v>
      </c>
      <c r="CW269" s="52" t="s">
        <v>264</v>
      </c>
      <c r="CX269" s="52" t="s">
        <v>264</v>
      </c>
      <c r="CY269" s="53" t="s">
        <v>264</v>
      </c>
      <c r="CZ269" s="53">
        <v>121.251</v>
      </c>
      <c r="DA269" s="52">
        <v>16.271000000000001</v>
      </c>
      <c r="DB269" s="53">
        <v>14.738</v>
      </c>
      <c r="DC269" s="53">
        <v>1.5329999999999999</v>
      </c>
      <c r="DD269" s="55"/>
      <c r="DE269" s="55"/>
      <c r="DF269" s="55"/>
      <c r="DG269" s="55"/>
      <c r="DH269" s="55"/>
      <c r="DI269" s="53">
        <v>731.2</v>
      </c>
      <c r="DJ269" s="53">
        <v>394.8</v>
      </c>
      <c r="DK269" s="55"/>
      <c r="DL269" s="55"/>
      <c r="DM269" s="53">
        <v>274.7</v>
      </c>
      <c r="DN269" s="55"/>
      <c r="DO269" s="53">
        <v>259.3</v>
      </c>
      <c r="DP269" s="53">
        <v>328.6</v>
      </c>
      <c r="DQ269" s="55"/>
      <c r="DR269" s="55"/>
      <c r="DS269" s="53">
        <v>2363.9560000000001</v>
      </c>
      <c r="DT269" s="53">
        <v>4603.3</v>
      </c>
      <c r="DU269" s="53">
        <v>-250.74399999999969</v>
      </c>
      <c r="DV269" s="53">
        <v>0</v>
      </c>
      <c r="DW269" s="55"/>
      <c r="DX269" s="55"/>
      <c r="DY269" s="55"/>
      <c r="DZ269" s="55"/>
      <c r="EA269" s="53">
        <v>591.1</v>
      </c>
      <c r="EB269" s="53">
        <v>595.70000000000005</v>
      </c>
      <c r="EC269" s="55"/>
      <c r="ED269" s="55"/>
      <c r="EE269" s="53">
        <v>63.5</v>
      </c>
      <c r="EF269" s="55"/>
      <c r="EG269" s="53">
        <v>171.7</v>
      </c>
      <c r="EH269" s="53">
        <v>347.5</v>
      </c>
      <c r="EI269" s="55"/>
      <c r="EJ269" s="55"/>
      <c r="EK269" s="55"/>
      <c r="EL269" s="53">
        <v>3628.6</v>
      </c>
      <c r="EM269" s="55"/>
      <c r="EN269" s="55"/>
      <c r="EO269" s="55"/>
      <c r="EP269" s="55"/>
      <c r="EQ269" s="53">
        <v>275.3</v>
      </c>
      <c r="ER269" s="53">
        <v>145.1</v>
      </c>
      <c r="ES269" s="55"/>
      <c r="ET269" s="55"/>
      <c r="EU269" s="53">
        <v>103.5</v>
      </c>
      <c r="EV269" s="55"/>
      <c r="EW269" s="53">
        <v>97.1</v>
      </c>
      <c r="EX269" s="53">
        <v>120.1</v>
      </c>
      <c r="EY269" s="55"/>
      <c r="EZ269" s="55"/>
      <c r="FA269" s="55"/>
      <c r="FB269" s="53">
        <v>1696.4</v>
      </c>
      <c r="FC269" s="55"/>
      <c r="FD269" s="55"/>
      <c r="FE269" s="55"/>
      <c r="FF269" s="55"/>
      <c r="FG269" s="53">
        <v>579.29999999999995</v>
      </c>
      <c r="FH269" s="53">
        <v>312.8</v>
      </c>
      <c r="FI269" s="55"/>
      <c r="FJ269" s="55"/>
      <c r="FK269" s="53">
        <v>218.7</v>
      </c>
      <c r="FL269" s="55"/>
      <c r="FM269" s="53" t="e">
        <v>#VALUE!</v>
      </c>
      <c r="FN269" s="53">
        <v>258.60000000000002</v>
      </c>
      <c r="FO269" s="55"/>
      <c r="FP269" s="55"/>
      <c r="FQ269" s="55"/>
      <c r="FR269" s="53">
        <v>3664.5</v>
      </c>
      <c r="FS269" s="55"/>
      <c r="FT269" s="55"/>
      <c r="FU269" s="55"/>
      <c r="FV269" s="55"/>
      <c r="FW269" s="53">
        <v>407.7</v>
      </c>
      <c r="FX269" s="53" t="e">
        <v>#VALUE!</v>
      </c>
      <c r="FY269" s="55"/>
      <c r="FZ269" s="55"/>
      <c r="GA269" s="53" t="e">
        <v>#VALUE!</v>
      </c>
      <c r="GB269" s="55"/>
      <c r="GC269" s="53">
        <v>57.3</v>
      </c>
      <c r="GD269" s="53" t="e">
        <v>#VALUE!</v>
      </c>
      <c r="GE269" s="55"/>
      <c r="GF269" s="55"/>
      <c r="GG269" s="55"/>
      <c r="GH269" s="53">
        <v>1322.7</v>
      </c>
      <c r="GI269" s="55"/>
      <c r="GJ269" s="55"/>
      <c r="GK269" s="55"/>
      <c r="GL269" s="55"/>
      <c r="GM269" s="53">
        <v>120.9</v>
      </c>
      <c r="GN269" s="53">
        <v>15.6</v>
      </c>
      <c r="GO269" s="55"/>
      <c r="GP269" s="55"/>
      <c r="GQ269" s="53">
        <v>23.2</v>
      </c>
      <c r="GR269" s="55"/>
      <c r="GS269" s="53" t="e">
        <v>#VALUE!</v>
      </c>
      <c r="GT269" s="53" t="e">
        <v>#VALUE!</v>
      </c>
      <c r="GU269" s="55"/>
      <c r="GV269" s="55"/>
      <c r="GW269" s="55"/>
      <c r="GX269" s="53">
        <v>393.7</v>
      </c>
      <c r="GY269" s="19">
        <v>0.97623333590198036</v>
      </c>
      <c r="GZ269" s="53">
        <v>1266.8579999999999</v>
      </c>
      <c r="HA269" s="53">
        <v>1297.7</v>
      </c>
      <c r="HB269" s="55"/>
      <c r="HC269" s="55"/>
      <c r="HD269" s="55"/>
      <c r="HE269" s="55"/>
      <c r="HF269" s="53">
        <v>1485.7</v>
      </c>
      <c r="HG269" s="53">
        <v>1448</v>
      </c>
      <c r="HH269" s="53">
        <v>709.8</v>
      </c>
      <c r="HI269" s="53">
        <v>123.2</v>
      </c>
      <c r="HJ269" s="53">
        <v>604.70000000000005</v>
      </c>
      <c r="HK269" s="53">
        <v>10.199999999999999</v>
      </c>
      <c r="HL269" s="53">
        <v>37.700000000000003</v>
      </c>
      <c r="HM269" s="55"/>
      <c r="HN269" s="55"/>
      <c r="HO269" s="55"/>
      <c r="HP269" s="53" t="e">
        <v>#VALUE!</v>
      </c>
      <c r="HQ269" s="53">
        <v>5.0999999999999996</v>
      </c>
      <c r="HR269" s="53">
        <v>4.4000000000000004</v>
      </c>
      <c r="HS269" s="53" t="e">
        <v>#VALUE!</v>
      </c>
      <c r="HT269" s="53">
        <v>23.9</v>
      </c>
      <c r="HU269" s="55"/>
      <c r="HV269" s="55"/>
      <c r="HW269" s="53">
        <v>237.1</v>
      </c>
      <c r="HX269" s="53" t="e">
        <v>#VALUE!</v>
      </c>
      <c r="HY269" s="53">
        <v>237.1</v>
      </c>
      <c r="HZ269" s="53">
        <v>38.200000000000003</v>
      </c>
      <c r="IA269" s="53">
        <v>182.6</v>
      </c>
      <c r="IB269" s="53">
        <v>70.8</v>
      </c>
      <c r="IC269" s="53">
        <v>111.8</v>
      </c>
      <c r="ID269" s="53" t="e">
        <v>#VALUE!</v>
      </c>
      <c r="IE269" s="53" t="e">
        <v>#VALUE!</v>
      </c>
      <c r="IF269" s="53" t="e">
        <v>#VALUE!</v>
      </c>
      <c r="IG269" s="53" t="e">
        <v>#VALUE!</v>
      </c>
      <c r="IH269" s="55"/>
      <c r="II269" s="55"/>
      <c r="IJ269" s="55"/>
      <c r="IK269" s="55"/>
      <c r="IL269" s="55"/>
      <c r="IM269" s="55"/>
      <c r="IN269" s="53">
        <v>61.268000000000001</v>
      </c>
      <c r="IO269" s="53">
        <v>61.6</v>
      </c>
      <c r="IP269" s="53" t="e">
        <v>#VALUE!</v>
      </c>
      <c r="IQ269" s="53">
        <v>44.4</v>
      </c>
      <c r="IR269" s="53">
        <v>19</v>
      </c>
      <c r="IS269" s="53" t="e">
        <v>#VALUE!</v>
      </c>
      <c r="IT269" s="53">
        <v>23.6</v>
      </c>
      <c r="IU269" s="53" t="e">
        <v>#VALUE!</v>
      </c>
      <c r="IV269" s="53" t="e">
        <v>#VALUE!</v>
      </c>
      <c r="IY269" s="48">
        <f t="shared" si="14"/>
        <v>47.643646948927945</v>
      </c>
      <c r="IZ269" s="48">
        <f>IY269-'NOPA Crush'!J269</f>
        <v>5.3646948927941196E-2</v>
      </c>
      <c r="JB269" s="63">
        <f t="shared" si="12"/>
        <v>11.055547107509831</v>
      </c>
      <c r="JC269" s="64">
        <f>JB269-'NOPA Crush'!O269</f>
        <v>-9.4452892490169305E-2</v>
      </c>
      <c r="JD269" s="65"/>
      <c r="JE269" s="67">
        <f t="shared" si="13"/>
        <v>2723.7860000000001</v>
      </c>
      <c r="JF269" s="68">
        <f>'NOPA Crush'!Q269/'Census Crush'!JE269</f>
        <v>0.8526312272696901</v>
      </c>
    </row>
    <row r="270" spans="1:266">
      <c r="A270" s="39">
        <v>37257</v>
      </c>
      <c r="B270" s="51">
        <v>4653.7</v>
      </c>
      <c r="C270" s="51">
        <v>3888.2</v>
      </c>
      <c r="D270" s="51">
        <v>281.3</v>
      </c>
      <c r="E270" s="51">
        <v>1806.9</v>
      </c>
      <c r="F270" s="51">
        <v>30.3</v>
      </c>
      <c r="G270" s="51" t="s">
        <v>264</v>
      </c>
      <c r="H270" s="51" t="s">
        <v>264</v>
      </c>
      <c r="I270" s="51" t="s">
        <v>264</v>
      </c>
      <c r="J270" s="51" t="s">
        <v>264</v>
      </c>
      <c r="K270" s="51">
        <v>1706.7</v>
      </c>
      <c r="L270" s="49">
        <v>2923.7</v>
      </c>
      <c r="M270" s="51">
        <v>2701.1</v>
      </c>
      <c r="N270" s="51">
        <v>222.6</v>
      </c>
      <c r="O270" s="51">
        <v>87.5</v>
      </c>
      <c r="P270" s="51">
        <v>124.881</v>
      </c>
      <c r="Q270" s="51">
        <v>27.172999999999998</v>
      </c>
      <c r="R270" s="51">
        <v>97.707999999999998</v>
      </c>
      <c r="S270" s="51"/>
      <c r="T270" s="51">
        <v>24.8</v>
      </c>
      <c r="U270" s="51">
        <v>14.606999999999999</v>
      </c>
      <c r="V270" s="51">
        <v>11.186</v>
      </c>
      <c r="W270" s="51">
        <v>3.4209999999999998</v>
      </c>
      <c r="X270" s="51" t="s">
        <v>264</v>
      </c>
      <c r="Y270" s="51">
        <v>16.463000000000001</v>
      </c>
      <c r="Z270" s="49">
        <v>102.62</v>
      </c>
      <c r="AA270" s="51">
        <v>76.614000000000004</v>
      </c>
      <c r="AB270" s="51">
        <v>26.006</v>
      </c>
      <c r="AC270" s="51" t="s">
        <v>264</v>
      </c>
      <c r="AD270" s="51" t="s">
        <v>264</v>
      </c>
      <c r="AE270" s="51"/>
      <c r="AF270" s="51">
        <v>75.11699999999999</v>
      </c>
      <c r="AG270" s="51">
        <v>57.716999999999999</v>
      </c>
      <c r="AH270" s="51">
        <v>17.399999999999999</v>
      </c>
      <c r="AI270" s="51">
        <v>200.1</v>
      </c>
      <c r="AJ270" s="55"/>
      <c r="AK270" s="55"/>
      <c r="AL270" s="51">
        <v>158.035</v>
      </c>
      <c r="AM270" s="51">
        <v>106.155</v>
      </c>
      <c r="AN270" s="51">
        <v>51.88</v>
      </c>
      <c r="AO270" s="51">
        <v>3444.1</v>
      </c>
      <c r="AP270" s="51">
        <v>246.3</v>
      </c>
      <c r="AQ270" s="51">
        <v>259.10000000000002</v>
      </c>
      <c r="AR270" s="51">
        <v>43.3</v>
      </c>
      <c r="AS270" s="51">
        <v>129</v>
      </c>
      <c r="AT270" s="51">
        <v>42.9</v>
      </c>
      <c r="AU270" s="51">
        <v>75</v>
      </c>
      <c r="AV270" s="51">
        <v>57.5</v>
      </c>
      <c r="AW270" s="51">
        <v>16.2</v>
      </c>
      <c r="AX270" s="51" t="s">
        <v>264</v>
      </c>
      <c r="AY270" s="51" t="s">
        <v>264</v>
      </c>
      <c r="AZ270" s="51" t="s">
        <v>264</v>
      </c>
      <c r="BA270" s="51" t="s">
        <v>264</v>
      </c>
      <c r="BB270" s="51" t="s">
        <v>264</v>
      </c>
      <c r="BC270" s="51"/>
      <c r="BD270" s="53">
        <v>162.667</v>
      </c>
      <c r="BE270" s="53">
        <v>40.878</v>
      </c>
      <c r="BF270" s="53">
        <v>67.3</v>
      </c>
      <c r="BG270" s="53">
        <v>6.5</v>
      </c>
      <c r="BH270" s="53">
        <v>324.8</v>
      </c>
      <c r="BI270" s="55"/>
      <c r="BJ270" s="55"/>
      <c r="BK270" s="53">
        <v>246.9</v>
      </c>
      <c r="BL270" s="53">
        <v>0</v>
      </c>
      <c r="BM270" s="53">
        <v>571.70000000000005</v>
      </c>
      <c r="BN270" s="53">
        <v>274.39999999999998</v>
      </c>
      <c r="BO270" s="55"/>
      <c r="BP270" s="55"/>
      <c r="BQ270" s="53">
        <v>84.9</v>
      </c>
      <c r="BR270" s="53">
        <v>0</v>
      </c>
      <c r="BS270" s="53">
        <v>359.29999999999995</v>
      </c>
      <c r="BT270" s="52">
        <v>23.6</v>
      </c>
      <c r="BU270" s="53">
        <v>18.100000000000001</v>
      </c>
      <c r="BV270" s="51">
        <v>337</v>
      </c>
      <c r="BW270" s="51">
        <v>86.3</v>
      </c>
      <c r="BX270" s="51">
        <v>423.3</v>
      </c>
      <c r="BY270" s="51">
        <v>43.7</v>
      </c>
      <c r="BZ270" s="51">
        <v>7.7</v>
      </c>
      <c r="CA270" s="49">
        <v>51.400000000000006</v>
      </c>
      <c r="CB270" s="55"/>
      <c r="CC270" s="55"/>
      <c r="CD270" s="55"/>
      <c r="CE270" s="55"/>
      <c r="CF270" s="53">
        <v>101.812</v>
      </c>
      <c r="CG270" s="53">
        <v>124.2</v>
      </c>
      <c r="CH270" s="53">
        <v>19.600000000000001</v>
      </c>
      <c r="CI270" s="55"/>
      <c r="CJ270" s="55"/>
      <c r="CK270" s="51">
        <v>365.9</v>
      </c>
      <c r="CL270" s="51">
        <v>54.8</v>
      </c>
      <c r="CM270" s="51"/>
      <c r="CN270" s="53">
        <v>49.478999999999999</v>
      </c>
      <c r="CO270" s="52">
        <v>238.827</v>
      </c>
      <c r="CP270" s="53">
        <v>164.02</v>
      </c>
      <c r="CQ270" s="53">
        <v>74.807000000000002</v>
      </c>
      <c r="CR270" s="52" t="s">
        <v>264</v>
      </c>
      <c r="CS270" s="52">
        <v>36.6</v>
      </c>
      <c r="CT270" s="52">
        <v>21.6</v>
      </c>
      <c r="CU270" s="52">
        <v>15</v>
      </c>
      <c r="CV270" s="52">
        <v>28.629000000000001</v>
      </c>
      <c r="CW270" s="52" t="s">
        <v>264</v>
      </c>
      <c r="CX270" s="52" t="s">
        <v>264</v>
      </c>
      <c r="CY270" s="53" t="s">
        <v>264</v>
      </c>
      <c r="CZ270" s="53">
        <v>100.303</v>
      </c>
      <c r="DA270" s="52">
        <v>15.503</v>
      </c>
      <c r="DB270" s="53">
        <v>13.711</v>
      </c>
      <c r="DC270" s="53">
        <v>1.792</v>
      </c>
      <c r="DD270" s="55"/>
      <c r="DE270" s="55"/>
      <c r="DF270" s="55"/>
      <c r="DG270" s="55"/>
      <c r="DH270" s="55"/>
      <c r="DI270" s="53">
        <v>736.8</v>
      </c>
      <c r="DJ270" s="53">
        <v>401.8</v>
      </c>
      <c r="DK270" s="55"/>
      <c r="DL270" s="55"/>
      <c r="DM270" s="53">
        <v>282</v>
      </c>
      <c r="DN270" s="55"/>
      <c r="DO270" s="53">
        <v>253.4</v>
      </c>
      <c r="DP270" s="53">
        <v>328.3</v>
      </c>
      <c r="DQ270" s="55"/>
      <c r="DR270" s="55"/>
      <c r="DS270" s="53">
        <v>2404.252</v>
      </c>
      <c r="DT270" s="53">
        <v>4653.7</v>
      </c>
      <c r="DU270" s="53">
        <v>-247.14800000000014</v>
      </c>
      <c r="DV270" s="53">
        <v>0</v>
      </c>
      <c r="DW270" s="55"/>
      <c r="DX270" s="55"/>
      <c r="DY270" s="55"/>
      <c r="DZ270" s="55"/>
      <c r="EA270" s="53">
        <v>610.5</v>
      </c>
      <c r="EB270" s="53">
        <v>660</v>
      </c>
      <c r="EC270" s="55"/>
      <c r="ED270" s="55"/>
      <c r="EE270" s="53">
        <v>112.4</v>
      </c>
      <c r="EF270" s="55"/>
      <c r="EG270" s="53">
        <v>194.2</v>
      </c>
      <c r="EH270" s="53">
        <v>406.3</v>
      </c>
      <c r="EI270" s="55"/>
      <c r="EJ270" s="55"/>
      <c r="EK270" s="55"/>
      <c r="EL270" s="53">
        <v>3888.2</v>
      </c>
      <c r="EM270" s="55"/>
      <c r="EN270" s="55"/>
      <c r="EO270" s="55"/>
      <c r="EP270" s="55"/>
      <c r="EQ270" s="53">
        <v>279.2</v>
      </c>
      <c r="ER270" s="53">
        <v>138.30000000000001</v>
      </c>
      <c r="ES270" s="55"/>
      <c r="ET270" s="55"/>
      <c r="EU270" s="53">
        <v>105</v>
      </c>
      <c r="EV270" s="55"/>
      <c r="EW270" s="53">
        <v>93</v>
      </c>
      <c r="EX270" s="53">
        <v>119.6</v>
      </c>
      <c r="EY270" s="55"/>
      <c r="EZ270" s="55"/>
      <c r="FA270" s="55"/>
      <c r="FB270" s="53">
        <v>1706.7</v>
      </c>
      <c r="FC270" s="55"/>
      <c r="FD270" s="55"/>
      <c r="FE270" s="55"/>
      <c r="FF270" s="55"/>
      <c r="FG270" s="53">
        <v>582.4</v>
      </c>
      <c r="FH270" s="53">
        <v>321.39999999999998</v>
      </c>
      <c r="FI270" s="55"/>
      <c r="FJ270" s="55"/>
      <c r="FK270" s="53">
        <v>225.1</v>
      </c>
      <c r="FL270" s="55"/>
      <c r="FM270" s="53">
        <v>202.4</v>
      </c>
      <c r="FN270" s="53">
        <v>260</v>
      </c>
      <c r="FO270" s="55"/>
      <c r="FP270" s="55"/>
      <c r="FQ270" s="55"/>
      <c r="FR270" s="53">
        <v>3712.8</v>
      </c>
      <c r="FS270" s="55"/>
      <c r="FT270" s="55"/>
      <c r="FU270" s="55"/>
      <c r="FV270" s="55"/>
      <c r="FW270" s="53">
        <v>435.3</v>
      </c>
      <c r="FX270" s="53" t="e">
        <v>#VALUE!</v>
      </c>
      <c r="FY270" s="55"/>
      <c r="FZ270" s="55"/>
      <c r="GA270" s="53">
        <v>68</v>
      </c>
      <c r="GB270" s="55"/>
      <c r="GC270" s="53">
        <v>46.3</v>
      </c>
      <c r="GD270" s="53" t="e">
        <v>#VALUE!</v>
      </c>
      <c r="GE270" s="55"/>
      <c r="GF270" s="55"/>
      <c r="GG270" s="55"/>
      <c r="GH270" s="53">
        <v>1427.4</v>
      </c>
      <c r="GI270" s="55"/>
      <c r="GJ270" s="55"/>
      <c r="GK270" s="55"/>
      <c r="GL270" s="55"/>
      <c r="GM270" s="53">
        <v>110.3</v>
      </c>
      <c r="GN270" s="53">
        <v>14</v>
      </c>
      <c r="GO270" s="55"/>
      <c r="GP270" s="55"/>
      <c r="GQ270" s="53">
        <v>13.5</v>
      </c>
      <c r="GR270" s="55"/>
      <c r="GS270" s="53" t="e">
        <v>#VALUE!</v>
      </c>
      <c r="GT270" s="53" t="e">
        <v>#VALUE!</v>
      </c>
      <c r="GU270" s="55"/>
      <c r="GV270" s="55"/>
      <c r="GW270" s="55"/>
      <c r="GX270" s="53">
        <v>289.7</v>
      </c>
      <c r="GY270" s="19">
        <v>0.97335993678387989</v>
      </c>
      <c r="GZ270" s="53">
        <v>1231.787</v>
      </c>
      <c r="HA270" s="53">
        <v>1265.5</v>
      </c>
      <c r="HB270" s="55"/>
      <c r="HC270" s="55"/>
      <c r="HD270" s="55"/>
      <c r="HE270" s="55"/>
      <c r="HF270" s="53">
        <v>1467.5</v>
      </c>
      <c r="HG270" s="53">
        <v>1424.3</v>
      </c>
      <c r="HH270" s="53">
        <v>664.8</v>
      </c>
      <c r="HI270" s="53">
        <v>100.6</v>
      </c>
      <c r="HJ270" s="53">
        <v>649.1</v>
      </c>
      <c r="HK270" s="53">
        <v>9.6999999999999993</v>
      </c>
      <c r="HL270" s="53">
        <v>43.2</v>
      </c>
      <c r="HM270" s="55"/>
      <c r="HN270" s="55"/>
      <c r="HO270" s="55"/>
      <c r="HP270" s="53" t="e">
        <v>#VALUE!</v>
      </c>
      <c r="HQ270" s="53">
        <v>4.9000000000000004</v>
      </c>
      <c r="HR270" s="53">
        <v>8.3000000000000007</v>
      </c>
      <c r="HS270" s="53" t="e">
        <v>#VALUE!</v>
      </c>
      <c r="HT270" s="53">
        <v>24.6</v>
      </c>
      <c r="HU270" s="55"/>
      <c r="HV270" s="55"/>
      <c r="HW270" s="53">
        <v>259.2</v>
      </c>
      <c r="HX270" s="53" t="e">
        <v>#VALUE!</v>
      </c>
      <c r="HY270" s="53">
        <v>259.2</v>
      </c>
      <c r="HZ270" s="53">
        <v>42.4</v>
      </c>
      <c r="IA270" s="53">
        <v>198.6</v>
      </c>
      <c r="IB270" s="53">
        <v>75.400000000000006</v>
      </c>
      <c r="IC270" s="53">
        <v>123.2</v>
      </c>
      <c r="ID270" s="53" t="e">
        <v>#VALUE!</v>
      </c>
      <c r="IE270" s="53" t="e">
        <v>#VALUE!</v>
      </c>
      <c r="IF270" s="53" t="e">
        <v>#VALUE!</v>
      </c>
      <c r="IG270" s="53" t="e">
        <v>#VALUE!</v>
      </c>
      <c r="IH270" s="55"/>
      <c r="II270" s="55"/>
      <c r="IJ270" s="55"/>
      <c r="IK270" s="55"/>
      <c r="IL270" s="55"/>
      <c r="IM270" s="55"/>
      <c r="IN270" s="53">
        <v>64.858999999999995</v>
      </c>
      <c r="IO270" s="53">
        <v>65.2</v>
      </c>
      <c r="IP270" s="53" t="e">
        <v>#VALUE!</v>
      </c>
      <c r="IQ270" s="53">
        <v>39</v>
      </c>
      <c r="IR270" s="53">
        <v>17</v>
      </c>
      <c r="IS270" s="53" t="e">
        <v>#VALUE!</v>
      </c>
      <c r="IT270" s="53">
        <v>20.399999999999999</v>
      </c>
      <c r="IU270" s="53" t="e">
        <v>#VALUE!</v>
      </c>
      <c r="IV270" s="53" t="e">
        <v>#VALUE!</v>
      </c>
      <c r="IY270" s="48">
        <f t="shared" si="14"/>
        <v>47.745234974321505</v>
      </c>
      <c r="IZ270" s="48">
        <f>IY270-'NOPA Crush'!J270</f>
        <v>1.5234974321508332E-2</v>
      </c>
      <c r="JB270" s="63">
        <f t="shared" si="12"/>
        <v>11.002213292648861</v>
      </c>
      <c r="JC270" s="64">
        <f>JB270-'NOPA Crush'!O270</f>
        <v>-0.12778670735113984</v>
      </c>
      <c r="JD270" s="65"/>
      <c r="JE270" s="67">
        <f t="shared" si="13"/>
        <v>2923.7</v>
      </c>
      <c r="JF270" s="68">
        <f>'NOPA Crush'!Q270/'Census Crush'!JE270</f>
        <v>0.8405000513048535</v>
      </c>
    </row>
    <row r="271" spans="1:266">
      <c r="A271" s="39">
        <v>37288</v>
      </c>
      <c r="B271" s="51">
        <v>4170.8999999999996</v>
      </c>
      <c r="C271" s="51">
        <v>3846.5</v>
      </c>
      <c r="D271" s="51">
        <v>253.2</v>
      </c>
      <c r="E271" s="51">
        <v>1574.5</v>
      </c>
      <c r="F271" s="51">
        <v>29.8</v>
      </c>
      <c r="G271" s="51" t="s">
        <v>264</v>
      </c>
      <c r="H271" s="51" t="s">
        <v>264</v>
      </c>
      <c r="I271" s="51" t="s">
        <v>264</v>
      </c>
      <c r="J271" s="51" t="s">
        <v>264</v>
      </c>
      <c r="K271" s="51">
        <v>1543.7</v>
      </c>
      <c r="L271" s="49">
        <v>2801.7159999999999</v>
      </c>
      <c r="M271" s="51">
        <v>2591.9</v>
      </c>
      <c r="N271" s="51">
        <v>209.816</v>
      </c>
      <c r="O271" s="51">
        <v>78.3</v>
      </c>
      <c r="P271" s="51">
        <v>120.307</v>
      </c>
      <c r="Q271" s="51">
        <v>31.297000000000001</v>
      </c>
      <c r="R271" s="51">
        <v>89.01</v>
      </c>
      <c r="S271" s="51"/>
      <c r="T271" s="51">
        <v>25.5</v>
      </c>
      <c r="U271" s="51">
        <v>11.859</v>
      </c>
      <c r="V271" s="51">
        <v>10.295999999999999</v>
      </c>
      <c r="W271" s="51">
        <v>1.5629999999999999</v>
      </c>
      <c r="X271" s="51" t="s">
        <v>264</v>
      </c>
      <c r="Y271" s="51" t="s">
        <v>264</v>
      </c>
      <c r="Z271" s="9">
        <v>116.553</v>
      </c>
      <c r="AA271" s="51">
        <v>116.553</v>
      </c>
      <c r="AB271" s="51" t="s">
        <v>264</v>
      </c>
      <c r="AC271" s="51" t="s">
        <v>264</v>
      </c>
      <c r="AD271" s="51" t="s">
        <v>264</v>
      </c>
      <c r="AE271" s="51"/>
      <c r="AF271" s="51">
        <v>73.948000000000008</v>
      </c>
      <c r="AG271" s="51">
        <v>51.372</v>
      </c>
      <c r="AH271" s="51">
        <v>22.576000000000001</v>
      </c>
      <c r="AI271" s="51">
        <v>183.8</v>
      </c>
      <c r="AJ271" s="55"/>
      <c r="AK271" s="55"/>
      <c r="AL271" s="51">
        <v>157.73400000000001</v>
      </c>
      <c r="AM271" s="51">
        <v>104.158</v>
      </c>
      <c r="AN271" s="51">
        <v>53.576000000000001</v>
      </c>
      <c r="AO271" s="51">
        <v>3079.4</v>
      </c>
      <c r="AP271" s="51">
        <v>229.2</v>
      </c>
      <c r="AQ271" s="51">
        <v>233.8</v>
      </c>
      <c r="AR271" s="51">
        <v>42.9</v>
      </c>
      <c r="AS271" s="51">
        <v>112.5</v>
      </c>
      <c r="AT271" s="51">
        <v>36.6</v>
      </c>
      <c r="AU271" s="51">
        <v>70.8</v>
      </c>
      <c r="AV271" s="51">
        <v>49.9</v>
      </c>
      <c r="AW271" s="51">
        <v>16.3</v>
      </c>
      <c r="AX271" s="51">
        <v>1</v>
      </c>
      <c r="AY271" s="51" t="s">
        <v>264</v>
      </c>
      <c r="AZ271" s="51" t="s">
        <v>264</v>
      </c>
      <c r="BA271" s="51" t="s">
        <v>264</v>
      </c>
      <c r="BB271" s="51" t="s">
        <v>264</v>
      </c>
      <c r="BC271" s="51"/>
      <c r="BD271" s="53">
        <v>160</v>
      </c>
      <c r="BE271" s="53">
        <v>33.799999999999997</v>
      </c>
      <c r="BF271" s="53">
        <v>61.9</v>
      </c>
      <c r="BG271" s="53">
        <v>7.1</v>
      </c>
      <c r="BH271" s="53">
        <v>306.5</v>
      </c>
      <c r="BI271" s="55"/>
      <c r="BJ271" s="55"/>
      <c r="BK271" s="53">
        <v>231.1</v>
      </c>
      <c r="BL271" s="53">
        <v>0</v>
      </c>
      <c r="BM271" s="53">
        <v>537.6</v>
      </c>
      <c r="BN271" s="53">
        <v>283.89999999999998</v>
      </c>
      <c r="BO271" s="55"/>
      <c r="BP271" s="55"/>
      <c r="BQ271" s="53">
        <v>92.4</v>
      </c>
      <c r="BR271" s="53">
        <v>0</v>
      </c>
      <c r="BS271" s="53">
        <v>376.29999999999995</v>
      </c>
      <c r="BT271" s="52">
        <v>21.2</v>
      </c>
      <c r="BU271" s="53">
        <v>16.5</v>
      </c>
      <c r="BV271" s="51">
        <v>305.10000000000002</v>
      </c>
      <c r="BW271" s="51">
        <v>80.8</v>
      </c>
      <c r="BX271" s="51">
        <v>385.9</v>
      </c>
      <c r="BY271" s="51">
        <v>41.7</v>
      </c>
      <c r="BZ271" s="51">
        <v>5.29</v>
      </c>
      <c r="CA271" s="49">
        <v>46.99</v>
      </c>
      <c r="CB271" s="55"/>
      <c r="CC271" s="55"/>
      <c r="CD271" s="55"/>
      <c r="CE271" s="55"/>
      <c r="CF271" s="53">
        <v>93.3</v>
      </c>
      <c r="CG271" s="53">
        <v>148.30000000000001</v>
      </c>
      <c r="CH271" s="53">
        <v>19.8</v>
      </c>
      <c r="CI271" s="55"/>
      <c r="CJ271" s="55"/>
      <c r="CK271" s="51">
        <v>339.4</v>
      </c>
      <c r="CL271" s="51">
        <v>62.9</v>
      </c>
      <c r="CM271" s="51"/>
      <c r="CN271" s="53">
        <v>29.651</v>
      </c>
      <c r="CO271" s="52">
        <v>249.60499999999999</v>
      </c>
      <c r="CP271" s="53">
        <v>191.36699999999999</v>
      </c>
      <c r="CQ271" s="53">
        <v>58.238</v>
      </c>
      <c r="CR271" s="52" t="s">
        <v>264</v>
      </c>
      <c r="CS271" s="52">
        <v>27</v>
      </c>
      <c r="CT271" s="52">
        <v>13.2</v>
      </c>
      <c r="CU271" s="52">
        <v>13.8</v>
      </c>
      <c r="CV271" s="52">
        <v>36.652000000000001</v>
      </c>
      <c r="CW271" s="52" t="s">
        <v>264</v>
      </c>
      <c r="CX271" s="52" t="s">
        <v>264</v>
      </c>
      <c r="CY271" s="53" t="s">
        <v>264</v>
      </c>
      <c r="CZ271" s="53">
        <v>131.29900000000001</v>
      </c>
      <c r="DA271" s="52">
        <v>12.74</v>
      </c>
      <c r="DB271" s="53">
        <v>12.162000000000001</v>
      </c>
      <c r="DC271" s="53">
        <v>0.57799999999999996</v>
      </c>
      <c r="DD271" s="55"/>
      <c r="DE271" s="55"/>
      <c r="DF271" s="55"/>
      <c r="DG271" s="55"/>
      <c r="DH271" s="55"/>
      <c r="DI271" s="53">
        <v>653.9</v>
      </c>
      <c r="DJ271" s="53">
        <v>367.4</v>
      </c>
      <c r="DK271" s="55"/>
      <c r="DL271" s="55"/>
      <c r="DM271" s="53">
        <v>246.8</v>
      </c>
      <c r="DN271" s="55"/>
      <c r="DO271" s="53">
        <v>234.7</v>
      </c>
      <c r="DP271" s="53">
        <v>295.3</v>
      </c>
      <c r="DQ271" s="55"/>
      <c r="DR271" s="55"/>
      <c r="DS271" s="53">
        <v>2149.4850000000001</v>
      </c>
      <c r="DT271" s="53">
        <v>4170.8999999999996</v>
      </c>
      <c r="DU271" s="53">
        <v>-223.3149999999996</v>
      </c>
      <c r="DV271" s="53">
        <v>0</v>
      </c>
      <c r="DW271" s="55"/>
      <c r="DX271" s="55"/>
      <c r="DY271" s="55"/>
      <c r="DZ271" s="55"/>
      <c r="EA271" s="53">
        <v>559.79999999999995</v>
      </c>
      <c r="EB271" s="53">
        <v>618.70000000000005</v>
      </c>
      <c r="EC271" s="55"/>
      <c r="ED271" s="55"/>
      <c r="EE271" s="53">
        <v>100.2</v>
      </c>
      <c r="EF271" s="55"/>
      <c r="EG271" s="53">
        <v>190.6</v>
      </c>
      <c r="EH271" s="53">
        <v>369.8</v>
      </c>
      <c r="EI271" s="55"/>
      <c r="EJ271" s="55"/>
      <c r="EK271" s="55"/>
      <c r="EL271" s="53">
        <v>3846.5</v>
      </c>
      <c r="EM271" s="55"/>
      <c r="EN271" s="55"/>
      <c r="EO271" s="55"/>
      <c r="EP271" s="55"/>
      <c r="EQ271" s="53">
        <v>248.5</v>
      </c>
      <c r="ER271" s="53">
        <v>133.9</v>
      </c>
      <c r="ES271" s="55"/>
      <c r="ET271" s="55"/>
      <c r="EU271" s="53">
        <v>93</v>
      </c>
      <c r="EV271" s="55"/>
      <c r="EW271" s="53">
        <v>86.8</v>
      </c>
      <c r="EX271" s="53">
        <v>109</v>
      </c>
      <c r="EY271" s="55"/>
      <c r="EZ271" s="55"/>
      <c r="FA271" s="55"/>
      <c r="FB271" s="53">
        <v>1543.7</v>
      </c>
      <c r="FC271" s="55"/>
      <c r="FD271" s="55"/>
      <c r="FE271" s="55"/>
      <c r="FF271" s="55"/>
      <c r="FG271" s="53">
        <v>515.20000000000005</v>
      </c>
      <c r="FH271" s="53">
        <v>293.60000000000002</v>
      </c>
      <c r="FI271" s="55"/>
      <c r="FJ271" s="55"/>
      <c r="FK271" s="53">
        <v>199.2</v>
      </c>
      <c r="FL271" s="55"/>
      <c r="FM271" s="53">
        <v>186.9</v>
      </c>
      <c r="FN271" s="53">
        <v>234.4</v>
      </c>
      <c r="FO271" s="55"/>
      <c r="FP271" s="55"/>
      <c r="FQ271" s="55"/>
      <c r="FR271" s="53">
        <v>3321.7</v>
      </c>
      <c r="FS271" s="55"/>
      <c r="FT271" s="55"/>
      <c r="FU271" s="55"/>
      <c r="FV271" s="55"/>
      <c r="FW271" s="53">
        <v>426.5</v>
      </c>
      <c r="FX271" s="53" t="e">
        <v>#VALUE!</v>
      </c>
      <c r="FY271" s="55"/>
      <c r="FZ271" s="55"/>
      <c r="GA271" s="53">
        <v>45.3</v>
      </c>
      <c r="GB271" s="55"/>
      <c r="GC271" s="53">
        <v>38.700000000000003</v>
      </c>
      <c r="GD271" s="53" t="e">
        <v>#VALUE!</v>
      </c>
      <c r="GE271" s="55"/>
      <c r="GF271" s="55"/>
      <c r="GG271" s="55"/>
      <c r="GH271" s="53">
        <v>1377.4</v>
      </c>
      <c r="GI271" s="55"/>
      <c r="GJ271" s="55"/>
      <c r="GK271" s="55"/>
      <c r="GL271" s="55"/>
      <c r="GM271" s="53">
        <v>66.599999999999994</v>
      </c>
      <c r="GN271" s="53">
        <v>13.4</v>
      </c>
      <c r="GO271" s="55"/>
      <c r="GP271" s="55"/>
      <c r="GQ271" s="53">
        <v>12.7</v>
      </c>
      <c r="GR271" s="55"/>
      <c r="GS271" s="53">
        <v>8.9</v>
      </c>
      <c r="GT271" s="53">
        <v>9.1999999999999993</v>
      </c>
      <c r="GU271" s="55"/>
      <c r="GV271" s="55"/>
      <c r="GW271" s="55"/>
      <c r="GX271" s="53">
        <v>272</v>
      </c>
      <c r="GY271" s="19">
        <v>0.97276499589153653</v>
      </c>
      <c r="GZ271" s="53">
        <v>1183.855</v>
      </c>
      <c r="HA271" s="53">
        <v>1217</v>
      </c>
      <c r="HB271" s="55"/>
      <c r="HC271" s="55"/>
      <c r="HD271" s="55"/>
      <c r="HE271" s="55"/>
      <c r="HF271" s="53">
        <v>1395.8</v>
      </c>
      <c r="HG271" s="53">
        <v>1350.9</v>
      </c>
      <c r="HH271" s="53">
        <v>650.70000000000005</v>
      </c>
      <c r="HI271" s="53">
        <v>84.9</v>
      </c>
      <c r="HJ271" s="53">
        <v>605.70000000000005</v>
      </c>
      <c r="HK271" s="53">
        <v>9.6</v>
      </c>
      <c r="HL271" s="53">
        <v>44.9</v>
      </c>
      <c r="HM271" s="55"/>
      <c r="HN271" s="55"/>
      <c r="HO271" s="55"/>
      <c r="HP271" s="53" t="e">
        <v>#VALUE!</v>
      </c>
      <c r="HQ271" s="53">
        <v>5</v>
      </c>
      <c r="HR271" s="53">
        <v>8.5</v>
      </c>
      <c r="HS271" s="53" t="e">
        <v>#VALUE!</v>
      </c>
      <c r="HT271" s="53">
        <v>26.4</v>
      </c>
      <c r="HU271" s="55"/>
      <c r="HV271" s="55"/>
      <c r="HW271" s="53">
        <v>237</v>
      </c>
      <c r="HX271" s="53" t="e">
        <v>#VALUE!</v>
      </c>
      <c r="HY271" s="53">
        <v>237</v>
      </c>
      <c r="HZ271" s="53">
        <v>39.299999999999997</v>
      </c>
      <c r="IA271" s="53">
        <v>179.3</v>
      </c>
      <c r="IB271" s="53">
        <v>75.3</v>
      </c>
      <c r="IC271" s="53">
        <v>104</v>
      </c>
      <c r="ID271" s="53" t="e">
        <v>#VALUE!</v>
      </c>
      <c r="IE271" s="53" t="e">
        <v>#VALUE!</v>
      </c>
      <c r="IF271" s="53" t="e">
        <v>#VALUE!</v>
      </c>
      <c r="IG271" s="53" t="e">
        <v>#VALUE!</v>
      </c>
      <c r="IH271" s="55"/>
      <c r="II271" s="55"/>
      <c r="IJ271" s="55"/>
      <c r="IK271" s="55"/>
      <c r="IL271" s="55"/>
      <c r="IM271" s="55"/>
      <c r="IN271" s="53">
        <v>58.04</v>
      </c>
      <c r="IO271" s="53">
        <v>58.3</v>
      </c>
      <c r="IP271" s="53" t="e">
        <v>#VALUE!</v>
      </c>
      <c r="IQ271" s="53">
        <v>40.5</v>
      </c>
      <c r="IR271" s="53">
        <v>18.399999999999999</v>
      </c>
      <c r="IS271" s="53" t="e">
        <v>#VALUE!</v>
      </c>
      <c r="IT271" s="53">
        <v>20.3</v>
      </c>
      <c r="IU271" s="53" t="e">
        <v>#VALUE!</v>
      </c>
      <c r="IV271" s="53" t="e">
        <v>#VALUE!</v>
      </c>
      <c r="IY271" s="48">
        <f t="shared" si="14"/>
        <v>47.661655757750133</v>
      </c>
      <c r="IZ271" s="48">
        <f>IY271-'NOPA Crush'!J271</f>
        <v>7.1655757750129112E-2</v>
      </c>
      <c r="JB271" s="63">
        <f t="shared" si="12"/>
        <v>11.103358987268935</v>
      </c>
      <c r="JC271" s="64">
        <f>JB271-'NOPA Crush'!O271</f>
        <v>-8.6641012731064393E-2</v>
      </c>
      <c r="JD271" s="65"/>
      <c r="JE271" s="67">
        <f t="shared" si="13"/>
        <v>2801.7159999999999</v>
      </c>
      <c r="JF271" s="68">
        <f>'NOPA Crush'!Q271/'Census Crush'!JE271</f>
        <v>0.82337431773955672</v>
      </c>
    </row>
    <row r="272" spans="1:266">
      <c r="A272" s="39">
        <v>37316</v>
      </c>
      <c r="B272" s="51">
        <v>4493.8</v>
      </c>
      <c r="C272" s="51">
        <v>3385.2</v>
      </c>
      <c r="D272" s="51">
        <v>251.8</v>
      </c>
      <c r="E272" s="51">
        <v>1315.2</v>
      </c>
      <c r="F272" s="51">
        <v>38.6</v>
      </c>
      <c r="G272" s="51" t="s">
        <v>264</v>
      </c>
      <c r="H272" s="51" t="s">
        <v>264</v>
      </c>
      <c r="I272" s="51" t="s">
        <v>264</v>
      </c>
      <c r="J272" s="51" t="s">
        <v>264</v>
      </c>
      <c r="K272" s="51">
        <v>1661.9</v>
      </c>
      <c r="L272" s="49">
        <v>2916.9</v>
      </c>
      <c r="M272" s="51">
        <v>2704.5</v>
      </c>
      <c r="N272" s="51">
        <v>212.4</v>
      </c>
      <c r="O272" s="51">
        <v>78.2</v>
      </c>
      <c r="P272" s="51">
        <v>106.925</v>
      </c>
      <c r="Q272" s="51">
        <v>24.664000000000001</v>
      </c>
      <c r="R272" s="51">
        <v>82.260999999999996</v>
      </c>
      <c r="S272" s="51"/>
      <c r="T272" s="51">
        <v>32.799999999999997</v>
      </c>
      <c r="U272" s="51">
        <v>26.272000000000002</v>
      </c>
      <c r="V272" s="51">
        <v>24.1</v>
      </c>
      <c r="W272" s="51">
        <v>2.1720000000000002</v>
      </c>
      <c r="X272" s="51" t="s">
        <v>264</v>
      </c>
      <c r="Y272" s="51" t="s">
        <v>264</v>
      </c>
      <c r="Z272" s="49">
        <v>118.965</v>
      </c>
      <c r="AA272" s="51">
        <v>104.012</v>
      </c>
      <c r="AB272" s="51">
        <v>14.952999999999999</v>
      </c>
      <c r="AC272" s="51" t="s">
        <v>264</v>
      </c>
      <c r="AD272" s="51" t="s">
        <v>264</v>
      </c>
      <c r="AE272" s="51"/>
      <c r="AF272" s="51">
        <v>78.625</v>
      </c>
      <c r="AG272" s="51">
        <v>49.677</v>
      </c>
      <c r="AH272" s="51">
        <v>28.948</v>
      </c>
      <c r="AI272" s="51">
        <v>187.1</v>
      </c>
      <c r="AJ272" s="55"/>
      <c r="AK272" s="55"/>
      <c r="AL272" s="51">
        <v>151.684</v>
      </c>
      <c r="AM272" s="51">
        <v>107.977</v>
      </c>
      <c r="AN272" s="51">
        <v>43.707000000000001</v>
      </c>
      <c r="AO272" s="51">
        <v>3335.6</v>
      </c>
      <c r="AP272" s="51">
        <v>292.60000000000002</v>
      </c>
      <c r="AQ272" s="51">
        <v>254.1</v>
      </c>
      <c r="AR272" s="51">
        <v>43.8</v>
      </c>
      <c r="AS272" s="51">
        <v>115</v>
      </c>
      <c r="AT272" s="51">
        <v>33.5</v>
      </c>
      <c r="AU272" s="51">
        <v>67.2</v>
      </c>
      <c r="AV272" s="51">
        <v>44.7</v>
      </c>
      <c r="AW272" s="51">
        <v>20.9</v>
      </c>
      <c r="AX272" s="51">
        <v>1.2</v>
      </c>
      <c r="AY272" s="51" t="s">
        <v>264</v>
      </c>
      <c r="AZ272" s="51" t="s">
        <v>264</v>
      </c>
      <c r="BA272" s="51" t="s">
        <v>264</v>
      </c>
      <c r="BB272" s="51" t="s">
        <v>264</v>
      </c>
      <c r="BC272" s="51"/>
      <c r="BD272" s="53">
        <v>140.86000000000001</v>
      </c>
      <c r="BE272" s="53">
        <v>31.576000000000001</v>
      </c>
      <c r="BF272" s="53">
        <v>62.6</v>
      </c>
      <c r="BG272" s="53">
        <v>6.9</v>
      </c>
      <c r="BH272" s="53">
        <v>288.5</v>
      </c>
      <c r="BI272" s="55"/>
      <c r="BJ272" s="55"/>
      <c r="BK272" s="53">
        <v>246.2</v>
      </c>
      <c r="BL272" s="53">
        <v>0</v>
      </c>
      <c r="BM272" s="53">
        <v>534.70000000000005</v>
      </c>
      <c r="BN272" s="53">
        <v>246.8</v>
      </c>
      <c r="BO272" s="55"/>
      <c r="BP272" s="55"/>
      <c r="BQ272" s="53">
        <v>98.2</v>
      </c>
      <c r="BR272" s="53">
        <v>0</v>
      </c>
      <c r="BS272" s="53">
        <v>345</v>
      </c>
      <c r="BT272" s="52">
        <v>20.8</v>
      </c>
      <c r="BU272" s="53">
        <v>16.600000000000001</v>
      </c>
      <c r="BV272" s="51">
        <v>298.39999999999998</v>
      </c>
      <c r="BW272" s="51">
        <v>79.132999999999996</v>
      </c>
      <c r="BX272" s="51">
        <v>377.5</v>
      </c>
      <c r="BY272" s="51">
        <v>43.6</v>
      </c>
      <c r="BZ272" s="51">
        <v>7.7</v>
      </c>
      <c r="CA272" s="49">
        <v>51.300000000000004</v>
      </c>
      <c r="CB272" s="55"/>
      <c r="CC272" s="55"/>
      <c r="CD272" s="55"/>
      <c r="CE272" s="55"/>
      <c r="CF272" s="53">
        <v>105.518</v>
      </c>
      <c r="CG272" s="53">
        <v>165.6</v>
      </c>
      <c r="CH272" s="53">
        <v>21.5</v>
      </c>
      <c r="CI272" s="55"/>
      <c r="CJ272" s="55"/>
      <c r="CK272" s="51">
        <v>352.7</v>
      </c>
      <c r="CL272" s="51">
        <v>54.3</v>
      </c>
      <c r="CM272" s="51"/>
      <c r="CN272" s="53">
        <v>47.015000000000001</v>
      </c>
      <c r="CO272" s="52">
        <v>251.33199999999999</v>
      </c>
      <c r="CP272" s="53">
        <v>175.41300000000001</v>
      </c>
      <c r="CQ272" s="53">
        <v>75.918999999999997</v>
      </c>
      <c r="CR272" s="52" t="s">
        <v>264</v>
      </c>
      <c r="CS272" s="52">
        <v>33.399000000000001</v>
      </c>
      <c r="CT272" s="52"/>
      <c r="CU272" s="52"/>
      <c r="CV272" s="52">
        <v>29.643999999999998</v>
      </c>
      <c r="CW272" s="52" t="s">
        <v>264</v>
      </c>
      <c r="CX272" s="52" t="s">
        <v>264</v>
      </c>
      <c r="CY272" s="53" t="s">
        <v>264</v>
      </c>
      <c r="CZ272" s="53">
        <v>125.21899999999999</v>
      </c>
      <c r="DA272" s="12">
        <v>11.698</v>
      </c>
      <c r="DB272" s="53" t="s">
        <v>264</v>
      </c>
      <c r="DC272" s="53" t="s">
        <v>264</v>
      </c>
      <c r="DD272" s="55"/>
      <c r="DE272" s="55"/>
      <c r="DF272" s="55"/>
      <c r="DG272" s="55"/>
      <c r="DH272" s="55"/>
      <c r="DI272" s="53">
        <v>698.6</v>
      </c>
      <c r="DJ272" s="53">
        <v>398.9</v>
      </c>
      <c r="DK272" s="55"/>
      <c r="DL272" s="55"/>
      <c r="DM272" s="53">
        <v>271.89999999999998</v>
      </c>
      <c r="DN272" s="55"/>
      <c r="DO272" s="53">
        <v>251.7</v>
      </c>
      <c r="DP272" s="53">
        <v>317.5</v>
      </c>
      <c r="DQ272" s="55"/>
      <c r="DR272" s="55"/>
      <c r="DS272" s="53">
        <v>2330.25</v>
      </c>
      <c r="DT272" s="53">
        <v>4493.8</v>
      </c>
      <c r="DU272" s="53">
        <v>-224.94999999999982</v>
      </c>
      <c r="DV272" s="53">
        <v>0</v>
      </c>
      <c r="DW272" s="55"/>
      <c r="DX272" s="55"/>
      <c r="DY272" s="55"/>
      <c r="DZ272" s="55"/>
      <c r="EA272" s="53">
        <v>426.6</v>
      </c>
      <c r="EB272" s="53">
        <v>603.29999999999995</v>
      </c>
      <c r="EC272" s="55"/>
      <c r="ED272" s="55"/>
      <c r="EE272" s="53">
        <v>87.8</v>
      </c>
      <c r="EF272" s="55"/>
      <c r="EG272" s="53">
        <v>178.2</v>
      </c>
      <c r="EH272" s="53">
        <v>349.9</v>
      </c>
      <c r="EI272" s="55"/>
      <c r="EJ272" s="55"/>
      <c r="EK272" s="55"/>
      <c r="EL272" s="53">
        <v>3385.2</v>
      </c>
      <c r="EM272" s="55"/>
      <c r="EN272" s="55"/>
      <c r="EO272" s="55"/>
      <c r="EP272" s="55"/>
      <c r="EQ272" s="53">
        <v>261.60000000000002</v>
      </c>
      <c r="ER272" s="53">
        <v>136.9</v>
      </c>
      <c r="ES272" s="55"/>
      <c r="ET272" s="55"/>
      <c r="EU272" s="53">
        <v>102.8</v>
      </c>
      <c r="EV272" s="55"/>
      <c r="EW272" s="53">
        <v>95</v>
      </c>
      <c r="EX272" s="53">
        <v>118.6</v>
      </c>
      <c r="EY272" s="55"/>
      <c r="EZ272" s="55"/>
      <c r="FA272" s="55"/>
      <c r="FB272" s="53">
        <v>1661.9</v>
      </c>
      <c r="FC272" s="55"/>
      <c r="FD272" s="55"/>
      <c r="FE272" s="55"/>
      <c r="FF272" s="55"/>
      <c r="FG272" s="53">
        <v>551</v>
      </c>
      <c r="FH272" s="53">
        <v>318.2</v>
      </c>
      <c r="FI272" s="55"/>
      <c r="FJ272" s="55"/>
      <c r="FK272" s="53" t="e">
        <v>#VALUE!</v>
      </c>
      <c r="FL272" s="55"/>
      <c r="FM272" s="53">
        <v>205.3</v>
      </c>
      <c r="FN272" s="53">
        <v>254.4</v>
      </c>
      <c r="FO272" s="55"/>
      <c r="FP272" s="55"/>
      <c r="FQ272" s="55"/>
      <c r="FR272" s="53">
        <v>3598.3</v>
      </c>
      <c r="FS272" s="55"/>
      <c r="FT272" s="55"/>
      <c r="FU272" s="55"/>
      <c r="FV272" s="55"/>
      <c r="FW272" s="53">
        <v>440.2</v>
      </c>
      <c r="FX272" s="53" t="e">
        <v>#VALUE!</v>
      </c>
      <c r="FY272" s="55"/>
      <c r="FZ272" s="55"/>
      <c r="GA272" s="53">
        <v>46.7</v>
      </c>
      <c r="GB272" s="55"/>
      <c r="GC272" s="53">
        <v>46.3</v>
      </c>
      <c r="GD272" s="53" t="e">
        <v>#VALUE!</v>
      </c>
      <c r="GE272" s="55"/>
      <c r="GF272" s="55"/>
      <c r="GG272" s="55"/>
      <c r="GH272" s="53">
        <v>1399.5</v>
      </c>
      <c r="GI272" s="55"/>
      <c r="GJ272" s="55"/>
      <c r="GK272" s="55"/>
      <c r="GL272" s="55"/>
      <c r="GM272" s="53">
        <v>68.3</v>
      </c>
      <c r="GN272" s="53">
        <v>30.7</v>
      </c>
      <c r="GO272" s="55"/>
      <c r="GP272" s="55"/>
      <c r="GQ272" s="53" t="e">
        <v>#VALUE!</v>
      </c>
      <c r="GR272" s="55"/>
      <c r="GS272" s="53">
        <v>12.4</v>
      </c>
      <c r="GT272" s="53" t="e">
        <v>#VALUE!</v>
      </c>
      <c r="GU272" s="55"/>
      <c r="GV272" s="55"/>
      <c r="GW272" s="55"/>
      <c r="GX272" s="53">
        <v>336.5</v>
      </c>
      <c r="GY272" s="19">
        <v>0.97874310103760376</v>
      </c>
      <c r="GZ272" s="53">
        <v>1330.0139999999999</v>
      </c>
      <c r="HA272" s="53">
        <v>1358.9</v>
      </c>
      <c r="HB272" s="55"/>
      <c r="HC272" s="55"/>
      <c r="HD272" s="55"/>
      <c r="HE272" s="55"/>
      <c r="HF272" s="53">
        <v>1568.7</v>
      </c>
      <c r="HG272" s="53">
        <v>1529.5</v>
      </c>
      <c r="HH272" s="53">
        <v>719.8</v>
      </c>
      <c r="HI272" s="53">
        <v>100.1</v>
      </c>
      <c r="HJ272" s="53">
        <v>699.1</v>
      </c>
      <c r="HK272" s="53">
        <v>10.5</v>
      </c>
      <c r="HL272" s="53">
        <v>39.200000000000003</v>
      </c>
      <c r="HM272" s="55"/>
      <c r="HN272" s="55"/>
      <c r="HO272" s="55"/>
      <c r="HP272" s="53" t="e">
        <v>#VALUE!</v>
      </c>
      <c r="HQ272" s="53">
        <v>4.4000000000000004</v>
      </c>
      <c r="HR272" s="53">
        <v>7.9</v>
      </c>
      <c r="HS272" s="53" t="e">
        <v>#VALUE!</v>
      </c>
      <c r="HT272" s="53">
        <v>21.7</v>
      </c>
      <c r="HU272" s="55"/>
      <c r="HV272" s="55"/>
      <c r="HW272" s="53">
        <v>242.2</v>
      </c>
      <c r="HX272" s="53" t="e">
        <v>#VALUE!</v>
      </c>
      <c r="HY272" s="53">
        <v>242.2</v>
      </c>
      <c r="HZ272" s="53">
        <v>46</v>
      </c>
      <c r="IA272" s="53">
        <v>177.8</v>
      </c>
      <c r="IB272" s="53">
        <v>68.599999999999994</v>
      </c>
      <c r="IC272" s="53">
        <v>109.2</v>
      </c>
      <c r="ID272" s="53" t="e">
        <v>#VALUE!</v>
      </c>
      <c r="IE272" s="53" t="e">
        <v>#VALUE!</v>
      </c>
      <c r="IF272" s="53" t="e">
        <v>#VALUE!</v>
      </c>
      <c r="IG272" s="53" t="e">
        <v>#VALUE!</v>
      </c>
      <c r="IH272" s="55"/>
      <c r="II272" s="55"/>
      <c r="IJ272" s="55"/>
      <c r="IK272" s="55"/>
      <c r="IL272" s="55"/>
      <c r="IM272" s="55"/>
      <c r="IN272" s="53">
        <v>58.529000000000003</v>
      </c>
      <c r="IO272" s="53">
        <v>58.9</v>
      </c>
      <c r="IP272" s="53" t="e">
        <v>#VALUE!</v>
      </c>
      <c r="IQ272" s="53">
        <v>47.1</v>
      </c>
      <c r="IR272" s="53">
        <v>16.100000000000001</v>
      </c>
      <c r="IS272" s="53" t="e">
        <v>#VALUE!</v>
      </c>
      <c r="IT272" s="53">
        <v>29.1</v>
      </c>
      <c r="IU272" s="53" t="e">
        <v>#VALUE!</v>
      </c>
      <c r="IV272" s="53" t="e">
        <v>#VALUE!</v>
      </c>
      <c r="IY272" s="48">
        <f t="shared" si="14"/>
        <v>47.928701766878802</v>
      </c>
      <c r="IZ272" s="48">
        <f>IY272-'NOPA Crush'!J272</f>
        <v>3.8701766878801891E-2</v>
      </c>
      <c r="JB272" s="63">
        <f t="shared" si="12"/>
        <v>11.094619253193288</v>
      </c>
      <c r="JC272" s="64">
        <f>JB272-'NOPA Crush'!O272</f>
        <v>-0.16538074680671144</v>
      </c>
      <c r="JD272" s="65"/>
      <c r="JE272" s="67">
        <f t="shared" si="13"/>
        <v>2916.9</v>
      </c>
      <c r="JF272" s="68">
        <f>'NOPA Crush'!Q272/'Census Crush'!JE272</f>
        <v>0.82447529911892758</v>
      </c>
    </row>
    <row r="273" spans="1:266">
      <c r="A273" s="39">
        <v>37347</v>
      </c>
      <c r="B273" s="51">
        <v>4176.1000000000004</v>
      </c>
      <c r="C273" s="51">
        <v>3127.3</v>
      </c>
      <c r="D273" s="51">
        <v>243</v>
      </c>
      <c r="E273" s="51">
        <v>1086.7</v>
      </c>
      <c r="F273" s="51">
        <v>34.1</v>
      </c>
      <c r="G273" s="51" t="s">
        <v>264</v>
      </c>
      <c r="H273" s="51" t="s">
        <v>264</v>
      </c>
      <c r="I273" s="51" t="s">
        <v>264</v>
      </c>
      <c r="J273" s="51" t="s">
        <v>264</v>
      </c>
      <c r="K273" s="51">
        <v>1550.6</v>
      </c>
      <c r="L273" s="49">
        <v>2793.5170000000003</v>
      </c>
      <c r="M273" s="51">
        <v>2597.9</v>
      </c>
      <c r="N273" s="51">
        <v>195.61699999999999</v>
      </c>
      <c r="O273" s="51">
        <v>74.599999999999994</v>
      </c>
      <c r="P273" s="51">
        <v>110.291</v>
      </c>
      <c r="Q273" s="51">
        <v>27.155999999999999</v>
      </c>
      <c r="R273" s="51">
        <v>83.135000000000005</v>
      </c>
      <c r="S273" s="51"/>
      <c r="T273" s="51">
        <v>28.5</v>
      </c>
      <c r="U273" s="51">
        <v>33.429000000000002</v>
      </c>
      <c r="V273" s="51">
        <v>31.5</v>
      </c>
      <c r="W273" s="51">
        <v>1.929</v>
      </c>
      <c r="X273" s="51" t="s">
        <v>264</v>
      </c>
      <c r="Y273" s="51" t="s">
        <v>264</v>
      </c>
      <c r="Z273" s="49">
        <v>124.009</v>
      </c>
      <c r="AA273" s="51">
        <v>108.215</v>
      </c>
      <c r="AB273" s="51">
        <v>15.794</v>
      </c>
      <c r="AC273" s="51" t="s">
        <v>264</v>
      </c>
      <c r="AD273" s="51" t="s">
        <v>264</v>
      </c>
      <c r="AE273" s="51"/>
      <c r="AF273" s="51">
        <v>92.45</v>
      </c>
      <c r="AG273" s="51">
        <v>68.463999999999999</v>
      </c>
      <c r="AH273" s="51">
        <v>23.986000000000001</v>
      </c>
      <c r="AI273" s="51">
        <v>189.4</v>
      </c>
      <c r="AJ273" s="55"/>
      <c r="AK273" s="55"/>
      <c r="AL273" s="51">
        <v>163</v>
      </c>
      <c r="AM273" s="51">
        <v>119.5</v>
      </c>
      <c r="AN273" s="51">
        <v>43.5</v>
      </c>
      <c r="AO273" s="51">
        <v>3081.8</v>
      </c>
      <c r="AP273" s="51">
        <v>209.1</v>
      </c>
      <c r="AQ273" s="51">
        <v>233.9</v>
      </c>
      <c r="AR273" s="51">
        <v>44.6</v>
      </c>
      <c r="AS273" s="51">
        <v>109.2</v>
      </c>
      <c r="AT273" s="51">
        <v>45.4</v>
      </c>
      <c r="AU273" s="51">
        <v>66.5</v>
      </c>
      <c r="AV273" s="51">
        <v>49.2</v>
      </c>
      <c r="AW273" s="51">
        <v>19.100000000000001</v>
      </c>
      <c r="AX273" s="51">
        <v>0.9</v>
      </c>
      <c r="AY273" s="51" t="s">
        <v>264</v>
      </c>
      <c r="AZ273" s="51" t="s">
        <v>264</v>
      </c>
      <c r="BA273" s="51" t="s">
        <v>264</v>
      </c>
      <c r="BB273" s="51" t="s">
        <v>264</v>
      </c>
      <c r="BC273" s="51"/>
      <c r="BD273" s="53">
        <v>145.13399999999999</v>
      </c>
      <c r="BE273" s="53">
        <v>32.29</v>
      </c>
      <c r="BF273" s="53">
        <v>66</v>
      </c>
      <c r="BG273" s="53">
        <v>10.7</v>
      </c>
      <c r="BH273" s="53">
        <v>298.2</v>
      </c>
      <c r="BI273" s="55"/>
      <c r="BJ273" s="55"/>
      <c r="BK273" s="53">
        <v>251.5</v>
      </c>
      <c r="BL273" s="53">
        <v>0</v>
      </c>
      <c r="BM273" s="53">
        <v>549.70000000000005</v>
      </c>
      <c r="BN273" s="53">
        <v>234.9</v>
      </c>
      <c r="BO273" s="55"/>
      <c r="BP273" s="55"/>
      <c r="BQ273" s="53">
        <v>92.4</v>
      </c>
      <c r="BR273" s="53">
        <v>0</v>
      </c>
      <c r="BS273" s="53">
        <v>327.3</v>
      </c>
      <c r="BT273" s="52">
        <v>22.8</v>
      </c>
      <c r="BU273" s="53">
        <v>20.5</v>
      </c>
      <c r="BV273" s="51">
        <v>310.10000000000002</v>
      </c>
      <c r="BW273" s="51">
        <v>81.665000000000006</v>
      </c>
      <c r="BX273" s="51">
        <v>391.8</v>
      </c>
      <c r="BY273" s="51">
        <v>44.7</v>
      </c>
      <c r="BZ273" s="51">
        <v>9.4580000000000002</v>
      </c>
      <c r="CA273" s="49">
        <v>54.158000000000001</v>
      </c>
      <c r="CB273" s="55"/>
      <c r="CC273" s="55"/>
      <c r="CD273" s="55"/>
      <c r="CE273" s="55"/>
      <c r="CF273" s="53">
        <v>104.18</v>
      </c>
      <c r="CG273" s="53">
        <v>177.4</v>
      </c>
      <c r="CH273" s="53">
        <v>22.7</v>
      </c>
      <c r="CI273" s="55"/>
      <c r="CJ273" s="55"/>
      <c r="CK273" s="51">
        <v>360</v>
      </c>
      <c r="CL273" s="51">
        <v>54.8</v>
      </c>
      <c r="CM273" s="51"/>
      <c r="CN273" s="53">
        <v>53.5</v>
      </c>
      <c r="CO273" s="52">
        <v>233.3</v>
      </c>
      <c r="CP273" s="53">
        <v>161.1</v>
      </c>
      <c r="CQ273" s="53">
        <v>72.2</v>
      </c>
      <c r="CR273" s="52" t="s">
        <v>264</v>
      </c>
      <c r="CS273" s="52">
        <v>32.340000000000003</v>
      </c>
      <c r="CT273" s="52"/>
      <c r="CU273" s="52"/>
      <c r="CV273" s="52">
        <v>32.1</v>
      </c>
      <c r="CW273" s="52" t="s">
        <v>264</v>
      </c>
      <c r="CX273" s="52" t="s">
        <v>264</v>
      </c>
      <c r="CY273" s="53" t="s">
        <v>264</v>
      </c>
      <c r="CZ273" s="53">
        <v>119</v>
      </c>
      <c r="DA273" s="12">
        <v>11.9</v>
      </c>
      <c r="DB273" s="53" t="s">
        <v>264</v>
      </c>
      <c r="DC273" s="53" t="s">
        <v>264</v>
      </c>
      <c r="DD273" s="55"/>
      <c r="DE273" s="55"/>
      <c r="DF273" s="55"/>
      <c r="DG273" s="55"/>
      <c r="DH273" s="55"/>
      <c r="DI273" s="53">
        <v>648.29999999999995</v>
      </c>
      <c r="DJ273" s="53">
        <v>344.8</v>
      </c>
      <c r="DK273" s="55"/>
      <c r="DL273" s="55"/>
      <c r="DM273" s="53">
        <v>255.5</v>
      </c>
      <c r="DN273" s="55"/>
      <c r="DO273" s="53">
        <v>249.8</v>
      </c>
      <c r="DP273" s="53">
        <v>278.5</v>
      </c>
      <c r="DQ273" s="55"/>
      <c r="DR273" s="55"/>
      <c r="DS273" s="53">
        <v>2201.5230000000001</v>
      </c>
      <c r="DT273" s="53">
        <v>4176.1000000000004</v>
      </c>
      <c r="DU273" s="53">
        <v>-197.67700000000059</v>
      </c>
      <c r="DV273" s="53">
        <v>0</v>
      </c>
      <c r="DW273" s="55"/>
      <c r="DX273" s="55"/>
      <c r="DY273" s="55"/>
      <c r="DZ273" s="55"/>
      <c r="EA273" s="53">
        <v>340.2</v>
      </c>
      <c r="EB273" s="53">
        <v>561.5</v>
      </c>
      <c r="EC273" s="55"/>
      <c r="ED273" s="55"/>
      <c r="EE273" s="53">
        <v>97.2</v>
      </c>
      <c r="EF273" s="55"/>
      <c r="EG273" s="53">
        <v>125.5</v>
      </c>
      <c r="EH273" s="53" t="e">
        <v>#VALUE!</v>
      </c>
      <c r="EI273" s="55"/>
      <c r="EJ273" s="55"/>
      <c r="EK273" s="55"/>
      <c r="EL273" s="53">
        <v>3127.3</v>
      </c>
      <c r="EM273" s="55"/>
      <c r="EN273" s="55"/>
      <c r="EO273" s="55"/>
      <c r="EP273" s="55"/>
      <c r="EQ273" s="53">
        <v>248.8</v>
      </c>
      <c r="ER273" s="53">
        <v>117.2</v>
      </c>
      <c r="ES273" s="55"/>
      <c r="ET273" s="55"/>
      <c r="EU273" s="53">
        <v>99.2</v>
      </c>
      <c r="EV273" s="55"/>
      <c r="EW273" s="53">
        <v>94.2</v>
      </c>
      <c r="EX273" s="53">
        <v>101.3</v>
      </c>
      <c r="EY273" s="55"/>
      <c r="EZ273" s="55"/>
      <c r="FA273" s="55"/>
      <c r="FB273" s="53">
        <v>1550.6</v>
      </c>
      <c r="FC273" s="55"/>
      <c r="FD273" s="55"/>
      <c r="FE273" s="55"/>
      <c r="FF273" s="55"/>
      <c r="FG273" s="53">
        <v>513.9</v>
      </c>
      <c r="FH273" s="53">
        <v>274.39999999999998</v>
      </c>
      <c r="FI273" s="55"/>
      <c r="FJ273" s="55"/>
      <c r="FK273" s="53">
        <v>202.7</v>
      </c>
      <c r="FL273" s="55"/>
      <c r="FM273" s="53">
        <v>199</v>
      </c>
      <c r="FN273" s="53">
        <v>221.1</v>
      </c>
      <c r="FO273" s="55"/>
      <c r="FP273" s="55"/>
      <c r="FQ273" s="55"/>
      <c r="FR273" s="53">
        <v>3325.337</v>
      </c>
      <c r="FS273" s="55"/>
      <c r="FT273" s="55"/>
      <c r="FU273" s="55"/>
      <c r="FV273" s="55"/>
      <c r="FW273" s="53">
        <v>433.3</v>
      </c>
      <c r="FX273" s="53" t="e">
        <v>#VALUE!</v>
      </c>
      <c r="FY273" s="55"/>
      <c r="FZ273" s="55"/>
      <c r="GA273" s="53">
        <v>44.5</v>
      </c>
      <c r="GB273" s="55"/>
      <c r="GC273" s="53">
        <v>45</v>
      </c>
      <c r="GD273" s="53" t="e">
        <v>#VALUE!</v>
      </c>
      <c r="GE273" s="55"/>
      <c r="GF273" s="55"/>
      <c r="GG273" s="55"/>
      <c r="GH273" s="53">
        <v>1393.3</v>
      </c>
      <c r="GI273" s="55"/>
      <c r="GJ273" s="55"/>
      <c r="GK273" s="55"/>
      <c r="GL273" s="55"/>
      <c r="GM273" s="53">
        <v>48.4</v>
      </c>
      <c r="GN273" s="53">
        <v>22.4</v>
      </c>
      <c r="GO273" s="55"/>
      <c r="GP273" s="55"/>
      <c r="GQ273" s="53">
        <v>17</v>
      </c>
      <c r="GR273" s="55"/>
      <c r="GS273" s="53" t="e">
        <v>#VALUE!</v>
      </c>
      <c r="GT273" s="53" t="e">
        <v>#VALUE!</v>
      </c>
      <c r="GU273" s="55"/>
      <c r="GV273" s="55"/>
      <c r="GW273" s="55"/>
      <c r="GX273" s="53">
        <v>253.77099999999999</v>
      </c>
      <c r="GY273" s="19">
        <v>0.97461261123043896</v>
      </c>
      <c r="GZ273" s="53">
        <v>1270.5050000000001</v>
      </c>
      <c r="HA273" s="53">
        <v>1303.5999999999999</v>
      </c>
      <c r="HB273" s="55"/>
      <c r="HC273" s="55"/>
      <c r="HD273" s="55"/>
      <c r="HE273" s="55"/>
      <c r="HF273" s="53">
        <v>1503.2</v>
      </c>
      <c r="HG273" s="53">
        <v>1459.2</v>
      </c>
      <c r="HH273" s="53">
        <v>695.2</v>
      </c>
      <c r="HI273" s="53">
        <v>100</v>
      </c>
      <c r="HJ273" s="53">
        <v>653</v>
      </c>
      <c r="HK273" s="53">
        <v>10.9</v>
      </c>
      <c r="HL273" s="53">
        <v>44</v>
      </c>
      <c r="HM273" s="55"/>
      <c r="HN273" s="55"/>
      <c r="HO273" s="55"/>
      <c r="HP273" s="53" t="e">
        <v>#VALUE!</v>
      </c>
      <c r="HQ273" s="53">
        <v>4.3</v>
      </c>
      <c r="HR273" s="53">
        <v>7.6</v>
      </c>
      <c r="HS273" s="53" t="e">
        <v>#VALUE!</v>
      </c>
      <c r="HT273" s="53">
        <v>25.6</v>
      </c>
      <c r="HU273" s="55"/>
      <c r="HV273" s="55"/>
      <c r="HW273" s="53">
        <v>252.8</v>
      </c>
      <c r="HX273" s="53" t="e">
        <v>#VALUE!</v>
      </c>
      <c r="HY273" s="53">
        <v>252.8</v>
      </c>
      <c r="HZ273" s="53">
        <v>43.7</v>
      </c>
      <c r="IA273" s="53">
        <v>190.6</v>
      </c>
      <c r="IB273" s="53">
        <v>70.8</v>
      </c>
      <c r="IC273" s="53">
        <v>119.8</v>
      </c>
      <c r="ID273" s="53" t="e">
        <v>#VALUE!</v>
      </c>
      <c r="IE273" s="53" t="e">
        <v>#VALUE!</v>
      </c>
      <c r="IF273" s="53" t="e">
        <v>#VALUE!</v>
      </c>
      <c r="IG273" s="53" t="e">
        <v>#VALUE!</v>
      </c>
      <c r="IH273" s="55"/>
      <c r="II273" s="55"/>
      <c r="IJ273" s="55"/>
      <c r="IK273" s="55"/>
      <c r="IL273" s="55"/>
      <c r="IM273" s="55"/>
      <c r="IN273" s="53">
        <v>56.225000000000001</v>
      </c>
      <c r="IO273" s="53">
        <v>56.6</v>
      </c>
      <c r="IP273" s="53" t="e">
        <v>#VALUE!</v>
      </c>
      <c r="IQ273" s="53">
        <v>45.7</v>
      </c>
      <c r="IR273" s="53">
        <v>17.8</v>
      </c>
      <c r="IS273" s="53" t="e">
        <v>#VALUE!</v>
      </c>
      <c r="IT273" s="53">
        <v>25.8</v>
      </c>
      <c r="IU273" s="53" t="e">
        <v>#VALUE!</v>
      </c>
      <c r="IV273" s="53" t="e">
        <v>#VALUE!</v>
      </c>
      <c r="IY273" s="48">
        <f t="shared" si="14"/>
        <v>47.638227053949855</v>
      </c>
      <c r="IZ273" s="48">
        <f>IY273-'NOPA Crush'!J273</f>
        <v>2.8227053949855474E-2</v>
      </c>
      <c r="JB273" s="63">
        <f t="shared" si="12"/>
        <v>11.139101075165822</v>
      </c>
      <c r="JC273" s="64">
        <f>JB273-'NOPA Crush'!O273</f>
        <v>-0.14089892483417721</v>
      </c>
      <c r="JD273" s="65"/>
      <c r="JE273" s="67">
        <f t="shared" si="13"/>
        <v>2793.5170000000003</v>
      </c>
      <c r="JF273" s="68">
        <f>'NOPA Crush'!Q273/'Census Crush'!JE273</f>
        <v>0.81792163784934901</v>
      </c>
    </row>
    <row r="274" spans="1:266">
      <c r="A274" s="39">
        <v>37377</v>
      </c>
      <c r="B274" s="51">
        <v>4218.6000000000004</v>
      </c>
      <c r="C274" s="51">
        <v>2646.9</v>
      </c>
      <c r="D274" s="51">
        <v>233.3</v>
      </c>
      <c r="E274" s="51">
        <v>820.2</v>
      </c>
      <c r="F274" s="51">
        <v>38.6</v>
      </c>
      <c r="G274" s="51" t="s">
        <v>264</v>
      </c>
      <c r="H274" s="51" t="s">
        <v>264</v>
      </c>
      <c r="I274" s="51" t="s">
        <v>264</v>
      </c>
      <c r="J274" s="51" t="s">
        <v>264</v>
      </c>
      <c r="K274" s="51">
        <v>1574</v>
      </c>
      <c r="L274" s="49">
        <v>2889.3999999999996</v>
      </c>
      <c r="M274" s="51">
        <v>2699.2</v>
      </c>
      <c r="N274" s="51">
        <v>190.2</v>
      </c>
      <c r="O274" s="51">
        <v>74.5</v>
      </c>
      <c r="P274" s="51">
        <v>97.655000000000001</v>
      </c>
      <c r="Q274" s="51">
        <v>22.555</v>
      </c>
      <c r="R274" s="51">
        <v>75.099999999999994</v>
      </c>
      <c r="S274" s="51"/>
      <c r="T274" s="51">
        <v>33.799999999999997</v>
      </c>
      <c r="U274" s="51">
        <v>36.902999999999999</v>
      </c>
      <c r="V274" s="51">
        <v>33</v>
      </c>
      <c r="W274" s="51">
        <v>3.903</v>
      </c>
      <c r="X274" s="51" t="s">
        <v>264</v>
      </c>
      <c r="Y274" s="51" t="s">
        <v>264</v>
      </c>
      <c r="Z274" s="49">
        <v>113.827</v>
      </c>
      <c r="AA274" s="51">
        <v>99.646000000000001</v>
      </c>
      <c r="AB274" s="51">
        <v>14.180999999999999</v>
      </c>
      <c r="AC274" s="51" t="s">
        <v>264</v>
      </c>
      <c r="AD274" s="51" t="s">
        <v>264</v>
      </c>
      <c r="AE274" s="51"/>
      <c r="AF274" s="51">
        <v>96.6</v>
      </c>
      <c r="AG274" s="51">
        <v>75</v>
      </c>
      <c r="AH274" s="51">
        <v>21.6</v>
      </c>
      <c r="AI274" s="51">
        <v>219.8</v>
      </c>
      <c r="AJ274" s="55"/>
      <c r="AK274" s="55"/>
      <c r="AL274" s="51">
        <v>164.5</v>
      </c>
      <c r="AM274" s="51">
        <v>118.2</v>
      </c>
      <c r="AN274" s="51">
        <v>46.3</v>
      </c>
      <c r="AO274" s="51">
        <v>3106.6</v>
      </c>
      <c r="AP274" s="51">
        <v>175.8</v>
      </c>
      <c r="AQ274" s="51">
        <v>237.6</v>
      </c>
      <c r="AR274" s="51">
        <v>36.9</v>
      </c>
      <c r="AS274" s="51">
        <v>107.9</v>
      </c>
      <c r="AT274" s="51">
        <v>60.3</v>
      </c>
      <c r="AU274" s="51">
        <v>63</v>
      </c>
      <c r="AV274" s="51">
        <v>44.6</v>
      </c>
      <c r="AW274" s="51">
        <v>20.7</v>
      </c>
      <c r="AX274" s="51">
        <v>0.5</v>
      </c>
      <c r="AY274" s="51" t="s">
        <v>264</v>
      </c>
      <c r="AZ274" s="51" t="s">
        <v>264</v>
      </c>
      <c r="BA274" s="51" t="s">
        <v>264</v>
      </c>
      <c r="BB274" s="51" t="s">
        <v>264</v>
      </c>
      <c r="BC274" s="51"/>
      <c r="BD274" s="53">
        <v>168.34</v>
      </c>
      <c r="BE274" s="53">
        <v>33.506</v>
      </c>
      <c r="BF274" s="53">
        <v>71.5</v>
      </c>
      <c r="BG274" s="53">
        <v>9.9</v>
      </c>
      <c r="BH274" s="53">
        <v>321.10000000000002</v>
      </c>
      <c r="BI274" s="55"/>
      <c r="BJ274" s="55"/>
      <c r="BK274" s="53">
        <v>271.3</v>
      </c>
      <c r="BL274" s="53">
        <v>0</v>
      </c>
      <c r="BM274" s="53">
        <v>592.4</v>
      </c>
      <c r="BN274" s="53">
        <v>231.5</v>
      </c>
      <c r="BO274" s="55"/>
      <c r="BP274" s="55"/>
      <c r="BQ274" s="53">
        <v>101.2</v>
      </c>
      <c r="BR274" s="53">
        <v>0</v>
      </c>
      <c r="BS274" s="53">
        <v>332.7</v>
      </c>
      <c r="BT274" s="52">
        <v>23.8</v>
      </c>
      <c r="BU274" s="53">
        <v>22.5</v>
      </c>
      <c r="BV274" s="51">
        <v>335.2</v>
      </c>
      <c r="BW274" s="51">
        <v>96.403000000000006</v>
      </c>
      <c r="BX274" s="51">
        <v>431.6</v>
      </c>
      <c r="BY274" s="51">
        <v>50.8</v>
      </c>
      <c r="BZ274" s="51">
        <v>10.096</v>
      </c>
      <c r="CA274" s="49">
        <v>60.896000000000001</v>
      </c>
      <c r="CB274" s="55"/>
      <c r="CC274" s="55"/>
      <c r="CD274" s="55"/>
      <c r="CE274" s="55"/>
      <c r="CF274" s="53">
        <v>95.4</v>
      </c>
      <c r="CG274" s="53">
        <v>190.4</v>
      </c>
      <c r="CH274" s="53">
        <v>20.9</v>
      </c>
      <c r="CI274" s="55"/>
      <c r="CJ274" s="55"/>
      <c r="CK274" s="51">
        <v>396.2</v>
      </c>
      <c r="CL274" s="51">
        <v>59.4</v>
      </c>
      <c r="CM274" s="51"/>
      <c r="CN274" s="53">
        <v>32.283000000000001</v>
      </c>
      <c r="CO274" s="52">
        <v>231.64699999999999</v>
      </c>
      <c r="CP274" s="53">
        <v>171.429</v>
      </c>
      <c r="CQ274" s="53">
        <v>60.218000000000004</v>
      </c>
      <c r="CR274" s="52" t="s">
        <v>264</v>
      </c>
      <c r="CS274" s="52">
        <v>31.111999999999998</v>
      </c>
      <c r="CT274" s="52"/>
      <c r="CU274" s="52"/>
      <c r="CV274" s="52">
        <v>54.253999999999998</v>
      </c>
      <c r="CW274" s="52" t="s">
        <v>264</v>
      </c>
      <c r="CX274" s="52" t="s">
        <v>264</v>
      </c>
      <c r="CY274" s="53" t="s">
        <v>264</v>
      </c>
      <c r="CZ274" s="53">
        <v>129.19399999999999</v>
      </c>
      <c r="DA274" s="12">
        <v>14.039</v>
      </c>
      <c r="DB274" s="53" t="s">
        <v>264</v>
      </c>
      <c r="DC274" s="53" t="s">
        <v>264</v>
      </c>
      <c r="DD274" s="55"/>
      <c r="DE274" s="55"/>
      <c r="DF274" s="55"/>
      <c r="DG274" s="55"/>
      <c r="DH274" s="55"/>
      <c r="DI274" s="53">
        <v>610.5</v>
      </c>
      <c r="DJ274" s="53">
        <v>391.4</v>
      </c>
      <c r="DK274" s="55"/>
      <c r="DL274" s="55"/>
      <c r="DM274" s="53">
        <v>265.39999999999998</v>
      </c>
      <c r="DN274" s="55"/>
      <c r="DO274" s="53">
        <v>251</v>
      </c>
      <c r="DP274" s="53">
        <v>256.3</v>
      </c>
      <c r="DQ274" s="55"/>
      <c r="DR274" s="55"/>
      <c r="DS274" s="53">
        <v>2221.1179999999999</v>
      </c>
      <c r="DT274" s="53">
        <v>4218.6000000000004</v>
      </c>
      <c r="DU274" s="53">
        <v>-222.88200000000052</v>
      </c>
      <c r="DV274" s="53">
        <v>0</v>
      </c>
      <c r="DW274" s="55"/>
      <c r="DX274" s="55"/>
      <c r="DY274" s="55"/>
      <c r="DZ274" s="55"/>
      <c r="EA274" s="53">
        <v>294.5</v>
      </c>
      <c r="EB274" s="53">
        <v>403.6</v>
      </c>
      <c r="EC274" s="55"/>
      <c r="ED274" s="55"/>
      <c r="EE274" s="53">
        <v>94.2</v>
      </c>
      <c r="EF274" s="55"/>
      <c r="EG274" s="53">
        <v>122.4</v>
      </c>
      <c r="EH274" s="53">
        <v>281.5</v>
      </c>
      <c r="EI274" s="55"/>
      <c r="EJ274" s="55"/>
      <c r="EK274" s="55"/>
      <c r="EL274" s="53">
        <v>2646.9</v>
      </c>
      <c r="EM274" s="55"/>
      <c r="EN274" s="55"/>
      <c r="EO274" s="55"/>
      <c r="EP274" s="55"/>
      <c r="EQ274" s="53">
        <v>234.4</v>
      </c>
      <c r="ER274" s="53">
        <v>144.5</v>
      </c>
      <c r="ES274" s="55"/>
      <c r="ET274" s="55"/>
      <c r="EU274" s="53">
        <v>99.7</v>
      </c>
      <c r="EV274" s="55"/>
      <c r="EW274" s="53">
        <v>93.2</v>
      </c>
      <c r="EX274" s="53">
        <v>94.9</v>
      </c>
      <c r="EY274" s="55"/>
      <c r="EZ274" s="55"/>
      <c r="FA274" s="55"/>
      <c r="FB274" s="53">
        <v>1574</v>
      </c>
      <c r="FC274" s="55"/>
      <c r="FD274" s="55"/>
      <c r="FE274" s="55"/>
      <c r="FF274" s="55"/>
      <c r="FG274" s="53">
        <v>481.4</v>
      </c>
      <c r="FH274" s="53">
        <v>309.8</v>
      </c>
      <c r="FI274" s="55"/>
      <c r="FJ274" s="55"/>
      <c r="FK274" s="53">
        <v>214.3</v>
      </c>
      <c r="FL274" s="55"/>
      <c r="FM274" s="53">
        <v>199.7</v>
      </c>
      <c r="FN274" s="53">
        <v>201.7</v>
      </c>
      <c r="FO274" s="55"/>
      <c r="FP274" s="55"/>
      <c r="FQ274" s="55"/>
      <c r="FR274" s="53">
        <v>3352.8</v>
      </c>
      <c r="FS274" s="55"/>
      <c r="FT274" s="55"/>
      <c r="FU274" s="55"/>
      <c r="FV274" s="55"/>
      <c r="FW274" s="53">
        <v>425.6</v>
      </c>
      <c r="FX274" s="53" t="e">
        <v>#VALUE!</v>
      </c>
      <c r="FY274" s="55"/>
      <c r="FZ274" s="55"/>
      <c r="GA274" s="53">
        <v>29.3</v>
      </c>
      <c r="GB274" s="55"/>
      <c r="GC274" s="53">
        <v>50</v>
      </c>
      <c r="GD274" s="53" t="e">
        <v>#VALUE!</v>
      </c>
      <c r="GE274" s="55"/>
      <c r="GF274" s="55"/>
      <c r="GG274" s="55"/>
      <c r="GH274" s="53">
        <v>1395.9</v>
      </c>
      <c r="GI274" s="55"/>
      <c r="GJ274" s="55"/>
      <c r="GK274" s="55"/>
      <c r="GL274" s="55"/>
      <c r="GM274" s="53">
        <v>42.9</v>
      </c>
      <c r="GN274" s="53">
        <v>17</v>
      </c>
      <c r="GO274" s="55"/>
      <c r="GP274" s="55"/>
      <c r="GQ274" s="53" t="e">
        <v>#VALUE!</v>
      </c>
      <c r="GR274" s="55"/>
      <c r="GS274" s="53" t="e">
        <v>#VALUE!</v>
      </c>
      <c r="GT274" s="53" t="e">
        <v>#VALUE!</v>
      </c>
      <c r="GU274" s="55"/>
      <c r="GV274" s="55"/>
      <c r="GW274" s="55"/>
      <c r="GX274" s="53">
        <v>212.7</v>
      </c>
      <c r="GY274" s="19">
        <v>0.97693003618817842</v>
      </c>
      <c r="GZ274" s="53">
        <v>1295.8</v>
      </c>
      <c r="HA274" s="53">
        <v>1326.4</v>
      </c>
      <c r="HB274" s="55"/>
      <c r="HC274" s="55"/>
      <c r="HD274" s="55"/>
      <c r="HE274" s="55"/>
      <c r="HF274" s="53">
        <v>1549</v>
      </c>
      <c r="HG274" s="53">
        <v>1503.4</v>
      </c>
      <c r="HH274" s="53">
        <v>718.6</v>
      </c>
      <c r="HI274" s="53">
        <v>85.1</v>
      </c>
      <c r="HJ274" s="53">
        <v>689.2</v>
      </c>
      <c r="HK274" s="53">
        <v>10.6</v>
      </c>
      <c r="HL274" s="53">
        <v>45.5</v>
      </c>
      <c r="HM274" s="55"/>
      <c r="HN274" s="55"/>
      <c r="HO274" s="55"/>
      <c r="HP274" s="53" t="e">
        <v>#VALUE!</v>
      </c>
      <c r="HQ274" s="53">
        <v>5.7</v>
      </c>
      <c r="HR274" s="53">
        <v>8</v>
      </c>
      <c r="HS274" s="53" t="e">
        <v>#VALUE!</v>
      </c>
      <c r="HT274" s="53">
        <v>25.7</v>
      </c>
      <c r="HU274" s="55"/>
      <c r="HV274" s="55"/>
      <c r="HW274" s="53">
        <v>276.89999999999998</v>
      </c>
      <c r="HX274" s="53" t="e">
        <v>#VALUE!</v>
      </c>
      <c r="HY274" s="53">
        <v>276.89999999999998</v>
      </c>
      <c r="HZ274" s="53">
        <v>53.2</v>
      </c>
      <c r="IA274" s="53">
        <v>201.8</v>
      </c>
      <c r="IB274" s="53">
        <v>78.400000000000006</v>
      </c>
      <c r="IC274" s="53">
        <v>123.4</v>
      </c>
      <c r="ID274" s="53" t="e">
        <v>#VALUE!</v>
      </c>
      <c r="IE274" s="53" t="e">
        <v>#VALUE!</v>
      </c>
      <c r="IF274" s="53" t="e">
        <v>#VALUE!</v>
      </c>
      <c r="IG274" s="53" t="e">
        <v>#VALUE!</v>
      </c>
      <c r="IH274" s="55"/>
      <c r="II274" s="55"/>
      <c r="IJ274" s="55"/>
      <c r="IK274" s="55"/>
      <c r="IL274" s="55"/>
      <c r="IM274" s="55"/>
      <c r="IN274" s="53">
        <v>56.662999999999997</v>
      </c>
      <c r="IO274" s="53">
        <v>56.9</v>
      </c>
      <c r="IP274" s="53" t="e">
        <v>#VALUE!</v>
      </c>
      <c r="IQ274" s="53">
        <v>41</v>
      </c>
      <c r="IR274" s="53">
        <v>12.3</v>
      </c>
      <c r="IS274" s="53" t="e">
        <v>#VALUE!</v>
      </c>
      <c r="IT274" s="53">
        <v>27.1</v>
      </c>
      <c r="IU274" s="53" t="e">
        <v>#VALUE!</v>
      </c>
      <c r="IV274" s="53" t="e">
        <v>#VALUE!</v>
      </c>
      <c r="IY274" s="48">
        <f t="shared" si="14"/>
        <v>47.56364670743848</v>
      </c>
      <c r="IZ274" s="48">
        <f>IY274-'NOPA Crush'!J274</f>
        <v>6.3646707438479666E-2</v>
      </c>
      <c r="JB274" s="63">
        <f t="shared" si="12"/>
        <v>11.19328687242213</v>
      </c>
      <c r="JC274" s="64">
        <f>JB274-'NOPA Crush'!O274</f>
        <v>-8.6713127577869642E-2</v>
      </c>
      <c r="JD274" s="65"/>
      <c r="JE274" s="67">
        <f t="shared" si="13"/>
        <v>2889.3999999999996</v>
      </c>
      <c r="JF274" s="68">
        <f>'NOPA Crush'!Q274/'Census Crush'!JE274</f>
        <v>0.83824150342631698</v>
      </c>
    </row>
    <row r="275" spans="1:266">
      <c r="A275" s="39">
        <v>37408</v>
      </c>
      <c r="B275" s="51">
        <v>4037.7</v>
      </c>
      <c r="C275" s="51">
        <v>2036.7</v>
      </c>
      <c r="D275" s="51">
        <v>200.3</v>
      </c>
      <c r="E275" s="51">
        <v>548.5</v>
      </c>
      <c r="F275" s="51">
        <v>27.9</v>
      </c>
      <c r="G275" s="51" t="s">
        <v>264</v>
      </c>
      <c r="H275" s="51" t="s">
        <v>264</v>
      </c>
      <c r="I275" s="51" t="s">
        <v>264</v>
      </c>
      <c r="J275" s="51" t="s">
        <v>264</v>
      </c>
      <c r="K275" s="51">
        <v>1506.1</v>
      </c>
      <c r="L275" s="49">
        <v>2658.3420000000001</v>
      </c>
      <c r="M275" s="51">
        <v>2451.8000000000002</v>
      </c>
      <c r="N275" s="51">
        <v>206.542</v>
      </c>
      <c r="O275" s="51">
        <v>61.8</v>
      </c>
      <c r="P275" s="51">
        <v>82.656999999999996</v>
      </c>
      <c r="Q275" s="51">
        <v>24.22</v>
      </c>
      <c r="R275" s="51">
        <v>58.436999999999998</v>
      </c>
      <c r="S275" s="51"/>
      <c r="T275" s="51">
        <v>24.3</v>
      </c>
      <c r="U275" s="51">
        <v>32.658999999999999</v>
      </c>
      <c r="V275" s="51">
        <v>29.3</v>
      </c>
      <c r="W275" s="51">
        <v>3.359</v>
      </c>
      <c r="X275" s="51" t="s">
        <v>264</v>
      </c>
      <c r="Y275" s="51" t="s">
        <v>264</v>
      </c>
      <c r="Z275" s="9">
        <v>64.7</v>
      </c>
      <c r="AA275" s="51">
        <v>64.7</v>
      </c>
      <c r="AB275" s="51" t="s">
        <v>264</v>
      </c>
      <c r="AC275" s="51" t="s">
        <v>264</v>
      </c>
      <c r="AD275" s="51" t="s">
        <v>264</v>
      </c>
      <c r="AE275" s="51"/>
      <c r="AF275" s="51">
        <v>75.423000000000002</v>
      </c>
      <c r="AG275" s="51">
        <v>53.375999999999998</v>
      </c>
      <c r="AH275" s="51">
        <v>22.047000000000001</v>
      </c>
      <c r="AI275" s="51">
        <v>227.3</v>
      </c>
      <c r="AJ275" s="55"/>
      <c r="AK275" s="55"/>
      <c r="AL275" s="51">
        <v>168.36199999999999</v>
      </c>
      <c r="AM275" s="51">
        <v>111.303</v>
      </c>
      <c r="AN275" s="51">
        <v>57.058999999999997</v>
      </c>
      <c r="AO275" s="51">
        <v>2970</v>
      </c>
      <c r="AP275" s="51">
        <v>294.39999999999998</v>
      </c>
      <c r="AQ275" s="51">
        <v>224.2</v>
      </c>
      <c r="AR275" s="51">
        <v>49</v>
      </c>
      <c r="AS275" s="51">
        <v>96.3</v>
      </c>
      <c r="AT275" s="51">
        <v>68.400000000000006</v>
      </c>
      <c r="AU275" s="51">
        <v>55.6</v>
      </c>
      <c r="AV275" s="51">
        <v>35.799999999999997</v>
      </c>
      <c r="AW275" s="51">
        <v>15.7</v>
      </c>
      <c r="AX275" s="51" t="s">
        <v>264</v>
      </c>
      <c r="AY275" s="51" t="s">
        <v>264</v>
      </c>
      <c r="AZ275" s="51" t="s">
        <v>264</v>
      </c>
      <c r="BA275" s="51" t="s">
        <v>264</v>
      </c>
      <c r="BB275" s="51" t="s">
        <v>264</v>
      </c>
      <c r="BC275" s="51"/>
      <c r="BD275" s="53">
        <v>145.07400000000001</v>
      </c>
      <c r="BE275" s="53">
        <v>35.537999999999997</v>
      </c>
      <c r="BF275" s="53">
        <v>63.3</v>
      </c>
      <c r="BG275" s="53">
        <v>8.3000000000000007</v>
      </c>
      <c r="BH275" s="53">
        <v>279.60000000000002</v>
      </c>
      <c r="BI275" s="55"/>
      <c r="BJ275" s="55"/>
      <c r="BK275" s="53">
        <v>240.7</v>
      </c>
      <c r="BL275" s="53">
        <v>0</v>
      </c>
      <c r="BM275" s="53">
        <v>520.20000000000005</v>
      </c>
      <c r="BN275" s="53">
        <v>252.3</v>
      </c>
      <c r="BO275" s="55"/>
      <c r="BP275" s="55"/>
      <c r="BQ275" s="53">
        <v>102.1</v>
      </c>
      <c r="BR275" s="53">
        <v>0</v>
      </c>
      <c r="BS275" s="53">
        <v>354.4</v>
      </c>
      <c r="BT275" s="52">
        <v>19.899999999999999</v>
      </c>
      <c r="BU275" s="53">
        <v>18.888000000000002</v>
      </c>
      <c r="BV275" s="51">
        <v>296.89999999999998</v>
      </c>
      <c r="BW275" s="51">
        <v>87.2</v>
      </c>
      <c r="BX275" s="51">
        <v>384.1</v>
      </c>
      <c r="BY275" s="51">
        <v>51.1</v>
      </c>
      <c r="BZ275" s="51">
        <v>8.8000000000000007</v>
      </c>
      <c r="CA275" s="49">
        <v>59.900000000000006</v>
      </c>
      <c r="CB275" s="55"/>
      <c r="CC275" s="55"/>
      <c r="CD275" s="55"/>
      <c r="CE275" s="55"/>
      <c r="CF275" s="53">
        <v>88.471999999999994</v>
      </c>
      <c r="CG275" s="53">
        <v>175.4</v>
      </c>
      <c r="CH275" s="53">
        <v>18.600000000000001</v>
      </c>
      <c r="CI275" s="55"/>
      <c r="CJ275" s="55"/>
      <c r="CK275" s="51">
        <v>349.4</v>
      </c>
      <c r="CL275" s="51">
        <v>55.9</v>
      </c>
      <c r="CM275" s="51"/>
      <c r="CN275" s="53">
        <v>31.369</v>
      </c>
      <c r="CO275" s="52">
        <v>303.25</v>
      </c>
      <c r="CP275" s="53">
        <v>224.03399999999999</v>
      </c>
      <c r="CQ275" s="53">
        <v>79.215999999999994</v>
      </c>
      <c r="CR275" s="52" t="s">
        <v>264</v>
      </c>
      <c r="CS275" s="52">
        <v>27.795000000000002</v>
      </c>
      <c r="CT275" s="52"/>
      <c r="CU275" s="52"/>
      <c r="CV275" s="52">
        <v>50.77</v>
      </c>
      <c r="CW275" s="52" t="s">
        <v>264</v>
      </c>
      <c r="CX275" s="52" t="s">
        <v>264</v>
      </c>
      <c r="CY275" s="53" t="s">
        <v>264</v>
      </c>
      <c r="CZ275" s="53">
        <v>102.429</v>
      </c>
      <c r="DA275" s="12">
        <v>10.029</v>
      </c>
      <c r="DB275" s="53" t="s">
        <v>264</v>
      </c>
      <c r="DC275" s="53" t="s">
        <v>264</v>
      </c>
      <c r="DD275" s="55"/>
      <c r="DE275" s="55"/>
      <c r="DF275" s="55"/>
      <c r="DG275" s="55"/>
      <c r="DH275" s="55"/>
      <c r="DI275" s="53">
        <v>558.29999999999995</v>
      </c>
      <c r="DJ275" s="53">
        <v>369.3</v>
      </c>
      <c r="DK275" s="55"/>
      <c r="DL275" s="55"/>
      <c r="DM275" s="53">
        <v>274.39999999999998</v>
      </c>
      <c r="DN275" s="55"/>
      <c r="DO275" s="53">
        <v>240.1</v>
      </c>
      <c r="DP275" s="53">
        <v>303.3</v>
      </c>
      <c r="DQ275" s="55"/>
      <c r="DR275" s="55"/>
      <c r="DS275" s="53">
        <v>2113.1610000000001</v>
      </c>
      <c r="DT275" s="53">
        <v>4037.7</v>
      </c>
      <c r="DU275" s="53">
        <v>-179.13900000000012</v>
      </c>
      <c r="DV275" s="53">
        <v>0</v>
      </c>
      <c r="DW275" s="55"/>
      <c r="DX275" s="55"/>
      <c r="DY275" s="55"/>
      <c r="DZ275" s="55"/>
      <c r="EA275" s="53">
        <v>264</v>
      </c>
      <c r="EB275" s="53">
        <v>283.3</v>
      </c>
      <c r="EC275" s="55"/>
      <c r="ED275" s="55"/>
      <c r="EE275" s="53" t="e">
        <v>#VALUE!</v>
      </c>
      <c r="EF275" s="55"/>
      <c r="EG275" s="53">
        <v>80.400000000000006</v>
      </c>
      <c r="EH275" s="53">
        <v>200</v>
      </c>
      <c r="EI275" s="55"/>
      <c r="EJ275" s="55"/>
      <c r="EK275" s="55"/>
      <c r="EL275" s="53">
        <v>2036.7</v>
      </c>
      <c r="EM275" s="55"/>
      <c r="EN275" s="55"/>
      <c r="EO275" s="55"/>
      <c r="EP275" s="55"/>
      <c r="EQ275" s="53">
        <v>210.5</v>
      </c>
      <c r="ER275" s="53">
        <v>135.4</v>
      </c>
      <c r="ES275" s="55"/>
      <c r="ET275" s="55"/>
      <c r="EU275" s="53">
        <v>106.8</v>
      </c>
      <c r="EV275" s="55"/>
      <c r="EW275" s="53">
        <v>89.2</v>
      </c>
      <c r="EX275" s="53">
        <v>111.6</v>
      </c>
      <c r="EY275" s="55"/>
      <c r="EZ275" s="55"/>
      <c r="FA275" s="55"/>
      <c r="FB275" s="53">
        <v>1506.1</v>
      </c>
      <c r="FC275" s="55"/>
      <c r="FD275" s="55"/>
      <c r="FE275" s="55"/>
      <c r="FF275" s="55"/>
      <c r="FG275" s="53">
        <v>439.7</v>
      </c>
      <c r="FH275" s="53">
        <v>291.3</v>
      </c>
      <c r="FI275" s="55"/>
      <c r="FJ275" s="55"/>
      <c r="FK275" s="53">
        <v>219.4</v>
      </c>
      <c r="FL275" s="55"/>
      <c r="FM275" s="53">
        <v>191.1</v>
      </c>
      <c r="FN275" s="53">
        <v>239.7</v>
      </c>
      <c r="FO275" s="55"/>
      <c r="FP275" s="55"/>
      <c r="FQ275" s="55"/>
      <c r="FR275" s="53">
        <v>3202.9</v>
      </c>
      <c r="FS275" s="55"/>
      <c r="FT275" s="55"/>
      <c r="FU275" s="55"/>
      <c r="FV275" s="55"/>
      <c r="FW275" s="53">
        <v>388.5</v>
      </c>
      <c r="FX275" s="53" t="e">
        <v>#VALUE!</v>
      </c>
      <c r="FY275" s="55"/>
      <c r="FZ275" s="55"/>
      <c r="GA275" s="53">
        <v>32.799999999999997</v>
      </c>
      <c r="GB275" s="55"/>
      <c r="GC275" s="53">
        <v>49.9</v>
      </c>
      <c r="GD275" s="53" t="e">
        <v>#VALUE!</v>
      </c>
      <c r="GE275" s="55"/>
      <c r="GF275" s="55"/>
      <c r="GG275" s="55"/>
      <c r="GH275" s="53">
        <v>1386.6</v>
      </c>
      <c r="GI275" s="55"/>
      <c r="GJ275" s="55"/>
      <c r="GK275" s="55"/>
      <c r="GL275" s="55"/>
      <c r="GM275" s="53">
        <v>58.8</v>
      </c>
      <c r="GN275" s="53">
        <v>32</v>
      </c>
      <c r="GO275" s="55"/>
      <c r="GP275" s="55"/>
      <c r="GQ275" s="53">
        <v>29.8</v>
      </c>
      <c r="GR275" s="55"/>
      <c r="GS275" s="53" t="e">
        <v>#VALUE!</v>
      </c>
      <c r="GT275" s="53" t="e">
        <v>#VALUE!</v>
      </c>
      <c r="GU275" s="55"/>
      <c r="GV275" s="55"/>
      <c r="GW275" s="55"/>
      <c r="GX275" s="53">
        <v>343.3</v>
      </c>
      <c r="GY275" s="19">
        <v>0.97506360745115872</v>
      </c>
      <c r="GZ275" s="53">
        <v>1287.6690000000001</v>
      </c>
      <c r="HA275" s="53">
        <v>1320.6</v>
      </c>
      <c r="HB275" s="55"/>
      <c r="HC275" s="55"/>
      <c r="HD275" s="55"/>
      <c r="HE275" s="55"/>
      <c r="HF275" s="53">
        <v>1492.4</v>
      </c>
      <c r="HG275" s="53">
        <v>1447.3</v>
      </c>
      <c r="HH275" s="53">
        <v>698.3</v>
      </c>
      <c r="HI275" s="53">
        <v>92.1</v>
      </c>
      <c r="HJ275" s="53">
        <v>646.1</v>
      </c>
      <c r="HK275" s="53">
        <v>10.7</v>
      </c>
      <c r="HL275" s="53">
        <v>45.1</v>
      </c>
      <c r="HM275" s="55"/>
      <c r="HN275" s="55"/>
      <c r="HO275" s="55"/>
      <c r="HP275" s="53" t="e">
        <v>#VALUE!</v>
      </c>
      <c r="HQ275" s="53">
        <v>4.0999999999999996</v>
      </c>
      <c r="HR275" s="53">
        <v>7.1</v>
      </c>
      <c r="HS275" s="53" t="e">
        <v>#VALUE!</v>
      </c>
      <c r="HT275" s="53">
        <v>28.3</v>
      </c>
      <c r="HU275" s="55"/>
      <c r="HV275" s="55"/>
      <c r="HW275" s="53">
        <v>253.1</v>
      </c>
      <c r="HX275" s="53" t="e">
        <v>#VALUE!</v>
      </c>
      <c r="HY275" s="53">
        <v>253.1</v>
      </c>
      <c r="HZ275" s="53">
        <v>42.8</v>
      </c>
      <c r="IA275" s="53">
        <v>188.8</v>
      </c>
      <c r="IB275" s="53">
        <v>69.7</v>
      </c>
      <c r="IC275" s="53">
        <v>119.1</v>
      </c>
      <c r="ID275" s="53" t="e">
        <v>#VALUE!</v>
      </c>
      <c r="IE275" s="53" t="e">
        <v>#VALUE!</v>
      </c>
      <c r="IF275" s="53" t="e">
        <v>#VALUE!</v>
      </c>
      <c r="IG275" s="53" t="e">
        <v>#VALUE!</v>
      </c>
      <c r="IH275" s="55"/>
      <c r="II275" s="55"/>
      <c r="IJ275" s="55"/>
      <c r="IK275" s="55"/>
      <c r="IL275" s="55"/>
      <c r="IM275" s="55"/>
      <c r="IN275" s="53">
        <v>45.176000000000002</v>
      </c>
      <c r="IO275" s="53">
        <v>45.2</v>
      </c>
      <c r="IP275" s="53" t="e">
        <v>#VALUE!</v>
      </c>
      <c r="IQ275" s="53">
        <v>50</v>
      </c>
      <c r="IR275" s="53">
        <v>13.5</v>
      </c>
      <c r="IS275" s="53" t="e">
        <v>#VALUE!</v>
      </c>
      <c r="IT275" s="53">
        <v>34.6</v>
      </c>
      <c r="IU275" s="53" t="e">
        <v>#VALUE!</v>
      </c>
      <c r="IV275" s="53" t="e">
        <v>#VALUE!</v>
      </c>
      <c r="IY275" s="48">
        <f t="shared" si="14"/>
        <v>47.465636377145401</v>
      </c>
      <c r="IZ275" s="48">
        <f>IY275-'NOPA Crush'!J275</f>
        <v>3.5636377145401354E-2</v>
      </c>
      <c r="JB275" s="63">
        <f t="shared" si="12"/>
        <v>11.190281595958094</v>
      </c>
      <c r="JC275" s="64">
        <f>JB275-'NOPA Crush'!O275</f>
        <v>-0.10971840404190658</v>
      </c>
      <c r="JD275" s="65"/>
      <c r="JE275" s="67">
        <f t="shared" si="13"/>
        <v>2658.3420000000001</v>
      </c>
      <c r="JF275" s="68">
        <f>'NOPA Crush'!Q275/'Census Crush'!JE275</f>
        <v>0.83216079797106624</v>
      </c>
    </row>
    <row r="276" spans="1:266">
      <c r="A276" s="39">
        <v>37438</v>
      </c>
      <c r="B276" s="51">
        <v>3894.9</v>
      </c>
      <c r="C276" s="51">
        <v>1962</v>
      </c>
      <c r="D276" s="51">
        <v>166.3</v>
      </c>
      <c r="E276" s="51">
        <v>399.6</v>
      </c>
      <c r="F276" s="51">
        <v>25.4</v>
      </c>
      <c r="G276" s="51" t="s">
        <v>264</v>
      </c>
      <c r="H276" s="51" t="s">
        <v>264</v>
      </c>
      <c r="I276" s="51" t="s">
        <v>264</v>
      </c>
      <c r="J276" s="51" t="s">
        <v>264</v>
      </c>
      <c r="K276" s="51">
        <v>1461.2</v>
      </c>
      <c r="L276" s="49">
        <v>2529.4</v>
      </c>
      <c r="M276" s="51">
        <v>2350.3000000000002</v>
      </c>
      <c r="N276" s="51">
        <v>179.1</v>
      </c>
      <c r="O276" s="53">
        <v>50.6</v>
      </c>
      <c r="P276" s="51">
        <v>60.248999999999995</v>
      </c>
      <c r="Q276" s="51">
        <v>9.8490000000000002</v>
      </c>
      <c r="R276" s="51">
        <v>50.4</v>
      </c>
      <c r="S276" s="51"/>
      <c r="T276" s="51">
        <v>22.6</v>
      </c>
      <c r="U276" s="51" t="s">
        <v>264</v>
      </c>
      <c r="V276" s="51" t="s">
        <v>264</v>
      </c>
      <c r="W276" s="51" t="s">
        <v>264</v>
      </c>
      <c r="X276" s="51" t="s">
        <v>264</v>
      </c>
      <c r="Y276" s="51">
        <v>10.724</v>
      </c>
      <c r="Z276" s="49">
        <v>39.515000000000001</v>
      </c>
      <c r="AA276" s="51">
        <v>29.911000000000001</v>
      </c>
      <c r="AB276" s="51">
        <v>9.6039999999999992</v>
      </c>
      <c r="AC276" s="51" t="s">
        <v>264</v>
      </c>
      <c r="AD276" s="51" t="s">
        <v>264</v>
      </c>
      <c r="AE276" s="51"/>
      <c r="AF276" s="51">
        <v>56.600999999999999</v>
      </c>
      <c r="AG276" s="51">
        <v>33.799999999999997</v>
      </c>
      <c r="AH276" s="51">
        <v>22.800999999999998</v>
      </c>
      <c r="AI276" s="51">
        <v>220.2</v>
      </c>
      <c r="AJ276" s="55"/>
      <c r="AK276" s="55"/>
      <c r="AL276" s="51">
        <v>164.8</v>
      </c>
      <c r="AM276" s="51">
        <v>88.6</v>
      </c>
      <c r="AN276" s="51">
        <v>76.2</v>
      </c>
      <c r="AO276" s="51">
        <v>2862.8</v>
      </c>
      <c r="AP276" s="51">
        <v>168.4</v>
      </c>
      <c r="AQ276" s="51">
        <v>222.6</v>
      </c>
      <c r="AR276" s="51">
        <v>33.9</v>
      </c>
      <c r="AS276" s="51">
        <v>73.7</v>
      </c>
      <c r="AT276" s="51">
        <v>63.1</v>
      </c>
      <c r="AU276" s="51">
        <v>52.2</v>
      </c>
      <c r="AV276" s="51">
        <v>31.5</v>
      </c>
      <c r="AW276" s="51">
        <v>13.8</v>
      </c>
      <c r="AX276" s="51" t="s">
        <v>264</v>
      </c>
      <c r="AY276" s="51" t="s">
        <v>264</v>
      </c>
      <c r="AZ276" s="51" t="s">
        <v>264</v>
      </c>
      <c r="BA276" s="51" t="s">
        <v>264</v>
      </c>
      <c r="BB276" s="51" t="s">
        <v>264</v>
      </c>
      <c r="BC276" s="51"/>
      <c r="BD276" s="53">
        <v>179.595</v>
      </c>
      <c r="BE276" s="53">
        <v>29.116</v>
      </c>
      <c r="BF276" s="53">
        <v>68.400000000000006</v>
      </c>
      <c r="BG276" s="53">
        <v>6.9</v>
      </c>
      <c r="BH276" s="53">
        <v>315.39999999999998</v>
      </c>
      <c r="BI276" s="55"/>
      <c r="BJ276" s="55"/>
      <c r="BK276" s="53">
        <v>215.3</v>
      </c>
      <c r="BL276" s="53">
        <v>0</v>
      </c>
      <c r="BM276" s="53">
        <v>530.70000000000005</v>
      </c>
      <c r="BN276" s="53">
        <v>293.5</v>
      </c>
      <c r="BO276" s="55"/>
      <c r="BP276" s="55"/>
      <c r="BQ276" s="53">
        <v>95.1</v>
      </c>
      <c r="BR276" s="53">
        <v>0</v>
      </c>
      <c r="BS276" s="53">
        <v>388.6</v>
      </c>
      <c r="BT276" s="52">
        <v>19.8</v>
      </c>
      <c r="BU276" s="53">
        <v>18.399999999999999</v>
      </c>
      <c r="BV276" s="51">
        <v>342.2</v>
      </c>
      <c r="BW276" s="51">
        <v>96.962000000000003</v>
      </c>
      <c r="BX276" s="51">
        <v>439.2</v>
      </c>
      <c r="BY276" s="51">
        <v>55.4</v>
      </c>
      <c r="BZ276" s="51">
        <v>9.4420000000000002</v>
      </c>
      <c r="CA276" s="49">
        <v>64.841999999999999</v>
      </c>
      <c r="CB276" s="55"/>
      <c r="CC276" s="55"/>
      <c r="CD276" s="55"/>
      <c r="CE276" s="55"/>
      <c r="CF276" s="53">
        <v>94.71</v>
      </c>
      <c r="CG276" s="53">
        <v>161.80000000000001</v>
      </c>
      <c r="CH276" s="53">
        <v>18.399999999999999</v>
      </c>
      <c r="CI276" s="55"/>
      <c r="CJ276" s="55"/>
      <c r="CK276" s="51">
        <v>377.9</v>
      </c>
      <c r="CL276" s="51">
        <v>57.4</v>
      </c>
      <c r="CM276" s="51"/>
      <c r="CN276" s="53">
        <v>44.4</v>
      </c>
      <c r="CO276" s="52">
        <v>301.64400000000001</v>
      </c>
      <c r="CP276" s="53">
        <v>207.428</v>
      </c>
      <c r="CQ276" s="53">
        <v>94.215999999999994</v>
      </c>
      <c r="CR276" s="52" t="s">
        <v>264</v>
      </c>
      <c r="CS276" s="52">
        <v>17.663</v>
      </c>
      <c r="CT276" s="52"/>
      <c r="CU276" s="52"/>
      <c r="CV276" s="52">
        <v>57.311999999999998</v>
      </c>
      <c r="CW276" s="52" t="s">
        <v>264</v>
      </c>
      <c r="CX276" s="52" t="s">
        <v>264</v>
      </c>
      <c r="CY276" s="53" t="s">
        <v>264</v>
      </c>
      <c r="CZ276" s="53">
        <v>132.364</v>
      </c>
      <c r="DA276" s="12">
        <v>7.9729999999999999</v>
      </c>
      <c r="DB276" s="53" t="s">
        <v>264</v>
      </c>
      <c r="DC276" s="53" t="s">
        <v>264</v>
      </c>
      <c r="DD276" s="55"/>
      <c r="DE276" s="55"/>
      <c r="DF276" s="55"/>
      <c r="DG276" s="55"/>
      <c r="DH276" s="55"/>
      <c r="DI276" s="53">
        <v>533.4</v>
      </c>
      <c r="DJ276" s="53">
        <v>363.1</v>
      </c>
      <c r="DK276" s="55"/>
      <c r="DL276" s="55"/>
      <c r="DM276" s="53">
        <v>226.4</v>
      </c>
      <c r="DN276" s="55"/>
      <c r="DO276" s="53">
        <v>169.5</v>
      </c>
      <c r="DP276" s="53">
        <v>262.60000000000002</v>
      </c>
      <c r="DQ276" s="55"/>
      <c r="DR276" s="55"/>
      <c r="DS276" s="53">
        <v>2157.5700000000002</v>
      </c>
      <c r="DT276" s="53">
        <v>3894.9</v>
      </c>
      <c r="DU276" s="53">
        <v>-182.32999999999993</v>
      </c>
      <c r="DV276" s="53">
        <v>0</v>
      </c>
      <c r="DW276" s="55"/>
      <c r="DX276" s="55"/>
      <c r="DY276" s="55"/>
      <c r="DZ276" s="55"/>
      <c r="EA276" s="53">
        <v>314.8</v>
      </c>
      <c r="EB276" s="53">
        <v>199</v>
      </c>
      <c r="EC276" s="55"/>
      <c r="ED276" s="55"/>
      <c r="EE276" s="53">
        <v>94.6</v>
      </c>
      <c r="EF276" s="55"/>
      <c r="EG276" s="53">
        <v>133</v>
      </c>
      <c r="EH276" s="53">
        <v>177.5</v>
      </c>
      <c r="EI276" s="55"/>
      <c r="EJ276" s="55"/>
      <c r="EK276" s="55"/>
      <c r="EL276" s="53">
        <v>1962</v>
      </c>
      <c r="EM276" s="55"/>
      <c r="EN276" s="55"/>
      <c r="EO276" s="55"/>
      <c r="EP276" s="55"/>
      <c r="EQ276" s="53">
        <v>206.1</v>
      </c>
      <c r="ER276" s="53">
        <v>132.9</v>
      </c>
      <c r="ES276" s="55"/>
      <c r="ET276" s="55"/>
      <c r="EU276" s="53">
        <v>86.5</v>
      </c>
      <c r="EV276" s="55"/>
      <c r="EW276" s="53">
        <v>63.8</v>
      </c>
      <c r="EX276" s="53">
        <v>97.7</v>
      </c>
      <c r="EY276" s="55"/>
      <c r="EZ276" s="55"/>
      <c r="FA276" s="55"/>
      <c r="FB276" s="53">
        <v>1461.2</v>
      </c>
      <c r="FC276" s="55"/>
      <c r="FD276" s="55"/>
      <c r="FE276" s="55"/>
      <c r="FF276" s="55"/>
      <c r="FG276" s="53">
        <v>422</v>
      </c>
      <c r="FH276" s="53">
        <v>286.3</v>
      </c>
      <c r="FI276" s="55"/>
      <c r="FJ276" s="55"/>
      <c r="FK276" s="53">
        <v>182.4</v>
      </c>
      <c r="FL276" s="55"/>
      <c r="FM276" s="53">
        <v>136.4</v>
      </c>
      <c r="FN276" s="53">
        <v>207.2</v>
      </c>
      <c r="FO276" s="55"/>
      <c r="FP276" s="55"/>
      <c r="FQ276" s="55"/>
      <c r="FR276" s="53">
        <v>3094.3</v>
      </c>
      <c r="FS276" s="55"/>
      <c r="FT276" s="55"/>
      <c r="FU276" s="55"/>
      <c r="FV276" s="55"/>
      <c r="FW276" s="53">
        <v>347.6</v>
      </c>
      <c r="FX276" s="53" t="e">
        <v>#VALUE!</v>
      </c>
      <c r="FY276" s="55"/>
      <c r="FZ276" s="55"/>
      <c r="GA276" s="53">
        <v>57.9</v>
      </c>
      <c r="GB276" s="55"/>
      <c r="GC276" s="53">
        <v>54.8</v>
      </c>
      <c r="GD276" s="53" t="e">
        <v>#VALUE!</v>
      </c>
      <c r="GE276" s="55"/>
      <c r="GF276" s="55"/>
      <c r="GG276" s="55"/>
      <c r="GH276" s="53">
        <v>1329.4</v>
      </c>
      <c r="GI276" s="55"/>
      <c r="GJ276" s="55"/>
      <c r="GK276" s="55"/>
      <c r="GL276" s="55"/>
      <c r="GM276" s="53">
        <v>39.299999999999997</v>
      </c>
      <c r="GN276" s="53">
        <v>28.1</v>
      </c>
      <c r="GO276" s="55"/>
      <c r="GP276" s="55"/>
      <c r="GQ276" s="53">
        <v>14.8</v>
      </c>
      <c r="GR276" s="55"/>
      <c r="GS276" s="53" t="e">
        <v>#VALUE!</v>
      </c>
      <c r="GT276" s="53" t="e">
        <v>#VALUE!</v>
      </c>
      <c r="GU276" s="55"/>
      <c r="GV276" s="55"/>
      <c r="GW276" s="55"/>
      <c r="GX276" s="53">
        <v>202.4</v>
      </c>
      <c r="GY276" s="19">
        <v>0.97212915016752954</v>
      </c>
      <c r="GZ276" s="53">
        <v>1276.5999999999999</v>
      </c>
      <c r="HA276" s="53">
        <v>1313.2</v>
      </c>
      <c r="HB276" s="55"/>
      <c r="HC276" s="55"/>
      <c r="HD276" s="55"/>
      <c r="HE276" s="55"/>
      <c r="HF276" s="53">
        <v>1493.8</v>
      </c>
      <c r="HG276" s="53">
        <v>1447</v>
      </c>
      <c r="HH276" s="53">
        <v>698.8</v>
      </c>
      <c r="HI276" s="53">
        <v>84.9</v>
      </c>
      <c r="HJ276" s="53">
        <v>654</v>
      </c>
      <c r="HK276" s="53">
        <v>9.3000000000000007</v>
      </c>
      <c r="HL276" s="53">
        <v>46.8</v>
      </c>
      <c r="HM276" s="55"/>
      <c r="HN276" s="55"/>
      <c r="HO276" s="55"/>
      <c r="HP276" s="53" t="e">
        <v>#VALUE!</v>
      </c>
      <c r="HQ276" s="53">
        <v>5.2</v>
      </c>
      <c r="HR276" s="53">
        <v>7.4</v>
      </c>
      <c r="HS276" s="53" t="e">
        <v>#VALUE!</v>
      </c>
      <c r="HT276" s="53">
        <v>27.4</v>
      </c>
      <c r="HU276" s="55"/>
      <c r="HV276" s="55"/>
      <c r="HW276" s="53">
        <v>265.89999999999998</v>
      </c>
      <c r="HX276" s="53" t="e">
        <v>#VALUE!</v>
      </c>
      <c r="HY276" s="53">
        <v>265.89999999999998</v>
      </c>
      <c r="HZ276" s="53">
        <v>40.5</v>
      </c>
      <c r="IA276" s="53">
        <v>203</v>
      </c>
      <c r="IB276" s="53">
        <v>75</v>
      </c>
      <c r="IC276" s="53">
        <v>128</v>
      </c>
      <c r="ID276" s="53" t="e">
        <v>#VALUE!</v>
      </c>
      <c r="IE276" s="53" t="e">
        <v>#VALUE!</v>
      </c>
      <c r="IF276" s="53" t="e">
        <v>#VALUE!</v>
      </c>
      <c r="IG276" s="53" t="e">
        <v>#VALUE!</v>
      </c>
      <c r="IH276" s="55"/>
      <c r="II276" s="55"/>
      <c r="IJ276" s="55"/>
      <c r="IK276" s="55"/>
      <c r="IL276" s="55"/>
      <c r="IM276" s="55"/>
      <c r="IN276" s="53">
        <v>36.819000000000003</v>
      </c>
      <c r="IO276" s="53">
        <v>37.1</v>
      </c>
      <c r="IP276" s="53" t="e">
        <v>#VALUE!</v>
      </c>
      <c r="IQ276" s="53">
        <v>45</v>
      </c>
      <c r="IR276" s="53">
        <v>14.2</v>
      </c>
      <c r="IS276" s="53" t="e">
        <v>#VALUE!</v>
      </c>
      <c r="IT276" s="53">
        <v>29.3</v>
      </c>
      <c r="IU276" s="53" t="e">
        <v>#VALUE!</v>
      </c>
      <c r="IV276" s="53" t="e">
        <v>#VALUE!</v>
      </c>
      <c r="IY276" s="48">
        <f t="shared" si="14"/>
        <v>47.529846722637295</v>
      </c>
      <c r="IZ276" s="48">
        <f>IY276-'NOPA Crush'!J276</f>
        <v>3.9846722637292942E-2</v>
      </c>
      <c r="JB276" s="63">
        <f t="shared" si="12"/>
        <v>11.2547177077717</v>
      </c>
      <c r="JC276" s="64">
        <f>JB276-'NOPA Crush'!O276</f>
        <v>-0.10528229222829921</v>
      </c>
      <c r="JD276" s="65"/>
      <c r="JE276" s="67">
        <f t="shared" si="13"/>
        <v>2529.4</v>
      </c>
      <c r="JF276" s="68">
        <f>'NOPA Crush'!Q276/'Census Crush'!JE276</f>
        <v>0.84529137344824856</v>
      </c>
    </row>
    <row r="277" spans="1:266">
      <c r="A277" s="39">
        <v>37469</v>
      </c>
      <c r="B277" s="51">
        <v>3917.1</v>
      </c>
      <c r="C277" s="51">
        <v>1391.1</v>
      </c>
      <c r="D277" s="51">
        <v>195.1</v>
      </c>
      <c r="E277" s="51">
        <v>294.10000000000002</v>
      </c>
      <c r="F277" s="51">
        <v>30.8</v>
      </c>
      <c r="G277" s="51" t="s">
        <v>264</v>
      </c>
      <c r="H277" s="51" t="s">
        <v>264</v>
      </c>
      <c r="I277" s="51" t="s">
        <v>264</v>
      </c>
      <c r="J277" s="51" t="s">
        <v>264</v>
      </c>
      <c r="K277" s="51">
        <v>1474.8</v>
      </c>
      <c r="L277" s="49">
        <v>2521.712</v>
      </c>
      <c r="M277" s="51">
        <v>2338.2339999999999</v>
      </c>
      <c r="N277" s="51">
        <v>183.47800000000001</v>
      </c>
      <c r="O277" s="53">
        <v>60.2</v>
      </c>
      <c r="P277" s="51">
        <v>46.116999999999997</v>
      </c>
      <c r="Q277" s="51">
        <v>9.5830000000000002</v>
      </c>
      <c r="R277" s="51">
        <v>36.533999999999999</v>
      </c>
      <c r="S277" s="51"/>
      <c r="T277" s="51">
        <v>27.7</v>
      </c>
      <c r="U277" s="51" t="s">
        <v>264</v>
      </c>
      <c r="V277" s="51" t="s">
        <v>264</v>
      </c>
      <c r="W277" s="51" t="s">
        <v>264</v>
      </c>
      <c r="X277" s="51" t="s">
        <v>264</v>
      </c>
      <c r="Y277" s="51" t="s">
        <v>264</v>
      </c>
      <c r="Z277" s="49">
        <v>20.052</v>
      </c>
      <c r="AA277" s="51">
        <v>12.305999999999999</v>
      </c>
      <c r="AB277" s="51">
        <v>7.7460000000000004</v>
      </c>
      <c r="AC277" s="51" t="s">
        <v>264</v>
      </c>
      <c r="AD277" s="51" t="s">
        <v>264</v>
      </c>
      <c r="AE277" s="51"/>
      <c r="AF277" s="51">
        <v>54.055999999999997</v>
      </c>
      <c r="AG277" s="51">
        <v>33.774000000000001</v>
      </c>
      <c r="AH277" s="51">
        <v>20.282</v>
      </c>
      <c r="AI277" s="51">
        <v>217</v>
      </c>
      <c r="AJ277" s="55"/>
      <c r="AK277" s="55"/>
      <c r="AL277" s="51">
        <v>141.10000000000002</v>
      </c>
      <c r="AM277" s="51">
        <v>76.2</v>
      </c>
      <c r="AN277" s="51">
        <v>64.900000000000006</v>
      </c>
      <c r="AO277" s="51">
        <v>2881.8</v>
      </c>
      <c r="AP277" s="51">
        <v>222</v>
      </c>
      <c r="AQ277" s="51">
        <v>224.9</v>
      </c>
      <c r="AR277" s="51">
        <v>34.6</v>
      </c>
      <c r="AS277" s="51">
        <v>92.4</v>
      </c>
      <c r="AT277" s="51">
        <v>67.5</v>
      </c>
      <c r="AU277" s="51">
        <v>61.5</v>
      </c>
      <c r="AV277" s="51">
        <v>32.9</v>
      </c>
      <c r="AW277" s="51">
        <v>16.399999999999999</v>
      </c>
      <c r="AX277" s="51" t="s">
        <v>264</v>
      </c>
      <c r="AY277" s="51" t="s">
        <v>264</v>
      </c>
      <c r="AZ277" s="51" t="s">
        <v>264</v>
      </c>
      <c r="BA277" s="51" t="s">
        <v>264</v>
      </c>
      <c r="BB277" s="51" t="s">
        <v>264</v>
      </c>
      <c r="BC277" s="55"/>
      <c r="BD277" s="53">
        <v>186.89</v>
      </c>
      <c r="BE277" s="53">
        <v>24.853999999999999</v>
      </c>
      <c r="BF277" s="53">
        <v>68.2</v>
      </c>
      <c r="BG277" s="53">
        <v>8.6999999999999993</v>
      </c>
      <c r="BH277" s="53">
        <v>324</v>
      </c>
      <c r="BI277" s="55"/>
      <c r="BJ277" s="55"/>
      <c r="BK277" s="53">
        <v>220.1</v>
      </c>
      <c r="BL277" s="53">
        <v>0</v>
      </c>
      <c r="BM277" s="53">
        <v>544.1</v>
      </c>
      <c r="BN277" s="53">
        <v>257.7</v>
      </c>
      <c r="BO277" s="55"/>
      <c r="BP277" s="55"/>
      <c r="BQ277" s="53">
        <v>81.599999999999994</v>
      </c>
      <c r="BR277" s="53">
        <v>0</v>
      </c>
      <c r="BS277" s="53">
        <v>339.29999999999995</v>
      </c>
      <c r="BT277" s="52">
        <v>20.3</v>
      </c>
      <c r="BU277" s="53">
        <v>12.039</v>
      </c>
      <c r="BV277" s="51">
        <v>345.5</v>
      </c>
      <c r="BW277" s="51">
        <v>100.404</v>
      </c>
      <c r="BX277" s="51">
        <v>445.9</v>
      </c>
      <c r="BY277" s="51">
        <v>59.5</v>
      </c>
      <c r="BZ277" s="51">
        <v>10.733000000000001</v>
      </c>
      <c r="CA277" s="49">
        <v>70.233000000000004</v>
      </c>
      <c r="CB277" s="55"/>
      <c r="CC277" s="55"/>
      <c r="CD277" s="55"/>
      <c r="CE277" s="55"/>
      <c r="CF277" s="53">
        <v>103.4</v>
      </c>
      <c r="CG277" s="53">
        <v>155.1</v>
      </c>
      <c r="CH277" s="53">
        <v>16</v>
      </c>
      <c r="CI277" s="55"/>
      <c r="CJ277" s="55"/>
      <c r="CK277" s="51">
        <v>369.7</v>
      </c>
      <c r="CL277" s="51">
        <v>50.4</v>
      </c>
      <c r="CM277" s="51"/>
      <c r="CN277" s="53">
        <v>43.133000000000003</v>
      </c>
      <c r="CO277" s="52">
        <v>245.75400000000002</v>
      </c>
      <c r="CP277" s="53">
        <v>179.292</v>
      </c>
      <c r="CQ277" s="53">
        <v>66.462000000000003</v>
      </c>
      <c r="CR277" s="52" t="s">
        <v>264</v>
      </c>
      <c r="CS277" s="52">
        <v>12.778</v>
      </c>
      <c r="CT277" s="52"/>
      <c r="CU277" s="52"/>
      <c r="CV277" s="52">
        <v>71.346000000000004</v>
      </c>
      <c r="CW277" s="52" t="s">
        <v>264</v>
      </c>
      <c r="CX277" s="52" t="s">
        <v>264</v>
      </c>
      <c r="CY277" s="53" t="s">
        <v>264</v>
      </c>
      <c r="CZ277" s="53">
        <v>137.21600000000001</v>
      </c>
      <c r="DA277" s="12">
        <v>7.6</v>
      </c>
      <c r="DB277" s="53" t="s">
        <v>264</v>
      </c>
      <c r="DC277" s="53" t="s">
        <v>264</v>
      </c>
      <c r="DD277" s="55"/>
      <c r="DE277" s="55"/>
      <c r="DF277" s="55"/>
      <c r="DG277" s="55"/>
      <c r="DH277" s="55"/>
      <c r="DI277" s="53">
        <v>624.79999999999995</v>
      </c>
      <c r="DJ277" s="53">
        <v>288.39999999999998</v>
      </c>
      <c r="DK277" s="55"/>
      <c r="DL277" s="55"/>
      <c r="DM277" s="53">
        <v>280.3</v>
      </c>
      <c r="DN277" s="55"/>
      <c r="DO277" s="53">
        <v>241.9</v>
      </c>
      <c r="DP277" s="53">
        <v>274.89999999999998</v>
      </c>
      <c r="DQ277" s="55"/>
      <c r="DR277" s="55"/>
      <c r="DS277" s="53">
        <v>2058.895</v>
      </c>
      <c r="DT277" s="53">
        <v>3917.1</v>
      </c>
      <c r="DU277" s="53">
        <v>-147.90499999999975</v>
      </c>
      <c r="DV277" s="53">
        <v>0</v>
      </c>
      <c r="DW277" s="55"/>
      <c r="DX277" s="55"/>
      <c r="DY277" s="55"/>
      <c r="DZ277" s="55"/>
      <c r="EA277" s="53">
        <v>201.2</v>
      </c>
      <c r="EB277" s="53">
        <v>121.3</v>
      </c>
      <c r="EC277" s="55"/>
      <c r="ED277" s="55"/>
      <c r="EE277" s="53" t="e">
        <v>#VALUE!</v>
      </c>
      <c r="EF277" s="55"/>
      <c r="EG277" s="53">
        <v>85.6</v>
      </c>
      <c r="EH277" s="53">
        <v>130.6</v>
      </c>
      <c r="EI277" s="55"/>
      <c r="EJ277" s="55"/>
      <c r="EK277" s="55"/>
      <c r="EL277" s="53">
        <v>1391.1</v>
      </c>
      <c r="EM277" s="55"/>
      <c r="EN277" s="55"/>
      <c r="EO277" s="55"/>
      <c r="EP277" s="55"/>
      <c r="EQ277" s="53">
        <v>238.9</v>
      </c>
      <c r="ER277" s="53">
        <v>107.1</v>
      </c>
      <c r="ES277" s="55"/>
      <c r="ET277" s="55"/>
      <c r="EU277" s="53">
        <v>107.2</v>
      </c>
      <c r="EV277" s="55"/>
      <c r="EW277" s="53">
        <v>87.8</v>
      </c>
      <c r="EX277" s="53">
        <v>103.6</v>
      </c>
      <c r="EY277" s="55"/>
      <c r="EZ277" s="55"/>
      <c r="FA277" s="55"/>
      <c r="FB277" s="53">
        <v>1474.8</v>
      </c>
      <c r="FC277" s="55"/>
      <c r="FD277" s="55"/>
      <c r="FE277" s="55"/>
      <c r="FF277" s="55"/>
      <c r="FG277" s="53">
        <v>495</v>
      </c>
      <c r="FH277" s="53">
        <v>229.5</v>
      </c>
      <c r="FI277" s="55"/>
      <c r="FJ277" s="55"/>
      <c r="FK277" s="53">
        <v>224.6</v>
      </c>
      <c r="FL277" s="55"/>
      <c r="FM277" s="53">
        <v>190.3</v>
      </c>
      <c r="FN277" s="53">
        <v>220.7</v>
      </c>
      <c r="FO277" s="55"/>
      <c r="FP277" s="55"/>
      <c r="FQ277" s="55"/>
      <c r="FR277" s="53">
        <v>3115.1</v>
      </c>
      <c r="FS277" s="55"/>
      <c r="FT277" s="55"/>
      <c r="FU277" s="55"/>
      <c r="FV277" s="55"/>
      <c r="FW277" s="53">
        <v>396.2</v>
      </c>
      <c r="FX277" s="53" t="e">
        <v>#VALUE!</v>
      </c>
      <c r="FY277" s="55"/>
      <c r="FZ277" s="55"/>
      <c r="GA277" s="53" t="e">
        <v>#VALUE!</v>
      </c>
      <c r="GB277" s="55"/>
      <c r="GC277" s="53">
        <v>56</v>
      </c>
      <c r="GD277" s="53" t="e">
        <v>#VALUE!</v>
      </c>
      <c r="GE277" s="55"/>
      <c r="GF277" s="55"/>
      <c r="GG277" s="55"/>
      <c r="GH277" s="53">
        <v>1355.3</v>
      </c>
      <c r="GI277" s="55"/>
      <c r="GJ277" s="55"/>
      <c r="GK277" s="55"/>
      <c r="GL277" s="55"/>
      <c r="GM277" s="53">
        <v>54.9</v>
      </c>
      <c r="GN277" s="53">
        <v>17.899999999999999</v>
      </c>
      <c r="GO277" s="55"/>
      <c r="GP277" s="55"/>
      <c r="GQ277" s="53" t="e">
        <v>#VALUE!</v>
      </c>
      <c r="GR277" s="55"/>
      <c r="GS277" s="53" t="e">
        <v>#VALUE!</v>
      </c>
      <c r="GT277" s="53" t="e">
        <v>#VALUE!</v>
      </c>
      <c r="GU277" s="55"/>
      <c r="GV277" s="55"/>
      <c r="GW277" s="55"/>
      <c r="GX277" s="53">
        <v>256.5</v>
      </c>
      <c r="GY277" s="19">
        <v>0.97182648740993827</v>
      </c>
      <c r="GZ277" s="53">
        <v>1308.3699999999999</v>
      </c>
      <c r="HA277" s="53">
        <v>1346.3</v>
      </c>
      <c r="HB277" s="55"/>
      <c r="HC277" s="55"/>
      <c r="HD277" s="55"/>
      <c r="HE277" s="55"/>
      <c r="HF277" s="53">
        <v>1545.6</v>
      </c>
      <c r="HG277" s="53">
        <v>1504.2</v>
      </c>
      <c r="HH277" s="53">
        <v>731</v>
      </c>
      <c r="HI277" s="53">
        <v>100.4</v>
      </c>
      <c r="HJ277" s="53">
        <v>662.8</v>
      </c>
      <c r="HK277" s="53">
        <v>9.9</v>
      </c>
      <c r="HL277" s="53">
        <v>41.4</v>
      </c>
      <c r="HM277" s="55"/>
      <c r="HN277" s="55"/>
      <c r="HO277" s="55"/>
      <c r="HP277" s="53" t="e">
        <v>#VALUE!</v>
      </c>
      <c r="HQ277" s="53">
        <v>5.7</v>
      </c>
      <c r="HR277" s="53">
        <v>6.5</v>
      </c>
      <c r="HS277" s="53" t="e">
        <v>#VALUE!</v>
      </c>
      <c r="HT277" s="53">
        <v>22.3</v>
      </c>
      <c r="HU277" s="55"/>
      <c r="HV277" s="55"/>
      <c r="HW277" s="53">
        <v>276.8</v>
      </c>
      <c r="HX277" s="53" t="e">
        <v>#VALUE!</v>
      </c>
      <c r="HY277" s="53">
        <v>276.8</v>
      </c>
      <c r="HZ277" s="53">
        <v>52.3</v>
      </c>
      <c r="IA277" s="53">
        <v>202.1</v>
      </c>
      <c r="IB277" s="53">
        <v>75.8</v>
      </c>
      <c r="IC277" s="53">
        <v>126.2</v>
      </c>
      <c r="ID277" s="53" t="e">
        <v>#VALUE!</v>
      </c>
      <c r="IE277" s="53" t="e">
        <v>#VALUE!</v>
      </c>
      <c r="IF277" s="53" t="e">
        <v>#VALUE!</v>
      </c>
      <c r="IG277" s="53" t="e">
        <v>#VALUE!</v>
      </c>
      <c r="IH277" s="55"/>
      <c r="II277" s="55"/>
      <c r="IJ277" s="55"/>
      <c r="IK277" s="55"/>
      <c r="IL277" s="55"/>
      <c r="IM277" s="55"/>
      <c r="IN277" s="53">
        <v>52.719000000000001</v>
      </c>
      <c r="IO277" s="53">
        <v>53</v>
      </c>
      <c r="IP277" s="53" t="e">
        <v>#VALUE!</v>
      </c>
      <c r="IQ277" s="53">
        <v>46.5</v>
      </c>
      <c r="IR277" s="53">
        <v>17.399999999999999</v>
      </c>
      <c r="IS277" s="53" t="e">
        <v>#VALUE!</v>
      </c>
      <c r="IT277" s="53">
        <v>27.4</v>
      </c>
      <c r="IU277" s="53" t="e">
        <v>#VALUE!</v>
      </c>
      <c r="IV277" s="53" t="e">
        <v>#VALUE!</v>
      </c>
      <c r="IY277" s="48">
        <f t="shared" si="14"/>
        <v>47.586735084628941</v>
      </c>
      <c r="IZ277" s="48">
        <f>IY277-'NOPA Crush'!J277</f>
        <v>6.6735084628938068E-2</v>
      </c>
      <c r="JB277" s="63">
        <f t="shared" si="12"/>
        <v>11.295090755916368</v>
      </c>
      <c r="JC277" s="64">
        <f>JB277-'NOPA Crush'!O277</f>
        <v>-7.4909244083631421E-2</v>
      </c>
      <c r="JD277" s="65"/>
      <c r="JE277" s="67">
        <f t="shared" si="13"/>
        <v>2521.712</v>
      </c>
      <c r="JF277" s="68">
        <f>'NOPA Crush'!Q277/'Census Crush'!JE277</f>
        <v>0.81305597149872788</v>
      </c>
    </row>
    <row r="278" spans="1:266">
      <c r="A278" s="39">
        <v>37500</v>
      </c>
      <c r="B278" s="51">
        <v>3670.3</v>
      </c>
      <c r="C278" s="51">
        <v>1088.5999999999999</v>
      </c>
      <c r="D278" s="51">
        <v>131.4</v>
      </c>
      <c r="E278" s="51">
        <v>330</v>
      </c>
      <c r="F278" s="51">
        <v>30.1</v>
      </c>
      <c r="G278" s="51" t="s">
        <v>264</v>
      </c>
      <c r="H278" s="51" t="s">
        <v>264</v>
      </c>
      <c r="I278" s="51" t="s">
        <v>264</v>
      </c>
      <c r="J278" s="51" t="s">
        <v>264</v>
      </c>
      <c r="K278" s="51">
        <v>1413.8</v>
      </c>
      <c r="L278" s="49">
        <v>2358.6</v>
      </c>
      <c r="M278" s="51">
        <v>2176.1</v>
      </c>
      <c r="N278" s="51">
        <v>182.5</v>
      </c>
      <c r="O278" s="53">
        <v>53.7</v>
      </c>
      <c r="P278" s="51">
        <v>39.453000000000003</v>
      </c>
      <c r="Q278" s="51">
        <v>9.2530000000000001</v>
      </c>
      <c r="R278" s="51">
        <v>30.2</v>
      </c>
      <c r="S278" s="51"/>
      <c r="T278" s="51">
        <v>27.2</v>
      </c>
      <c r="U278" s="51" t="s">
        <v>264</v>
      </c>
      <c r="V278" s="51" t="s">
        <v>264</v>
      </c>
      <c r="W278" s="51" t="s">
        <v>264</v>
      </c>
      <c r="X278" s="51" t="s">
        <v>264</v>
      </c>
      <c r="Y278" s="51">
        <v>11.849</v>
      </c>
      <c r="Z278" s="49">
        <v>22.811999999999998</v>
      </c>
      <c r="AA278" s="51">
        <v>14.779</v>
      </c>
      <c r="AB278" s="51">
        <v>8.0329999999999995</v>
      </c>
      <c r="AC278" s="51" t="s">
        <v>264</v>
      </c>
      <c r="AD278" s="51" t="s">
        <v>264</v>
      </c>
      <c r="AE278" s="51"/>
      <c r="AF278" s="51">
        <v>52.41</v>
      </c>
      <c r="AG278" s="51">
        <v>33.299999999999997</v>
      </c>
      <c r="AH278" s="51">
        <v>19.11</v>
      </c>
      <c r="AI278" s="51">
        <v>211</v>
      </c>
      <c r="AJ278" s="55"/>
      <c r="AK278" s="55"/>
      <c r="AL278" s="51">
        <v>104.065</v>
      </c>
      <c r="AM278" s="51">
        <v>52.744999999999997</v>
      </c>
      <c r="AN278" s="51">
        <v>51.32</v>
      </c>
      <c r="AO278" s="51">
        <v>2692.4</v>
      </c>
      <c r="AP278" s="51">
        <v>208.5</v>
      </c>
      <c r="AQ278" s="51">
        <v>218.9</v>
      </c>
      <c r="AR278" s="51">
        <v>31.5</v>
      </c>
      <c r="AS278" s="51">
        <v>79.3</v>
      </c>
      <c r="AT278" s="51">
        <v>62.4</v>
      </c>
      <c r="AU278" s="51">
        <v>48.5</v>
      </c>
      <c r="AV278" s="51">
        <v>24.5</v>
      </c>
      <c r="AW278" s="51">
        <v>16.3</v>
      </c>
      <c r="AX278" s="51" t="s">
        <v>264</v>
      </c>
      <c r="AY278" s="51" t="s">
        <v>264</v>
      </c>
      <c r="AZ278" s="51" t="s">
        <v>264</v>
      </c>
      <c r="BA278" s="51" t="s">
        <v>264</v>
      </c>
      <c r="BB278" s="51" t="s">
        <v>264</v>
      </c>
      <c r="BC278" s="55"/>
      <c r="BD278" s="53">
        <v>163.054</v>
      </c>
      <c r="BE278" s="53">
        <v>24.417000000000002</v>
      </c>
      <c r="BF278" s="53">
        <v>63.1</v>
      </c>
      <c r="BG278" s="53">
        <v>7.7</v>
      </c>
      <c r="BH278" s="53">
        <v>295.2</v>
      </c>
      <c r="BI278" s="55"/>
      <c r="BJ278" s="55"/>
      <c r="BK278" s="53">
        <v>208.9</v>
      </c>
      <c r="BL278" s="53">
        <v>0</v>
      </c>
      <c r="BM278" s="53">
        <v>504</v>
      </c>
      <c r="BN278" s="53">
        <v>257.39999999999998</v>
      </c>
      <c r="BO278" s="55"/>
      <c r="BP278" s="55"/>
      <c r="BQ278" s="53">
        <v>71.900000000000006</v>
      </c>
      <c r="BR278" s="53">
        <v>0</v>
      </c>
      <c r="BS278" s="53">
        <v>329.29999999999995</v>
      </c>
      <c r="BT278" s="52">
        <v>20.3</v>
      </c>
      <c r="BU278" s="53">
        <v>10.488</v>
      </c>
      <c r="BV278" s="51">
        <v>319</v>
      </c>
      <c r="BW278" s="51">
        <v>91.2</v>
      </c>
      <c r="BX278" s="51">
        <v>410.2</v>
      </c>
      <c r="BY278" s="51">
        <v>56.3</v>
      </c>
      <c r="BZ278" s="51">
        <v>11.914999999999999</v>
      </c>
      <c r="CA278" s="49">
        <v>68.215000000000003</v>
      </c>
      <c r="CB278" s="55"/>
      <c r="CC278" s="55"/>
      <c r="CD278" s="55"/>
      <c r="CE278" s="55"/>
      <c r="CF278" s="53">
        <v>91.412999999999997</v>
      </c>
      <c r="CG278" s="53">
        <v>160.19999999999999</v>
      </c>
      <c r="CH278" s="53">
        <v>13.3</v>
      </c>
      <c r="CI278" s="55"/>
      <c r="CJ278" s="55"/>
      <c r="CK278" s="51">
        <v>337.5</v>
      </c>
      <c r="CL278" s="51">
        <v>51.6</v>
      </c>
      <c r="CM278" s="51"/>
      <c r="CN278" s="53">
        <v>33.173000000000002</v>
      </c>
      <c r="CO278" s="52">
        <v>226.50299999999999</v>
      </c>
      <c r="CP278" s="53">
        <v>153.28700000000001</v>
      </c>
      <c r="CQ278" s="53">
        <v>73.215999999999994</v>
      </c>
      <c r="CR278" s="52" t="s">
        <v>264</v>
      </c>
      <c r="CS278" s="52">
        <v>21.837</v>
      </c>
      <c r="CT278" s="52"/>
      <c r="CU278" s="52"/>
      <c r="CV278" s="52">
        <v>53.118000000000002</v>
      </c>
      <c r="CW278" s="52" t="s">
        <v>264</v>
      </c>
      <c r="CX278" s="52" t="s">
        <v>264</v>
      </c>
      <c r="CY278" s="53" t="s">
        <v>264</v>
      </c>
      <c r="CZ278" s="53">
        <v>92.572000000000003</v>
      </c>
      <c r="DA278" s="12">
        <v>8.2119999999999997</v>
      </c>
      <c r="DB278" s="53" t="s">
        <v>264</v>
      </c>
      <c r="DC278" s="53" t="s">
        <v>264</v>
      </c>
      <c r="DD278" s="55"/>
      <c r="DE278" s="55"/>
      <c r="DF278" s="55"/>
      <c r="DG278" s="55"/>
      <c r="DH278" s="55"/>
      <c r="DI278" s="53">
        <v>567.1</v>
      </c>
      <c r="DJ278" s="53">
        <v>302.2</v>
      </c>
      <c r="DK278" s="55"/>
      <c r="DL278" s="55"/>
      <c r="DM278" s="53">
        <v>258.8</v>
      </c>
      <c r="DN278" s="55"/>
      <c r="DO278" s="53">
        <v>219.3</v>
      </c>
      <c r="DP278" s="53">
        <v>279.39999999999998</v>
      </c>
      <c r="DQ278" s="55"/>
      <c r="DR278" s="55"/>
      <c r="DS278" s="53">
        <v>1882.65</v>
      </c>
      <c r="DT278" s="53">
        <v>3670.3</v>
      </c>
      <c r="DU278" s="53">
        <v>-160.85000000000036</v>
      </c>
      <c r="DV278" s="53">
        <v>0</v>
      </c>
      <c r="DW278" s="55"/>
      <c r="DX278" s="55"/>
      <c r="DY278" s="55"/>
      <c r="DZ278" s="55"/>
      <c r="EA278" s="53">
        <v>182.9</v>
      </c>
      <c r="EB278" s="53">
        <v>118.1</v>
      </c>
      <c r="EC278" s="55"/>
      <c r="ED278" s="55"/>
      <c r="EE278" s="53" t="e">
        <v>#VALUE!</v>
      </c>
      <c r="EF278" s="55"/>
      <c r="EG278" s="53">
        <v>54.5</v>
      </c>
      <c r="EH278" s="53">
        <v>84.3</v>
      </c>
      <c r="EI278" s="55"/>
      <c r="EJ278" s="55"/>
      <c r="EK278" s="55"/>
      <c r="EL278" s="53">
        <v>1088.5999999999999</v>
      </c>
      <c r="EM278" s="55"/>
      <c r="EN278" s="55"/>
      <c r="EO278" s="55"/>
      <c r="EP278" s="55"/>
      <c r="EQ278" s="53">
        <v>212.6</v>
      </c>
      <c r="ER278" s="53">
        <v>114.7</v>
      </c>
      <c r="ES278" s="55"/>
      <c r="ET278" s="55"/>
      <c r="EU278" s="53">
        <v>102.2</v>
      </c>
      <c r="EV278" s="55"/>
      <c r="EW278" s="53">
        <v>82.9</v>
      </c>
      <c r="EX278" s="53">
        <v>107.8</v>
      </c>
      <c r="EY278" s="55"/>
      <c r="EZ278" s="55"/>
      <c r="FA278" s="55"/>
      <c r="FB278" s="53">
        <v>1413.8</v>
      </c>
      <c r="FC278" s="55"/>
      <c r="FD278" s="55"/>
      <c r="FE278" s="55"/>
      <c r="FF278" s="55"/>
      <c r="FG278" s="53">
        <v>453.1</v>
      </c>
      <c r="FH278" s="53">
        <v>238</v>
      </c>
      <c r="FI278" s="55"/>
      <c r="FJ278" s="55"/>
      <c r="FK278" s="53">
        <v>209.1</v>
      </c>
      <c r="FL278" s="55"/>
      <c r="FM278" s="53">
        <v>122.6</v>
      </c>
      <c r="FN278" s="53">
        <v>224.3</v>
      </c>
      <c r="FO278" s="55"/>
      <c r="FP278" s="55"/>
      <c r="FQ278" s="55"/>
      <c r="FR278" s="53">
        <v>2918.9</v>
      </c>
      <c r="FS278" s="55"/>
      <c r="FT278" s="55"/>
      <c r="FU278" s="55"/>
      <c r="FV278" s="55"/>
      <c r="FW278" s="53">
        <v>365.4</v>
      </c>
      <c r="FX278" s="53" t="e">
        <v>#VALUE!</v>
      </c>
      <c r="FY278" s="55"/>
      <c r="FZ278" s="55"/>
      <c r="GA278" s="53" t="e">
        <v>#VALUE!</v>
      </c>
      <c r="GB278" s="55"/>
      <c r="GC278" s="53">
        <v>47.4</v>
      </c>
      <c r="GD278" s="53" t="e">
        <v>#VALUE!</v>
      </c>
      <c r="GE278" s="55"/>
      <c r="GF278" s="55"/>
      <c r="GG278" s="55"/>
      <c r="GH278" s="53">
        <v>1244.5999999999999</v>
      </c>
      <c r="GI278" s="55"/>
      <c r="GJ278" s="55"/>
      <c r="GK278" s="55"/>
      <c r="GL278" s="55"/>
      <c r="GM278" s="53">
        <v>47.3</v>
      </c>
      <c r="GN278" s="53">
        <v>19.8</v>
      </c>
      <c r="GO278" s="55"/>
      <c r="GP278" s="55"/>
      <c r="GQ278" s="53" t="e">
        <v>#VALUE!</v>
      </c>
      <c r="GR278" s="55"/>
      <c r="GS278" s="53" t="e">
        <v>#VALUE!</v>
      </c>
      <c r="GT278" s="53" t="e">
        <v>#VALUE!</v>
      </c>
      <c r="GU278" s="55"/>
      <c r="GV278" s="55"/>
      <c r="GW278" s="55"/>
      <c r="GX278" s="53">
        <v>240</v>
      </c>
      <c r="GY278" s="19">
        <v>0.97653222333859624</v>
      </c>
      <c r="GZ278" s="53">
        <v>1360.7</v>
      </c>
      <c r="HA278" s="53">
        <v>1393.4</v>
      </c>
      <c r="HB278" s="55"/>
      <c r="HC278" s="55"/>
      <c r="HD278" s="55"/>
      <c r="HE278" s="55"/>
      <c r="HF278" s="53">
        <v>1525.3</v>
      </c>
      <c r="HG278" s="53">
        <v>1482.6</v>
      </c>
      <c r="HH278" s="53">
        <v>727.9</v>
      </c>
      <c r="HI278" s="53">
        <v>98.8</v>
      </c>
      <c r="HJ278" s="53">
        <v>645.29999999999995</v>
      </c>
      <c r="HK278" s="53">
        <v>10.6</v>
      </c>
      <c r="HL278" s="53">
        <v>42.7</v>
      </c>
      <c r="HM278" s="55"/>
      <c r="HN278" s="55"/>
      <c r="HO278" s="55"/>
      <c r="HP278" s="53" t="e">
        <v>#VALUE!</v>
      </c>
      <c r="HQ278" s="53">
        <v>5.8</v>
      </c>
      <c r="HR278" s="53">
        <v>5.4</v>
      </c>
      <c r="HS278" s="53" t="e">
        <v>#VALUE!</v>
      </c>
      <c r="HT278" s="53">
        <v>26.3</v>
      </c>
      <c r="HU278" s="55"/>
      <c r="HV278" s="55"/>
      <c r="HW278" s="53">
        <v>257.7</v>
      </c>
      <c r="HX278" s="53" t="e">
        <v>#VALUE!</v>
      </c>
      <c r="HY278" s="53">
        <v>257.7</v>
      </c>
      <c r="HZ278" s="53">
        <v>52.5</v>
      </c>
      <c r="IA278" s="53">
        <v>183</v>
      </c>
      <c r="IB278" s="53">
        <v>74.900000000000006</v>
      </c>
      <c r="IC278" s="53">
        <v>108.1</v>
      </c>
      <c r="ID278" s="53" t="e">
        <v>#VALUE!</v>
      </c>
      <c r="IE278" s="53" t="e">
        <v>#VALUE!</v>
      </c>
      <c r="IF278" s="53" t="e">
        <v>#VALUE!</v>
      </c>
      <c r="IG278" s="53" t="e">
        <v>#VALUE!</v>
      </c>
      <c r="IH278" s="55"/>
      <c r="II278" s="55"/>
      <c r="IJ278" s="55"/>
      <c r="IK278" s="55"/>
      <c r="IL278" s="55"/>
      <c r="IM278" s="55"/>
      <c r="IN278" s="53">
        <v>47.134</v>
      </c>
      <c r="IO278" s="53">
        <v>47.5</v>
      </c>
      <c r="IP278" s="53" t="e">
        <v>#VALUE!</v>
      </c>
      <c r="IQ278" s="53">
        <v>46.2</v>
      </c>
      <c r="IR278" s="53">
        <v>16.8</v>
      </c>
      <c r="IS278" s="53" t="e">
        <v>#VALUE!</v>
      </c>
      <c r="IT278" s="53">
        <v>27.5</v>
      </c>
      <c r="IU278" s="53" t="e">
        <v>#VALUE!</v>
      </c>
      <c r="IV278" s="53" t="e">
        <v>#VALUE!</v>
      </c>
      <c r="IY278" s="48">
        <f t="shared" si="14"/>
        <v>47.592294907773208</v>
      </c>
      <c r="IZ278" s="48">
        <f>IY278-'NOPA Crush'!J278</f>
        <v>-0.19770509222679067</v>
      </c>
      <c r="JB278" s="63">
        <f t="shared" si="12"/>
        <v>11.556003596436259</v>
      </c>
      <c r="JC278" s="64">
        <f>JB278-'NOPA Crush'!O278</f>
        <v>6.600359643625886E-2</v>
      </c>
      <c r="JD278" s="65"/>
      <c r="JE278" s="67">
        <f t="shared" si="13"/>
        <v>2358.6</v>
      </c>
      <c r="JF278" s="68">
        <f>'NOPA Crush'!Q278/'Census Crush'!JE278</f>
        <v>0.80608581361824816</v>
      </c>
    </row>
    <row r="279" spans="1:266">
      <c r="A279" s="39">
        <v>37530</v>
      </c>
      <c r="B279" s="51">
        <v>4484</v>
      </c>
      <c r="C279" s="51">
        <v>3436</v>
      </c>
      <c r="D279" s="51">
        <v>207.8</v>
      </c>
      <c r="E279" s="51">
        <v>881.7</v>
      </c>
      <c r="F279" s="51">
        <v>30.6</v>
      </c>
      <c r="G279" s="51" t="s">
        <v>264</v>
      </c>
      <c r="H279" s="51" t="s">
        <v>264</v>
      </c>
      <c r="I279" s="51" t="s">
        <v>264</v>
      </c>
      <c r="J279" s="51" t="s">
        <v>264</v>
      </c>
      <c r="K279" s="51">
        <v>1692.6</v>
      </c>
      <c r="L279" s="49">
        <v>2280.1</v>
      </c>
      <c r="M279" s="51">
        <v>2098</v>
      </c>
      <c r="N279" s="51">
        <v>182.1</v>
      </c>
      <c r="O279" s="53">
        <v>62.8</v>
      </c>
      <c r="P279" s="51">
        <v>32.022999999999996</v>
      </c>
      <c r="Q279" s="51">
        <v>4.8230000000000004</v>
      </c>
      <c r="R279" s="51">
        <v>27.2</v>
      </c>
      <c r="S279" s="51"/>
      <c r="T279" s="51">
        <v>26.5</v>
      </c>
      <c r="U279" s="51">
        <v>53.844999999999999</v>
      </c>
      <c r="V279" s="51">
        <v>51.216999999999999</v>
      </c>
      <c r="W279" s="51">
        <v>2.6280000000000001</v>
      </c>
      <c r="X279" s="51" t="s">
        <v>264</v>
      </c>
      <c r="Y279" s="51">
        <v>12.815</v>
      </c>
      <c r="Z279" s="49">
        <v>13.05</v>
      </c>
      <c r="AA279" s="51">
        <v>9.7520000000000007</v>
      </c>
      <c r="AB279" s="51">
        <v>3.298</v>
      </c>
      <c r="AC279" s="51" t="s">
        <v>264</v>
      </c>
      <c r="AD279" s="51" t="s">
        <v>264</v>
      </c>
      <c r="AE279" s="51"/>
      <c r="AF279" s="51">
        <v>42.594999999999999</v>
      </c>
      <c r="AG279" s="51">
        <v>19.751999999999999</v>
      </c>
      <c r="AH279" s="51">
        <v>22.843</v>
      </c>
      <c r="AI279" s="51">
        <v>218.6</v>
      </c>
      <c r="AJ279" s="55"/>
      <c r="AK279" s="55"/>
      <c r="AL279" s="51">
        <v>123.565</v>
      </c>
      <c r="AM279" s="51">
        <v>70.665000000000006</v>
      </c>
      <c r="AN279" s="51">
        <v>52.9</v>
      </c>
      <c r="AO279" s="51">
        <v>3258.1</v>
      </c>
      <c r="AP279" s="51">
        <v>257.60000000000002</v>
      </c>
      <c r="AQ279" s="51">
        <v>241.3</v>
      </c>
      <c r="AR279" s="51">
        <v>27.6</v>
      </c>
      <c r="AS279" s="51">
        <v>95.5</v>
      </c>
      <c r="AT279" s="51">
        <v>50.7</v>
      </c>
      <c r="AU279" s="51">
        <v>60.2</v>
      </c>
      <c r="AV279" s="51">
        <v>17.100000000000001</v>
      </c>
      <c r="AW279" s="51">
        <v>16.600000000000001</v>
      </c>
      <c r="AX279" s="51">
        <v>1.4</v>
      </c>
      <c r="AY279" s="51" t="s">
        <v>264</v>
      </c>
      <c r="AZ279" s="51" t="s">
        <v>264</v>
      </c>
      <c r="BA279" s="51" t="s">
        <v>264</v>
      </c>
      <c r="BB279" s="51" t="s">
        <v>264</v>
      </c>
      <c r="BC279" s="55"/>
      <c r="BD279" s="53">
        <v>194.54900000000001</v>
      </c>
      <c r="BE279" s="53">
        <v>24.268999999999998</v>
      </c>
      <c r="BF279" s="53">
        <v>70.2</v>
      </c>
      <c r="BG279" s="53">
        <v>6.1</v>
      </c>
      <c r="BH279" s="53">
        <v>335.4</v>
      </c>
      <c r="BI279" s="55"/>
      <c r="BJ279" s="55"/>
      <c r="BK279" s="53">
        <v>222.8</v>
      </c>
      <c r="BL279" s="53">
        <v>0</v>
      </c>
      <c r="BM279" s="53">
        <v>558.20000000000005</v>
      </c>
      <c r="BN279" s="53">
        <v>226.8</v>
      </c>
      <c r="BO279" s="55"/>
      <c r="BP279" s="55"/>
      <c r="BQ279" s="53">
        <v>76.900000000000006</v>
      </c>
      <c r="BR279" s="53">
        <v>0</v>
      </c>
      <c r="BS279" s="53">
        <v>303.70000000000005</v>
      </c>
      <c r="BT279" s="52">
        <v>24.4</v>
      </c>
      <c r="BU279" s="53">
        <v>14.574</v>
      </c>
      <c r="BV279" s="51">
        <v>360.8</v>
      </c>
      <c r="BW279" s="51">
        <v>102.73699999999999</v>
      </c>
      <c r="BX279" s="51">
        <v>463.5</v>
      </c>
      <c r="BY279" s="51">
        <v>58.8</v>
      </c>
      <c r="BZ279" s="51">
        <v>10.82</v>
      </c>
      <c r="CA279" s="49">
        <v>69.62</v>
      </c>
      <c r="CB279" s="55"/>
      <c r="CC279" s="55"/>
      <c r="CD279" s="55"/>
      <c r="CE279" s="55"/>
      <c r="CF279" s="53">
        <v>102.7</v>
      </c>
      <c r="CG279" s="53">
        <v>154.19999999999999</v>
      </c>
      <c r="CH279" s="53">
        <v>16.5</v>
      </c>
      <c r="CI279" s="55"/>
      <c r="CJ279" s="55"/>
      <c r="CK279" s="51">
        <v>349.8</v>
      </c>
      <c r="CL279" s="51">
        <v>50.7</v>
      </c>
      <c r="CM279" s="51"/>
      <c r="CN279" s="53">
        <v>44.784999999999997</v>
      </c>
      <c r="CO279" s="52">
        <v>273.81200000000001</v>
      </c>
      <c r="CP279" s="53">
        <v>192.38200000000001</v>
      </c>
      <c r="CQ279" s="53">
        <v>81.430000000000007</v>
      </c>
      <c r="CR279" s="52" t="s">
        <v>264</v>
      </c>
      <c r="CS279" s="52">
        <v>30.1</v>
      </c>
      <c r="CT279" s="52"/>
      <c r="CU279" s="52"/>
      <c r="CV279" s="52">
        <v>52.52</v>
      </c>
      <c r="CW279" s="52" t="s">
        <v>264</v>
      </c>
      <c r="CX279" s="52" t="s">
        <v>264</v>
      </c>
      <c r="CY279" s="53" t="s">
        <v>264</v>
      </c>
      <c r="CZ279" s="53">
        <v>106.062</v>
      </c>
      <c r="DA279" s="52">
        <v>6.1509999999999998</v>
      </c>
      <c r="DB279" s="53">
        <v>5.6680000000000001</v>
      </c>
      <c r="DC279" s="53">
        <v>0.48299999999999998</v>
      </c>
      <c r="DD279" s="55"/>
      <c r="DE279" s="55"/>
      <c r="DF279" s="55"/>
      <c r="DG279" s="55"/>
      <c r="DH279" s="55"/>
      <c r="DI279" s="53">
        <v>706.3</v>
      </c>
      <c r="DJ279" s="53">
        <v>399.5</v>
      </c>
      <c r="DK279" s="55"/>
      <c r="DL279" s="55"/>
      <c r="DM279" s="53">
        <v>270.39999999999998</v>
      </c>
      <c r="DN279" s="55"/>
      <c r="DO279" s="53">
        <v>264.2</v>
      </c>
      <c r="DP279" s="53">
        <v>320.5</v>
      </c>
      <c r="DQ279" s="55"/>
      <c r="DR279" s="55"/>
      <c r="DS279" s="53">
        <v>2307.5529999999999</v>
      </c>
      <c r="DT279" s="53">
        <v>4484</v>
      </c>
      <c r="DU279" s="53">
        <v>-215.54700000000048</v>
      </c>
      <c r="DV279" s="53">
        <v>0</v>
      </c>
      <c r="DW279" s="55"/>
      <c r="DX279" s="55"/>
      <c r="DY279" s="55"/>
      <c r="DZ279" s="55"/>
      <c r="EA279" s="53">
        <v>763.5</v>
      </c>
      <c r="EB279" s="53">
        <v>693.5</v>
      </c>
      <c r="EC279" s="55"/>
      <c r="ED279" s="55"/>
      <c r="EE279" s="53" t="e">
        <v>#VALUE!</v>
      </c>
      <c r="EF279" s="55"/>
      <c r="EG279" s="53">
        <v>183.1</v>
      </c>
      <c r="EH279" s="53">
        <v>244</v>
      </c>
      <c r="EI279" s="55"/>
      <c r="EJ279" s="55"/>
      <c r="EK279" s="55"/>
      <c r="EL279" s="53">
        <v>3436</v>
      </c>
      <c r="EM279" s="55"/>
      <c r="EN279" s="55"/>
      <c r="EO279" s="55"/>
      <c r="EP279" s="55"/>
      <c r="EQ279" s="53">
        <v>272.10000000000002</v>
      </c>
      <c r="ER279" s="53">
        <v>148.19999999999999</v>
      </c>
      <c r="ES279" s="55"/>
      <c r="ET279" s="55"/>
      <c r="EU279" s="53">
        <v>103.1</v>
      </c>
      <c r="EV279" s="55"/>
      <c r="EW279" s="53">
        <v>101.3</v>
      </c>
      <c r="EX279" s="53">
        <v>121.5</v>
      </c>
      <c r="EY279" s="55"/>
      <c r="EZ279" s="55"/>
      <c r="FA279" s="55"/>
      <c r="FB279" s="53">
        <v>1692.6</v>
      </c>
      <c r="FC279" s="55"/>
      <c r="FD279" s="55"/>
      <c r="FE279" s="55"/>
      <c r="FF279" s="55"/>
      <c r="FG279" s="53">
        <v>551</v>
      </c>
      <c r="FH279" s="53">
        <v>310</v>
      </c>
      <c r="FI279" s="55"/>
      <c r="FJ279" s="55"/>
      <c r="FK279" s="53">
        <v>213.3</v>
      </c>
      <c r="FL279" s="55"/>
      <c r="FM279" s="53">
        <v>208.2</v>
      </c>
      <c r="FN279" s="53">
        <v>249.8</v>
      </c>
      <c r="FO279" s="55"/>
      <c r="FP279" s="55"/>
      <c r="FQ279" s="55"/>
      <c r="FR279" s="53">
        <v>3508.4</v>
      </c>
      <c r="FS279" s="55"/>
      <c r="FT279" s="55"/>
      <c r="FU279" s="55"/>
      <c r="FV279" s="55"/>
      <c r="FW279" s="53">
        <v>373.8</v>
      </c>
      <c r="FX279" s="53" t="e">
        <v>#VALUE!</v>
      </c>
      <c r="FY279" s="55"/>
      <c r="FZ279" s="55"/>
      <c r="GA279" s="53">
        <v>52.1</v>
      </c>
      <c r="GB279" s="55"/>
      <c r="GC279" s="53">
        <v>30</v>
      </c>
      <c r="GD279" s="53" t="e">
        <v>#VALUE!</v>
      </c>
      <c r="GE279" s="55"/>
      <c r="GF279" s="55"/>
      <c r="GG279" s="55"/>
      <c r="GH279" s="53">
        <v>1256.2</v>
      </c>
      <c r="GI279" s="55"/>
      <c r="GJ279" s="55"/>
      <c r="GK279" s="55"/>
      <c r="GL279" s="55"/>
      <c r="GM279" s="53">
        <v>93.3</v>
      </c>
      <c r="GN279" s="53" t="e">
        <v>#VALUE!</v>
      </c>
      <c r="GO279" s="55"/>
      <c r="GP279" s="55"/>
      <c r="GQ279" s="53" t="e">
        <v>#VALUE!</v>
      </c>
      <c r="GR279" s="55"/>
      <c r="GS279" s="53">
        <v>7.6</v>
      </c>
      <c r="GT279" s="53" t="e">
        <v>#VALUE!</v>
      </c>
      <c r="GU279" s="55"/>
      <c r="GV279" s="55"/>
      <c r="GW279" s="55"/>
      <c r="GX279" s="53">
        <v>285.2</v>
      </c>
      <c r="GY279" s="19">
        <v>0.97311972114224432</v>
      </c>
      <c r="GZ279" s="53">
        <v>1451.7</v>
      </c>
      <c r="HA279" s="53">
        <v>1491.8</v>
      </c>
      <c r="HB279" s="18">
        <v>-48.268178434200081</v>
      </c>
      <c r="HC279" s="55"/>
      <c r="HD279" s="18">
        <v>1661.0318215657999</v>
      </c>
      <c r="HE279" s="55"/>
      <c r="HF279" s="53">
        <v>1709.3</v>
      </c>
      <c r="HG279" s="53">
        <v>1663.7</v>
      </c>
      <c r="HH279" s="53">
        <v>818.8</v>
      </c>
      <c r="HI279" s="53">
        <v>126.9</v>
      </c>
      <c r="HJ279" s="53">
        <v>707</v>
      </c>
      <c r="HK279" s="53">
        <v>10.9</v>
      </c>
      <c r="HL279" s="53">
        <v>45.6</v>
      </c>
      <c r="HM279" s="55"/>
      <c r="HN279" s="55"/>
      <c r="HO279" s="55"/>
      <c r="HP279" s="53" t="e">
        <v>#VALUE!</v>
      </c>
      <c r="HQ279" s="53">
        <v>4.5999999999999996</v>
      </c>
      <c r="HR279" s="53">
        <v>6.2</v>
      </c>
      <c r="HS279" s="53" t="e">
        <v>#VALUE!</v>
      </c>
      <c r="HT279" s="53">
        <v>28.9</v>
      </c>
      <c r="HU279" s="55"/>
      <c r="HV279" s="55"/>
      <c r="HW279" s="53">
        <v>295</v>
      </c>
      <c r="HX279" s="53" t="e">
        <v>#VALUE!</v>
      </c>
      <c r="HY279" s="53">
        <v>295</v>
      </c>
      <c r="HZ279" s="53">
        <v>54.8</v>
      </c>
      <c r="IA279" s="53">
        <v>216.9</v>
      </c>
      <c r="IB279" s="53">
        <v>80.599999999999994</v>
      </c>
      <c r="IC279" s="53">
        <v>136.30000000000001</v>
      </c>
      <c r="ID279" s="53" t="e">
        <v>#VALUE!</v>
      </c>
      <c r="IE279" s="53" t="e">
        <v>#VALUE!</v>
      </c>
      <c r="IF279" s="53">
        <v>5.3</v>
      </c>
      <c r="IG279" s="53" t="e">
        <v>#VALUE!</v>
      </c>
      <c r="IH279" s="55"/>
      <c r="II279" s="55"/>
      <c r="IJ279" s="55"/>
      <c r="IK279" s="55"/>
      <c r="IL279" s="55"/>
      <c r="IM279" s="55"/>
      <c r="IN279" s="53">
        <v>48.295999999999999</v>
      </c>
      <c r="IO279" s="53">
        <v>48.5</v>
      </c>
      <c r="IP279" s="53" t="e">
        <v>#VALUE!</v>
      </c>
      <c r="IQ279" s="53">
        <v>41.4</v>
      </c>
      <c r="IR279" s="53">
        <v>19</v>
      </c>
      <c r="IS279" s="53" t="e">
        <v>#VALUE!</v>
      </c>
      <c r="IT279" s="53">
        <v>20.100000000000001</v>
      </c>
      <c r="IU279" s="53" t="e">
        <v>#VALUE!</v>
      </c>
      <c r="IV279" s="53" t="e">
        <v>#VALUE!</v>
      </c>
      <c r="IY279" s="48">
        <f t="shared" si="14"/>
        <v>46.825156110615524</v>
      </c>
      <c r="IZ279" s="48">
        <f>IY279-'NOPA Crush'!J279</f>
        <v>-3.4843889384475801E-2</v>
      </c>
      <c r="JB279" s="63">
        <f t="shared" si="12"/>
        <v>11.324264049955396</v>
      </c>
      <c r="JC279" s="64">
        <f>JB279-'NOPA Crush'!O279</f>
        <v>-0.10573595004460401</v>
      </c>
      <c r="JD279" s="65"/>
      <c r="JE279" s="67">
        <f t="shared" si="13"/>
        <v>2280.1</v>
      </c>
      <c r="JF279" s="68">
        <f>'NOPA Crush'!Q279/'Census Crush'!JE279</f>
        <v>0.82720494715144066</v>
      </c>
    </row>
    <row r="280" spans="1:266">
      <c r="A280" s="39">
        <v>37561</v>
      </c>
      <c r="B280" s="51">
        <v>4370.8999999999996</v>
      </c>
      <c r="C280" s="51">
        <v>3404.8</v>
      </c>
      <c r="D280" s="51">
        <v>242.5</v>
      </c>
      <c r="E280" s="51">
        <v>1341.5</v>
      </c>
      <c r="F280" s="51">
        <v>28.5</v>
      </c>
      <c r="G280" s="51" t="s">
        <v>264</v>
      </c>
      <c r="H280" s="51" t="s">
        <v>264</v>
      </c>
      <c r="I280" s="51" t="s">
        <v>264</v>
      </c>
      <c r="J280" s="51" t="s">
        <v>264</v>
      </c>
      <c r="K280" s="51">
        <v>1631.5</v>
      </c>
      <c r="L280" s="49">
        <v>2326.0969999999998</v>
      </c>
      <c r="M280" s="51">
        <v>2114.1</v>
      </c>
      <c r="N280" s="51">
        <v>211.99700000000001</v>
      </c>
      <c r="O280" s="53">
        <v>71.7</v>
      </c>
      <c r="P280" s="51">
        <v>40.191000000000003</v>
      </c>
      <c r="Q280" s="51">
        <v>9.5459999999999994</v>
      </c>
      <c r="R280" s="51">
        <v>30.645</v>
      </c>
      <c r="S280" s="51"/>
      <c r="T280" s="51">
        <v>24.9</v>
      </c>
      <c r="U280" s="51">
        <v>52.459999999999994</v>
      </c>
      <c r="V280" s="51">
        <v>48.8</v>
      </c>
      <c r="W280" s="51">
        <v>3.66</v>
      </c>
      <c r="X280" s="51" t="s">
        <v>264</v>
      </c>
      <c r="Y280" s="51" t="s">
        <v>264</v>
      </c>
      <c r="Z280" s="49">
        <v>32.242000000000004</v>
      </c>
      <c r="AA280" s="51">
        <v>23.8</v>
      </c>
      <c r="AB280" s="51">
        <v>8.4420000000000002</v>
      </c>
      <c r="AC280" s="51" t="s">
        <v>264</v>
      </c>
      <c r="AD280" s="51" t="s">
        <v>264</v>
      </c>
      <c r="AE280" s="51"/>
      <c r="AF280" s="51">
        <v>67.76400000000001</v>
      </c>
      <c r="AG280" s="51">
        <v>44.926000000000002</v>
      </c>
      <c r="AH280" s="51">
        <v>22.838000000000001</v>
      </c>
      <c r="AI280" s="51">
        <v>195</v>
      </c>
      <c r="AJ280" s="55"/>
      <c r="AK280" s="55"/>
      <c r="AL280" s="51">
        <v>139.90600000000001</v>
      </c>
      <c r="AM280" s="51">
        <v>74.006</v>
      </c>
      <c r="AN280" s="51">
        <v>65.900000000000006</v>
      </c>
      <c r="AO280" s="51">
        <v>3188.9</v>
      </c>
      <c r="AP280" s="51">
        <v>337.5</v>
      </c>
      <c r="AQ280" s="51">
        <v>235.8</v>
      </c>
      <c r="AR280" s="51">
        <v>34.200000000000003</v>
      </c>
      <c r="AS280" s="51">
        <v>112.6</v>
      </c>
      <c r="AT280" s="51">
        <v>58.6</v>
      </c>
      <c r="AU280" s="51">
        <v>66.2</v>
      </c>
      <c r="AV280" s="51">
        <v>23.4</v>
      </c>
      <c r="AW280" s="51">
        <v>15.5</v>
      </c>
      <c r="AX280" s="51">
        <v>1.9</v>
      </c>
      <c r="AY280" s="51" t="s">
        <v>264</v>
      </c>
      <c r="AZ280" s="51" t="s">
        <v>264</v>
      </c>
      <c r="BA280" s="51" t="s">
        <v>264</v>
      </c>
      <c r="BB280" s="51" t="s">
        <v>264</v>
      </c>
      <c r="BC280" s="55"/>
      <c r="BD280" s="53">
        <v>171.6</v>
      </c>
      <c r="BE280" s="53">
        <v>27.2</v>
      </c>
      <c r="BF280" s="53">
        <v>63.6</v>
      </c>
      <c r="BG280" s="53">
        <v>6.1</v>
      </c>
      <c r="BH280" s="53">
        <v>310.60000000000002</v>
      </c>
      <c r="BI280" s="55"/>
      <c r="BJ280" s="55"/>
      <c r="BK280" s="53">
        <v>209.1</v>
      </c>
      <c r="BL280" s="53">
        <v>0</v>
      </c>
      <c r="BM280" s="53">
        <v>519.70000000000005</v>
      </c>
      <c r="BN280" s="53">
        <v>223.4</v>
      </c>
      <c r="BO280" s="55"/>
      <c r="BP280" s="55"/>
      <c r="BQ280" s="53">
        <v>79.5</v>
      </c>
      <c r="BR280" s="53">
        <v>0</v>
      </c>
      <c r="BS280" s="53">
        <v>302.89999999999998</v>
      </c>
      <c r="BT280" s="52">
        <v>22.5</v>
      </c>
      <c r="BU280" s="53">
        <v>11.282999999999999</v>
      </c>
      <c r="BV280" s="51">
        <v>329.3</v>
      </c>
      <c r="BW280" s="51">
        <v>91.141000000000005</v>
      </c>
      <c r="BX280" s="51">
        <v>420.5</v>
      </c>
      <c r="BY280" s="51">
        <v>66.400000000000006</v>
      </c>
      <c r="BZ280" s="51">
        <v>16.870999999999999</v>
      </c>
      <c r="CA280" s="49">
        <v>83.271000000000001</v>
      </c>
      <c r="CB280" s="55"/>
      <c r="CC280" s="55"/>
      <c r="CD280" s="55"/>
      <c r="CE280" s="55"/>
      <c r="CF280" s="53">
        <v>86.3</v>
      </c>
      <c r="CG280" s="53">
        <v>155.6</v>
      </c>
      <c r="CH280" s="53">
        <v>18.7</v>
      </c>
      <c r="CI280" s="55"/>
      <c r="CJ280" s="55"/>
      <c r="CK280" s="51">
        <v>305.8</v>
      </c>
      <c r="CL280" s="51">
        <v>51.2</v>
      </c>
      <c r="CM280" s="51"/>
      <c r="CN280" s="53">
        <v>42.4</v>
      </c>
      <c r="CO280" s="52">
        <v>264.11500000000001</v>
      </c>
      <c r="CP280" s="53">
        <v>171.626</v>
      </c>
      <c r="CQ280" s="53">
        <v>92.489000000000004</v>
      </c>
      <c r="CR280" s="52" t="s">
        <v>264</v>
      </c>
      <c r="CS280" s="52">
        <v>28.9</v>
      </c>
      <c r="CT280" s="52"/>
      <c r="CU280" s="52"/>
      <c r="CV280" s="52">
        <v>66.387</v>
      </c>
      <c r="CW280" s="52" t="s">
        <v>264</v>
      </c>
      <c r="CX280" s="52" t="s">
        <v>264</v>
      </c>
      <c r="CY280" s="53" t="s">
        <v>264</v>
      </c>
      <c r="CZ280" s="53">
        <v>70.531999999999996</v>
      </c>
      <c r="DA280" s="52">
        <v>9.2040000000000006</v>
      </c>
      <c r="DB280" s="53">
        <v>8.3650000000000002</v>
      </c>
      <c r="DC280" s="53">
        <v>0.83899999999999997</v>
      </c>
      <c r="DD280" s="55"/>
      <c r="DE280" s="55"/>
      <c r="DF280" s="55"/>
      <c r="DG280" s="55"/>
      <c r="DH280" s="55"/>
      <c r="DI280" s="53">
        <v>695.5</v>
      </c>
      <c r="DJ280" s="53">
        <v>379.6</v>
      </c>
      <c r="DK280" s="55"/>
      <c r="DL280" s="55"/>
      <c r="DM280" s="53">
        <v>266.10000000000002</v>
      </c>
      <c r="DN280" s="55"/>
      <c r="DO280" s="53">
        <v>252.3</v>
      </c>
      <c r="DP280" s="53">
        <v>304.8</v>
      </c>
      <c r="DQ280" s="55"/>
      <c r="DR280" s="55"/>
      <c r="DS280" s="53">
        <v>2245.0120000000002</v>
      </c>
      <c r="DT280" s="53">
        <v>4370.8999999999996</v>
      </c>
      <c r="DU280" s="53">
        <v>-227.58799999999974</v>
      </c>
      <c r="DV280" s="53">
        <v>0</v>
      </c>
      <c r="DW280" s="55"/>
      <c r="DX280" s="55"/>
      <c r="DY280" s="55"/>
      <c r="DZ280" s="55"/>
      <c r="EA280" s="53">
        <v>735.1</v>
      </c>
      <c r="EB280" s="53">
        <v>594.9</v>
      </c>
      <c r="EC280" s="55"/>
      <c r="ED280" s="55"/>
      <c r="EE280" s="53" t="e">
        <v>#VALUE!</v>
      </c>
      <c r="EF280" s="55"/>
      <c r="EG280" s="53">
        <v>179.1</v>
      </c>
      <c r="EH280" s="53">
        <v>264.3</v>
      </c>
      <c r="EI280" s="55"/>
      <c r="EJ280" s="55"/>
      <c r="EK280" s="55"/>
      <c r="EL280" s="53">
        <v>3404.8</v>
      </c>
      <c r="EM280" s="55"/>
      <c r="EN280" s="55"/>
      <c r="EO280" s="55"/>
      <c r="EP280" s="55"/>
      <c r="EQ280" s="53">
        <v>263.2</v>
      </c>
      <c r="ER280" s="53">
        <v>136.30000000000001</v>
      </c>
      <c r="ES280" s="55"/>
      <c r="ET280" s="55"/>
      <c r="EU280" s="53">
        <v>101.4</v>
      </c>
      <c r="EV280" s="55"/>
      <c r="EW280" s="53">
        <v>96.9</v>
      </c>
      <c r="EX280" s="53">
        <v>113.2</v>
      </c>
      <c r="EY280" s="55"/>
      <c r="EZ280" s="55"/>
      <c r="FA280" s="55"/>
      <c r="FB280" s="53">
        <v>1631.5</v>
      </c>
      <c r="FC280" s="55"/>
      <c r="FD280" s="55"/>
      <c r="FE280" s="55"/>
      <c r="FF280" s="55"/>
      <c r="FG280" s="53">
        <v>543.70000000000005</v>
      </c>
      <c r="FH280" s="53">
        <v>293.39999999999998</v>
      </c>
      <c r="FI280" s="55"/>
      <c r="FJ280" s="55"/>
      <c r="FK280" s="53">
        <v>208.3</v>
      </c>
      <c r="FL280" s="55"/>
      <c r="FM280" s="53">
        <v>198.4</v>
      </c>
      <c r="FN280" s="53">
        <v>239.2</v>
      </c>
      <c r="FO280" s="55"/>
      <c r="FP280" s="55"/>
      <c r="FQ280" s="55"/>
      <c r="FR280" s="53">
        <v>3434.4</v>
      </c>
      <c r="FS280" s="55"/>
      <c r="FT280" s="55"/>
      <c r="FU280" s="55"/>
      <c r="FV280" s="55"/>
      <c r="FW280" s="53">
        <v>404</v>
      </c>
      <c r="FX280" s="53" t="e">
        <v>#VALUE!</v>
      </c>
      <c r="FY280" s="55"/>
      <c r="FZ280" s="55"/>
      <c r="GA280" s="53">
        <v>50.7</v>
      </c>
      <c r="GB280" s="55"/>
      <c r="GC280" s="53">
        <v>49.5</v>
      </c>
      <c r="GD280" s="53" t="e">
        <v>#VALUE!</v>
      </c>
      <c r="GE280" s="55"/>
      <c r="GF280" s="55"/>
      <c r="GG280" s="55"/>
      <c r="GH280" s="53">
        <v>1298.8</v>
      </c>
      <c r="GI280" s="55"/>
      <c r="GJ280" s="55"/>
      <c r="GK280" s="55"/>
      <c r="GL280" s="55"/>
      <c r="GM280" s="53">
        <v>61.4</v>
      </c>
      <c r="GN280" s="53" t="e">
        <v>#VALUE!</v>
      </c>
      <c r="GO280" s="55"/>
      <c r="GP280" s="55"/>
      <c r="GQ280" s="53">
        <v>26</v>
      </c>
      <c r="GR280" s="55"/>
      <c r="GS280" s="53">
        <v>11.4</v>
      </c>
      <c r="GT280" s="53" t="e">
        <v>#VALUE!</v>
      </c>
      <c r="GU280" s="55"/>
      <c r="GV280" s="55"/>
      <c r="GW280" s="55"/>
      <c r="GX280" s="53">
        <v>371.7</v>
      </c>
      <c r="GY280" s="19">
        <v>0.97667619115651116</v>
      </c>
      <c r="GZ280" s="53">
        <v>1367.249</v>
      </c>
      <c r="HA280" s="53">
        <v>1399.9</v>
      </c>
      <c r="HB280" s="18">
        <v>-193.45744664419976</v>
      </c>
      <c r="HC280" s="55"/>
      <c r="HD280" s="18">
        <v>1393.7425533558003</v>
      </c>
      <c r="HE280" s="55"/>
      <c r="HF280" s="53">
        <v>1587.2</v>
      </c>
      <c r="HG280" s="53">
        <v>1544.2</v>
      </c>
      <c r="HH280" s="53">
        <v>763.8</v>
      </c>
      <c r="HI280" s="53">
        <v>121.7</v>
      </c>
      <c r="HJ280" s="53">
        <v>649.5</v>
      </c>
      <c r="HK280" s="53">
        <v>9.1999999999999993</v>
      </c>
      <c r="HL280" s="53">
        <v>42.9</v>
      </c>
      <c r="HM280" s="55"/>
      <c r="HN280" s="55"/>
      <c r="HO280" s="55"/>
      <c r="HP280" s="53" t="e">
        <v>#VALUE!</v>
      </c>
      <c r="HQ280" s="53">
        <v>3.3</v>
      </c>
      <c r="HR280" s="53">
        <v>5.4</v>
      </c>
      <c r="HS280" s="53" t="e">
        <v>#VALUE!</v>
      </c>
      <c r="HT280" s="53">
        <v>28.5</v>
      </c>
      <c r="HU280" s="55"/>
      <c r="HV280" s="55"/>
      <c r="HW280" s="53">
        <v>262.5</v>
      </c>
      <c r="HX280" s="53" t="e">
        <v>#VALUE!</v>
      </c>
      <c r="HY280" s="53">
        <v>262.5</v>
      </c>
      <c r="HZ280" s="53" t="e">
        <v>#VALUE!</v>
      </c>
      <c r="IA280" s="53">
        <v>186.6</v>
      </c>
      <c r="IB280" s="53">
        <v>73.099999999999994</v>
      </c>
      <c r="IC280" s="53">
        <v>113.5</v>
      </c>
      <c r="ID280" s="53" t="e">
        <v>#VALUE!</v>
      </c>
      <c r="IE280" s="53" t="e">
        <v>#VALUE!</v>
      </c>
      <c r="IF280" s="53">
        <v>7.6</v>
      </c>
      <c r="IG280" s="53" t="e">
        <v>#VALUE!</v>
      </c>
      <c r="IH280" s="55"/>
      <c r="II280" s="55"/>
      <c r="IJ280" s="55"/>
      <c r="IK280" s="55"/>
      <c r="IL280" s="55"/>
      <c r="IM280" s="55"/>
      <c r="IN280" s="53">
        <v>59.171999999999997</v>
      </c>
      <c r="IO280" s="53">
        <v>59.5</v>
      </c>
      <c r="IP280" s="53" t="e">
        <v>#VALUE!</v>
      </c>
      <c r="IQ280" s="53">
        <v>38.6</v>
      </c>
      <c r="IR280" s="53">
        <v>17.2</v>
      </c>
      <c r="IS280" s="53" t="e">
        <v>#VALUE!</v>
      </c>
      <c r="IT280" s="53">
        <v>19.8</v>
      </c>
      <c r="IU280" s="53" t="e">
        <v>#VALUE!</v>
      </c>
      <c r="IV280" s="53" t="e">
        <v>#VALUE!</v>
      </c>
      <c r="IY280" s="48">
        <f t="shared" si="14"/>
        <v>47.011370655928992</v>
      </c>
      <c r="IZ280" s="48">
        <f>IY280-'NOPA Crush'!J280</f>
        <v>7.1370655928994609E-2</v>
      </c>
      <c r="JB280" s="63">
        <f t="shared" si="12"/>
        <v>11.197922624631083</v>
      </c>
      <c r="JC280" s="64">
        <f>JB280-'NOPA Crush'!O280</f>
        <v>-0.14207737536891685</v>
      </c>
      <c r="JD280" s="65"/>
      <c r="JE280" s="67">
        <f t="shared" si="13"/>
        <v>2326.0969999999998</v>
      </c>
      <c r="JF280" s="68">
        <f>'NOPA Crush'!Q280/'Census Crush'!JE280</f>
        <v>0.7935997509992061</v>
      </c>
    </row>
    <row r="281" spans="1:266">
      <c r="A281" s="39">
        <v>37591</v>
      </c>
      <c r="B281" s="51">
        <v>4505.1000000000004</v>
      </c>
      <c r="C281" s="51">
        <v>3181.3</v>
      </c>
      <c r="D281" s="51">
        <v>236.6</v>
      </c>
      <c r="E281" s="51">
        <v>1540</v>
      </c>
      <c r="F281" s="51">
        <v>23.5</v>
      </c>
      <c r="G281" s="51" t="s">
        <v>264</v>
      </c>
      <c r="H281" s="51" t="s">
        <v>264</v>
      </c>
      <c r="I281" s="51" t="s">
        <v>264</v>
      </c>
      <c r="J281" s="51" t="s">
        <v>264</v>
      </c>
      <c r="K281" s="51">
        <v>1696</v>
      </c>
      <c r="L281" s="49">
        <v>2398</v>
      </c>
      <c r="M281" s="51">
        <v>2196.1999999999998</v>
      </c>
      <c r="N281" s="51">
        <v>201.8</v>
      </c>
      <c r="O281" s="53">
        <v>67.900000000000006</v>
      </c>
      <c r="P281" s="51">
        <v>37.674999999999997</v>
      </c>
      <c r="Q281" s="51">
        <v>6.7750000000000004</v>
      </c>
      <c r="R281" s="51">
        <v>30.9</v>
      </c>
      <c r="S281" s="51"/>
      <c r="T281" s="51">
        <v>20.2</v>
      </c>
      <c r="U281" s="51">
        <v>56.508000000000003</v>
      </c>
      <c r="V281" s="51">
        <v>53</v>
      </c>
      <c r="W281" s="51">
        <v>3.508</v>
      </c>
      <c r="X281" s="51" t="s">
        <v>264</v>
      </c>
      <c r="Y281" s="51" t="s">
        <v>264</v>
      </c>
      <c r="Z281" s="49">
        <v>73.381</v>
      </c>
      <c r="AA281" s="51">
        <v>61.301000000000002</v>
      </c>
      <c r="AB281" s="51">
        <v>12.08</v>
      </c>
      <c r="AC281" s="51" t="s">
        <v>264</v>
      </c>
      <c r="AD281" s="51" t="s">
        <v>264</v>
      </c>
      <c r="AE281" s="51"/>
      <c r="AF281" s="51">
        <v>80.400999999999996</v>
      </c>
      <c r="AG281" s="51">
        <v>56.1</v>
      </c>
      <c r="AH281" s="51">
        <v>24.300999999999998</v>
      </c>
      <c r="AI281" s="51">
        <v>212.3</v>
      </c>
      <c r="AJ281" s="55"/>
      <c r="AK281" s="55"/>
      <c r="AL281" s="51">
        <v>103.1</v>
      </c>
      <c r="AM281" s="51">
        <v>35</v>
      </c>
      <c r="AN281" s="51">
        <v>68.099999999999994</v>
      </c>
      <c r="AO281" s="51">
        <v>3290.5</v>
      </c>
      <c r="AP281" s="51">
        <v>303</v>
      </c>
      <c r="AQ281" s="51">
        <v>236.3</v>
      </c>
      <c r="AR281" s="51">
        <v>34</v>
      </c>
      <c r="AS281" s="51">
        <v>108</v>
      </c>
      <c r="AT281" s="51">
        <v>44.4</v>
      </c>
      <c r="AU281" s="51">
        <v>64.7</v>
      </c>
      <c r="AV281" s="51">
        <v>22.8</v>
      </c>
      <c r="AW281" s="51">
        <v>12.9</v>
      </c>
      <c r="AX281" s="51" t="s">
        <v>264</v>
      </c>
      <c r="AY281" s="51" t="s">
        <v>264</v>
      </c>
      <c r="AZ281" s="51" t="s">
        <v>264</v>
      </c>
      <c r="BA281" s="51" t="s">
        <v>264</v>
      </c>
      <c r="BB281" s="51" t="s">
        <v>264</v>
      </c>
      <c r="BC281" s="55"/>
      <c r="BD281" s="53">
        <v>156.376</v>
      </c>
      <c r="BE281" s="53">
        <v>25.265999999999998</v>
      </c>
      <c r="BF281" s="53">
        <v>62.3</v>
      </c>
      <c r="BG281" s="53">
        <v>5.7</v>
      </c>
      <c r="BH281" s="53">
        <v>290.3</v>
      </c>
      <c r="BI281" s="55"/>
      <c r="BJ281" s="55"/>
      <c r="BK281" s="53">
        <v>208.1</v>
      </c>
      <c r="BL281" s="53">
        <v>0</v>
      </c>
      <c r="BM281" s="53">
        <v>498.4</v>
      </c>
      <c r="BN281" s="53">
        <v>188.5</v>
      </c>
      <c r="BO281" s="55"/>
      <c r="BP281" s="55"/>
      <c r="BQ281" s="53">
        <v>53.9</v>
      </c>
      <c r="BR281" s="53">
        <v>0</v>
      </c>
      <c r="BS281" s="53">
        <v>242.4</v>
      </c>
      <c r="BT281" s="52">
        <v>22.4</v>
      </c>
      <c r="BU281" s="53">
        <v>10.526999999999999</v>
      </c>
      <c r="BV281" s="51">
        <v>319.7</v>
      </c>
      <c r="BW281" s="51">
        <v>92.1</v>
      </c>
      <c r="BX281" s="51">
        <v>411.8</v>
      </c>
      <c r="BY281" s="51">
        <v>61.6</v>
      </c>
      <c r="BZ281" s="51">
        <v>10.6</v>
      </c>
      <c r="CA281" s="49">
        <v>72.2</v>
      </c>
      <c r="CB281" s="55"/>
      <c r="CC281" s="55"/>
      <c r="CD281" s="55"/>
      <c r="CE281" s="55"/>
      <c r="CF281" s="53">
        <v>101.4</v>
      </c>
      <c r="CG281" s="53">
        <v>160.4</v>
      </c>
      <c r="CH281" s="53">
        <v>20.100000000000001</v>
      </c>
      <c r="CI281" s="55"/>
      <c r="CJ281" s="55"/>
      <c r="CK281" s="51">
        <v>315.60000000000002</v>
      </c>
      <c r="CL281" s="51">
        <v>45</v>
      </c>
      <c r="CM281" s="51"/>
      <c r="CN281" s="53">
        <v>41.655999999999999</v>
      </c>
      <c r="CO281" s="52">
        <v>195.3</v>
      </c>
      <c r="CP281" s="53">
        <v>132.4</v>
      </c>
      <c r="CQ281" s="53">
        <v>62.9</v>
      </c>
      <c r="CR281" s="52" t="s">
        <v>264</v>
      </c>
      <c r="CS281" s="52">
        <v>31.89</v>
      </c>
      <c r="CT281" s="52"/>
      <c r="CU281" s="52"/>
      <c r="CV281" s="52">
        <v>71.921999999999997</v>
      </c>
      <c r="CW281" s="52" t="s">
        <v>264</v>
      </c>
      <c r="CX281" s="52" t="s">
        <v>264</v>
      </c>
      <c r="CY281" s="53" t="s">
        <v>264</v>
      </c>
      <c r="CZ281" s="53">
        <v>62.954999999999998</v>
      </c>
      <c r="DA281" s="52">
        <v>9.1639999999999997</v>
      </c>
      <c r="DB281" s="53">
        <v>8.0939999999999994</v>
      </c>
      <c r="DC281" s="53">
        <v>1.07</v>
      </c>
      <c r="DD281" s="55"/>
      <c r="DE281" s="55"/>
      <c r="DF281" s="55"/>
      <c r="DG281" s="55"/>
      <c r="DH281" s="55"/>
      <c r="DI281" s="53">
        <v>729.8</v>
      </c>
      <c r="DJ281" s="53">
        <v>393</v>
      </c>
      <c r="DK281" s="55"/>
      <c r="DL281" s="55"/>
      <c r="DM281" s="53">
        <v>281.5</v>
      </c>
      <c r="DN281" s="55"/>
      <c r="DO281" s="53">
        <v>264.7</v>
      </c>
      <c r="DP281" s="53">
        <v>304.3</v>
      </c>
      <c r="DQ281" s="55"/>
      <c r="DR281" s="55"/>
      <c r="DS281" s="53">
        <v>2322.973</v>
      </c>
      <c r="DT281" s="53">
        <v>4505.1000000000004</v>
      </c>
      <c r="DU281" s="53">
        <v>-208.82700000000023</v>
      </c>
      <c r="DV281" s="53">
        <v>0</v>
      </c>
      <c r="DW281" s="55"/>
      <c r="DX281" s="55"/>
      <c r="DY281" s="55"/>
      <c r="DZ281" s="55"/>
      <c r="EA281" s="53">
        <v>655.5</v>
      </c>
      <c r="EB281" s="53">
        <v>584.9</v>
      </c>
      <c r="EC281" s="55"/>
      <c r="ED281" s="55"/>
      <c r="EE281" s="53" t="e">
        <v>#VALUE!</v>
      </c>
      <c r="EF281" s="55"/>
      <c r="EG281" s="53">
        <v>150.19999999999999</v>
      </c>
      <c r="EH281" s="53">
        <v>277.2</v>
      </c>
      <c r="EI281" s="55"/>
      <c r="EJ281" s="55"/>
      <c r="EK281" s="55"/>
      <c r="EL281" s="53">
        <v>3181.3</v>
      </c>
      <c r="EM281" s="55"/>
      <c r="EN281" s="55"/>
      <c r="EO281" s="55"/>
      <c r="EP281" s="55"/>
      <c r="EQ281" s="53">
        <v>278.10000000000002</v>
      </c>
      <c r="ER281" s="53">
        <v>140.19999999999999</v>
      </c>
      <c r="ES281" s="55"/>
      <c r="ET281" s="55"/>
      <c r="EU281" s="53">
        <v>106.3</v>
      </c>
      <c r="EV281" s="55"/>
      <c r="EW281" s="53">
        <v>101.2</v>
      </c>
      <c r="EX281" s="53">
        <v>114.6</v>
      </c>
      <c r="EY281" s="55"/>
      <c r="EZ281" s="55"/>
      <c r="FA281" s="55"/>
      <c r="FB281" s="53">
        <v>1696</v>
      </c>
      <c r="FC281" s="55"/>
      <c r="FD281" s="55"/>
      <c r="FE281" s="55"/>
      <c r="FF281" s="55"/>
      <c r="FG281" s="53">
        <v>575.4</v>
      </c>
      <c r="FH281" s="53">
        <v>310.10000000000002</v>
      </c>
      <c r="FI281" s="55"/>
      <c r="FJ281" s="55"/>
      <c r="FK281" s="53">
        <v>218.6</v>
      </c>
      <c r="FL281" s="55"/>
      <c r="FM281" s="53">
        <v>208.9</v>
      </c>
      <c r="FN281" s="53">
        <v>239.8</v>
      </c>
      <c r="FO281" s="55"/>
      <c r="FP281" s="55"/>
      <c r="FQ281" s="55"/>
      <c r="FR281" s="53">
        <v>3536.1</v>
      </c>
      <c r="FS281" s="55"/>
      <c r="FT281" s="55"/>
      <c r="FU281" s="55"/>
      <c r="FV281" s="55"/>
      <c r="FW281" s="53">
        <v>420.8</v>
      </c>
      <c r="FX281" s="53" t="e">
        <v>#VALUE!</v>
      </c>
      <c r="FY281" s="55"/>
      <c r="FZ281" s="55"/>
      <c r="GA281" s="53">
        <v>54.9</v>
      </c>
      <c r="GB281" s="55"/>
      <c r="GC281" s="53">
        <v>72.5</v>
      </c>
      <c r="GD281" s="53" t="e">
        <v>#VALUE!</v>
      </c>
      <c r="GE281" s="55"/>
      <c r="GF281" s="55"/>
      <c r="GG281" s="55"/>
      <c r="GH281" s="53">
        <v>1370.3</v>
      </c>
      <c r="GI281" s="55"/>
      <c r="GJ281" s="55"/>
      <c r="GK281" s="55"/>
      <c r="GL281" s="55"/>
      <c r="GM281" s="53">
        <v>90.8</v>
      </c>
      <c r="GN281" s="53" t="e">
        <v>#VALUE!</v>
      </c>
      <c r="GO281" s="55"/>
      <c r="GP281" s="55"/>
      <c r="GQ281" s="53">
        <v>20.7</v>
      </c>
      <c r="GR281" s="55"/>
      <c r="GS281" s="53">
        <v>6.7</v>
      </c>
      <c r="GT281" s="53" t="e">
        <v>#VALUE!</v>
      </c>
      <c r="GU281" s="55"/>
      <c r="GV281" s="55"/>
      <c r="GW281" s="55"/>
      <c r="GX281" s="53">
        <v>337</v>
      </c>
      <c r="GY281" s="19">
        <v>0.97287148440493521</v>
      </c>
      <c r="GZ281" s="53">
        <v>1269.5</v>
      </c>
      <c r="HA281" s="53">
        <v>1304.9000000000001</v>
      </c>
      <c r="HB281" s="18">
        <v>-46.33345889580005</v>
      </c>
      <c r="HC281" s="55"/>
      <c r="HD281" s="18">
        <v>1416.6665411042</v>
      </c>
      <c r="HE281" s="55"/>
      <c r="HF281" s="53">
        <v>1463</v>
      </c>
      <c r="HG281" s="53">
        <v>1428.9</v>
      </c>
      <c r="HH281" s="53">
        <v>678.7</v>
      </c>
      <c r="HI281" s="53">
        <v>116.5</v>
      </c>
      <c r="HJ281" s="53">
        <v>624.79999999999995</v>
      </c>
      <c r="HK281" s="53">
        <v>8.8000000000000007</v>
      </c>
      <c r="HL281" s="53">
        <v>34.1</v>
      </c>
      <c r="HM281" s="55"/>
      <c r="HN281" s="55"/>
      <c r="HO281" s="55"/>
      <c r="HP281" s="53" t="e">
        <v>#VALUE!</v>
      </c>
      <c r="HQ281" s="53">
        <v>4</v>
      </c>
      <c r="HR281" s="53">
        <v>4.8</v>
      </c>
      <c r="HS281" s="53" t="e">
        <v>#VALUE!</v>
      </c>
      <c r="HT281" s="53">
        <v>20.399999999999999</v>
      </c>
      <c r="HU281" s="55"/>
      <c r="HV281" s="55"/>
      <c r="HW281" s="53">
        <v>252.3</v>
      </c>
      <c r="HX281" s="53" t="e">
        <v>#VALUE!</v>
      </c>
      <c r="HY281" s="53">
        <v>252.3</v>
      </c>
      <c r="HZ281" s="53" t="e">
        <v>#VALUE!</v>
      </c>
      <c r="IA281" s="53">
        <v>185.8</v>
      </c>
      <c r="IB281" s="53">
        <v>65.8</v>
      </c>
      <c r="IC281" s="53">
        <v>120</v>
      </c>
      <c r="ID281" s="53" t="e">
        <v>#VALUE!</v>
      </c>
      <c r="IE281" s="53" t="e">
        <v>#VALUE!</v>
      </c>
      <c r="IF281" s="53" t="e">
        <v>#VALUE!</v>
      </c>
      <c r="IG281" s="53" t="e">
        <v>#VALUE!</v>
      </c>
      <c r="IH281" s="55"/>
      <c r="II281" s="55"/>
      <c r="IJ281" s="55"/>
      <c r="IK281" s="55"/>
      <c r="IL281" s="55"/>
      <c r="IM281" s="55"/>
      <c r="IN281" s="53">
        <v>55.686999999999998</v>
      </c>
      <c r="IO281" s="53">
        <v>56</v>
      </c>
      <c r="IP281" s="53" t="e">
        <v>#VALUE!</v>
      </c>
      <c r="IQ281" s="53">
        <v>37.700000000000003</v>
      </c>
      <c r="IR281" s="53">
        <v>15.5</v>
      </c>
      <c r="IS281" s="53" t="e">
        <v>#VALUE!</v>
      </c>
      <c r="IT281" s="53">
        <v>20.8</v>
      </c>
      <c r="IU281" s="53" t="e">
        <v>#VALUE!</v>
      </c>
      <c r="IV281" s="53" t="e">
        <v>#VALUE!</v>
      </c>
      <c r="IY281" s="48">
        <f t="shared" si="14"/>
        <v>46.970766464673368</v>
      </c>
      <c r="IZ281" s="48">
        <f>IY281-'NOPA Crush'!J281</f>
        <v>-4.9233535326635547E-2</v>
      </c>
      <c r="JB281" s="63">
        <f t="shared" si="12"/>
        <v>11.293866950789104</v>
      </c>
      <c r="JC281" s="64">
        <f>JB281-'NOPA Crush'!O281</f>
        <v>-0.11613304921089629</v>
      </c>
      <c r="JD281" s="65"/>
      <c r="JE281" s="67">
        <f t="shared" si="13"/>
        <v>2398</v>
      </c>
      <c r="JF281" s="68">
        <f>'NOPA Crush'!Q281/'Census Crush'!JE281</f>
        <v>0.8200241868223519</v>
      </c>
    </row>
    <row r="282" spans="1:266">
      <c r="A282" s="39">
        <v>37622</v>
      </c>
      <c r="B282" s="51">
        <v>4280.8</v>
      </c>
      <c r="C282" s="51">
        <v>3275.5</v>
      </c>
      <c r="D282" s="51">
        <v>274.5</v>
      </c>
      <c r="E282" s="51">
        <v>1471.6</v>
      </c>
      <c r="F282" s="51">
        <v>24.6</v>
      </c>
      <c r="G282" s="51" t="s">
        <v>264</v>
      </c>
      <c r="H282" s="51" t="s">
        <v>264</v>
      </c>
      <c r="I282" s="51" t="s">
        <v>264</v>
      </c>
      <c r="J282" s="51" t="s">
        <v>264</v>
      </c>
      <c r="K282" s="51">
        <v>1612.8</v>
      </c>
      <c r="L282" s="49">
        <v>2394.7999999999997</v>
      </c>
      <c r="M282" s="51">
        <v>2185.1999999999998</v>
      </c>
      <c r="N282" s="51">
        <v>209.6</v>
      </c>
      <c r="O282" s="53">
        <v>80.8</v>
      </c>
      <c r="P282" s="51">
        <v>45.599999999999994</v>
      </c>
      <c r="Q282" s="51">
        <v>8.6999999999999993</v>
      </c>
      <c r="R282" s="51">
        <v>36.9</v>
      </c>
      <c r="S282" s="51"/>
      <c r="T282" s="51">
        <v>24</v>
      </c>
      <c r="U282" s="51">
        <v>75.099999999999994</v>
      </c>
      <c r="V282" s="51">
        <v>69.3</v>
      </c>
      <c r="W282" s="51">
        <v>5.8</v>
      </c>
      <c r="X282" s="51" t="s">
        <v>264</v>
      </c>
      <c r="Y282" s="51" t="s">
        <v>264</v>
      </c>
      <c r="Z282" s="49">
        <v>58.599999999999994</v>
      </c>
      <c r="AA282" s="51">
        <v>47.9</v>
      </c>
      <c r="AB282" s="51">
        <v>10.7</v>
      </c>
      <c r="AC282" s="51" t="s">
        <v>264</v>
      </c>
      <c r="AD282" s="51" t="s">
        <v>264</v>
      </c>
      <c r="AE282" s="51"/>
      <c r="AF282" s="51">
        <v>74.599999999999994</v>
      </c>
      <c r="AG282" s="51">
        <v>50.8</v>
      </c>
      <c r="AH282" s="51">
        <v>23.8</v>
      </c>
      <c r="AI282" s="51">
        <v>206.8</v>
      </c>
      <c r="AJ282" s="55"/>
      <c r="AK282" s="55"/>
      <c r="AL282" s="9">
        <v>138.69999999999999</v>
      </c>
      <c r="AM282" s="76">
        <f>FORECAST(AL282,AM270:AM281,AL270:AL281)</f>
        <v>81.903494708228706</v>
      </c>
      <c r="AN282" s="76">
        <f>AL282-AM282</f>
        <v>56.796505291771282</v>
      </c>
      <c r="AO282" s="51">
        <v>3127.5</v>
      </c>
      <c r="AP282" s="51">
        <v>264.8</v>
      </c>
      <c r="AQ282" s="51">
        <v>230.9</v>
      </c>
      <c r="AR282" s="51">
        <v>34.299999999999997</v>
      </c>
      <c r="AS282" s="51">
        <v>123</v>
      </c>
      <c r="AT282" s="51">
        <v>38</v>
      </c>
      <c r="AU282" s="51">
        <v>77.900000000000006</v>
      </c>
      <c r="AV282" s="51">
        <v>25.8</v>
      </c>
      <c r="AW282" s="51">
        <v>14.8</v>
      </c>
      <c r="AX282" s="51">
        <v>2.5</v>
      </c>
      <c r="AY282" s="51" t="s">
        <v>264</v>
      </c>
      <c r="AZ282" s="51" t="s">
        <v>264</v>
      </c>
      <c r="BA282" s="51" t="s">
        <v>264</v>
      </c>
      <c r="BB282" s="51" t="s">
        <v>264</v>
      </c>
      <c r="BC282" s="55"/>
      <c r="BD282" s="53">
        <v>172.8</v>
      </c>
      <c r="BE282" s="53">
        <v>30.4</v>
      </c>
      <c r="BF282" s="53">
        <v>65</v>
      </c>
      <c r="BG282" s="53">
        <v>7.7</v>
      </c>
      <c r="BH282" s="53">
        <v>321</v>
      </c>
      <c r="BI282" s="53">
        <v>101.9</v>
      </c>
      <c r="BJ282" s="53">
        <v>114.8</v>
      </c>
      <c r="BK282" s="53">
        <v>216.7</v>
      </c>
      <c r="BL282" s="53">
        <v>0</v>
      </c>
      <c r="BM282" s="53">
        <v>537.70000000000005</v>
      </c>
      <c r="BN282" s="53">
        <v>238.5</v>
      </c>
      <c r="BO282" s="53">
        <v>35.6</v>
      </c>
      <c r="BP282" s="53">
        <v>39.4</v>
      </c>
      <c r="BQ282" s="53">
        <v>75</v>
      </c>
      <c r="BR282" s="53">
        <v>0</v>
      </c>
      <c r="BS282" s="53">
        <v>313.5</v>
      </c>
      <c r="BT282" s="53">
        <v>23.2</v>
      </c>
      <c r="BU282" s="53">
        <v>14</v>
      </c>
      <c r="BV282" s="51" t="s">
        <v>264</v>
      </c>
      <c r="BW282" s="51" t="s">
        <v>264</v>
      </c>
      <c r="BX282" s="51">
        <v>386.6</v>
      </c>
      <c r="BY282" s="51" t="s">
        <v>264</v>
      </c>
      <c r="BZ282" s="51" t="s">
        <v>264</v>
      </c>
      <c r="CA282" s="51">
        <v>55.2</v>
      </c>
      <c r="CB282" s="53">
        <v>78.5</v>
      </c>
      <c r="CC282" s="53">
        <v>11.345000000000001</v>
      </c>
      <c r="CD282" s="53">
        <v>85.7</v>
      </c>
      <c r="CE282" s="53">
        <v>9.4</v>
      </c>
      <c r="CF282" s="53">
        <v>108.3</v>
      </c>
      <c r="CG282" s="53">
        <v>176</v>
      </c>
      <c r="CH282" s="53">
        <v>20</v>
      </c>
      <c r="CI282" s="55"/>
      <c r="CJ282" s="55"/>
      <c r="CK282" s="9">
        <v>168.1</v>
      </c>
      <c r="CL282" s="9">
        <v>22.1</v>
      </c>
      <c r="CM282" s="9"/>
      <c r="CN282" s="53">
        <v>43.6</v>
      </c>
      <c r="CO282" s="52">
        <v>191.60000000000002</v>
      </c>
      <c r="CP282" s="53">
        <v>127.2</v>
      </c>
      <c r="CQ282" s="53">
        <v>64.400000000000006</v>
      </c>
      <c r="CR282" s="52" t="s">
        <v>264</v>
      </c>
      <c r="CS282" s="52">
        <v>32.6</v>
      </c>
      <c r="CT282" s="52"/>
      <c r="CU282" s="52"/>
      <c r="CV282" s="52">
        <v>86.3</v>
      </c>
      <c r="CW282" s="52" t="s">
        <v>264</v>
      </c>
      <c r="CX282" s="52" t="s">
        <v>264</v>
      </c>
      <c r="CY282" s="53" t="s">
        <v>264</v>
      </c>
      <c r="CZ282" s="53">
        <v>76.599999999999994</v>
      </c>
      <c r="DA282" s="12">
        <v>11.7</v>
      </c>
      <c r="DB282" s="53" t="s">
        <v>264</v>
      </c>
      <c r="DC282" s="53" t="s">
        <v>264</v>
      </c>
      <c r="DD282" s="55"/>
      <c r="DE282" s="55"/>
      <c r="DF282" s="55"/>
      <c r="DG282" s="55"/>
      <c r="DH282" s="55"/>
      <c r="DI282" s="53">
        <v>662.7</v>
      </c>
      <c r="DJ282" s="53">
        <v>373.8</v>
      </c>
      <c r="DK282" s="55"/>
      <c r="DL282" s="55"/>
      <c r="DM282" s="53">
        <v>275.3</v>
      </c>
      <c r="DN282" s="55"/>
      <c r="DO282" s="53">
        <v>266.39999999999998</v>
      </c>
      <c r="DP282" s="53">
        <v>287.89999999999998</v>
      </c>
      <c r="DQ282" s="55"/>
      <c r="DR282" s="55"/>
      <c r="DS282" s="53">
        <v>2223.308</v>
      </c>
      <c r="DT282" s="53">
        <v>4280.8</v>
      </c>
      <c r="DU282" s="53">
        <v>-191.39200000000028</v>
      </c>
      <c r="DV282" s="53">
        <v>0</v>
      </c>
      <c r="DW282" s="55"/>
      <c r="DX282" s="55"/>
      <c r="DY282" s="55"/>
      <c r="DZ282" s="55"/>
      <c r="EA282" s="53">
        <v>555.6</v>
      </c>
      <c r="EB282" s="53">
        <v>631.79999999999995</v>
      </c>
      <c r="EC282" s="55"/>
      <c r="ED282" s="55"/>
      <c r="EE282" s="53" t="e">
        <v>#VALUE!</v>
      </c>
      <c r="EF282" s="55"/>
      <c r="EG282" s="53">
        <v>117.4</v>
      </c>
      <c r="EH282" s="53">
        <v>289.60000000000002</v>
      </c>
      <c r="EI282" s="55"/>
      <c r="EJ282" s="55"/>
      <c r="EK282" s="55"/>
      <c r="EL282" s="53">
        <v>3275.5</v>
      </c>
      <c r="EM282" s="55"/>
      <c r="EN282" s="55"/>
      <c r="EO282" s="55"/>
      <c r="EP282" s="55"/>
      <c r="EQ282" s="53">
        <v>252.3</v>
      </c>
      <c r="ER282" s="53">
        <v>137</v>
      </c>
      <c r="ES282" s="55"/>
      <c r="ET282" s="55"/>
      <c r="EU282" s="53">
        <v>105.5</v>
      </c>
      <c r="EV282" s="55"/>
      <c r="EW282" s="53">
        <v>101.9</v>
      </c>
      <c r="EX282" s="53">
        <v>109</v>
      </c>
      <c r="EY282" s="55"/>
      <c r="EZ282" s="55"/>
      <c r="FA282" s="55"/>
      <c r="FB282" s="53">
        <v>1612.8</v>
      </c>
      <c r="FC282" s="55"/>
      <c r="FD282" s="55"/>
      <c r="FE282" s="55"/>
      <c r="FF282" s="55"/>
      <c r="FG282" s="53">
        <v>521.79999999999995</v>
      </c>
      <c r="FH282" s="53">
        <v>294.7</v>
      </c>
      <c r="FI282" s="55"/>
      <c r="FJ282" s="55"/>
      <c r="FK282" s="53">
        <v>214.7</v>
      </c>
      <c r="FL282" s="55"/>
      <c r="FM282" s="53">
        <v>211.2</v>
      </c>
      <c r="FN282" s="53">
        <v>225.2</v>
      </c>
      <c r="FO282" s="55"/>
      <c r="FP282" s="55"/>
      <c r="FQ282" s="55"/>
      <c r="FR282" s="53">
        <v>3367.3</v>
      </c>
      <c r="FS282" s="55"/>
      <c r="FT282" s="55"/>
      <c r="FU282" s="55"/>
      <c r="FV282" s="55"/>
      <c r="FW282" s="53">
        <v>410.2</v>
      </c>
      <c r="FX282" s="53">
        <v>136.80000000000001</v>
      </c>
      <c r="FY282" s="55"/>
      <c r="FZ282" s="55"/>
      <c r="GA282" s="53">
        <v>63.3</v>
      </c>
      <c r="GB282" s="55"/>
      <c r="GC282" s="53">
        <v>71.099999999999994</v>
      </c>
      <c r="GD282" s="53" t="e">
        <v>#VALUE!</v>
      </c>
      <c r="GE282" s="55"/>
      <c r="GF282" s="55"/>
      <c r="GG282" s="55"/>
      <c r="GH282" s="53">
        <v>1420.2</v>
      </c>
      <c r="GI282" s="55"/>
      <c r="GJ282" s="55"/>
      <c r="GK282" s="55"/>
      <c r="GL282" s="55"/>
      <c r="GM282" s="53">
        <v>89.1</v>
      </c>
      <c r="GN282" s="53" t="e">
        <v>#VALUE!</v>
      </c>
      <c r="GO282" s="55"/>
      <c r="GP282" s="55"/>
      <c r="GQ282" s="53">
        <v>13</v>
      </c>
      <c r="GR282" s="55"/>
      <c r="GS282" s="53" t="e">
        <v>#VALUE!</v>
      </c>
      <c r="GT282" s="53" t="e">
        <v>#VALUE!</v>
      </c>
      <c r="GU282" s="55"/>
      <c r="GV282" s="55"/>
      <c r="GW282" s="55"/>
      <c r="GX282" s="53">
        <v>299.10000000000002</v>
      </c>
      <c r="GY282" s="19">
        <v>0.97634357386679371</v>
      </c>
      <c r="GZ282" s="53">
        <v>1229.9000000000001</v>
      </c>
      <c r="HA282" s="53">
        <v>1259.7</v>
      </c>
      <c r="HB282" s="18">
        <v>-77.444786484599263</v>
      </c>
      <c r="HC282" s="55"/>
      <c r="HD282" s="18">
        <v>1342.0552135154007</v>
      </c>
      <c r="HE282" s="55"/>
      <c r="HF282" s="53">
        <v>1419.5</v>
      </c>
      <c r="HG282" s="53">
        <v>1387</v>
      </c>
      <c r="HH282" s="53">
        <v>680.2</v>
      </c>
      <c r="HI282" s="53">
        <v>92.5</v>
      </c>
      <c r="HJ282" s="53">
        <v>605.70000000000005</v>
      </c>
      <c r="HK282" s="53">
        <v>8.6</v>
      </c>
      <c r="HL282" s="53">
        <v>32.5</v>
      </c>
      <c r="HM282" s="55"/>
      <c r="HN282" s="55"/>
      <c r="HO282" s="55"/>
      <c r="HP282" s="53" t="e">
        <v>#VALUE!</v>
      </c>
      <c r="HQ282" s="53">
        <v>3.6</v>
      </c>
      <c r="HR282" s="53">
        <v>6.3</v>
      </c>
      <c r="HS282" s="53" t="e">
        <v>#VALUE!</v>
      </c>
      <c r="HT282" s="53">
        <v>16.600000000000001</v>
      </c>
      <c r="HU282" s="55"/>
      <c r="HV282" s="55"/>
      <c r="HW282" s="53">
        <v>245.5</v>
      </c>
      <c r="HX282" s="53" t="e">
        <v>#VALUE!</v>
      </c>
      <c r="HY282" s="53">
        <v>245.5</v>
      </c>
      <c r="HZ282" s="53">
        <v>50.2</v>
      </c>
      <c r="IA282" s="53">
        <v>177.8</v>
      </c>
      <c r="IB282" s="53">
        <v>74.7</v>
      </c>
      <c r="IC282" s="53">
        <v>48.3</v>
      </c>
      <c r="ID282" s="53" t="e">
        <v>#VALUE!</v>
      </c>
      <c r="IE282" s="53">
        <v>48.3</v>
      </c>
      <c r="IF282" s="53" t="e">
        <v>#VALUE!</v>
      </c>
      <c r="IG282" s="53" t="e">
        <v>#VALUE!</v>
      </c>
      <c r="IH282" s="55"/>
      <c r="II282" s="55"/>
      <c r="IJ282" s="55"/>
      <c r="IK282" s="55"/>
      <c r="IL282" s="12">
        <v>17.5</v>
      </c>
      <c r="IM282" s="55"/>
      <c r="IN282" s="53">
        <v>66.5</v>
      </c>
      <c r="IO282" s="53">
        <v>66.8</v>
      </c>
      <c r="IP282" s="53" t="e">
        <v>#VALUE!</v>
      </c>
      <c r="IQ282" s="53">
        <v>42</v>
      </c>
      <c r="IR282" s="53">
        <v>15.3</v>
      </c>
      <c r="IS282" s="53" t="e">
        <v>#VALUE!</v>
      </c>
      <c r="IT282" s="53">
        <v>25.3</v>
      </c>
      <c r="IU282" s="53" t="e">
        <v>#VALUE!</v>
      </c>
      <c r="IV282" s="53" t="e">
        <v>#VALUE!</v>
      </c>
      <c r="IY282" s="48">
        <f t="shared" si="14"/>
        <v>47.071575406466081</v>
      </c>
      <c r="IZ282" s="48">
        <f>IY282-'NOPA Crush'!J282</f>
        <v>5.1575406466078277E-2</v>
      </c>
      <c r="JB282" s="63">
        <f t="shared" si="12"/>
        <v>11.302560269108579</v>
      </c>
      <c r="JC282" s="64">
        <f>JB282-'NOPA Crush'!O282</f>
        <v>-4.743973089142095E-2</v>
      </c>
      <c r="JD282" s="65"/>
      <c r="JE282" s="67">
        <f t="shared" si="13"/>
        <v>2394.7999999999997</v>
      </c>
      <c r="JF282" s="68">
        <f>'NOPA Crush'!Q282/'Census Crush'!JE282</f>
        <v>0.80354852179722736</v>
      </c>
    </row>
    <row r="283" spans="1:266">
      <c r="A283" s="39">
        <v>37653</v>
      </c>
      <c r="B283" s="51">
        <v>3875</v>
      </c>
      <c r="C283" s="51">
        <v>3086.5</v>
      </c>
      <c r="D283" s="51">
        <v>224.5</v>
      </c>
      <c r="E283" s="51">
        <v>1311.4</v>
      </c>
      <c r="F283" s="51">
        <v>24.2</v>
      </c>
      <c r="G283" s="51" t="s">
        <v>264</v>
      </c>
      <c r="H283" s="51" t="s">
        <v>264</v>
      </c>
      <c r="I283" s="51" t="s">
        <v>264</v>
      </c>
      <c r="J283" s="51" t="s">
        <v>264</v>
      </c>
      <c r="K283" s="51">
        <v>1473.6</v>
      </c>
      <c r="L283" s="49">
        <v>2271.4</v>
      </c>
      <c r="M283" s="51">
        <v>2062.8000000000002</v>
      </c>
      <c r="N283" s="51">
        <v>208.6</v>
      </c>
      <c r="O283" s="53">
        <v>65.599999999999994</v>
      </c>
      <c r="P283" s="51">
        <v>57.599999999999994</v>
      </c>
      <c r="Q283" s="51">
        <v>9.3000000000000007</v>
      </c>
      <c r="R283" s="51">
        <v>48.3</v>
      </c>
      <c r="S283" s="51"/>
      <c r="T283" s="51">
        <v>20.9</v>
      </c>
      <c r="U283" s="51">
        <v>91.100000000000009</v>
      </c>
      <c r="V283" s="51">
        <v>81.900000000000006</v>
      </c>
      <c r="W283" s="51">
        <v>9.1999999999999993</v>
      </c>
      <c r="X283" s="51" t="s">
        <v>264</v>
      </c>
      <c r="Y283" s="51" t="s">
        <v>264</v>
      </c>
      <c r="Z283" s="9">
        <v>54.6</v>
      </c>
      <c r="AA283" s="51" t="s">
        <v>264</v>
      </c>
      <c r="AB283" s="51" t="s">
        <v>264</v>
      </c>
      <c r="AC283" s="51" t="s">
        <v>264</v>
      </c>
      <c r="AD283" s="51" t="s">
        <v>264</v>
      </c>
      <c r="AE283" s="51"/>
      <c r="AF283" s="51">
        <v>53.3</v>
      </c>
      <c r="AG283" s="51">
        <v>31.5</v>
      </c>
      <c r="AH283" s="51">
        <v>21.8</v>
      </c>
      <c r="AI283" s="51">
        <v>181.7</v>
      </c>
      <c r="AJ283" s="55"/>
      <c r="AK283" s="55"/>
      <c r="AL283" s="9">
        <v>133.69999999999999</v>
      </c>
      <c r="AM283" s="76">
        <f>FORECAST(AL283,AM271:AM282,AL271:AL282)</f>
        <v>76.296038719041519</v>
      </c>
      <c r="AN283" s="76">
        <f>AL283-AM283</f>
        <v>57.40396128095847</v>
      </c>
      <c r="AO283" s="51">
        <v>2838.8</v>
      </c>
      <c r="AP283" s="51">
        <v>221.1</v>
      </c>
      <c r="AQ283" s="51">
        <v>209.7</v>
      </c>
      <c r="AR283" s="51">
        <v>38.4</v>
      </c>
      <c r="AS283" s="51">
        <v>100.3</v>
      </c>
      <c r="AT283" s="51">
        <v>33.4</v>
      </c>
      <c r="AU283" s="51">
        <v>63.2</v>
      </c>
      <c r="AV283" s="51">
        <v>25.6</v>
      </c>
      <c r="AW283" s="51">
        <v>13.1</v>
      </c>
      <c r="AX283" s="51">
        <v>2.1</v>
      </c>
      <c r="AY283" s="51" t="s">
        <v>264</v>
      </c>
      <c r="AZ283" s="51" t="s">
        <v>264</v>
      </c>
      <c r="BA283" s="51" t="s">
        <v>264</v>
      </c>
      <c r="BB283" s="51" t="s">
        <v>264</v>
      </c>
      <c r="BC283" s="55"/>
      <c r="BD283" s="53">
        <v>154.9</v>
      </c>
      <c r="BE283" s="53">
        <v>30.3</v>
      </c>
      <c r="BF283" s="53">
        <v>61.9</v>
      </c>
      <c r="BG283" s="53">
        <v>9.3000000000000007</v>
      </c>
      <c r="BH283" s="53">
        <v>284.7</v>
      </c>
      <c r="BI283" s="53">
        <v>91.4</v>
      </c>
      <c r="BJ283" s="53">
        <v>99.1</v>
      </c>
      <c r="BK283" s="53">
        <v>190.5</v>
      </c>
      <c r="BL283" s="53">
        <v>0</v>
      </c>
      <c r="BM283" s="53">
        <v>475.2</v>
      </c>
      <c r="BN283" s="53">
        <v>242.9</v>
      </c>
      <c r="BO283" s="53">
        <v>51.8</v>
      </c>
      <c r="BP283" s="53">
        <v>39.5</v>
      </c>
      <c r="BQ283" s="53">
        <v>91.3</v>
      </c>
      <c r="BR283" s="53">
        <v>0</v>
      </c>
      <c r="BS283" s="53">
        <v>334.2</v>
      </c>
      <c r="BT283" s="53">
        <v>21.9</v>
      </c>
      <c r="BU283" s="53">
        <v>18.7</v>
      </c>
      <c r="BV283" s="51" t="s">
        <v>264</v>
      </c>
      <c r="BW283" s="51" t="s">
        <v>264</v>
      </c>
      <c r="BX283" s="51">
        <v>334.2</v>
      </c>
      <c r="BY283" s="51" t="s">
        <v>264</v>
      </c>
      <c r="BZ283" s="51" t="s">
        <v>264</v>
      </c>
      <c r="CA283" s="51">
        <v>49.3</v>
      </c>
      <c r="CB283" s="53">
        <v>68.7</v>
      </c>
      <c r="CC283" s="53" t="s">
        <v>264</v>
      </c>
      <c r="CD283" s="53">
        <v>74.5</v>
      </c>
      <c r="CE283" s="53">
        <v>9.3000000000000007</v>
      </c>
      <c r="CF283" s="53">
        <v>88.9</v>
      </c>
      <c r="CG283" s="53">
        <v>167.3</v>
      </c>
      <c r="CH283" s="53">
        <v>18.582000000000001</v>
      </c>
      <c r="CI283" s="55"/>
      <c r="CJ283" s="55"/>
      <c r="CK283" s="9">
        <v>167.5</v>
      </c>
      <c r="CL283" s="9">
        <v>20.5</v>
      </c>
      <c r="CM283" s="9"/>
      <c r="CN283" s="53">
        <v>43</v>
      </c>
      <c r="CO283" s="52">
        <v>212.39999999999998</v>
      </c>
      <c r="CP283" s="53">
        <v>161.1</v>
      </c>
      <c r="CQ283" s="53">
        <v>51.3</v>
      </c>
      <c r="CR283" s="52" t="s">
        <v>264</v>
      </c>
      <c r="CS283" s="52">
        <v>28</v>
      </c>
      <c r="CT283" s="52"/>
      <c r="CU283" s="52"/>
      <c r="CV283" s="52">
        <v>86.3</v>
      </c>
      <c r="CW283" s="52" t="s">
        <v>264</v>
      </c>
      <c r="CX283" s="52" t="s">
        <v>264</v>
      </c>
      <c r="CY283" s="53" t="s">
        <v>264</v>
      </c>
      <c r="CZ283" s="53">
        <v>74.2</v>
      </c>
      <c r="DA283" s="12">
        <v>11.6</v>
      </c>
      <c r="DB283" s="53" t="s">
        <v>264</v>
      </c>
      <c r="DC283" s="53" t="s">
        <v>264</v>
      </c>
      <c r="DD283" s="55"/>
      <c r="DE283" s="55"/>
      <c r="DF283" s="55"/>
      <c r="DG283" s="55"/>
      <c r="DH283" s="55"/>
      <c r="DI283" s="53">
        <v>628.70000000000005</v>
      </c>
      <c r="DJ283" s="53">
        <v>348</v>
      </c>
      <c r="DK283" s="55"/>
      <c r="DL283" s="55"/>
      <c r="DM283" s="53">
        <v>244.3</v>
      </c>
      <c r="DN283" s="55"/>
      <c r="DO283" s="53">
        <v>184.6</v>
      </c>
      <c r="DP283" s="53">
        <v>237.4</v>
      </c>
      <c r="DQ283" s="55"/>
      <c r="DR283" s="55"/>
      <c r="DS283" s="53">
        <v>2053.0949999999998</v>
      </c>
      <c r="DT283" s="53">
        <v>3875</v>
      </c>
      <c r="DU283" s="53">
        <v>-178.9050000000002</v>
      </c>
      <c r="DV283" s="53">
        <v>0</v>
      </c>
      <c r="DW283" s="55"/>
      <c r="DX283" s="55"/>
      <c r="DY283" s="55"/>
      <c r="DZ283" s="55"/>
      <c r="EA283" s="53">
        <v>486.1</v>
      </c>
      <c r="EB283" s="53">
        <v>616.29999999999995</v>
      </c>
      <c r="EC283" s="55"/>
      <c r="ED283" s="55"/>
      <c r="EE283" s="53" t="e">
        <v>#VALUE!</v>
      </c>
      <c r="EF283" s="55"/>
      <c r="EG283" s="53">
        <v>168.2</v>
      </c>
      <c r="EH283" s="53">
        <v>299.5</v>
      </c>
      <c r="EI283" s="55"/>
      <c r="EJ283" s="55"/>
      <c r="EK283" s="55"/>
      <c r="EL283" s="53">
        <v>3086.5</v>
      </c>
      <c r="EM283" s="55"/>
      <c r="EN283" s="55"/>
      <c r="EO283" s="55"/>
      <c r="EP283" s="55"/>
      <c r="EQ283" s="53">
        <v>242.2</v>
      </c>
      <c r="ER283" s="53">
        <v>131.9</v>
      </c>
      <c r="ES283" s="55"/>
      <c r="ET283" s="55"/>
      <c r="EU283" s="53">
        <v>92.5</v>
      </c>
      <c r="EV283" s="55"/>
      <c r="EW283" s="53">
        <v>70.5</v>
      </c>
      <c r="EX283" s="53">
        <v>89.6</v>
      </c>
      <c r="EY283" s="55"/>
      <c r="EZ283" s="55"/>
      <c r="FA283" s="55"/>
      <c r="FB283" s="53">
        <v>1473.6</v>
      </c>
      <c r="FC283" s="55"/>
      <c r="FD283" s="55"/>
      <c r="FE283" s="55"/>
      <c r="FF283" s="55"/>
      <c r="FG283" s="53">
        <v>495.4</v>
      </c>
      <c r="FH283" s="53">
        <v>275.39999999999998</v>
      </c>
      <c r="FI283" s="55"/>
      <c r="FJ283" s="55"/>
      <c r="FK283" s="53">
        <v>191</v>
      </c>
      <c r="FL283" s="55"/>
      <c r="FM283" s="53">
        <v>147.19999999999999</v>
      </c>
      <c r="FN283" s="53">
        <v>188.1</v>
      </c>
      <c r="FO283" s="55"/>
      <c r="FP283" s="55"/>
      <c r="FQ283" s="55"/>
      <c r="FR283" s="53">
        <v>3056.6</v>
      </c>
      <c r="FS283" s="55"/>
      <c r="FT283" s="55"/>
      <c r="FU283" s="55"/>
      <c r="FV283" s="55"/>
      <c r="FW283" s="53">
        <v>419.6</v>
      </c>
      <c r="FX283" s="53" t="e">
        <v>#VALUE!</v>
      </c>
      <c r="FY283" s="55"/>
      <c r="FZ283" s="55"/>
      <c r="GA283" s="53">
        <v>45.3</v>
      </c>
      <c r="GB283" s="55"/>
      <c r="GC283" s="53">
        <v>69.5</v>
      </c>
      <c r="GD283" s="53" t="e">
        <v>#VALUE!</v>
      </c>
      <c r="GE283" s="55"/>
      <c r="GF283" s="55"/>
      <c r="GG283" s="55"/>
      <c r="GH283" s="53">
        <v>1410.2</v>
      </c>
      <c r="GI283" s="55"/>
      <c r="GJ283" s="55"/>
      <c r="GK283" s="55"/>
      <c r="GL283" s="55"/>
      <c r="GM283" s="53">
        <v>54.8</v>
      </c>
      <c r="GN283" s="53" t="e">
        <v>#VALUE!</v>
      </c>
      <c r="GO283" s="55"/>
      <c r="GP283" s="55"/>
      <c r="GQ283" s="53" t="e">
        <v>#VALUE!</v>
      </c>
      <c r="GR283" s="55"/>
      <c r="GS283" s="53" t="e">
        <v>#VALUE!</v>
      </c>
      <c r="GT283" s="53" t="e">
        <v>#VALUE!</v>
      </c>
      <c r="GU283" s="55"/>
      <c r="GV283" s="55"/>
      <c r="GW283" s="55"/>
      <c r="GX283" s="53">
        <v>259.5</v>
      </c>
      <c r="GY283" s="19">
        <v>0.97477156949947441</v>
      </c>
      <c r="GZ283" s="53">
        <v>1205.5</v>
      </c>
      <c r="HA283" s="53">
        <v>1236.7</v>
      </c>
      <c r="HB283" s="18">
        <v>-85.183784230000583</v>
      </c>
      <c r="HC283" s="55"/>
      <c r="HD283" s="18">
        <v>1281.8162157699994</v>
      </c>
      <c r="HE283" s="55"/>
      <c r="HF283" s="53">
        <v>1367</v>
      </c>
      <c r="HG283" s="53">
        <v>1327.9</v>
      </c>
      <c r="HH283" s="53">
        <v>630.4</v>
      </c>
      <c r="HI283" s="53">
        <v>91.6</v>
      </c>
      <c r="HJ283" s="53">
        <v>597.20000000000005</v>
      </c>
      <c r="HK283" s="53">
        <v>8.8000000000000007</v>
      </c>
      <c r="HL283" s="53">
        <v>39.1</v>
      </c>
      <c r="HM283" s="55"/>
      <c r="HN283" s="55"/>
      <c r="HO283" s="55"/>
      <c r="HP283" s="53" t="e">
        <v>#VALUE!</v>
      </c>
      <c r="HQ283" s="53">
        <v>5.2</v>
      </c>
      <c r="HR283" s="53">
        <v>7.6</v>
      </c>
      <c r="HS283" s="53" t="e">
        <v>#VALUE!</v>
      </c>
      <c r="HT283" s="53">
        <v>18.2</v>
      </c>
      <c r="HU283" s="55"/>
      <c r="HV283" s="55"/>
      <c r="HW283" s="53">
        <v>304.7</v>
      </c>
      <c r="HX283" s="53" t="e">
        <v>#VALUE!</v>
      </c>
      <c r="HY283" s="53">
        <v>304.7</v>
      </c>
      <c r="HZ283" s="53">
        <v>82.5</v>
      </c>
      <c r="IA283" s="53">
        <v>201.8</v>
      </c>
      <c r="IB283" s="53">
        <v>83.7</v>
      </c>
      <c r="IC283" s="53">
        <v>49.3</v>
      </c>
      <c r="ID283" s="53" t="e">
        <v>#VALUE!</v>
      </c>
      <c r="IE283" s="53">
        <v>49.3</v>
      </c>
      <c r="IF283" s="53" t="e">
        <v>#VALUE!</v>
      </c>
      <c r="IG283" s="53" t="e">
        <v>#VALUE!</v>
      </c>
      <c r="IH283" s="55"/>
      <c r="II283" s="55"/>
      <c r="IJ283" s="55"/>
      <c r="IK283" s="55"/>
      <c r="IL283" s="12">
        <v>20.399999999999977</v>
      </c>
      <c r="IM283" s="55"/>
      <c r="IN283" s="53">
        <v>55.6</v>
      </c>
      <c r="IO283" s="53">
        <v>55.8</v>
      </c>
      <c r="IP283" s="53" t="e">
        <v>#VALUE!</v>
      </c>
      <c r="IQ283" s="53">
        <v>42.4</v>
      </c>
      <c r="IR283" s="53">
        <v>13.2</v>
      </c>
      <c r="IS283" s="53" t="e">
        <v>#VALUE!</v>
      </c>
      <c r="IT283" s="53">
        <v>27.7</v>
      </c>
      <c r="IU283" s="53" t="e">
        <v>#VALUE!</v>
      </c>
      <c r="IV283" s="53" t="e">
        <v>#VALUE!</v>
      </c>
      <c r="IY283" s="48">
        <f t="shared" si="14"/>
        <v>47.202580645161291</v>
      </c>
      <c r="IZ283" s="48">
        <f>IY283-'NOPA Crush'!J283</f>
        <v>0.41258064516129167</v>
      </c>
      <c r="JB283" s="63">
        <f t="shared" si="12"/>
        <v>11.408516129032257</v>
      </c>
      <c r="JC283" s="64">
        <f>JB283-'NOPA Crush'!O283</f>
        <v>-6.1483870967743215E-2</v>
      </c>
      <c r="JD283" s="65"/>
      <c r="JE283" s="67">
        <f t="shared" si="13"/>
        <v>2271.4</v>
      </c>
      <c r="JF283" s="68">
        <f>'NOPA Crush'!Q283/'Census Crush'!JE283</f>
        <v>0.80715902086818703</v>
      </c>
    </row>
    <row r="284" spans="1:266">
      <c r="A284" s="39">
        <v>37681</v>
      </c>
      <c r="B284" s="51">
        <v>4282.5</v>
      </c>
      <c r="C284" s="51">
        <v>2746.1</v>
      </c>
      <c r="D284" s="51">
        <v>230.4</v>
      </c>
      <c r="E284" s="51">
        <v>1093.2</v>
      </c>
      <c r="F284" s="51">
        <v>28.3</v>
      </c>
      <c r="G284" s="51" t="s">
        <v>264</v>
      </c>
      <c r="H284" s="51" t="s">
        <v>264</v>
      </c>
      <c r="I284" s="51" t="s">
        <v>264</v>
      </c>
      <c r="J284" s="51" t="s">
        <v>264</v>
      </c>
      <c r="K284" s="51">
        <v>1633.3</v>
      </c>
      <c r="L284" s="49">
        <v>2257.6999999999998</v>
      </c>
      <c r="M284" s="51">
        <v>2041.8</v>
      </c>
      <c r="N284" s="51">
        <v>215.9</v>
      </c>
      <c r="O284" s="53">
        <v>66.7</v>
      </c>
      <c r="P284" s="51">
        <v>72.3</v>
      </c>
      <c r="Q284" s="51">
        <v>8.9</v>
      </c>
      <c r="R284" s="51">
        <v>63.4</v>
      </c>
      <c r="S284" s="51"/>
      <c r="T284" s="51">
        <v>24.2</v>
      </c>
      <c r="U284" s="51">
        <v>95</v>
      </c>
      <c r="V284" s="51">
        <v>87</v>
      </c>
      <c r="W284" s="51">
        <v>8</v>
      </c>
      <c r="X284" s="51" t="s">
        <v>264</v>
      </c>
      <c r="Y284" s="51" t="s">
        <v>264</v>
      </c>
      <c r="Z284" s="9">
        <v>50.8</v>
      </c>
      <c r="AA284" s="51" t="s">
        <v>264</v>
      </c>
      <c r="AB284" s="51" t="s">
        <v>264</v>
      </c>
      <c r="AC284" s="51" t="s">
        <v>264</v>
      </c>
      <c r="AD284" s="51">
        <v>35.200000000000003</v>
      </c>
      <c r="AE284" s="51"/>
      <c r="AF284" s="51">
        <v>73.3</v>
      </c>
      <c r="AG284" s="51">
        <v>45.9</v>
      </c>
      <c r="AH284" s="51">
        <v>27.4</v>
      </c>
      <c r="AI284" s="51">
        <v>206</v>
      </c>
      <c r="AJ284" s="55"/>
      <c r="AK284" s="55"/>
      <c r="AL284" s="51">
        <v>97.199999999999989</v>
      </c>
      <c r="AM284" s="51">
        <v>47.9</v>
      </c>
      <c r="AN284" s="51">
        <v>49.3</v>
      </c>
      <c r="AO284" s="51">
        <v>3127.1</v>
      </c>
      <c r="AP284" s="51">
        <v>293.39999999999998</v>
      </c>
      <c r="AQ284" s="51">
        <v>231.1</v>
      </c>
      <c r="AR284" s="51">
        <v>42.3</v>
      </c>
      <c r="AS284" s="51">
        <v>96.7</v>
      </c>
      <c r="AT284" s="51">
        <v>32.700000000000003</v>
      </c>
      <c r="AU284" s="51">
        <v>66.599999999999994</v>
      </c>
      <c r="AV284" s="51">
        <v>26.2</v>
      </c>
      <c r="AW284" s="51">
        <v>15.7</v>
      </c>
      <c r="AX284" s="51">
        <v>3.3</v>
      </c>
      <c r="AY284" s="51" t="s">
        <v>264</v>
      </c>
      <c r="AZ284" s="51" t="s">
        <v>264</v>
      </c>
      <c r="BA284" s="51" t="s">
        <v>264</v>
      </c>
      <c r="BB284" s="51" t="s">
        <v>264</v>
      </c>
      <c r="BC284" s="55"/>
      <c r="BD284" s="53">
        <v>162.5</v>
      </c>
      <c r="BE284" s="53">
        <v>24.9</v>
      </c>
      <c r="BF284" s="53">
        <v>65.7</v>
      </c>
      <c r="BG284" s="53">
        <v>5.8</v>
      </c>
      <c r="BH284" s="53">
        <v>304.5</v>
      </c>
      <c r="BI284" s="53">
        <v>110.2</v>
      </c>
      <c r="BJ284" s="53">
        <v>101.7</v>
      </c>
      <c r="BK284" s="53">
        <v>211.9</v>
      </c>
      <c r="BL284" s="53">
        <v>0</v>
      </c>
      <c r="BM284" s="53">
        <v>516.4</v>
      </c>
      <c r="BN284" s="53">
        <v>246.53200000000001</v>
      </c>
      <c r="BO284" s="53">
        <v>52.5</v>
      </c>
      <c r="BP284" s="53">
        <v>38.700000000000003</v>
      </c>
      <c r="BQ284" s="53">
        <v>91.2</v>
      </c>
      <c r="BR284" s="53">
        <v>0</v>
      </c>
      <c r="BS284" s="53">
        <v>337.73200000000003</v>
      </c>
      <c r="BT284" s="53">
        <v>21</v>
      </c>
      <c r="BU284" s="53">
        <v>15.3</v>
      </c>
      <c r="BV284" s="51" t="s">
        <v>264</v>
      </c>
      <c r="BW284" s="51" t="s">
        <v>264</v>
      </c>
      <c r="BX284" s="51">
        <v>357.4</v>
      </c>
      <c r="BY284" s="51" t="s">
        <v>264</v>
      </c>
      <c r="BZ284" s="51" t="s">
        <v>264</v>
      </c>
      <c r="CA284" s="51">
        <v>48.4</v>
      </c>
      <c r="CB284" s="53">
        <v>73.3</v>
      </c>
      <c r="CC284" s="53">
        <v>11.89</v>
      </c>
      <c r="CD284" s="53">
        <v>71.099999999999994</v>
      </c>
      <c r="CE284" s="53">
        <v>9.4</v>
      </c>
      <c r="CF284" s="53">
        <v>111.5</v>
      </c>
      <c r="CG284" s="53">
        <v>156.30000000000001</v>
      </c>
      <c r="CH284" s="53">
        <v>20.43</v>
      </c>
      <c r="CI284" s="55"/>
      <c r="CJ284" s="55"/>
      <c r="CK284" s="9">
        <v>185.8</v>
      </c>
      <c r="CL284" s="9">
        <v>24.5</v>
      </c>
      <c r="CM284" s="9"/>
      <c r="CN284" s="53">
        <v>50.4</v>
      </c>
      <c r="CO284" s="52">
        <v>223.2</v>
      </c>
      <c r="CP284" s="53">
        <v>148.69999999999999</v>
      </c>
      <c r="CQ284" s="53">
        <v>74.5</v>
      </c>
      <c r="CR284" s="52" t="s">
        <v>264</v>
      </c>
      <c r="CS284" s="52">
        <v>34.9</v>
      </c>
      <c r="CT284" s="52"/>
      <c r="CU284" s="52"/>
      <c r="CV284" s="52">
        <v>103.2</v>
      </c>
      <c r="CW284" s="52" t="s">
        <v>264</v>
      </c>
      <c r="CX284" s="52" t="s">
        <v>264</v>
      </c>
      <c r="CY284" s="53" t="s">
        <v>264</v>
      </c>
      <c r="CZ284" s="53">
        <v>95.7</v>
      </c>
      <c r="DA284" s="12">
        <v>8.8000000000000007</v>
      </c>
      <c r="DB284" s="53" t="s">
        <v>264</v>
      </c>
      <c r="DC284" s="53" t="s">
        <v>264</v>
      </c>
      <c r="DD284" s="55"/>
      <c r="DE284" s="55"/>
      <c r="DF284" s="55"/>
      <c r="DG284" s="55"/>
      <c r="DH284" s="55"/>
      <c r="DI284" s="53">
        <v>695.6</v>
      </c>
      <c r="DJ284" s="53">
        <v>367.7</v>
      </c>
      <c r="DK284" s="55"/>
      <c r="DL284" s="55"/>
      <c r="DM284" s="53">
        <v>277.7</v>
      </c>
      <c r="DN284" s="55"/>
      <c r="DO284" s="53">
        <v>236.5</v>
      </c>
      <c r="DP284" s="53">
        <v>269.7</v>
      </c>
      <c r="DQ284" s="55"/>
      <c r="DR284" s="55"/>
      <c r="DS284" s="53">
        <v>2255.1010000000001</v>
      </c>
      <c r="DT284" s="53">
        <v>4282.5</v>
      </c>
      <c r="DU284" s="53">
        <v>-180.19899999999961</v>
      </c>
      <c r="DV284" s="53">
        <v>0</v>
      </c>
      <c r="DW284" s="55"/>
      <c r="DX284" s="55"/>
      <c r="DY284" s="55"/>
      <c r="DZ284" s="55"/>
      <c r="EA284" s="53">
        <v>385</v>
      </c>
      <c r="EB284" s="53">
        <v>594.5</v>
      </c>
      <c r="EC284" s="55"/>
      <c r="ED284" s="55"/>
      <c r="EE284" s="53" t="e">
        <v>#VALUE!</v>
      </c>
      <c r="EF284" s="55"/>
      <c r="EG284" s="53">
        <v>147.30000000000001</v>
      </c>
      <c r="EH284" s="53">
        <v>299.2</v>
      </c>
      <c r="EI284" s="55"/>
      <c r="EJ284" s="55"/>
      <c r="EK284" s="55"/>
      <c r="EL284" s="53">
        <v>2746.1</v>
      </c>
      <c r="EM284" s="55"/>
      <c r="EN284" s="55"/>
      <c r="EO284" s="55"/>
      <c r="EP284" s="55"/>
      <c r="EQ284" s="53">
        <v>268.89999999999998</v>
      </c>
      <c r="ER284" s="53">
        <v>140.5</v>
      </c>
      <c r="ES284" s="55"/>
      <c r="ET284" s="55"/>
      <c r="EU284" s="53">
        <v>102.8</v>
      </c>
      <c r="EV284" s="55"/>
      <c r="EW284" s="53">
        <v>95</v>
      </c>
      <c r="EX284" s="53">
        <v>118.6</v>
      </c>
      <c r="EY284" s="55"/>
      <c r="EZ284" s="55"/>
      <c r="FA284" s="55"/>
      <c r="FB284" s="53">
        <v>1633.3</v>
      </c>
      <c r="FC284" s="55"/>
      <c r="FD284" s="55"/>
      <c r="FE284" s="55"/>
      <c r="FF284" s="55"/>
      <c r="FG284" s="53">
        <v>546.79999999999995</v>
      </c>
      <c r="FH284" s="53">
        <v>291.60000000000002</v>
      </c>
      <c r="FI284" s="55"/>
      <c r="FJ284" s="55"/>
      <c r="FK284" s="53">
        <v>217.3</v>
      </c>
      <c r="FL284" s="55"/>
      <c r="FM284" s="53">
        <v>188.2</v>
      </c>
      <c r="FN284" s="53">
        <v>212.2</v>
      </c>
      <c r="FO284" s="55"/>
      <c r="FP284" s="55"/>
      <c r="FQ284" s="55"/>
      <c r="FR284" s="53">
        <v>3369.7</v>
      </c>
      <c r="FS284" s="55"/>
      <c r="FT284" s="55"/>
      <c r="FU284" s="55"/>
      <c r="FV284" s="55"/>
      <c r="FW284" s="53">
        <v>410</v>
      </c>
      <c r="FX284" s="53" t="e">
        <v>#VALUE!</v>
      </c>
      <c r="FY284" s="55"/>
      <c r="FZ284" s="55"/>
      <c r="GA284" s="53">
        <v>46.7</v>
      </c>
      <c r="GB284" s="55"/>
      <c r="GC284" s="53">
        <v>64</v>
      </c>
      <c r="GD284" s="53" t="e">
        <v>#VALUE!</v>
      </c>
      <c r="GE284" s="55"/>
      <c r="GF284" s="55"/>
      <c r="GG284" s="55"/>
      <c r="GH284" s="53">
        <v>1382.6</v>
      </c>
      <c r="GI284" s="55"/>
      <c r="GJ284" s="55"/>
      <c r="GK284" s="55"/>
      <c r="GL284" s="55"/>
      <c r="GM284" s="53">
        <v>57.1</v>
      </c>
      <c r="GN284" s="53" t="e">
        <v>#VALUE!</v>
      </c>
      <c r="GO284" s="55"/>
      <c r="GP284" s="55"/>
      <c r="GQ284" s="53">
        <v>25.6</v>
      </c>
      <c r="GR284" s="55"/>
      <c r="GS284" s="53" t="e">
        <v>#VALUE!</v>
      </c>
      <c r="GT284" s="53" t="e">
        <v>#VALUE!</v>
      </c>
      <c r="GU284" s="55"/>
      <c r="GV284" s="55"/>
      <c r="GW284" s="55"/>
      <c r="GX284" s="53">
        <v>335.7</v>
      </c>
      <c r="GY284" s="19">
        <v>0.97568615751789978</v>
      </c>
      <c r="GZ284" s="53">
        <v>1308.2</v>
      </c>
      <c r="HA284" s="53">
        <v>1340.8</v>
      </c>
      <c r="HB284" s="18">
        <v>-111.79141752960004</v>
      </c>
      <c r="HC284" s="55"/>
      <c r="HD284" s="18">
        <v>1376.8085824703999</v>
      </c>
      <c r="HE284" s="55"/>
      <c r="HF284" s="53">
        <v>1488.6</v>
      </c>
      <c r="HG284" s="53">
        <v>1452.3</v>
      </c>
      <c r="HH284" s="53">
        <v>689.4</v>
      </c>
      <c r="HI284" s="53">
        <v>85.8</v>
      </c>
      <c r="HJ284" s="53">
        <v>666.7</v>
      </c>
      <c r="HK284" s="53">
        <v>10.4</v>
      </c>
      <c r="HL284" s="53">
        <v>36.299999999999997</v>
      </c>
      <c r="HM284" s="55"/>
      <c r="HN284" s="55"/>
      <c r="HO284" s="55"/>
      <c r="HP284" s="53" t="e">
        <v>#VALUE!</v>
      </c>
      <c r="HQ284" s="53">
        <v>5.7</v>
      </c>
      <c r="HR284" s="53">
        <v>7.5</v>
      </c>
      <c r="HS284" s="53" t="e">
        <v>#VALUE!</v>
      </c>
      <c r="HT284" s="53">
        <v>14.8</v>
      </c>
      <c r="HU284" s="55"/>
      <c r="HV284" s="55"/>
      <c r="HW284" s="53">
        <v>276.60000000000002</v>
      </c>
      <c r="HX284" s="53" t="e">
        <v>#VALUE!</v>
      </c>
      <c r="HY284" s="53">
        <v>276.60000000000002</v>
      </c>
      <c r="HZ284" s="53">
        <v>52.5</v>
      </c>
      <c r="IA284" s="53">
        <v>203</v>
      </c>
      <c r="IB284" s="53">
        <v>82</v>
      </c>
      <c r="IC284" s="53">
        <v>51.6</v>
      </c>
      <c r="ID284" s="53" t="e">
        <v>#VALUE!</v>
      </c>
      <c r="IE284" s="53">
        <v>51.6</v>
      </c>
      <c r="IF284" s="53" t="e">
        <v>#VALUE!</v>
      </c>
      <c r="IG284" s="53" t="e">
        <v>#VALUE!</v>
      </c>
      <c r="IH284" s="55"/>
      <c r="II284" s="55"/>
      <c r="IJ284" s="55"/>
      <c r="IK284" s="55"/>
      <c r="IL284" s="12">
        <v>21.100000000000023</v>
      </c>
      <c r="IM284" s="55"/>
      <c r="IN284" s="53">
        <v>56.8</v>
      </c>
      <c r="IO284" s="53">
        <v>57.1</v>
      </c>
      <c r="IP284" s="53" t="e">
        <v>#VALUE!</v>
      </c>
      <c r="IQ284" s="53">
        <v>38.1</v>
      </c>
      <c r="IR284" s="53">
        <v>12.2</v>
      </c>
      <c r="IS284" s="53" t="e">
        <v>#VALUE!</v>
      </c>
      <c r="IT284" s="53">
        <v>24.3</v>
      </c>
      <c r="IU284" s="53" t="e">
        <v>#VALUE!</v>
      </c>
      <c r="IV284" s="53" t="e">
        <v>#VALUE!</v>
      </c>
      <c r="IY284" s="48">
        <f t="shared" si="14"/>
        <v>47.050087565674254</v>
      </c>
      <c r="IZ284" s="48">
        <f>IY284-'NOPA Crush'!J284</f>
        <v>-4.9912434325747768E-2</v>
      </c>
      <c r="JB284" s="63">
        <f t="shared" si="12"/>
        <v>11.441681260945709</v>
      </c>
      <c r="JC284" s="64">
        <f>JB284-'NOPA Crush'!O284</f>
        <v>-2.8318739054292053E-2</v>
      </c>
      <c r="JD284" s="65"/>
      <c r="JE284" s="67">
        <f t="shared" si="13"/>
        <v>2257.6999999999998</v>
      </c>
      <c r="JF284" s="68">
        <f>'NOPA Crush'!Q284/'Census Crush'!JE284</f>
        <v>0.77947335784205174</v>
      </c>
    </row>
    <row r="285" spans="1:266">
      <c r="A285" s="39">
        <v>37712</v>
      </c>
      <c r="B285" s="51">
        <v>3809.9</v>
      </c>
      <c r="C285" s="51">
        <v>2748</v>
      </c>
      <c r="D285" s="51">
        <v>241.5</v>
      </c>
      <c r="E285" s="51">
        <v>862.6</v>
      </c>
      <c r="F285" s="51">
        <v>29.8</v>
      </c>
      <c r="G285" s="51" t="s">
        <v>264</v>
      </c>
      <c r="H285" s="51" t="s">
        <v>264</v>
      </c>
      <c r="I285" s="51" t="s">
        <v>264</v>
      </c>
      <c r="J285" s="51" t="s">
        <v>264</v>
      </c>
      <c r="K285" s="51">
        <v>1447.5</v>
      </c>
      <c r="L285" s="49">
        <v>2120.6999999999998</v>
      </c>
      <c r="M285" s="51">
        <v>1916.5</v>
      </c>
      <c r="N285" s="51">
        <v>204.2</v>
      </c>
      <c r="O285" s="53">
        <v>71</v>
      </c>
      <c r="P285" s="51">
        <v>83.2</v>
      </c>
      <c r="Q285" s="51">
        <v>9.6999999999999993</v>
      </c>
      <c r="R285" s="56">
        <v>73.5</v>
      </c>
      <c r="S285" s="56"/>
      <c r="T285" s="51">
        <v>25.5</v>
      </c>
      <c r="U285" s="51">
        <v>74.900000000000006</v>
      </c>
      <c r="V285" s="51">
        <v>68.5</v>
      </c>
      <c r="W285" s="51">
        <v>6.4</v>
      </c>
      <c r="X285" s="51" t="s">
        <v>264</v>
      </c>
      <c r="Y285" s="51" t="s">
        <v>264</v>
      </c>
      <c r="Z285" s="9">
        <v>37.299999999999997</v>
      </c>
      <c r="AA285" s="51" t="s">
        <v>264</v>
      </c>
      <c r="AB285" s="51" t="s">
        <v>264</v>
      </c>
      <c r="AC285" s="51" t="s">
        <v>264</v>
      </c>
      <c r="AD285" s="51">
        <v>24.3</v>
      </c>
      <c r="AE285" s="51"/>
      <c r="AF285" s="51">
        <v>92</v>
      </c>
      <c r="AG285" s="51">
        <v>74.8</v>
      </c>
      <c r="AH285" s="51">
        <v>17.2</v>
      </c>
      <c r="AI285" s="51">
        <v>199.7</v>
      </c>
      <c r="AJ285" s="55"/>
      <c r="AK285" s="55"/>
      <c r="AL285" s="51">
        <v>99.800000000000011</v>
      </c>
      <c r="AM285" s="51">
        <v>59.1</v>
      </c>
      <c r="AN285" s="56">
        <v>40.700000000000003</v>
      </c>
      <c r="AO285" s="51">
        <v>2789.9</v>
      </c>
      <c r="AP285" s="51">
        <v>227.3</v>
      </c>
      <c r="AQ285" s="51">
        <v>204.8</v>
      </c>
      <c r="AR285" s="51">
        <v>36.200000000000003</v>
      </c>
      <c r="AS285" s="51">
        <v>108.9</v>
      </c>
      <c r="AT285" s="51">
        <v>60.4</v>
      </c>
      <c r="AU285" s="51">
        <v>66.8</v>
      </c>
      <c r="AV285" s="51">
        <v>27.2</v>
      </c>
      <c r="AW285" s="51">
        <v>16.100000000000001</v>
      </c>
      <c r="AX285" s="51">
        <v>1.7</v>
      </c>
      <c r="AY285" s="51" t="s">
        <v>264</v>
      </c>
      <c r="AZ285" s="51" t="s">
        <v>264</v>
      </c>
      <c r="BA285" s="51" t="s">
        <v>264</v>
      </c>
      <c r="BB285" s="51" t="s">
        <v>264</v>
      </c>
      <c r="BC285" s="55"/>
      <c r="BD285" s="53">
        <v>164.4</v>
      </c>
      <c r="BE285" s="53">
        <v>20.2</v>
      </c>
      <c r="BF285" s="53">
        <v>61.8</v>
      </c>
      <c r="BG285" s="53">
        <v>7.3</v>
      </c>
      <c r="BH285" s="53">
        <v>303.60000000000002</v>
      </c>
      <c r="BI285" s="53">
        <v>107.9</v>
      </c>
      <c r="BJ285" s="53">
        <v>99.5</v>
      </c>
      <c r="BK285" s="53">
        <v>207.4</v>
      </c>
      <c r="BL285" s="53">
        <v>0</v>
      </c>
      <c r="BM285" s="53">
        <v>511</v>
      </c>
      <c r="BN285" s="53">
        <v>231.874</v>
      </c>
      <c r="BO285" s="53">
        <v>51</v>
      </c>
      <c r="BP285" s="53">
        <v>29.8</v>
      </c>
      <c r="BQ285" s="53">
        <v>80.8</v>
      </c>
      <c r="BR285" s="53">
        <v>0</v>
      </c>
      <c r="BS285" s="53">
        <v>312.67399999999998</v>
      </c>
      <c r="BT285" s="53">
        <v>19.8</v>
      </c>
      <c r="BU285" s="53">
        <v>14.2</v>
      </c>
      <c r="BV285" s="51" t="s">
        <v>264</v>
      </c>
      <c r="BW285" s="51" t="s">
        <v>264</v>
      </c>
      <c r="BX285" s="51">
        <v>371.2</v>
      </c>
      <c r="BY285" s="51" t="s">
        <v>264</v>
      </c>
      <c r="BZ285" s="51" t="s">
        <v>264</v>
      </c>
      <c r="CA285" s="51">
        <v>44</v>
      </c>
      <c r="CB285" s="53">
        <v>73.099999999999994</v>
      </c>
      <c r="CC285" s="53" t="s">
        <v>264</v>
      </c>
      <c r="CD285" s="53">
        <v>76.2</v>
      </c>
      <c r="CE285" s="53">
        <v>14.4</v>
      </c>
      <c r="CF285" s="53">
        <v>108.4</v>
      </c>
      <c r="CG285" s="53">
        <v>173.4</v>
      </c>
      <c r="CH285" s="53">
        <v>19.652000000000001</v>
      </c>
      <c r="CI285" s="55"/>
      <c r="CJ285" s="55"/>
      <c r="CK285" s="9">
        <v>169.1</v>
      </c>
      <c r="CL285" s="9">
        <v>20.8</v>
      </c>
      <c r="CM285" s="9"/>
      <c r="CN285" s="53">
        <v>47.3</v>
      </c>
      <c r="CO285" s="52">
        <v>222.1</v>
      </c>
      <c r="CP285" s="53">
        <v>142.69999999999999</v>
      </c>
      <c r="CQ285" s="53">
        <v>79.400000000000006</v>
      </c>
      <c r="CR285" s="52" t="s">
        <v>264</v>
      </c>
      <c r="CS285" s="52">
        <v>33.692</v>
      </c>
      <c r="CT285" s="52">
        <v>19.155000000000001</v>
      </c>
      <c r="CU285" s="52">
        <v>14.537000000000001</v>
      </c>
      <c r="CV285" s="52">
        <v>79</v>
      </c>
      <c r="CW285" s="52" t="s">
        <v>264</v>
      </c>
      <c r="CX285" s="52" t="s">
        <v>264</v>
      </c>
      <c r="CY285" s="53" t="s">
        <v>264</v>
      </c>
      <c r="CZ285" s="53">
        <v>71.099999999999994</v>
      </c>
      <c r="DA285" s="12">
        <v>11</v>
      </c>
      <c r="DB285" s="53" t="s">
        <v>264</v>
      </c>
      <c r="DC285" s="53" t="s">
        <v>264</v>
      </c>
      <c r="DD285" s="55"/>
      <c r="DE285" s="55"/>
      <c r="DF285" s="55"/>
      <c r="DG285" s="55"/>
      <c r="DH285" s="55"/>
      <c r="DI285" s="53">
        <v>574.20000000000005</v>
      </c>
      <c r="DJ285" s="53">
        <v>329.1</v>
      </c>
      <c r="DK285" s="55"/>
      <c r="DL285" s="55"/>
      <c r="DM285" s="53">
        <v>232.2</v>
      </c>
      <c r="DN285" s="55"/>
      <c r="DO285" s="53">
        <v>224.5</v>
      </c>
      <c r="DP285" s="53">
        <v>237.1</v>
      </c>
      <c r="DQ285" s="55"/>
      <c r="DR285" s="55"/>
      <c r="DS285" s="53">
        <v>2051.556</v>
      </c>
      <c r="DT285" s="53">
        <v>3809.9</v>
      </c>
      <c r="DU285" s="53">
        <v>-161.24400000000014</v>
      </c>
      <c r="DV285" s="53">
        <v>0</v>
      </c>
      <c r="DW285" s="55"/>
      <c r="DX285" s="55"/>
      <c r="DY285" s="55"/>
      <c r="DZ285" s="55"/>
      <c r="EA285" s="53">
        <v>403.6</v>
      </c>
      <c r="EB285" s="53">
        <v>556.79999999999995</v>
      </c>
      <c r="EC285" s="55"/>
      <c r="ED285" s="55"/>
      <c r="EE285" s="53" t="e">
        <v>#VALUE!</v>
      </c>
      <c r="EF285" s="55"/>
      <c r="EG285" s="53">
        <v>166.5</v>
      </c>
      <c r="EH285" s="53">
        <v>300.7</v>
      </c>
      <c r="EI285" s="55"/>
      <c r="EJ285" s="55"/>
      <c r="EK285" s="55"/>
      <c r="EL285" s="53">
        <v>2748</v>
      </c>
      <c r="EM285" s="55"/>
      <c r="EN285" s="55"/>
      <c r="EO285" s="55"/>
      <c r="EP285" s="55"/>
      <c r="EQ285" s="53">
        <v>222.2</v>
      </c>
      <c r="ER285" s="53">
        <v>125</v>
      </c>
      <c r="ES285" s="55"/>
      <c r="ET285" s="55"/>
      <c r="EU285" s="53">
        <v>99.2</v>
      </c>
      <c r="EV285" s="55"/>
      <c r="EW285" s="53">
        <v>94.2</v>
      </c>
      <c r="EX285" s="53">
        <v>101.3</v>
      </c>
      <c r="EY285" s="55"/>
      <c r="EZ285" s="55"/>
      <c r="FA285" s="55"/>
      <c r="FB285" s="53">
        <v>1447.5</v>
      </c>
      <c r="FC285" s="55"/>
      <c r="FD285" s="55"/>
      <c r="FE285" s="55"/>
      <c r="FF285" s="55"/>
      <c r="FG285" s="53">
        <v>452.4</v>
      </c>
      <c r="FH285" s="53">
        <v>260</v>
      </c>
      <c r="FI285" s="55"/>
      <c r="FJ285" s="55"/>
      <c r="FK285" s="53">
        <v>182.9</v>
      </c>
      <c r="FL285" s="55"/>
      <c r="FM285" s="53">
        <v>178.7</v>
      </c>
      <c r="FN285" s="53">
        <v>186</v>
      </c>
      <c r="FO285" s="55"/>
      <c r="FP285" s="55"/>
      <c r="FQ285" s="55"/>
      <c r="FR285" s="53">
        <v>3007</v>
      </c>
      <c r="FS285" s="55"/>
      <c r="FT285" s="55"/>
      <c r="FU285" s="55"/>
      <c r="FV285" s="55"/>
      <c r="FW285" s="53">
        <v>375.3</v>
      </c>
      <c r="FX285" s="53" t="e">
        <v>#VALUE!</v>
      </c>
      <c r="FY285" s="55"/>
      <c r="FZ285" s="55"/>
      <c r="GA285" s="53">
        <v>44.5</v>
      </c>
      <c r="GB285" s="55"/>
      <c r="GC285" s="53">
        <v>61.8</v>
      </c>
      <c r="GD285" s="53" t="e">
        <v>#VALUE!</v>
      </c>
      <c r="GE285" s="55"/>
      <c r="GF285" s="55"/>
      <c r="GG285" s="55"/>
      <c r="GH285" s="53">
        <v>1322.8</v>
      </c>
      <c r="GI285" s="55"/>
      <c r="GJ285" s="55"/>
      <c r="GK285" s="55"/>
      <c r="GL285" s="55"/>
      <c r="GM285" s="53">
        <v>35.6</v>
      </c>
      <c r="GN285" s="53" t="e">
        <v>#VALUE!</v>
      </c>
      <c r="GO285" s="55"/>
      <c r="GP285" s="55"/>
      <c r="GQ285" s="53">
        <v>15.6</v>
      </c>
      <c r="GR285" s="55"/>
      <c r="GS285" s="53" t="e">
        <v>#VALUE!</v>
      </c>
      <c r="GT285" s="53" t="e">
        <v>#VALUE!</v>
      </c>
      <c r="GU285" s="55"/>
      <c r="GV285" s="55"/>
      <c r="GW285" s="55"/>
      <c r="GX285" s="53">
        <v>263.5</v>
      </c>
      <c r="GY285" s="19">
        <v>0.97401165537879986</v>
      </c>
      <c r="GZ285" s="53">
        <v>1236.8</v>
      </c>
      <c r="HA285" s="53">
        <v>1269.8</v>
      </c>
      <c r="HB285" s="18">
        <v>-116.06852555679984</v>
      </c>
      <c r="HC285" s="55"/>
      <c r="HD285" s="18">
        <v>1376.1314744432002</v>
      </c>
      <c r="HE285" s="55"/>
      <c r="HF285" s="53">
        <v>1492.2</v>
      </c>
      <c r="HG285" s="53">
        <v>1449.5</v>
      </c>
      <c r="HH285" s="53">
        <v>672</v>
      </c>
      <c r="HI285" s="53">
        <v>91.2</v>
      </c>
      <c r="HJ285" s="53">
        <v>675.7</v>
      </c>
      <c r="HK285" s="53">
        <v>10.6</v>
      </c>
      <c r="HL285" s="53">
        <v>42.7</v>
      </c>
      <c r="HM285" s="55"/>
      <c r="HN285" s="55"/>
      <c r="HO285" s="55"/>
      <c r="HP285" s="53" t="e">
        <v>#VALUE!</v>
      </c>
      <c r="HQ285" s="53">
        <v>7.6</v>
      </c>
      <c r="HR285" s="53">
        <v>8.1</v>
      </c>
      <c r="HS285" s="53" t="e">
        <v>#VALUE!</v>
      </c>
      <c r="HT285" s="53">
        <v>19</v>
      </c>
      <c r="HU285" s="55"/>
      <c r="HV285" s="55"/>
      <c r="HW285" s="53">
        <v>249.8</v>
      </c>
      <c r="HX285" s="53" t="e">
        <v>#VALUE!</v>
      </c>
      <c r="HY285" s="53">
        <v>249.8</v>
      </c>
      <c r="HZ285" s="53">
        <v>47.4</v>
      </c>
      <c r="IA285" s="53">
        <v>183</v>
      </c>
      <c r="IB285" s="53">
        <v>85.1</v>
      </c>
      <c r="IC285" s="53">
        <v>54.7</v>
      </c>
      <c r="ID285" s="53" t="e">
        <v>#VALUE!</v>
      </c>
      <c r="IE285" s="53">
        <v>54.7</v>
      </c>
      <c r="IF285" s="53" t="e">
        <v>#VALUE!</v>
      </c>
      <c r="IG285" s="53" t="e">
        <v>#VALUE!</v>
      </c>
      <c r="IH285" s="55"/>
      <c r="II285" s="55"/>
      <c r="IJ285" s="55"/>
      <c r="IK285" s="55"/>
      <c r="IL285" s="12">
        <v>19.400000000000006</v>
      </c>
      <c r="IM285" s="55"/>
      <c r="IN285" s="53">
        <v>58.9</v>
      </c>
      <c r="IO285" s="53">
        <v>59.2</v>
      </c>
      <c r="IP285" s="53" t="e">
        <v>#VALUE!</v>
      </c>
      <c r="IQ285" s="53">
        <v>39</v>
      </c>
      <c r="IR285" s="53">
        <v>14.6</v>
      </c>
      <c r="IS285" s="53" t="e">
        <v>#VALUE!</v>
      </c>
      <c r="IT285" s="53">
        <v>22.8</v>
      </c>
      <c r="IU285" s="53" t="e">
        <v>#VALUE!</v>
      </c>
      <c r="IV285" s="53" t="e">
        <v>#VALUE!</v>
      </c>
      <c r="IY285" s="48">
        <f t="shared" si="14"/>
        <v>47.161867765558156</v>
      </c>
      <c r="IZ285" s="48">
        <f>IY285-'NOPA Crush'!J285</f>
        <v>0.16186776555815641</v>
      </c>
      <c r="JB285" s="63">
        <f t="shared" si="12"/>
        <v>11.39793695372582</v>
      </c>
      <c r="JC285" s="64">
        <f>JB285-'NOPA Crush'!O285</f>
        <v>-4.2063046274179783E-2</v>
      </c>
      <c r="JD285" s="65"/>
      <c r="JE285" s="67">
        <f t="shared" si="13"/>
        <v>2120.6999999999998</v>
      </c>
      <c r="JF285" s="68">
        <f>'NOPA Crush'!Q285/'Census Crush'!JE285</f>
        <v>0.798137407459801</v>
      </c>
    </row>
    <row r="286" spans="1:266">
      <c r="A286" s="39">
        <v>37742</v>
      </c>
      <c r="B286" s="51">
        <v>3893.2</v>
      </c>
      <c r="C286" s="51">
        <v>2279.4</v>
      </c>
      <c r="D286" s="51">
        <v>203.6</v>
      </c>
      <c r="E286" s="51">
        <v>665.9</v>
      </c>
      <c r="F286" s="51">
        <v>30.8</v>
      </c>
      <c r="G286" s="51" t="s">
        <v>264</v>
      </c>
      <c r="H286" s="51" t="s">
        <v>264</v>
      </c>
      <c r="I286" s="51" t="s">
        <v>264</v>
      </c>
      <c r="J286" s="51" t="s">
        <v>264</v>
      </c>
      <c r="K286" s="51">
        <v>1483.9</v>
      </c>
      <c r="L286" s="49">
        <v>2052.6</v>
      </c>
      <c r="M286" s="51">
        <v>1841.8</v>
      </c>
      <c r="N286" s="51">
        <v>210.8</v>
      </c>
      <c r="O286" s="53">
        <v>59.9</v>
      </c>
      <c r="P286" s="51">
        <v>84.2</v>
      </c>
      <c r="Q286" s="51">
        <v>8.1999999999999993</v>
      </c>
      <c r="R286" s="56">
        <v>76</v>
      </c>
      <c r="S286" s="56"/>
      <c r="T286" s="51">
        <v>25.7</v>
      </c>
      <c r="U286" s="51">
        <v>74.399999999999991</v>
      </c>
      <c r="V286" s="51">
        <v>67.8</v>
      </c>
      <c r="W286" s="51">
        <v>6.6</v>
      </c>
      <c r="X286" s="51" t="s">
        <v>264</v>
      </c>
      <c r="Y286" s="51" t="s">
        <v>264</v>
      </c>
      <c r="Z286" s="9">
        <v>40.200000000000003</v>
      </c>
      <c r="AA286" s="51" t="s">
        <v>264</v>
      </c>
      <c r="AB286" s="51" t="s">
        <v>264</v>
      </c>
      <c r="AC286" s="51" t="s">
        <v>264</v>
      </c>
      <c r="AD286" s="51">
        <v>48.4</v>
      </c>
      <c r="AE286" s="51"/>
      <c r="AF286" s="51">
        <v>89.6</v>
      </c>
      <c r="AG286" s="51">
        <v>68.8</v>
      </c>
      <c r="AH286" s="51">
        <v>20.8</v>
      </c>
      <c r="AI286" s="51">
        <v>203.6</v>
      </c>
      <c r="AJ286" s="55"/>
      <c r="AK286" s="55"/>
      <c r="AL286" s="51">
        <v>89.9</v>
      </c>
      <c r="AM286" s="51">
        <v>65.3</v>
      </c>
      <c r="AN286" s="56">
        <v>24.6</v>
      </c>
      <c r="AO286" s="51">
        <v>2842.3</v>
      </c>
      <c r="AP286" s="51">
        <v>272.3</v>
      </c>
      <c r="AQ286" s="51">
        <v>213.4</v>
      </c>
      <c r="AR286" s="51">
        <v>35.6</v>
      </c>
      <c r="AS286" s="51">
        <v>89.8</v>
      </c>
      <c r="AT286" s="51">
        <v>69.599999999999994</v>
      </c>
      <c r="AU286" s="51">
        <v>56.4</v>
      </c>
      <c r="AV286" s="51">
        <v>18.7</v>
      </c>
      <c r="AW286" s="51">
        <v>16.600000000000001</v>
      </c>
      <c r="AX286" s="51">
        <v>1.8</v>
      </c>
      <c r="AY286" s="51" t="s">
        <v>264</v>
      </c>
      <c r="AZ286" s="51" t="s">
        <v>264</v>
      </c>
      <c r="BA286" s="51" t="s">
        <v>264</v>
      </c>
      <c r="BB286" s="51" t="s">
        <v>264</v>
      </c>
      <c r="BC286" s="55"/>
      <c r="BD286" s="53">
        <v>183.8</v>
      </c>
      <c r="BE286" s="53">
        <v>21.4</v>
      </c>
      <c r="BF286" s="53">
        <v>64.7</v>
      </c>
      <c r="BG286" s="53">
        <v>9.4</v>
      </c>
      <c r="BH286" s="53">
        <v>320.39999999999998</v>
      </c>
      <c r="BI286" s="53">
        <v>112.8</v>
      </c>
      <c r="BJ286" s="53">
        <v>103.5</v>
      </c>
      <c r="BK286" s="53">
        <v>216.3</v>
      </c>
      <c r="BL286" s="53">
        <v>0</v>
      </c>
      <c r="BM286" s="53">
        <v>536.70000000000005</v>
      </c>
      <c r="BN286" s="53">
        <v>209.392</v>
      </c>
      <c r="BO286" s="53">
        <v>50.4</v>
      </c>
      <c r="BP286" s="53">
        <v>38.200000000000003</v>
      </c>
      <c r="BQ286" s="53">
        <v>88.6</v>
      </c>
      <c r="BR286" s="53">
        <v>0</v>
      </c>
      <c r="BS286" s="53">
        <v>297.99199999999996</v>
      </c>
      <c r="BT286" s="53">
        <v>20.5</v>
      </c>
      <c r="BU286" s="53">
        <v>10.5</v>
      </c>
      <c r="BV286" s="51" t="s">
        <v>264</v>
      </c>
      <c r="BW286" s="51" t="s">
        <v>264</v>
      </c>
      <c r="BX286" s="51">
        <v>397.1</v>
      </c>
      <c r="BY286" s="51" t="s">
        <v>264</v>
      </c>
      <c r="BZ286" s="51" t="s">
        <v>264</v>
      </c>
      <c r="CA286" s="51">
        <v>43.2</v>
      </c>
      <c r="CB286" s="53">
        <v>76</v>
      </c>
      <c r="CC286" s="53">
        <v>13.090999999999999</v>
      </c>
      <c r="CD286" s="53">
        <v>81.5</v>
      </c>
      <c r="CE286" s="53">
        <v>10.5</v>
      </c>
      <c r="CF286" s="53">
        <v>100.3</v>
      </c>
      <c r="CG286" s="53">
        <v>166.9</v>
      </c>
      <c r="CH286" s="53">
        <v>15.8</v>
      </c>
      <c r="CI286" s="55"/>
      <c r="CJ286" s="55"/>
      <c r="CK286" s="9">
        <v>175.6</v>
      </c>
      <c r="CL286" s="9">
        <v>20.2</v>
      </c>
      <c r="CM286" s="9"/>
      <c r="CN286" s="53">
        <v>52.5</v>
      </c>
      <c r="CO286" s="53">
        <v>184.3</v>
      </c>
      <c r="CP286" s="53">
        <v>116.3</v>
      </c>
      <c r="CQ286" s="53">
        <v>68</v>
      </c>
      <c r="CR286" s="52" t="s">
        <v>264</v>
      </c>
      <c r="CS286" s="53">
        <v>30.2</v>
      </c>
      <c r="CT286" s="55"/>
      <c r="CU286" s="55"/>
      <c r="CV286" s="53">
        <v>74.5</v>
      </c>
      <c r="CW286" s="52" t="s">
        <v>264</v>
      </c>
      <c r="CX286" s="52" t="s">
        <v>264</v>
      </c>
      <c r="CY286" s="53" t="s">
        <v>264</v>
      </c>
      <c r="CZ286" s="53">
        <v>73.3</v>
      </c>
      <c r="DA286" s="12">
        <v>11.6</v>
      </c>
      <c r="DB286" s="53" t="s">
        <v>264</v>
      </c>
      <c r="DC286" s="53" t="s">
        <v>264</v>
      </c>
      <c r="DD286" s="55"/>
      <c r="DE286" s="55"/>
      <c r="DF286" s="55"/>
      <c r="DG286" s="55"/>
      <c r="DH286" s="55"/>
      <c r="DI286" s="53">
        <v>523.29999999999995</v>
      </c>
      <c r="DJ286" s="53">
        <v>331.8</v>
      </c>
      <c r="DK286" s="55"/>
      <c r="DL286" s="55"/>
      <c r="DM286" s="53">
        <v>258.60000000000002</v>
      </c>
      <c r="DN286" s="55"/>
      <c r="DO286" s="53">
        <v>212.6</v>
      </c>
      <c r="DP286" s="53">
        <v>253.7</v>
      </c>
      <c r="DQ286" s="55"/>
      <c r="DR286" s="55"/>
      <c r="DS286" s="53">
        <v>2135.5189999999998</v>
      </c>
      <c r="DT286" s="53">
        <v>3893.2</v>
      </c>
      <c r="DU286" s="53">
        <v>-177.68100000000049</v>
      </c>
      <c r="DV286" s="53">
        <v>0</v>
      </c>
      <c r="DW286" s="55"/>
      <c r="DX286" s="55"/>
      <c r="DY286" s="55"/>
      <c r="DZ286" s="55"/>
      <c r="EA286" s="53">
        <v>353.4</v>
      </c>
      <c r="EB286" s="53">
        <v>429.5</v>
      </c>
      <c r="EC286" s="55"/>
      <c r="ED286" s="55"/>
      <c r="EE286" s="53" t="e">
        <v>#VALUE!</v>
      </c>
      <c r="EF286" s="55"/>
      <c r="EG286" s="53">
        <v>123.2</v>
      </c>
      <c r="EH286" s="53">
        <v>243.8</v>
      </c>
      <c r="EI286" s="55"/>
      <c r="EJ286" s="55"/>
      <c r="EK286" s="55"/>
      <c r="EL286" s="53">
        <v>2279.4</v>
      </c>
      <c r="EM286" s="55"/>
      <c r="EN286" s="55"/>
      <c r="EO286" s="55"/>
      <c r="EP286" s="55"/>
      <c r="EQ286" s="53">
        <v>204.5</v>
      </c>
      <c r="ER286" s="53">
        <v>123.1</v>
      </c>
      <c r="ES286" s="55"/>
      <c r="ET286" s="55"/>
      <c r="EU286" s="53">
        <v>101.5</v>
      </c>
      <c r="EV286" s="55"/>
      <c r="EW286" s="53">
        <v>81.2</v>
      </c>
      <c r="EX286" s="53">
        <v>96.9</v>
      </c>
      <c r="EY286" s="55"/>
      <c r="EZ286" s="55"/>
      <c r="FA286" s="55"/>
      <c r="FB286" s="53">
        <v>1483.9</v>
      </c>
      <c r="FC286" s="55"/>
      <c r="FD286" s="55"/>
      <c r="FE286" s="55"/>
      <c r="FF286" s="55"/>
      <c r="FG286" s="53">
        <v>416.3</v>
      </c>
      <c r="FH286" s="53">
        <v>245.5</v>
      </c>
      <c r="FI286" s="55"/>
      <c r="FJ286" s="55"/>
      <c r="FK286" s="53">
        <v>205.4</v>
      </c>
      <c r="FL286" s="55"/>
      <c r="FM286" s="53">
        <v>169.1</v>
      </c>
      <c r="FN286" s="53">
        <v>159</v>
      </c>
      <c r="FO286" s="55"/>
      <c r="FP286" s="55"/>
      <c r="FQ286" s="55"/>
      <c r="FR286" s="53">
        <v>3007.8</v>
      </c>
      <c r="FS286" s="55"/>
      <c r="FT286" s="55"/>
      <c r="FU286" s="55"/>
      <c r="FV286" s="55"/>
      <c r="FW286" s="53">
        <v>324.10000000000002</v>
      </c>
      <c r="FX286" s="53" t="e">
        <v>#VALUE!</v>
      </c>
      <c r="FY286" s="55"/>
      <c r="FZ286" s="55"/>
      <c r="GA286" s="53">
        <v>31.8</v>
      </c>
      <c r="GB286" s="55"/>
      <c r="GC286" s="53">
        <v>61.9</v>
      </c>
      <c r="GD286" s="53" t="e">
        <v>#VALUE!</v>
      </c>
      <c r="GE286" s="55"/>
      <c r="GF286" s="55"/>
      <c r="GG286" s="55"/>
      <c r="GH286" s="53">
        <v>1222.5999999999999</v>
      </c>
      <c r="GI286" s="55"/>
      <c r="GJ286" s="55"/>
      <c r="GK286" s="55"/>
      <c r="GL286" s="55"/>
      <c r="GM286" s="53">
        <v>26.9</v>
      </c>
      <c r="GN286" s="53" t="e">
        <v>#VALUE!</v>
      </c>
      <c r="GO286" s="55"/>
      <c r="GP286" s="55"/>
      <c r="GQ286" s="53">
        <v>25.3</v>
      </c>
      <c r="GR286" s="55"/>
      <c r="GS286" s="53">
        <v>7.4</v>
      </c>
      <c r="GT286" s="53" t="e">
        <v>#VALUE!</v>
      </c>
      <c r="GU286" s="55"/>
      <c r="GV286" s="55"/>
      <c r="GW286" s="55"/>
      <c r="GX286" s="53">
        <v>302.7</v>
      </c>
      <c r="GY286" s="19">
        <v>0.97331639135959347</v>
      </c>
      <c r="GZ286" s="53">
        <v>1378.8</v>
      </c>
      <c r="HA286" s="53">
        <v>1416.6</v>
      </c>
      <c r="HB286" s="18">
        <v>-106.21727534799993</v>
      </c>
      <c r="HC286" s="55"/>
      <c r="HD286" s="18">
        <v>1445.882724652</v>
      </c>
      <c r="HE286" s="55"/>
      <c r="HF286" s="53">
        <v>1552.1</v>
      </c>
      <c r="HG286" s="53">
        <v>1506.8</v>
      </c>
      <c r="HH286" s="53">
        <v>687.9</v>
      </c>
      <c r="HI286" s="53">
        <v>87.2</v>
      </c>
      <c r="HJ286" s="53">
        <v>721.1</v>
      </c>
      <c r="HK286" s="53">
        <v>10.5</v>
      </c>
      <c r="HL286" s="53">
        <v>45.3</v>
      </c>
      <c r="HM286" s="55"/>
      <c r="HN286" s="55"/>
      <c r="HO286" s="55"/>
      <c r="HP286" s="53" t="e">
        <v>#VALUE!</v>
      </c>
      <c r="HQ286" s="53">
        <v>5.2</v>
      </c>
      <c r="HR286" s="53">
        <v>7.5</v>
      </c>
      <c r="HS286" s="53" t="e">
        <v>#VALUE!</v>
      </c>
      <c r="HT286" s="53">
        <v>25.9</v>
      </c>
      <c r="HU286" s="55"/>
      <c r="HV286" s="55"/>
      <c r="HW286" s="53">
        <v>256.5</v>
      </c>
      <c r="HX286" s="53" t="e">
        <v>#VALUE!</v>
      </c>
      <c r="HY286" s="53">
        <v>256.5</v>
      </c>
      <c r="HZ286" s="53">
        <v>48.9</v>
      </c>
      <c r="IA286" s="53">
        <v>186.2</v>
      </c>
      <c r="IB286" s="53">
        <v>84.7</v>
      </c>
      <c r="IC286" s="53">
        <v>55</v>
      </c>
      <c r="ID286" s="53" t="e">
        <v>#VALUE!</v>
      </c>
      <c r="IE286" s="53">
        <v>55</v>
      </c>
      <c r="IF286" s="53" t="e">
        <v>#VALUE!</v>
      </c>
      <c r="IG286" s="53" t="e">
        <v>#VALUE!</v>
      </c>
      <c r="IH286" s="55"/>
      <c r="II286" s="55"/>
      <c r="IJ286" s="55"/>
      <c r="IK286" s="55"/>
      <c r="IL286" s="12">
        <v>21.400000000000006</v>
      </c>
      <c r="IM286" s="55"/>
      <c r="IN286" s="53">
        <v>49.4</v>
      </c>
      <c r="IO286" s="53">
        <v>49.7</v>
      </c>
      <c r="IP286" s="53" t="e">
        <v>#VALUE!</v>
      </c>
      <c r="IQ286" s="53">
        <v>36</v>
      </c>
      <c r="IR286" s="53">
        <v>14.5</v>
      </c>
      <c r="IS286" s="53" t="e">
        <v>#VALUE!</v>
      </c>
      <c r="IT286" s="53">
        <v>19.899999999999999</v>
      </c>
      <c r="IU286" s="53" t="e">
        <v>#VALUE!</v>
      </c>
      <c r="IV286" s="53" t="e">
        <v>#VALUE!</v>
      </c>
      <c r="IY286" s="48">
        <f t="shared" si="14"/>
        <v>47.092879893147028</v>
      </c>
      <c r="IZ286" s="48">
        <f>IY286-'NOPA Crush'!J286</f>
        <v>-2.7120106852969172E-2</v>
      </c>
      <c r="JB286" s="63">
        <f t="shared" si="12"/>
        <v>11.434552553169629</v>
      </c>
      <c r="JC286" s="64">
        <f>JB286-'NOPA Crush'!O286</f>
        <v>-6.5447446830370737E-2</v>
      </c>
      <c r="JD286" s="65"/>
      <c r="JE286" s="67">
        <f t="shared" si="13"/>
        <v>2052.6</v>
      </c>
      <c r="JF286" s="68">
        <f>'NOPA Crush'!Q286/'Census Crush'!JE286</f>
        <v>0.76740475494494786</v>
      </c>
    </row>
    <row r="287" spans="1:266">
      <c r="A287" s="39">
        <v>37773</v>
      </c>
      <c r="B287" s="51">
        <v>3641.4</v>
      </c>
      <c r="C287" s="51">
        <v>1946.1</v>
      </c>
      <c r="D287" s="51">
        <v>179.4</v>
      </c>
      <c r="E287" s="51">
        <v>448.8</v>
      </c>
      <c r="F287" s="51">
        <v>26.4</v>
      </c>
      <c r="G287" s="51" t="s">
        <v>264</v>
      </c>
      <c r="H287" s="51" t="s">
        <v>264</v>
      </c>
      <c r="I287" s="51" t="s">
        <v>264</v>
      </c>
      <c r="J287" s="51" t="s">
        <v>264</v>
      </c>
      <c r="K287" s="51">
        <v>1391</v>
      </c>
      <c r="L287" s="49">
        <v>1928.5</v>
      </c>
      <c r="M287" s="51">
        <v>1706.4</v>
      </c>
      <c r="N287" s="51">
        <v>222.1</v>
      </c>
      <c r="O287" s="53">
        <v>52.8</v>
      </c>
      <c r="P287" s="51">
        <v>91.3</v>
      </c>
      <c r="Q287" s="51">
        <v>8.1999999999999993</v>
      </c>
      <c r="R287" s="56">
        <v>83.1</v>
      </c>
      <c r="S287" s="56"/>
      <c r="T287" s="51">
        <v>23.2</v>
      </c>
      <c r="U287" s="51">
        <v>68.599999999999994</v>
      </c>
      <c r="V287" s="51">
        <v>62.6</v>
      </c>
      <c r="W287" s="51">
        <v>6</v>
      </c>
      <c r="X287" s="51" t="s">
        <v>264</v>
      </c>
      <c r="Y287" s="51" t="s">
        <v>264</v>
      </c>
      <c r="Z287" s="9">
        <v>29.8</v>
      </c>
      <c r="AA287" s="51" t="s">
        <v>264</v>
      </c>
      <c r="AB287" s="51" t="s">
        <v>264</v>
      </c>
      <c r="AC287" s="51" t="s">
        <v>264</v>
      </c>
      <c r="AD287" s="51">
        <v>35.700000000000003</v>
      </c>
      <c r="AE287" s="51"/>
      <c r="AF287" s="51">
        <v>74.8</v>
      </c>
      <c r="AG287" s="51">
        <v>57.3</v>
      </c>
      <c r="AH287" s="51">
        <v>17.5</v>
      </c>
      <c r="AI287" s="51">
        <v>207.1</v>
      </c>
      <c r="AJ287" s="55"/>
      <c r="AK287" s="55"/>
      <c r="AL287" s="51">
        <v>112.80000000000001</v>
      </c>
      <c r="AM287" s="51">
        <v>77.900000000000006</v>
      </c>
      <c r="AN287" s="56">
        <v>34.9</v>
      </c>
      <c r="AO287" s="51">
        <v>2676.8</v>
      </c>
      <c r="AP287" s="51">
        <v>234.2</v>
      </c>
      <c r="AQ287" s="51">
        <v>196.6</v>
      </c>
      <c r="AR287" s="51">
        <v>37.4</v>
      </c>
      <c r="AS287" s="51">
        <v>81.400000000000006</v>
      </c>
      <c r="AT287" s="51">
        <v>67.2</v>
      </c>
      <c r="AU287" s="51">
        <v>57.5</v>
      </c>
      <c r="AV287" s="51">
        <v>26.2</v>
      </c>
      <c r="AW287" s="51">
        <v>14.8</v>
      </c>
      <c r="AX287" s="51">
        <v>3</v>
      </c>
      <c r="AY287" s="51" t="s">
        <v>264</v>
      </c>
      <c r="AZ287" s="51" t="s">
        <v>264</v>
      </c>
      <c r="BA287" s="51" t="s">
        <v>264</v>
      </c>
      <c r="BB287" s="51" t="s">
        <v>264</v>
      </c>
      <c r="BC287" s="55"/>
      <c r="BD287" s="53">
        <v>183.1</v>
      </c>
      <c r="BE287" s="53">
        <v>27.6</v>
      </c>
      <c r="BF287" s="53">
        <v>64.5</v>
      </c>
      <c r="BG287" s="53">
        <v>8.5</v>
      </c>
      <c r="BH287" s="53">
        <v>320.3</v>
      </c>
      <c r="BI287" s="53">
        <v>112.2</v>
      </c>
      <c r="BJ287" s="53">
        <v>102.3</v>
      </c>
      <c r="BK287" s="53">
        <v>214.5</v>
      </c>
      <c r="BL287" s="53">
        <v>0</v>
      </c>
      <c r="BM287" s="53">
        <v>534.79999999999995</v>
      </c>
      <c r="BN287" s="53">
        <v>170.142</v>
      </c>
      <c r="BO287" s="53">
        <v>48.1</v>
      </c>
      <c r="BP287" s="53">
        <v>32.1</v>
      </c>
      <c r="BQ287" s="53">
        <v>80.2</v>
      </c>
      <c r="BR287" s="53">
        <v>0</v>
      </c>
      <c r="BS287" s="53">
        <v>250.34199999999998</v>
      </c>
      <c r="BT287" s="53">
        <v>18.8</v>
      </c>
      <c r="BU287" s="53">
        <v>11.7</v>
      </c>
      <c r="BV287" s="51" t="s">
        <v>264</v>
      </c>
      <c r="BW287" s="51" t="s">
        <v>264</v>
      </c>
      <c r="BX287" s="51">
        <v>391</v>
      </c>
      <c r="BY287" s="51" t="s">
        <v>264</v>
      </c>
      <c r="BZ287" s="51" t="s">
        <v>264</v>
      </c>
      <c r="CA287" s="51">
        <v>44.6</v>
      </c>
      <c r="CB287" s="53">
        <v>76.900000000000006</v>
      </c>
      <c r="CC287" s="53" t="s">
        <v>264</v>
      </c>
      <c r="CD287" s="53">
        <v>77.2</v>
      </c>
      <c r="CE287" s="53">
        <v>9.1999999999999993</v>
      </c>
      <c r="CF287" s="53">
        <v>91.1</v>
      </c>
      <c r="CG287" s="53">
        <v>180.2</v>
      </c>
      <c r="CH287" s="53">
        <v>14.499000000000001</v>
      </c>
      <c r="CI287" s="55"/>
      <c r="CJ287" s="55"/>
      <c r="CK287" s="9">
        <v>193.9</v>
      </c>
      <c r="CL287" s="9">
        <v>21.3</v>
      </c>
      <c r="CM287" s="9"/>
      <c r="CN287" s="53">
        <v>55.8</v>
      </c>
      <c r="CO287" s="53">
        <v>155.10000000000002</v>
      </c>
      <c r="CP287" s="53">
        <v>111.4</v>
      </c>
      <c r="CQ287" s="53">
        <v>43.7</v>
      </c>
      <c r="CR287" s="52" t="s">
        <v>264</v>
      </c>
      <c r="CS287" s="53">
        <v>29.5</v>
      </c>
      <c r="CT287" s="55"/>
      <c r="CU287" s="55"/>
      <c r="CV287" s="53">
        <v>55.9</v>
      </c>
      <c r="CW287" s="52" t="s">
        <v>264</v>
      </c>
      <c r="CX287" s="52" t="s">
        <v>264</v>
      </c>
      <c r="CY287" s="53" t="s">
        <v>264</v>
      </c>
      <c r="CZ287" s="53">
        <v>34.700000000000003</v>
      </c>
      <c r="DA287" s="12">
        <v>10.8</v>
      </c>
      <c r="DB287" s="53" t="s">
        <v>264</v>
      </c>
      <c r="DC287" s="53" t="s">
        <v>264</v>
      </c>
      <c r="DD287" s="55"/>
      <c r="DE287" s="55"/>
      <c r="DF287" s="55"/>
      <c r="DG287" s="55"/>
      <c r="DH287" s="55"/>
      <c r="DI287" s="53">
        <v>500.6</v>
      </c>
      <c r="DJ287" s="53">
        <v>352.3</v>
      </c>
      <c r="DK287" s="55"/>
      <c r="DL287" s="55"/>
      <c r="DM287" s="53">
        <v>251.9</v>
      </c>
      <c r="DN287" s="55"/>
      <c r="DO287" s="53">
        <v>229.6</v>
      </c>
      <c r="DP287" s="53">
        <v>242.8</v>
      </c>
      <c r="DQ287" s="55"/>
      <c r="DR287" s="55"/>
      <c r="DS287" s="53">
        <v>1907.652</v>
      </c>
      <c r="DT287" s="53">
        <v>3641.4</v>
      </c>
      <c r="DU287" s="53">
        <v>-156.54800000000023</v>
      </c>
      <c r="DV287" s="53">
        <v>0</v>
      </c>
      <c r="DW287" s="55"/>
      <c r="DX287" s="55"/>
      <c r="DY287" s="55"/>
      <c r="DZ287" s="55"/>
      <c r="EA287" s="53">
        <v>297.5</v>
      </c>
      <c r="EB287" s="53">
        <v>241.5</v>
      </c>
      <c r="EC287" s="55"/>
      <c r="ED287" s="55"/>
      <c r="EE287" s="53" t="e">
        <v>#VALUE!</v>
      </c>
      <c r="EF287" s="55"/>
      <c r="EG287" s="53">
        <v>66.099999999999994</v>
      </c>
      <c r="EH287" s="53">
        <v>195.1</v>
      </c>
      <c r="EI287" s="55"/>
      <c r="EJ287" s="55"/>
      <c r="EK287" s="55"/>
      <c r="EL287" s="53">
        <v>1946.1</v>
      </c>
      <c r="EM287" s="55"/>
      <c r="EN287" s="55"/>
      <c r="EO287" s="55"/>
      <c r="EP287" s="55"/>
      <c r="EQ287" s="53">
        <v>196.5</v>
      </c>
      <c r="ER287" s="53">
        <v>131.4</v>
      </c>
      <c r="ES287" s="55"/>
      <c r="ET287" s="55"/>
      <c r="EU287" s="53">
        <v>97.3</v>
      </c>
      <c r="EV287" s="55"/>
      <c r="EW287" s="53">
        <v>90.7</v>
      </c>
      <c r="EX287" s="53">
        <v>92.5</v>
      </c>
      <c r="EY287" s="55"/>
      <c r="EZ287" s="55"/>
      <c r="FA287" s="55"/>
      <c r="FB287" s="53">
        <v>1391</v>
      </c>
      <c r="FC287" s="55"/>
      <c r="FD287" s="55"/>
      <c r="FE287" s="55"/>
      <c r="FF287" s="55"/>
      <c r="FG287" s="53">
        <v>395.8</v>
      </c>
      <c r="FH287" s="53">
        <v>275.39999999999998</v>
      </c>
      <c r="FI287" s="55"/>
      <c r="FJ287" s="55"/>
      <c r="FK287" s="53">
        <v>199.9</v>
      </c>
      <c r="FL287" s="55"/>
      <c r="FM287" s="53">
        <v>181.5</v>
      </c>
      <c r="FN287" s="53">
        <v>193.6</v>
      </c>
      <c r="FO287" s="55"/>
      <c r="FP287" s="55"/>
      <c r="FQ287" s="55"/>
      <c r="FR287" s="53">
        <v>2882.1</v>
      </c>
      <c r="FS287" s="55"/>
      <c r="FT287" s="55"/>
      <c r="FU287" s="55"/>
      <c r="FV287" s="55"/>
      <c r="FW287" s="53">
        <v>282.10000000000002</v>
      </c>
      <c r="FX287" s="53" t="e">
        <v>#VALUE!</v>
      </c>
      <c r="FY287" s="55"/>
      <c r="FZ287" s="55"/>
      <c r="GA287" s="53">
        <v>20.8</v>
      </c>
      <c r="GB287" s="55"/>
      <c r="GC287" s="53">
        <v>54.3</v>
      </c>
      <c r="GD287" s="53" t="e">
        <v>#VALUE!</v>
      </c>
      <c r="GE287" s="55"/>
      <c r="GF287" s="55"/>
      <c r="GG287" s="55"/>
      <c r="GH287" s="53">
        <v>1141.0999999999999</v>
      </c>
      <c r="GI287" s="55"/>
      <c r="GJ287" s="55"/>
      <c r="GK287" s="55"/>
      <c r="GL287" s="55"/>
      <c r="GM287" s="53">
        <v>27.5</v>
      </c>
      <c r="GN287" s="53" t="e">
        <v>#VALUE!</v>
      </c>
      <c r="GO287" s="55"/>
      <c r="GP287" s="55"/>
      <c r="GQ287" s="53">
        <v>24.6</v>
      </c>
      <c r="GR287" s="55"/>
      <c r="GS287" s="53">
        <v>8.9</v>
      </c>
      <c r="GT287" s="53" t="e">
        <v>#VALUE!</v>
      </c>
      <c r="GU287" s="55"/>
      <c r="GV287" s="55"/>
      <c r="GW287" s="55"/>
      <c r="GX287" s="53">
        <v>271.60000000000002</v>
      </c>
      <c r="GY287" s="19">
        <v>0.9726553839331904</v>
      </c>
      <c r="GZ287" s="53">
        <v>1316.1</v>
      </c>
      <c r="HA287" s="53">
        <v>1353.1</v>
      </c>
      <c r="HB287" s="18">
        <v>-68.046536679800056</v>
      </c>
      <c r="HC287" s="55"/>
      <c r="HD287" s="18">
        <v>1423.2534633201999</v>
      </c>
      <c r="HE287" s="55"/>
      <c r="HF287" s="53">
        <v>1491.3</v>
      </c>
      <c r="HG287" s="53">
        <v>1440.1</v>
      </c>
      <c r="HH287" s="53">
        <v>646.9</v>
      </c>
      <c r="HI287" s="53">
        <v>87.4</v>
      </c>
      <c r="HJ287" s="53">
        <v>695.4</v>
      </c>
      <c r="HK287" s="53">
        <v>10.4</v>
      </c>
      <c r="HL287" s="53">
        <v>51.2</v>
      </c>
      <c r="HM287" s="55"/>
      <c r="HN287" s="55"/>
      <c r="HO287" s="55"/>
      <c r="HP287" s="53" t="e">
        <v>#VALUE!</v>
      </c>
      <c r="HQ287" s="53">
        <v>6.3</v>
      </c>
      <c r="HR287" s="53">
        <v>8.6</v>
      </c>
      <c r="HS287" s="53" t="e">
        <v>#VALUE!</v>
      </c>
      <c r="HT287" s="53">
        <v>27</v>
      </c>
      <c r="HU287" s="55"/>
      <c r="HV287" s="55"/>
      <c r="HW287" s="53">
        <v>237.7</v>
      </c>
      <c r="HX287" s="53" t="e">
        <v>#VALUE!</v>
      </c>
      <c r="HY287" s="53">
        <v>237.7</v>
      </c>
      <c r="HZ287" s="53">
        <v>34.1</v>
      </c>
      <c r="IA287" s="53">
        <v>232.2</v>
      </c>
      <c r="IB287" s="53">
        <v>86</v>
      </c>
      <c r="IC287" s="53">
        <v>53.5</v>
      </c>
      <c r="ID287" s="53" t="e">
        <v>#VALUE!</v>
      </c>
      <c r="IE287" s="53">
        <v>53.5</v>
      </c>
      <c r="IF287" s="53" t="e">
        <v>#VALUE!</v>
      </c>
      <c r="IG287" s="53" t="e">
        <v>#VALUE!</v>
      </c>
      <c r="IH287" s="55"/>
      <c r="II287" s="55"/>
      <c r="IJ287" s="55"/>
      <c r="IK287" s="55"/>
      <c r="IL287" s="12">
        <v>-28.599999999999994</v>
      </c>
      <c r="IM287" s="55"/>
      <c r="IN287" s="53">
        <v>42.4</v>
      </c>
      <c r="IO287" s="53">
        <v>42.4</v>
      </c>
      <c r="IP287" s="53" t="e">
        <v>#VALUE!</v>
      </c>
      <c r="IQ287" s="53">
        <v>36.200000000000003</v>
      </c>
      <c r="IR287" s="53">
        <v>12.3</v>
      </c>
      <c r="IS287" s="53">
        <v>0.1</v>
      </c>
      <c r="IT287" s="53" t="e">
        <v>#VALUE!</v>
      </c>
      <c r="IU287" s="53" t="e">
        <v>#VALUE!</v>
      </c>
      <c r="IV287" s="53" t="e">
        <v>#VALUE!</v>
      </c>
      <c r="IY287" s="48">
        <f t="shared" si="14"/>
        <v>47.345526445872466</v>
      </c>
      <c r="IZ287" s="48">
        <f>IY287-'NOPA Crush'!J287</f>
        <v>5.5264458724622045E-3</v>
      </c>
      <c r="JB287" s="63">
        <f t="shared" si="12"/>
        <v>11.459878068874607</v>
      </c>
      <c r="JC287" s="64">
        <f>JB287-'NOPA Crush'!O287</f>
        <v>-0.14012193112539251</v>
      </c>
      <c r="JD287" s="65"/>
      <c r="JE287" s="67">
        <f t="shared" si="13"/>
        <v>1928.5</v>
      </c>
      <c r="JF287" s="68">
        <f>'NOPA Crush'!Q287/'Census Crush'!JE287</f>
        <v>0.76055950220378532</v>
      </c>
    </row>
    <row r="288" spans="1:266">
      <c r="A288" s="39">
        <v>37803</v>
      </c>
      <c r="B288" s="51">
        <v>3877.9</v>
      </c>
      <c r="C288" s="51">
        <v>1667.7</v>
      </c>
      <c r="D288" s="51">
        <v>127.4</v>
      </c>
      <c r="E288" s="51">
        <v>346.6</v>
      </c>
      <c r="F288" s="51">
        <v>27.2</v>
      </c>
      <c r="G288" s="51" t="s">
        <v>264</v>
      </c>
      <c r="H288" s="51" t="s">
        <v>264</v>
      </c>
      <c r="I288" s="51" t="s">
        <v>264</v>
      </c>
      <c r="J288" s="51" t="s">
        <v>264</v>
      </c>
      <c r="K288" s="51">
        <v>1482.4</v>
      </c>
      <c r="L288" s="49">
        <v>1795.6000000000001</v>
      </c>
      <c r="M288" s="51">
        <v>1595.9</v>
      </c>
      <c r="N288" s="51">
        <v>199.7</v>
      </c>
      <c r="O288" s="53">
        <v>39.9</v>
      </c>
      <c r="P288" s="51">
        <v>64.2</v>
      </c>
      <c r="Q288" s="51">
        <v>9.6</v>
      </c>
      <c r="R288" s="51">
        <v>54.6</v>
      </c>
      <c r="S288" s="51"/>
      <c r="T288" s="51">
        <v>23.9</v>
      </c>
      <c r="U288" s="51">
        <v>77</v>
      </c>
      <c r="V288" s="51">
        <v>73.7</v>
      </c>
      <c r="W288" s="51">
        <v>3.3</v>
      </c>
      <c r="X288" s="51" t="s">
        <v>264</v>
      </c>
      <c r="Y288" s="51" t="s">
        <v>264</v>
      </c>
      <c r="Z288" s="9">
        <v>51.5</v>
      </c>
      <c r="AA288" s="51" t="s">
        <v>264</v>
      </c>
      <c r="AB288" s="51" t="s">
        <v>264</v>
      </c>
      <c r="AC288" s="51" t="s">
        <v>264</v>
      </c>
      <c r="AD288" s="51">
        <v>47.3</v>
      </c>
      <c r="AE288" s="51"/>
      <c r="AF288" s="51">
        <v>51.2</v>
      </c>
      <c r="AG288" s="51">
        <v>30.7</v>
      </c>
      <c r="AH288" s="51">
        <v>20.5</v>
      </c>
      <c r="AI288" s="51">
        <v>216.5</v>
      </c>
      <c r="AJ288" s="55"/>
      <c r="AK288" s="55"/>
      <c r="AL288" s="51">
        <v>98.4</v>
      </c>
      <c r="AM288" s="51">
        <v>55.7</v>
      </c>
      <c r="AN288" s="51">
        <v>42.7</v>
      </c>
      <c r="AO288" s="51">
        <v>2851</v>
      </c>
      <c r="AP288" s="51">
        <v>196</v>
      </c>
      <c r="AQ288" s="51">
        <v>213.4</v>
      </c>
      <c r="AR288" s="51">
        <v>32.299999999999997</v>
      </c>
      <c r="AS288" s="51">
        <v>63</v>
      </c>
      <c r="AT288" s="51">
        <v>51.7</v>
      </c>
      <c r="AU288" s="51">
        <v>40.6</v>
      </c>
      <c r="AV288" s="51">
        <v>21.5</v>
      </c>
      <c r="AW288" s="51">
        <v>14.5</v>
      </c>
      <c r="AX288" s="51">
        <v>3.6</v>
      </c>
      <c r="AY288" s="51" t="s">
        <v>264</v>
      </c>
      <c r="AZ288" s="51" t="s">
        <v>264</v>
      </c>
      <c r="BA288" s="51" t="s">
        <v>264</v>
      </c>
      <c r="BB288" s="51" t="s">
        <v>264</v>
      </c>
      <c r="BC288" s="55"/>
      <c r="BD288" s="53">
        <v>186.7</v>
      </c>
      <c r="BE288" s="53">
        <v>35</v>
      </c>
      <c r="BF288" s="53">
        <v>68.2</v>
      </c>
      <c r="BG288" s="53">
        <v>8.1</v>
      </c>
      <c r="BH288" s="53">
        <v>337.8</v>
      </c>
      <c r="BI288" s="53">
        <v>112.4</v>
      </c>
      <c r="BJ288" s="53">
        <v>108.8</v>
      </c>
      <c r="BK288" s="53">
        <v>221.2</v>
      </c>
      <c r="BL288" s="53">
        <v>0</v>
      </c>
      <c r="BM288" s="53">
        <v>559</v>
      </c>
      <c r="BN288" s="53">
        <v>218.28700000000001</v>
      </c>
      <c r="BO288" s="53">
        <v>62.9</v>
      </c>
      <c r="BP288" s="53">
        <v>36.799999999999997</v>
      </c>
      <c r="BQ288" s="53">
        <v>99.699999999999989</v>
      </c>
      <c r="BR288" s="53">
        <v>0</v>
      </c>
      <c r="BS288" s="53">
        <v>317.98699999999997</v>
      </c>
      <c r="BT288" s="53">
        <v>21.7</v>
      </c>
      <c r="BU288" s="53">
        <v>9.6999999999999993</v>
      </c>
      <c r="BV288" s="51" t="s">
        <v>264</v>
      </c>
      <c r="BW288" s="51" t="s">
        <v>264</v>
      </c>
      <c r="BX288" s="51">
        <v>402.4</v>
      </c>
      <c r="BY288" s="51" t="s">
        <v>264</v>
      </c>
      <c r="BZ288" s="51" t="s">
        <v>264</v>
      </c>
      <c r="CA288" s="51">
        <v>41.4</v>
      </c>
      <c r="CB288" s="53">
        <v>79.2</v>
      </c>
      <c r="CC288" s="53" t="s">
        <v>264</v>
      </c>
      <c r="CD288" s="53">
        <v>81.7</v>
      </c>
      <c r="CE288" s="53">
        <v>8.6999999999999993</v>
      </c>
      <c r="CF288" s="53">
        <v>109.2</v>
      </c>
      <c r="CG288" s="53">
        <v>199.3</v>
      </c>
      <c r="CH288" s="53">
        <v>13.5</v>
      </c>
      <c r="CI288" s="55"/>
      <c r="CJ288" s="55"/>
      <c r="CK288" s="9">
        <v>197.6</v>
      </c>
      <c r="CL288" s="9">
        <v>21.9</v>
      </c>
      <c r="CM288" s="9"/>
      <c r="CN288" s="53">
        <v>39.4</v>
      </c>
      <c r="CO288" s="53">
        <v>198.2</v>
      </c>
      <c r="CP288" s="53">
        <v>134.9</v>
      </c>
      <c r="CQ288" s="53">
        <v>63.3</v>
      </c>
      <c r="CR288" s="52" t="s">
        <v>264</v>
      </c>
      <c r="CS288" s="53">
        <v>27.1</v>
      </c>
      <c r="CT288" s="55"/>
      <c r="CU288" s="55"/>
      <c r="CV288" s="53">
        <v>43.4</v>
      </c>
      <c r="CW288" s="52" t="s">
        <v>264</v>
      </c>
      <c r="CX288" s="52" t="s">
        <v>264</v>
      </c>
      <c r="CY288" s="53" t="s">
        <v>264</v>
      </c>
      <c r="CZ288" s="53">
        <v>52.4</v>
      </c>
      <c r="DA288" s="12">
        <v>11.5</v>
      </c>
      <c r="DB288" s="53" t="s">
        <v>264</v>
      </c>
      <c r="DC288" s="53" t="s">
        <v>264</v>
      </c>
      <c r="DD288" s="55"/>
      <c r="DE288" s="55"/>
      <c r="DF288" s="55"/>
      <c r="DG288" s="55"/>
      <c r="DH288" s="55"/>
      <c r="DI288" s="53">
        <v>562.4</v>
      </c>
      <c r="DJ288" s="53">
        <v>334.6</v>
      </c>
      <c r="DK288" s="55"/>
      <c r="DL288" s="55"/>
      <c r="DM288" s="53">
        <v>272.89999999999998</v>
      </c>
      <c r="DN288" s="55"/>
      <c r="DO288" s="53">
        <v>220.6</v>
      </c>
      <c r="DP288" s="53">
        <v>226.7</v>
      </c>
      <c r="DQ288" s="55"/>
      <c r="DR288" s="55"/>
      <c r="DS288" s="53">
        <v>2144.7249999999999</v>
      </c>
      <c r="DT288" s="53">
        <v>3877.9</v>
      </c>
      <c r="DU288" s="53">
        <v>-115.97499999999991</v>
      </c>
      <c r="DV288" s="53">
        <v>0</v>
      </c>
      <c r="DW288" s="55"/>
      <c r="DX288" s="55"/>
      <c r="DY288" s="55"/>
      <c r="DZ288" s="55"/>
      <c r="EA288" s="53">
        <v>271.60000000000002</v>
      </c>
      <c r="EB288" s="53">
        <v>149.6</v>
      </c>
      <c r="EC288" s="55"/>
      <c r="ED288" s="55"/>
      <c r="EE288" s="53" t="e">
        <v>#VALUE!</v>
      </c>
      <c r="EF288" s="55"/>
      <c r="EG288" s="53">
        <v>80.099999999999994</v>
      </c>
      <c r="EH288" s="53">
        <v>181.3</v>
      </c>
      <c r="EI288" s="55"/>
      <c r="EJ288" s="55"/>
      <c r="EK288" s="55"/>
      <c r="EL288" s="53">
        <v>1667.7</v>
      </c>
      <c r="EM288" s="55"/>
      <c r="EN288" s="55"/>
      <c r="EO288" s="55"/>
      <c r="EP288" s="55"/>
      <c r="EQ288" s="53">
        <v>217</v>
      </c>
      <c r="ER288" s="53">
        <v>124.5</v>
      </c>
      <c r="ES288" s="55"/>
      <c r="ET288" s="55"/>
      <c r="EU288" s="53">
        <v>107.6</v>
      </c>
      <c r="EV288" s="55"/>
      <c r="EW288" s="53">
        <v>87.1</v>
      </c>
      <c r="EX288" s="53">
        <v>87.3</v>
      </c>
      <c r="EY288" s="55"/>
      <c r="EZ288" s="55"/>
      <c r="FA288" s="55"/>
      <c r="FB288" s="53">
        <v>1482.4</v>
      </c>
      <c r="FC288" s="55"/>
      <c r="FD288" s="55"/>
      <c r="FE288" s="55"/>
      <c r="FF288" s="55"/>
      <c r="FG288" s="53">
        <v>450</v>
      </c>
      <c r="FH288" s="53">
        <v>263.7</v>
      </c>
      <c r="FI288" s="55"/>
      <c r="FJ288" s="55"/>
      <c r="FK288" s="53">
        <v>215.3</v>
      </c>
      <c r="FL288" s="55"/>
      <c r="FM288" s="53">
        <v>178.6</v>
      </c>
      <c r="FN288" s="53">
        <v>182</v>
      </c>
      <c r="FO288" s="55"/>
      <c r="FP288" s="55"/>
      <c r="FQ288" s="55"/>
      <c r="FR288" s="53">
        <v>3073.6</v>
      </c>
      <c r="FS288" s="55"/>
      <c r="FT288" s="55"/>
      <c r="FU288" s="55"/>
      <c r="FV288" s="55"/>
      <c r="FW288" s="53">
        <v>263.5</v>
      </c>
      <c r="FX288" s="53" t="e">
        <v>#VALUE!</v>
      </c>
      <c r="FY288" s="55"/>
      <c r="FZ288" s="55"/>
      <c r="GA288" s="53">
        <v>29.6</v>
      </c>
      <c r="GB288" s="55"/>
      <c r="GC288" s="53">
        <v>56.3</v>
      </c>
      <c r="GD288" s="53" t="e">
        <v>#VALUE!</v>
      </c>
      <c r="GE288" s="55"/>
      <c r="GF288" s="55"/>
      <c r="GG288" s="55"/>
      <c r="GH288" s="53">
        <v>1063.8</v>
      </c>
      <c r="GI288" s="55"/>
      <c r="GJ288" s="55"/>
      <c r="GK288" s="55"/>
      <c r="GL288" s="55"/>
      <c r="GM288" s="53">
        <v>25.8</v>
      </c>
      <c r="GN288" s="53">
        <v>33.5</v>
      </c>
      <c r="GO288" s="55"/>
      <c r="GP288" s="55"/>
      <c r="GQ288" s="53">
        <v>15.8</v>
      </c>
      <c r="GR288" s="55"/>
      <c r="GS288" s="53">
        <v>5.0999999999999996</v>
      </c>
      <c r="GT288" s="53" t="e">
        <v>#VALUE!</v>
      </c>
      <c r="GU288" s="55"/>
      <c r="GV288" s="55"/>
      <c r="GW288" s="55"/>
      <c r="GX288" s="53">
        <v>228.4</v>
      </c>
      <c r="GY288" s="19">
        <v>0.97270808202653791</v>
      </c>
      <c r="GZ288" s="53">
        <v>1290.2</v>
      </c>
      <c r="HA288" s="53">
        <v>1326.4</v>
      </c>
      <c r="HB288" s="18">
        <v>-123.96186714380042</v>
      </c>
      <c r="HC288" s="55"/>
      <c r="HD288" s="18">
        <v>1385.6381328561995</v>
      </c>
      <c r="HE288" s="55"/>
      <c r="HF288" s="53">
        <v>1509.6</v>
      </c>
      <c r="HG288" s="53">
        <v>1459.2</v>
      </c>
      <c r="HH288" s="53">
        <v>684.9</v>
      </c>
      <c r="HI288" s="53">
        <v>87.9</v>
      </c>
      <c r="HJ288" s="53">
        <v>676.1</v>
      </c>
      <c r="HK288" s="53">
        <v>10.3</v>
      </c>
      <c r="HL288" s="53">
        <v>50.5</v>
      </c>
      <c r="HM288" s="55"/>
      <c r="HN288" s="55"/>
      <c r="HO288" s="55"/>
      <c r="HP288" s="53" t="e">
        <v>#VALUE!</v>
      </c>
      <c r="HQ288" s="53">
        <v>6.7</v>
      </c>
      <c r="HR288" s="53">
        <v>7.8</v>
      </c>
      <c r="HS288" s="53" t="e">
        <v>#VALUE!</v>
      </c>
      <c r="HT288" s="53">
        <v>28.4</v>
      </c>
      <c r="HU288" s="55"/>
      <c r="HV288" s="55"/>
      <c r="HW288" s="53">
        <v>255.2</v>
      </c>
      <c r="HX288" s="53" t="e">
        <v>#VALUE!</v>
      </c>
      <c r="HY288" s="53">
        <v>255.2</v>
      </c>
      <c r="HZ288" s="53">
        <v>47.5</v>
      </c>
      <c r="IA288" s="53">
        <v>187.7</v>
      </c>
      <c r="IB288" s="53">
        <v>83</v>
      </c>
      <c r="IC288" s="53">
        <v>60.5</v>
      </c>
      <c r="ID288" s="53" t="e">
        <v>#VALUE!</v>
      </c>
      <c r="IE288" s="53">
        <v>60.5</v>
      </c>
      <c r="IF288" s="53" t="e">
        <v>#VALUE!</v>
      </c>
      <c r="IG288" s="53" t="e">
        <v>#VALUE!</v>
      </c>
      <c r="IH288" s="55"/>
      <c r="II288" s="55"/>
      <c r="IJ288" s="55"/>
      <c r="IK288" s="55"/>
      <c r="IL288" s="12">
        <v>20</v>
      </c>
      <c r="IM288" s="55"/>
      <c r="IN288" s="53">
        <v>31.7</v>
      </c>
      <c r="IO288" s="53">
        <v>31.9</v>
      </c>
      <c r="IP288" s="53" t="e">
        <v>#VALUE!</v>
      </c>
      <c r="IQ288" s="53">
        <v>36.6</v>
      </c>
      <c r="IR288" s="53">
        <v>12.2</v>
      </c>
      <c r="IS288" s="53" t="e">
        <v>#VALUE!</v>
      </c>
      <c r="IT288" s="53">
        <v>22.7</v>
      </c>
      <c r="IU288" s="53" t="e">
        <v>#VALUE!</v>
      </c>
      <c r="IV288" s="53" t="e">
        <v>#VALUE!</v>
      </c>
      <c r="IY288" s="48">
        <f t="shared" si="14"/>
        <v>47.413290698573967</v>
      </c>
      <c r="IZ288" s="48">
        <f>IY288-'NOPA Crush'!J288</f>
        <v>0.13329069857396547</v>
      </c>
      <c r="JB288" s="63">
        <f t="shared" si="12"/>
        <v>11.468062611207095</v>
      </c>
      <c r="JC288" s="64">
        <f>JB288-'NOPA Crush'!O288</f>
        <v>-8.1937388792905352E-2</v>
      </c>
      <c r="JD288" s="65"/>
      <c r="JE288" s="67">
        <f t="shared" si="13"/>
        <v>1795.6000000000001</v>
      </c>
      <c r="JF288" s="68">
        <f>'NOPA Crush'!Q288/'Census Crush'!JE288</f>
        <v>0.71664958788148803</v>
      </c>
    </row>
    <row r="289" spans="1:266">
      <c r="A289" s="39">
        <v>37834</v>
      </c>
      <c r="B289" s="51">
        <v>3752.8</v>
      </c>
      <c r="C289" s="51">
        <v>1059.7</v>
      </c>
      <c r="D289" s="51">
        <v>141</v>
      </c>
      <c r="E289" s="51">
        <v>306</v>
      </c>
      <c r="F289" s="51">
        <v>19.899999999999999</v>
      </c>
      <c r="G289" s="51" t="s">
        <v>264</v>
      </c>
      <c r="H289" s="51" t="s">
        <v>264</v>
      </c>
      <c r="I289" s="51" t="s">
        <v>264</v>
      </c>
      <c r="J289" s="51" t="s">
        <v>264</v>
      </c>
      <c r="K289" s="51">
        <v>1440.4</v>
      </c>
      <c r="L289" s="49">
        <v>1657.9</v>
      </c>
      <c r="M289" s="51">
        <v>1459.9</v>
      </c>
      <c r="N289" s="51">
        <v>198</v>
      </c>
      <c r="O289" s="53">
        <v>45</v>
      </c>
      <c r="P289" s="51">
        <v>50.699999999999996</v>
      </c>
      <c r="Q289" s="51">
        <v>5.8</v>
      </c>
      <c r="R289" s="51">
        <v>44.9</v>
      </c>
      <c r="S289" s="51"/>
      <c r="T289" s="51">
        <v>17.3</v>
      </c>
      <c r="U289" s="51">
        <v>60.900000000000006</v>
      </c>
      <c r="V289" s="51">
        <v>54.7</v>
      </c>
      <c r="W289" s="51">
        <v>6.2</v>
      </c>
      <c r="X289" s="51" t="s">
        <v>264</v>
      </c>
      <c r="Y289" s="51" t="s">
        <v>264</v>
      </c>
      <c r="Z289" s="9">
        <v>39.4</v>
      </c>
      <c r="AA289" s="51" t="s">
        <v>264</v>
      </c>
      <c r="AB289" s="51" t="s">
        <v>264</v>
      </c>
      <c r="AC289" s="51" t="s">
        <v>264</v>
      </c>
      <c r="AD289" s="51">
        <v>46.9</v>
      </c>
      <c r="AE289" s="51"/>
      <c r="AF289" s="51">
        <v>42.1</v>
      </c>
      <c r="AG289" s="51">
        <v>20.3</v>
      </c>
      <c r="AH289" s="51">
        <v>21.8</v>
      </c>
      <c r="AI289" s="51">
        <v>202.5</v>
      </c>
      <c r="AJ289" s="55"/>
      <c r="AK289" s="55"/>
      <c r="AL289" s="51">
        <v>129.19999999999999</v>
      </c>
      <c r="AM289" s="51">
        <v>88.5</v>
      </c>
      <c r="AN289" s="51">
        <v>40.700000000000003</v>
      </c>
      <c r="AO289" s="51">
        <v>2759.6</v>
      </c>
      <c r="AP289" s="51">
        <v>229.5</v>
      </c>
      <c r="AQ289" s="51">
        <v>207</v>
      </c>
      <c r="AR289" s="51">
        <v>37.4</v>
      </c>
      <c r="AS289" s="51">
        <v>74.900000000000006</v>
      </c>
      <c r="AT289" s="51">
        <v>49.7</v>
      </c>
      <c r="AU289" s="51">
        <v>45.7</v>
      </c>
      <c r="AV289" s="51">
        <v>19.8</v>
      </c>
      <c r="AW289" s="51">
        <v>10.9</v>
      </c>
      <c r="AX289" s="51" t="s">
        <v>264</v>
      </c>
      <c r="AY289" s="51" t="s">
        <v>264</v>
      </c>
      <c r="AZ289" s="51" t="s">
        <v>264</v>
      </c>
      <c r="BA289" s="51" t="s">
        <v>264</v>
      </c>
      <c r="BB289" s="51" t="s">
        <v>264</v>
      </c>
      <c r="BC289" s="55"/>
      <c r="BD289" s="53">
        <v>169.7</v>
      </c>
      <c r="BE289" s="53">
        <v>27.7</v>
      </c>
      <c r="BF289" s="53">
        <v>64.900000000000006</v>
      </c>
      <c r="BG289" s="53">
        <v>8.1999999999999993</v>
      </c>
      <c r="BH289" s="53">
        <v>306.7</v>
      </c>
      <c r="BI289" s="53">
        <v>111.1</v>
      </c>
      <c r="BJ289" s="53">
        <v>106.8</v>
      </c>
      <c r="BK289" s="53">
        <v>217.89999999999998</v>
      </c>
      <c r="BL289" s="53">
        <v>0</v>
      </c>
      <c r="BM289" s="53">
        <v>524.59999999999991</v>
      </c>
      <c r="BN289" s="53">
        <v>197.02199999999999</v>
      </c>
      <c r="BO289" s="53">
        <v>62.7</v>
      </c>
      <c r="BP289" s="53">
        <v>23.8</v>
      </c>
      <c r="BQ289" s="53">
        <v>86.5</v>
      </c>
      <c r="BR289" s="53">
        <v>0</v>
      </c>
      <c r="BS289" s="53">
        <v>283.52199999999999</v>
      </c>
      <c r="BT289" s="53">
        <v>18.600000000000001</v>
      </c>
      <c r="BU289" s="53">
        <v>8.4</v>
      </c>
      <c r="BV289" s="51" t="s">
        <v>264</v>
      </c>
      <c r="BW289" s="51" t="s">
        <v>264</v>
      </c>
      <c r="BX289" s="51">
        <v>378.4</v>
      </c>
      <c r="BY289" s="51" t="s">
        <v>264</v>
      </c>
      <c r="BZ289" s="51" t="s">
        <v>264</v>
      </c>
      <c r="CA289" s="51">
        <v>46.1</v>
      </c>
      <c r="CB289" s="53">
        <v>75.2</v>
      </c>
      <c r="CC289" s="53" t="s">
        <v>264</v>
      </c>
      <c r="CD289" s="53">
        <v>79.2</v>
      </c>
      <c r="CE289" s="53">
        <v>11</v>
      </c>
      <c r="CF289" s="53">
        <v>100.5</v>
      </c>
      <c r="CG289" s="53">
        <v>209.7</v>
      </c>
      <c r="CH289" s="53">
        <v>13.865</v>
      </c>
      <c r="CI289" s="55"/>
      <c r="CJ289" s="55"/>
      <c r="CK289" s="9">
        <v>182.2</v>
      </c>
      <c r="CL289" s="9">
        <v>17.7</v>
      </c>
      <c r="CM289" s="9"/>
      <c r="CN289" s="53">
        <v>51.7</v>
      </c>
      <c r="CO289" s="53">
        <v>191.89999999999998</v>
      </c>
      <c r="CP289" s="53">
        <v>126.1</v>
      </c>
      <c r="CQ289" s="53">
        <v>65.8</v>
      </c>
      <c r="CR289" s="52" t="s">
        <v>264</v>
      </c>
      <c r="CS289" s="53">
        <v>21.4</v>
      </c>
      <c r="CT289" s="55"/>
      <c r="CU289" s="55"/>
      <c r="CV289" s="53">
        <v>49.8</v>
      </c>
      <c r="CW289" s="52" t="s">
        <v>264</v>
      </c>
      <c r="CX289" s="52" t="s">
        <v>264</v>
      </c>
      <c r="CY289" s="53" t="s">
        <v>264</v>
      </c>
      <c r="CZ289" s="53">
        <v>43.2</v>
      </c>
      <c r="DA289" s="12">
        <v>8.6999999999999993</v>
      </c>
      <c r="DB289" s="53" t="s">
        <v>264</v>
      </c>
      <c r="DC289" s="53" t="s">
        <v>264</v>
      </c>
      <c r="DD289" s="55"/>
      <c r="DE289" s="55"/>
      <c r="DF289" s="55"/>
      <c r="DG289" s="55"/>
      <c r="DH289" s="55"/>
      <c r="DI289" s="53">
        <v>582.4</v>
      </c>
      <c r="DJ289" s="53">
        <v>311.7</v>
      </c>
      <c r="DK289" s="55"/>
      <c r="DL289" s="55"/>
      <c r="DM289" s="53">
        <v>281.5</v>
      </c>
      <c r="DN289" s="55"/>
      <c r="DO289" s="53">
        <v>159.4</v>
      </c>
      <c r="DP289" s="53">
        <v>257.39999999999998</v>
      </c>
      <c r="DQ289" s="55"/>
      <c r="DR289" s="55"/>
      <c r="DS289" s="53">
        <v>2006.2159999999999</v>
      </c>
      <c r="DT289" s="53">
        <v>3752.8</v>
      </c>
      <c r="DU289" s="53">
        <v>-154.1840000000002</v>
      </c>
      <c r="DV289" s="53">
        <v>0</v>
      </c>
      <c r="DW289" s="55"/>
      <c r="DX289" s="55"/>
      <c r="DY289" s="55"/>
      <c r="DZ289" s="55"/>
      <c r="EA289" s="53">
        <v>136.5</v>
      </c>
      <c r="EB289" s="53">
        <v>99.2</v>
      </c>
      <c r="EC289" s="55"/>
      <c r="ED289" s="55"/>
      <c r="EE289" s="53" t="e">
        <v>#VALUE!</v>
      </c>
      <c r="EF289" s="55"/>
      <c r="EG289" s="53">
        <v>47.8</v>
      </c>
      <c r="EH289" s="53">
        <v>99.1</v>
      </c>
      <c r="EI289" s="55"/>
      <c r="EJ289" s="55"/>
      <c r="EK289" s="55"/>
      <c r="EL289" s="53">
        <v>1059.7</v>
      </c>
      <c r="EM289" s="55"/>
      <c r="EN289" s="55"/>
      <c r="EO289" s="55"/>
      <c r="EP289" s="55"/>
      <c r="EQ289" s="53">
        <v>228.5</v>
      </c>
      <c r="ER289" s="53">
        <v>118.9</v>
      </c>
      <c r="ES289" s="55"/>
      <c r="ET289" s="55"/>
      <c r="EU289" s="53">
        <v>108.5</v>
      </c>
      <c r="EV289" s="55"/>
      <c r="EW289" s="53">
        <v>61.2</v>
      </c>
      <c r="EX289" s="53">
        <v>98.6</v>
      </c>
      <c r="EY289" s="55"/>
      <c r="EZ289" s="55"/>
      <c r="FA289" s="55"/>
      <c r="FB289" s="53">
        <v>1440.4</v>
      </c>
      <c r="FC289" s="55"/>
      <c r="FD289" s="55"/>
      <c r="FE289" s="55"/>
      <c r="FF289" s="55"/>
      <c r="FG289" s="53">
        <v>464</v>
      </c>
      <c r="FH289" s="53">
        <v>247.1</v>
      </c>
      <c r="FI289" s="55"/>
      <c r="FJ289" s="55"/>
      <c r="FK289" s="53">
        <v>222.9</v>
      </c>
      <c r="FL289" s="55"/>
      <c r="FM289" s="53">
        <v>127.3</v>
      </c>
      <c r="FN289" s="53">
        <v>205.2</v>
      </c>
      <c r="FO289" s="55"/>
      <c r="FP289" s="55"/>
      <c r="FQ289" s="55"/>
      <c r="FR289" s="53">
        <v>2975.3</v>
      </c>
      <c r="FS289" s="55"/>
      <c r="FT289" s="55"/>
      <c r="FU289" s="55"/>
      <c r="FV289" s="55"/>
      <c r="FW289" s="53">
        <v>265.5</v>
      </c>
      <c r="FX289" s="53">
        <v>143.1</v>
      </c>
      <c r="FY289" s="55"/>
      <c r="FZ289" s="55"/>
      <c r="GA289" s="53">
        <v>39.1</v>
      </c>
      <c r="GB289" s="55"/>
      <c r="GC289" s="53">
        <v>44.2</v>
      </c>
      <c r="GD289" s="53" t="e">
        <v>#VALUE!</v>
      </c>
      <c r="GE289" s="55"/>
      <c r="GF289" s="55"/>
      <c r="GG289" s="55"/>
      <c r="GH289" s="53">
        <v>947.2</v>
      </c>
      <c r="GI289" s="55"/>
      <c r="GJ289" s="55"/>
      <c r="GK289" s="55"/>
      <c r="GL289" s="55"/>
      <c r="GM289" s="53">
        <v>46.8</v>
      </c>
      <c r="GN289" s="53">
        <v>27.6</v>
      </c>
      <c r="GO289" s="55"/>
      <c r="GP289" s="55"/>
      <c r="GQ289" s="53">
        <v>32.4</v>
      </c>
      <c r="GR289" s="55"/>
      <c r="GS289" s="53" t="e">
        <v>#VALUE!</v>
      </c>
      <c r="GT289" s="53" t="e">
        <v>#VALUE!</v>
      </c>
      <c r="GU289" s="55"/>
      <c r="GV289" s="55"/>
      <c r="GW289" s="55"/>
      <c r="GX289" s="53">
        <v>266.89999999999998</v>
      </c>
      <c r="GY289" s="19">
        <v>0.97212203186053503</v>
      </c>
      <c r="GZ289" s="53">
        <v>1293.7</v>
      </c>
      <c r="HA289" s="53">
        <v>1330.8</v>
      </c>
      <c r="HB289" s="18">
        <v>-23.612638499000013</v>
      </c>
      <c r="HC289" s="55"/>
      <c r="HD289" s="18">
        <v>1467.087361501</v>
      </c>
      <c r="HE289" s="55"/>
      <c r="HF289" s="53">
        <v>1490.7</v>
      </c>
      <c r="HG289" s="53">
        <v>1443.9</v>
      </c>
      <c r="HH289" s="53">
        <v>696.9</v>
      </c>
      <c r="HI289" s="53">
        <v>91.4</v>
      </c>
      <c r="HJ289" s="53">
        <v>645.4</v>
      </c>
      <c r="HK289" s="53">
        <v>10.1</v>
      </c>
      <c r="HL289" s="53">
        <v>46.8</v>
      </c>
      <c r="HM289" s="55"/>
      <c r="HN289" s="55"/>
      <c r="HO289" s="55"/>
      <c r="HP289" s="53" t="e">
        <v>#VALUE!</v>
      </c>
      <c r="HQ289" s="53">
        <v>6.6</v>
      </c>
      <c r="HR289" s="53">
        <v>8.3000000000000007</v>
      </c>
      <c r="HS289" s="53" t="e">
        <v>#VALUE!</v>
      </c>
      <c r="HT289" s="53">
        <v>23.3</v>
      </c>
      <c r="HU289" s="55"/>
      <c r="HV289" s="55"/>
      <c r="HW289" s="53">
        <v>270</v>
      </c>
      <c r="HX289" s="53" t="e">
        <v>#VALUE!</v>
      </c>
      <c r="HY289" s="53">
        <v>270</v>
      </c>
      <c r="HZ289" s="53">
        <v>45.2</v>
      </c>
      <c r="IA289" s="53">
        <v>203</v>
      </c>
      <c r="IB289" s="53">
        <v>82.5</v>
      </c>
      <c r="IC289" s="53">
        <v>54.5</v>
      </c>
      <c r="ID289" s="53" t="e">
        <v>#VALUE!</v>
      </c>
      <c r="IE289" s="53">
        <v>54.5</v>
      </c>
      <c r="IF289" s="53" t="e">
        <v>#VALUE!</v>
      </c>
      <c r="IG289" s="53" t="e">
        <v>#VALUE!</v>
      </c>
      <c r="IH289" s="55"/>
      <c r="II289" s="55"/>
      <c r="IJ289" s="55"/>
      <c r="IK289" s="55"/>
      <c r="IL289" s="12">
        <v>21.800000000000011</v>
      </c>
      <c r="IM289" s="55"/>
      <c r="IN289" s="53">
        <v>38.5</v>
      </c>
      <c r="IO289" s="53">
        <v>38.700000000000003</v>
      </c>
      <c r="IP289" s="53" t="e">
        <v>#VALUE!</v>
      </c>
      <c r="IQ289" s="53">
        <v>38.6</v>
      </c>
      <c r="IR289" s="53">
        <v>14</v>
      </c>
      <c r="IS289" s="53" t="e">
        <v>#VALUE!</v>
      </c>
      <c r="IT289" s="53">
        <v>22.9</v>
      </c>
      <c r="IU289" s="53" t="e">
        <v>#VALUE!</v>
      </c>
      <c r="IV289" s="53" t="e">
        <v>#VALUE!</v>
      </c>
      <c r="IY289" s="48">
        <f t="shared" si="14"/>
        <v>47.430185461522065</v>
      </c>
      <c r="IZ289" s="48">
        <f>IY289-'NOPA Crush'!J289</f>
        <v>0.26018546152206312</v>
      </c>
      <c r="JB289" s="63">
        <f t="shared" si="12"/>
        <v>11.514602430185462</v>
      </c>
      <c r="JC289" s="64">
        <f>JB289-'NOPA Crush'!O289</f>
        <v>-5.5397569814537917E-2</v>
      </c>
      <c r="JD289" s="65"/>
      <c r="JE289" s="67">
        <f t="shared" si="13"/>
        <v>1657.9</v>
      </c>
      <c r="JF289" s="68">
        <f>'NOPA Crush'!Q289/'Census Crush'!JE289</f>
        <v>0.73490500030158623</v>
      </c>
    </row>
    <row r="290" spans="1:266">
      <c r="A290" s="39">
        <v>37865</v>
      </c>
      <c r="B290" s="51">
        <v>3829.1</v>
      </c>
      <c r="C290" s="51">
        <v>956.3</v>
      </c>
      <c r="D290" s="51">
        <v>100.1</v>
      </c>
      <c r="E290" s="51">
        <v>446</v>
      </c>
      <c r="F290" s="51">
        <v>29.7</v>
      </c>
      <c r="G290" s="51" t="s">
        <v>264</v>
      </c>
      <c r="H290" s="51" t="s">
        <v>264</v>
      </c>
      <c r="I290" s="51" t="s">
        <v>264</v>
      </c>
      <c r="J290" s="51" t="s">
        <v>264</v>
      </c>
      <c r="K290" s="51">
        <v>1445.2</v>
      </c>
      <c r="L290" s="49">
        <v>1488.7</v>
      </c>
      <c r="M290" s="51">
        <v>1282.4000000000001</v>
      </c>
      <c r="N290" s="51">
        <v>206.3</v>
      </c>
      <c r="O290" s="53">
        <v>41.1</v>
      </c>
      <c r="P290" s="51">
        <v>36.9</v>
      </c>
      <c r="Q290" s="51">
        <v>8.1</v>
      </c>
      <c r="R290" s="51">
        <v>28.8</v>
      </c>
      <c r="S290" s="51"/>
      <c r="T290" s="51">
        <v>18.3</v>
      </c>
      <c r="U290" s="51">
        <v>52.4</v>
      </c>
      <c r="V290" s="51">
        <v>50.6</v>
      </c>
      <c r="W290" s="51">
        <v>1.8</v>
      </c>
      <c r="X290" s="51" t="s">
        <v>264</v>
      </c>
      <c r="Y290" s="51" t="s">
        <v>264</v>
      </c>
      <c r="Z290" s="9">
        <v>26.9</v>
      </c>
      <c r="AA290" s="51" t="s">
        <v>264</v>
      </c>
      <c r="AB290" s="51" t="s">
        <v>264</v>
      </c>
      <c r="AC290" s="51" t="s">
        <v>264</v>
      </c>
      <c r="AD290" s="51">
        <v>29.3</v>
      </c>
      <c r="AE290" s="51"/>
      <c r="AF290" s="51">
        <v>68.400000000000006</v>
      </c>
      <c r="AG290" s="51">
        <v>51.1</v>
      </c>
      <c r="AH290" s="51">
        <v>17.3</v>
      </c>
      <c r="AI290" s="51">
        <v>203.2</v>
      </c>
      <c r="AJ290" s="55"/>
      <c r="AK290" s="55"/>
      <c r="AL290" s="51">
        <v>119.4</v>
      </c>
      <c r="AM290" s="51">
        <v>81.5</v>
      </c>
      <c r="AN290" s="51">
        <v>37.9</v>
      </c>
      <c r="AO290" s="51">
        <v>2813.7</v>
      </c>
      <c r="AP290" s="51">
        <v>192.4</v>
      </c>
      <c r="AQ290" s="51">
        <v>209.9</v>
      </c>
      <c r="AR290" s="51">
        <v>27.6</v>
      </c>
      <c r="AS290" s="51">
        <v>60.9</v>
      </c>
      <c r="AT290" s="51">
        <v>35.4</v>
      </c>
      <c r="AU290" s="51">
        <v>37.200000000000003</v>
      </c>
      <c r="AV290" s="51">
        <v>9.5</v>
      </c>
      <c r="AW290" s="51">
        <v>11.7</v>
      </c>
      <c r="AX290" s="51" t="s">
        <v>264</v>
      </c>
      <c r="AY290" s="51" t="s">
        <v>264</v>
      </c>
      <c r="AZ290" s="51" t="s">
        <v>264</v>
      </c>
      <c r="BA290" s="51" t="s">
        <v>264</v>
      </c>
      <c r="BB290" s="51" t="s">
        <v>264</v>
      </c>
      <c r="BC290" s="55"/>
      <c r="BD290" s="53">
        <v>167.5</v>
      </c>
      <c r="BE290" s="53">
        <v>26</v>
      </c>
      <c r="BF290" s="53">
        <v>63.1</v>
      </c>
      <c r="BG290" s="53">
        <v>8.5</v>
      </c>
      <c r="BH290" s="53">
        <v>322.7</v>
      </c>
      <c r="BI290" s="53">
        <v>112.8</v>
      </c>
      <c r="BJ290" s="53">
        <v>101.5</v>
      </c>
      <c r="BK290" s="53">
        <v>214.3</v>
      </c>
      <c r="BL290" s="53">
        <v>0</v>
      </c>
      <c r="BM290" s="53">
        <v>537</v>
      </c>
      <c r="BN290" s="53">
        <v>181.666</v>
      </c>
      <c r="BO290" s="53">
        <v>42.9</v>
      </c>
      <c r="BP290" s="53">
        <v>39.200000000000003</v>
      </c>
      <c r="BQ290" s="53">
        <v>82.1</v>
      </c>
      <c r="BR290" s="53">
        <v>0</v>
      </c>
      <c r="BS290" s="53">
        <v>263.76599999999996</v>
      </c>
      <c r="BT290" s="53">
        <v>19</v>
      </c>
      <c r="BU290" s="53">
        <v>9.3000000000000007</v>
      </c>
      <c r="BV290" s="51" t="s">
        <v>264</v>
      </c>
      <c r="BW290" s="51" t="s">
        <v>264</v>
      </c>
      <c r="BX290" s="51">
        <v>379.3</v>
      </c>
      <c r="BY290" s="51" t="s">
        <v>264</v>
      </c>
      <c r="BZ290" s="51" t="s">
        <v>264</v>
      </c>
      <c r="CA290" s="51">
        <v>46.1</v>
      </c>
      <c r="CB290" s="53">
        <v>77.099999999999994</v>
      </c>
      <c r="CC290" s="53" t="s">
        <v>264</v>
      </c>
      <c r="CD290" s="53">
        <v>81.400000000000006</v>
      </c>
      <c r="CE290" s="53">
        <v>11.6</v>
      </c>
      <c r="CF290" s="53">
        <v>96.6</v>
      </c>
      <c r="CG290" s="53">
        <v>210.8</v>
      </c>
      <c r="CH290" s="53">
        <v>13.117000000000001</v>
      </c>
      <c r="CI290" s="55"/>
      <c r="CJ290" s="55"/>
      <c r="CK290" s="9">
        <v>183.2</v>
      </c>
      <c r="CL290" s="9">
        <v>16.899999999999999</v>
      </c>
      <c r="CM290" s="9"/>
      <c r="CN290" s="53">
        <v>34.200000000000003</v>
      </c>
      <c r="CO290" s="53">
        <v>216.3</v>
      </c>
      <c r="CP290" s="53">
        <v>154.6</v>
      </c>
      <c r="CQ290" s="53">
        <v>61.7</v>
      </c>
      <c r="CR290" s="52" t="s">
        <v>264</v>
      </c>
      <c r="CS290" s="53">
        <v>33.4</v>
      </c>
      <c r="CT290" s="55"/>
      <c r="CU290" s="55"/>
      <c r="CV290" s="53">
        <v>48.7</v>
      </c>
      <c r="CW290" s="52" t="s">
        <v>264</v>
      </c>
      <c r="CX290" s="52" t="s">
        <v>264</v>
      </c>
      <c r="CY290" s="53" t="s">
        <v>264</v>
      </c>
      <c r="CZ290" s="53">
        <v>59.5</v>
      </c>
      <c r="DA290" s="12">
        <v>10.3</v>
      </c>
      <c r="DB290" s="53" t="s">
        <v>264</v>
      </c>
      <c r="DC290" s="53" t="s">
        <v>264</v>
      </c>
      <c r="DD290" s="55"/>
      <c r="DE290" s="55"/>
      <c r="DF290" s="55"/>
      <c r="DG290" s="55"/>
      <c r="DH290" s="55"/>
      <c r="DI290" s="53">
        <v>553.20000000000005</v>
      </c>
      <c r="DJ290" s="53">
        <v>369.5</v>
      </c>
      <c r="DK290" s="55"/>
      <c r="DL290" s="55"/>
      <c r="DM290" s="53">
        <v>268.7</v>
      </c>
      <c r="DN290" s="55"/>
      <c r="DO290" s="53">
        <v>155.1</v>
      </c>
      <c r="DP290" s="53">
        <v>241.4</v>
      </c>
      <c r="DQ290" s="55"/>
      <c r="DR290" s="55"/>
      <c r="DS290" s="53">
        <v>2088.8150000000001</v>
      </c>
      <c r="DT290" s="53">
        <v>3829.1</v>
      </c>
      <c r="DU290" s="53">
        <v>-152.38499999999976</v>
      </c>
      <c r="DV290" s="53">
        <v>0</v>
      </c>
      <c r="DW290" s="55"/>
      <c r="DX290" s="55"/>
      <c r="DY290" s="55"/>
      <c r="DZ290" s="55"/>
      <c r="EA290" s="53">
        <v>159.5</v>
      </c>
      <c r="EB290" s="53">
        <v>49</v>
      </c>
      <c r="EC290" s="55"/>
      <c r="ED290" s="55"/>
      <c r="EE290" s="53" t="e">
        <v>#VALUE!</v>
      </c>
      <c r="EF290" s="55"/>
      <c r="EG290" s="53">
        <v>27.4</v>
      </c>
      <c r="EH290" s="53">
        <v>54.1</v>
      </c>
      <c r="EI290" s="55"/>
      <c r="EJ290" s="55"/>
      <c r="EK290" s="55"/>
      <c r="EL290" s="53">
        <v>956.3</v>
      </c>
      <c r="EM290" s="55"/>
      <c r="EN290" s="55"/>
      <c r="EO290" s="55"/>
      <c r="EP290" s="55"/>
      <c r="EQ290" s="53">
        <v>210.9</v>
      </c>
      <c r="ER290" s="53">
        <v>134.80000000000001</v>
      </c>
      <c r="ES290" s="55"/>
      <c r="ET290" s="55"/>
      <c r="EU290" s="53">
        <v>102.7</v>
      </c>
      <c r="EV290" s="55"/>
      <c r="EW290" s="53">
        <v>59.5</v>
      </c>
      <c r="EX290" s="53">
        <v>88.1</v>
      </c>
      <c r="EY290" s="55"/>
      <c r="EZ290" s="55"/>
      <c r="FA290" s="55"/>
      <c r="FB290" s="53">
        <v>1445.2</v>
      </c>
      <c r="FC290" s="55"/>
      <c r="FD290" s="55"/>
      <c r="FE290" s="55"/>
      <c r="FF290" s="55"/>
      <c r="FG290" s="53">
        <v>438.8</v>
      </c>
      <c r="FH290" s="53">
        <v>291.89999999999998</v>
      </c>
      <c r="FI290" s="55"/>
      <c r="FJ290" s="55"/>
      <c r="FK290" s="53">
        <v>213.6</v>
      </c>
      <c r="FL290" s="55"/>
      <c r="FM290" s="53">
        <v>124.2</v>
      </c>
      <c r="FN290" s="53">
        <v>194.1</v>
      </c>
      <c r="FO290" s="55"/>
      <c r="FP290" s="55"/>
      <c r="FQ290" s="55"/>
      <c r="FR290" s="53">
        <v>3032.1</v>
      </c>
      <c r="FS290" s="55"/>
      <c r="FT290" s="55"/>
      <c r="FU290" s="55"/>
      <c r="FV290" s="55"/>
      <c r="FW290" s="53">
        <v>211.6</v>
      </c>
      <c r="FX290" s="53">
        <v>106.5</v>
      </c>
      <c r="FY290" s="55"/>
      <c r="FZ290" s="55"/>
      <c r="GA290" s="53">
        <v>28</v>
      </c>
      <c r="GB290" s="55"/>
      <c r="GC290" s="53">
        <v>47.8</v>
      </c>
      <c r="GD290" s="53" t="e">
        <v>#VALUE!</v>
      </c>
      <c r="GE290" s="55"/>
      <c r="GF290" s="55"/>
      <c r="GG290" s="55"/>
      <c r="GH290" s="53">
        <v>796.4</v>
      </c>
      <c r="GI290" s="55"/>
      <c r="GJ290" s="55"/>
      <c r="GK290" s="55"/>
      <c r="GL290" s="55"/>
      <c r="GM290" s="53">
        <v>37.6</v>
      </c>
      <c r="GN290" s="53">
        <v>20.7</v>
      </c>
      <c r="GO290" s="55"/>
      <c r="GP290" s="55"/>
      <c r="GQ290" s="53">
        <v>21.1</v>
      </c>
      <c r="GR290" s="55"/>
      <c r="GS290" s="53">
        <v>4.0999999999999996</v>
      </c>
      <c r="GT290" s="53" t="e">
        <v>#VALUE!</v>
      </c>
      <c r="GU290" s="55"/>
      <c r="GV290" s="55"/>
      <c r="GW290" s="55"/>
      <c r="GX290" s="53">
        <v>219.9</v>
      </c>
      <c r="GY290" s="19">
        <v>0.97566275532377233</v>
      </c>
      <c r="GZ290" s="53">
        <v>1347</v>
      </c>
      <c r="HA290" s="53">
        <v>1380.6</v>
      </c>
      <c r="HB290" s="18">
        <v>-65.564298263199589</v>
      </c>
      <c r="HC290" s="55"/>
      <c r="HD290" s="18">
        <v>1512.3357017368005</v>
      </c>
      <c r="HE290" s="55"/>
      <c r="HF290" s="53">
        <v>1577.9</v>
      </c>
      <c r="HG290" s="53">
        <v>1525.7</v>
      </c>
      <c r="HH290" s="53">
        <v>752.8</v>
      </c>
      <c r="HI290" s="53">
        <v>98.6</v>
      </c>
      <c r="HJ290" s="53">
        <v>664.6</v>
      </c>
      <c r="HK290" s="53">
        <v>9.6999999999999993</v>
      </c>
      <c r="HL290" s="53">
        <v>52.3</v>
      </c>
      <c r="HM290" s="55"/>
      <c r="HN290" s="55"/>
      <c r="HO290" s="55"/>
      <c r="HP290" s="53" t="e">
        <v>#VALUE!</v>
      </c>
      <c r="HQ290" s="53">
        <v>6.4</v>
      </c>
      <c r="HR290" s="53">
        <v>9</v>
      </c>
      <c r="HS290" s="53" t="e">
        <v>#VALUE!</v>
      </c>
      <c r="HT290" s="53">
        <v>29.9</v>
      </c>
      <c r="HU290" s="55"/>
      <c r="HV290" s="55"/>
      <c r="HW290" s="53">
        <v>274.3</v>
      </c>
      <c r="HX290" s="53" t="e">
        <v>#VALUE!</v>
      </c>
      <c r="HY290" s="53">
        <v>274.3</v>
      </c>
      <c r="HZ290" s="53">
        <v>45.8</v>
      </c>
      <c r="IA290" s="53">
        <v>208.8</v>
      </c>
      <c r="IB290" s="53">
        <v>84.2</v>
      </c>
      <c r="IC290" s="53">
        <v>56.5</v>
      </c>
      <c r="ID290" s="53" t="e">
        <v>#VALUE!</v>
      </c>
      <c r="IE290" s="53">
        <v>56.5</v>
      </c>
      <c r="IF290" s="53" t="e">
        <v>#VALUE!</v>
      </c>
      <c r="IG290" s="53" t="e">
        <v>#VALUE!</v>
      </c>
      <c r="IH290" s="55"/>
      <c r="II290" s="55"/>
      <c r="IJ290" s="55"/>
      <c r="IK290" s="55"/>
      <c r="IL290" s="12">
        <v>19.699999999999989</v>
      </c>
      <c r="IM290" s="55"/>
      <c r="IN290" s="53">
        <v>34.6</v>
      </c>
      <c r="IO290" s="53">
        <v>34.9</v>
      </c>
      <c r="IP290" s="53" t="e">
        <v>#VALUE!</v>
      </c>
      <c r="IQ290" s="53">
        <v>40.299999999999997</v>
      </c>
      <c r="IR290" s="53">
        <v>13.5</v>
      </c>
      <c r="IS290" s="53">
        <v>0.8</v>
      </c>
      <c r="IT290" s="53">
        <v>25.1</v>
      </c>
      <c r="IU290" s="53" t="e">
        <v>#VALUE!</v>
      </c>
      <c r="IV290" s="53" t="e">
        <v>#VALUE!</v>
      </c>
      <c r="IY290" s="48">
        <f t="shared" si="14"/>
        <v>47.378235094408602</v>
      </c>
      <c r="IZ290" s="48">
        <f>IY290-'NOPA Crush'!J290</f>
        <v>0.29823509440860363</v>
      </c>
      <c r="JB290" s="63">
        <f t="shared" si="12"/>
        <v>11.322765140633569</v>
      </c>
      <c r="JC290" s="64">
        <f>JB290-'NOPA Crush'!O290</f>
        <v>-7.7234859366431152E-2</v>
      </c>
      <c r="JD290" s="65"/>
      <c r="JE290" s="67">
        <f t="shared" si="13"/>
        <v>1488.7</v>
      </c>
      <c r="JF290" s="68">
        <f>'NOPA Crush'!Q290/'Census Crush'!JE290</f>
        <v>0.72555921273594415</v>
      </c>
    </row>
    <row r="291" spans="1:266">
      <c r="A291" s="39">
        <v>37895</v>
      </c>
      <c r="B291" s="51">
        <v>4384.6000000000004</v>
      </c>
      <c r="C291" s="51">
        <v>3896.1</v>
      </c>
      <c r="D291" s="51">
        <v>251.6</v>
      </c>
      <c r="E291" s="51">
        <v>896.5</v>
      </c>
      <c r="F291" s="51">
        <v>37.5</v>
      </c>
      <c r="G291" s="51" t="s">
        <v>264</v>
      </c>
      <c r="H291" s="51" t="s">
        <v>264</v>
      </c>
      <c r="I291" s="51" t="s">
        <v>264</v>
      </c>
      <c r="J291" s="51" t="s">
        <v>264</v>
      </c>
      <c r="K291" s="51">
        <v>1630.8</v>
      </c>
      <c r="L291" s="49">
        <v>1411.8</v>
      </c>
      <c r="M291" s="51">
        <v>1236.8</v>
      </c>
      <c r="N291" s="51">
        <v>175</v>
      </c>
      <c r="O291" s="53">
        <v>77.5</v>
      </c>
      <c r="P291" s="51">
        <v>50.9</v>
      </c>
      <c r="Q291" s="51">
        <v>6</v>
      </c>
      <c r="R291" s="51">
        <v>44.9</v>
      </c>
      <c r="S291" s="51"/>
      <c r="T291" s="51">
        <v>24.1</v>
      </c>
      <c r="U291" s="51">
        <v>34.9</v>
      </c>
      <c r="V291" s="51">
        <v>32.4</v>
      </c>
      <c r="W291" s="51">
        <v>2.5</v>
      </c>
      <c r="X291" s="51" t="s">
        <v>264</v>
      </c>
      <c r="Y291" s="51" t="s">
        <v>264</v>
      </c>
      <c r="Z291" s="9">
        <v>47.7</v>
      </c>
      <c r="AA291" s="51" t="s">
        <v>264</v>
      </c>
      <c r="AB291" s="51" t="s">
        <v>264</v>
      </c>
      <c r="AC291" s="51" t="s">
        <v>264</v>
      </c>
      <c r="AD291" s="51">
        <v>55</v>
      </c>
      <c r="AE291" s="51"/>
      <c r="AF291" s="51">
        <v>61</v>
      </c>
      <c r="AG291" s="51">
        <v>46.3</v>
      </c>
      <c r="AH291" s="51">
        <v>14.7</v>
      </c>
      <c r="AI291" s="51">
        <v>209.1</v>
      </c>
      <c r="AJ291" s="55"/>
      <c r="AK291" s="55"/>
      <c r="AL291" s="51">
        <v>127.30000000000001</v>
      </c>
      <c r="AM291" s="51">
        <v>84.7</v>
      </c>
      <c r="AN291" s="51">
        <v>42.6</v>
      </c>
      <c r="AO291" s="51">
        <v>3232.8</v>
      </c>
      <c r="AP291" s="51">
        <v>284.7</v>
      </c>
      <c r="AQ291" s="51">
        <v>229.3</v>
      </c>
      <c r="AR291" s="51">
        <v>33.200000000000003</v>
      </c>
      <c r="AS291" s="51">
        <v>112.3</v>
      </c>
      <c r="AT291" s="51">
        <v>39.5</v>
      </c>
      <c r="AU291" s="51">
        <v>70.5</v>
      </c>
      <c r="AV291" s="51">
        <v>12.2</v>
      </c>
      <c r="AW291" s="51">
        <v>16.5</v>
      </c>
      <c r="AX291" s="51">
        <v>6</v>
      </c>
      <c r="AY291" s="51" t="s">
        <v>264</v>
      </c>
      <c r="AZ291" s="51" t="s">
        <v>264</v>
      </c>
      <c r="BA291" s="51" t="s">
        <v>264</v>
      </c>
      <c r="BB291" s="51" t="s">
        <v>264</v>
      </c>
      <c r="BC291" s="55"/>
      <c r="BD291" s="53">
        <v>154.9</v>
      </c>
      <c r="BE291" s="53">
        <v>20.5</v>
      </c>
      <c r="BF291" s="53">
        <v>70</v>
      </c>
      <c r="BG291" s="53">
        <v>9.9</v>
      </c>
      <c r="BH291" s="53">
        <v>324.5</v>
      </c>
      <c r="BI291" s="53">
        <v>113.7</v>
      </c>
      <c r="BJ291" s="53">
        <v>106.8</v>
      </c>
      <c r="BK291" s="53">
        <v>220.5</v>
      </c>
      <c r="BL291" s="53">
        <v>0</v>
      </c>
      <c r="BM291" s="53">
        <v>545</v>
      </c>
      <c r="BN291" s="53">
        <v>184.46299999999999</v>
      </c>
      <c r="BO291" s="53">
        <v>50.8</v>
      </c>
      <c r="BP291" s="53">
        <v>41.4</v>
      </c>
      <c r="BQ291" s="53">
        <v>92.199999999999989</v>
      </c>
      <c r="BR291" s="53">
        <v>0</v>
      </c>
      <c r="BS291" s="53">
        <v>276.66300000000001</v>
      </c>
      <c r="BT291" s="53">
        <v>22.4</v>
      </c>
      <c r="BU291" s="53">
        <v>10.3</v>
      </c>
      <c r="BV291" s="51" t="s">
        <v>264</v>
      </c>
      <c r="BW291" s="51" t="s">
        <v>264</v>
      </c>
      <c r="BX291" s="51">
        <v>458.9</v>
      </c>
      <c r="BY291" s="51" t="s">
        <v>264</v>
      </c>
      <c r="BZ291" s="51" t="s">
        <v>264</v>
      </c>
      <c r="CA291" s="51">
        <v>46.2</v>
      </c>
      <c r="CB291" s="53">
        <v>79.099999999999994</v>
      </c>
      <c r="CC291" s="53" t="s">
        <v>264</v>
      </c>
      <c r="CD291" s="53">
        <v>87</v>
      </c>
      <c r="CE291" s="53">
        <v>9.8000000000000007</v>
      </c>
      <c r="CF291" s="53">
        <v>101.9</v>
      </c>
      <c r="CG291" s="53">
        <v>207.3</v>
      </c>
      <c r="CH291" s="53">
        <v>20.074999999999999</v>
      </c>
      <c r="CI291" s="55"/>
      <c r="CJ291" s="55"/>
      <c r="CK291" s="9">
        <v>192.2</v>
      </c>
      <c r="CL291" s="9">
        <v>25.8</v>
      </c>
      <c r="CM291" s="9"/>
      <c r="CN291" s="53">
        <v>54.8</v>
      </c>
      <c r="CO291" s="53">
        <v>188.79999999999998</v>
      </c>
      <c r="CP291" s="53">
        <v>141.19999999999999</v>
      </c>
      <c r="CQ291" s="53">
        <v>47.6</v>
      </c>
      <c r="CR291" s="52" t="s">
        <v>264</v>
      </c>
      <c r="CS291" s="53">
        <v>41.3</v>
      </c>
      <c r="CT291" s="55"/>
      <c r="CU291" s="55"/>
      <c r="CV291" s="53">
        <v>47.6</v>
      </c>
      <c r="CW291" s="52" t="s">
        <v>264</v>
      </c>
      <c r="CX291" s="52" t="s">
        <v>264</v>
      </c>
      <c r="CY291" s="53" t="s">
        <v>264</v>
      </c>
      <c r="CZ291" s="53">
        <v>63.8</v>
      </c>
      <c r="DA291" s="12">
        <v>11</v>
      </c>
      <c r="DB291" s="53" t="s">
        <v>264</v>
      </c>
      <c r="DC291" s="53" t="s">
        <v>264</v>
      </c>
      <c r="DD291" s="55"/>
      <c r="DE291" s="55"/>
      <c r="DF291" s="55"/>
      <c r="DG291" s="55"/>
      <c r="DH291" s="55"/>
      <c r="DI291" s="53">
        <v>701.2</v>
      </c>
      <c r="DJ291" s="53">
        <v>405.8</v>
      </c>
      <c r="DK291" s="55"/>
      <c r="DL291" s="55"/>
      <c r="DM291" s="53">
        <v>290.2</v>
      </c>
      <c r="DN291" s="55"/>
      <c r="DO291" s="53">
        <v>193.4</v>
      </c>
      <c r="DP291" s="53">
        <v>312.8</v>
      </c>
      <c r="DQ291" s="55"/>
      <c r="DR291" s="55"/>
      <c r="DS291" s="53">
        <v>2299.4679999999998</v>
      </c>
      <c r="DT291" s="53">
        <v>4384.6000000000004</v>
      </c>
      <c r="DU291" s="53">
        <v>-181.73199999999997</v>
      </c>
      <c r="DV291" s="53">
        <v>0</v>
      </c>
      <c r="DW291" s="55"/>
      <c r="DX291" s="55"/>
      <c r="DY291" s="55"/>
      <c r="DZ291" s="55"/>
      <c r="EA291" s="53">
        <v>748</v>
      </c>
      <c r="EB291" s="53">
        <v>645.4</v>
      </c>
      <c r="EC291" s="55"/>
      <c r="ED291" s="55"/>
      <c r="EE291" s="53">
        <v>157.4</v>
      </c>
      <c r="EF291" s="55"/>
      <c r="EG291" s="53">
        <v>213.7</v>
      </c>
      <c r="EH291" s="53">
        <v>337</v>
      </c>
      <c r="EI291" s="55"/>
      <c r="EJ291" s="55"/>
      <c r="EK291" s="55"/>
      <c r="EL291" s="53">
        <v>3896.1</v>
      </c>
      <c r="EM291" s="55"/>
      <c r="EN291" s="55"/>
      <c r="EO291" s="55"/>
      <c r="EP291" s="55"/>
      <c r="EQ291" s="53">
        <v>267.39999999999998</v>
      </c>
      <c r="ER291" s="53">
        <v>147.9</v>
      </c>
      <c r="ES291" s="55"/>
      <c r="ET291" s="55"/>
      <c r="EU291" s="53">
        <v>111.1</v>
      </c>
      <c r="EV291" s="55"/>
      <c r="EW291" s="53">
        <v>72.5</v>
      </c>
      <c r="EX291" s="53">
        <v>109.5</v>
      </c>
      <c r="EY291" s="55"/>
      <c r="EZ291" s="55"/>
      <c r="FA291" s="55"/>
      <c r="FB291" s="53">
        <v>1630.8</v>
      </c>
      <c r="FC291" s="55"/>
      <c r="FD291" s="55"/>
      <c r="FE291" s="55"/>
      <c r="FF291" s="55"/>
      <c r="FG291" s="53">
        <v>554.70000000000005</v>
      </c>
      <c r="FH291" s="53">
        <v>318.89999999999998</v>
      </c>
      <c r="FI291" s="55"/>
      <c r="FJ291" s="55"/>
      <c r="FK291" s="53">
        <v>230.1</v>
      </c>
      <c r="FL291" s="55"/>
      <c r="FM291" s="53">
        <v>153.5</v>
      </c>
      <c r="FN291" s="53">
        <v>253.7</v>
      </c>
      <c r="FO291" s="55"/>
      <c r="FP291" s="55"/>
      <c r="FQ291" s="55"/>
      <c r="FR291" s="53">
        <v>3471.8</v>
      </c>
      <c r="FS291" s="55"/>
      <c r="FT291" s="55"/>
      <c r="FU291" s="55"/>
      <c r="FV291" s="55"/>
      <c r="FW291" s="53">
        <v>223.1</v>
      </c>
      <c r="FX291" s="53" t="e">
        <v>#VALUE!</v>
      </c>
      <c r="FY291" s="55"/>
      <c r="FZ291" s="55"/>
      <c r="GA291" s="53">
        <v>34.700000000000003</v>
      </c>
      <c r="GB291" s="55"/>
      <c r="GC291" s="53">
        <v>54.4</v>
      </c>
      <c r="GD291" s="53" t="e">
        <v>#VALUE!</v>
      </c>
      <c r="GE291" s="55"/>
      <c r="GF291" s="55"/>
      <c r="GG291" s="55"/>
      <c r="GH291" s="53">
        <v>766.5</v>
      </c>
      <c r="GI291" s="55"/>
      <c r="GJ291" s="55"/>
      <c r="GK291" s="55"/>
      <c r="GL291" s="55"/>
      <c r="GM291" s="53">
        <v>71.099999999999994</v>
      </c>
      <c r="GN291" s="53">
        <v>22.6</v>
      </c>
      <c r="GO291" s="55"/>
      <c r="GP291" s="55"/>
      <c r="GQ291" s="53">
        <v>23.3</v>
      </c>
      <c r="GR291" s="55"/>
      <c r="GS291" s="53">
        <v>3.1</v>
      </c>
      <c r="GT291" s="53" t="e">
        <v>#VALUE!</v>
      </c>
      <c r="GU291" s="55"/>
      <c r="GV291" s="55"/>
      <c r="GW291" s="55"/>
      <c r="GX291" s="53">
        <v>317.8</v>
      </c>
      <c r="GY291" s="19">
        <v>0.97590023819532012</v>
      </c>
      <c r="GZ291" s="53">
        <v>1393</v>
      </c>
      <c r="HA291" s="53">
        <v>1427.4</v>
      </c>
      <c r="HB291" s="18">
        <v>-102.11247497859995</v>
      </c>
      <c r="HC291" s="18">
        <v>-102.44429654439978</v>
      </c>
      <c r="HD291" s="18">
        <v>1558.5875250214001</v>
      </c>
      <c r="HE291" s="18">
        <v>-48.599999999999909</v>
      </c>
      <c r="HF291" s="53">
        <v>1660.7</v>
      </c>
      <c r="HG291" s="53">
        <v>1603.7</v>
      </c>
      <c r="HH291" s="53">
        <v>785</v>
      </c>
      <c r="HI291" s="53">
        <v>109.8</v>
      </c>
      <c r="HJ291" s="53">
        <v>699</v>
      </c>
      <c r="HK291" s="53">
        <v>10</v>
      </c>
      <c r="HL291" s="53">
        <v>57</v>
      </c>
      <c r="HM291" s="55"/>
      <c r="HN291" s="55"/>
      <c r="HO291" s="55"/>
      <c r="HP291" s="53" t="e">
        <v>#VALUE!</v>
      </c>
      <c r="HQ291" s="53">
        <v>6.6</v>
      </c>
      <c r="HR291" s="53">
        <v>6.6</v>
      </c>
      <c r="HS291" s="53" t="e">
        <v>#VALUE!</v>
      </c>
      <c r="HT291" s="53">
        <v>36</v>
      </c>
      <c r="HU291" s="55"/>
      <c r="HV291" s="55"/>
      <c r="HW291" s="53">
        <v>269.89999999999998</v>
      </c>
      <c r="HX291" s="53" t="e">
        <v>#VALUE!</v>
      </c>
      <c r="HY291" s="53">
        <v>269.89999999999998</v>
      </c>
      <c r="HZ291" s="53">
        <v>38.1</v>
      </c>
      <c r="IA291" s="53">
        <v>210.6</v>
      </c>
      <c r="IB291" s="53">
        <v>82.8</v>
      </c>
      <c r="IC291" s="53">
        <v>54.9</v>
      </c>
      <c r="ID291" s="53" t="e">
        <v>#VALUE!</v>
      </c>
      <c r="IE291" s="53">
        <v>54.9</v>
      </c>
      <c r="IF291" s="53" t="e">
        <v>#VALUE!</v>
      </c>
      <c r="IG291" s="53" t="e">
        <v>#VALUE!</v>
      </c>
      <c r="IH291" s="55"/>
      <c r="II291" s="55"/>
      <c r="IJ291" s="55"/>
      <c r="IK291" s="55"/>
      <c r="IL291" s="12">
        <v>21.199999999999989</v>
      </c>
      <c r="IM291" s="55"/>
      <c r="IN291" s="53">
        <v>59.8</v>
      </c>
      <c r="IO291" s="53">
        <v>60.1</v>
      </c>
      <c r="IP291" s="53" t="e">
        <v>#VALUE!</v>
      </c>
      <c r="IQ291" s="53">
        <v>39.1</v>
      </c>
      <c r="IR291" s="53">
        <v>16</v>
      </c>
      <c r="IS291" s="53">
        <v>0.8</v>
      </c>
      <c r="IT291" s="53" t="e">
        <v>#VALUE!</v>
      </c>
      <c r="IU291" s="53" t="e">
        <v>#VALUE!</v>
      </c>
      <c r="IV291" s="53" t="e">
        <v>#VALUE!</v>
      </c>
      <c r="IY291" s="48">
        <f t="shared" si="14"/>
        <v>47.376271495689465</v>
      </c>
      <c r="IZ291" s="48">
        <f>IY291-'NOPA Crush'!J291</f>
        <v>0.17627149568946265</v>
      </c>
      <c r="JB291" s="63">
        <f t="shared" si="12"/>
        <v>11.158144414541805</v>
      </c>
      <c r="JC291" s="64">
        <f>JB291-'NOPA Crush'!O291</f>
        <v>-6.185558545819525E-2</v>
      </c>
      <c r="JD291" s="65"/>
      <c r="JE291" s="67">
        <f t="shared" si="13"/>
        <v>1411.8</v>
      </c>
      <c r="JF291" s="68">
        <f>'NOPA Crush'!Q291/'Census Crush'!JE291</f>
        <v>0.73922156112763848</v>
      </c>
    </row>
    <row r="292" spans="1:266">
      <c r="A292" s="39">
        <v>37926</v>
      </c>
      <c r="B292" s="51">
        <v>4368.3999999999996</v>
      </c>
      <c r="C292" s="51">
        <v>3628.5</v>
      </c>
      <c r="D292" s="51">
        <v>254.8</v>
      </c>
      <c r="E292" s="51">
        <v>1379.4</v>
      </c>
      <c r="F292" s="51">
        <v>18</v>
      </c>
      <c r="G292" s="51" t="s">
        <v>264</v>
      </c>
      <c r="H292" s="51" t="s">
        <v>264</v>
      </c>
      <c r="I292" s="51" t="s">
        <v>264</v>
      </c>
      <c r="J292" s="51" t="s">
        <v>264</v>
      </c>
      <c r="K292" s="51">
        <v>1610.6</v>
      </c>
      <c r="L292" s="49">
        <v>1505.2</v>
      </c>
      <c r="M292" s="51">
        <v>1306</v>
      </c>
      <c r="N292" s="51">
        <v>199.2</v>
      </c>
      <c r="O292" s="53">
        <v>78.2</v>
      </c>
      <c r="P292" s="51">
        <v>57.9</v>
      </c>
      <c r="Q292" s="51">
        <v>7.9</v>
      </c>
      <c r="R292" s="51">
        <v>50</v>
      </c>
      <c r="S292" s="51"/>
      <c r="T292" s="51">
        <v>15.6</v>
      </c>
      <c r="U292" s="51">
        <v>22.3</v>
      </c>
      <c r="V292" s="51">
        <v>20.2</v>
      </c>
      <c r="W292" s="51">
        <v>2.1</v>
      </c>
      <c r="X292" s="51" t="s">
        <v>264</v>
      </c>
      <c r="Y292" s="51" t="s">
        <v>264</v>
      </c>
      <c r="Z292" s="49">
        <v>91.8</v>
      </c>
      <c r="AA292" s="51">
        <v>82.3</v>
      </c>
      <c r="AB292" s="51">
        <v>9.5</v>
      </c>
      <c r="AC292" s="51" t="s">
        <v>264</v>
      </c>
      <c r="AD292" s="51">
        <v>48.3</v>
      </c>
      <c r="AE292" s="51"/>
      <c r="AF292" s="51">
        <v>65</v>
      </c>
      <c r="AG292" s="51">
        <v>51.6</v>
      </c>
      <c r="AH292" s="51">
        <v>13.4</v>
      </c>
      <c r="AI292" s="51">
        <v>196.5</v>
      </c>
      <c r="AJ292" s="55"/>
      <c r="AK292" s="55"/>
      <c r="AL292" s="51">
        <v>137.80000000000001</v>
      </c>
      <c r="AM292" s="51">
        <v>84.1</v>
      </c>
      <c r="AN292" s="51">
        <v>53.7</v>
      </c>
      <c r="AO292" s="51">
        <v>3221.9</v>
      </c>
      <c r="AP292" s="51">
        <v>364.5</v>
      </c>
      <c r="AQ292" s="51">
        <v>244.1</v>
      </c>
      <c r="AR292" s="51">
        <v>52.5</v>
      </c>
      <c r="AS292" s="51">
        <v>111</v>
      </c>
      <c r="AT292" s="51">
        <v>50.7</v>
      </c>
      <c r="AU292" s="51">
        <v>71.2</v>
      </c>
      <c r="AV292" s="51">
        <v>22.8</v>
      </c>
      <c r="AW292" s="51">
        <v>10.199999999999999</v>
      </c>
      <c r="AX292" s="51" t="s">
        <v>264</v>
      </c>
      <c r="AY292" s="51" t="s">
        <v>264</v>
      </c>
      <c r="AZ292" s="51" t="s">
        <v>264</v>
      </c>
      <c r="BA292" s="51" t="s">
        <v>264</v>
      </c>
      <c r="BB292" s="51" t="s">
        <v>264</v>
      </c>
      <c r="BC292" s="55"/>
      <c r="BD292" s="53">
        <v>126.6</v>
      </c>
      <c r="BE292" s="53">
        <v>17.8</v>
      </c>
      <c r="BF292" s="53">
        <v>64.8</v>
      </c>
      <c r="BG292" s="53">
        <v>8.6999999999999993</v>
      </c>
      <c r="BH292" s="53">
        <v>262.10000000000002</v>
      </c>
      <c r="BI292" s="53">
        <v>104.5</v>
      </c>
      <c r="BJ292" s="53">
        <v>104.1</v>
      </c>
      <c r="BK292" s="53">
        <v>208.6</v>
      </c>
      <c r="BL292" s="53">
        <v>0</v>
      </c>
      <c r="BM292" s="53">
        <v>470.70000000000005</v>
      </c>
      <c r="BN292" s="53">
        <v>189.12799999999999</v>
      </c>
      <c r="BO292" s="53">
        <v>48.6</v>
      </c>
      <c r="BP292" s="53">
        <v>34.4</v>
      </c>
      <c r="BQ292" s="53">
        <v>83</v>
      </c>
      <c r="BR292" s="53">
        <v>0</v>
      </c>
      <c r="BS292" s="53">
        <v>272.12799999999999</v>
      </c>
      <c r="BT292" s="53">
        <v>20.3</v>
      </c>
      <c r="BU292" s="53">
        <v>12.2</v>
      </c>
      <c r="BV292" s="51" t="s">
        <v>264</v>
      </c>
      <c r="BW292" s="51" t="s">
        <v>264</v>
      </c>
      <c r="BX292" s="51">
        <v>357.7</v>
      </c>
      <c r="BY292" s="51" t="s">
        <v>264</v>
      </c>
      <c r="BZ292" s="51" t="s">
        <v>264</v>
      </c>
      <c r="CA292" s="51">
        <v>44.9</v>
      </c>
      <c r="CB292" s="53">
        <v>62.5</v>
      </c>
      <c r="CC292" s="53" t="s">
        <v>264</v>
      </c>
      <c r="CD292" s="53">
        <v>71</v>
      </c>
      <c r="CE292" s="53">
        <v>11.5</v>
      </c>
      <c r="CF292" s="53">
        <v>87.9</v>
      </c>
      <c r="CG292" s="53">
        <v>203</v>
      </c>
      <c r="CH292" s="53">
        <v>19.57</v>
      </c>
      <c r="CI292" s="55"/>
      <c r="CJ292" s="55"/>
      <c r="CK292" s="9">
        <v>160.5</v>
      </c>
      <c r="CL292" s="9">
        <v>18.8</v>
      </c>
      <c r="CM292" s="9"/>
      <c r="CN292" s="53">
        <v>54.6</v>
      </c>
      <c r="CO292" s="53">
        <v>186.1</v>
      </c>
      <c r="CP292" s="53">
        <v>136</v>
      </c>
      <c r="CQ292" s="53">
        <v>50.1</v>
      </c>
      <c r="CR292" s="52" t="s">
        <v>264</v>
      </c>
      <c r="CS292" s="53">
        <v>37.012</v>
      </c>
      <c r="CT292" s="53">
        <v>23.5</v>
      </c>
      <c r="CU292" s="53">
        <v>13.512</v>
      </c>
      <c r="CV292" s="53">
        <v>58.4</v>
      </c>
      <c r="CW292" s="52" t="s">
        <v>264</v>
      </c>
      <c r="CX292" s="52" t="s">
        <v>264</v>
      </c>
      <c r="CY292" s="53" t="s">
        <v>264</v>
      </c>
      <c r="CZ292" s="53">
        <v>49.7</v>
      </c>
      <c r="DA292" s="12">
        <v>8.5</v>
      </c>
      <c r="DB292" s="53" t="s">
        <v>264</v>
      </c>
      <c r="DC292" s="53" t="s">
        <v>264</v>
      </c>
      <c r="DD292" s="55"/>
      <c r="DE292" s="55"/>
      <c r="DF292" s="55"/>
      <c r="DG292" s="55"/>
      <c r="DH292" s="55"/>
      <c r="DI292" s="53">
        <v>692.4</v>
      </c>
      <c r="DJ292" s="53">
        <v>391.3</v>
      </c>
      <c r="DK292" s="55"/>
      <c r="DL292" s="55"/>
      <c r="DM292" s="53">
        <v>265.89999999999998</v>
      </c>
      <c r="DN292" s="55"/>
      <c r="DO292" s="53">
        <v>196.2</v>
      </c>
      <c r="DP292" s="53">
        <v>311.3</v>
      </c>
      <c r="DQ292" s="55"/>
      <c r="DR292" s="55"/>
      <c r="DS292" s="53">
        <v>2313.12</v>
      </c>
      <c r="DT292" s="53">
        <v>4368.3999999999996</v>
      </c>
      <c r="DU292" s="53">
        <v>-198.18000000000029</v>
      </c>
      <c r="DV292" s="53">
        <v>0</v>
      </c>
      <c r="DW292" s="55"/>
      <c r="DX292" s="55"/>
      <c r="DY292" s="55"/>
      <c r="DZ292" s="55"/>
      <c r="EA292" s="53">
        <v>731.7</v>
      </c>
      <c r="EB292" s="53">
        <v>557.29999999999995</v>
      </c>
      <c r="EC292" s="55"/>
      <c r="ED292" s="55"/>
      <c r="EE292" s="53">
        <v>102.3</v>
      </c>
      <c r="EF292" s="55"/>
      <c r="EG292" s="53">
        <v>182.3</v>
      </c>
      <c r="EH292" s="53" t="e">
        <v>#VALUE!</v>
      </c>
      <c r="EI292" s="55"/>
      <c r="EJ292" s="55"/>
      <c r="EK292" s="55"/>
      <c r="EL292" s="53">
        <v>3628.5</v>
      </c>
      <c r="EM292" s="55"/>
      <c r="EN292" s="55"/>
      <c r="EO292" s="55"/>
      <c r="EP292" s="55"/>
      <c r="EQ292" s="53">
        <v>262.2</v>
      </c>
      <c r="ER292" s="53">
        <v>140.80000000000001</v>
      </c>
      <c r="ES292" s="55"/>
      <c r="ET292" s="55"/>
      <c r="EU292" s="53">
        <v>100.3</v>
      </c>
      <c r="EV292" s="55"/>
      <c r="EW292" s="53">
        <v>73</v>
      </c>
      <c r="EX292" s="53">
        <v>108.6</v>
      </c>
      <c r="EY292" s="55"/>
      <c r="EZ292" s="55"/>
      <c r="FA292" s="55"/>
      <c r="FB292" s="53">
        <v>1610.6</v>
      </c>
      <c r="FC292" s="55"/>
      <c r="FD292" s="55"/>
      <c r="FE292" s="55"/>
      <c r="FF292" s="55"/>
      <c r="FG292" s="53">
        <v>548.4</v>
      </c>
      <c r="FH292" s="53">
        <v>309.60000000000002</v>
      </c>
      <c r="FI292" s="55"/>
      <c r="FJ292" s="55"/>
      <c r="FK292" s="53">
        <v>212.4</v>
      </c>
      <c r="FL292" s="55"/>
      <c r="FM292" s="53">
        <v>155.5</v>
      </c>
      <c r="FN292" s="53">
        <v>250.5</v>
      </c>
      <c r="FO292" s="55"/>
      <c r="FP292" s="55"/>
      <c r="FQ292" s="55"/>
      <c r="FR292" s="53">
        <v>3474.6</v>
      </c>
      <c r="FS292" s="55"/>
      <c r="FT292" s="55"/>
      <c r="FU292" s="55"/>
      <c r="FV292" s="55"/>
      <c r="FW292" s="53">
        <v>259.89999999999998</v>
      </c>
      <c r="FX292" s="53" t="e">
        <v>#VALUE!</v>
      </c>
      <c r="FY292" s="55"/>
      <c r="FZ292" s="55"/>
      <c r="GA292" s="53">
        <v>35</v>
      </c>
      <c r="GB292" s="55"/>
      <c r="GC292" s="53">
        <v>61.1</v>
      </c>
      <c r="GD292" s="53" t="e">
        <v>#VALUE!</v>
      </c>
      <c r="GE292" s="55"/>
      <c r="GF292" s="55"/>
      <c r="GG292" s="55"/>
      <c r="GH292" s="53">
        <v>847.5</v>
      </c>
      <c r="GI292" s="55"/>
      <c r="GJ292" s="55"/>
      <c r="GK292" s="55"/>
      <c r="GL292" s="55"/>
      <c r="GM292" s="53">
        <v>67.099999999999994</v>
      </c>
      <c r="GN292" s="53">
        <v>49.6</v>
      </c>
      <c r="GO292" s="55"/>
      <c r="GP292" s="55"/>
      <c r="GQ292" s="53">
        <v>39.799999999999997</v>
      </c>
      <c r="GR292" s="55"/>
      <c r="GS292" s="53" t="e">
        <v>#VALUE!</v>
      </c>
      <c r="GT292" s="53" t="e">
        <v>#VALUE!</v>
      </c>
      <c r="GU292" s="55"/>
      <c r="GV292" s="55"/>
      <c r="GW292" s="55"/>
      <c r="GX292" s="53">
        <v>432.4</v>
      </c>
      <c r="GY292" s="19">
        <v>0.97771184600911776</v>
      </c>
      <c r="GZ292" s="53">
        <v>1351.1</v>
      </c>
      <c r="HA292" s="53">
        <v>1381.9</v>
      </c>
      <c r="HB292" s="18">
        <v>-135.9643484442006</v>
      </c>
      <c r="HC292" s="18">
        <v>15.693098199999213</v>
      </c>
      <c r="HD292" s="18">
        <v>1409.4356515557995</v>
      </c>
      <c r="HE292" s="18">
        <v>-41.799999999999955</v>
      </c>
      <c r="HF292" s="53">
        <v>1545.4</v>
      </c>
      <c r="HG292" s="53">
        <v>1496.1</v>
      </c>
      <c r="HH292" s="53">
        <v>712.1</v>
      </c>
      <c r="HI292" s="53">
        <v>100.5</v>
      </c>
      <c r="HJ292" s="53">
        <v>675.2</v>
      </c>
      <c r="HK292" s="53">
        <v>8.4</v>
      </c>
      <c r="HL292" s="53">
        <v>49.3</v>
      </c>
      <c r="HM292" s="55"/>
      <c r="HN292" s="55"/>
      <c r="HO292" s="55"/>
      <c r="HP292" s="53" t="e">
        <v>#VALUE!</v>
      </c>
      <c r="HQ292" s="53">
        <v>4.2</v>
      </c>
      <c r="HR292" s="53">
        <v>7.2</v>
      </c>
      <c r="HS292" s="53" t="e">
        <v>#VALUE!</v>
      </c>
      <c r="HT292" s="53">
        <v>30.8</v>
      </c>
      <c r="HU292" s="55"/>
      <c r="HV292" s="55"/>
      <c r="HW292" s="53">
        <v>274.5</v>
      </c>
      <c r="HX292" s="53" t="e">
        <v>#VALUE!</v>
      </c>
      <c r="HY292" s="53">
        <v>274.5</v>
      </c>
      <c r="HZ292" s="53">
        <v>41.6</v>
      </c>
      <c r="IA292" s="53">
        <v>212.9</v>
      </c>
      <c r="IB292" s="53">
        <v>73.599999999999994</v>
      </c>
      <c r="IC292" s="53">
        <v>47.6</v>
      </c>
      <c r="ID292" s="53" t="e">
        <v>#VALUE!</v>
      </c>
      <c r="IE292" s="53">
        <v>47.6</v>
      </c>
      <c r="IF292" s="53" t="e">
        <v>#VALUE!</v>
      </c>
      <c r="IG292" s="53" t="e">
        <v>#VALUE!</v>
      </c>
      <c r="IH292" s="55"/>
      <c r="II292" s="55"/>
      <c r="IJ292" s="55"/>
      <c r="IK292" s="55"/>
      <c r="IL292" s="12">
        <v>20</v>
      </c>
      <c r="IM292" s="55"/>
      <c r="IN292" s="53">
        <v>63.5</v>
      </c>
      <c r="IO292" s="53">
        <v>63.8</v>
      </c>
      <c r="IP292" s="53" t="e">
        <v>#VALUE!</v>
      </c>
      <c r="IQ292" s="53">
        <v>45.2</v>
      </c>
      <c r="IR292" s="53">
        <v>15.2</v>
      </c>
      <c r="IS292" s="53" t="e">
        <v>#VALUE!</v>
      </c>
      <c r="IT292" s="53" t="e">
        <v>#VALUE!</v>
      </c>
      <c r="IU292" s="53" t="e">
        <v>#VALUE!</v>
      </c>
      <c r="IV292" s="53" t="e">
        <v>#VALUE!</v>
      </c>
      <c r="IY292" s="48">
        <f t="shared" si="14"/>
        <v>47.605530629063281</v>
      </c>
      <c r="IZ292" s="48">
        <f>IY292-'NOPA Crush'!J292</f>
        <v>0.11553062906327938</v>
      </c>
      <c r="JB292" s="63">
        <f t="shared" si="12"/>
        <v>11.060800293013461</v>
      </c>
      <c r="JC292" s="64">
        <f>JB292-'NOPA Crush'!O292</f>
        <v>-6.9199706986539766E-2</v>
      </c>
      <c r="JD292" s="65"/>
      <c r="JE292" s="67">
        <f t="shared" si="13"/>
        <v>1505.2</v>
      </c>
      <c r="JF292" s="68">
        <f>'NOPA Crush'!Q292/'Census Crush'!JE292</f>
        <v>0.74819558862609614</v>
      </c>
    </row>
    <row r="293" spans="1:266">
      <c r="A293" s="39">
        <v>37956</v>
      </c>
      <c r="B293" s="51">
        <v>4374.7</v>
      </c>
      <c r="C293" s="51">
        <v>3651.2</v>
      </c>
      <c r="D293" s="51">
        <v>252</v>
      </c>
      <c r="E293" s="51">
        <v>1629.9</v>
      </c>
      <c r="F293" s="51">
        <v>15.4</v>
      </c>
      <c r="G293" s="51" t="s">
        <v>264</v>
      </c>
      <c r="H293" s="51" t="s">
        <v>264</v>
      </c>
      <c r="I293" s="51" t="s">
        <v>264</v>
      </c>
      <c r="J293" s="51" t="s">
        <v>264</v>
      </c>
      <c r="K293" s="51">
        <v>1604.6</v>
      </c>
      <c r="L293" s="49">
        <v>1579.7</v>
      </c>
      <c r="M293" s="51">
        <v>1389.8</v>
      </c>
      <c r="N293" s="51">
        <v>189.9</v>
      </c>
      <c r="O293" s="53">
        <v>79</v>
      </c>
      <c r="P293" s="51">
        <v>70.900000000000006</v>
      </c>
      <c r="Q293" s="51">
        <v>9.8000000000000007</v>
      </c>
      <c r="R293" s="51">
        <v>61.1</v>
      </c>
      <c r="S293" s="51"/>
      <c r="T293" s="51">
        <v>13.2</v>
      </c>
      <c r="U293" s="51">
        <v>24.8</v>
      </c>
      <c r="V293" s="51">
        <v>23</v>
      </c>
      <c r="W293" s="51">
        <v>1.8</v>
      </c>
      <c r="X293" s="51" t="s">
        <v>264</v>
      </c>
      <c r="Y293" s="51" t="s">
        <v>264</v>
      </c>
      <c r="Z293" s="49">
        <v>122.2</v>
      </c>
      <c r="AA293" s="51">
        <v>112.9</v>
      </c>
      <c r="AB293" s="51">
        <v>9.3000000000000007</v>
      </c>
      <c r="AC293" s="51" t="s">
        <v>264</v>
      </c>
      <c r="AD293" s="51">
        <v>35.799999999999997</v>
      </c>
      <c r="AE293" s="51"/>
      <c r="AF293" s="51">
        <v>79.599999999999994</v>
      </c>
      <c r="AG293" s="51">
        <v>63.5</v>
      </c>
      <c r="AH293" s="51">
        <v>16.100000000000001</v>
      </c>
      <c r="AI293" s="51">
        <v>193.2</v>
      </c>
      <c r="AJ293" s="55"/>
      <c r="AK293" s="55"/>
      <c r="AL293" s="51">
        <v>159.4</v>
      </c>
      <c r="AM293" s="51">
        <v>67.5</v>
      </c>
      <c r="AN293" s="51">
        <v>91.9</v>
      </c>
      <c r="AO293" s="51">
        <v>3239.6</v>
      </c>
      <c r="AP293" s="51">
        <v>239.7</v>
      </c>
      <c r="AQ293" s="51">
        <v>244.1</v>
      </c>
      <c r="AR293" s="51">
        <v>41</v>
      </c>
      <c r="AS293" s="51">
        <v>112.5</v>
      </c>
      <c r="AT293" s="51">
        <v>42.4</v>
      </c>
      <c r="AU293" s="51">
        <v>70.900000000000006</v>
      </c>
      <c r="AV293" s="51">
        <v>23.9</v>
      </c>
      <c r="AW293" s="51">
        <v>8.6999999999999993</v>
      </c>
      <c r="AX293" s="51" t="s">
        <v>264</v>
      </c>
      <c r="AY293" s="51" t="s">
        <v>264</v>
      </c>
      <c r="AZ293" s="51" t="s">
        <v>264</v>
      </c>
      <c r="BA293" s="51" t="s">
        <v>264</v>
      </c>
      <c r="BB293" s="51" t="s">
        <v>264</v>
      </c>
      <c r="BC293" s="55"/>
      <c r="BD293" s="53">
        <v>138.69999999999999</v>
      </c>
      <c r="BE293" s="53">
        <v>23.6</v>
      </c>
      <c r="BF293" s="53">
        <v>68.599999999999994</v>
      </c>
      <c r="BG293" s="53">
        <v>10</v>
      </c>
      <c r="BH293" s="53">
        <v>295.39999999999998</v>
      </c>
      <c r="BI293" s="53">
        <v>100.3</v>
      </c>
      <c r="BJ293" s="53">
        <v>101.2</v>
      </c>
      <c r="BK293" s="53">
        <v>201.5</v>
      </c>
      <c r="BL293" s="53">
        <v>0</v>
      </c>
      <c r="BM293" s="53">
        <v>496.9</v>
      </c>
      <c r="BN293" s="53">
        <v>220.126</v>
      </c>
      <c r="BO293" s="53">
        <v>30.2</v>
      </c>
      <c r="BP293" s="53">
        <v>31.8</v>
      </c>
      <c r="BQ293" s="53">
        <v>62.1</v>
      </c>
      <c r="BR293" s="53">
        <v>0</v>
      </c>
      <c r="BS293" s="53">
        <v>282.226</v>
      </c>
      <c r="BT293" s="53">
        <v>23.2</v>
      </c>
      <c r="BU293" s="53">
        <v>14.1</v>
      </c>
      <c r="BV293" s="51" t="s">
        <v>264</v>
      </c>
      <c r="BW293" s="51" t="s">
        <v>264</v>
      </c>
      <c r="BX293" s="51">
        <v>392.7</v>
      </c>
      <c r="BY293" s="51" t="s">
        <v>264</v>
      </c>
      <c r="BZ293" s="51" t="s">
        <v>264</v>
      </c>
      <c r="CA293" s="51">
        <v>50.7</v>
      </c>
      <c r="CB293" s="53">
        <v>69.599999999999994</v>
      </c>
      <c r="CC293" s="53" t="s">
        <v>264</v>
      </c>
      <c r="CD293" s="53">
        <v>76.8</v>
      </c>
      <c r="CE293" s="53">
        <v>12.5</v>
      </c>
      <c r="CF293" s="53">
        <v>109</v>
      </c>
      <c r="CG293" s="53">
        <v>210.2</v>
      </c>
      <c r="CH293" s="53">
        <v>19.917000000000002</v>
      </c>
      <c r="CI293" s="55"/>
      <c r="CJ293" s="55"/>
      <c r="CK293" s="12">
        <v>195.1</v>
      </c>
      <c r="CL293" s="12">
        <v>24.5</v>
      </c>
      <c r="CM293" s="12"/>
      <c r="CN293" s="53">
        <v>51.4</v>
      </c>
      <c r="CO293" s="53">
        <v>167.2</v>
      </c>
      <c r="CP293" s="53">
        <v>110.7</v>
      </c>
      <c r="CQ293" s="53">
        <v>56.5</v>
      </c>
      <c r="CR293" s="52" t="s">
        <v>264</v>
      </c>
      <c r="CS293" s="53">
        <v>35.664999999999999</v>
      </c>
      <c r="CT293" s="53">
        <v>18.899999999999999</v>
      </c>
      <c r="CU293" s="53">
        <v>16.765000000000001</v>
      </c>
      <c r="CV293" s="53">
        <v>60.8</v>
      </c>
      <c r="CW293" s="52" t="s">
        <v>264</v>
      </c>
      <c r="CX293" s="52" t="s">
        <v>264</v>
      </c>
      <c r="CY293" s="53" t="s">
        <v>264</v>
      </c>
      <c r="CZ293" s="53">
        <v>55.4</v>
      </c>
      <c r="DA293" s="12">
        <v>14.3</v>
      </c>
      <c r="DB293" s="53" t="s">
        <v>264</v>
      </c>
      <c r="DC293" s="53" t="s">
        <v>264</v>
      </c>
      <c r="DD293" s="55"/>
      <c r="DE293" s="55"/>
      <c r="DF293" s="55"/>
      <c r="DG293" s="55"/>
      <c r="DH293" s="55"/>
      <c r="DI293" s="53">
        <v>698.7</v>
      </c>
      <c r="DJ293" s="53">
        <v>381.1</v>
      </c>
      <c r="DK293" s="55"/>
      <c r="DL293" s="55"/>
      <c r="DM293" s="53">
        <v>259.89999999999998</v>
      </c>
      <c r="DN293" s="55"/>
      <c r="DO293" s="53">
        <v>188</v>
      </c>
      <c r="DP293" s="53">
        <v>300.10000000000002</v>
      </c>
      <c r="DQ293" s="55"/>
      <c r="DR293" s="55"/>
      <c r="DS293" s="53">
        <v>2356.3760000000002</v>
      </c>
      <c r="DT293" s="53">
        <v>4374.7</v>
      </c>
      <c r="DU293" s="53">
        <v>-190.52399999999943</v>
      </c>
      <c r="DV293" s="53">
        <v>0</v>
      </c>
      <c r="DW293" s="55"/>
      <c r="DX293" s="55"/>
      <c r="DY293" s="55"/>
      <c r="DZ293" s="55"/>
      <c r="EA293" s="53">
        <v>713</v>
      </c>
      <c r="EB293" s="53">
        <v>494.8</v>
      </c>
      <c r="EC293" s="55"/>
      <c r="ED293" s="55"/>
      <c r="EE293" s="53">
        <v>114.4</v>
      </c>
      <c r="EF293" s="55"/>
      <c r="EG293" s="53">
        <v>196.3</v>
      </c>
      <c r="EH293" s="53" t="e">
        <v>#VALUE!</v>
      </c>
      <c r="EI293" s="55"/>
      <c r="EJ293" s="55"/>
      <c r="EK293" s="55"/>
      <c r="EL293" s="53">
        <v>3651.2</v>
      </c>
      <c r="EM293" s="55"/>
      <c r="EN293" s="55"/>
      <c r="EO293" s="55"/>
      <c r="EP293" s="55"/>
      <c r="EQ293" s="53">
        <v>259.10000000000002</v>
      </c>
      <c r="ER293" s="53">
        <v>138.5</v>
      </c>
      <c r="ES293" s="55"/>
      <c r="ET293" s="55"/>
      <c r="EU293" s="53">
        <v>100.1</v>
      </c>
      <c r="EV293" s="55"/>
      <c r="EW293" s="53">
        <v>69.2</v>
      </c>
      <c r="EX293" s="53">
        <v>103.2</v>
      </c>
      <c r="EY293" s="55"/>
      <c r="EZ293" s="55"/>
      <c r="FA293" s="55"/>
      <c r="FB293" s="53">
        <v>1604.6</v>
      </c>
      <c r="FC293" s="55"/>
      <c r="FD293" s="55"/>
      <c r="FE293" s="55"/>
      <c r="FF293" s="55"/>
      <c r="FG293" s="53">
        <v>556.1</v>
      </c>
      <c r="FH293" s="53">
        <v>303.3</v>
      </c>
      <c r="FI293" s="55"/>
      <c r="FJ293" s="55"/>
      <c r="FK293" s="53">
        <v>205.9</v>
      </c>
      <c r="FL293" s="55"/>
      <c r="FM293" s="53">
        <v>150.6</v>
      </c>
      <c r="FN293" s="53">
        <v>244.1</v>
      </c>
      <c r="FO293" s="55"/>
      <c r="FP293" s="55"/>
      <c r="FQ293" s="55"/>
      <c r="FR293" s="53">
        <v>3493.1</v>
      </c>
      <c r="FS293" s="55"/>
      <c r="FT293" s="55"/>
      <c r="FU293" s="55"/>
      <c r="FV293" s="55"/>
      <c r="FW293" s="53">
        <v>255.8</v>
      </c>
      <c r="FX293" s="53">
        <v>93.9</v>
      </c>
      <c r="FY293" s="55"/>
      <c r="FZ293" s="55"/>
      <c r="GA293" s="53">
        <v>44.6</v>
      </c>
      <c r="GB293" s="55"/>
      <c r="GC293" s="53">
        <v>76.2</v>
      </c>
      <c r="GD293" s="53" t="e">
        <v>#VALUE!</v>
      </c>
      <c r="GE293" s="55"/>
      <c r="GF293" s="55"/>
      <c r="GG293" s="55"/>
      <c r="GH293" s="53">
        <v>892.8</v>
      </c>
      <c r="GI293" s="55"/>
      <c r="GJ293" s="55"/>
      <c r="GK293" s="55"/>
      <c r="GL293" s="55"/>
      <c r="GM293" s="53">
        <v>36.799999999999997</v>
      </c>
      <c r="GN293" s="53">
        <v>36.200000000000003</v>
      </c>
      <c r="GO293" s="55"/>
      <c r="GP293" s="55"/>
      <c r="GQ293" s="53">
        <v>26.7</v>
      </c>
      <c r="GR293" s="55"/>
      <c r="GS293" s="53" t="e">
        <v>#VALUE!</v>
      </c>
      <c r="GT293" s="53" t="e">
        <v>#VALUE!</v>
      </c>
      <c r="GU293" s="55"/>
      <c r="GV293" s="55"/>
      <c r="GW293" s="55"/>
      <c r="GX293" s="53">
        <v>280.7</v>
      </c>
      <c r="GY293" s="19">
        <v>0.97380120673229598</v>
      </c>
      <c r="GZ293" s="53">
        <v>1226.5999999999999</v>
      </c>
      <c r="HA293" s="53">
        <v>1259.5999999999999</v>
      </c>
      <c r="HB293" s="18">
        <v>-48.051574413399976</v>
      </c>
      <c r="HC293" s="18">
        <v>-16.418115517599972</v>
      </c>
      <c r="HD293" s="18">
        <v>1400.2484255866</v>
      </c>
      <c r="HE293" s="18">
        <v>-14.700000000000045</v>
      </c>
      <c r="HF293" s="53">
        <v>1448.3</v>
      </c>
      <c r="HG293" s="53">
        <v>1399.4</v>
      </c>
      <c r="HH293" s="53">
        <v>665.3</v>
      </c>
      <c r="HI293" s="53">
        <v>114</v>
      </c>
      <c r="HJ293" s="53">
        <v>611.29999999999995</v>
      </c>
      <c r="HK293" s="53">
        <v>8.9</v>
      </c>
      <c r="HL293" s="53">
        <v>48.9</v>
      </c>
      <c r="HM293" s="55"/>
      <c r="HN293" s="55"/>
      <c r="HO293" s="55"/>
      <c r="HP293" s="53" t="e">
        <v>#VALUE!</v>
      </c>
      <c r="HQ293" s="53">
        <v>6.3</v>
      </c>
      <c r="HR293" s="53">
        <v>5</v>
      </c>
      <c r="HS293" s="53" t="e">
        <v>#VALUE!</v>
      </c>
      <c r="HT293" s="53">
        <v>30.8</v>
      </c>
      <c r="HU293" s="55"/>
      <c r="HV293" s="55"/>
      <c r="HW293" s="53">
        <v>254.8</v>
      </c>
      <c r="HX293" s="53" t="e">
        <v>#VALUE!</v>
      </c>
      <c r="HY293" s="53">
        <v>254.8</v>
      </c>
      <c r="HZ293" s="53">
        <v>37.5</v>
      </c>
      <c r="IA293" s="53">
        <v>197.6</v>
      </c>
      <c r="IB293" s="53">
        <v>75.400000000000006</v>
      </c>
      <c r="IC293" s="53">
        <v>56.2</v>
      </c>
      <c r="ID293" s="53" t="e">
        <v>#VALUE!</v>
      </c>
      <c r="IE293" s="53">
        <v>56.2</v>
      </c>
      <c r="IF293" s="53" t="e">
        <v>#VALUE!</v>
      </c>
      <c r="IG293" s="53" t="e">
        <v>#VALUE!</v>
      </c>
      <c r="IH293" s="55"/>
      <c r="II293" s="55"/>
      <c r="IJ293" s="55"/>
      <c r="IK293" s="55"/>
      <c r="IL293" s="12">
        <v>19.700000000000017</v>
      </c>
      <c r="IM293" s="55"/>
      <c r="IN293" s="53">
        <v>61.4</v>
      </c>
      <c r="IO293" s="53">
        <v>61.6</v>
      </c>
      <c r="IP293" s="53" t="e">
        <v>#VALUE!</v>
      </c>
      <c r="IQ293" s="53">
        <v>48.4</v>
      </c>
      <c r="IR293" s="53">
        <v>14.4</v>
      </c>
      <c r="IS293" s="53" t="e">
        <v>#VALUE!</v>
      </c>
      <c r="IT293" s="53">
        <v>32.5</v>
      </c>
      <c r="IU293" s="53" t="e">
        <v>#VALUE!</v>
      </c>
      <c r="IV293" s="53" t="e">
        <v>#VALUE!</v>
      </c>
      <c r="IY293" s="48">
        <f t="shared" si="14"/>
        <v>47.779733467437765</v>
      </c>
      <c r="IZ293" s="48">
        <f>IY293-'NOPA Crush'!J293</f>
        <v>0.20973346743776489</v>
      </c>
      <c r="JB293" s="63">
        <f t="shared" si="12"/>
        <v>11.003725969780785</v>
      </c>
      <c r="JC293" s="64">
        <f>JB293-'NOPA Crush'!O293</f>
        <v>-8.6274030219215092E-2</v>
      </c>
      <c r="JD293" s="65"/>
      <c r="JE293" s="67">
        <f t="shared" si="13"/>
        <v>1579.7</v>
      </c>
      <c r="JF293" s="68">
        <f>'NOPA Crush'!Q293/'Census Crush'!JE293</f>
        <v>0.76175413053111352</v>
      </c>
    </row>
    <row r="294" spans="1:266">
      <c r="A294" s="39">
        <v>37987</v>
      </c>
      <c r="B294" s="51">
        <v>4377</v>
      </c>
      <c r="C294" s="51">
        <v>3767.8</v>
      </c>
      <c r="D294" s="51">
        <v>265.2</v>
      </c>
      <c r="E294" s="51">
        <v>1542.5</v>
      </c>
      <c r="F294" s="51">
        <v>14.6</v>
      </c>
      <c r="G294" s="51" t="s">
        <v>264</v>
      </c>
      <c r="H294" s="51" t="s">
        <v>264</v>
      </c>
      <c r="I294" s="51" t="s">
        <v>264</v>
      </c>
      <c r="J294" s="51" t="s">
        <v>264</v>
      </c>
      <c r="K294" s="51">
        <v>1618.3</v>
      </c>
      <c r="L294" s="49">
        <v>1950.8</v>
      </c>
      <c r="M294" s="51">
        <v>1739.3</v>
      </c>
      <c r="N294" s="51">
        <v>211.5</v>
      </c>
      <c r="O294" s="53">
        <v>82.4</v>
      </c>
      <c r="P294" s="51">
        <v>87.7</v>
      </c>
      <c r="Q294" s="51">
        <v>9.6999999999999993</v>
      </c>
      <c r="R294" s="51">
        <v>78</v>
      </c>
      <c r="S294" s="51"/>
      <c r="T294" s="51">
        <v>12.6</v>
      </c>
      <c r="U294" s="51">
        <v>17.2</v>
      </c>
      <c r="V294" s="51">
        <v>14.2</v>
      </c>
      <c r="W294" s="51">
        <v>3</v>
      </c>
      <c r="X294" s="51" t="s">
        <v>264</v>
      </c>
      <c r="Y294" s="51" t="s">
        <v>264</v>
      </c>
      <c r="Z294" s="49">
        <v>95.8</v>
      </c>
      <c r="AA294" s="51">
        <v>80.7</v>
      </c>
      <c r="AB294" s="51">
        <v>15.1</v>
      </c>
      <c r="AC294" s="51" t="s">
        <v>264</v>
      </c>
      <c r="AD294" s="51">
        <v>45.3</v>
      </c>
      <c r="AE294" s="51"/>
      <c r="AF294" s="51">
        <v>98.699999999999989</v>
      </c>
      <c r="AG294" s="51">
        <v>72.8</v>
      </c>
      <c r="AH294" s="51">
        <v>25.9</v>
      </c>
      <c r="AI294" s="51">
        <v>201</v>
      </c>
      <c r="AJ294" s="55"/>
      <c r="AK294" s="55"/>
      <c r="AL294" s="9">
        <v>194.9</v>
      </c>
      <c r="AM294" s="76">
        <f>FORECAST(AL294,AM282:AM293,AL282:AL293)</f>
        <v>100.57413551724812</v>
      </c>
      <c r="AN294" s="76">
        <f>AL294-AM294</f>
        <v>94.325864482751882</v>
      </c>
      <c r="AO294" s="51">
        <v>3231.4</v>
      </c>
      <c r="AP294" s="51">
        <v>285.60000000000002</v>
      </c>
      <c r="AQ294" s="51">
        <v>246.4</v>
      </c>
      <c r="AR294" s="51">
        <v>43.2</v>
      </c>
      <c r="AS294" s="51">
        <v>113.9</v>
      </c>
      <c r="AT294" s="51">
        <v>37.6</v>
      </c>
      <c r="AU294" s="51">
        <v>76.5</v>
      </c>
      <c r="AV294" s="51">
        <v>30.9</v>
      </c>
      <c r="AW294" s="51">
        <v>8.5</v>
      </c>
      <c r="AX294" s="51" t="s">
        <v>264</v>
      </c>
      <c r="AY294" s="51" t="s">
        <v>264</v>
      </c>
      <c r="AZ294" s="51" t="s">
        <v>264</v>
      </c>
      <c r="BA294" s="51" t="s">
        <v>264</v>
      </c>
      <c r="BB294" s="51" t="s">
        <v>264</v>
      </c>
      <c r="BC294" s="55"/>
      <c r="BD294" s="53">
        <v>130.19999999999999</v>
      </c>
      <c r="BE294" s="53">
        <v>23.1</v>
      </c>
      <c r="BF294" s="53">
        <v>66.099999999999994</v>
      </c>
      <c r="BG294" s="53">
        <v>8.6999999999999993</v>
      </c>
      <c r="BH294" s="53">
        <v>299.5</v>
      </c>
      <c r="BI294" s="53">
        <v>114</v>
      </c>
      <c r="BJ294" s="53">
        <v>93.1</v>
      </c>
      <c r="BK294" s="53">
        <v>207.1</v>
      </c>
      <c r="BL294" s="53">
        <v>0</v>
      </c>
      <c r="BM294" s="53">
        <v>506.6</v>
      </c>
      <c r="BN294" s="53">
        <v>241.6</v>
      </c>
      <c r="BO294" s="53">
        <v>57.1</v>
      </c>
      <c r="BP294" s="53">
        <v>39</v>
      </c>
      <c r="BQ294" s="53">
        <v>96.1</v>
      </c>
      <c r="BR294" s="53">
        <v>0</v>
      </c>
      <c r="BS294" s="53">
        <v>337.7</v>
      </c>
      <c r="BT294" s="53">
        <v>24.1</v>
      </c>
      <c r="BU294" s="53">
        <v>19.399999999999999</v>
      </c>
      <c r="BV294" s="51" t="s">
        <v>264</v>
      </c>
      <c r="BW294" s="51" t="s">
        <v>264</v>
      </c>
      <c r="BX294" s="51">
        <v>357.9</v>
      </c>
      <c r="BY294" s="51" t="s">
        <v>264</v>
      </c>
      <c r="BZ294" s="51" t="s">
        <v>264</v>
      </c>
      <c r="CA294" s="51">
        <v>60</v>
      </c>
      <c r="CB294" s="53">
        <v>78.7</v>
      </c>
      <c r="CC294" s="53" t="s">
        <v>264</v>
      </c>
      <c r="CD294" s="53">
        <v>91.2</v>
      </c>
      <c r="CE294" s="53">
        <v>15</v>
      </c>
      <c r="CF294" s="53">
        <v>118.6</v>
      </c>
      <c r="CG294" s="53">
        <v>209.5</v>
      </c>
      <c r="CH294" s="53">
        <v>19.190000000000001</v>
      </c>
      <c r="CI294" s="55"/>
      <c r="CJ294" s="55"/>
      <c r="CK294" s="12">
        <v>209.1</v>
      </c>
      <c r="CL294" s="12">
        <v>29.8</v>
      </c>
      <c r="CM294" s="12"/>
      <c r="CN294" s="53">
        <v>50.8</v>
      </c>
      <c r="CO294" s="53">
        <v>160.24299999999999</v>
      </c>
      <c r="CP294" s="53">
        <v>93.043000000000006</v>
      </c>
      <c r="CQ294" s="53">
        <v>67.2</v>
      </c>
      <c r="CR294" s="52" t="s">
        <v>264</v>
      </c>
      <c r="CS294" s="53">
        <v>43.3</v>
      </c>
      <c r="CT294" s="53">
        <v>27.1</v>
      </c>
      <c r="CU294" s="53">
        <v>16.2</v>
      </c>
      <c r="CV294" s="53">
        <v>80.900000000000006</v>
      </c>
      <c r="CW294" s="52" t="s">
        <v>264</v>
      </c>
      <c r="CX294" s="52" t="s">
        <v>264</v>
      </c>
      <c r="CY294" s="53" t="s">
        <v>264</v>
      </c>
      <c r="CZ294" s="53">
        <v>66.900000000000006</v>
      </c>
      <c r="DA294" s="12">
        <v>12.1</v>
      </c>
      <c r="DB294" s="53" t="s">
        <v>264</v>
      </c>
      <c r="DC294" s="53" t="s">
        <v>264</v>
      </c>
      <c r="DD294" s="55"/>
      <c r="DE294" s="55"/>
      <c r="DF294" s="55"/>
      <c r="DG294" s="55"/>
      <c r="DH294" s="55"/>
      <c r="DI294" s="53">
        <v>695.5</v>
      </c>
      <c r="DJ294" s="53">
        <v>405.1</v>
      </c>
      <c r="DK294" s="55"/>
      <c r="DL294" s="55"/>
      <c r="DM294" s="53">
        <v>278.7</v>
      </c>
      <c r="DN294" s="55"/>
      <c r="DO294" s="53">
        <v>192.6</v>
      </c>
      <c r="DP294" s="53">
        <v>305.10000000000002</v>
      </c>
      <c r="DQ294" s="55"/>
      <c r="DR294" s="55"/>
      <c r="DS294" s="53">
        <v>2304.1970000000001</v>
      </c>
      <c r="DT294" s="53">
        <v>4377</v>
      </c>
      <c r="DU294" s="53">
        <v>-195.80299999999988</v>
      </c>
      <c r="DV294" s="53">
        <v>0</v>
      </c>
      <c r="DW294" s="55"/>
      <c r="DX294" s="55"/>
      <c r="DY294" s="55"/>
      <c r="DZ294" s="55"/>
      <c r="EA294" s="53">
        <v>758.9</v>
      </c>
      <c r="EB294" s="53">
        <v>504.1</v>
      </c>
      <c r="EC294" s="55"/>
      <c r="ED294" s="55"/>
      <c r="EE294" s="53">
        <v>134</v>
      </c>
      <c r="EF294" s="55"/>
      <c r="EG294" s="53">
        <v>194.4</v>
      </c>
      <c r="EH294" s="53" t="e">
        <v>#VALUE!</v>
      </c>
      <c r="EI294" s="55"/>
      <c r="EJ294" s="55"/>
      <c r="EK294" s="55"/>
      <c r="EL294" s="53">
        <v>3767.8</v>
      </c>
      <c r="EM294" s="55"/>
      <c r="EN294" s="55"/>
      <c r="EO294" s="55"/>
      <c r="EP294" s="55"/>
      <c r="EQ294" s="53">
        <v>265.39999999999998</v>
      </c>
      <c r="ER294" s="53">
        <v>140.5</v>
      </c>
      <c r="ES294" s="55"/>
      <c r="ET294" s="55"/>
      <c r="EU294" s="53">
        <v>108.5</v>
      </c>
      <c r="EV294" s="55"/>
      <c r="EW294" s="53">
        <v>72.5</v>
      </c>
      <c r="EX294" s="53">
        <v>108.2</v>
      </c>
      <c r="EY294" s="55"/>
      <c r="EZ294" s="55"/>
      <c r="FA294" s="55"/>
      <c r="FB294" s="53">
        <v>1618.3</v>
      </c>
      <c r="FC294" s="55"/>
      <c r="FD294" s="55"/>
      <c r="FE294" s="55"/>
      <c r="FF294" s="55"/>
      <c r="FG294" s="53">
        <v>550</v>
      </c>
      <c r="FH294" s="53">
        <v>322</v>
      </c>
      <c r="FI294" s="55"/>
      <c r="FJ294" s="55"/>
      <c r="FK294" s="53">
        <v>223.9</v>
      </c>
      <c r="FL294" s="55"/>
      <c r="FM294" s="53">
        <v>154.19999999999999</v>
      </c>
      <c r="FN294" s="53">
        <v>247.3</v>
      </c>
      <c r="FO294" s="55"/>
      <c r="FP294" s="55"/>
      <c r="FQ294" s="55"/>
      <c r="FR294" s="53">
        <v>3486.9</v>
      </c>
      <c r="FS294" s="55"/>
      <c r="FT294" s="55"/>
      <c r="FU294" s="55"/>
      <c r="FV294" s="55"/>
      <c r="FW294" s="53">
        <v>306</v>
      </c>
      <c r="FX294" s="53">
        <v>123.6</v>
      </c>
      <c r="FY294" s="55"/>
      <c r="FZ294" s="55"/>
      <c r="GA294" s="53">
        <v>77.099999999999994</v>
      </c>
      <c r="GB294" s="55"/>
      <c r="GC294" s="53">
        <v>73.5</v>
      </c>
      <c r="GD294" s="53" t="e">
        <v>#VALUE!</v>
      </c>
      <c r="GE294" s="55"/>
      <c r="GF294" s="55"/>
      <c r="GG294" s="55"/>
      <c r="GH294" s="53">
        <v>1073.9000000000001</v>
      </c>
      <c r="GI294" s="55"/>
      <c r="GJ294" s="55"/>
      <c r="GK294" s="55"/>
      <c r="GL294" s="55"/>
      <c r="GM294" s="53">
        <v>57.1</v>
      </c>
      <c r="GN294" s="53">
        <v>57.6</v>
      </c>
      <c r="GO294" s="55"/>
      <c r="GP294" s="55"/>
      <c r="GQ294" s="53">
        <v>25.9</v>
      </c>
      <c r="GR294" s="55"/>
      <c r="GS294" s="53" t="e">
        <v>#VALUE!</v>
      </c>
      <c r="GT294" s="53" t="e">
        <v>#VALUE!</v>
      </c>
      <c r="GU294" s="55"/>
      <c r="GV294" s="55"/>
      <c r="GW294" s="55"/>
      <c r="GX294" s="53">
        <v>328.8</v>
      </c>
      <c r="GY294" s="19">
        <v>0.97443829371540203</v>
      </c>
      <c r="GZ294" s="53">
        <v>1197</v>
      </c>
      <c r="HA294" s="53">
        <v>1228.4000000000001</v>
      </c>
      <c r="HB294" s="18">
        <v>-216.33565566179982</v>
      </c>
      <c r="HC294" s="18">
        <v>-163.29086917720065</v>
      </c>
      <c r="HD294" s="18">
        <v>1178.7643443382001</v>
      </c>
      <c r="HE294" s="18">
        <v>-24.400000000000091</v>
      </c>
      <c r="HF294" s="53">
        <v>1395.1</v>
      </c>
      <c r="HG294" s="53">
        <v>1347.8</v>
      </c>
      <c r="HH294" s="53">
        <v>665.3</v>
      </c>
      <c r="HI294" s="53">
        <v>106.3</v>
      </c>
      <c r="HJ294" s="53">
        <v>563.9</v>
      </c>
      <c r="HK294" s="53">
        <v>12.2</v>
      </c>
      <c r="HL294" s="53">
        <v>47.3</v>
      </c>
      <c r="HM294" s="55"/>
      <c r="HN294" s="55"/>
      <c r="HO294" s="55"/>
      <c r="HP294" s="53" t="e">
        <v>#VALUE!</v>
      </c>
      <c r="HQ294" s="53">
        <v>4.4000000000000004</v>
      </c>
      <c r="HR294" s="53">
        <v>6.2</v>
      </c>
      <c r="HS294" s="53" t="e">
        <v>#VALUE!</v>
      </c>
      <c r="HT294" s="53">
        <v>29.8</v>
      </c>
      <c r="HU294" s="55"/>
      <c r="HV294" s="55"/>
      <c r="HW294" s="53">
        <v>263.60000000000002</v>
      </c>
      <c r="HX294" s="53" t="e">
        <v>#VALUE!</v>
      </c>
      <c r="HY294" s="53">
        <v>263.60000000000002</v>
      </c>
      <c r="HZ294" s="53">
        <v>37.6</v>
      </c>
      <c r="IA294" s="53">
        <v>208.4</v>
      </c>
      <c r="IB294" s="53">
        <v>79.400000000000006</v>
      </c>
      <c r="IC294" s="53">
        <v>129</v>
      </c>
      <c r="ID294" s="53">
        <v>74.099999999999994</v>
      </c>
      <c r="IE294" s="53">
        <v>54.9</v>
      </c>
      <c r="IF294" s="53" t="e">
        <v>#VALUE!</v>
      </c>
      <c r="IG294" s="53" t="e">
        <v>#VALUE!</v>
      </c>
      <c r="IH294" s="55"/>
      <c r="II294" s="55"/>
      <c r="IJ294" s="55"/>
      <c r="IK294" s="55"/>
      <c r="IL294" s="12">
        <v>17.600000000000023</v>
      </c>
      <c r="IM294" s="55"/>
      <c r="IN294" s="53">
        <v>64.3</v>
      </c>
      <c r="IO294" s="53">
        <v>64.5</v>
      </c>
      <c r="IP294" s="53" t="e">
        <v>#VALUE!</v>
      </c>
      <c r="IQ294" s="53">
        <v>35.9</v>
      </c>
      <c r="IR294" s="53">
        <v>11.9</v>
      </c>
      <c r="IS294" s="53" t="e">
        <v>#VALUE!</v>
      </c>
      <c r="IT294" s="53">
        <v>22</v>
      </c>
      <c r="IU294" s="53" t="e">
        <v>#VALUE!</v>
      </c>
      <c r="IV294" s="53" t="e">
        <v>#VALUE!</v>
      </c>
      <c r="IY294" s="48">
        <f t="shared" si="14"/>
        <v>47.673749143248799</v>
      </c>
      <c r="IZ294" s="48">
        <f>IY294-'NOPA Crush'!J294</f>
        <v>0.11374914324879626</v>
      </c>
      <c r="JB294" s="63">
        <f t="shared" si="12"/>
        <v>11.091843728581219</v>
      </c>
      <c r="JC294" s="64">
        <f>JB294-'NOPA Crush'!O294</f>
        <v>-0.10815627141878004</v>
      </c>
      <c r="JD294" s="65"/>
      <c r="JE294" s="67">
        <f t="shared" si="13"/>
        <v>1950.8</v>
      </c>
      <c r="JF294" s="68">
        <f>'NOPA Crush'!Q294/'Census Crush'!JE294</f>
        <v>0.58839963092064795</v>
      </c>
    </row>
    <row r="295" spans="1:266">
      <c r="A295" s="39">
        <v>38018</v>
      </c>
      <c r="B295" s="51">
        <v>3941.8</v>
      </c>
      <c r="C295" s="51">
        <v>3734.9</v>
      </c>
      <c r="D295" s="51">
        <v>242.3</v>
      </c>
      <c r="E295" s="51">
        <v>1372.3</v>
      </c>
      <c r="F295" s="51">
        <v>17.899999999999999</v>
      </c>
      <c r="G295" s="51" t="s">
        <v>264</v>
      </c>
      <c r="H295" s="51" t="s">
        <v>264</v>
      </c>
      <c r="I295" s="51" t="s">
        <v>264</v>
      </c>
      <c r="J295" s="51" t="s">
        <v>264</v>
      </c>
      <c r="K295" s="51">
        <v>1462.4</v>
      </c>
      <c r="L295" s="49">
        <v>1998.3000000000002</v>
      </c>
      <c r="M295" s="51">
        <v>1803.9</v>
      </c>
      <c r="N295" s="51">
        <v>194.4</v>
      </c>
      <c r="O295" s="53">
        <v>75.7</v>
      </c>
      <c r="P295" s="51">
        <v>103.2</v>
      </c>
      <c r="Q295" s="51">
        <v>6.7</v>
      </c>
      <c r="R295" s="51">
        <v>96.5</v>
      </c>
      <c r="S295" s="51"/>
      <c r="T295" s="51">
        <v>15.7</v>
      </c>
      <c r="U295" s="51">
        <v>16.2</v>
      </c>
      <c r="V295" s="51">
        <v>12.5</v>
      </c>
      <c r="W295" s="51">
        <v>3.7</v>
      </c>
      <c r="X295" s="51" t="s">
        <v>264</v>
      </c>
      <c r="Y295" s="51" t="s">
        <v>264</v>
      </c>
      <c r="Z295" s="49">
        <v>120</v>
      </c>
      <c r="AA295" s="51">
        <v>107.1</v>
      </c>
      <c r="AB295" s="51">
        <v>12.9</v>
      </c>
      <c r="AC295" s="51" t="s">
        <v>264</v>
      </c>
      <c r="AD295" s="51" t="s">
        <v>264</v>
      </c>
      <c r="AE295" s="51"/>
      <c r="AF295" s="51">
        <v>89.1</v>
      </c>
      <c r="AG295" s="51">
        <v>64.7</v>
      </c>
      <c r="AH295" s="51">
        <v>24.4</v>
      </c>
      <c r="AI295" s="51">
        <v>182.9</v>
      </c>
      <c r="AJ295" s="55"/>
      <c r="AK295" s="55"/>
      <c r="AL295" s="9">
        <v>131.80000000000001</v>
      </c>
      <c r="AM295" s="76">
        <f>FORECAST(AL295,AM283:AM294,AL283:AL294)</f>
        <v>76.628175459060884</v>
      </c>
      <c r="AN295" s="76">
        <f>AL295-AM295</f>
        <v>55.171824540939127</v>
      </c>
      <c r="AO295" s="51">
        <v>2921.8</v>
      </c>
      <c r="AP295" s="51">
        <v>369.2</v>
      </c>
      <c r="AQ295" s="51">
        <v>223</v>
      </c>
      <c r="AR295" s="51">
        <v>46.6</v>
      </c>
      <c r="AS295" s="51">
        <v>105.1</v>
      </c>
      <c r="AT295" s="51">
        <v>32.799999999999997</v>
      </c>
      <c r="AU295" s="51">
        <v>69.3</v>
      </c>
      <c r="AV295" s="51">
        <v>37.1</v>
      </c>
      <c r="AW295" s="51">
        <v>10.3</v>
      </c>
      <c r="AX295" s="51" t="s">
        <v>264</v>
      </c>
      <c r="AY295" s="51" t="s">
        <v>264</v>
      </c>
      <c r="AZ295" s="51" t="s">
        <v>264</v>
      </c>
      <c r="BA295" s="51" t="s">
        <v>264</v>
      </c>
      <c r="BB295" s="51" t="s">
        <v>264</v>
      </c>
      <c r="BC295" s="55"/>
      <c r="BD295" s="53">
        <v>142.1</v>
      </c>
      <c r="BE295" s="53">
        <v>23.3</v>
      </c>
      <c r="BF295" s="53">
        <v>61.9</v>
      </c>
      <c r="BG295" s="53">
        <v>10</v>
      </c>
      <c r="BH295" s="53">
        <v>297.2</v>
      </c>
      <c r="BI295" s="53">
        <v>115.7</v>
      </c>
      <c r="BJ295" s="53">
        <v>89.1</v>
      </c>
      <c r="BK295" s="53">
        <v>204.8</v>
      </c>
      <c r="BL295" s="53">
        <v>0</v>
      </c>
      <c r="BM295" s="53">
        <v>502</v>
      </c>
      <c r="BN295" s="53">
        <v>245.8</v>
      </c>
      <c r="BO295" s="53">
        <v>59.9</v>
      </c>
      <c r="BP295" s="53">
        <v>34.799999999999997</v>
      </c>
      <c r="BQ295" s="53">
        <v>94.699999999999989</v>
      </c>
      <c r="BR295" s="53">
        <v>0</v>
      </c>
      <c r="BS295" s="53">
        <v>340.5</v>
      </c>
      <c r="BT295" s="53">
        <v>22.5</v>
      </c>
      <c r="BU295" s="53">
        <v>18.2</v>
      </c>
      <c r="BV295" s="51" t="s">
        <v>264</v>
      </c>
      <c r="BW295" s="51" t="s">
        <v>264</v>
      </c>
      <c r="BX295" s="51">
        <v>345.4</v>
      </c>
      <c r="BY295" s="51" t="s">
        <v>264</v>
      </c>
      <c r="BZ295" s="51" t="s">
        <v>264</v>
      </c>
      <c r="CA295" s="51">
        <v>53.9</v>
      </c>
      <c r="CB295" s="53">
        <v>77.400000000000006</v>
      </c>
      <c r="CC295" s="53" t="s">
        <v>264</v>
      </c>
      <c r="CD295" s="53">
        <v>93.2</v>
      </c>
      <c r="CE295" s="53">
        <v>10.9</v>
      </c>
      <c r="CF295" s="53">
        <v>101.6</v>
      </c>
      <c r="CG295" s="53">
        <v>216.2</v>
      </c>
      <c r="CH295" s="53">
        <v>13.72</v>
      </c>
      <c r="CI295" s="55"/>
      <c r="CJ295" s="55"/>
      <c r="CK295" s="12">
        <v>197.6</v>
      </c>
      <c r="CL295" s="12">
        <v>35.4</v>
      </c>
      <c r="CM295" s="12"/>
      <c r="CN295" s="53">
        <v>36.9</v>
      </c>
      <c r="CO295" s="53">
        <v>192.60000000000002</v>
      </c>
      <c r="CP295" s="53">
        <v>125.7</v>
      </c>
      <c r="CQ295" s="53">
        <v>66.900000000000006</v>
      </c>
      <c r="CR295" s="52" t="s">
        <v>264</v>
      </c>
      <c r="CS295" s="53">
        <v>37.5</v>
      </c>
      <c r="CT295" s="53">
        <v>24.2</v>
      </c>
      <c r="CU295" s="53">
        <v>13.3</v>
      </c>
      <c r="CV295" s="53">
        <v>68.400000000000006</v>
      </c>
      <c r="CW295" s="52" t="s">
        <v>264</v>
      </c>
      <c r="CX295" s="52" t="s">
        <v>264</v>
      </c>
      <c r="CY295" s="53" t="s">
        <v>264</v>
      </c>
      <c r="CZ295" s="53">
        <v>71.900000000000006</v>
      </c>
      <c r="DA295" s="12">
        <v>17.8</v>
      </c>
      <c r="DB295" s="53" t="s">
        <v>264</v>
      </c>
      <c r="DC295" s="53" t="s">
        <v>264</v>
      </c>
      <c r="DD295" s="55"/>
      <c r="DE295" s="55"/>
      <c r="DF295" s="55"/>
      <c r="DG295" s="55"/>
      <c r="DH295" s="55"/>
      <c r="DI295" s="53">
        <v>610.29999999999995</v>
      </c>
      <c r="DJ295" s="53">
        <v>330</v>
      </c>
      <c r="DK295" s="55"/>
      <c r="DL295" s="55"/>
      <c r="DM295" s="53">
        <v>250.8</v>
      </c>
      <c r="DN295" s="55"/>
      <c r="DO295" s="53">
        <v>168.1</v>
      </c>
      <c r="DP295" s="53">
        <v>271.8</v>
      </c>
      <c r="DQ295" s="55"/>
      <c r="DR295" s="55"/>
      <c r="DS295" s="53">
        <v>2140.2060000000001</v>
      </c>
      <c r="DT295" s="53">
        <v>3941.8</v>
      </c>
      <c r="DU295" s="53">
        <v>-170.59400000000005</v>
      </c>
      <c r="DV295" s="53">
        <v>0</v>
      </c>
      <c r="DW295" s="55"/>
      <c r="DX295" s="55"/>
      <c r="DY295" s="55"/>
      <c r="DZ295" s="55"/>
      <c r="EA295" s="53">
        <v>791.8</v>
      </c>
      <c r="EB295" s="53">
        <v>479.9</v>
      </c>
      <c r="EC295" s="55"/>
      <c r="ED295" s="55"/>
      <c r="EE295" s="53">
        <v>137.4</v>
      </c>
      <c r="EF295" s="55"/>
      <c r="EG295" s="53">
        <v>198.6</v>
      </c>
      <c r="EH295" s="53" t="e">
        <v>#VALUE!</v>
      </c>
      <c r="EI295" s="55"/>
      <c r="EJ295" s="55"/>
      <c r="EK295" s="55"/>
      <c r="EL295" s="53">
        <v>3734.9</v>
      </c>
      <c r="EM295" s="55"/>
      <c r="EN295" s="55"/>
      <c r="EO295" s="55"/>
      <c r="EP295" s="55"/>
      <c r="EQ295" s="53">
        <v>230.1</v>
      </c>
      <c r="ER295" s="53">
        <v>121.3</v>
      </c>
      <c r="ES295" s="55"/>
      <c r="ET295" s="55"/>
      <c r="EU295" s="53">
        <v>95.6</v>
      </c>
      <c r="EV295" s="55"/>
      <c r="EW295" s="53">
        <v>63.2</v>
      </c>
      <c r="EX295" s="53">
        <v>95.7</v>
      </c>
      <c r="EY295" s="55"/>
      <c r="EZ295" s="55"/>
      <c r="FA295" s="55"/>
      <c r="FB295" s="53">
        <v>1462.4</v>
      </c>
      <c r="FC295" s="55"/>
      <c r="FD295" s="55"/>
      <c r="FE295" s="55"/>
      <c r="FF295" s="55"/>
      <c r="FG295" s="53">
        <v>485.3</v>
      </c>
      <c r="FH295" s="53">
        <v>265.8</v>
      </c>
      <c r="FI295" s="55"/>
      <c r="FJ295" s="55"/>
      <c r="FK295" s="53">
        <v>201.3</v>
      </c>
      <c r="FL295" s="55"/>
      <c r="FM295" s="53">
        <v>134.69999999999999</v>
      </c>
      <c r="FN295" s="53">
        <v>224.3</v>
      </c>
      <c r="FO295" s="55"/>
      <c r="FP295" s="55"/>
      <c r="FQ295" s="55"/>
      <c r="FR295" s="53">
        <v>3153</v>
      </c>
      <c r="FS295" s="55"/>
      <c r="FT295" s="55"/>
      <c r="FU295" s="55"/>
      <c r="FV295" s="55"/>
      <c r="FW295" s="53">
        <v>295</v>
      </c>
      <c r="FX295" s="53">
        <v>122.5</v>
      </c>
      <c r="FY295" s="55"/>
      <c r="FZ295" s="55"/>
      <c r="GA295" s="53">
        <v>78.2</v>
      </c>
      <c r="GB295" s="55"/>
      <c r="GC295" s="53">
        <v>68.3</v>
      </c>
      <c r="GD295" s="53" t="e">
        <v>#VALUE!</v>
      </c>
      <c r="GE295" s="55"/>
      <c r="GF295" s="55"/>
      <c r="GG295" s="55"/>
      <c r="GH295" s="53">
        <v>1059.9000000000001</v>
      </c>
      <c r="GI295" s="55"/>
      <c r="GJ295" s="55"/>
      <c r="GK295" s="55"/>
      <c r="GL295" s="55"/>
      <c r="GM295" s="53">
        <v>60.1</v>
      </c>
      <c r="GN295" s="53">
        <v>82.5</v>
      </c>
      <c r="GO295" s="55"/>
      <c r="GP295" s="55"/>
      <c r="GQ295" s="53">
        <v>38.1</v>
      </c>
      <c r="GR295" s="55"/>
      <c r="GS295" s="53" t="e">
        <v>#VALUE!</v>
      </c>
      <c r="GT295" s="53" t="e">
        <v>#VALUE!</v>
      </c>
      <c r="GU295" s="55"/>
      <c r="GV295" s="55"/>
      <c r="GW295" s="55"/>
      <c r="GX295" s="53">
        <v>415.8</v>
      </c>
      <c r="GY295" s="19">
        <v>0.97560380580629424</v>
      </c>
      <c r="GZ295" s="53">
        <v>1199.7</v>
      </c>
      <c r="HA295" s="53">
        <v>1229.7</v>
      </c>
      <c r="HB295" s="18">
        <v>-79.011435644599942</v>
      </c>
      <c r="HC295" s="18">
        <v>73.472348585400596</v>
      </c>
      <c r="HD295" s="18">
        <v>1355.2885643554</v>
      </c>
      <c r="HE295" s="18">
        <v>67.299999999999955</v>
      </c>
      <c r="HF295" s="53">
        <v>1434.3</v>
      </c>
      <c r="HG295" s="53">
        <v>1388.3</v>
      </c>
      <c r="HH295" s="53">
        <v>668.6</v>
      </c>
      <c r="HI295" s="53">
        <v>93.1</v>
      </c>
      <c r="HJ295" s="53">
        <v>614.6</v>
      </c>
      <c r="HK295" s="53">
        <v>12.1</v>
      </c>
      <c r="HL295" s="53">
        <v>46</v>
      </c>
      <c r="HM295" s="55"/>
      <c r="HN295" s="55"/>
      <c r="HO295" s="55"/>
      <c r="HP295" s="53" t="e">
        <v>#VALUE!</v>
      </c>
      <c r="HQ295" s="53">
        <v>3.6</v>
      </c>
      <c r="HR295" s="53">
        <v>9</v>
      </c>
      <c r="HS295" s="53" t="e">
        <v>#VALUE!</v>
      </c>
      <c r="HT295" s="53">
        <v>26.9</v>
      </c>
      <c r="HU295" s="55"/>
      <c r="HV295" s="55"/>
      <c r="HW295" s="53">
        <v>264.10000000000002</v>
      </c>
      <c r="HX295" s="53" t="e">
        <v>#VALUE!</v>
      </c>
      <c r="HY295" s="53">
        <v>264.10000000000002</v>
      </c>
      <c r="HZ295" s="53">
        <v>49.2</v>
      </c>
      <c r="IA295" s="53">
        <v>193.6</v>
      </c>
      <c r="IB295" s="53">
        <v>73.8</v>
      </c>
      <c r="IC295" s="53">
        <v>119.8</v>
      </c>
      <c r="ID295" s="53">
        <v>69.599999999999994</v>
      </c>
      <c r="IE295" s="53">
        <v>50.2</v>
      </c>
      <c r="IF295" s="53" t="e">
        <v>#VALUE!</v>
      </c>
      <c r="IG295" s="53" t="e">
        <v>#VALUE!</v>
      </c>
      <c r="IH295" s="55"/>
      <c r="II295" s="55"/>
      <c r="IJ295" s="55"/>
      <c r="IK295" s="55"/>
      <c r="IL295" s="12">
        <v>21.30000000000004</v>
      </c>
      <c r="IM295" s="55"/>
      <c r="IN295" s="53">
        <v>58.4</v>
      </c>
      <c r="IO295" s="53">
        <v>58.6</v>
      </c>
      <c r="IP295" s="53" t="e">
        <v>#VALUE!</v>
      </c>
      <c r="IQ295" s="53">
        <v>35.700000000000003</v>
      </c>
      <c r="IR295" s="53">
        <v>9.9</v>
      </c>
      <c r="IS295" s="53" t="e">
        <v>#VALUE!</v>
      </c>
      <c r="IT295" s="53">
        <v>23.9</v>
      </c>
      <c r="IU295" s="53" t="e">
        <v>#VALUE!</v>
      </c>
      <c r="IV295" s="53" t="e">
        <v>#VALUE!</v>
      </c>
      <c r="IY295" s="48">
        <f t="shared" si="14"/>
        <v>47.86848647825866</v>
      </c>
      <c r="IZ295" s="48">
        <f>IY295-'NOPA Crush'!J295</f>
        <v>0.21848647825866152</v>
      </c>
      <c r="JB295" s="63">
        <f t="shared" si="12"/>
        <v>11.129940636257547</v>
      </c>
      <c r="JC295" s="64">
        <f>JB295-'NOPA Crush'!O295</f>
        <v>-7.0059363742451808E-2</v>
      </c>
      <c r="JD295" s="65"/>
      <c r="JE295" s="67">
        <f t="shared" si="13"/>
        <v>1998.3000000000002</v>
      </c>
      <c r="JF295" s="68">
        <f>'NOPA Crush'!Q295/'Census Crush'!JE295</f>
        <v>0.75433418405644792</v>
      </c>
    </row>
    <row r="296" spans="1:266">
      <c r="A296" s="39">
        <v>38047</v>
      </c>
      <c r="B296" s="51">
        <v>3887.9</v>
      </c>
      <c r="C296" s="51">
        <v>4028.7</v>
      </c>
      <c r="D296" s="51">
        <v>278</v>
      </c>
      <c r="E296" s="51">
        <v>1167.9000000000001</v>
      </c>
      <c r="F296" s="51">
        <v>15.5</v>
      </c>
      <c r="G296" s="51" t="s">
        <v>264</v>
      </c>
      <c r="H296" s="51" t="s">
        <v>264</v>
      </c>
      <c r="I296" s="51" t="s">
        <v>264</v>
      </c>
      <c r="J296" s="51" t="s">
        <v>264</v>
      </c>
      <c r="K296" s="51">
        <v>1461.4</v>
      </c>
      <c r="L296" s="49">
        <v>1856.5</v>
      </c>
      <c r="M296" s="51">
        <v>1676.7</v>
      </c>
      <c r="N296" s="51">
        <v>179.8</v>
      </c>
      <c r="O296" s="53">
        <v>87.2</v>
      </c>
      <c r="P296" s="51">
        <v>121</v>
      </c>
      <c r="Q296" s="51">
        <v>9.9</v>
      </c>
      <c r="R296" s="51">
        <v>111.1</v>
      </c>
      <c r="S296" s="51"/>
      <c r="T296" s="51">
        <v>13</v>
      </c>
      <c r="U296" s="51">
        <v>51.9</v>
      </c>
      <c r="V296" s="51">
        <v>48.4</v>
      </c>
      <c r="W296" s="51">
        <v>3.5</v>
      </c>
      <c r="X296" s="51" t="s">
        <v>264</v>
      </c>
      <c r="Y296" s="51" t="s">
        <v>264</v>
      </c>
      <c r="Z296" s="49">
        <v>145.5</v>
      </c>
      <c r="AA296" s="51">
        <v>134.69999999999999</v>
      </c>
      <c r="AB296" s="51">
        <v>10.8</v>
      </c>
      <c r="AC296" s="51" t="s">
        <v>264</v>
      </c>
      <c r="AD296" s="51">
        <v>36.5</v>
      </c>
      <c r="AE296" s="51"/>
      <c r="AF296" s="51">
        <v>120.1</v>
      </c>
      <c r="AG296" s="51">
        <v>100.7</v>
      </c>
      <c r="AH296" s="51">
        <v>19.399999999999999</v>
      </c>
      <c r="AI296" s="51">
        <v>195.8</v>
      </c>
      <c r="AJ296" s="55"/>
      <c r="AK296" s="55"/>
      <c r="AL296" s="51">
        <v>129</v>
      </c>
      <c r="AM296" s="51">
        <v>67.7</v>
      </c>
      <c r="AN296" s="51">
        <v>61.3</v>
      </c>
      <c r="AO296" s="51">
        <v>2872.5</v>
      </c>
      <c r="AP296" s="51">
        <v>348.4</v>
      </c>
      <c r="AQ296" s="51">
        <v>219.9</v>
      </c>
      <c r="AR296" s="51">
        <v>26.5</v>
      </c>
      <c r="AS296" s="51">
        <v>123.4</v>
      </c>
      <c r="AT296" s="51">
        <v>37.6</v>
      </c>
      <c r="AU296" s="51">
        <v>77.2</v>
      </c>
      <c r="AV296" s="51">
        <v>37.5</v>
      </c>
      <c r="AW296" s="51">
        <v>8.8000000000000007</v>
      </c>
      <c r="AX296" s="51" t="s">
        <v>264</v>
      </c>
      <c r="AY296" s="51" t="s">
        <v>264</v>
      </c>
      <c r="AZ296" s="51" t="s">
        <v>264</v>
      </c>
      <c r="BA296" s="51" t="s">
        <v>264</v>
      </c>
      <c r="BB296" s="51" t="s">
        <v>264</v>
      </c>
      <c r="BC296" s="55"/>
      <c r="BD296" s="53">
        <v>159.5</v>
      </c>
      <c r="BE296" s="53">
        <v>27.7</v>
      </c>
      <c r="BF296" s="53">
        <v>70.099999999999994</v>
      </c>
      <c r="BG296" s="53">
        <v>6.1</v>
      </c>
      <c r="BH296" s="53">
        <v>335.6</v>
      </c>
      <c r="BI296" s="53">
        <v>125.4</v>
      </c>
      <c r="BJ296" s="53">
        <v>98.9</v>
      </c>
      <c r="BK296" s="53">
        <v>224.3</v>
      </c>
      <c r="BL296" s="53">
        <v>0</v>
      </c>
      <c r="BM296" s="53">
        <v>559.90000000000009</v>
      </c>
      <c r="BN296" s="53">
        <v>277.8</v>
      </c>
      <c r="BO296" s="53">
        <v>69.099999999999994</v>
      </c>
      <c r="BP296" s="53">
        <v>41.1</v>
      </c>
      <c r="BQ296" s="53">
        <v>110.19999999999999</v>
      </c>
      <c r="BR296" s="53">
        <v>0</v>
      </c>
      <c r="BS296" s="53">
        <v>388</v>
      </c>
      <c r="BT296" s="53">
        <v>22.2</v>
      </c>
      <c r="BU296" s="53">
        <v>19.399999999999999</v>
      </c>
      <c r="BV296" s="51" t="s">
        <v>264</v>
      </c>
      <c r="BW296" s="51" t="s">
        <v>264</v>
      </c>
      <c r="BX296" s="51">
        <v>391.9</v>
      </c>
      <c r="BY296" s="51" t="s">
        <v>264</v>
      </c>
      <c r="BZ296" s="51" t="s">
        <v>264</v>
      </c>
      <c r="CA296" s="51">
        <v>44.4</v>
      </c>
      <c r="CB296" s="53">
        <v>90.6</v>
      </c>
      <c r="CC296" s="53" t="s">
        <v>264</v>
      </c>
      <c r="CD296" s="53">
        <v>104.4</v>
      </c>
      <c r="CE296" s="53">
        <v>12.3</v>
      </c>
      <c r="CF296" s="53">
        <v>116.5</v>
      </c>
      <c r="CG296" s="53">
        <v>205.3</v>
      </c>
      <c r="CH296" s="53">
        <v>14.252000000000001</v>
      </c>
      <c r="CI296" s="55"/>
      <c r="CJ296" s="55"/>
      <c r="CK296" s="12">
        <v>225.2</v>
      </c>
      <c r="CL296" s="12">
        <v>31.4</v>
      </c>
      <c r="CM296" s="12"/>
      <c r="CN296" s="53">
        <v>45.1</v>
      </c>
      <c r="CO296" s="53">
        <v>181.7</v>
      </c>
      <c r="CP296" s="53">
        <v>110</v>
      </c>
      <c r="CQ296" s="53">
        <v>71.7</v>
      </c>
      <c r="CR296" s="52" t="s">
        <v>264</v>
      </c>
      <c r="CS296" s="53">
        <v>32.799999999999997</v>
      </c>
      <c r="CT296" s="53">
        <v>24.9</v>
      </c>
      <c r="CU296" s="53">
        <v>7.9</v>
      </c>
      <c r="CV296" s="53">
        <v>57.6</v>
      </c>
      <c r="CW296" s="52" t="s">
        <v>264</v>
      </c>
      <c r="CX296" s="52" t="s">
        <v>264</v>
      </c>
      <c r="CY296" s="53">
        <v>11.945</v>
      </c>
      <c r="CZ296" s="53">
        <v>54.4</v>
      </c>
      <c r="DA296" s="12">
        <v>14.2</v>
      </c>
      <c r="DB296" s="53" t="s">
        <v>264</v>
      </c>
      <c r="DC296" s="53" t="s">
        <v>264</v>
      </c>
      <c r="DD296" s="55"/>
      <c r="DE296" s="55"/>
      <c r="DF296" s="55"/>
      <c r="DG296" s="55"/>
      <c r="DH296" s="55"/>
      <c r="DI296" s="53">
        <v>526.70000000000005</v>
      </c>
      <c r="DJ296" s="53">
        <v>325.8</v>
      </c>
      <c r="DK296" s="55"/>
      <c r="DL296" s="55"/>
      <c r="DM296" s="53">
        <v>274.5</v>
      </c>
      <c r="DN296" s="55"/>
      <c r="DO296" s="53">
        <v>170.2</v>
      </c>
      <c r="DP296" s="53">
        <v>290.39999999999998</v>
      </c>
      <c r="DQ296" s="55"/>
      <c r="DR296" s="55"/>
      <c r="DS296" s="53">
        <v>2129.306</v>
      </c>
      <c r="DT296" s="53">
        <v>3887.9</v>
      </c>
      <c r="DU296" s="53">
        <v>-170.99400000000014</v>
      </c>
      <c r="DV296" s="53">
        <v>0</v>
      </c>
      <c r="DW296" s="55"/>
      <c r="DX296" s="55"/>
      <c r="DY296" s="55"/>
      <c r="DZ296" s="55"/>
      <c r="EA296" s="53">
        <v>793</v>
      </c>
      <c r="EB296" s="53">
        <v>513.5</v>
      </c>
      <c r="EC296" s="55"/>
      <c r="ED296" s="55"/>
      <c r="EE296" s="53">
        <v>140.5</v>
      </c>
      <c r="EF296" s="55"/>
      <c r="EG296" s="53">
        <v>207.9</v>
      </c>
      <c r="EH296" s="53" t="e">
        <v>#VALUE!</v>
      </c>
      <c r="EI296" s="55"/>
      <c r="EJ296" s="55"/>
      <c r="EK296" s="55"/>
      <c r="EL296" s="53">
        <v>4028.7</v>
      </c>
      <c r="EM296" s="55"/>
      <c r="EN296" s="55"/>
      <c r="EO296" s="55"/>
      <c r="EP296" s="55"/>
      <c r="EQ296" s="53">
        <v>203.7</v>
      </c>
      <c r="ER296" s="53">
        <v>121.5</v>
      </c>
      <c r="ES296" s="55"/>
      <c r="ET296" s="55"/>
      <c r="EU296" s="53">
        <v>107.2</v>
      </c>
      <c r="EV296" s="55"/>
      <c r="EW296" s="53">
        <v>64</v>
      </c>
      <c r="EX296" s="53">
        <v>102.9</v>
      </c>
      <c r="EY296" s="55"/>
      <c r="EZ296" s="55"/>
      <c r="FA296" s="55"/>
      <c r="FB296" s="53">
        <v>1461.4</v>
      </c>
      <c r="FC296" s="55"/>
      <c r="FD296" s="55"/>
      <c r="FE296" s="55"/>
      <c r="FF296" s="55"/>
      <c r="FG296" s="53">
        <v>418.3</v>
      </c>
      <c r="FH296" s="53">
        <v>260.60000000000002</v>
      </c>
      <c r="FI296" s="55"/>
      <c r="FJ296" s="55"/>
      <c r="FK296" s="53">
        <v>217</v>
      </c>
      <c r="FL296" s="55"/>
      <c r="FM296" s="53">
        <v>136.5</v>
      </c>
      <c r="FN296" s="53">
        <v>235.6</v>
      </c>
      <c r="FO296" s="55"/>
      <c r="FP296" s="55"/>
      <c r="FQ296" s="55"/>
      <c r="FR296" s="53">
        <v>3101.3</v>
      </c>
      <c r="FS296" s="55"/>
      <c r="FT296" s="55"/>
      <c r="FU296" s="55"/>
      <c r="FV296" s="55"/>
      <c r="FW296" s="53">
        <v>260.3</v>
      </c>
      <c r="FX296" s="53">
        <v>111.7</v>
      </c>
      <c r="FY296" s="55"/>
      <c r="FZ296" s="55"/>
      <c r="GA296" s="53">
        <v>70</v>
      </c>
      <c r="GB296" s="55"/>
      <c r="GC296" s="53">
        <v>72.2</v>
      </c>
      <c r="GD296" s="53" t="e">
        <v>#VALUE!</v>
      </c>
      <c r="GE296" s="55"/>
      <c r="GF296" s="55"/>
      <c r="GG296" s="55"/>
      <c r="GH296" s="53">
        <v>951.6</v>
      </c>
      <c r="GI296" s="55"/>
      <c r="GJ296" s="55"/>
      <c r="GK296" s="55"/>
      <c r="GL296" s="55"/>
      <c r="GM296" s="53">
        <v>76.099999999999994</v>
      </c>
      <c r="GN296" s="53">
        <v>69.599999999999994</v>
      </c>
      <c r="GO296" s="55"/>
      <c r="GP296" s="55"/>
      <c r="GQ296" s="53">
        <v>34.299999999999997</v>
      </c>
      <c r="GR296" s="55"/>
      <c r="GS296" s="53" t="e">
        <v>#VALUE!</v>
      </c>
      <c r="GT296" s="53" t="e">
        <v>#VALUE!</v>
      </c>
      <c r="GU296" s="55"/>
      <c r="GV296" s="55"/>
      <c r="GW296" s="55"/>
      <c r="GX296" s="53">
        <v>375</v>
      </c>
      <c r="GY296" s="19">
        <v>0.97365339578454335</v>
      </c>
      <c r="GZ296" s="53">
        <v>1330.4</v>
      </c>
      <c r="HA296" s="53">
        <v>1366.4</v>
      </c>
      <c r="HB296" s="18">
        <v>-30.571754702199541</v>
      </c>
      <c r="HC296" s="18">
        <v>156.01966282740068</v>
      </c>
      <c r="HD296" s="18">
        <v>1532.8282452978005</v>
      </c>
      <c r="HE296" s="18">
        <v>74.800000000000182</v>
      </c>
      <c r="HF296" s="53">
        <v>1563.4</v>
      </c>
      <c r="HG296" s="53">
        <v>1506.7</v>
      </c>
      <c r="HH296" s="53">
        <v>719.4</v>
      </c>
      <c r="HI296" s="53">
        <v>102.3</v>
      </c>
      <c r="HJ296" s="53">
        <v>671.4</v>
      </c>
      <c r="HK296" s="53">
        <v>13.6</v>
      </c>
      <c r="HL296" s="53">
        <v>56.8</v>
      </c>
      <c r="HM296" s="55"/>
      <c r="HN296" s="55"/>
      <c r="HO296" s="55"/>
      <c r="HP296" s="53" t="e">
        <v>#VALUE!</v>
      </c>
      <c r="HQ296" s="53">
        <v>8</v>
      </c>
      <c r="HR296" s="53">
        <v>9.6999999999999993</v>
      </c>
      <c r="HS296" s="53" t="e">
        <v>#VALUE!</v>
      </c>
      <c r="HT296" s="53">
        <v>30.4</v>
      </c>
      <c r="HU296" s="55"/>
      <c r="HV296" s="55"/>
      <c r="HW296" s="53">
        <v>314.3</v>
      </c>
      <c r="HX296" s="53" t="e">
        <v>#VALUE!</v>
      </c>
      <c r="HY296" s="53">
        <v>314.3</v>
      </c>
      <c r="HZ296" s="53">
        <v>63.4</v>
      </c>
      <c r="IA296" s="53">
        <v>228</v>
      </c>
      <c r="IB296" s="53">
        <v>87.1</v>
      </c>
      <c r="IC296" s="53">
        <v>140.9</v>
      </c>
      <c r="ID296" s="53">
        <v>80.099999999999994</v>
      </c>
      <c r="IE296" s="53">
        <v>60.8</v>
      </c>
      <c r="IF296" s="53" t="e">
        <v>#VALUE!</v>
      </c>
      <c r="IG296" s="53" t="e">
        <v>#VALUE!</v>
      </c>
      <c r="IH296" s="55"/>
      <c r="II296" s="55"/>
      <c r="IJ296" s="55"/>
      <c r="IK296" s="55"/>
      <c r="IL296" s="12">
        <v>22.900000000000006</v>
      </c>
      <c r="IM296" s="55"/>
      <c r="IN296" s="53">
        <v>68.3</v>
      </c>
      <c r="IO296" s="53">
        <v>68.5</v>
      </c>
      <c r="IP296" s="53" t="e">
        <v>#VALUE!</v>
      </c>
      <c r="IQ296" s="53">
        <v>36.799999999999997</v>
      </c>
      <c r="IR296" s="53">
        <v>14.2</v>
      </c>
      <c r="IS296" s="53" t="e">
        <v>#VALUE!</v>
      </c>
      <c r="IT296" s="53">
        <v>20.5</v>
      </c>
      <c r="IU296" s="53" t="e">
        <v>#VALUE!</v>
      </c>
      <c r="IV296" s="53" t="e">
        <v>#VALUE!</v>
      </c>
      <c r="IY296" s="48">
        <f t="shared" si="14"/>
        <v>47.723449677203632</v>
      </c>
      <c r="IZ296" s="48">
        <f>IY296-'NOPA Crush'!J296</f>
        <v>0.17344967720363513</v>
      </c>
      <c r="JB296" s="63">
        <f t="shared" si="12"/>
        <v>11.276524601970216</v>
      </c>
      <c r="JC296" s="64">
        <f>JB296-'NOPA Crush'!O296</f>
        <v>7.6524601970216821E-2</v>
      </c>
      <c r="JD296" s="65"/>
      <c r="JE296" s="67">
        <f t="shared" si="13"/>
        <v>1856.5</v>
      </c>
      <c r="JF296" s="68">
        <f>'NOPA Crush'!Q296/'Census Crush'!JE296</f>
        <v>0.74984756261782926</v>
      </c>
    </row>
    <row r="297" spans="1:266">
      <c r="A297" s="39">
        <v>38078</v>
      </c>
      <c r="B297" s="51">
        <v>3375.3</v>
      </c>
      <c r="C297" s="51">
        <v>3442.5</v>
      </c>
      <c r="D297" s="51">
        <v>217.1</v>
      </c>
      <c r="E297" s="51">
        <v>1011.3</v>
      </c>
      <c r="F297" s="51">
        <v>15.6</v>
      </c>
      <c r="G297" s="51" t="s">
        <v>264</v>
      </c>
      <c r="H297" s="51" t="s">
        <v>264</v>
      </c>
      <c r="I297" s="51" t="s">
        <v>264</v>
      </c>
      <c r="J297" s="51" t="s">
        <v>264</v>
      </c>
      <c r="K297" s="51">
        <v>1260.3</v>
      </c>
      <c r="L297" s="49">
        <v>1643.8</v>
      </c>
      <c r="M297" s="51">
        <v>1452.1</v>
      </c>
      <c r="N297" s="51">
        <v>191.7</v>
      </c>
      <c r="O297" s="53">
        <v>67</v>
      </c>
      <c r="P297" s="51">
        <v>116.8</v>
      </c>
      <c r="Q297" s="51">
        <v>7.7</v>
      </c>
      <c r="R297" s="51">
        <v>109.1</v>
      </c>
      <c r="S297" s="51"/>
      <c r="T297" s="51">
        <v>14.7</v>
      </c>
      <c r="U297" s="9">
        <v>80.900000000000006</v>
      </c>
      <c r="V297" s="51" t="s">
        <v>264</v>
      </c>
      <c r="W297" s="51" t="s">
        <v>264</v>
      </c>
      <c r="X297" s="51" t="s">
        <v>264</v>
      </c>
      <c r="Y297" s="51" t="s">
        <v>264</v>
      </c>
      <c r="Z297" s="49">
        <v>95.6</v>
      </c>
      <c r="AA297" s="51">
        <v>87</v>
      </c>
      <c r="AB297" s="51">
        <v>8.6</v>
      </c>
      <c r="AC297" s="51" t="s">
        <v>264</v>
      </c>
      <c r="AD297" s="51" t="s">
        <v>264</v>
      </c>
      <c r="AE297" s="51"/>
      <c r="AF297" s="51">
        <v>121.5</v>
      </c>
      <c r="AG297" s="51">
        <v>104.2</v>
      </c>
      <c r="AH297" s="51">
        <v>17.3</v>
      </c>
      <c r="AI297" s="51">
        <v>200</v>
      </c>
      <c r="AJ297" s="55"/>
      <c r="AK297" s="55"/>
      <c r="AL297" s="51">
        <v>126.5</v>
      </c>
      <c r="AM297" s="51">
        <v>64.5</v>
      </c>
      <c r="AN297" s="51">
        <v>62</v>
      </c>
      <c r="AO297" s="51">
        <v>2493.9</v>
      </c>
      <c r="AP297" s="51">
        <v>313.8</v>
      </c>
      <c r="AQ297" s="51">
        <v>188.5</v>
      </c>
      <c r="AR297" s="51">
        <v>24.8</v>
      </c>
      <c r="AS297" s="51">
        <v>94.2</v>
      </c>
      <c r="AT297" s="51">
        <v>47.5</v>
      </c>
      <c r="AU297" s="51">
        <v>63.7</v>
      </c>
      <c r="AV297" s="51">
        <v>37.299999999999997</v>
      </c>
      <c r="AW297" s="51">
        <v>9.1999999999999993</v>
      </c>
      <c r="AX297" s="51" t="s">
        <v>264</v>
      </c>
      <c r="AY297" s="51" t="s">
        <v>264</v>
      </c>
      <c r="AZ297" s="51" t="s">
        <v>264</v>
      </c>
      <c r="BA297" s="51" t="s">
        <v>264</v>
      </c>
      <c r="BB297" s="51" t="s">
        <v>264</v>
      </c>
      <c r="BC297" s="55"/>
      <c r="BD297" s="53">
        <v>137.1</v>
      </c>
      <c r="BE297" s="53">
        <v>26.7</v>
      </c>
      <c r="BF297" s="53">
        <v>67.3</v>
      </c>
      <c r="BG297" s="53">
        <v>7.4</v>
      </c>
      <c r="BH297" s="53">
        <v>293.3</v>
      </c>
      <c r="BI297" s="53">
        <v>126.5</v>
      </c>
      <c r="BJ297" s="53">
        <v>97.6</v>
      </c>
      <c r="BK297" s="53">
        <v>224.1</v>
      </c>
      <c r="BL297" s="53">
        <v>0</v>
      </c>
      <c r="BM297" s="53">
        <v>517.4</v>
      </c>
      <c r="BN297" s="53">
        <v>264.60000000000002</v>
      </c>
      <c r="BO297" s="53">
        <v>72.099999999999994</v>
      </c>
      <c r="BP297" s="53">
        <v>40.6</v>
      </c>
      <c r="BQ297" s="53">
        <v>112.69999999999999</v>
      </c>
      <c r="BR297" s="53">
        <v>0</v>
      </c>
      <c r="BS297" s="53">
        <v>377.3</v>
      </c>
      <c r="BT297" s="53">
        <v>20.100000000000001</v>
      </c>
      <c r="BU297" s="53">
        <v>20.2</v>
      </c>
      <c r="BV297" s="51" t="s">
        <v>264</v>
      </c>
      <c r="BW297" s="51" t="s">
        <v>264</v>
      </c>
      <c r="BX297" s="51">
        <v>356.8</v>
      </c>
      <c r="BY297" s="51" t="s">
        <v>264</v>
      </c>
      <c r="BZ297" s="51" t="s">
        <v>264</v>
      </c>
      <c r="CA297" s="51">
        <v>41.5</v>
      </c>
      <c r="CB297" s="53">
        <v>88</v>
      </c>
      <c r="CC297" s="53" t="s">
        <v>264</v>
      </c>
      <c r="CD297" s="53">
        <v>100.7</v>
      </c>
      <c r="CE297" s="53">
        <v>14.6</v>
      </c>
      <c r="CF297" s="53">
        <v>106.2</v>
      </c>
      <c r="CG297" s="53">
        <v>207</v>
      </c>
      <c r="CH297" s="53">
        <v>12.718999999999999</v>
      </c>
      <c r="CI297" s="55"/>
      <c r="CJ297" s="55"/>
      <c r="CK297" s="12">
        <v>160.80000000000001</v>
      </c>
      <c r="CL297" s="12">
        <v>24.7</v>
      </c>
      <c r="CM297" s="12"/>
      <c r="CN297" s="53">
        <v>53.2</v>
      </c>
      <c r="CO297" s="53">
        <v>131.30000000000001</v>
      </c>
      <c r="CP297" s="53">
        <v>82.2</v>
      </c>
      <c r="CQ297" s="53">
        <v>49.1</v>
      </c>
      <c r="CR297" s="52" t="s">
        <v>264</v>
      </c>
      <c r="CS297" s="53">
        <v>24.4</v>
      </c>
      <c r="CT297" s="53">
        <v>16.7</v>
      </c>
      <c r="CU297" s="53">
        <v>7.7</v>
      </c>
      <c r="CV297" s="53">
        <v>75.2</v>
      </c>
      <c r="CW297" s="52" t="s">
        <v>264</v>
      </c>
      <c r="CX297" s="52" t="s">
        <v>264</v>
      </c>
      <c r="CY297" s="53" t="s">
        <v>264</v>
      </c>
      <c r="CZ297" s="53">
        <v>81.099999999999994</v>
      </c>
      <c r="DA297" s="12">
        <v>12.9</v>
      </c>
      <c r="DB297" s="53" t="s">
        <v>264</v>
      </c>
      <c r="DC297" s="53" t="s">
        <v>264</v>
      </c>
      <c r="DD297" s="55"/>
      <c r="DE297" s="55"/>
      <c r="DF297" s="55"/>
      <c r="DG297" s="55"/>
      <c r="DH297" s="55"/>
      <c r="DI297" s="53">
        <v>396</v>
      </c>
      <c r="DJ297" s="53">
        <v>307.39999999999998</v>
      </c>
      <c r="DK297" s="55"/>
      <c r="DL297" s="55"/>
      <c r="DM297" s="53">
        <v>211.5</v>
      </c>
      <c r="DN297" s="55"/>
      <c r="DO297" s="53">
        <v>167</v>
      </c>
      <c r="DP297" s="53">
        <v>255.1</v>
      </c>
      <c r="DQ297" s="55"/>
      <c r="DR297" s="55"/>
      <c r="DS297" s="53">
        <v>1886.662</v>
      </c>
      <c r="DT297" s="53">
        <v>3375.3</v>
      </c>
      <c r="DU297" s="53">
        <v>-151.63799999999992</v>
      </c>
      <c r="DV297" s="53">
        <v>0</v>
      </c>
      <c r="DW297" s="55"/>
      <c r="DX297" s="55"/>
      <c r="DY297" s="55"/>
      <c r="DZ297" s="55"/>
      <c r="EA297" s="53">
        <v>696.7</v>
      </c>
      <c r="EB297" s="53">
        <v>368.5</v>
      </c>
      <c r="EC297" s="55"/>
      <c r="ED297" s="55"/>
      <c r="EE297" s="53">
        <v>119.6</v>
      </c>
      <c r="EF297" s="55"/>
      <c r="EG297" s="53">
        <v>181.4</v>
      </c>
      <c r="EH297" s="53" t="e">
        <v>#VALUE!</v>
      </c>
      <c r="EI297" s="55"/>
      <c r="EJ297" s="55"/>
      <c r="EK297" s="55"/>
      <c r="EL297" s="53">
        <v>3442.5</v>
      </c>
      <c r="EM297" s="55"/>
      <c r="EN297" s="55"/>
      <c r="EO297" s="55"/>
      <c r="EP297" s="55"/>
      <c r="EQ297" s="53">
        <v>151.1</v>
      </c>
      <c r="ER297" s="53">
        <v>115.1</v>
      </c>
      <c r="ES297" s="55"/>
      <c r="ET297" s="55"/>
      <c r="EU297" s="53">
        <v>81.8</v>
      </c>
      <c r="EV297" s="55"/>
      <c r="EW297" s="53">
        <v>62.4</v>
      </c>
      <c r="EX297" s="53">
        <v>90.4</v>
      </c>
      <c r="EY297" s="55"/>
      <c r="EZ297" s="55"/>
      <c r="FA297" s="55"/>
      <c r="FB297" s="53">
        <v>1260.3</v>
      </c>
      <c r="FC297" s="55"/>
      <c r="FD297" s="55"/>
      <c r="FE297" s="55"/>
      <c r="FF297" s="55"/>
      <c r="FG297" s="53">
        <v>314.2</v>
      </c>
      <c r="FH297" s="53">
        <v>243.2</v>
      </c>
      <c r="FI297" s="55"/>
      <c r="FJ297" s="55"/>
      <c r="FK297" s="53">
        <v>169.2</v>
      </c>
      <c r="FL297" s="55"/>
      <c r="FM297" s="53">
        <v>134.19999999999999</v>
      </c>
      <c r="FN297" s="53">
        <v>209.4</v>
      </c>
      <c r="FO297" s="55"/>
      <c r="FP297" s="55"/>
      <c r="FQ297" s="55"/>
      <c r="FR297" s="53">
        <v>2690.1</v>
      </c>
      <c r="FS297" s="55"/>
      <c r="FT297" s="55"/>
      <c r="FU297" s="55"/>
      <c r="FV297" s="55"/>
      <c r="FW297" s="53">
        <v>219.9</v>
      </c>
      <c r="FX297" s="53">
        <v>109.8</v>
      </c>
      <c r="FY297" s="55"/>
      <c r="FZ297" s="55"/>
      <c r="GA297" s="53">
        <v>56.1</v>
      </c>
      <c r="GB297" s="55"/>
      <c r="GC297" s="53">
        <v>63.8</v>
      </c>
      <c r="GD297" s="53" t="e">
        <v>#VALUE!</v>
      </c>
      <c r="GE297" s="55"/>
      <c r="GF297" s="55"/>
      <c r="GG297" s="55"/>
      <c r="GH297" s="53">
        <v>854.2</v>
      </c>
      <c r="GI297" s="55"/>
      <c r="GJ297" s="55"/>
      <c r="GK297" s="55"/>
      <c r="GL297" s="55"/>
      <c r="GM297" s="53">
        <v>69</v>
      </c>
      <c r="GN297" s="53">
        <v>67.7</v>
      </c>
      <c r="GO297" s="55"/>
      <c r="GP297" s="55"/>
      <c r="GQ297" s="53">
        <v>17.7</v>
      </c>
      <c r="GR297" s="55"/>
      <c r="GS297" s="53">
        <v>4.7</v>
      </c>
      <c r="GT297" s="53" t="e">
        <v>#VALUE!</v>
      </c>
      <c r="GU297" s="55"/>
      <c r="GV297" s="55"/>
      <c r="GW297" s="55"/>
      <c r="GX297" s="53">
        <v>338.6</v>
      </c>
      <c r="GY297" s="19">
        <v>0.97677606644625437</v>
      </c>
      <c r="GZ297" s="53">
        <v>1211.3</v>
      </c>
      <c r="HA297" s="53">
        <v>1240.0999999999999</v>
      </c>
      <c r="HB297" s="18">
        <v>-45.004563730799646</v>
      </c>
      <c r="HC297" s="18">
        <v>60.86396182600015</v>
      </c>
      <c r="HD297" s="18">
        <v>1436.9954362692004</v>
      </c>
      <c r="HE297" s="18">
        <v>-10.200000000000045</v>
      </c>
      <c r="HF297" s="53">
        <v>1482</v>
      </c>
      <c r="HG297" s="53">
        <v>1429.2</v>
      </c>
      <c r="HH297" s="53">
        <v>658.3</v>
      </c>
      <c r="HI297" s="53">
        <v>106</v>
      </c>
      <c r="HJ297" s="53">
        <v>651.70000000000005</v>
      </c>
      <c r="HK297" s="53">
        <v>13.1</v>
      </c>
      <c r="HL297" s="53">
        <v>52.9</v>
      </c>
      <c r="HM297" s="55"/>
      <c r="HN297" s="55"/>
      <c r="HO297" s="55"/>
      <c r="HP297" s="53" t="e">
        <v>#VALUE!</v>
      </c>
      <c r="HQ297" s="53">
        <v>8.5</v>
      </c>
      <c r="HR297" s="53">
        <v>9.9</v>
      </c>
      <c r="HS297" s="53" t="e">
        <v>#VALUE!</v>
      </c>
      <c r="HT297" s="53">
        <v>28.5</v>
      </c>
      <c r="HU297" s="55"/>
      <c r="HV297" s="55"/>
      <c r="HW297" s="53">
        <v>300.2</v>
      </c>
      <c r="HX297" s="53" t="e">
        <v>#VALUE!</v>
      </c>
      <c r="HY297" s="53">
        <v>300.2</v>
      </c>
      <c r="HZ297" s="53">
        <v>56.9</v>
      </c>
      <c r="IA297" s="53">
        <v>221.7</v>
      </c>
      <c r="IB297" s="53">
        <v>82.1</v>
      </c>
      <c r="IC297" s="53">
        <v>139.6</v>
      </c>
      <c r="ID297" s="53">
        <v>80.599999999999994</v>
      </c>
      <c r="IE297" s="53">
        <v>59</v>
      </c>
      <c r="IF297" s="53" t="e">
        <v>#VALUE!</v>
      </c>
      <c r="IG297" s="53" t="e">
        <v>#VALUE!</v>
      </c>
      <c r="IH297" s="55"/>
      <c r="II297" s="55"/>
      <c r="IJ297" s="55"/>
      <c r="IK297" s="55"/>
      <c r="IL297" s="12">
        <v>21.599999999999994</v>
      </c>
      <c r="IM297" s="55"/>
      <c r="IN297" s="53">
        <v>55.1</v>
      </c>
      <c r="IO297" s="53">
        <v>55.1</v>
      </c>
      <c r="IP297" s="53" t="e">
        <v>#VALUE!</v>
      </c>
      <c r="IQ297" s="53">
        <v>38.1</v>
      </c>
      <c r="IR297" s="53">
        <v>12.6</v>
      </c>
      <c r="IS297" s="53" t="e">
        <v>#VALUE!</v>
      </c>
      <c r="IT297" s="53">
        <v>23.5</v>
      </c>
      <c r="IU297" s="53" t="e">
        <v>#VALUE!</v>
      </c>
      <c r="IV297" s="53" t="e">
        <v>#VALUE!</v>
      </c>
      <c r="IY297" s="48">
        <f t="shared" si="14"/>
        <v>47.682872633543681</v>
      </c>
      <c r="IZ297" s="48">
        <f>IY297-'NOPA Crush'!J297</f>
        <v>0.10287263354368292</v>
      </c>
      <c r="JB297" s="63">
        <f t="shared" si="12"/>
        <v>11.201670962581103</v>
      </c>
      <c r="JC297" s="64">
        <f>JB297-'NOPA Crush'!O297</f>
        <v>-7.8329037418896519E-2</v>
      </c>
      <c r="JD297" s="65"/>
      <c r="JE297" s="67">
        <f t="shared" si="13"/>
        <v>1643.8</v>
      </c>
      <c r="JF297" s="68">
        <f>'NOPA Crush'!Q297/'Census Crush'!JE297</f>
        <v>0.7388417082370119</v>
      </c>
    </row>
    <row r="298" spans="1:266">
      <c r="A298" s="39">
        <v>38108</v>
      </c>
      <c r="B298" s="51">
        <v>3524</v>
      </c>
      <c r="C298" s="51">
        <v>2737.1</v>
      </c>
      <c r="D298" s="51">
        <v>240.2</v>
      </c>
      <c r="E298" s="51">
        <v>783.7</v>
      </c>
      <c r="F298" s="51">
        <v>13.7</v>
      </c>
      <c r="G298" s="51" t="s">
        <v>264</v>
      </c>
      <c r="H298" s="51" t="s">
        <v>264</v>
      </c>
      <c r="I298" s="51" t="s">
        <v>264</v>
      </c>
      <c r="J298" s="51" t="s">
        <v>264</v>
      </c>
      <c r="K298" s="51">
        <v>1314.6</v>
      </c>
      <c r="L298" s="49">
        <v>1648.3999999999999</v>
      </c>
      <c r="M298" s="51">
        <v>1407.3</v>
      </c>
      <c r="N298" s="51">
        <v>241.1</v>
      </c>
      <c r="O298" s="53">
        <v>73.8</v>
      </c>
      <c r="P298" s="51">
        <v>123.60000000000001</v>
      </c>
      <c r="Q298" s="51">
        <v>8.1999999999999993</v>
      </c>
      <c r="R298" s="51">
        <v>115.4</v>
      </c>
      <c r="S298" s="51"/>
      <c r="T298" s="51">
        <v>11.8</v>
      </c>
      <c r="U298" s="51">
        <v>85.7</v>
      </c>
      <c r="V298" s="51">
        <v>78.5</v>
      </c>
      <c r="W298" s="51">
        <v>7.2</v>
      </c>
      <c r="X298" s="51" t="s">
        <v>264</v>
      </c>
      <c r="Y298" s="51" t="s">
        <v>264</v>
      </c>
      <c r="Z298" s="49">
        <v>90.1</v>
      </c>
      <c r="AA298" s="51">
        <v>78.8</v>
      </c>
      <c r="AB298" s="51">
        <v>11.3</v>
      </c>
      <c r="AC298" s="51" t="s">
        <v>264</v>
      </c>
      <c r="AD298" s="51" t="s">
        <v>264</v>
      </c>
      <c r="AE298" s="51"/>
      <c r="AF298" s="51">
        <v>98.5</v>
      </c>
      <c r="AG298" s="51">
        <v>74.900000000000006</v>
      </c>
      <c r="AH298" s="51">
        <v>23.6</v>
      </c>
      <c r="AI298" s="51">
        <v>197.7</v>
      </c>
      <c r="AJ298" s="55"/>
      <c r="AK298" s="55"/>
      <c r="AL298" s="51">
        <v>138.9</v>
      </c>
      <c r="AM298" s="51">
        <v>86.8</v>
      </c>
      <c r="AN298" s="51">
        <v>52.1</v>
      </c>
      <c r="AO298" s="51">
        <v>2593.9</v>
      </c>
      <c r="AP298" s="51">
        <v>421.1</v>
      </c>
      <c r="AQ298" s="51">
        <v>198.5</v>
      </c>
      <c r="AR298" s="51">
        <v>44.4</v>
      </c>
      <c r="AS298" s="51">
        <v>104.7</v>
      </c>
      <c r="AT298" s="51">
        <v>70.8</v>
      </c>
      <c r="AU298" s="51">
        <v>69.2</v>
      </c>
      <c r="AV298" s="51">
        <v>41.9</v>
      </c>
      <c r="AW298" s="51">
        <v>8</v>
      </c>
      <c r="AX298" s="51">
        <v>2.2000000000000002</v>
      </c>
      <c r="AY298" s="51" t="s">
        <v>264</v>
      </c>
      <c r="AZ298" s="51" t="s">
        <v>264</v>
      </c>
      <c r="BA298" s="51" t="s">
        <v>264</v>
      </c>
      <c r="BB298" s="51" t="s">
        <v>264</v>
      </c>
      <c r="BC298" s="55"/>
      <c r="BD298" s="53">
        <v>159</v>
      </c>
      <c r="BE298" s="53">
        <v>28.9</v>
      </c>
      <c r="BF298" s="53">
        <v>76.400000000000006</v>
      </c>
      <c r="BG298" s="53">
        <v>8.5</v>
      </c>
      <c r="BH298" s="53">
        <v>314.5</v>
      </c>
      <c r="BI298" s="53">
        <v>121.3</v>
      </c>
      <c r="BJ298" s="53">
        <v>92.1</v>
      </c>
      <c r="BK298" s="53">
        <v>213.39999999999998</v>
      </c>
      <c r="BL298" s="53">
        <v>0</v>
      </c>
      <c r="BM298" s="53">
        <v>527.9</v>
      </c>
      <c r="BN298" s="53">
        <v>229.7</v>
      </c>
      <c r="BO298" s="53">
        <v>55.6</v>
      </c>
      <c r="BP298" s="53">
        <v>27.9</v>
      </c>
      <c r="BQ298" s="53">
        <v>83.5</v>
      </c>
      <c r="BR298" s="53">
        <v>0</v>
      </c>
      <c r="BS298" s="53">
        <v>313.2</v>
      </c>
      <c r="BT298" s="53">
        <v>19</v>
      </c>
      <c r="BU298" s="53">
        <v>14.4</v>
      </c>
      <c r="BV298" s="51" t="s">
        <v>264</v>
      </c>
      <c r="BW298" s="51" t="s">
        <v>264</v>
      </c>
      <c r="BX298" s="51">
        <v>373.4</v>
      </c>
      <c r="BY298" s="51" t="s">
        <v>264</v>
      </c>
      <c r="BZ298" s="51" t="s">
        <v>264</v>
      </c>
      <c r="CA298" s="51">
        <v>42.7</v>
      </c>
      <c r="CB298" s="53">
        <v>86</v>
      </c>
      <c r="CC298" s="53" t="s">
        <v>264</v>
      </c>
      <c r="CD298" s="53">
        <v>99.8</v>
      </c>
      <c r="CE298" s="53">
        <v>12.3</v>
      </c>
      <c r="CF298" s="53">
        <v>111.3</v>
      </c>
      <c r="CG298" s="53">
        <v>194</v>
      </c>
      <c r="CH298" s="53">
        <v>16.309999999999999</v>
      </c>
      <c r="CI298" s="55"/>
      <c r="CJ298" s="55"/>
      <c r="CK298" s="12">
        <v>195.6</v>
      </c>
      <c r="CL298" s="12">
        <v>29.7</v>
      </c>
      <c r="CM298" s="12"/>
      <c r="CN298" s="53">
        <v>55.7</v>
      </c>
      <c r="CO298" s="53">
        <v>108.7</v>
      </c>
      <c r="CP298" s="53">
        <v>68.400000000000006</v>
      </c>
      <c r="CQ298" s="53">
        <v>40.299999999999997</v>
      </c>
      <c r="CR298" s="52" t="s">
        <v>264</v>
      </c>
      <c r="CS298" s="53">
        <v>19.899999999999999</v>
      </c>
      <c r="CT298" s="53">
        <v>7.7</v>
      </c>
      <c r="CU298" s="53">
        <v>12.2</v>
      </c>
      <c r="CV298" s="53">
        <v>92.2</v>
      </c>
      <c r="CW298" s="52" t="s">
        <v>264</v>
      </c>
      <c r="CX298" s="52" t="s">
        <v>264</v>
      </c>
      <c r="CY298" s="53" t="s">
        <v>264</v>
      </c>
      <c r="CZ298" s="53">
        <v>41.8</v>
      </c>
      <c r="DA298" s="12">
        <v>20.399999999999999</v>
      </c>
      <c r="DB298" s="53" t="s">
        <v>264</v>
      </c>
      <c r="DC298" s="53" t="s">
        <v>264</v>
      </c>
      <c r="DD298" s="55"/>
      <c r="DE298" s="55"/>
      <c r="DF298" s="55"/>
      <c r="DG298" s="55"/>
      <c r="DH298" s="55"/>
      <c r="DI298" s="53">
        <v>482</v>
      </c>
      <c r="DJ298" s="53">
        <v>315.7</v>
      </c>
      <c r="DK298" s="55"/>
      <c r="DL298" s="55"/>
      <c r="DM298" s="53">
        <v>232.8</v>
      </c>
      <c r="DN298" s="55"/>
      <c r="DO298" s="53">
        <v>156.30000000000001</v>
      </c>
      <c r="DP298" s="53">
        <v>231.3</v>
      </c>
      <c r="DQ298" s="55"/>
      <c r="DR298" s="55"/>
      <c r="DS298" s="53">
        <v>1960.472</v>
      </c>
      <c r="DT298" s="53">
        <v>3524</v>
      </c>
      <c r="DU298" s="53">
        <v>-145.42799999999988</v>
      </c>
      <c r="DV298" s="53">
        <v>0</v>
      </c>
      <c r="DW298" s="55"/>
      <c r="DX298" s="55"/>
      <c r="DY298" s="55"/>
      <c r="DZ298" s="55"/>
      <c r="EA298" s="53">
        <v>541.6</v>
      </c>
      <c r="EB298" s="53">
        <v>232.8</v>
      </c>
      <c r="EC298" s="55"/>
      <c r="ED298" s="55"/>
      <c r="EE298" s="53">
        <v>115.2</v>
      </c>
      <c r="EF298" s="55"/>
      <c r="EG298" s="53">
        <v>174.9</v>
      </c>
      <c r="EH298" s="53" t="e">
        <v>#VALUE!</v>
      </c>
      <c r="EI298" s="55"/>
      <c r="EJ298" s="55"/>
      <c r="EK298" s="55"/>
      <c r="EL298" s="53">
        <v>2737.1</v>
      </c>
      <c r="EM298" s="55"/>
      <c r="EN298" s="55"/>
      <c r="EO298" s="55"/>
      <c r="EP298" s="55"/>
      <c r="EQ298" s="53">
        <v>184</v>
      </c>
      <c r="ER298" s="53">
        <v>112</v>
      </c>
      <c r="ES298" s="55"/>
      <c r="ET298" s="55"/>
      <c r="EU298" s="53">
        <v>90.6</v>
      </c>
      <c r="EV298" s="55"/>
      <c r="EW298" s="53">
        <v>58.3</v>
      </c>
      <c r="EX298" s="53">
        <v>82.4</v>
      </c>
      <c r="EY298" s="55"/>
      <c r="EZ298" s="55"/>
      <c r="FA298" s="55"/>
      <c r="FB298" s="53">
        <v>1314.6</v>
      </c>
      <c r="FC298" s="55"/>
      <c r="FD298" s="55"/>
      <c r="FE298" s="55"/>
      <c r="FF298" s="55"/>
      <c r="FG298" s="53">
        <v>383.1</v>
      </c>
      <c r="FH298" s="53">
        <v>251.2</v>
      </c>
      <c r="FI298" s="55"/>
      <c r="FJ298" s="55"/>
      <c r="FK298" s="53">
        <v>186.3</v>
      </c>
      <c r="FL298" s="55"/>
      <c r="FM298" s="53">
        <v>125.4</v>
      </c>
      <c r="FN298" s="53">
        <v>186.4</v>
      </c>
      <c r="FO298" s="55"/>
      <c r="FP298" s="55"/>
      <c r="FQ298" s="55"/>
      <c r="FR298" s="53">
        <v>2801.3</v>
      </c>
      <c r="FS298" s="55"/>
      <c r="FT298" s="55"/>
      <c r="FU298" s="55"/>
      <c r="FV298" s="55"/>
      <c r="FW298" s="53">
        <v>213.2</v>
      </c>
      <c r="FX298" s="53">
        <v>92.3</v>
      </c>
      <c r="FY298" s="55"/>
      <c r="FZ298" s="55"/>
      <c r="GA298" s="53">
        <v>58.3</v>
      </c>
      <c r="GB298" s="55"/>
      <c r="GC298" s="53">
        <v>51.1</v>
      </c>
      <c r="GD298" s="53" t="e">
        <v>#VALUE!</v>
      </c>
      <c r="GE298" s="55"/>
      <c r="GF298" s="55"/>
      <c r="GG298" s="55"/>
      <c r="GH298" s="53">
        <v>792.5</v>
      </c>
      <c r="GI298" s="55"/>
      <c r="GJ298" s="55"/>
      <c r="GK298" s="55"/>
      <c r="GL298" s="55"/>
      <c r="GM298" s="53">
        <v>77.7</v>
      </c>
      <c r="GN298" s="53">
        <v>85.5</v>
      </c>
      <c r="GO298" s="55"/>
      <c r="GP298" s="55"/>
      <c r="GQ298" s="53">
        <v>32.6</v>
      </c>
      <c r="GR298" s="55"/>
      <c r="GS298" s="53" t="e">
        <v>#VALUE!</v>
      </c>
      <c r="GT298" s="53" t="e">
        <v>#VALUE!</v>
      </c>
      <c r="GU298" s="55"/>
      <c r="GV298" s="55"/>
      <c r="GW298" s="55"/>
      <c r="GX298" s="53">
        <v>465.5</v>
      </c>
      <c r="GY298" s="19">
        <v>0.96870217324762786</v>
      </c>
      <c r="GZ298" s="53">
        <v>1265.9000000000001</v>
      </c>
      <c r="HA298" s="53">
        <v>1306.8</v>
      </c>
      <c r="HB298" s="18">
        <v>-244.9463055130002</v>
      </c>
      <c r="HC298" s="18">
        <v>-176.42903016500009</v>
      </c>
      <c r="HD298" s="18">
        <v>1269.4536944869999</v>
      </c>
      <c r="HE298" s="18">
        <v>-37.699999999999818</v>
      </c>
      <c r="HF298" s="53">
        <v>1514.4</v>
      </c>
      <c r="HG298" s="53">
        <v>1465.2</v>
      </c>
      <c r="HH298" s="53">
        <v>717.1</v>
      </c>
      <c r="HI298" s="53">
        <v>84.4</v>
      </c>
      <c r="HJ298" s="53">
        <v>649.9</v>
      </c>
      <c r="HK298" s="53">
        <v>13.9</v>
      </c>
      <c r="HL298" s="53">
        <v>49.1</v>
      </c>
      <c r="HM298" s="55"/>
      <c r="HN298" s="55"/>
      <c r="HO298" s="55"/>
      <c r="HP298" s="53" t="e">
        <v>#VALUE!</v>
      </c>
      <c r="HQ298" s="53">
        <v>3.5</v>
      </c>
      <c r="HR298" s="53">
        <v>10.4</v>
      </c>
      <c r="HS298" s="53" t="e">
        <v>#VALUE!</v>
      </c>
      <c r="HT298" s="53">
        <v>29.4</v>
      </c>
      <c r="HU298" s="55"/>
      <c r="HV298" s="55"/>
      <c r="HW298" s="53">
        <v>284.5</v>
      </c>
      <c r="HX298" s="53" t="e">
        <v>#VALUE!</v>
      </c>
      <c r="HY298" s="53">
        <v>284.5</v>
      </c>
      <c r="HZ298" s="53">
        <v>61.3</v>
      </c>
      <c r="IA298" s="53">
        <v>202</v>
      </c>
      <c r="IB298" s="53">
        <v>75.900000000000006</v>
      </c>
      <c r="IC298" s="53">
        <v>126.1</v>
      </c>
      <c r="ID298" s="53">
        <v>72.400000000000006</v>
      </c>
      <c r="IE298" s="53">
        <v>53.7</v>
      </c>
      <c r="IF298" s="53" t="e">
        <v>#VALUE!</v>
      </c>
      <c r="IG298" s="53" t="e">
        <v>#VALUE!</v>
      </c>
      <c r="IH298" s="55"/>
      <c r="II298" s="55"/>
      <c r="IJ298" s="55"/>
      <c r="IK298" s="55"/>
      <c r="IL298" s="12">
        <v>21.199999999999989</v>
      </c>
      <c r="IM298" s="55"/>
      <c r="IN298" s="53">
        <v>55.1</v>
      </c>
      <c r="IO298" s="53">
        <v>55.2</v>
      </c>
      <c r="IP298" s="53" t="e">
        <v>#VALUE!</v>
      </c>
      <c r="IQ298" s="53">
        <v>41.9</v>
      </c>
      <c r="IR298" s="53">
        <v>18.8</v>
      </c>
      <c r="IS298" s="53">
        <v>0.7</v>
      </c>
      <c r="IT298" s="53" t="e">
        <v>#VALUE!</v>
      </c>
      <c r="IU298" s="53" t="e">
        <v>#VALUE!</v>
      </c>
      <c r="IV298" s="53" t="e">
        <v>#VALUE!</v>
      </c>
      <c r="IY298" s="48">
        <f t="shared" si="14"/>
        <v>47.543700340522136</v>
      </c>
      <c r="IZ298" s="48">
        <f>IY298-'NOPA Crush'!J298</f>
        <v>5.3700340522134127E-2</v>
      </c>
      <c r="JB298" s="63">
        <f t="shared" si="12"/>
        <v>11.191259931895573</v>
      </c>
      <c r="JC298" s="64">
        <f>JB298-'NOPA Crush'!O298</f>
        <v>-0.12874006810442751</v>
      </c>
      <c r="JD298" s="65"/>
      <c r="JE298" s="67">
        <f t="shared" si="13"/>
        <v>1648.3999999999999</v>
      </c>
      <c r="JF298" s="68">
        <f>'NOPA Crush'!Q298/'Census Crush'!JE298</f>
        <v>0.72413552535792292</v>
      </c>
    </row>
    <row r="299" spans="1:266">
      <c r="A299" s="39">
        <v>38139</v>
      </c>
      <c r="B299" s="51">
        <v>3280.8</v>
      </c>
      <c r="C299" s="51">
        <v>2279.8000000000002</v>
      </c>
      <c r="D299" s="51">
        <v>217.7</v>
      </c>
      <c r="E299" s="51">
        <v>563.1</v>
      </c>
      <c r="F299" s="51">
        <v>16.8</v>
      </c>
      <c r="G299" s="51" t="s">
        <v>264</v>
      </c>
      <c r="H299" s="51" t="s">
        <v>264</v>
      </c>
      <c r="I299" s="51" t="s">
        <v>264</v>
      </c>
      <c r="J299" s="51" t="s">
        <v>264</v>
      </c>
      <c r="K299" s="51">
        <v>1236</v>
      </c>
      <c r="L299" s="49">
        <v>1513.7</v>
      </c>
      <c r="M299" s="51">
        <v>1296.2</v>
      </c>
      <c r="N299" s="51">
        <v>217.5</v>
      </c>
      <c r="O299" s="53">
        <v>66.7</v>
      </c>
      <c r="P299" s="51">
        <v>121</v>
      </c>
      <c r="Q299" s="51">
        <v>5.5</v>
      </c>
      <c r="R299" s="51">
        <v>115.5</v>
      </c>
      <c r="S299" s="51"/>
      <c r="T299" s="51">
        <v>13.7</v>
      </c>
      <c r="U299" s="51">
        <v>79.8</v>
      </c>
      <c r="V299" s="51">
        <v>73.2</v>
      </c>
      <c r="W299" s="51">
        <v>6.6</v>
      </c>
      <c r="X299" s="51" t="s">
        <v>264</v>
      </c>
      <c r="Y299" s="51" t="s">
        <v>264</v>
      </c>
      <c r="Z299" s="49">
        <v>84.899999999999991</v>
      </c>
      <c r="AA299" s="51">
        <v>71.8</v>
      </c>
      <c r="AB299" s="51">
        <v>13.1</v>
      </c>
      <c r="AC299" s="51" t="s">
        <v>264</v>
      </c>
      <c r="AD299" s="51" t="s">
        <v>264</v>
      </c>
      <c r="AE299" s="51"/>
      <c r="AF299" s="51">
        <v>129.4</v>
      </c>
      <c r="AG299" s="51">
        <v>104.4</v>
      </c>
      <c r="AH299" s="51">
        <v>25</v>
      </c>
      <c r="AI299" s="51">
        <v>210.7</v>
      </c>
      <c r="AJ299" s="55"/>
      <c r="AK299" s="55"/>
      <c r="AL299" s="51">
        <v>161.19999999999999</v>
      </c>
      <c r="AM299" s="51">
        <v>113.1</v>
      </c>
      <c r="AN299" s="51">
        <v>48.1</v>
      </c>
      <c r="AO299" s="51">
        <v>2427.6</v>
      </c>
      <c r="AP299" s="51">
        <v>282.89999999999998</v>
      </c>
      <c r="AQ299" s="51">
        <v>188.6</v>
      </c>
      <c r="AR299" s="51">
        <v>32.1</v>
      </c>
      <c r="AS299" s="51">
        <v>97.7</v>
      </c>
      <c r="AT299" s="51">
        <v>84.7</v>
      </c>
      <c r="AU299" s="51">
        <v>60.3</v>
      </c>
      <c r="AV299" s="51">
        <v>36.299999999999997</v>
      </c>
      <c r="AW299" s="51">
        <v>9.5</v>
      </c>
      <c r="AX299" s="51">
        <v>2.2999999999999998</v>
      </c>
      <c r="AY299" s="51" t="s">
        <v>264</v>
      </c>
      <c r="AZ299" s="51" t="s">
        <v>264</v>
      </c>
      <c r="BA299" s="51" t="s">
        <v>264</v>
      </c>
      <c r="BB299" s="51" t="s">
        <v>264</v>
      </c>
      <c r="BC299" s="55"/>
      <c r="BD299" s="53">
        <v>155.30000000000001</v>
      </c>
      <c r="BE299" s="53">
        <v>25.3</v>
      </c>
      <c r="BF299" s="53">
        <v>79.2</v>
      </c>
      <c r="BG299" s="53">
        <v>9.6</v>
      </c>
      <c r="BH299" s="53">
        <v>311.39999999999998</v>
      </c>
      <c r="BI299" s="53">
        <v>121.3</v>
      </c>
      <c r="BJ299" s="53">
        <v>97.7</v>
      </c>
      <c r="BK299" s="53">
        <v>219</v>
      </c>
      <c r="BL299" s="53">
        <v>0</v>
      </c>
      <c r="BM299" s="53">
        <v>530.4</v>
      </c>
      <c r="BN299" s="53">
        <v>216.9</v>
      </c>
      <c r="BO299" s="53">
        <v>61.8</v>
      </c>
      <c r="BP299" s="53">
        <v>36.1</v>
      </c>
      <c r="BQ299" s="53">
        <v>97.9</v>
      </c>
      <c r="BR299" s="53">
        <v>0</v>
      </c>
      <c r="BS299" s="53">
        <v>314.8</v>
      </c>
      <c r="BT299" s="53">
        <v>20</v>
      </c>
      <c r="BU299" s="53">
        <v>12.6</v>
      </c>
      <c r="BV299" s="51" t="s">
        <v>264</v>
      </c>
      <c r="BW299" s="51" t="s">
        <v>264</v>
      </c>
      <c r="BX299" s="51">
        <v>370</v>
      </c>
      <c r="BY299" s="51" t="s">
        <v>264</v>
      </c>
      <c r="BZ299" s="51" t="s">
        <v>264</v>
      </c>
      <c r="CA299" s="51">
        <v>42.9</v>
      </c>
      <c r="CB299" s="53">
        <v>93</v>
      </c>
      <c r="CC299" s="53" t="s">
        <v>264</v>
      </c>
      <c r="CD299" s="53">
        <v>101.5</v>
      </c>
      <c r="CE299" s="53">
        <v>11.4</v>
      </c>
      <c r="CF299" s="53">
        <v>103.6</v>
      </c>
      <c r="CG299" s="53">
        <v>190.4</v>
      </c>
      <c r="CH299" s="53">
        <v>14.212</v>
      </c>
      <c r="CI299" s="55"/>
      <c r="CJ299" s="55"/>
      <c r="CK299" s="12">
        <v>215.1</v>
      </c>
      <c r="CL299" s="12">
        <v>28</v>
      </c>
      <c r="CM299" s="12"/>
      <c r="CN299" s="53">
        <v>53.8</v>
      </c>
      <c r="CO299" s="53">
        <v>89.9</v>
      </c>
      <c r="CP299" s="53">
        <v>59.6</v>
      </c>
      <c r="CQ299" s="53">
        <v>30.3</v>
      </c>
      <c r="CR299" s="52" t="s">
        <v>264</v>
      </c>
      <c r="CS299" s="53">
        <v>15.100000000000001</v>
      </c>
      <c r="CT299" s="53">
        <v>5.2</v>
      </c>
      <c r="CU299" s="53">
        <v>9.9</v>
      </c>
      <c r="CV299" s="53">
        <v>129.30000000000001</v>
      </c>
      <c r="CW299" s="52" t="s">
        <v>264</v>
      </c>
      <c r="CX299" s="52" t="s">
        <v>264</v>
      </c>
      <c r="CY299" s="53" t="s">
        <v>264</v>
      </c>
      <c r="CZ299" s="53">
        <v>32.5</v>
      </c>
      <c r="DA299" s="12">
        <v>15.8</v>
      </c>
      <c r="DB299" s="53" t="s">
        <v>264</v>
      </c>
      <c r="DC299" s="53" t="s">
        <v>264</v>
      </c>
      <c r="DD299" s="55"/>
      <c r="DE299" s="55"/>
      <c r="DF299" s="55"/>
      <c r="DG299" s="55"/>
      <c r="DH299" s="55"/>
      <c r="DI299" s="53">
        <v>499.4</v>
      </c>
      <c r="DJ299" s="53">
        <v>288.5</v>
      </c>
      <c r="DK299" s="55"/>
      <c r="DL299" s="55"/>
      <c r="DM299" s="53">
        <v>237.7</v>
      </c>
      <c r="DN299" s="55"/>
      <c r="DO299" s="53">
        <v>127.3</v>
      </c>
      <c r="DP299" s="53">
        <v>195.9</v>
      </c>
      <c r="DQ299" s="55"/>
      <c r="DR299" s="55"/>
      <c r="DS299" s="53">
        <v>1808.806</v>
      </c>
      <c r="DT299" s="53">
        <v>3280.8</v>
      </c>
      <c r="DU299" s="53">
        <v>-123.19400000000041</v>
      </c>
      <c r="DV299" s="53">
        <v>0</v>
      </c>
      <c r="DW299" s="55"/>
      <c r="DX299" s="55"/>
      <c r="DY299" s="55"/>
      <c r="DZ299" s="55"/>
      <c r="EA299" s="53">
        <v>474.4</v>
      </c>
      <c r="EB299" s="53">
        <v>138.19999999999999</v>
      </c>
      <c r="EC299" s="55"/>
      <c r="ED299" s="55"/>
      <c r="EE299" s="53">
        <v>115.8</v>
      </c>
      <c r="EF299" s="55"/>
      <c r="EG299" s="53">
        <v>168.2</v>
      </c>
      <c r="EH299" s="53">
        <v>101.4</v>
      </c>
      <c r="EI299" s="55"/>
      <c r="EJ299" s="55"/>
      <c r="EK299" s="55"/>
      <c r="EL299" s="53">
        <v>2279.8000000000002</v>
      </c>
      <c r="EM299" s="55"/>
      <c r="EN299" s="55"/>
      <c r="EO299" s="55"/>
      <c r="EP299" s="55"/>
      <c r="EQ299" s="53">
        <v>188.8</v>
      </c>
      <c r="ER299" s="53">
        <v>107.9</v>
      </c>
      <c r="ES299" s="55"/>
      <c r="ET299" s="55"/>
      <c r="EU299" s="53">
        <v>92.8</v>
      </c>
      <c r="EV299" s="55"/>
      <c r="EW299" s="53">
        <v>48.3</v>
      </c>
      <c r="EX299" s="53">
        <v>69.900000000000006</v>
      </c>
      <c r="EY299" s="55"/>
      <c r="EZ299" s="55"/>
      <c r="FA299" s="55"/>
      <c r="FB299" s="53">
        <v>1236</v>
      </c>
      <c r="FC299" s="55"/>
      <c r="FD299" s="55"/>
      <c r="FE299" s="55"/>
      <c r="FF299" s="55"/>
      <c r="FG299" s="53">
        <v>396.4</v>
      </c>
      <c r="FH299" s="53">
        <v>228.7</v>
      </c>
      <c r="FI299" s="55"/>
      <c r="FJ299" s="55"/>
      <c r="FK299" s="53">
        <v>191.6</v>
      </c>
      <c r="FL299" s="55"/>
      <c r="FM299" s="53">
        <v>102.5</v>
      </c>
      <c r="FN299" s="53">
        <v>161.19999999999999</v>
      </c>
      <c r="FO299" s="55"/>
      <c r="FP299" s="55"/>
      <c r="FQ299" s="55"/>
      <c r="FR299" s="53">
        <v>2623.9</v>
      </c>
      <c r="FS299" s="55"/>
      <c r="FT299" s="55"/>
      <c r="FU299" s="55"/>
      <c r="FV299" s="55"/>
      <c r="FW299" s="53">
        <v>192.1</v>
      </c>
      <c r="FX299" s="53">
        <v>67.3</v>
      </c>
      <c r="FY299" s="55"/>
      <c r="FZ299" s="55"/>
      <c r="GA299" s="53">
        <v>49.4</v>
      </c>
      <c r="GB299" s="55"/>
      <c r="GC299" s="53">
        <v>56.7</v>
      </c>
      <c r="GD299" s="53" t="e">
        <v>#VALUE!</v>
      </c>
      <c r="GE299" s="55"/>
      <c r="GF299" s="55"/>
      <c r="GG299" s="55"/>
      <c r="GH299" s="53">
        <v>691</v>
      </c>
      <c r="GI299" s="55"/>
      <c r="GJ299" s="55"/>
      <c r="GK299" s="55"/>
      <c r="GL299" s="55"/>
      <c r="GM299" s="53">
        <v>80.8</v>
      </c>
      <c r="GN299" s="53">
        <v>62.4</v>
      </c>
      <c r="GO299" s="55"/>
      <c r="GP299" s="55"/>
      <c r="GQ299" s="53">
        <v>23.1</v>
      </c>
      <c r="GR299" s="55"/>
      <c r="GS299" s="53" t="e">
        <v>#VALUE!</v>
      </c>
      <c r="GT299" s="53" t="e">
        <v>#VALUE!</v>
      </c>
      <c r="GU299" s="55"/>
      <c r="GV299" s="55"/>
      <c r="GW299" s="55"/>
      <c r="GX299" s="53">
        <v>314.89999999999998</v>
      </c>
      <c r="GY299" s="19">
        <v>0.97222222222222221</v>
      </c>
      <c r="GZ299" s="53">
        <v>1197</v>
      </c>
      <c r="HA299" s="53">
        <v>1231.2</v>
      </c>
      <c r="HB299" s="18">
        <v>-98.676344005800502</v>
      </c>
      <c r="HC299" s="18">
        <v>-85.829807326000491</v>
      </c>
      <c r="HD299" s="18">
        <v>1337.4236559941994</v>
      </c>
      <c r="HE299" s="18">
        <v>-55.200000000000045</v>
      </c>
      <c r="HF299" s="53">
        <v>1436.1</v>
      </c>
      <c r="HG299" s="53">
        <v>1380.7</v>
      </c>
      <c r="HH299" s="53">
        <v>612.20000000000005</v>
      </c>
      <c r="HI299" s="53">
        <v>104.2</v>
      </c>
      <c r="HJ299" s="53">
        <v>650.9</v>
      </c>
      <c r="HK299" s="53">
        <v>13.3</v>
      </c>
      <c r="HL299" s="53">
        <v>55.4</v>
      </c>
      <c r="HM299" s="55"/>
      <c r="HN299" s="55"/>
      <c r="HO299" s="55"/>
      <c r="HP299" s="53" t="e">
        <v>#VALUE!</v>
      </c>
      <c r="HQ299" s="53">
        <v>6.9</v>
      </c>
      <c r="HR299" s="53">
        <v>9.6999999999999993</v>
      </c>
      <c r="HS299" s="53" t="e">
        <v>#VALUE!</v>
      </c>
      <c r="HT299" s="53">
        <v>30.7</v>
      </c>
      <c r="HU299" s="55"/>
      <c r="HV299" s="55"/>
      <c r="HW299" s="53">
        <v>306.89999999999998</v>
      </c>
      <c r="HX299" s="53" t="e">
        <v>#VALUE!</v>
      </c>
      <c r="HY299" s="53">
        <v>306.89999999999998</v>
      </c>
      <c r="HZ299" s="53">
        <v>51.8</v>
      </c>
      <c r="IA299" s="53">
        <v>235.3</v>
      </c>
      <c r="IB299" s="53">
        <v>82.3</v>
      </c>
      <c r="IC299" s="53">
        <v>153</v>
      </c>
      <c r="ID299" s="53">
        <v>90.6</v>
      </c>
      <c r="IE299" s="53">
        <v>62.4</v>
      </c>
      <c r="IF299" s="53" t="e">
        <v>#VALUE!</v>
      </c>
      <c r="IG299" s="53" t="e">
        <v>#VALUE!</v>
      </c>
      <c r="IH299" s="55"/>
      <c r="II299" s="55"/>
      <c r="IJ299" s="55"/>
      <c r="IK299" s="55"/>
      <c r="IL299" s="12">
        <v>19.799999999999955</v>
      </c>
      <c r="IM299" s="55"/>
      <c r="IN299" s="53">
        <v>52.4</v>
      </c>
      <c r="IO299" s="53">
        <v>52.5</v>
      </c>
      <c r="IP299" s="53" t="e">
        <v>#VALUE!</v>
      </c>
      <c r="IQ299" s="53">
        <v>40.299999999999997</v>
      </c>
      <c r="IR299" s="53">
        <v>12.1</v>
      </c>
      <c r="IS299" s="53" t="e">
        <v>#VALUE!</v>
      </c>
      <c r="IT299" s="53">
        <v>26.1</v>
      </c>
      <c r="IU299" s="53" t="e">
        <v>#VALUE!</v>
      </c>
      <c r="IV299" s="53" t="e">
        <v>#VALUE!</v>
      </c>
      <c r="IY299" s="48">
        <f t="shared" si="14"/>
        <v>47.845647403072419</v>
      </c>
      <c r="IZ299" s="48">
        <f>IY299-'NOPA Crush'!J299</f>
        <v>0.14564740307241664</v>
      </c>
      <c r="JB299" s="63">
        <f t="shared" si="12"/>
        <v>11.302121433796636</v>
      </c>
      <c r="JC299" s="64">
        <f>JB299-'NOPA Crush'!O299</f>
        <v>-7.7878566203365196E-2</v>
      </c>
      <c r="JD299" s="65"/>
      <c r="JE299" s="67">
        <f t="shared" si="13"/>
        <v>1513.7</v>
      </c>
      <c r="JF299" s="68">
        <f>'NOPA Crush'!Q299/'Census Crush'!JE299</f>
        <v>0.75651582215762692</v>
      </c>
    </row>
    <row r="300" spans="1:266">
      <c r="A300" s="39">
        <v>38169</v>
      </c>
      <c r="B300" s="51">
        <v>3458.2</v>
      </c>
      <c r="C300" s="51">
        <v>1841.9</v>
      </c>
      <c r="D300" s="51">
        <v>182.4</v>
      </c>
      <c r="E300" s="51">
        <v>420.8</v>
      </c>
      <c r="F300" s="51">
        <v>13.2</v>
      </c>
      <c r="G300" s="51" t="s">
        <v>264</v>
      </c>
      <c r="H300" s="51" t="s">
        <v>264</v>
      </c>
      <c r="I300" s="51" t="s">
        <v>264</v>
      </c>
      <c r="J300" s="51" t="s">
        <v>264</v>
      </c>
      <c r="K300" s="51">
        <v>1304</v>
      </c>
      <c r="L300" s="49">
        <v>1411.6000000000001</v>
      </c>
      <c r="M300" s="51">
        <v>1197.9000000000001</v>
      </c>
      <c r="N300" s="51">
        <v>213.7</v>
      </c>
      <c r="O300" s="53">
        <v>59.7</v>
      </c>
      <c r="P300" s="51">
        <v>56.300000000000004</v>
      </c>
      <c r="Q300" s="51">
        <v>11.1</v>
      </c>
      <c r="R300" s="51">
        <v>45.2</v>
      </c>
      <c r="S300" s="51"/>
      <c r="T300" s="51">
        <v>10.7</v>
      </c>
      <c r="U300" s="9">
        <v>99.1</v>
      </c>
      <c r="V300" s="51" t="s">
        <v>264</v>
      </c>
      <c r="W300" s="51" t="s">
        <v>264</v>
      </c>
      <c r="X300" s="51" t="s">
        <v>264</v>
      </c>
      <c r="Y300" s="51" t="s">
        <v>264</v>
      </c>
      <c r="Z300" s="49">
        <v>82.800000000000011</v>
      </c>
      <c r="AA300" s="51">
        <v>71.400000000000006</v>
      </c>
      <c r="AB300" s="51">
        <v>11.4</v>
      </c>
      <c r="AC300" s="51" t="s">
        <v>264</v>
      </c>
      <c r="AD300" s="51" t="s">
        <v>264</v>
      </c>
      <c r="AE300" s="51"/>
      <c r="AF300" s="9">
        <v>204.7</v>
      </c>
      <c r="AG300" s="51" t="s">
        <v>264</v>
      </c>
      <c r="AH300" s="72">
        <v>24.9</v>
      </c>
      <c r="AI300" s="51">
        <v>204.3</v>
      </c>
      <c r="AJ300" s="55"/>
      <c r="AK300" s="55"/>
      <c r="AL300" s="51">
        <v>144.5</v>
      </c>
      <c r="AM300" s="51">
        <v>100.8</v>
      </c>
      <c r="AN300" s="51">
        <v>43.7</v>
      </c>
      <c r="AO300" s="51">
        <v>2551.9</v>
      </c>
      <c r="AP300" s="51">
        <v>305.39999999999998</v>
      </c>
      <c r="AQ300" s="51">
        <v>200.4</v>
      </c>
      <c r="AR300" s="51">
        <v>39.200000000000003</v>
      </c>
      <c r="AS300" s="51">
        <v>91</v>
      </c>
      <c r="AT300" s="51">
        <v>89</v>
      </c>
      <c r="AU300" s="51">
        <v>57.9</v>
      </c>
      <c r="AV300" s="51">
        <v>35.799999999999997</v>
      </c>
      <c r="AW300" s="51">
        <v>7.3</v>
      </c>
      <c r="AX300" s="51">
        <v>2</v>
      </c>
      <c r="AY300" s="51" t="s">
        <v>264</v>
      </c>
      <c r="AZ300" s="51" t="s">
        <v>264</v>
      </c>
      <c r="BA300" s="51" t="s">
        <v>264</v>
      </c>
      <c r="BB300" s="51" t="s">
        <v>264</v>
      </c>
      <c r="BC300" s="55"/>
      <c r="BD300" s="53">
        <v>164.9</v>
      </c>
      <c r="BE300" s="53">
        <v>26.1</v>
      </c>
      <c r="BF300" s="53">
        <v>77.2</v>
      </c>
      <c r="BG300" s="53">
        <v>9.1999999999999993</v>
      </c>
      <c r="BH300" s="53">
        <v>296.39999999999998</v>
      </c>
      <c r="BI300" s="53">
        <v>126.1</v>
      </c>
      <c r="BJ300" s="53">
        <v>97.9</v>
      </c>
      <c r="BK300" s="53">
        <v>224</v>
      </c>
      <c r="BL300" s="53">
        <v>0</v>
      </c>
      <c r="BM300" s="53">
        <v>520.4</v>
      </c>
      <c r="BN300" s="53">
        <v>254.1</v>
      </c>
      <c r="BO300" s="53">
        <v>60.9</v>
      </c>
      <c r="BP300" s="53">
        <v>33.299999999999997</v>
      </c>
      <c r="BQ300" s="53">
        <v>94.199999999999989</v>
      </c>
      <c r="BR300" s="53">
        <v>0</v>
      </c>
      <c r="BS300" s="53">
        <v>348.29999999999995</v>
      </c>
      <c r="BT300" s="53">
        <v>18.899999999999999</v>
      </c>
      <c r="BU300" s="53">
        <v>10.4</v>
      </c>
      <c r="BV300" s="51" t="s">
        <v>264</v>
      </c>
      <c r="BW300" s="51" t="s">
        <v>264</v>
      </c>
      <c r="BX300" s="51">
        <v>348.9</v>
      </c>
      <c r="BY300" s="51" t="s">
        <v>264</v>
      </c>
      <c r="BZ300" s="51" t="s">
        <v>264</v>
      </c>
      <c r="CA300" s="51">
        <v>38.6</v>
      </c>
      <c r="CB300" s="53">
        <v>88.6</v>
      </c>
      <c r="CC300" s="53" t="s">
        <v>264</v>
      </c>
      <c r="CD300" s="53">
        <v>101.7</v>
      </c>
      <c r="CE300" s="53">
        <v>13</v>
      </c>
      <c r="CF300" s="53">
        <v>98.9</v>
      </c>
      <c r="CG300" s="53">
        <v>196</v>
      </c>
      <c r="CH300" s="53">
        <v>16.559999999999999</v>
      </c>
      <c r="CI300" s="55"/>
      <c r="CJ300" s="55"/>
      <c r="CK300" s="12">
        <v>188.8</v>
      </c>
      <c r="CL300" s="12">
        <v>25.8</v>
      </c>
      <c r="CM300" s="12"/>
      <c r="CN300" s="53">
        <v>46.2</v>
      </c>
      <c r="CO300" s="53">
        <v>133.5</v>
      </c>
      <c r="CP300" s="53">
        <v>98.3</v>
      </c>
      <c r="CQ300" s="53">
        <v>35.200000000000003</v>
      </c>
      <c r="CR300" s="52" t="s">
        <v>264</v>
      </c>
      <c r="CS300" s="53">
        <v>15.799999999999999</v>
      </c>
      <c r="CT300" s="53">
        <v>5.0999999999999996</v>
      </c>
      <c r="CU300" s="53">
        <v>10.7</v>
      </c>
      <c r="CV300" s="53">
        <v>133.19999999999999</v>
      </c>
      <c r="CW300" s="52" t="s">
        <v>264</v>
      </c>
      <c r="CX300" s="52" t="s">
        <v>264</v>
      </c>
      <c r="CY300" s="53" t="s">
        <v>264</v>
      </c>
      <c r="CZ300" s="53">
        <v>60.6</v>
      </c>
      <c r="DA300" s="12">
        <v>25.3</v>
      </c>
      <c r="DB300" s="53" t="s">
        <v>264</v>
      </c>
      <c r="DC300" s="53" t="s">
        <v>264</v>
      </c>
      <c r="DD300" s="55"/>
      <c r="DE300" s="55"/>
      <c r="DF300" s="55"/>
      <c r="DG300" s="55"/>
      <c r="DH300" s="55"/>
      <c r="DI300" s="53">
        <v>575</v>
      </c>
      <c r="DJ300" s="53">
        <v>220.2</v>
      </c>
      <c r="DK300" s="55"/>
      <c r="DL300" s="55"/>
      <c r="DM300" s="53">
        <v>227.5</v>
      </c>
      <c r="DN300" s="55"/>
      <c r="DO300" s="53">
        <v>165.5</v>
      </c>
      <c r="DP300" s="53">
        <v>189.4</v>
      </c>
      <c r="DQ300" s="55"/>
      <c r="DR300" s="55"/>
      <c r="DS300" s="53">
        <v>1921.7380000000001</v>
      </c>
      <c r="DT300" s="53">
        <v>3458.2</v>
      </c>
      <c r="DU300" s="53">
        <v>-158.86199999999963</v>
      </c>
      <c r="DV300" s="53">
        <v>0</v>
      </c>
      <c r="DW300" s="55"/>
      <c r="DX300" s="55"/>
      <c r="DY300" s="55"/>
      <c r="DZ300" s="55"/>
      <c r="EA300" s="53">
        <v>355.1</v>
      </c>
      <c r="EB300" s="53">
        <v>154.80000000000001</v>
      </c>
      <c r="EC300" s="55"/>
      <c r="ED300" s="55"/>
      <c r="EE300" s="53">
        <v>106</v>
      </c>
      <c r="EF300" s="55"/>
      <c r="EG300" s="53">
        <v>139.1</v>
      </c>
      <c r="EH300" s="53">
        <v>82.1</v>
      </c>
      <c r="EI300" s="55"/>
      <c r="EJ300" s="55"/>
      <c r="EK300" s="55"/>
      <c r="EL300" s="53">
        <v>1841.9</v>
      </c>
      <c r="EM300" s="55"/>
      <c r="EN300" s="55"/>
      <c r="EO300" s="55"/>
      <c r="EP300" s="55"/>
      <c r="EQ300" s="53">
        <v>220.6</v>
      </c>
      <c r="ER300" s="53">
        <v>83.8</v>
      </c>
      <c r="ES300" s="55"/>
      <c r="ET300" s="55"/>
      <c r="EU300" s="53">
        <v>87.1</v>
      </c>
      <c r="EV300" s="55"/>
      <c r="EW300" s="53">
        <v>62.3</v>
      </c>
      <c r="EX300" s="53">
        <v>65.7</v>
      </c>
      <c r="EY300" s="55"/>
      <c r="EZ300" s="55"/>
      <c r="FA300" s="55"/>
      <c r="FB300" s="53">
        <v>1304</v>
      </c>
      <c r="FC300" s="55"/>
      <c r="FD300" s="55"/>
      <c r="FE300" s="55"/>
      <c r="FF300" s="55"/>
      <c r="FG300" s="53">
        <v>457.6</v>
      </c>
      <c r="FH300" s="53">
        <v>179.1</v>
      </c>
      <c r="FI300" s="55"/>
      <c r="FJ300" s="55"/>
      <c r="FK300" s="53">
        <v>183.3</v>
      </c>
      <c r="FL300" s="55"/>
      <c r="FM300" s="53">
        <v>132.1</v>
      </c>
      <c r="FN300" s="53">
        <v>148.5</v>
      </c>
      <c r="FO300" s="55"/>
      <c r="FP300" s="55"/>
      <c r="FQ300" s="55"/>
      <c r="FR300" s="53">
        <v>2759.5</v>
      </c>
      <c r="FS300" s="55"/>
      <c r="FT300" s="55"/>
      <c r="FU300" s="55"/>
      <c r="FV300" s="55"/>
      <c r="FW300" s="53">
        <v>223.4</v>
      </c>
      <c r="FX300" s="53">
        <v>35.200000000000003</v>
      </c>
      <c r="FY300" s="55"/>
      <c r="FZ300" s="55"/>
      <c r="GA300" s="53">
        <v>40.5</v>
      </c>
      <c r="GB300" s="55"/>
      <c r="GC300" s="53">
        <v>61.9</v>
      </c>
      <c r="GD300" s="53" t="e">
        <v>#VALUE!</v>
      </c>
      <c r="GE300" s="55"/>
      <c r="GF300" s="55"/>
      <c r="GG300" s="55"/>
      <c r="GH300" s="53">
        <v>680.2</v>
      </c>
      <c r="GI300" s="55"/>
      <c r="GJ300" s="55"/>
      <c r="GK300" s="55"/>
      <c r="GL300" s="55"/>
      <c r="GM300" s="53">
        <v>75.2</v>
      </c>
      <c r="GN300" s="53">
        <v>38.4</v>
      </c>
      <c r="GO300" s="55"/>
      <c r="GP300" s="55"/>
      <c r="GQ300" s="53">
        <v>26.7</v>
      </c>
      <c r="GR300" s="55"/>
      <c r="GS300" s="53" t="e">
        <v>#VALUE!</v>
      </c>
      <c r="GT300" s="53" t="e">
        <v>#VALUE!</v>
      </c>
      <c r="GU300" s="55"/>
      <c r="GV300" s="55"/>
      <c r="GW300" s="55"/>
      <c r="GX300" s="53">
        <v>344.6</v>
      </c>
      <c r="GY300" s="19">
        <v>0.97522663332291359</v>
      </c>
      <c r="GZ300" s="53">
        <v>1247.9000000000001</v>
      </c>
      <c r="HA300" s="53">
        <v>1279.5999999999999</v>
      </c>
      <c r="HB300" s="18">
        <v>1.9914341071994386</v>
      </c>
      <c r="HC300" s="18">
        <v>57.053301250999993</v>
      </c>
      <c r="HD300" s="18">
        <v>1442.6914341071995</v>
      </c>
      <c r="HE300" s="18">
        <v>-68.899999999999864</v>
      </c>
      <c r="HF300" s="53">
        <v>1440.7</v>
      </c>
      <c r="HG300" s="53">
        <v>1395.5</v>
      </c>
      <c r="HH300" s="53">
        <v>646.79999999999995</v>
      </c>
      <c r="HI300" s="53">
        <v>95.2</v>
      </c>
      <c r="HJ300" s="53">
        <v>640.29999999999995</v>
      </c>
      <c r="HK300" s="53">
        <v>13.2</v>
      </c>
      <c r="HL300" s="53">
        <v>45.2</v>
      </c>
      <c r="HM300" s="55"/>
      <c r="HN300" s="55"/>
      <c r="HO300" s="55"/>
      <c r="HP300" s="53" t="e">
        <v>#VALUE!</v>
      </c>
      <c r="HQ300" s="53">
        <v>6</v>
      </c>
      <c r="HR300" s="53">
        <v>5.3</v>
      </c>
      <c r="HS300" s="53" t="e">
        <v>#VALUE!</v>
      </c>
      <c r="HT300" s="53">
        <v>26.2</v>
      </c>
      <c r="HU300" s="55"/>
      <c r="HV300" s="55"/>
      <c r="HW300" s="53">
        <v>279.2</v>
      </c>
      <c r="HX300" s="53" t="e">
        <v>#VALUE!</v>
      </c>
      <c r="HY300" s="53">
        <v>279.2</v>
      </c>
      <c r="HZ300" s="53">
        <v>35.6</v>
      </c>
      <c r="IA300" s="53">
        <v>225.2</v>
      </c>
      <c r="IB300" s="53">
        <v>78</v>
      </c>
      <c r="IC300" s="53">
        <v>147.19999999999999</v>
      </c>
      <c r="ID300" s="53">
        <v>87.1</v>
      </c>
      <c r="IE300" s="53">
        <v>60.1</v>
      </c>
      <c r="IF300" s="53" t="e">
        <v>#VALUE!</v>
      </c>
      <c r="IG300" s="53" t="e">
        <v>#VALUE!</v>
      </c>
      <c r="IH300" s="55"/>
      <c r="II300" s="55"/>
      <c r="IJ300" s="55"/>
      <c r="IK300" s="55"/>
      <c r="IL300" s="12">
        <v>18.400000000000006</v>
      </c>
      <c r="IM300" s="55"/>
      <c r="IN300" s="53">
        <v>43.8</v>
      </c>
      <c r="IO300" s="53">
        <v>43.8</v>
      </c>
      <c r="IP300" s="53" t="e">
        <v>#VALUE!</v>
      </c>
      <c r="IQ300" s="53">
        <v>31</v>
      </c>
      <c r="IR300" s="53">
        <v>11.6</v>
      </c>
      <c r="IS300" s="53" t="e">
        <v>#VALUE!</v>
      </c>
      <c r="IT300" s="53" t="e">
        <v>#VALUE!</v>
      </c>
      <c r="IU300" s="53" t="e">
        <v>#VALUE!</v>
      </c>
      <c r="IV300" s="53" t="e">
        <v>#VALUE!</v>
      </c>
      <c r="IY300" s="48">
        <f t="shared" si="14"/>
        <v>47.752588051587537</v>
      </c>
      <c r="IZ300" s="48">
        <f>IY300-'NOPA Crush'!J300</f>
        <v>0.1125880515875366</v>
      </c>
      <c r="JB300" s="63">
        <f t="shared" si="12"/>
        <v>11.312243363599562</v>
      </c>
      <c r="JC300" s="64">
        <f>JB300-'NOPA Crush'!O300</f>
        <v>-5.77566364004376E-2</v>
      </c>
      <c r="JD300" s="65"/>
      <c r="JE300" s="67">
        <f t="shared" si="13"/>
        <v>1411.6000000000001</v>
      </c>
      <c r="JF300" s="68">
        <f>'NOPA Crush'!Q300/'Census Crush'!JE300</f>
        <v>0.72469892320770746</v>
      </c>
    </row>
    <row r="301" spans="1:266">
      <c r="A301" s="39">
        <v>38200</v>
      </c>
      <c r="B301" s="51">
        <v>3089.3</v>
      </c>
      <c r="C301" s="51">
        <v>1110.4000000000001</v>
      </c>
      <c r="D301" s="51">
        <v>193.8</v>
      </c>
      <c r="E301" s="51">
        <v>346.7</v>
      </c>
      <c r="F301" s="51">
        <v>11.9</v>
      </c>
      <c r="G301" s="51" t="s">
        <v>264</v>
      </c>
      <c r="H301" s="51" t="s">
        <v>264</v>
      </c>
      <c r="I301" s="51" t="s">
        <v>264</v>
      </c>
      <c r="J301" s="51" t="s">
        <v>264</v>
      </c>
      <c r="K301" s="51">
        <v>1185.9000000000001</v>
      </c>
      <c r="L301" s="49">
        <v>1180.2</v>
      </c>
      <c r="M301" s="51">
        <v>1001.7</v>
      </c>
      <c r="N301" s="51">
        <v>178.5</v>
      </c>
      <c r="O301" s="53">
        <v>68.599999999999994</v>
      </c>
      <c r="P301" s="51">
        <v>54.699999999999996</v>
      </c>
      <c r="Q301" s="51">
        <v>11.9</v>
      </c>
      <c r="R301" s="51">
        <v>42.8</v>
      </c>
      <c r="S301" s="51"/>
      <c r="T301" s="51">
        <v>9.8000000000000007</v>
      </c>
      <c r="U301" s="51">
        <v>89.138999999999996</v>
      </c>
      <c r="V301" s="51">
        <v>86.338999999999999</v>
      </c>
      <c r="W301" s="51">
        <v>2.8</v>
      </c>
      <c r="X301" s="51" t="s">
        <v>264</v>
      </c>
      <c r="Y301" s="51" t="s">
        <v>264</v>
      </c>
      <c r="Z301" s="49">
        <v>46.099999999999994</v>
      </c>
      <c r="AA301" s="51">
        <v>32.4</v>
      </c>
      <c r="AB301" s="51">
        <v>13.7</v>
      </c>
      <c r="AC301" s="51" t="s">
        <v>264</v>
      </c>
      <c r="AD301" s="51" t="s">
        <v>264</v>
      </c>
      <c r="AE301" s="51"/>
      <c r="AF301" s="51">
        <v>108.3</v>
      </c>
      <c r="AG301" s="51">
        <v>83.5</v>
      </c>
      <c r="AH301" s="51">
        <v>24.8</v>
      </c>
      <c r="AI301" s="51">
        <v>205.2</v>
      </c>
      <c r="AJ301" s="55"/>
      <c r="AK301" s="55"/>
      <c r="AL301" s="51">
        <v>125.5</v>
      </c>
      <c r="AM301" s="51">
        <v>93.4</v>
      </c>
      <c r="AN301" s="51">
        <v>32.1</v>
      </c>
      <c r="AO301" s="51">
        <v>2294.1999999999998</v>
      </c>
      <c r="AP301" s="51">
        <v>164</v>
      </c>
      <c r="AQ301" s="51">
        <v>186</v>
      </c>
      <c r="AR301" s="51">
        <v>32.299999999999997</v>
      </c>
      <c r="AS301" s="51">
        <v>95.3</v>
      </c>
      <c r="AT301" s="51">
        <v>87.9</v>
      </c>
      <c r="AU301" s="51">
        <v>61.9</v>
      </c>
      <c r="AV301" s="51">
        <v>37.6</v>
      </c>
      <c r="AW301" s="51">
        <v>6.8</v>
      </c>
      <c r="AX301" s="51">
        <v>2.4</v>
      </c>
      <c r="AY301" s="51" t="s">
        <v>264</v>
      </c>
      <c r="AZ301" s="51" t="s">
        <v>264</v>
      </c>
      <c r="BA301" s="51" t="s">
        <v>264</v>
      </c>
      <c r="BB301" s="51" t="s">
        <v>264</v>
      </c>
      <c r="BC301" s="55"/>
      <c r="BD301" s="53">
        <v>159</v>
      </c>
      <c r="BE301" s="53">
        <v>22.9</v>
      </c>
      <c r="BF301" s="53">
        <v>78.900000000000006</v>
      </c>
      <c r="BG301" s="53">
        <v>9.6</v>
      </c>
      <c r="BH301" s="53">
        <v>311.2</v>
      </c>
      <c r="BI301" s="53">
        <v>133.1</v>
      </c>
      <c r="BJ301" s="53">
        <v>99.3</v>
      </c>
      <c r="BK301" s="53">
        <v>232.39999999999998</v>
      </c>
      <c r="BL301" s="53">
        <v>0</v>
      </c>
      <c r="BM301" s="53">
        <v>543.59999999999991</v>
      </c>
      <c r="BN301" s="53">
        <v>221.1</v>
      </c>
      <c r="BO301" s="53">
        <v>64.8</v>
      </c>
      <c r="BP301" s="53">
        <v>34.9</v>
      </c>
      <c r="BQ301" s="53">
        <v>99.699999999999989</v>
      </c>
      <c r="BR301" s="53">
        <v>0</v>
      </c>
      <c r="BS301" s="53">
        <v>320.79999999999995</v>
      </c>
      <c r="BT301" s="53">
        <v>21.5</v>
      </c>
      <c r="BU301" s="53">
        <v>9.9</v>
      </c>
      <c r="BV301" s="51" t="s">
        <v>264</v>
      </c>
      <c r="BW301" s="51" t="s">
        <v>264</v>
      </c>
      <c r="BX301" s="51">
        <v>373.6</v>
      </c>
      <c r="BY301" s="51" t="s">
        <v>264</v>
      </c>
      <c r="BZ301" s="51" t="s">
        <v>264</v>
      </c>
      <c r="CA301" s="51">
        <v>39.5</v>
      </c>
      <c r="CB301" s="53">
        <v>88.5</v>
      </c>
      <c r="CC301" s="53" t="s">
        <v>264</v>
      </c>
      <c r="CD301" s="53">
        <v>101.8</v>
      </c>
      <c r="CE301" s="53">
        <v>13.6</v>
      </c>
      <c r="CF301" s="53">
        <v>113.2</v>
      </c>
      <c r="CG301" s="53">
        <v>162.1</v>
      </c>
      <c r="CH301" s="53">
        <v>17.667999999999999</v>
      </c>
      <c r="CI301" s="55"/>
      <c r="CJ301" s="55"/>
      <c r="CK301" s="12">
        <v>217.9</v>
      </c>
      <c r="CL301" s="12">
        <v>24.4</v>
      </c>
      <c r="CM301" s="12"/>
      <c r="CN301" s="53">
        <v>52.6</v>
      </c>
      <c r="CO301" s="53">
        <v>149.19999999999999</v>
      </c>
      <c r="CP301" s="53">
        <v>103.2</v>
      </c>
      <c r="CQ301" s="53">
        <v>46</v>
      </c>
      <c r="CR301" s="52" t="s">
        <v>264</v>
      </c>
      <c r="CS301" s="53">
        <v>8.1</v>
      </c>
      <c r="CT301" s="53">
        <v>2.4</v>
      </c>
      <c r="CU301" s="53">
        <v>5.7</v>
      </c>
      <c r="CV301" s="53">
        <v>127.1</v>
      </c>
      <c r="CW301" s="52" t="s">
        <v>264</v>
      </c>
      <c r="CX301" s="52" t="s">
        <v>264</v>
      </c>
      <c r="CY301" s="53" t="s">
        <v>264</v>
      </c>
      <c r="CZ301" s="53">
        <v>53.2</v>
      </c>
      <c r="DA301" s="12">
        <v>22.2</v>
      </c>
      <c r="DB301" s="53" t="s">
        <v>264</v>
      </c>
      <c r="DC301" s="53" t="s">
        <v>264</v>
      </c>
      <c r="DD301" s="55"/>
      <c r="DE301" s="55"/>
      <c r="DF301" s="55"/>
      <c r="DG301" s="55"/>
      <c r="DH301" s="55"/>
      <c r="DI301" s="53">
        <v>573.9</v>
      </c>
      <c r="DJ301" s="53">
        <v>251.6</v>
      </c>
      <c r="DK301" s="55"/>
      <c r="DL301" s="55"/>
      <c r="DM301" s="53">
        <v>211.6</v>
      </c>
      <c r="DN301" s="55"/>
      <c r="DO301" s="53">
        <v>145.6</v>
      </c>
      <c r="DP301" s="53">
        <v>153.1</v>
      </c>
      <c r="DQ301" s="55"/>
      <c r="DR301" s="55"/>
      <c r="DS301" s="53">
        <v>1631.306</v>
      </c>
      <c r="DT301" s="53">
        <v>3089.3</v>
      </c>
      <c r="DU301" s="53">
        <v>-122.19400000000041</v>
      </c>
      <c r="DV301" s="53">
        <v>0</v>
      </c>
      <c r="DW301" s="55"/>
      <c r="DX301" s="55"/>
      <c r="DY301" s="55"/>
      <c r="DZ301" s="55"/>
      <c r="EA301" s="53">
        <v>211.3</v>
      </c>
      <c r="EB301" s="53">
        <v>65.400000000000006</v>
      </c>
      <c r="EC301" s="55"/>
      <c r="ED301" s="55"/>
      <c r="EE301" s="53">
        <v>55.8</v>
      </c>
      <c r="EF301" s="55"/>
      <c r="EG301" s="53">
        <v>74.3</v>
      </c>
      <c r="EH301" s="53">
        <v>53.7</v>
      </c>
      <c r="EI301" s="55"/>
      <c r="EJ301" s="55"/>
      <c r="EK301" s="55"/>
      <c r="EL301" s="53">
        <v>1110.4000000000001</v>
      </c>
      <c r="EM301" s="55"/>
      <c r="EN301" s="55"/>
      <c r="EO301" s="55"/>
      <c r="EP301" s="55"/>
      <c r="EQ301" s="53">
        <v>220.7</v>
      </c>
      <c r="ER301" s="53">
        <v>96.3</v>
      </c>
      <c r="ES301" s="55"/>
      <c r="ET301" s="55"/>
      <c r="EU301" s="53">
        <v>82.8</v>
      </c>
      <c r="EV301" s="55"/>
      <c r="EW301" s="53">
        <v>55.9</v>
      </c>
      <c r="EX301" s="53">
        <v>57.8</v>
      </c>
      <c r="EY301" s="55"/>
      <c r="EZ301" s="55"/>
      <c r="FA301" s="55"/>
      <c r="FB301" s="53">
        <v>1185.9000000000001</v>
      </c>
      <c r="FC301" s="55"/>
      <c r="FD301" s="55"/>
      <c r="FE301" s="55"/>
      <c r="FF301" s="55"/>
      <c r="FG301" s="53">
        <v>455.8</v>
      </c>
      <c r="FH301" s="53">
        <v>203.2</v>
      </c>
      <c r="FI301" s="55"/>
      <c r="FJ301" s="55"/>
      <c r="FK301" s="53">
        <v>173.9</v>
      </c>
      <c r="FL301" s="55"/>
      <c r="FM301" s="53">
        <v>118.3</v>
      </c>
      <c r="FN301" s="53">
        <v>127.9</v>
      </c>
      <c r="FO301" s="55"/>
      <c r="FP301" s="55"/>
      <c r="FQ301" s="55"/>
      <c r="FR301" s="53">
        <v>2487.4</v>
      </c>
      <c r="FS301" s="55"/>
      <c r="FT301" s="55"/>
      <c r="FU301" s="55"/>
      <c r="FV301" s="55"/>
      <c r="FW301" s="53">
        <v>179.4</v>
      </c>
      <c r="FX301" s="53">
        <v>23.7</v>
      </c>
      <c r="FY301" s="55"/>
      <c r="FZ301" s="55"/>
      <c r="GA301" s="53">
        <v>21.1</v>
      </c>
      <c r="GB301" s="55"/>
      <c r="GC301" s="53">
        <v>56.7</v>
      </c>
      <c r="GD301" s="53" t="e">
        <v>#VALUE!</v>
      </c>
      <c r="GE301" s="55"/>
      <c r="GF301" s="55"/>
      <c r="GG301" s="55"/>
      <c r="GH301" s="53">
        <v>565.29999999999995</v>
      </c>
      <c r="GI301" s="55"/>
      <c r="GJ301" s="55"/>
      <c r="GK301" s="55"/>
      <c r="GL301" s="55"/>
      <c r="GM301" s="53">
        <v>33</v>
      </c>
      <c r="GN301" s="53">
        <v>20</v>
      </c>
      <c r="GO301" s="55"/>
      <c r="GP301" s="55"/>
      <c r="GQ301" s="53">
        <v>12.5</v>
      </c>
      <c r="GR301" s="55"/>
      <c r="GS301" s="53">
        <v>4.8</v>
      </c>
      <c r="GT301" s="53" t="e">
        <v>#VALUE!</v>
      </c>
      <c r="GU301" s="55"/>
      <c r="GV301" s="55"/>
      <c r="GW301" s="55"/>
      <c r="GX301" s="53">
        <v>196.3</v>
      </c>
      <c r="GY301" s="19">
        <v>0.97220733481356714</v>
      </c>
      <c r="GZ301" s="53">
        <v>1269.8</v>
      </c>
      <c r="HA301" s="53">
        <v>1306.0999999999999</v>
      </c>
      <c r="HB301" s="18">
        <v>-14.67446473440009</v>
      </c>
      <c r="HC301" s="18">
        <v>1.2381737645998783</v>
      </c>
      <c r="HD301" s="18">
        <v>1468.3255352655999</v>
      </c>
      <c r="HE301" s="18">
        <v>-7.7000000000000455</v>
      </c>
      <c r="HF301" s="53">
        <v>1483</v>
      </c>
      <c r="HG301" s="53">
        <v>1430.5</v>
      </c>
      <c r="HH301" s="53">
        <v>655.4</v>
      </c>
      <c r="HI301" s="53">
        <v>112.9</v>
      </c>
      <c r="HJ301" s="53">
        <v>650.29999999999995</v>
      </c>
      <c r="HK301" s="53">
        <v>11.8</v>
      </c>
      <c r="HL301" s="53">
        <v>52.5</v>
      </c>
      <c r="HM301" s="55"/>
      <c r="HN301" s="55"/>
      <c r="HO301" s="55"/>
      <c r="HP301" s="53" t="e">
        <v>#VALUE!</v>
      </c>
      <c r="HQ301" s="53">
        <v>4.5999999999999996</v>
      </c>
      <c r="HR301" s="53">
        <v>10</v>
      </c>
      <c r="HS301" s="53" t="e">
        <v>#VALUE!</v>
      </c>
      <c r="HT301" s="53">
        <v>30.9</v>
      </c>
      <c r="HU301" s="55"/>
      <c r="HV301" s="55"/>
      <c r="HW301" s="53">
        <v>302.7</v>
      </c>
      <c r="HX301" s="53" t="e">
        <v>#VALUE!</v>
      </c>
      <c r="HY301" s="53">
        <v>302.7</v>
      </c>
      <c r="HZ301" s="53">
        <v>57.3</v>
      </c>
      <c r="IA301" s="53">
        <v>224.9</v>
      </c>
      <c r="IB301" s="53">
        <v>76.7</v>
      </c>
      <c r="IC301" s="53">
        <v>148.19999999999999</v>
      </c>
      <c r="ID301" s="53">
        <v>85.7</v>
      </c>
      <c r="IE301" s="53">
        <v>62.5</v>
      </c>
      <c r="IF301" s="53" t="e">
        <v>#VALUE!</v>
      </c>
      <c r="IG301" s="53" t="e">
        <v>#VALUE!</v>
      </c>
      <c r="IH301" s="55"/>
      <c r="II301" s="55"/>
      <c r="IJ301" s="55"/>
      <c r="IK301" s="55"/>
      <c r="IL301" s="12">
        <v>20.499999999999972</v>
      </c>
      <c r="IM301" s="55"/>
      <c r="IN301" s="53">
        <v>53.4</v>
      </c>
      <c r="IO301" s="53">
        <v>53.6</v>
      </c>
      <c r="IP301" s="53" t="e">
        <v>#VALUE!</v>
      </c>
      <c r="IQ301" s="53">
        <v>38.299999999999997</v>
      </c>
      <c r="IR301" s="53">
        <v>13.3</v>
      </c>
      <c r="IS301" s="53" t="e">
        <v>#VALUE!</v>
      </c>
      <c r="IT301" s="53">
        <v>23</v>
      </c>
      <c r="IU301" s="53" t="e">
        <v>#VALUE!</v>
      </c>
      <c r="IV301" s="53" t="e">
        <v>#VALUE!</v>
      </c>
      <c r="IY301" s="48">
        <f t="shared" si="14"/>
        <v>48.170135629430611</v>
      </c>
      <c r="IZ301" s="48">
        <f>IY301-'NOPA Crush'!J301</f>
        <v>0.20013562943061203</v>
      </c>
      <c r="JB301" s="63">
        <f t="shared" si="12"/>
        <v>11.51620108115107</v>
      </c>
      <c r="JC301" s="64">
        <f>JB301-'NOPA Crush'!O301</f>
        <v>-7.3798918848929418E-2</v>
      </c>
      <c r="JD301" s="65"/>
      <c r="JE301" s="67">
        <f t="shared" si="13"/>
        <v>1180.2</v>
      </c>
      <c r="JF301" s="68">
        <f>'NOPA Crush'!Q301/'Census Crush'!JE301</f>
        <v>0.73593967124216231</v>
      </c>
    </row>
    <row r="302" spans="1:266">
      <c r="A302" s="39">
        <v>38231</v>
      </c>
      <c r="B302" s="51">
        <v>3628.9</v>
      </c>
      <c r="C302" s="51">
        <v>2244.4</v>
      </c>
      <c r="D302" s="51">
        <v>141</v>
      </c>
      <c r="E302" s="51">
        <v>456.7</v>
      </c>
      <c r="F302" s="51">
        <v>7.5</v>
      </c>
      <c r="G302" s="51" t="s">
        <v>264</v>
      </c>
      <c r="H302" s="51" t="s">
        <v>264</v>
      </c>
      <c r="I302" s="51" t="s">
        <v>264</v>
      </c>
      <c r="J302" s="51" t="s">
        <v>264</v>
      </c>
      <c r="K302" s="51">
        <v>1391.7</v>
      </c>
      <c r="L302" s="49">
        <v>1075.6000000000001</v>
      </c>
      <c r="M302" s="51">
        <v>887.7</v>
      </c>
      <c r="N302" s="51">
        <v>187.9</v>
      </c>
      <c r="O302" s="53">
        <v>58.1</v>
      </c>
      <c r="P302" s="51">
        <v>109</v>
      </c>
      <c r="Q302" s="51">
        <v>16.600000000000001</v>
      </c>
      <c r="R302" s="51">
        <v>92.4</v>
      </c>
      <c r="S302" s="51"/>
      <c r="T302" s="51">
        <v>5.8</v>
      </c>
      <c r="U302" s="51">
        <v>64</v>
      </c>
      <c r="V302" s="51">
        <v>61.8</v>
      </c>
      <c r="W302" s="51">
        <v>2.2000000000000002</v>
      </c>
      <c r="X302" s="51" t="s">
        <v>264</v>
      </c>
      <c r="Y302" s="51" t="s">
        <v>264</v>
      </c>
      <c r="Z302" s="49">
        <v>39.9</v>
      </c>
      <c r="AA302" s="51">
        <v>24</v>
      </c>
      <c r="AB302" s="51">
        <v>15.9</v>
      </c>
      <c r="AC302" s="51" t="s">
        <v>264</v>
      </c>
      <c r="AD302" s="51" t="s">
        <v>264</v>
      </c>
      <c r="AE302" s="51"/>
      <c r="AF302" s="51">
        <v>91.4</v>
      </c>
      <c r="AG302" s="51">
        <v>64.7</v>
      </c>
      <c r="AH302" s="51">
        <v>26.7</v>
      </c>
      <c r="AI302" s="51">
        <v>200.1</v>
      </c>
      <c r="AJ302" s="55"/>
      <c r="AK302" s="55"/>
      <c r="AL302" s="51">
        <v>152.9</v>
      </c>
      <c r="AM302" s="51">
        <v>106.2</v>
      </c>
      <c r="AN302" s="51">
        <v>46.7</v>
      </c>
      <c r="AO302" s="51">
        <v>2663.2</v>
      </c>
      <c r="AP302" s="51">
        <v>175.3</v>
      </c>
      <c r="AQ302" s="51">
        <v>211.1</v>
      </c>
      <c r="AR302" s="51">
        <v>35.4</v>
      </c>
      <c r="AS302" s="51">
        <v>82.5</v>
      </c>
      <c r="AT302" s="51">
        <v>76.7</v>
      </c>
      <c r="AU302" s="51">
        <v>54.1</v>
      </c>
      <c r="AV302" s="51">
        <v>24.3</v>
      </c>
      <c r="AW302" s="51">
        <v>3.6</v>
      </c>
      <c r="AX302" s="51">
        <v>1.3</v>
      </c>
      <c r="AY302" s="51" t="s">
        <v>264</v>
      </c>
      <c r="AZ302" s="51" t="s">
        <v>264</v>
      </c>
      <c r="BA302" s="51" t="s">
        <v>264</v>
      </c>
      <c r="BB302" s="51" t="s">
        <v>264</v>
      </c>
      <c r="BC302" s="55"/>
      <c r="BD302" s="53">
        <v>153.4</v>
      </c>
      <c r="BE302" s="53">
        <v>20.7</v>
      </c>
      <c r="BF302" s="53">
        <v>79.099999999999994</v>
      </c>
      <c r="BG302" s="53">
        <v>11</v>
      </c>
      <c r="BH302" s="53">
        <v>310.7</v>
      </c>
      <c r="BI302" s="53">
        <v>136.80000000000001</v>
      </c>
      <c r="BJ302" s="53">
        <v>97.9</v>
      </c>
      <c r="BK302" s="53">
        <v>234.70000000000002</v>
      </c>
      <c r="BL302" s="53">
        <v>0</v>
      </c>
      <c r="BM302" s="53">
        <v>545.4</v>
      </c>
      <c r="BN302" s="53">
        <v>246</v>
      </c>
      <c r="BO302" s="53">
        <v>61.1</v>
      </c>
      <c r="BP302" s="53">
        <v>46.4</v>
      </c>
      <c r="BQ302" s="53">
        <v>107.5</v>
      </c>
      <c r="BR302" s="53">
        <v>0</v>
      </c>
      <c r="BS302" s="53">
        <v>353.5</v>
      </c>
      <c r="BT302" s="53">
        <v>22.3</v>
      </c>
      <c r="BU302" s="53">
        <v>11.4</v>
      </c>
      <c r="BV302" s="51" t="s">
        <v>264</v>
      </c>
      <c r="BW302" s="51" t="s">
        <v>264</v>
      </c>
      <c r="BX302" s="51">
        <v>367.1</v>
      </c>
      <c r="BY302" s="51" t="s">
        <v>264</v>
      </c>
      <c r="BZ302" s="51" t="s">
        <v>264</v>
      </c>
      <c r="CA302" s="51">
        <v>46.9</v>
      </c>
      <c r="CB302" s="53">
        <v>89</v>
      </c>
      <c r="CC302" s="53" t="s">
        <v>264</v>
      </c>
      <c r="CD302" s="53">
        <v>105.5</v>
      </c>
      <c r="CE302" s="53">
        <v>15.9</v>
      </c>
      <c r="CF302" s="53">
        <v>108.5</v>
      </c>
      <c r="CG302" s="53">
        <v>173.9</v>
      </c>
      <c r="CH302" s="53">
        <v>14.775</v>
      </c>
      <c r="CI302" s="55"/>
      <c r="CJ302" s="55"/>
      <c r="CK302" s="12">
        <v>205.7</v>
      </c>
      <c r="CL302" s="12">
        <v>25.4</v>
      </c>
      <c r="CM302" s="55"/>
      <c r="CN302" s="53">
        <v>39.799999999999997</v>
      </c>
      <c r="CO302" s="53">
        <v>131.19999999999999</v>
      </c>
      <c r="CP302" s="53">
        <v>91.1</v>
      </c>
      <c r="CQ302" s="53">
        <v>40.1</v>
      </c>
      <c r="CR302" s="52" t="s">
        <v>264</v>
      </c>
      <c r="CS302" s="53">
        <v>13</v>
      </c>
      <c r="CT302" s="53">
        <v>5.5</v>
      </c>
      <c r="CU302" s="53">
        <v>7.5</v>
      </c>
      <c r="CV302" s="53">
        <v>141.19999999999999</v>
      </c>
      <c r="CW302" s="52" t="s">
        <v>264</v>
      </c>
      <c r="CX302" s="52" t="s">
        <v>264</v>
      </c>
      <c r="CY302" s="53" t="s">
        <v>264</v>
      </c>
      <c r="CZ302" s="53">
        <v>64</v>
      </c>
      <c r="DA302" s="12">
        <v>24.3</v>
      </c>
      <c r="DB302" s="53" t="s">
        <v>264</v>
      </c>
      <c r="DC302" s="53" t="s">
        <v>264</v>
      </c>
      <c r="DD302" s="55"/>
      <c r="DE302" s="55"/>
      <c r="DF302" s="55"/>
      <c r="DG302" s="55"/>
      <c r="DH302" s="55"/>
      <c r="DI302" s="53">
        <v>671.5</v>
      </c>
      <c r="DJ302" s="53">
        <v>351.3</v>
      </c>
      <c r="DK302" s="55"/>
      <c r="DL302" s="55"/>
      <c r="DM302" s="53">
        <v>219.7</v>
      </c>
      <c r="DN302" s="55"/>
      <c r="DO302" s="53">
        <v>177.7</v>
      </c>
      <c r="DP302" s="53">
        <v>223.3</v>
      </c>
      <c r="DQ302" s="55"/>
      <c r="DR302" s="55"/>
      <c r="DS302" s="53">
        <v>1849.895</v>
      </c>
      <c r="DT302" s="53">
        <v>3628.9</v>
      </c>
      <c r="DU302" s="53">
        <v>-135.50500000000011</v>
      </c>
      <c r="DV302" s="53">
        <v>0</v>
      </c>
      <c r="DW302" s="55"/>
      <c r="DX302" s="55"/>
      <c r="DY302" s="55"/>
      <c r="DZ302" s="55"/>
      <c r="EA302" s="53">
        <v>453.9</v>
      </c>
      <c r="EB302" s="53">
        <v>599.4</v>
      </c>
      <c r="EC302" s="55"/>
      <c r="ED302" s="55"/>
      <c r="EE302" s="53">
        <v>35</v>
      </c>
      <c r="EF302" s="55"/>
      <c r="EG302" s="53">
        <v>81.8</v>
      </c>
      <c r="EH302" s="53">
        <v>176.8</v>
      </c>
      <c r="EI302" s="55"/>
      <c r="EJ302" s="55"/>
      <c r="EK302" s="55"/>
      <c r="EL302" s="53">
        <v>2244.4</v>
      </c>
      <c r="EM302" s="55"/>
      <c r="EN302" s="55"/>
      <c r="EO302" s="55"/>
      <c r="EP302" s="55"/>
      <c r="EQ302" s="53">
        <v>260.10000000000002</v>
      </c>
      <c r="ER302" s="53">
        <v>134.69999999999999</v>
      </c>
      <c r="ES302" s="55"/>
      <c r="ET302" s="55"/>
      <c r="EU302" s="53">
        <v>85.5</v>
      </c>
      <c r="EV302" s="55"/>
      <c r="EW302" s="53">
        <v>67.599999999999994</v>
      </c>
      <c r="EX302" s="53">
        <v>81.900000000000006</v>
      </c>
      <c r="EY302" s="55"/>
      <c r="EZ302" s="55"/>
      <c r="FA302" s="55"/>
      <c r="FB302" s="53">
        <v>1391.7</v>
      </c>
      <c r="FC302" s="55"/>
      <c r="FD302" s="55"/>
      <c r="FE302" s="55"/>
      <c r="FF302" s="55"/>
      <c r="FG302" s="53">
        <v>529.9</v>
      </c>
      <c r="FH302" s="53">
        <v>285.39999999999998</v>
      </c>
      <c r="FI302" s="55"/>
      <c r="FJ302" s="55"/>
      <c r="FK302" s="53">
        <v>173.5</v>
      </c>
      <c r="FL302" s="55"/>
      <c r="FM302" s="53">
        <v>141</v>
      </c>
      <c r="FN302" s="53">
        <v>182</v>
      </c>
      <c r="FO302" s="55"/>
      <c r="FP302" s="55"/>
      <c r="FQ302" s="55"/>
      <c r="FR302" s="53">
        <v>2879.2</v>
      </c>
      <c r="FS302" s="55"/>
      <c r="FT302" s="55"/>
      <c r="FU302" s="55"/>
      <c r="FV302" s="55"/>
      <c r="FW302" s="53">
        <v>177.6</v>
      </c>
      <c r="FX302" s="53">
        <v>39.5</v>
      </c>
      <c r="FY302" s="55"/>
      <c r="FZ302" s="55"/>
      <c r="GA302" s="53">
        <v>18.100000000000001</v>
      </c>
      <c r="GB302" s="55"/>
      <c r="GC302" s="53">
        <v>61.5</v>
      </c>
      <c r="GD302" s="53" t="e">
        <v>#VALUE!</v>
      </c>
      <c r="GE302" s="55"/>
      <c r="GF302" s="55"/>
      <c r="GG302" s="55"/>
      <c r="GH302" s="53">
        <v>571.6</v>
      </c>
      <c r="GI302" s="55"/>
      <c r="GJ302" s="55"/>
      <c r="GK302" s="55"/>
      <c r="GL302" s="55"/>
      <c r="GM302" s="53">
        <v>27.5</v>
      </c>
      <c r="GN302" s="53">
        <v>21.9</v>
      </c>
      <c r="GO302" s="55"/>
      <c r="GP302" s="55"/>
      <c r="GQ302" s="53">
        <v>25.6</v>
      </c>
      <c r="GR302" s="55"/>
      <c r="GS302" s="53">
        <v>4.2</v>
      </c>
      <c r="GT302" s="53" t="e">
        <v>#VALUE!</v>
      </c>
      <c r="GU302" s="55"/>
      <c r="GV302" s="55"/>
      <c r="GW302" s="55"/>
      <c r="GX302" s="53">
        <v>210.7</v>
      </c>
      <c r="GY302" s="19">
        <v>0.97625448028673834</v>
      </c>
      <c r="GZ302" s="53">
        <v>1307.4000000000001</v>
      </c>
      <c r="HA302" s="53">
        <v>1339.2</v>
      </c>
      <c r="HB302" s="18">
        <v>-91.270818910000344</v>
      </c>
      <c r="HC302" s="18">
        <v>-101.80652064680089</v>
      </c>
      <c r="HD302" s="18">
        <v>1410.5291810899996</v>
      </c>
      <c r="HE302" s="18">
        <v>-76.100000000000136</v>
      </c>
      <c r="HF302" s="53">
        <v>1501.8</v>
      </c>
      <c r="HG302" s="53">
        <v>1447.2</v>
      </c>
      <c r="HH302" s="53">
        <v>660.3</v>
      </c>
      <c r="HI302" s="53">
        <v>106.5</v>
      </c>
      <c r="HJ302" s="53">
        <v>660.9</v>
      </c>
      <c r="HK302" s="53">
        <v>19.399999999999999</v>
      </c>
      <c r="HL302" s="53">
        <v>54.7</v>
      </c>
      <c r="HM302" s="55"/>
      <c r="HN302" s="55"/>
      <c r="HO302" s="55"/>
      <c r="HP302" s="53" t="e">
        <v>#VALUE!</v>
      </c>
      <c r="HQ302" s="53">
        <v>4.7</v>
      </c>
      <c r="HR302" s="53">
        <v>7.9</v>
      </c>
      <c r="HS302" s="53" t="e">
        <v>#VALUE!</v>
      </c>
      <c r="HT302" s="53">
        <v>34.200000000000003</v>
      </c>
      <c r="HU302" s="55"/>
      <c r="HV302" s="55"/>
      <c r="HW302" s="53">
        <v>294.8</v>
      </c>
      <c r="HX302" s="53" t="e">
        <v>#VALUE!</v>
      </c>
      <c r="HY302" s="53">
        <v>294.8</v>
      </c>
      <c r="HZ302" s="53">
        <v>48.9</v>
      </c>
      <c r="IA302" s="53">
        <v>224.9</v>
      </c>
      <c r="IB302" s="53">
        <v>75.3</v>
      </c>
      <c r="IC302" s="53">
        <v>149.6</v>
      </c>
      <c r="ID302" s="53">
        <v>88.8</v>
      </c>
      <c r="IE302" s="53">
        <v>60.8</v>
      </c>
      <c r="IF302" s="53" t="e">
        <v>#VALUE!</v>
      </c>
      <c r="IG302" s="53" t="e">
        <v>#VALUE!</v>
      </c>
      <c r="IH302" s="55"/>
      <c r="II302" s="55"/>
      <c r="IJ302" s="55"/>
      <c r="IK302" s="55"/>
      <c r="IL302" s="12">
        <v>21</v>
      </c>
      <c r="IM302" s="55"/>
      <c r="IN302" s="53">
        <v>52</v>
      </c>
      <c r="IO302" s="53">
        <v>52.2</v>
      </c>
      <c r="IP302" s="53" t="e">
        <v>#VALUE!</v>
      </c>
      <c r="IQ302" s="53">
        <v>40.4</v>
      </c>
      <c r="IR302" s="53">
        <v>14.5</v>
      </c>
      <c r="IS302" s="53" t="e">
        <v>#VALUE!</v>
      </c>
      <c r="IT302" s="53">
        <v>23.5</v>
      </c>
      <c r="IU302" s="53" t="e">
        <v>#VALUE!</v>
      </c>
      <c r="IV302" s="53" t="e">
        <v>#VALUE!</v>
      </c>
      <c r="IY302" s="48">
        <f t="shared" si="14"/>
        <v>47.5234919672628</v>
      </c>
      <c r="IZ302" s="48">
        <f>IY302-'NOPA Crush'!J302</f>
        <v>0.143491967262797</v>
      </c>
      <c r="JB302" s="63">
        <f t="shared" si="12"/>
        <v>11.505139298409986</v>
      </c>
      <c r="JC302" s="64">
        <f>JB302-'NOPA Crush'!O302</f>
        <v>-1.4860701590013292E-2</v>
      </c>
      <c r="JD302" s="65"/>
      <c r="JE302" s="67">
        <f t="shared" si="13"/>
        <v>1075.6000000000001</v>
      </c>
      <c r="JF302" s="68">
        <f>'NOPA Crush'!Q302/'Census Crush'!JE302</f>
        <v>0.74132484194867976</v>
      </c>
    </row>
    <row r="303" spans="1:266">
      <c r="A303" s="39">
        <v>38261</v>
      </c>
      <c r="B303" s="51">
        <v>4658.8</v>
      </c>
      <c r="C303" s="51">
        <v>3423.7</v>
      </c>
      <c r="D303" s="51">
        <v>247.9</v>
      </c>
      <c r="E303" s="51">
        <v>966.6</v>
      </c>
      <c r="F303" s="51">
        <v>11.4</v>
      </c>
      <c r="G303" s="51" t="s">
        <v>264</v>
      </c>
      <c r="H303" s="51" t="s">
        <v>264</v>
      </c>
      <c r="I303" s="51" t="s">
        <v>264</v>
      </c>
      <c r="J303" s="51" t="s">
        <v>264</v>
      </c>
      <c r="K303" s="51">
        <v>1759.6</v>
      </c>
      <c r="L303" s="49">
        <v>1269.3999999999999</v>
      </c>
      <c r="M303" s="51">
        <v>1033.8</v>
      </c>
      <c r="N303" s="51">
        <v>235.6</v>
      </c>
      <c r="O303" s="53">
        <v>77.099999999999994</v>
      </c>
      <c r="P303" s="51">
        <v>110.8</v>
      </c>
      <c r="Q303" s="51">
        <v>16.3</v>
      </c>
      <c r="R303" s="51">
        <v>94.5</v>
      </c>
      <c r="S303" s="51"/>
      <c r="T303" s="51">
        <v>10</v>
      </c>
      <c r="U303" s="51">
        <v>60.3</v>
      </c>
      <c r="V303" s="51">
        <v>58.4</v>
      </c>
      <c r="W303" s="51">
        <v>1.9</v>
      </c>
      <c r="X303" s="51" t="s">
        <v>264</v>
      </c>
      <c r="Y303" s="51" t="s">
        <v>264</v>
      </c>
      <c r="Z303" s="49">
        <v>39.900000000000006</v>
      </c>
      <c r="AA303" s="51">
        <v>27.1</v>
      </c>
      <c r="AB303" s="51">
        <v>12.8</v>
      </c>
      <c r="AC303" s="51" t="s">
        <v>264</v>
      </c>
      <c r="AD303" s="51" t="s">
        <v>264</v>
      </c>
      <c r="AE303" s="51"/>
      <c r="AF303" s="51">
        <v>61.8</v>
      </c>
      <c r="AG303" s="51">
        <v>46</v>
      </c>
      <c r="AH303" s="51">
        <v>15.8</v>
      </c>
      <c r="AI303" s="51">
        <v>208.8</v>
      </c>
      <c r="AJ303" s="55"/>
      <c r="AK303" s="55"/>
      <c r="AL303" s="51">
        <v>135.39999999999998</v>
      </c>
      <c r="AM303" s="51">
        <v>93.1</v>
      </c>
      <c r="AN303" s="51">
        <v>42.3</v>
      </c>
      <c r="AO303" s="51">
        <v>3415.3</v>
      </c>
      <c r="AP303" s="51">
        <v>295.2</v>
      </c>
      <c r="AQ303" s="51">
        <v>269.89999999999998</v>
      </c>
      <c r="AR303" s="51">
        <v>58.9</v>
      </c>
      <c r="AS303" s="51">
        <v>105.4</v>
      </c>
      <c r="AT303" s="51">
        <v>77.900000000000006</v>
      </c>
      <c r="AU303" s="51">
        <v>69.400000000000006</v>
      </c>
      <c r="AV303" s="51">
        <v>18.899999999999999</v>
      </c>
      <c r="AW303" s="51">
        <v>6.9</v>
      </c>
      <c r="AX303" s="51">
        <v>2.5</v>
      </c>
      <c r="AY303" s="51" t="s">
        <v>264</v>
      </c>
      <c r="AZ303" s="51" t="s">
        <v>264</v>
      </c>
      <c r="BA303" s="51" t="s">
        <v>264</v>
      </c>
      <c r="BB303" s="51" t="s">
        <v>264</v>
      </c>
      <c r="BC303" s="55"/>
      <c r="BD303" s="53">
        <v>156.4</v>
      </c>
      <c r="BE303" s="53">
        <v>24.3</v>
      </c>
      <c r="BF303" s="53">
        <v>76.2</v>
      </c>
      <c r="BG303" s="53">
        <v>14.6</v>
      </c>
      <c r="BH303" s="53">
        <v>319.5</v>
      </c>
      <c r="BI303" s="53">
        <v>130.1</v>
      </c>
      <c r="BJ303" s="53">
        <v>95</v>
      </c>
      <c r="BK303" s="53">
        <v>225.1</v>
      </c>
      <c r="BL303" s="53">
        <v>0</v>
      </c>
      <c r="BM303" s="53">
        <v>544.6</v>
      </c>
      <c r="BN303" s="53">
        <v>200.2</v>
      </c>
      <c r="BO303" s="53">
        <v>54.8</v>
      </c>
      <c r="BP303" s="53">
        <v>26.8</v>
      </c>
      <c r="BQ303" s="53">
        <v>81.599999999999994</v>
      </c>
      <c r="BR303" s="53">
        <v>0</v>
      </c>
      <c r="BS303" s="53">
        <v>281.79999999999995</v>
      </c>
      <c r="BT303" s="53">
        <v>20.6</v>
      </c>
      <c r="BU303" s="53">
        <v>11.1</v>
      </c>
      <c r="BV303" s="51" t="s">
        <v>264</v>
      </c>
      <c r="BW303" s="51" t="s">
        <v>264</v>
      </c>
      <c r="BX303" s="51">
        <v>370</v>
      </c>
      <c r="BY303" s="51" t="s">
        <v>264</v>
      </c>
      <c r="BZ303" s="51" t="s">
        <v>264</v>
      </c>
      <c r="CA303" s="51">
        <v>41.3</v>
      </c>
      <c r="CB303" s="53">
        <v>86.5</v>
      </c>
      <c r="CC303" s="53" t="s">
        <v>264</v>
      </c>
      <c r="CD303" s="53">
        <v>106.1</v>
      </c>
      <c r="CE303" s="53">
        <v>20.100000000000001</v>
      </c>
      <c r="CF303" s="53">
        <v>92.1</v>
      </c>
      <c r="CG303" s="53">
        <v>140.19999999999999</v>
      </c>
      <c r="CH303" s="53">
        <v>16.614999999999998</v>
      </c>
      <c r="CI303" s="55"/>
      <c r="CJ303" s="55"/>
      <c r="CK303" s="12">
        <v>192.4</v>
      </c>
      <c r="CL303" s="12">
        <v>25.9</v>
      </c>
      <c r="CM303" s="55"/>
      <c r="CN303" s="53">
        <v>48.3</v>
      </c>
      <c r="CO303" s="53">
        <v>147.69999999999999</v>
      </c>
      <c r="CP303" s="53">
        <v>128</v>
      </c>
      <c r="CQ303" s="53">
        <v>19.7</v>
      </c>
      <c r="CR303" s="52" t="s">
        <v>264</v>
      </c>
      <c r="CS303" s="53">
        <v>21.799999999999997</v>
      </c>
      <c r="CT303" s="53">
        <v>10.6</v>
      </c>
      <c r="CU303" s="53">
        <v>11.2</v>
      </c>
      <c r="CV303" s="53">
        <v>106</v>
      </c>
      <c r="CW303" s="52" t="s">
        <v>264</v>
      </c>
      <c r="CX303" s="52" t="s">
        <v>264</v>
      </c>
      <c r="CY303" s="53" t="s">
        <v>264</v>
      </c>
      <c r="CZ303" s="53">
        <v>38.799999999999997</v>
      </c>
      <c r="DA303" s="12">
        <v>17.3</v>
      </c>
      <c r="DB303" s="53" t="s">
        <v>264</v>
      </c>
      <c r="DC303" s="53" t="s">
        <v>264</v>
      </c>
      <c r="DD303" s="55"/>
      <c r="DE303" s="55"/>
      <c r="DF303" s="55"/>
      <c r="DG303" s="55"/>
      <c r="DH303" s="55"/>
      <c r="DI303" s="53">
        <v>737.4</v>
      </c>
      <c r="DJ303" s="53">
        <v>431</v>
      </c>
      <c r="DK303" s="55"/>
      <c r="DL303" s="55"/>
      <c r="DM303" s="53">
        <v>277.39999999999998</v>
      </c>
      <c r="DN303" s="55"/>
      <c r="DO303" s="53">
        <v>196.9</v>
      </c>
      <c r="DP303" s="53">
        <v>342.9</v>
      </c>
      <c r="DQ303" s="55"/>
      <c r="DR303" s="55"/>
      <c r="DS303" s="53">
        <v>2476.451</v>
      </c>
      <c r="DT303" s="53">
        <v>4658.8</v>
      </c>
      <c r="DU303" s="53">
        <v>-196.7489999999998</v>
      </c>
      <c r="DV303" s="53">
        <v>0</v>
      </c>
      <c r="DW303" s="55"/>
      <c r="DX303" s="55"/>
      <c r="DY303" s="55"/>
      <c r="DZ303" s="55"/>
      <c r="EA303" s="53">
        <v>700.7</v>
      </c>
      <c r="EB303" s="53">
        <v>663</v>
      </c>
      <c r="EC303" s="55"/>
      <c r="ED303" s="55"/>
      <c r="EE303" s="53">
        <v>91</v>
      </c>
      <c r="EF303" s="55"/>
      <c r="EG303" s="53">
        <v>169.6</v>
      </c>
      <c r="EH303" s="53">
        <v>291.7</v>
      </c>
      <c r="EI303" s="55"/>
      <c r="EJ303" s="55"/>
      <c r="EK303" s="55"/>
      <c r="EL303" s="53">
        <v>3423.7</v>
      </c>
      <c r="EM303" s="55"/>
      <c r="EN303" s="55"/>
      <c r="EO303" s="55"/>
      <c r="EP303" s="55"/>
      <c r="EQ303" s="53">
        <v>282.10000000000002</v>
      </c>
      <c r="ER303" s="53">
        <v>162.4</v>
      </c>
      <c r="ES303" s="55"/>
      <c r="ET303" s="55"/>
      <c r="EU303" s="53">
        <v>101.4</v>
      </c>
      <c r="EV303" s="55"/>
      <c r="EW303" s="53">
        <v>76.400000000000006</v>
      </c>
      <c r="EX303" s="53">
        <v>125.2</v>
      </c>
      <c r="EY303" s="55"/>
      <c r="EZ303" s="55"/>
      <c r="FA303" s="55"/>
      <c r="FB303" s="53">
        <v>1759.6</v>
      </c>
      <c r="FC303" s="55"/>
      <c r="FD303" s="55"/>
      <c r="FE303" s="55"/>
      <c r="FF303" s="55"/>
      <c r="FG303" s="53">
        <v>598.6</v>
      </c>
      <c r="FH303" s="53">
        <v>342.5</v>
      </c>
      <c r="FI303" s="55"/>
      <c r="FJ303" s="55"/>
      <c r="FK303" s="53">
        <v>221.5</v>
      </c>
      <c r="FL303" s="55"/>
      <c r="FM303" s="53">
        <v>155.4</v>
      </c>
      <c r="FN303" s="53">
        <v>276.10000000000002</v>
      </c>
      <c r="FO303" s="55"/>
      <c r="FP303" s="55"/>
      <c r="FQ303" s="55"/>
      <c r="FR303" s="53">
        <v>3704.9</v>
      </c>
      <c r="FS303" s="55"/>
      <c r="FT303" s="55"/>
      <c r="FU303" s="55"/>
      <c r="FV303" s="55"/>
      <c r="FW303" s="53">
        <v>181.9</v>
      </c>
      <c r="FX303" s="53">
        <v>55.6</v>
      </c>
      <c r="FY303" s="55"/>
      <c r="FZ303" s="55"/>
      <c r="GA303" s="53" t="e">
        <v>#VALUE!</v>
      </c>
      <c r="GB303" s="55"/>
      <c r="GC303" s="53">
        <v>60.7</v>
      </c>
      <c r="GD303" s="53" t="e">
        <v>#VALUE!</v>
      </c>
      <c r="GE303" s="55"/>
      <c r="GF303" s="55"/>
      <c r="GG303" s="55"/>
      <c r="GH303" s="53">
        <v>669.8</v>
      </c>
      <c r="GI303" s="55"/>
      <c r="GJ303" s="55"/>
      <c r="GK303" s="55"/>
      <c r="GL303" s="55"/>
      <c r="GM303" s="53">
        <v>57.3</v>
      </c>
      <c r="GN303" s="53">
        <v>42.9</v>
      </c>
      <c r="GO303" s="55"/>
      <c r="GP303" s="55"/>
      <c r="GQ303" s="53">
        <v>24.4</v>
      </c>
      <c r="GR303" s="55"/>
      <c r="GS303" s="53">
        <v>9.8000000000000007</v>
      </c>
      <c r="GT303" s="53" t="e">
        <v>#VALUE!</v>
      </c>
      <c r="GU303" s="55"/>
      <c r="GV303" s="55"/>
      <c r="GW303" s="55"/>
      <c r="GX303" s="53">
        <v>357.7</v>
      </c>
      <c r="GY303" s="19">
        <v>0.97828709288299165</v>
      </c>
      <c r="GZ303" s="53">
        <v>1378.7</v>
      </c>
      <c r="HA303" s="53">
        <v>1409.3</v>
      </c>
      <c r="HB303" s="18">
        <v>28.595525343999952</v>
      </c>
      <c r="HC303" s="18">
        <v>45.908000322599946</v>
      </c>
      <c r="HD303" s="18">
        <v>1604.495525344</v>
      </c>
      <c r="HE303" s="18">
        <v>-84.799999999999955</v>
      </c>
      <c r="HF303" s="53">
        <v>1575.9</v>
      </c>
      <c r="HG303" s="53">
        <v>1518</v>
      </c>
      <c r="HH303" s="53">
        <v>673.3</v>
      </c>
      <c r="HI303" s="53">
        <v>104.8</v>
      </c>
      <c r="HJ303" s="53">
        <v>720.1</v>
      </c>
      <c r="HK303" s="53">
        <v>19.8</v>
      </c>
      <c r="HL303" s="53">
        <v>57.8</v>
      </c>
      <c r="HM303" s="55"/>
      <c r="HN303" s="55"/>
      <c r="HO303" s="55"/>
      <c r="HP303" s="53" t="e">
        <v>#VALUE!</v>
      </c>
      <c r="HQ303" s="53">
        <v>4.5999999999999996</v>
      </c>
      <c r="HR303" s="53">
        <v>8.4</v>
      </c>
      <c r="HS303" s="53" t="e">
        <v>#VALUE!</v>
      </c>
      <c r="HT303" s="53">
        <v>36.799999999999997</v>
      </c>
      <c r="HU303" s="55"/>
      <c r="HV303" s="55"/>
      <c r="HW303" s="53">
        <v>307</v>
      </c>
      <c r="HX303" s="53" t="e">
        <v>#VALUE!</v>
      </c>
      <c r="HY303" s="53">
        <v>307</v>
      </c>
      <c r="HZ303" s="53">
        <v>51.8</v>
      </c>
      <c r="IA303" s="53">
        <v>233.8</v>
      </c>
      <c r="IB303" s="53">
        <v>83.8</v>
      </c>
      <c r="IC303" s="53">
        <v>150</v>
      </c>
      <c r="ID303" s="53">
        <v>85.5</v>
      </c>
      <c r="IE303" s="53">
        <v>64.5</v>
      </c>
      <c r="IF303" s="53" t="e">
        <v>#VALUE!</v>
      </c>
      <c r="IG303" s="53" t="e">
        <v>#VALUE!</v>
      </c>
      <c r="IH303" s="55"/>
      <c r="II303" s="55"/>
      <c r="IJ303" s="55"/>
      <c r="IK303" s="55"/>
      <c r="IL303" s="12">
        <v>21.399999999999977</v>
      </c>
      <c r="IM303" s="55"/>
      <c r="IN303" s="53">
        <v>59.7</v>
      </c>
      <c r="IO303" s="53">
        <v>60</v>
      </c>
      <c r="IP303" s="53" t="e">
        <v>#VALUE!</v>
      </c>
      <c r="IQ303" s="53">
        <v>42.2</v>
      </c>
      <c r="IR303" s="53">
        <v>14.6</v>
      </c>
      <c r="IS303" s="53" t="e">
        <v>#VALUE!</v>
      </c>
      <c r="IT303" s="53">
        <v>5.4</v>
      </c>
      <c r="IU303" s="53" t="e">
        <v>#VALUE!</v>
      </c>
      <c r="IV303" s="53" t="e">
        <v>#VALUE!</v>
      </c>
      <c r="IY303" s="48">
        <f t="shared" si="14"/>
        <v>47.461148793680778</v>
      </c>
      <c r="IZ303" s="48">
        <f>IY303-'NOPA Crush'!J303</f>
        <v>0.20114879368077965</v>
      </c>
      <c r="JB303" s="63">
        <f t="shared" si="12"/>
        <v>11.330814802094958</v>
      </c>
      <c r="JC303" s="64">
        <f>JB303-'NOPA Crush'!O303</f>
        <v>-4.9185197905043054E-2</v>
      </c>
      <c r="JD303" s="65"/>
      <c r="JE303" s="67">
        <f t="shared" si="13"/>
        <v>1269.3999999999999</v>
      </c>
      <c r="JF303" s="68">
        <f>'NOPA Crush'!Q303/'Census Crush'!JE303</f>
        <v>0.69517173467780058</v>
      </c>
    </row>
    <row r="304" spans="1:266">
      <c r="A304" s="39">
        <v>38292</v>
      </c>
      <c r="B304" s="51">
        <v>4533.2</v>
      </c>
      <c r="C304" s="51">
        <v>3391.7</v>
      </c>
      <c r="D304" s="51">
        <v>260.3</v>
      </c>
      <c r="E304" s="51">
        <v>1423.1</v>
      </c>
      <c r="F304" s="51">
        <v>15</v>
      </c>
      <c r="G304" s="51" t="s">
        <v>264</v>
      </c>
      <c r="H304" s="51" t="s">
        <v>264</v>
      </c>
      <c r="I304" s="51" t="s">
        <v>264</v>
      </c>
      <c r="J304" s="51" t="s">
        <v>264</v>
      </c>
      <c r="K304" s="51">
        <v>1688</v>
      </c>
      <c r="L304" s="49">
        <v>1191.2</v>
      </c>
      <c r="M304" s="51">
        <v>1013</v>
      </c>
      <c r="N304" s="51">
        <v>178.2</v>
      </c>
      <c r="O304" s="53">
        <v>82.2</v>
      </c>
      <c r="P304" s="51">
        <v>110.60000000000001</v>
      </c>
      <c r="Q304" s="51">
        <v>18.2</v>
      </c>
      <c r="R304" s="51">
        <v>92.4</v>
      </c>
      <c r="S304" s="51"/>
      <c r="T304" s="51">
        <v>11.9</v>
      </c>
      <c r="U304" s="51">
        <v>42.699999999999996</v>
      </c>
      <c r="V304" s="51">
        <v>40.299999999999997</v>
      </c>
      <c r="W304" s="51">
        <v>2.4</v>
      </c>
      <c r="X304" s="51" t="s">
        <v>264</v>
      </c>
      <c r="Y304" s="51" t="s">
        <v>264</v>
      </c>
      <c r="Z304" s="49">
        <v>41.7</v>
      </c>
      <c r="AA304" s="51">
        <v>31.5</v>
      </c>
      <c r="AB304" s="51">
        <v>10.199999999999999</v>
      </c>
      <c r="AC304" s="51" t="s">
        <v>264</v>
      </c>
      <c r="AD304" s="51" t="s">
        <v>264</v>
      </c>
      <c r="AE304" s="51"/>
      <c r="AF304" s="51">
        <v>64</v>
      </c>
      <c r="AG304" s="51">
        <v>50.4</v>
      </c>
      <c r="AH304" s="51">
        <v>13.6</v>
      </c>
      <c r="AI304" s="51">
        <v>187.1</v>
      </c>
      <c r="AJ304" s="55"/>
      <c r="AK304" s="55"/>
      <c r="AL304" s="51">
        <v>84</v>
      </c>
      <c r="AM304" s="51">
        <v>63</v>
      </c>
      <c r="AN304" s="51">
        <v>21</v>
      </c>
      <c r="AO304" s="51">
        <v>3326.8</v>
      </c>
      <c r="AP304" s="51">
        <v>240.5</v>
      </c>
      <c r="AQ304" s="51">
        <v>257.39999999999998</v>
      </c>
      <c r="AR304" s="51">
        <v>46.4</v>
      </c>
      <c r="AS304" s="51">
        <v>110.4</v>
      </c>
      <c r="AT304" s="51">
        <v>82.6</v>
      </c>
      <c r="AU304" s="51">
        <v>75.099999999999994</v>
      </c>
      <c r="AV304" s="51">
        <v>15.3</v>
      </c>
      <c r="AW304" s="51">
        <v>8.6</v>
      </c>
      <c r="AX304" s="51">
        <v>3.7</v>
      </c>
      <c r="AY304" s="51" t="s">
        <v>264</v>
      </c>
      <c r="AZ304" s="51" t="s">
        <v>264</v>
      </c>
      <c r="BA304" s="51" t="s">
        <v>264</v>
      </c>
      <c r="BB304" s="51" t="s">
        <v>264</v>
      </c>
      <c r="BC304" s="55"/>
      <c r="BD304" s="53">
        <v>150.1</v>
      </c>
      <c r="BE304" s="53">
        <v>21.7</v>
      </c>
      <c r="BF304" s="53">
        <v>74.900000000000006</v>
      </c>
      <c r="BG304" s="53">
        <v>8.1999999999999993</v>
      </c>
      <c r="BH304" s="53">
        <v>289.60000000000002</v>
      </c>
      <c r="BI304" s="53">
        <v>132.1</v>
      </c>
      <c r="BJ304" s="53">
        <v>92.5</v>
      </c>
      <c r="BK304" s="53">
        <v>224.6</v>
      </c>
      <c r="BL304" s="53">
        <v>0</v>
      </c>
      <c r="BM304" s="53">
        <v>514.20000000000005</v>
      </c>
      <c r="BN304" s="53">
        <v>193.5</v>
      </c>
      <c r="BO304" s="53">
        <v>49.8</v>
      </c>
      <c r="BP304" s="53">
        <v>26.9</v>
      </c>
      <c r="BQ304" s="53">
        <v>76.699999999999989</v>
      </c>
      <c r="BR304" s="53">
        <v>0</v>
      </c>
      <c r="BS304" s="53">
        <v>270.2</v>
      </c>
      <c r="BT304" s="53">
        <v>24.6</v>
      </c>
      <c r="BU304" s="53">
        <v>12.8</v>
      </c>
      <c r="BV304" s="51" t="s">
        <v>264</v>
      </c>
      <c r="BW304" s="51" t="s">
        <v>264</v>
      </c>
      <c r="BX304" s="51">
        <v>361.8</v>
      </c>
      <c r="BY304" s="51" t="s">
        <v>264</v>
      </c>
      <c r="BZ304" s="51" t="s">
        <v>264</v>
      </c>
      <c r="CA304" s="51">
        <v>40.1</v>
      </c>
      <c r="CB304" s="53">
        <v>82.9</v>
      </c>
      <c r="CC304" s="53" t="s">
        <v>264</v>
      </c>
      <c r="CD304" s="53">
        <v>104.4</v>
      </c>
      <c r="CE304" s="53">
        <v>18.5</v>
      </c>
      <c r="CF304" s="53">
        <v>98.5</v>
      </c>
      <c r="CG304" s="53">
        <v>124.5</v>
      </c>
      <c r="CH304" s="53">
        <v>17.260000000000002</v>
      </c>
      <c r="CI304" s="55"/>
      <c r="CJ304" s="55"/>
      <c r="CK304" s="12">
        <v>184</v>
      </c>
      <c r="CL304" s="12">
        <v>23.6</v>
      </c>
      <c r="CM304" s="55"/>
      <c r="CN304" s="53">
        <v>55.6</v>
      </c>
      <c r="CO304" s="53">
        <v>182.5</v>
      </c>
      <c r="CP304" s="53">
        <v>124.7</v>
      </c>
      <c r="CQ304" s="53">
        <v>57.8</v>
      </c>
      <c r="CR304" s="52" t="s">
        <v>264</v>
      </c>
      <c r="CS304" s="53">
        <v>26.9</v>
      </c>
      <c r="CT304" s="53">
        <v>14.5</v>
      </c>
      <c r="CU304" s="53">
        <v>12.4</v>
      </c>
      <c r="CV304" s="53">
        <v>90.3</v>
      </c>
      <c r="CW304" s="52" t="s">
        <v>264</v>
      </c>
      <c r="CX304" s="52" t="s">
        <v>264</v>
      </c>
      <c r="CY304" s="53" t="s">
        <v>264</v>
      </c>
      <c r="CZ304" s="53">
        <v>36.299999999999997</v>
      </c>
      <c r="DA304" s="12">
        <v>13.9</v>
      </c>
      <c r="DB304" s="53" t="s">
        <v>264</v>
      </c>
      <c r="DC304" s="53" t="s">
        <v>264</v>
      </c>
      <c r="DD304" s="55"/>
      <c r="DE304" s="55"/>
      <c r="DF304" s="55"/>
      <c r="DG304" s="55"/>
      <c r="DH304" s="55"/>
      <c r="DI304" s="53">
        <v>711.4</v>
      </c>
      <c r="DJ304" s="53">
        <v>426.8</v>
      </c>
      <c r="DK304" s="55"/>
      <c r="DL304" s="55"/>
      <c r="DM304" s="53">
        <v>256.10000000000002</v>
      </c>
      <c r="DN304" s="55"/>
      <c r="DO304" s="53">
        <v>186.5</v>
      </c>
      <c r="DP304" s="53">
        <v>316.60000000000002</v>
      </c>
      <c r="DQ304" s="55"/>
      <c r="DR304" s="55"/>
      <c r="DS304" s="53">
        <v>2439.3670000000002</v>
      </c>
      <c r="DT304" s="53">
        <v>4533.2</v>
      </c>
      <c r="DU304" s="53">
        <v>-196.43299999999999</v>
      </c>
      <c r="DV304" s="53">
        <v>0</v>
      </c>
      <c r="DW304" s="55"/>
      <c r="DX304" s="55"/>
      <c r="DY304" s="55"/>
      <c r="DZ304" s="55"/>
      <c r="EA304" s="53">
        <v>714.7</v>
      </c>
      <c r="EB304" s="53">
        <v>589</v>
      </c>
      <c r="EC304" s="55"/>
      <c r="ED304" s="55"/>
      <c r="EE304" s="53" t="e">
        <v>#VALUE!</v>
      </c>
      <c r="EF304" s="55"/>
      <c r="EG304" s="53">
        <v>168.6</v>
      </c>
      <c r="EH304" s="53" t="e">
        <v>#VALUE!</v>
      </c>
      <c r="EI304" s="55"/>
      <c r="EJ304" s="55"/>
      <c r="EK304" s="55"/>
      <c r="EL304" s="53">
        <v>3391.7</v>
      </c>
      <c r="EM304" s="55"/>
      <c r="EN304" s="55"/>
      <c r="EO304" s="55"/>
      <c r="EP304" s="55"/>
      <c r="EQ304" s="53">
        <v>268</v>
      </c>
      <c r="ER304" s="53">
        <v>158.80000000000001</v>
      </c>
      <c r="ES304" s="55"/>
      <c r="ET304" s="55"/>
      <c r="EU304" s="53">
        <v>93.2</v>
      </c>
      <c r="EV304" s="55"/>
      <c r="EW304" s="53">
        <v>70.8</v>
      </c>
      <c r="EX304" s="53">
        <v>112.7</v>
      </c>
      <c r="EY304" s="55"/>
      <c r="EZ304" s="55"/>
      <c r="FA304" s="55"/>
      <c r="FB304" s="53">
        <v>1688</v>
      </c>
      <c r="FC304" s="55"/>
      <c r="FD304" s="55"/>
      <c r="FE304" s="55"/>
      <c r="FF304" s="55"/>
      <c r="FG304" s="53">
        <v>564.4</v>
      </c>
      <c r="FH304" s="53">
        <v>338</v>
      </c>
      <c r="FI304" s="55"/>
      <c r="FJ304" s="55"/>
      <c r="FK304" s="53">
        <v>204.5</v>
      </c>
      <c r="FL304" s="55"/>
      <c r="FM304" s="53">
        <v>146.69999999999999</v>
      </c>
      <c r="FN304" s="53">
        <v>257.7</v>
      </c>
      <c r="FO304" s="55"/>
      <c r="FP304" s="55"/>
      <c r="FQ304" s="55"/>
      <c r="FR304" s="53">
        <v>3592.6</v>
      </c>
      <c r="FS304" s="55"/>
      <c r="FT304" s="55"/>
      <c r="FU304" s="55"/>
      <c r="FV304" s="55"/>
      <c r="FW304" s="53">
        <v>175.8</v>
      </c>
      <c r="FX304" s="53">
        <v>43.8</v>
      </c>
      <c r="FY304" s="55"/>
      <c r="FZ304" s="55"/>
      <c r="GA304" s="53" t="e">
        <v>#VALUE!</v>
      </c>
      <c r="GB304" s="55"/>
      <c r="GC304" s="53">
        <v>63.6</v>
      </c>
      <c r="GD304" s="53" t="e">
        <v>#VALUE!</v>
      </c>
      <c r="GE304" s="55"/>
      <c r="GF304" s="55"/>
      <c r="GG304" s="55"/>
      <c r="GH304" s="53">
        <v>635.79999999999995</v>
      </c>
      <c r="GI304" s="55"/>
      <c r="GJ304" s="55"/>
      <c r="GK304" s="55"/>
      <c r="GL304" s="55"/>
      <c r="GM304" s="53">
        <v>35.799999999999997</v>
      </c>
      <c r="GN304" s="53" t="e">
        <v>#VALUE!</v>
      </c>
      <c r="GO304" s="55"/>
      <c r="GP304" s="55"/>
      <c r="GQ304" s="53" t="e">
        <v>#VALUE!</v>
      </c>
      <c r="GR304" s="55"/>
      <c r="GS304" s="53" t="e">
        <v>#VALUE!</v>
      </c>
      <c r="GT304" s="53" t="e">
        <v>#VALUE!</v>
      </c>
      <c r="GU304" s="55"/>
      <c r="GV304" s="55"/>
      <c r="GW304" s="55"/>
      <c r="GX304" s="53">
        <v>286.8</v>
      </c>
      <c r="GY304" s="19">
        <v>0.97682774803842476</v>
      </c>
      <c r="GZ304" s="53">
        <v>1332.1</v>
      </c>
      <c r="HA304" s="53">
        <v>1363.7</v>
      </c>
      <c r="HB304" s="18">
        <v>36.154342552599473</v>
      </c>
      <c r="HC304" s="18">
        <v>174.11869099680007</v>
      </c>
      <c r="HD304" s="18">
        <v>1583.5543425525996</v>
      </c>
      <c r="HE304" s="18">
        <v>2</v>
      </c>
      <c r="HF304" s="53">
        <v>1547.4</v>
      </c>
      <c r="HG304" s="53">
        <v>1492.7</v>
      </c>
      <c r="HH304" s="53">
        <v>656</v>
      </c>
      <c r="HI304" s="53">
        <v>128.19999999999999</v>
      </c>
      <c r="HJ304" s="53">
        <v>688.2</v>
      </c>
      <c r="HK304" s="53">
        <v>20.2</v>
      </c>
      <c r="HL304" s="53">
        <v>54.7</v>
      </c>
      <c r="HM304" s="55"/>
      <c r="HN304" s="55"/>
      <c r="HO304" s="55"/>
      <c r="HP304" s="53" t="e">
        <v>#VALUE!</v>
      </c>
      <c r="HQ304" s="53">
        <v>6.3</v>
      </c>
      <c r="HR304" s="53">
        <v>7.1</v>
      </c>
      <c r="HS304" s="53" t="e">
        <v>#VALUE!</v>
      </c>
      <c r="HT304" s="53">
        <v>34.200000000000003</v>
      </c>
      <c r="HU304" s="55"/>
      <c r="HV304" s="55"/>
      <c r="HW304" s="53">
        <v>286.7</v>
      </c>
      <c r="HX304" s="53" t="e">
        <v>#VALUE!</v>
      </c>
      <c r="HY304" s="53">
        <v>286.7</v>
      </c>
      <c r="HZ304" s="53">
        <v>53.2</v>
      </c>
      <c r="IA304" s="53">
        <v>213.8</v>
      </c>
      <c r="IB304" s="53">
        <v>69.2</v>
      </c>
      <c r="IC304" s="53">
        <v>144.6</v>
      </c>
      <c r="ID304" s="53">
        <v>82.4</v>
      </c>
      <c r="IE304" s="53">
        <v>62.2</v>
      </c>
      <c r="IF304" s="53" t="e">
        <v>#VALUE!</v>
      </c>
      <c r="IG304" s="53" t="e">
        <v>#VALUE!</v>
      </c>
      <c r="IH304" s="55"/>
      <c r="II304" s="55"/>
      <c r="IJ304" s="55"/>
      <c r="IK304" s="55"/>
      <c r="IL304" s="12">
        <v>19.699999999999989</v>
      </c>
      <c r="IM304" s="55"/>
      <c r="IN304" s="53">
        <v>66.099999999999994</v>
      </c>
      <c r="IO304" s="53">
        <v>66.400000000000006</v>
      </c>
      <c r="IP304" s="53" t="e">
        <v>#VALUE!</v>
      </c>
      <c r="IQ304" s="53">
        <v>43</v>
      </c>
      <c r="IR304" s="53">
        <v>14.1</v>
      </c>
      <c r="IS304" s="53" t="e">
        <v>#VALUE!</v>
      </c>
      <c r="IT304" s="53">
        <v>26.6</v>
      </c>
      <c r="IU304" s="53" t="e">
        <v>#VALUE!</v>
      </c>
      <c r="IV304" s="53" t="e">
        <v>#VALUE!</v>
      </c>
      <c r="IY304" s="48">
        <f t="shared" si="14"/>
        <v>47.439336451072094</v>
      </c>
      <c r="IZ304" s="48">
        <f>IY304-'NOPA Crush'!J304</f>
        <v>0.15933645107209315</v>
      </c>
      <c r="JB304" s="63">
        <f t="shared" si="12"/>
        <v>11.170916791670344</v>
      </c>
      <c r="JC304" s="64">
        <f>JB304-'NOPA Crush'!O304</f>
        <v>-4.9083208329657069E-2</v>
      </c>
      <c r="JD304" s="65"/>
      <c r="JE304" s="67">
        <f t="shared" si="13"/>
        <v>1191.2</v>
      </c>
      <c r="JF304" s="68">
        <f>'NOPA Crush'!Q304/'Census Crush'!JE304</f>
        <v>0.74402787105439883</v>
      </c>
    </row>
    <row r="305" spans="1:266">
      <c r="A305" s="39">
        <v>38322</v>
      </c>
      <c r="B305" s="51">
        <v>4501.1000000000004</v>
      </c>
      <c r="C305" s="51">
        <v>3009.5</v>
      </c>
      <c r="D305" s="51">
        <v>263.5</v>
      </c>
      <c r="E305" s="51">
        <v>1671.5</v>
      </c>
      <c r="F305" s="51">
        <v>15.6</v>
      </c>
      <c r="G305" s="51" t="s">
        <v>264</v>
      </c>
      <c r="H305" s="51" t="s">
        <v>264</v>
      </c>
      <c r="I305" s="51" t="s">
        <v>264</v>
      </c>
      <c r="J305" s="51" t="s">
        <v>264</v>
      </c>
      <c r="K305" s="51">
        <v>1682.3</v>
      </c>
      <c r="L305" s="49">
        <v>1311.1</v>
      </c>
      <c r="M305" s="51">
        <v>1111</v>
      </c>
      <c r="N305" s="51">
        <v>200.1</v>
      </c>
      <c r="O305" s="53">
        <v>81.400000000000006</v>
      </c>
      <c r="P305" s="51">
        <v>111.2</v>
      </c>
      <c r="Q305" s="51">
        <v>17.2</v>
      </c>
      <c r="R305" s="51">
        <v>94</v>
      </c>
      <c r="S305" s="51"/>
      <c r="T305" s="51">
        <v>12.6</v>
      </c>
      <c r="U305" s="9">
        <v>45.4</v>
      </c>
      <c r="V305" s="51" t="s">
        <v>264</v>
      </c>
      <c r="W305" s="51" t="s">
        <v>264</v>
      </c>
      <c r="X305" s="51" t="s">
        <v>264</v>
      </c>
      <c r="Y305" s="51" t="s">
        <v>264</v>
      </c>
      <c r="Z305" s="49">
        <v>47.5</v>
      </c>
      <c r="AA305" s="51">
        <v>38.700000000000003</v>
      </c>
      <c r="AB305" s="51">
        <v>8.8000000000000007</v>
      </c>
      <c r="AC305" s="51" t="s">
        <v>264</v>
      </c>
      <c r="AD305" s="51" t="s">
        <v>264</v>
      </c>
      <c r="AE305" s="51"/>
      <c r="AF305" s="51">
        <v>62.2</v>
      </c>
      <c r="AG305" s="51">
        <v>46.9</v>
      </c>
      <c r="AH305" s="51">
        <v>15.3</v>
      </c>
      <c r="AI305" s="51">
        <v>191</v>
      </c>
      <c r="AJ305" s="55"/>
      <c r="AK305" s="55"/>
      <c r="AL305" s="51">
        <v>111.3</v>
      </c>
      <c r="AM305" s="51">
        <v>56.5</v>
      </c>
      <c r="AN305" s="51">
        <v>54.8</v>
      </c>
      <c r="AO305" s="51">
        <v>3310</v>
      </c>
      <c r="AP305" s="51">
        <v>229.9</v>
      </c>
      <c r="AQ305" s="51">
        <v>257.89999999999998</v>
      </c>
      <c r="AR305" s="51">
        <v>41.4</v>
      </c>
      <c r="AS305" s="51">
        <v>118.7</v>
      </c>
      <c r="AT305" s="51">
        <v>73.599999999999994</v>
      </c>
      <c r="AU305" s="51">
        <v>78</v>
      </c>
      <c r="AV305" s="51">
        <v>22</v>
      </c>
      <c r="AW305" s="51">
        <v>8.6999999999999993</v>
      </c>
      <c r="AX305" s="51">
        <v>2.8</v>
      </c>
      <c r="AY305" s="51" t="s">
        <v>264</v>
      </c>
      <c r="AZ305" s="51" t="s">
        <v>264</v>
      </c>
      <c r="BA305" s="51" t="s">
        <v>264</v>
      </c>
      <c r="BB305" s="51" t="s">
        <v>264</v>
      </c>
      <c r="BC305" s="55"/>
      <c r="BD305" s="53">
        <v>150.6</v>
      </c>
      <c r="BE305" s="53">
        <v>22.3</v>
      </c>
      <c r="BF305" s="53">
        <v>69.2</v>
      </c>
      <c r="BG305" s="53">
        <v>7.9</v>
      </c>
      <c r="BH305" s="53">
        <v>324.7</v>
      </c>
      <c r="BI305" s="53">
        <v>140.69999999999999</v>
      </c>
      <c r="BJ305" s="53">
        <v>92.4</v>
      </c>
      <c r="BK305" s="53">
        <v>233.1</v>
      </c>
      <c r="BL305" s="53">
        <v>0</v>
      </c>
      <c r="BM305" s="53">
        <v>557.79999999999995</v>
      </c>
      <c r="BN305" s="53">
        <v>197.7</v>
      </c>
      <c r="BO305" s="53">
        <v>40</v>
      </c>
      <c r="BP305" s="53">
        <v>32.9</v>
      </c>
      <c r="BQ305" s="53">
        <v>72.900000000000006</v>
      </c>
      <c r="BR305" s="53">
        <v>0</v>
      </c>
      <c r="BS305" s="53">
        <v>270.60000000000002</v>
      </c>
      <c r="BT305" s="53">
        <v>26</v>
      </c>
      <c r="BU305" s="53">
        <v>13.8</v>
      </c>
      <c r="BV305" s="51" t="s">
        <v>264</v>
      </c>
      <c r="BW305" s="51" t="s">
        <v>264</v>
      </c>
      <c r="BX305" s="51">
        <v>381</v>
      </c>
      <c r="BY305" s="51" t="s">
        <v>264</v>
      </c>
      <c r="BZ305" s="51" t="s">
        <v>264</v>
      </c>
      <c r="CA305" s="51">
        <v>43.6</v>
      </c>
      <c r="CB305" s="53">
        <v>87.2</v>
      </c>
      <c r="CC305" s="53" t="s">
        <v>264</v>
      </c>
      <c r="CD305" s="53">
        <v>111.9</v>
      </c>
      <c r="CE305" s="53">
        <v>17.5</v>
      </c>
      <c r="CF305" s="53">
        <v>104</v>
      </c>
      <c r="CG305" s="53">
        <v>95</v>
      </c>
      <c r="CH305" s="53">
        <v>10.696</v>
      </c>
      <c r="CI305" s="55"/>
      <c r="CJ305" s="55"/>
      <c r="CK305" s="12">
        <v>175.2</v>
      </c>
      <c r="CL305" s="12">
        <v>24.8</v>
      </c>
      <c r="CM305" s="55"/>
      <c r="CN305" s="53">
        <v>49.7</v>
      </c>
      <c r="CO305" s="53">
        <v>225.9</v>
      </c>
      <c r="CP305" s="53">
        <v>174.4</v>
      </c>
      <c r="CQ305" s="53">
        <v>51.5</v>
      </c>
      <c r="CR305" s="52" t="s">
        <v>264</v>
      </c>
      <c r="CS305" s="53">
        <v>31.200000000000003</v>
      </c>
      <c r="CT305" s="53">
        <v>20.6</v>
      </c>
      <c r="CU305" s="53">
        <v>10.6</v>
      </c>
      <c r="CV305" s="53">
        <v>92.4</v>
      </c>
      <c r="CW305" s="52" t="s">
        <v>264</v>
      </c>
      <c r="CX305" s="52" t="s">
        <v>264</v>
      </c>
      <c r="CY305" s="53" t="s">
        <v>264</v>
      </c>
      <c r="CZ305" s="53">
        <v>55.8</v>
      </c>
      <c r="DA305" s="12">
        <v>12.7</v>
      </c>
      <c r="DB305" s="53" t="s">
        <v>264</v>
      </c>
      <c r="DC305" s="53" t="s">
        <v>264</v>
      </c>
      <c r="DD305" s="55"/>
      <c r="DE305" s="55"/>
      <c r="DF305" s="55"/>
      <c r="DG305" s="55"/>
      <c r="DH305" s="55"/>
      <c r="DI305" s="53">
        <v>679.9</v>
      </c>
      <c r="DJ305" s="53">
        <v>413.3</v>
      </c>
      <c r="DK305" s="55"/>
      <c r="DL305" s="55"/>
      <c r="DM305" s="53">
        <v>269.7</v>
      </c>
      <c r="DN305" s="55"/>
      <c r="DO305" s="53">
        <v>191</v>
      </c>
      <c r="DP305" s="53">
        <v>307.2</v>
      </c>
      <c r="DQ305" s="55"/>
      <c r="DR305" s="55"/>
      <c r="DS305" s="53">
        <v>2434.192</v>
      </c>
      <c r="DT305" s="53">
        <v>4501.1000000000004</v>
      </c>
      <c r="DU305" s="53">
        <v>-205.80799999999999</v>
      </c>
      <c r="DV305" s="53">
        <v>0</v>
      </c>
      <c r="DW305" s="55"/>
      <c r="DX305" s="55"/>
      <c r="DY305" s="55"/>
      <c r="DZ305" s="55"/>
      <c r="EA305" s="53">
        <v>582.79999999999995</v>
      </c>
      <c r="EB305" s="53">
        <v>458.2</v>
      </c>
      <c r="EC305" s="55"/>
      <c r="ED305" s="55"/>
      <c r="EE305" s="53">
        <v>77</v>
      </c>
      <c r="EF305" s="55"/>
      <c r="EG305" s="53">
        <v>131.6</v>
      </c>
      <c r="EH305" s="53" t="e">
        <v>#VALUE!</v>
      </c>
      <c r="EI305" s="55"/>
      <c r="EJ305" s="55"/>
      <c r="EK305" s="55"/>
      <c r="EL305" s="53">
        <v>3009.5</v>
      </c>
      <c r="EM305" s="55"/>
      <c r="EN305" s="55"/>
      <c r="EO305" s="55"/>
      <c r="EP305" s="55"/>
      <c r="EQ305" s="53">
        <v>260.60000000000002</v>
      </c>
      <c r="ER305" s="53">
        <v>155.4</v>
      </c>
      <c r="ES305" s="55"/>
      <c r="ET305" s="55"/>
      <c r="EU305" s="53">
        <v>99</v>
      </c>
      <c r="EV305" s="55"/>
      <c r="EW305" s="53">
        <v>71.900000000000006</v>
      </c>
      <c r="EX305" s="53">
        <v>109.7</v>
      </c>
      <c r="EY305" s="55"/>
      <c r="EZ305" s="55"/>
      <c r="FA305" s="55"/>
      <c r="FB305" s="53">
        <v>1682.3</v>
      </c>
      <c r="FC305" s="55"/>
      <c r="FD305" s="55"/>
      <c r="FE305" s="55"/>
      <c r="FF305" s="55"/>
      <c r="FG305" s="53">
        <v>539</v>
      </c>
      <c r="FH305" s="53">
        <v>329.3</v>
      </c>
      <c r="FI305" s="55"/>
      <c r="FJ305" s="55"/>
      <c r="FK305" s="53">
        <v>217.8</v>
      </c>
      <c r="FL305" s="55"/>
      <c r="FM305" s="53">
        <v>150.69999999999999</v>
      </c>
      <c r="FN305" s="53">
        <v>247.8</v>
      </c>
      <c r="FO305" s="55"/>
      <c r="FP305" s="55"/>
      <c r="FQ305" s="55"/>
      <c r="FR305" s="53">
        <v>3576.1</v>
      </c>
      <c r="FS305" s="55"/>
      <c r="FT305" s="55"/>
      <c r="FU305" s="55"/>
      <c r="FV305" s="55"/>
      <c r="FW305" s="53">
        <v>205.7</v>
      </c>
      <c r="FX305" s="53">
        <v>57.6</v>
      </c>
      <c r="FY305" s="55"/>
      <c r="FZ305" s="55"/>
      <c r="GA305" s="53">
        <v>33.799999999999997</v>
      </c>
      <c r="GB305" s="55"/>
      <c r="GC305" s="53">
        <v>66.7</v>
      </c>
      <c r="GD305" s="53" t="e">
        <v>#VALUE!</v>
      </c>
      <c r="GE305" s="55"/>
      <c r="GF305" s="55"/>
      <c r="GG305" s="55"/>
      <c r="GH305" s="53">
        <v>749.9</v>
      </c>
      <c r="GI305" s="55"/>
      <c r="GJ305" s="55"/>
      <c r="GK305" s="55"/>
      <c r="GL305" s="55"/>
      <c r="GM305" s="53">
        <v>32</v>
      </c>
      <c r="GN305" s="53" t="e">
        <v>#VALUE!</v>
      </c>
      <c r="GO305" s="55"/>
      <c r="GP305" s="55"/>
      <c r="GQ305" s="53">
        <v>16.7</v>
      </c>
      <c r="GR305" s="55"/>
      <c r="GS305" s="53" t="e">
        <v>#VALUE!</v>
      </c>
      <c r="GT305" s="53" t="e">
        <v>#VALUE!</v>
      </c>
      <c r="GU305" s="55"/>
      <c r="GV305" s="55"/>
      <c r="GW305" s="55"/>
      <c r="GX305" s="53">
        <v>271.3</v>
      </c>
      <c r="GY305" s="19">
        <v>0.97195531599093832</v>
      </c>
      <c r="GZ305" s="53">
        <v>1244.2</v>
      </c>
      <c r="HA305" s="53">
        <v>1280.0999999999999</v>
      </c>
      <c r="HB305" s="18">
        <v>-60.850543692599786</v>
      </c>
      <c r="HC305" s="18">
        <v>-75.998969279199855</v>
      </c>
      <c r="HD305" s="18">
        <v>1324.2494563074001</v>
      </c>
      <c r="HE305" s="18">
        <v>-63.200000000000045</v>
      </c>
      <c r="HF305" s="53">
        <v>1385.1</v>
      </c>
      <c r="HG305" s="53">
        <v>1336.7</v>
      </c>
      <c r="HH305" s="53">
        <v>605.20000000000005</v>
      </c>
      <c r="HI305" s="53">
        <v>83.4</v>
      </c>
      <c r="HJ305" s="53">
        <v>627.5</v>
      </c>
      <c r="HK305" s="53">
        <v>20.6</v>
      </c>
      <c r="HL305" s="53">
        <v>48.4</v>
      </c>
      <c r="HM305" s="55"/>
      <c r="HN305" s="55"/>
      <c r="HO305" s="55"/>
      <c r="HP305" s="53" t="e">
        <v>#VALUE!</v>
      </c>
      <c r="HQ305" s="53">
        <v>6.5</v>
      </c>
      <c r="HR305" s="53">
        <v>5.7</v>
      </c>
      <c r="HS305" s="53" t="e">
        <v>#VALUE!</v>
      </c>
      <c r="HT305" s="53">
        <v>31.5</v>
      </c>
      <c r="HU305" s="55"/>
      <c r="HV305" s="55"/>
      <c r="HW305" s="53">
        <v>282</v>
      </c>
      <c r="HX305" s="53" t="e">
        <v>#VALUE!</v>
      </c>
      <c r="HY305" s="53">
        <v>282</v>
      </c>
      <c r="HZ305" s="53">
        <v>38.700000000000003</v>
      </c>
      <c r="IA305" s="53">
        <v>224.8</v>
      </c>
      <c r="IB305" s="53">
        <v>79.2</v>
      </c>
      <c r="IC305" s="53">
        <v>145.6</v>
      </c>
      <c r="ID305" s="53">
        <v>83.1</v>
      </c>
      <c r="IE305" s="53">
        <v>62.5</v>
      </c>
      <c r="IF305" s="53" t="e">
        <v>#VALUE!</v>
      </c>
      <c r="IG305" s="53" t="e">
        <v>#VALUE!</v>
      </c>
      <c r="IH305" s="55"/>
      <c r="II305" s="55"/>
      <c r="IJ305" s="55"/>
      <c r="IK305" s="55"/>
      <c r="IL305" s="12">
        <v>18.5</v>
      </c>
      <c r="IM305" s="55"/>
      <c r="IN305" s="53">
        <v>66.900000000000006</v>
      </c>
      <c r="IO305" s="53">
        <v>67</v>
      </c>
      <c r="IP305" s="53" t="e">
        <v>#VALUE!</v>
      </c>
      <c r="IQ305" s="53">
        <v>55.4</v>
      </c>
      <c r="IR305" s="53">
        <v>18.3</v>
      </c>
      <c r="IS305" s="53" t="e">
        <v>#VALUE!</v>
      </c>
      <c r="IT305" s="53">
        <v>35.1</v>
      </c>
      <c r="IU305" s="53" t="e">
        <v>#VALUE!</v>
      </c>
      <c r="IV305" s="53" t="e">
        <v>#VALUE!</v>
      </c>
      <c r="IY305" s="48">
        <f t="shared" si="14"/>
        <v>47.560374130768025</v>
      </c>
      <c r="IZ305" s="48">
        <f>IY305-'NOPA Crush'!J305</f>
        <v>0.23037413076802693</v>
      </c>
      <c r="JB305" s="63">
        <f t="shared" si="12"/>
        <v>11.212592477394413</v>
      </c>
      <c r="JC305" s="64">
        <f>JB305-'NOPA Crush'!O305</f>
        <v>-6.7407522605586578E-2</v>
      </c>
      <c r="JD305" s="65"/>
      <c r="JE305" s="67">
        <f t="shared" si="13"/>
        <v>1311.1</v>
      </c>
      <c r="JF305" s="68">
        <f>'NOPA Crush'!Q305/'Census Crush'!JE305</f>
        <v>0.74242010525512925</v>
      </c>
    </row>
    <row r="306" spans="1:266">
      <c r="A306" s="39">
        <v>38353</v>
      </c>
      <c r="B306" s="51">
        <v>4456.7</v>
      </c>
      <c r="C306" s="51">
        <v>2562.6</v>
      </c>
      <c r="D306" s="51">
        <v>283.10000000000002</v>
      </c>
      <c r="E306" s="51">
        <v>1768.9</v>
      </c>
      <c r="F306" s="51">
        <v>17.399999999999999</v>
      </c>
      <c r="G306" s="51" t="s">
        <v>264</v>
      </c>
      <c r="H306" s="51" t="s">
        <v>264</v>
      </c>
      <c r="I306" s="51" t="s">
        <v>264</v>
      </c>
      <c r="J306" s="51" t="s">
        <v>264</v>
      </c>
      <c r="K306" s="51">
        <v>1680.2</v>
      </c>
      <c r="L306" s="49">
        <v>1560</v>
      </c>
      <c r="M306" s="51">
        <v>1348.7</v>
      </c>
      <c r="N306" s="51">
        <v>211.3</v>
      </c>
      <c r="O306" s="53">
        <v>88.7</v>
      </c>
      <c r="P306" s="51">
        <v>116.7</v>
      </c>
      <c r="Q306" s="51">
        <v>15.8</v>
      </c>
      <c r="R306" s="51">
        <v>100.9</v>
      </c>
      <c r="S306" s="51"/>
      <c r="T306" s="51">
        <v>14.4</v>
      </c>
      <c r="U306" s="9">
        <v>46.9</v>
      </c>
      <c r="V306" s="51" t="s">
        <v>264</v>
      </c>
      <c r="W306" s="51" t="s">
        <v>264</v>
      </c>
      <c r="X306" s="51" t="s">
        <v>264</v>
      </c>
      <c r="Y306" s="51" t="s">
        <v>264</v>
      </c>
      <c r="Z306" s="49">
        <v>58</v>
      </c>
      <c r="AA306" s="51">
        <v>43.6</v>
      </c>
      <c r="AB306" s="51">
        <v>14.4</v>
      </c>
      <c r="AC306" s="51" t="s">
        <v>264</v>
      </c>
      <c r="AD306" s="51" t="s">
        <v>264</v>
      </c>
      <c r="AE306" s="51"/>
      <c r="AF306" s="51">
        <v>77</v>
      </c>
      <c r="AG306" s="51">
        <v>56.4</v>
      </c>
      <c r="AH306" s="51">
        <v>20.6</v>
      </c>
      <c r="AI306" s="51">
        <v>205.2</v>
      </c>
      <c r="AJ306" s="55"/>
      <c r="AK306" s="55"/>
      <c r="AL306" s="51">
        <v>106.5</v>
      </c>
      <c r="AM306" s="51">
        <v>59.5</v>
      </c>
      <c r="AN306" s="51">
        <v>47</v>
      </c>
      <c r="AO306" s="51">
        <v>3294.8</v>
      </c>
      <c r="AP306" s="51">
        <v>298.10000000000002</v>
      </c>
      <c r="AQ306" s="51">
        <v>257.7</v>
      </c>
      <c r="AR306" s="51">
        <v>42.7</v>
      </c>
      <c r="AS306" s="51">
        <v>125.7</v>
      </c>
      <c r="AT306" s="51">
        <v>78.8</v>
      </c>
      <c r="AU306" s="51">
        <v>81.599999999999994</v>
      </c>
      <c r="AV306" s="51">
        <v>29.9</v>
      </c>
      <c r="AW306" s="51">
        <v>9.1999999999999993</v>
      </c>
      <c r="AX306" s="51">
        <v>4.2</v>
      </c>
      <c r="AY306" s="51" t="s">
        <v>264</v>
      </c>
      <c r="AZ306" s="51" t="s">
        <v>264</v>
      </c>
      <c r="BA306" s="51" t="s">
        <v>264</v>
      </c>
      <c r="BB306" s="51" t="s">
        <v>264</v>
      </c>
      <c r="BC306" s="55"/>
      <c r="BD306" s="53">
        <v>142.5</v>
      </c>
      <c r="BE306" s="53">
        <v>18.3</v>
      </c>
      <c r="BF306" s="53">
        <v>66.900000000000006</v>
      </c>
      <c r="BG306" s="53">
        <v>10</v>
      </c>
      <c r="BH306" s="53">
        <v>309.89999999999998</v>
      </c>
      <c r="BI306" s="53">
        <v>128.30000000000001</v>
      </c>
      <c r="BJ306" s="53">
        <v>94.5</v>
      </c>
      <c r="BK306" s="53">
        <v>222.8</v>
      </c>
      <c r="BL306" s="53">
        <v>0</v>
      </c>
      <c r="BM306" s="53">
        <v>532.70000000000005</v>
      </c>
      <c r="BN306" s="53">
        <v>176.8</v>
      </c>
      <c r="BO306" s="53">
        <v>54.1</v>
      </c>
      <c r="BP306" s="53">
        <v>24.3</v>
      </c>
      <c r="BQ306" s="53">
        <v>78.400000000000006</v>
      </c>
      <c r="BR306" s="53">
        <v>0</v>
      </c>
      <c r="BS306" s="53">
        <v>255.20000000000002</v>
      </c>
      <c r="BT306" s="53">
        <v>19.7</v>
      </c>
      <c r="BU306" s="53">
        <v>14.4</v>
      </c>
      <c r="BV306" s="51" t="s">
        <v>264</v>
      </c>
      <c r="BW306" s="51" t="s">
        <v>264</v>
      </c>
      <c r="BX306" s="51">
        <v>377.4</v>
      </c>
      <c r="BY306" s="51" t="s">
        <v>264</v>
      </c>
      <c r="BZ306" s="51" t="s">
        <v>264</v>
      </c>
      <c r="CA306" s="51">
        <v>46</v>
      </c>
      <c r="CB306" s="53">
        <v>95</v>
      </c>
      <c r="CC306" s="53" t="s">
        <v>264</v>
      </c>
      <c r="CD306" s="53">
        <v>109.4</v>
      </c>
      <c r="CE306" s="53">
        <v>17.7</v>
      </c>
      <c r="CF306" s="53">
        <v>114.3</v>
      </c>
      <c r="CG306" s="53">
        <v>109.7</v>
      </c>
      <c r="CH306" s="53">
        <v>4.5</v>
      </c>
      <c r="CI306" s="53">
        <v>32.299999999999997</v>
      </c>
      <c r="CJ306" s="53">
        <v>6.4</v>
      </c>
      <c r="CK306" s="12">
        <v>132.30000000000001</v>
      </c>
      <c r="CL306" s="12">
        <v>13.3</v>
      </c>
      <c r="CM306" s="55"/>
      <c r="CN306" s="53">
        <v>52.7</v>
      </c>
      <c r="CO306" s="53">
        <v>163.80000000000001</v>
      </c>
      <c r="CP306" s="53">
        <v>125.2</v>
      </c>
      <c r="CQ306" s="53">
        <v>38.6</v>
      </c>
      <c r="CR306" s="52" t="s">
        <v>264</v>
      </c>
      <c r="CS306" s="53">
        <v>33.799999999999997</v>
      </c>
      <c r="CT306" s="53">
        <v>23.3</v>
      </c>
      <c r="CU306" s="53">
        <v>10.5</v>
      </c>
      <c r="CV306" s="53">
        <v>99.6</v>
      </c>
      <c r="CW306" s="52" t="s">
        <v>264</v>
      </c>
      <c r="CX306" s="52" t="s">
        <v>264</v>
      </c>
      <c r="CY306" s="52" t="s">
        <v>264</v>
      </c>
      <c r="CZ306" s="53">
        <v>66.099999999999994</v>
      </c>
      <c r="DA306" s="52">
        <v>14.9</v>
      </c>
      <c r="DB306" s="53">
        <v>13.3</v>
      </c>
      <c r="DC306" s="53">
        <v>1.6</v>
      </c>
      <c r="DD306" s="55"/>
      <c r="DE306" s="55"/>
      <c r="DF306" s="55"/>
      <c r="DG306" s="55"/>
      <c r="DH306" s="55"/>
      <c r="DI306" s="53">
        <v>690.3</v>
      </c>
      <c r="DJ306" s="53">
        <v>434.7</v>
      </c>
      <c r="DK306" s="55"/>
      <c r="DL306" s="55"/>
      <c r="DM306" s="53">
        <v>428</v>
      </c>
      <c r="DN306" s="55"/>
      <c r="DO306" s="53">
        <v>192.8</v>
      </c>
      <c r="DP306" s="53">
        <v>309.60000000000002</v>
      </c>
      <c r="DQ306" s="55"/>
      <c r="DR306" s="55"/>
      <c r="DS306" s="53">
        <v>2371.221</v>
      </c>
      <c r="DT306" s="53">
        <v>4456.7</v>
      </c>
      <c r="DU306" s="53">
        <v>-30.078999999999724</v>
      </c>
      <c r="DV306" s="53">
        <v>0</v>
      </c>
      <c r="DW306" s="55"/>
      <c r="DX306" s="55"/>
      <c r="DY306" s="55"/>
      <c r="DZ306" s="55"/>
      <c r="EA306" s="53">
        <v>454.1</v>
      </c>
      <c r="EB306" s="53">
        <v>520.79999999999995</v>
      </c>
      <c r="EC306" s="55"/>
      <c r="ED306" s="55"/>
      <c r="EE306" s="53">
        <v>115.3</v>
      </c>
      <c r="EF306" s="55"/>
      <c r="EG306" s="53">
        <v>81.599999999999994</v>
      </c>
      <c r="EH306" s="53">
        <v>209.6</v>
      </c>
      <c r="EI306" s="55"/>
      <c r="EJ306" s="55"/>
      <c r="EK306" s="53">
        <v>1046.5440000000001</v>
      </c>
      <c r="EL306" s="53">
        <v>2562.6</v>
      </c>
      <c r="EM306" s="55"/>
      <c r="EN306" s="55"/>
      <c r="EO306" s="55"/>
      <c r="EP306" s="55"/>
      <c r="EQ306" s="53">
        <v>264</v>
      </c>
      <c r="ER306" s="53">
        <v>164.3</v>
      </c>
      <c r="ES306" s="55"/>
      <c r="ET306" s="55"/>
      <c r="EU306" s="53">
        <v>160.9</v>
      </c>
      <c r="EV306" s="55"/>
      <c r="EW306" s="53">
        <v>74.3</v>
      </c>
      <c r="EX306" s="53">
        <v>111.9</v>
      </c>
      <c r="EY306" s="55"/>
      <c r="EZ306" s="55"/>
      <c r="FA306" s="53">
        <v>891.84</v>
      </c>
      <c r="FB306" s="53">
        <v>1680.2</v>
      </c>
      <c r="FC306" s="55"/>
      <c r="FD306" s="55"/>
      <c r="FE306" s="55"/>
      <c r="FF306" s="55"/>
      <c r="FG306" s="53">
        <v>557</v>
      </c>
      <c r="FH306" s="53">
        <v>347.5</v>
      </c>
      <c r="FI306" s="55"/>
      <c r="FJ306" s="55"/>
      <c r="FK306" s="53">
        <v>342.9</v>
      </c>
      <c r="FL306" s="55"/>
      <c r="FM306" s="53">
        <v>152.69999999999999</v>
      </c>
      <c r="FN306" s="53">
        <v>251.7</v>
      </c>
      <c r="FO306" s="55"/>
      <c r="FP306" s="55"/>
      <c r="FQ306" s="53">
        <v>1887.1389999999999</v>
      </c>
      <c r="FR306" s="53">
        <v>3561.9</v>
      </c>
      <c r="FS306" s="55"/>
      <c r="FT306" s="55"/>
      <c r="FU306" s="55"/>
      <c r="FV306" s="55"/>
      <c r="FW306" s="53">
        <v>220.2</v>
      </c>
      <c r="FX306" s="53">
        <v>102.3</v>
      </c>
      <c r="FY306" s="55"/>
      <c r="FZ306" s="55"/>
      <c r="GA306" s="53">
        <v>55.4</v>
      </c>
      <c r="GB306" s="55"/>
      <c r="GC306" s="53">
        <v>74</v>
      </c>
      <c r="GD306" s="53" t="e">
        <v>#VALUE!</v>
      </c>
      <c r="GE306" s="55"/>
      <c r="GF306" s="55"/>
      <c r="GG306" s="53">
        <v>364.17399999999998</v>
      </c>
      <c r="GH306" s="53">
        <v>861.5</v>
      </c>
      <c r="GI306" s="55"/>
      <c r="GJ306" s="55"/>
      <c r="GK306" s="55"/>
      <c r="GL306" s="55"/>
      <c r="GM306" s="53">
        <v>42</v>
      </c>
      <c r="GN306" s="53">
        <v>36.5</v>
      </c>
      <c r="GO306" s="55"/>
      <c r="GP306" s="55"/>
      <c r="GQ306" s="53">
        <v>44.8</v>
      </c>
      <c r="GR306" s="55"/>
      <c r="GS306" s="53" t="e">
        <v>#VALUE!</v>
      </c>
      <c r="GT306" s="53" t="e">
        <v>#VALUE!</v>
      </c>
      <c r="GU306" s="55"/>
      <c r="GV306" s="55"/>
      <c r="GW306" s="53">
        <v>208.66</v>
      </c>
      <c r="GX306" s="53">
        <v>340.9</v>
      </c>
      <c r="GY306" s="19">
        <v>0.9754692002180515</v>
      </c>
      <c r="GZ306" s="53">
        <v>1252.5999999999999</v>
      </c>
      <c r="HA306" s="53">
        <v>1284.0999999999999</v>
      </c>
      <c r="HB306" s="18">
        <v>-13.70768289800003</v>
      </c>
      <c r="HC306" s="18">
        <v>177.22797276379993</v>
      </c>
      <c r="HD306" s="18">
        <v>1355.992317102</v>
      </c>
      <c r="HE306" s="18">
        <v>-25.399999999999864</v>
      </c>
      <c r="HF306" s="14">
        <v>1369.7</v>
      </c>
      <c r="HG306" s="53">
        <v>1318.2</v>
      </c>
      <c r="HH306" s="53">
        <v>595.5</v>
      </c>
      <c r="HI306" s="53">
        <v>70.5</v>
      </c>
      <c r="HJ306" s="53">
        <v>635</v>
      </c>
      <c r="HK306" s="53">
        <v>17.100000000000001</v>
      </c>
      <c r="HL306" s="53">
        <v>51.5</v>
      </c>
      <c r="HM306" s="55"/>
      <c r="HN306" s="55"/>
      <c r="HO306" s="55"/>
      <c r="HP306" s="53" t="e">
        <v>#VALUE!</v>
      </c>
      <c r="HQ306" s="53">
        <v>4.3</v>
      </c>
      <c r="HR306" s="53">
        <v>8.4</v>
      </c>
      <c r="HS306" s="53" t="e">
        <v>#VALUE!</v>
      </c>
      <c r="HT306" s="53">
        <v>32.5</v>
      </c>
      <c r="HU306" s="55"/>
      <c r="HV306" s="55"/>
      <c r="HW306" s="53">
        <v>310.7</v>
      </c>
      <c r="HX306" s="53" t="e">
        <v>#VALUE!</v>
      </c>
      <c r="HY306" s="53">
        <v>310.7</v>
      </c>
      <c r="HZ306" s="53">
        <v>50.3</v>
      </c>
      <c r="IA306" s="53">
        <v>223.4</v>
      </c>
      <c r="IB306" s="53">
        <v>98.8</v>
      </c>
      <c r="IC306" s="53">
        <v>124.6</v>
      </c>
      <c r="ID306" s="53">
        <v>72.8</v>
      </c>
      <c r="IE306" s="53">
        <v>51.8</v>
      </c>
      <c r="IF306" s="53" t="e">
        <v>#VALUE!</v>
      </c>
      <c r="IG306" s="53" t="e">
        <v>#VALUE!</v>
      </c>
      <c r="IH306" s="55"/>
      <c r="II306" s="55"/>
      <c r="IJ306" s="55"/>
      <c r="IK306" s="55"/>
      <c r="IL306" s="12">
        <v>36.999999999999972</v>
      </c>
      <c r="IM306" s="55"/>
      <c r="IN306" s="53">
        <v>73.400000000000006</v>
      </c>
      <c r="IO306" s="53">
        <v>73.7</v>
      </c>
      <c r="IP306" s="53" t="e">
        <v>#VALUE!</v>
      </c>
      <c r="IQ306" s="53">
        <v>47.8</v>
      </c>
      <c r="IR306" s="53">
        <v>15.1</v>
      </c>
      <c r="IS306" s="53" t="e">
        <v>#VALUE!</v>
      </c>
      <c r="IT306" s="53">
        <v>31.4</v>
      </c>
      <c r="IU306" s="53" t="e">
        <v>#VALUE!</v>
      </c>
      <c r="IV306" s="53" t="e">
        <v>#VALUE!</v>
      </c>
      <c r="IY306" s="48">
        <f t="shared" si="14"/>
        <v>47.826867413108353</v>
      </c>
      <c r="IZ306" s="48">
        <f>IY306-'NOPA Crush'!J306</f>
        <v>0.23686741310834947</v>
      </c>
      <c r="JB306" s="63">
        <f t="shared" si="12"/>
        <v>11.310162227657235</v>
      </c>
      <c r="JC306" s="64">
        <f>JB306-'NOPA Crush'!O306</f>
        <v>-3.983777234276431E-2</v>
      </c>
      <c r="JD306" s="65"/>
      <c r="JE306" s="67">
        <f t="shared" si="13"/>
        <v>1560</v>
      </c>
      <c r="JF306" s="68">
        <f>'NOPA Crush'!Q306/'Census Crush'!JE306</f>
        <v>0.78007115384615389</v>
      </c>
    </row>
    <row r="307" spans="1:266">
      <c r="A307" s="39">
        <v>38384</v>
      </c>
      <c r="B307" s="51">
        <v>4127.8</v>
      </c>
      <c r="C307" s="51">
        <v>2644.1</v>
      </c>
      <c r="D307" s="51">
        <v>266.3</v>
      </c>
      <c r="E307" s="51">
        <v>1736.2</v>
      </c>
      <c r="F307" s="51">
        <v>15.5</v>
      </c>
      <c r="G307" s="51" t="s">
        <v>264</v>
      </c>
      <c r="H307" s="51" t="s">
        <v>264</v>
      </c>
      <c r="I307" s="51" t="s">
        <v>264</v>
      </c>
      <c r="J307" s="51" t="s">
        <v>264</v>
      </c>
      <c r="K307" s="51">
        <v>1564.1</v>
      </c>
      <c r="L307" s="49">
        <v>1646.8</v>
      </c>
      <c r="M307" s="51">
        <v>1426.1</v>
      </c>
      <c r="N307" s="51">
        <v>220.7</v>
      </c>
      <c r="O307" s="53">
        <v>83.4</v>
      </c>
      <c r="P307" s="51">
        <v>122</v>
      </c>
      <c r="Q307" s="51">
        <v>19.3</v>
      </c>
      <c r="R307" s="51">
        <v>102.7</v>
      </c>
      <c r="S307" s="51"/>
      <c r="T307" s="51">
        <v>13.1</v>
      </c>
      <c r="U307" s="9">
        <v>47.3</v>
      </c>
      <c r="V307" s="51" t="s">
        <v>264</v>
      </c>
      <c r="W307" s="51" t="s">
        <v>264</v>
      </c>
      <c r="X307" s="51" t="s">
        <v>264</v>
      </c>
      <c r="Y307" s="51" t="s">
        <v>264</v>
      </c>
      <c r="Z307" s="49">
        <v>68.599999999999994</v>
      </c>
      <c r="AA307" s="51">
        <v>53.3</v>
      </c>
      <c r="AB307" s="51">
        <v>15.3</v>
      </c>
      <c r="AC307" s="51" t="s">
        <v>264</v>
      </c>
      <c r="AD307" s="51" t="s">
        <v>264</v>
      </c>
      <c r="AE307" s="51"/>
      <c r="AF307" s="51">
        <v>80.400000000000006</v>
      </c>
      <c r="AG307" s="51">
        <v>63.7</v>
      </c>
      <c r="AH307" s="51">
        <v>16.7</v>
      </c>
      <c r="AI307" s="51">
        <v>184.3</v>
      </c>
      <c r="AJ307" s="55"/>
      <c r="AK307" s="55"/>
      <c r="AL307" s="51">
        <v>110.9</v>
      </c>
      <c r="AM307" s="51">
        <v>51.4</v>
      </c>
      <c r="AN307" s="51">
        <v>59.5</v>
      </c>
      <c r="AO307" s="51">
        <v>3057.5</v>
      </c>
      <c r="AP307" s="51">
        <v>263.5</v>
      </c>
      <c r="AQ307" s="51">
        <v>235.8</v>
      </c>
      <c r="AR307" s="51">
        <v>47</v>
      </c>
      <c r="AS307" s="51">
        <v>119.3</v>
      </c>
      <c r="AT307" s="51">
        <v>76.099999999999994</v>
      </c>
      <c r="AU307" s="51">
        <v>79.7</v>
      </c>
      <c r="AV307" s="51">
        <v>30.2</v>
      </c>
      <c r="AW307" s="51">
        <v>8.8000000000000007</v>
      </c>
      <c r="AX307" s="51">
        <v>3.3</v>
      </c>
      <c r="AY307" s="51" t="s">
        <v>264</v>
      </c>
      <c r="AZ307" s="51" t="s">
        <v>264</v>
      </c>
      <c r="BA307" s="51" t="s">
        <v>264</v>
      </c>
      <c r="BB307" s="51" t="s">
        <v>264</v>
      </c>
      <c r="BC307" s="55"/>
      <c r="BD307" s="53">
        <v>137.9</v>
      </c>
      <c r="BE307" s="53">
        <v>18</v>
      </c>
      <c r="BF307" s="53">
        <v>65.900000000000006</v>
      </c>
      <c r="BG307" s="53">
        <v>8.1</v>
      </c>
      <c r="BH307" s="53">
        <v>296.60000000000002</v>
      </c>
      <c r="BI307" s="53">
        <v>116.8</v>
      </c>
      <c r="BJ307" s="53">
        <v>95.2</v>
      </c>
      <c r="BK307" s="53">
        <v>212</v>
      </c>
      <c r="BL307" s="53">
        <v>0</v>
      </c>
      <c r="BM307" s="53">
        <v>508.6</v>
      </c>
      <c r="BN307" s="53">
        <v>144.80000000000001</v>
      </c>
      <c r="BO307" s="53">
        <v>59</v>
      </c>
      <c r="BP307" s="53">
        <v>26.7</v>
      </c>
      <c r="BQ307" s="53">
        <v>85.7</v>
      </c>
      <c r="BR307" s="53">
        <v>0</v>
      </c>
      <c r="BS307" s="53">
        <v>230.5</v>
      </c>
      <c r="BT307" s="53">
        <v>20.3</v>
      </c>
      <c r="BU307" s="53">
        <v>20.3</v>
      </c>
      <c r="BV307" s="51" t="s">
        <v>264</v>
      </c>
      <c r="BW307" s="51" t="s">
        <v>264</v>
      </c>
      <c r="BX307" s="51">
        <v>356.3</v>
      </c>
      <c r="BY307" s="51" t="s">
        <v>264</v>
      </c>
      <c r="BZ307" s="51" t="s">
        <v>264</v>
      </c>
      <c r="CA307" s="51">
        <v>38.299999999999997</v>
      </c>
      <c r="CB307" s="53">
        <v>88.4</v>
      </c>
      <c r="CC307" s="53" t="s">
        <v>264</v>
      </c>
      <c r="CD307" s="53">
        <v>101.9</v>
      </c>
      <c r="CE307" s="53">
        <v>16.2</v>
      </c>
      <c r="CF307" s="53">
        <v>102.3</v>
      </c>
      <c r="CG307" s="53">
        <v>108.6</v>
      </c>
      <c r="CH307" s="53">
        <v>5.9</v>
      </c>
      <c r="CI307" s="53">
        <v>28.7</v>
      </c>
      <c r="CJ307" s="53">
        <v>6.6</v>
      </c>
      <c r="CK307" s="12">
        <v>128.69999999999999</v>
      </c>
      <c r="CL307" s="12">
        <v>11.3</v>
      </c>
      <c r="CM307" s="55"/>
      <c r="CN307" s="53">
        <v>50.3</v>
      </c>
      <c r="CO307" s="53">
        <v>188.3</v>
      </c>
      <c r="CP307" s="53">
        <v>115</v>
      </c>
      <c r="CQ307" s="53">
        <v>73.3</v>
      </c>
      <c r="CR307" s="52" t="s">
        <v>264</v>
      </c>
      <c r="CS307" s="53">
        <v>33.9</v>
      </c>
      <c r="CT307" s="53">
        <v>23.5</v>
      </c>
      <c r="CU307" s="53">
        <v>10.4</v>
      </c>
      <c r="CV307" s="53">
        <v>76.900000000000006</v>
      </c>
      <c r="CW307" s="52" t="s">
        <v>264</v>
      </c>
      <c r="CX307" s="52" t="s">
        <v>264</v>
      </c>
      <c r="CY307" s="52" t="s">
        <v>264</v>
      </c>
      <c r="CZ307" s="53">
        <v>47.1</v>
      </c>
      <c r="DA307" s="12">
        <v>18</v>
      </c>
      <c r="DB307" s="53" t="s">
        <v>264</v>
      </c>
      <c r="DC307" s="53" t="s">
        <v>264</v>
      </c>
      <c r="DD307" s="55"/>
      <c r="DE307" s="55"/>
      <c r="DF307" s="55"/>
      <c r="DG307" s="55"/>
      <c r="DH307" s="55"/>
      <c r="DI307" s="53">
        <v>620</v>
      </c>
      <c r="DJ307" s="53">
        <v>377.6</v>
      </c>
      <c r="DK307" s="55"/>
      <c r="DL307" s="55"/>
      <c r="DM307" s="53">
        <v>405.7</v>
      </c>
      <c r="DN307" s="55"/>
      <c r="DO307" s="53">
        <v>173.9</v>
      </c>
      <c r="DP307" s="53">
        <v>275.8</v>
      </c>
      <c r="DQ307" s="55"/>
      <c r="DR307" s="55"/>
      <c r="DS307" s="53">
        <v>2252.837</v>
      </c>
      <c r="DT307" s="53">
        <v>4127.8</v>
      </c>
      <c r="DU307" s="53">
        <v>-21.963000000000648</v>
      </c>
      <c r="DV307" s="53">
        <v>0</v>
      </c>
      <c r="DW307" s="55"/>
      <c r="DX307" s="55"/>
      <c r="DY307" s="55"/>
      <c r="DZ307" s="55"/>
      <c r="EA307" s="53">
        <v>397.9</v>
      </c>
      <c r="EB307" s="53">
        <v>472.1</v>
      </c>
      <c r="EC307" s="55"/>
      <c r="ED307" s="55"/>
      <c r="EE307" s="53">
        <v>170</v>
      </c>
      <c r="EF307" s="55"/>
      <c r="EG307" s="53">
        <v>112</v>
      </c>
      <c r="EH307" s="53">
        <v>243.3</v>
      </c>
      <c r="EI307" s="55"/>
      <c r="EJ307" s="55"/>
      <c r="EK307" s="53">
        <v>1134.6579999999999</v>
      </c>
      <c r="EL307" s="53">
        <v>2644.1</v>
      </c>
      <c r="EM307" s="55"/>
      <c r="EN307" s="55"/>
      <c r="EO307" s="55"/>
      <c r="EP307" s="55"/>
      <c r="EQ307" s="53">
        <v>240.1</v>
      </c>
      <c r="ER307" s="53">
        <v>146.1</v>
      </c>
      <c r="ES307" s="55"/>
      <c r="ET307" s="55"/>
      <c r="EU307" s="53">
        <v>151.5</v>
      </c>
      <c r="EV307" s="55"/>
      <c r="EW307" s="53">
        <v>63.7</v>
      </c>
      <c r="EX307" s="53">
        <v>99.7</v>
      </c>
      <c r="EY307" s="55"/>
      <c r="EZ307" s="55"/>
      <c r="FA307" s="53">
        <v>852.46400000000006</v>
      </c>
      <c r="FB307" s="53">
        <v>1564.1</v>
      </c>
      <c r="FC307" s="55"/>
      <c r="FD307" s="55"/>
      <c r="FE307" s="55"/>
      <c r="FF307" s="55"/>
      <c r="FG307" s="53">
        <v>493</v>
      </c>
      <c r="FH307" s="53">
        <v>305.89999999999998</v>
      </c>
      <c r="FI307" s="55"/>
      <c r="FJ307" s="55"/>
      <c r="FK307" s="53">
        <v>325.10000000000002</v>
      </c>
      <c r="FL307" s="55"/>
      <c r="FM307" s="53">
        <v>137</v>
      </c>
      <c r="FN307" s="53">
        <v>224.3</v>
      </c>
      <c r="FO307" s="55"/>
      <c r="FP307" s="55"/>
      <c r="FQ307" s="53">
        <v>1798.6659999999999</v>
      </c>
      <c r="FR307" s="53">
        <v>3301.3</v>
      </c>
      <c r="FS307" s="55"/>
      <c r="FT307" s="55"/>
      <c r="FU307" s="55"/>
      <c r="FV307" s="55"/>
      <c r="FW307" s="53">
        <v>243.8</v>
      </c>
      <c r="FX307" s="53">
        <v>111.6</v>
      </c>
      <c r="FY307" s="55"/>
      <c r="FZ307" s="55"/>
      <c r="GA307" s="53">
        <v>73.599999999999994</v>
      </c>
      <c r="GB307" s="55"/>
      <c r="GC307" s="53">
        <v>64.3</v>
      </c>
      <c r="GD307" s="53" t="e">
        <v>#VALUE!</v>
      </c>
      <c r="GE307" s="55"/>
      <c r="GF307" s="55"/>
      <c r="GG307" s="53">
        <v>411.63600000000002</v>
      </c>
      <c r="GH307" s="53">
        <v>969.3</v>
      </c>
      <c r="GI307" s="55"/>
      <c r="GJ307" s="55"/>
      <c r="GK307" s="55"/>
      <c r="GL307" s="55"/>
      <c r="GM307" s="53">
        <v>46.3</v>
      </c>
      <c r="GN307" s="53">
        <v>31</v>
      </c>
      <c r="GO307" s="55"/>
      <c r="GP307" s="55"/>
      <c r="GQ307" s="53">
        <v>44.9</v>
      </c>
      <c r="GR307" s="55"/>
      <c r="GS307" s="53" t="e">
        <v>#VALUE!</v>
      </c>
      <c r="GT307" s="53" t="e">
        <v>#VALUE!</v>
      </c>
      <c r="GU307" s="55"/>
      <c r="GV307" s="55"/>
      <c r="GW307" s="53">
        <v>182.845</v>
      </c>
      <c r="GX307" s="53">
        <v>310.39999999999998</v>
      </c>
      <c r="GY307" s="19">
        <v>0.97858602370249281</v>
      </c>
      <c r="GZ307" s="53">
        <v>1197.3</v>
      </c>
      <c r="HA307" s="53">
        <v>1223.5</v>
      </c>
      <c r="HB307" s="18">
        <v>-146.61997650879994</v>
      </c>
      <c r="HC307" s="18">
        <v>-94.108540864199995</v>
      </c>
      <c r="HD307" s="18">
        <v>1261.1800234912</v>
      </c>
      <c r="HE307" s="18">
        <v>-26.5</v>
      </c>
      <c r="HF307" s="14">
        <v>1407.8</v>
      </c>
      <c r="HG307" s="53">
        <v>1359.9</v>
      </c>
      <c r="HH307" s="53">
        <v>629.70000000000005</v>
      </c>
      <c r="HI307" s="53">
        <v>67.3</v>
      </c>
      <c r="HJ307" s="53">
        <v>652.9</v>
      </c>
      <c r="HK307" s="53">
        <v>10</v>
      </c>
      <c r="HL307" s="53">
        <v>47.9</v>
      </c>
      <c r="HM307" s="55"/>
      <c r="HN307" s="55"/>
      <c r="HO307" s="55"/>
      <c r="HP307" s="53" t="e">
        <v>#VALUE!</v>
      </c>
      <c r="HQ307" s="53">
        <v>3.7</v>
      </c>
      <c r="HR307" s="53">
        <v>8.8000000000000007</v>
      </c>
      <c r="HS307" s="53" t="e">
        <v>#VALUE!</v>
      </c>
      <c r="HT307" s="53">
        <v>29.2</v>
      </c>
      <c r="HU307" s="55"/>
      <c r="HV307" s="55"/>
      <c r="HW307" s="53">
        <v>309.10000000000002</v>
      </c>
      <c r="HX307" s="53" t="e">
        <v>#VALUE!</v>
      </c>
      <c r="HY307" s="53">
        <v>309.10000000000002</v>
      </c>
      <c r="HZ307" s="53">
        <v>42.4</v>
      </c>
      <c r="IA307" s="53">
        <v>225.5</v>
      </c>
      <c r="IB307" s="53">
        <v>95.8</v>
      </c>
      <c r="IC307" s="53">
        <v>129.69999999999999</v>
      </c>
      <c r="ID307" s="53">
        <v>74.7</v>
      </c>
      <c r="IE307" s="53">
        <v>55</v>
      </c>
      <c r="IF307" s="53" t="e">
        <v>#VALUE!</v>
      </c>
      <c r="IG307" s="53" t="e">
        <v>#VALUE!</v>
      </c>
      <c r="IH307" s="55"/>
      <c r="II307" s="55"/>
      <c r="IJ307" s="55"/>
      <c r="IK307" s="55"/>
      <c r="IL307" s="12">
        <v>41.200000000000045</v>
      </c>
      <c r="IM307" s="55"/>
      <c r="IN307" s="53">
        <v>68.8</v>
      </c>
      <c r="IO307" s="53">
        <v>69.2</v>
      </c>
      <c r="IP307" s="53" t="e">
        <v>#VALUE!</v>
      </c>
      <c r="IQ307" s="53">
        <v>42.2</v>
      </c>
      <c r="IR307" s="53">
        <v>15.6</v>
      </c>
      <c r="IS307" s="53" t="e">
        <v>#VALUE!</v>
      </c>
      <c r="IT307" s="53">
        <v>25.1</v>
      </c>
      <c r="IU307" s="53" t="e">
        <v>#VALUE!</v>
      </c>
      <c r="IV307" s="53" t="e">
        <v>#VALUE!</v>
      </c>
      <c r="IY307" s="48">
        <f t="shared" si="14"/>
        <v>47.870051843597075</v>
      </c>
      <c r="IZ307" s="48">
        <f>IY307-'NOPA Crush'!J307</f>
        <v>0.23005184359707442</v>
      </c>
      <c r="JB307" s="63">
        <f t="shared" si="12"/>
        <v>11.367556567663161</v>
      </c>
      <c r="JC307" s="64">
        <f>JB307-'NOPA Crush'!O307</f>
        <v>-6.2443432336838356E-2</v>
      </c>
      <c r="JD307" s="65"/>
      <c r="JE307" s="67">
        <f t="shared" si="13"/>
        <v>1646.8</v>
      </c>
      <c r="JF307" s="68">
        <f>'NOPA Crush'!Q307/'Census Crush'!JE307</f>
        <v>0.75753036191401502</v>
      </c>
    </row>
    <row r="308" spans="1:266">
      <c r="A308" s="39">
        <v>38412</v>
      </c>
      <c r="B308" s="51">
        <v>4454.8</v>
      </c>
      <c r="C308" s="51">
        <v>2664.7</v>
      </c>
      <c r="D308" s="51">
        <v>270.2</v>
      </c>
      <c r="E308" s="51">
        <v>1565.1</v>
      </c>
      <c r="F308" s="51">
        <v>11.4</v>
      </c>
      <c r="G308" s="51" t="s">
        <v>264</v>
      </c>
      <c r="H308" s="51" t="s">
        <v>264</v>
      </c>
      <c r="I308" s="51" t="s">
        <v>264</v>
      </c>
      <c r="J308" s="51" t="s">
        <v>264</v>
      </c>
      <c r="K308" s="51">
        <v>1686.4</v>
      </c>
      <c r="L308" s="49">
        <v>1812.6999999999998</v>
      </c>
      <c r="M308" s="51">
        <v>1589.6</v>
      </c>
      <c r="N308" s="51">
        <v>223.1</v>
      </c>
      <c r="O308" s="53">
        <v>84.3</v>
      </c>
      <c r="P308" s="51">
        <v>113</v>
      </c>
      <c r="Q308" s="51">
        <v>11.9</v>
      </c>
      <c r="R308" s="51">
        <v>101.1</v>
      </c>
      <c r="S308" s="51"/>
      <c r="T308" s="51">
        <v>9.9</v>
      </c>
      <c r="U308" s="9">
        <v>48.3</v>
      </c>
      <c r="V308" s="51" t="s">
        <v>264</v>
      </c>
      <c r="W308" s="51" t="s">
        <v>264</v>
      </c>
      <c r="X308" s="51" t="s">
        <v>264</v>
      </c>
      <c r="Y308" s="51" t="s">
        <v>264</v>
      </c>
      <c r="Z308" s="49">
        <v>74.5</v>
      </c>
      <c r="AA308" s="51">
        <v>56.8</v>
      </c>
      <c r="AB308" s="51">
        <v>17.7</v>
      </c>
      <c r="AC308" s="51" t="s">
        <v>264</v>
      </c>
      <c r="AD308" s="51" t="s">
        <v>264</v>
      </c>
      <c r="AE308" s="51"/>
      <c r="AF308" s="51">
        <v>95.7</v>
      </c>
      <c r="AG308" s="51">
        <v>80.3</v>
      </c>
      <c r="AH308" s="51">
        <v>15.4</v>
      </c>
      <c r="AI308" s="51">
        <v>208.5</v>
      </c>
      <c r="AJ308" s="55"/>
      <c r="AK308" s="55"/>
      <c r="AL308" s="51">
        <v>93.300000000000011</v>
      </c>
      <c r="AM308" s="51">
        <v>40.700000000000003</v>
      </c>
      <c r="AN308" s="51">
        <v>52.6</v>
      </c>
      <c r="AO308" s="51">
        <v>3295.8</v>
      </c>
      <c r="AP308" s="51">
        <v>215.6</v>
      </c>
      <c r="AQ308" s="51">
        <v>251.9</v>
      </c>
      <c r="AR308" s="51">
        <v>32.4</v>
      </c>
      <c r="AS308" s="51">
        <v>120.4</v>
      </c>
      <c r="AT308" s="51">
        <v>69.900000000000006</v>
      </c>
      <c r="AU308" s="51">
        <v>81.7</v>
      </c>
      <c r="AV308" s="51">
        <v>35</v>
      </c>
      <c r="AW308" s="51">
        <v>6.8</v>
      </c>
      <c r="AX308" s="51">
        <v>2.2999999999999998</v>
      </c>
      <c r="AY308" s="51" t="s">
        <v>264</v>
      </c>
      <c r="AZ308" s="51" t="s">
        <v>264</v>
      </c>
      <c r="BA308" s="51" t="s">
        <v>264</v>
      </c>
      <c r="BB308" s="51" t="s">
        <v>264</v>
      </c>
      <c r="BC308" s="55"/>
      <c r="BD308" s="53">
        <v>160.4</v>
      </c>
      <c r="BE308" s="53">
        <v>20.9</v>
      </c>
      <c r="BF308" s="53">
        <v>75.2</v>
      </c>
      <c r="BG308" s="53">
        <v>7.9</v>
      </c>
      <c r="BH308" s="53">
        <v>327.2</v>
      </c>
      <c r="BI308" s="53">
        <v>125.9</v>
      </c>
      <c r="BJ308" s="53">
        <v>98.5</v>
      </c>
      <c r="BK308" s="53">
        <v>224.4</v>
      </c>
      <c r="BL308" s="53">
        <v>0</v>
      </c>
      <c r="BM308" s="53">
        <v>551.6</v>
      </c>
      <c r="BN308" s="53">
        <v>169.7</v>
      </c>
      <c r="BO308" s="53">
        <v>54.1</v>
      </c>
      <c r="BP308" s="53">
        <v>25.2</v>
      </c>
      <c r="BQ308" s="53">
        <v>79.3</v>
      </c>
      <c r="BR308" s="53">
        <v>0</v>
      </c>
      <c r="BS308" s="53">
        <v>249</v>
      </c>
      <c r="BT308" s="53">
        <v>21.6</v>
      </c>
      <c r="BU308" s="53">
        <v>18.899999999999999</v>
      </c>
      <c r="BV308" s="51" t="s">
        <v>264</v>
      </c>
      <c r="BW308" s="51" t="s">
        <v>264</v>
      </c>
      <c r="BX308" s="51">
        <v>392.7</v>
      </c>
      <c r="BY308" s="51" t="s">
        <v>264</v>
      </c>
      <c r="BZ308" s="51" t="s">
        <v>264</v>
      </c>
      <c r="CA308" s="51">
        <v>36.700000000000003</v>
      </c>
      <c r="CB308" s="53">
        <v>100.7</v>
      </c>
      <c r="CC308" s="53" t="s">
        <v>264</v>
      </c>
      <c r="CD308" s="53">
        <v>107.9</v>
      </c>
      <c r="CE308" s="53">
        <v>11.1</v>
      </c>
      <c r="CF308" s="53">
        <v>113.8</v>
      </c>
      <c r="CG308" s="53">
        <v>133.69999999999999</v>
      </c>
      <c r="CH308" s="53">
        <v>4.8</v>
      </c>
      <c r="CI308" s="53">
        <v>32.1</v>
      </c>
      <c r="CJ308" s="53">
        <v>5.4</v>
      </c>
      <c r="CK308" s="12">
        <v>155.30000000000001</v>
      </c>
      <c r="CL308" s="12">
        <v>13.2</v>
      </c>
      <c r="CM308" s="55"/>
      <c r="CN308" s="53">
        <v>54.5</v>
      </c>
      <c r="CO308" s="53">
        <v>190.89999999999998</v>
      </c>
      <c r="CP308" s="53">
        <v>126.3</v>
      </c>
      <c r="CQ308" s="53">
        <v>64.599999999999994</v>
      </c>
      <c r="CR308" s="52" t="s">
        <v>264</v>
      </c>
      <c r="CS308" s="53">
        <v>39.299999999999997</v>
      </c>
      <c r="CT308" s="53">
        <v>27</v>
      </c>
      <c r="CU308" s="53">
        <v>12.3</v>
      </c>
      <c r="CV308" s="53">
        <v>95.3</v>
      </c>
      <c r="CW308" s="52" t="s">
        <v>264</v>
      </c>
      <c r="CX308" s="52" t="s">
        <v>264</v>
      </c>
      <c r="CY308" s="52" t="s">
        <v>264</v>
      </c>
      <c r="CZ308" s="53">
        <v>54.2</v>
      </c>
      <c r="DA308" s="12">
        <v>15.1</v>
      </c>
      <c r="DB308" s="53" t="s">
        <v>264</v>
      </c>
      <c r="DC308" s="53" t="s">
        <v>264</v>
      </c>
      <c r="DD308" s="55"/>
      <c r="DE308" s="55"/>
      <c r="DF308" s="55"/>
      <c r="DG308" s="55"/>
      <c r="DH308" s="55"/>
      <c r="DI308" s="53">
        <v>636.6</v>
      </c>
      <c r="DJ308" s="53">
        <v>429.7</v>
      </c>
      <c r="DK308" s="55"/>
      <c r="DL308" s="55"/>
      <c r="DM308" s="53">
        <v>460.4</v>
      </c>
      <c r="DN308" s="55"/>
      <c r="DO308" s="53">
        <v>207.7</v>
      </c>
      <c r="DP308" s="53">
        <v>317.5</v>
      </c>
      <c r="DQ308" s="55"/>
      <c r="DR308" s="55"/>
      <c r="DS308" s="53">
        <v>2378.402</v>
      </c>
      <c r="DT308" s="53">
        <v>4454.8</v>
      </c>
      <c r="DU308" s="53">
        <v>-24.498000000000502</v>
      </c>
      <c r="DV308" s="53">
        <v>0</v>
      </c>
      <c r="DW308" s="55"/>
      <c r="DX308" s="55"/>
      <c r="DY308" s="55"/>
      <c r="DZ308" s="55"/>
      <c r="EA308" s="53">
        <v>395.8</v>
      </c>
      <c r="EB308" s="53">
        <v>502.8</v>
      </c>
      <c r="EC308" s="55"/>
      <c r="ED308" s="55"/>
      <c r="EE308" s="53">
        <v>133</v>
      </c>
      <c r="EF308" s="55"/>
      <c r="EG308" s="53">
        <v>115.1</v>
      </c>
      <c r="EH308" s="53">
        <v>298.7</v>
      </c>
      <c r="EI308" s="55"/>
      <c r="EJ308" s="55"/>
      <c r="EK308" s="53">
        <v>1079.2929999999999</v>
      </c>
      <c r="EL308" s="53">
        <v>2664.7</v>
      </c>
      <c r="EM308" s="55"/>
      <c r="EN308" s="55"/>
      <c r="EO308" s="55"/>
      <c r="EP308" s="55"/>
      <c r="EQ308" s="53">
        <v>246.2</v>
      </c>
      <c r="ER308" s="53">
        <v>163.4</v>
      </c>
      <c r="ES308" s="55"/>
      <c r="ET308" s="55"/>
      <c r="EU308" s="53">
        <v>173</v>
      </c>
      <c r="EV308" s="55"/>
      <c r="EW308" s="53">
        <v>78.5</v>
      </c>
      <c r="EX308" s="53">
        <v>117.3</v>
      </c>
      <c r="EY308" s="55"/>
      <c r="EZ308" s="55"/>
      <c r="FA308" s="53">
        <v>896.14</v>
      </c>
      <c r="FB308" s="53">
        <v>1686.4</v>
      </c>
      <c r="FC308" s="55"/>
      <c r="FD308" s="55"/>
      <c r="FE308" s="55"/>
      <c r="FF308" s="55"/>
      <c r="FG308" s="53">
        <v>500.1</v>
      </c>
      <c r="FH308" s="53">
        <v>345.3</v>
      </c>
      <c r="FI308" s="55"/>
      <c r="FJ308" s="55"/>
      <c r="FK308" s="53">
        <v>370.7</v>
      </c>
      <c r="FL308" s="55"/>
      <c r="FM308" s="53">
        <v>164.6</v>
      </c>
      <c r="FN308" s="53">
        <v>262.8</v>
      </c>
      <c r="FO308" s="55"/>
      <c r="FP308" s="55"/>
      <c r="FQ308" s="53">
        <v>1895.76</v>
      </c>
      <c r="FR308" s="53">
        <v>3556.4</v>
      </c>
      <c r="FS308" s="55"/>
      <c r="FT308" s="55"/>
      <c r="FU308" s="55"/>
      <c r="FV308" s="55"/>
      <c r="FW308" s="53">
        <v>264</v>
      </c>
      <c r="FX308" s="53">
        <v>123.6</v>
      </c>
      <c r="FY308" s="55"/>
      <c r="FZ308" s="55"/>
      <c r="GA308" s="53">
        <v>91</v>
      </c>
      <c r="GB308" s="55"/>
      <c r="GC308" s="53">
        <v>66.2</v>
      </c>
      <c r="GD308" s="53" t="e">
        <v>#VALUE!</v>
      </c>
      <c r="GE308" s="55"/>
      <c r="GF308" s="55"/>
      <c r="GG308" s="53">
        <v>441.35399999999998</v>
      </c>
      <c r="GH308" s="53">
        <v>1051.3</v>
      </c>
      <c r="GI308" s="55"/>
      <c r="GJ308" s="55"/>
      <c r="GK308" s="55"/>
      <c r="GL308" s="55"/>
      <c r="GM308" s="53">
        <v>55.1</v>
      </c>
      <c r="GN308" s="53">
        <v>33.799999999999997</v>
      </c>
      <c r="GO308" s="55"/>
      <c r="GP308" s="55"/>
      <c r="GQ308" s="53">
        <v>29.8</v>
      </c>
      <c r="GR308" s="55"/>
      <c r="GS308" s="53" t="e">
        <v>#VALUE!</v>
      </c>
      <c r="GT308" s="53" t="e">
        <v>#VALUE!</v>
      </c>
      <c r="GU308" s="55"/>
      <c r="GV308" s="55"/>
      <c r="GW308" s="53">
        <v>122.819</v>
      </c>
      <c r="GX308" s="53">
        <v>248</v>
      </c>
      <c r="GY308" s="19">
        <v>0.97968347442031656</v>
      </c>
      <c r="GZ308" s="53">
        <v>1330.9</v>
      </c>
      <c r="HA308" s="53">
        <v>1358.5</v>
      </c>
      <c r="HB308" s="18">
        <v>-167.66350832539979</v>
      </c>
      <c r="HC308" s="18">
        <v>-85.291753623200293</v>
      </c>
      <c r="HD308" s="18">
        <v>1447.5364916746003</v>
      </c>
      <c r="HE308" s="18">
        <v>51.799999999999955</v>
      </c>
      <c r="HF308" s="14">
        <v>1615.2</v>
      </c>
      <c r="HG308" s="53">
        <v>1553.9</v>
      </c>
      <c r="HH308" s="53">
        <v>734.5</v>
      </c>
      <c r="HI308" s="53">
        <v>81.400000000000006</v>
      </c>
      <c r="HJ308" s="53">
        <v>726.5</v>
      </c>
      <c r="HK308" s="53">
        <v>11.5</v>
      </c>
      <c r="HL308" s="53">
        <v>61.3</v>
      </c>
      <c r="HM308" s="55"/>
      <c r="HN308" s="55"/>
      <c r="HO308" s="55"/>
      <c r="HP308" s="53" t="e">
        <v>#VALUE!</v>
      </c>
      <c r="HQ308" s="53">
        <v>8.4</v>
      </c>
      <c r="HR308" s="53">
        <v>6.3</v>
      </c>
      <c r="HS308" s="53" t="e">
        <v>#VALUE!</v>
      </c>
      <c r="HT308" s="53">
        <v>38.6</v>
      </c>
      <c r="HU308" s="55"/>
      <c r="HV308" s="55"/>
      <c r="HW308" s="53">
        <v>351.6</v>
      </c>
      <c r="HX308" s="53" t="e">
        <v>#VALUE!</v>
      </c>
      <c r="HY308" s="53">
        <v>351.6</v>
      </c>
      <c r="HZ308" s="53">
        <v>53.7</v>
      </c>
      <c r="IA308" s="53">
        <v>253.2</v>
      </c>
      <c r="IB308" s="53">
        <v>107.2</v>
      </c>
      <c r="IC308" s="53">
        <v>146</v>
      </c>
      <c r="ID308" s="53">
        <v>87</v>
      </c>
      <c r="IE308" s="53">
        <v>59</v>
      </c>
      <c r="IF308" s="53">
        <v>26.7</v>
      </c>
      <c r="IG308" s="53" t="e">
        <v>#VALUE!</v>
      </c>
      <c r="IH308" s="55"/>
      <c r="II308" s="55"/>
      <c r="IJ308" s="55"/>
      <c r="IK308" s="55"/>
      <c r="IL308" s="12">
        <v>44.700000000000045</v>
      </c>
      <c r="IM308" s="55"/>
      <c r="IN308" s="53">
        <v>66.599999999999994</v>
      </c>
      <c r="IO308" s="53">
        <v>66.8</v>
      </c>
      <c r="IP308" s="53" t="e">
        <v>#VALUE!</v>
      </c>
      <c r="IQ308" s="53">
        <v>54.7</v>
      </c>
      <c r="IR308" s="53">
        <v>23.3</v>
      </c>
      <c r="IS308" s="53" t="e">
        <v>#VALUE!</v>
      </c>
      <c r="IT308" s="53">
        <v>30</v>
      </c>
      <c r="IU308" s="53" t="e">
        <v>#VALUE!</v>
      </c>
      <c r="IV308" s="53" t="e">
        <v>#VALUE!</v>
      </c>
      <c r="IY308" s="48">
        <f t="shared" si="14"/>
        <v>47.782616503546741</v>
      </c>
      <c r="IZ308" s="48">
        <f>IY308-'NOPA Crush'!J308</f>
        <v>0.12261650354674458</v>
      </c>
      <c r="JB308" s="63">
        <f t="shared" si="12"/>
        <v>11.356738798599263</v>
      </c>
      <c r="JC308" s="64">
        <f>JB308-'NOPA Crush'!O308</f>
        <v>-7.3261201400736553E-2</v>
      </c>
      <c r="JD308" s="65"/>
      <c r="JE308" s="67">
        <f t="shared" si="13"/>
        <v>1812.6999999999998</v>
      </c>
      <c r="JF308" s="68">
        <f>'NOPA Crush'!Q308/'Census Crush'!JE308</f>
        <v>0.75542671153527896</v>
      </c>
    </row>
    <row r="309" spans="1:266">
      <c r="A309" s="39">
        <v>38443</v>
      </c>
      <c r="B309" s="51">
        <v>4182.5</v>
      </c>
      <c r="C309" s="51">
        <v>2126.1</v>
      </c>
      <c r="D309" s="51">
        <v>287.7</v>
      </c>
      <c r="E309" s="51">
        <v>1283.5999999999999</v>
      </c>
      <c r="F309" s="51">
        <v>13.5</v>
      </c>
      <c r="G309" s="51" t="s">
        <v>264</v>
      </c>
      <c r="H309" s="51" t="s">
        <v>264</v>
      </c>
      <c r="I309" s="51" t="s">
        <v>264</v>
      </c>
      <c r="J309" s="51" t="s">
        <v>264</v>
      </c>
      <c r="K309" s="51">
        <v>1579.6</v>
      </c>
      <c r="L309" s="49">
        <v>1797.1</v>
      </c>
      <c r="M309" s="51">
        <v>1561.1</v>
      </c>
      <c r="N309" s="51">
        <v>236</v>
      </c>
      <c r="O309" s="53">
        <v>90.7</v>
      </c>
      <c r="P309" s="51">
        <v>122.7</v>
      </c>
      <c r="Q309" s="51">
        <v>11.8</v>
      </c>
      <c r="R309" s="51">
        <v>110.9</v>
      </c>
      <c r="S309" s="51"/>
      <c r="T309" s="51">
        <v>11.3</v>
      </c>
      <c r="U309" s="51">
        <v>62.6</v>
      </c>
      <c r="V309" s="51">
        <v>60.5</v>
      </c>
      <c r="W309" s="51">
        <v>2.1</v>
      </c>
      <c r="X309" s="51" t="s">
        <v>264</v>
      </c>
      <c r="Y309" s="51" t="s">
        <v>264</v>
      </c>
      <c r="Z309" s="49">
        <v>68.3</v>
      </c>
      <c r="AA309" s="51">
        <v>53.9</v>
      </c>
      <c r="AB309" s="51">
        <v>14.4</v>
      </c>
      <c r="AC309" s="51" t="s">
        <v>264</v>
      </c>
      <c r="AD309" s="51" t="s">
        <v>264</v>
      </c>
      <c r="AE309" s="51"/>
      <c r="AF309" s="51">
        <v>92</v>
      </c>
      <c r="AG309" s="51">
        <v>72</v>
      </c>
      <c r="AH309" s="51">
        <v>20</v>
      </c>
      <c r="AI309" s="51">
        <v>217.2</v>
      </c>
      <c r="AJ309" s="55"/>
      <c r="AK309" s="55"/>
      <c r="AL309" s="51">
        <v>99.3</v>
      </c>
      <c r="AM309" s="51">
        <v>50.8</v>
      </c>
      <c r="AN309" s="51">
        <v>48.5</v>
      </c>
      <c r="AO309" s="51">
        <v>3092.9</v>
      </c>
      <c r="AP309" s="51">
        <v>266.89999999999998</v>
      </c>
      <c r="AQ309" s="51">
        <v>233.7</v>
      </c>
      <c r="AR309" s="51">
        <v>40.6</v>
      </c>
      <c r="AS309" s="51">
        <v>124.4</v>
      </c>
      <c r="AT309" s="51">
        <v>87</v>
      </c>
      <c r="AU309" s="51">
        <v>83.5</v>
      </c>
      <c r="AV309" s="51">
        <v>45.4</v>
      </c>
      <c r="AW309" s="51">
        <v>7.7</v>
      </c>
      <c r="AX309" s="51">
        <v>1.8</v>
      </c>
      <c r="AY309" s="51" t="s">
        <v>264</v>
      </c>
      <c r="AZ309" s="51" t="s">
        <v>264</v>
      </c>
      <c r="BA309" s="51" t="s">
        <v>264</v>
      </c>
      <c r="BB309" s="51" t="s">
        <v>264</v>
      </c>
      <c r="BC309" s="55"/>
      <c r="BD309" s="53">
        <v>144.1</v>
      </c>
      <c r="BE309" s="53">
        <v>30.2</v>
      </c>
      <c r="BF309" s="53">
        <v>71</v>
      </c>
      <c r="BG309" s="53">
        <v>8.5</v>
      </c>
      <c r="BH309" s="53">
        <v>297.89999999999998</v>
      </c>
      <c r="BI309" s="53">
        <v>123.8</v>
      </c>
      <c r="BJ309" s="53">
        <v>103.2</v>
      </c>
      <c r="BK309" s="53">
        <v>227</v>
      </c>
      <c r="BL309" s="53">
        <v>0</v>
      </c>
      <c r="BM309" s="53">
        <v>524.9</v>
      </c>
      <c r="BN309" s="53">
        <v>123.7</v>
      </c>
      <c r="BO309" s="53">
        <v>50.3</v>
      </c>
      <c r="BP309" s="53">
        <v>20.8</v>
      </c>
      <c r="BQ309" s="53">
        <v>71.099999999999994</v>
      </c>
      <c r="BR309" s="53">
        <v>0</v>
      </c>
      <c r="BS309" s="53">
        <v>194.8</v>
      </c>
      <c r="BT309" s="53">
        <v>21.6</v>
      </c>
      <c r="BU309" s="53">
        <v>17.5</v>
      </c>
      <c r="BV309" s="51" t="s">
        <v>264</v>
      </c>
      <c r="BW309" s="51" t="s">
        <v>264</v>
      </c>
      <c r="BX309" s="51">
        <v>369.7</v>
      </c>
      <c r="BY309" s="51" t="s">
        <v>264</v>
      </c>
      <c r="BZ309" s="51" t="s">
        <v>264</v>
      </c>
      <c r="CA309" s="51">
        <v>37.6</v>
      </c>
      <c r="CB309" s="53">
        <v>96.2</v>
      </c>
      <c r="CC309" s="53" t="s">
        <v>264</v>
      </c>
      <c r="CD309" s="53">
        <v>108.1</v>
      </c>
      <c r="CE309" s="53">
        <v>13.5</v>
      </c>
      <c r="CF309" s="53">
        <v>111.7</v>
      </c>
      <c r="CG309" s="53">
        <v>131.80000000000001</v>
      </c>
      <c r="CH309" s="53">
        <v>5.3</v>
      </c>
      <c r="CI309" s="53">
        <v>30.9</v>
      </c>
      <c r="CJ309" s="53">
        <v>6.5</v>
      </c>
      <c r="CK309" s="12">
        <v>144.4</v>
      </c>
      <c r="CL309" s="12">
        <v>15.8</v>
      </c>
      <c r="CM309" s="55"/>
      <c r="CN309" s="53">
        <v>51.9</v>
      </c>
      <c r="CO309" s="53">
        <v>170.6</v>
      </c>
      <c r="CP309" s="53">
        <v>110.6</v>
      </c>
      <c r="CQ309" s="53">
        <v>60</v>
      </c>
      <c r="CR309" s="52" t="s">
        <v>264</v>
      </c>
      <c r="CS309" s="53">
        <v>42.2</v>
      </c>
      <c r="CT309" s="53">
        <v>30.7</v>
      </c>
      <c r="CU309" s="53">
        <v>11.5</v>
      </c>
      <c r="CV309" s="53">
        <v>90</v>
      </c>
      <c r="CW309" s="53">
        <v>15.6</v>
      </c>
      <c r="CX309" s="53">
        <v>74.400000000000006</v>
      </c>
      <c r="CY309" s="52" t="s">
        <v>264</v>
      </c>
      <c r="CZ309" s="53">
        <v>37.4</v>
      </c>
      <c r="DA309" s="12">
        <v>14.5</v>
      </c>
      <c r="DB309" s="53" t="s">
        <v>264</v>
      </c>
      <c r="DC309" s="53" t="s">
        <v>264</v>
      </c>
      <c r="DD309" s="55"/>
      <c r="DE309" s="55"/>
      <c r="DF309" s="55"/>
      <c r="DG309" s="55"/>
      <c r="DH309" s="55"/>
      <c r="DI309" s="53">
        <v>596.9</v>
      </c>
      <c r="DJ309" s="53">
        <v>384</v>
      </c>
      <c r="DK309" s="55"/>
      <c r="DL309" s="55"/>
      <c r="DM309" s="53">
        <v>434.6</v>
      </c>
      <c r="DN309" s="55"/>
      <c r="DO309" s="53">
        <v>193.4</v>
      </c>
      <c r="DP309" s="53">
        <v>291.2</v>
      </c>
      <c r="DQ309" s="55"/>
      <c r="DR309" s="55"/>
      <c r="DS309" s="53">
        <v>2251.8780000000002</v>
      </c>
      <c r="DT309" s="53">
        <v>4182.5</v>
      </c>
      <c r="DU309" s="53">
        <v>-30.521999999999935</v>
      </c>
      <c r="DV309" s="53">
        <v>0</v>
      </c>
      <c r="DW309" s="55"/>
      <c r="DX309" s="55"/>
      <c r="DY309" s="55"/>
      <c r="DZ309" s="55"/>
      <c r="EA309" s="53">
        <v>306.5</v>
      </c>
      <c r="EB309" s="53">
        <v>346.9</v>
      </c>
      <c r="EC309" s="55"/>
      <c r="ED309" s="55"/>
      <c r="EE309" s="53">
        <v>77.900000000000006</v>
      </c>
      <c r="EF309" s="55"/>
      <c r="EG309" s="53">
        <v>74.900000000000006</v>
      </c>
      <c r="EH309" s="53">
        <v>245.9</v>
      </c>
      <c r="EI309" s="55"/>
      <c r="EJ309" s="55"/>
      <c r="EK309" s="53">
        <v>922.73500000000001</v>
      </c>
      <c r="EL309" s="53">
        <v>2126.1</v>
      </c>
      <c r="EM309" s="55"/>
      <c r="EN309" s="55"/>
      <c r="EO309" s="55"/>
      <c r="EP309" s="55"/>
      <c r="EQ309" s="53">
        <v>232</v>
      </c>
      <c r="ER309" s="53">
        <v>147.30000000000001</v>
      </c>
      <c r="ES309" s="55"/>
      <c r="ET309" s="55"/>
      <c r="EU309" s="53">
        <v>161.30000000000001</v>
      </c>
      <c r="EV309" s="55"/>
      <c r="EW309" s="53">
        <v>73.900000000000006</v>
      </c>
      <c r="EX309" s="53">
        <v>106.1</v>
      </c>
      <c r="EY309" s="55"/>
      <c r="EZ309" s="55"/>
      <c r="FA309" s="53">
        <v>847.58299999999997</v>
      </c>
      <c r="FB309" s="53">
        <v>1579.6</v>
      </c>
      <c r="FC309" s="55"/>
      <c r="FD309" s="55"/>
      <c r="FE309" s="55"/>
      <c r="FF309" s="55"/>
      <c r="FG309" s="53">
        <v>472.2</v>
      </c>
      <c r="FH309" s="53">
        <v>307</v>
      </c>
      <c r="FI309" s="55"/>
      <c r="FJ309" s="55"/>
      <c r="FK309" s="53">
        <v>348.5</v>
      </c>
      <c r="FL309" s="55"/>
      <c r="FM309" s="53">
        <v>152.9</v>
      </c>
      <c r="FN309" s="53">
        <v>234.9</v>
      </c>
      <c r="FO309" s="55"/>
      <c r="FP309" s="55"/>
      <c r="FQ309" s="53">
        <v>1797.11</v>
      </c>
      <c r="FR309" s="53">
        <v>3336.4</v>
      </c>
      <c r="FS309" s="55"/>
      <c r="FT309" s="55"/>
      <c r="FU309" s="55"/>
      <c r="FV309" s="55"/>
      <c r="FW309" s="53">
        <v>191.5</v>
      </c>
      <c r="FX309" s="53">
        <v>131.9</v>
      </c>
      <c r="FY309" s="55"/>
      <c r="FZ309" s="55"/>
      <c r="GA309" s="53">
        <v>80.400000000000006</v>
      </c>
      <c r="GB309" s="55"/>
      <c r="GC309" s="53">
        <v>59.9</v>
      </c>
      <c r="GD309" s="53" t="e">
        <v>#VALUE!</v>
      </c>
      <c r="GE309" s="55"/>
      <c r="GF309" s="55"/>
      <c r="GG309" s="53">
        <v>424.57799999999997</v>
      </c>
      <c r="GH309" s="53">
        <v>961.2</v>
      </c>
      <c r="GI309" s="55"/>
      <c r="GJ309" s="55"/>
      <c r="GK309" s="55"/>
      <c r="GL309" s="55"/>
      <c r="GM309" s="53">
        <v>69.5</v>
      </c>
      <c r="GN309" s="53">
        <v>33.5</v>
      </c>
      <c r="GO309" s="55"/>
      <c r="GP309" s="55"/>
      <c r="GQ309" s="53">
        <v>33.200000000000003</v>
      </c>
      <c r="GR309" s="55"/>
      <c r="GS309" s="53" t="e">
        <v>#VALUE!</v>
      </c>
      <c r="GT309" s="53" t="e">
        <v>#VALUE!</v>
      </c>
      <c r="GU309" s="55"/>
      <c r="GV309" s="55"/>
      <c r="GW309" s="53">
        <v>158.268</v>
      </c>
      <c r="GX309" s="53">
        <v>307.5</v>
      </c>
      <c r="GY309" s="19">
        <v>0.97936237887417699</v>
      </c>
      <c r="GZ309" s="53">
        <v>1324</v>
      </c>
      <c r="HA309" s="53">
        <v>1351.9</v>
      </c>
      <c r="HB309" s="18">
        <v>-54.170383438200133</v>
      </c>
      <c r="HC309" s="18">
        <v>85.434180292599422</v>
      </c>
      <c r="HD309" s="18">
        <v>1522.4296165617998</v>
      </c>
      <c r="HE309" s="18">
        <v>94.599999999999909</v>
      </c>
      <c r="HF309" s="14">
        <v>1576.6</v>
      </c>
      <c r="HG309" s="53">
        <v>1520.8</v>
      </c>
      <c r="HH309" s="53">
        <v>674.2</v>
      </c>
      <c r="HI309" s="53">
        <v>63.4</v>
      </c>
      <c r="HJ309" s="53">
        <v>772.2</v>
      </c>
      <c r="HK309" s="53">
        <v>11</v>
      </c>
      <c r="HL309" s="53">
        <v>55.7</v>
      </c>
      <c r="HM309" s="55"/>
      <c r="HN309" s="55"/>
      <c r="HO309" s="55"/>
      <c r="HP309" s="53" t="e">
        <v>#VALUE!</v>
      </c>
      <c r="HQ309" s="53">
        <v>5.3</v>
      </c>
      <c r="HR309" s="53">
        <v>8.3000000000000007</v>
      </c>
      <c r="HS309" s="53" t="e">
        <v>#VALUE!</v>
      </c>
      <c r="HT309" s="53">
        <v>38.6</v>
      </c>
      <c r="HU309" s="55"/>
      <c r="HV309" s="55"/>
      <c r="HW309" s="53">
        <v>332.1</v>
      </c>
      <c r="HX309" s="53" t="e">
        <v>#VALUE!</v>
      </c>
      <c r="HY309" s="53">
        <v>332.1</v>
      </c>
      <c r="HZ309" s="53">
        <v>52.1</v>
      </c>
      <c r="IA309" s="53">
        <v>238.2</v>
      </c>
      <c r="IB309" s="53">
        <v>103.8</v>
      </c>
      <c r="IC309" s="53">
        <v>134.5</v>
      </c>
      <c r="ID309" s="53">
        <v>78.7</v>
      </c>
      <c r="IE309" s="53">
        <v>55.8</v>
      </c>
      <c r="IF309" s="53">
        <v>26.6</v>
      </c>
      <c r="IG309" s="53" t="e">
        <v>#VALUE!</v>
      </c>
      <c r="IH309" s="55"/>
      <c r="II309" s="55"/>
      <c r="IJ309" s="55"/>
      <c r="IK309" s="55"/>
      <c r="IL309" s="12">
        <v>41.800000000000011</v>
      </c>
      <c r="IM309" s="55"/>
      <c r="IN309" s="53">
        <v>72.3</v>
      </c>
      <c r="IO309" s="53">
        <v>72.599999999999994</v>
      </c>
      <c r="IP309" s="53" t="e">
        <v>#VALUE!</v>
      </c>
      <c r="IQ309" s="53">
        <v>49</v>
      </c>
      <c r="IR309" s="53">
        <v>17.899999999999999</v>
      </c>
      <c r="IS309" s="53" t="e">
        <v>#VALUE!</v>
      </c>
      <c r="IT309" s="53">
        <v>29.6</v>
      </c>
      <c r="IU309" s="53" t="e">
        <v>#VALUE!</v>
      </c>
      <c r="IV309" s="53" t="e">
        <v>#VALUE!</v>
      </c>
      <c r="IY309" s="48">
        <f t="shared" si="14"/>
        <v>47.721697549312616</v>
      </c>
      <c r="IZ309" s="48">
        <f>IY309-'NOPA Crush'!J309</f>
        <v>0.10169754931261821</v>
      </c>
      <c r="JB309" s="63">
        <f t="shared" si="12"/>
        <v>11.330065750149432</v>
      </c>
      <c r="JC309" s="64">
        <f>JB309-'NOPA Crush'!O309</f>
        <v>-5.9934249850568833E-2</v>
      </c>
      <c r="JD309" s="65"/>
      <c r="JE309" s="67">
        <f t="shared" si="13"/>
        <v>1797.1</v>
      </c>
      <c r="JF309" s="68">
        <f>'NOPA Crush'!Q309/'Census Crush'!JE309</f>
        <v>0.82171164654165052</v>
      </c>
    </row>
    <row r="310" spans="1:266">
      <c r="A310" s="39">
        <v>38473</v>
      </c>
      <c r="B310" s="51">
        <v>4284.3999999999996</v>
      </c>
      <c r="C310" s="51">
        <v>1774.6</v>
      </c>
      <c r="D310" s="51">
        <v>221</v>
      </c>
      <c r="E310" s="51">
        <v>1066.4000000000001</v>
      </c>
      <c r="F310" s="51">
        <v>14.9</v>
      </c>
      <c r="G310" s="51" t="s">
        <v>264</v>
      </c>
      <c r="H310" s="51" t="s">
        <v>264</v>
      </c>
      <c r="I310" s="51" t="s">
        <v>264</v>
      </c>
      <c r="J310" s="51" t="s">
        <v>264</v>
      </c>
      <c r="K310" s="51">
        <v>1620.1</v>
      </c>
      <c r="L310" s="49">
        <v>1888.7</v>
      </c>
      <c r="M310" s="51">
        <v>1656.5</v>
      </c>
      <c r="N310" s="51">
        <v>232.2</v>
      </c>
      <c r="O310" s="53">
        <v>71.3</v>
      </c>
      <c r="P310" s="51">
        <v>110.2</v>
      </c>
      <c r="Q310" s="51">
        <v>10.5</v>
      </c>
      <c r="R310" s="51">
        <v>99.7</v>
      </c>
      <c r="S310" s="51"/>
      <c r="T310" s="51">
        <v>13.3</v>
      </c>
      <c r="U310" s="51">
        <v>60.3</v>
      </c>
      <c r="V310" s="51">
        <v>53.5</v>
      </c>
      <c r="W310" s="51">
        <v>6.8</v>
      </c>
      <c r="X310" s="51" t="s">
        <v>264</v>
      </c>
      <c r="Y310" s="51" t="s">
        <v>264</v>
      </c>
      <c r="Z310" s="49">
        <v>56.6</v>
      </c>
      <c r="AA310" s="51">
        <v>46.5</v>
      </c>
      <c r="AB310" s="51">
        <v>10.1</v>
      </c>
      <c r="AC310" s="51" t="s">
        <v>264</v>
      </c>
      <c r="AD310" s="51" t="s">
        <v>264</v>
      </c>
      <c r="AE310" s="51"/>
      <c r="AF310" s="51">
        <v>111.30000000000001</v>
      </c>
      <c r="AG310" s="51">
        <v>89.4</v>
      </c>
      <c r="AH310" s="51">
        <v>21.9</v>
      </c>
      <c r="AI310" s="51">
        <v>188.2</v>
      </c>
      <c r="AJ310" s="55"/>
      <c r="AK310" s="55"/>
      <c r="AL310" s="51">
        <v>71.3</v>
      </c>
      <c r="AM310" s="51">
        <v>49.8</v>
      </c>
      <c r="AN310" s="51">
        <v>21.5</v>
      </c>
      <c r="AO310" s="51">
        <v>3158.6</v>
      </c>
      <c r="AP310" s="51">
        <v>304</v>
      </c>
      <c r="AQ310" s="51">
        <v>239.3</v>
      </c>
      <c r="AR310" s="51">
        <v>45</v>
      </c>
      <c r="AS310" s="51">
        <v>103.6</v>
      </c>
      <c r="AT310" s="51">
        <v>74.400000000000006</v>
      </c>
      <c r="AU310" s="51">
        <v>67.7</v>
      </c>
      <c r="AV310" s="51">
        <v>35.4</v>
      </c>
      <c r="AW310" s="51">
        <v>8.8000000000000007</v>
      </c>
      <c r="AX310" s="51">
        <v>3.1</v>
      </c>
      <c r="AY310" s="51" t="s">
        <v>264</v>
      </c>
      <c r="AZ310" s="51" t="s">
        <v>264</v>
      </c>
      <c r="BA310" s="51" t="s">
        <v>264</v>
      </c>
      <c r="BB310" s="51" t="s">
        <v>264</v>
      </c>
      <c r="BC310" s="55"/>
      <c r="BD310" s="53">
        <v>157.80000000000001</v>
      </c>
      <c r="BE310" s="53">
        <v>27.6</v>
      </c>
      <c r="BF310" s="53">
        <v>77.7</v>
      </c>
      <c r="BG310" s="53">
        <v>9.9</v>
      </c>
      <c r="BH310" s="53">
        <v>309.89999999999998</v>
      </c>
      <c r="BI310" s="53">
        <v>132.5</v>
      </c>
      <c r="BJ310" s="53">
        <v>106.1</v>
      </c>
      <c r="BK310" s="53">
        <v>238.6</v>
      </c>
      <c r="BL310" s="53">
        <v>0</v>
      </c>
      <c r="BM310" s="53">
        <v>548.5</v>
      </c>
      <c r="BN310" s="53">
        <v>140.69999999999999</v>
      </c>
      <c r="BO310" s="53">
        <v>55.5</v>
      </c>
      <c r="BP310" s="53">
        <v>25.6</v>
      </c>
      <c r="BQ310" s="53">
        <v>81.099999999999994</v>
      </c>
      <c r="BR310" s="53">
        <v>0</v>
      </c>
      <c r="BS310" s="53">
        <v>221.79999999999998</v>
      </c>
      <c r="BT310" s="53">
        <v>21.5</v>
      </c>
      <c r="BU310" s="53">
        <v>12.1</v>
      </c>
      <c r="BV310" s="51" t="s">
        <v>264</v>
      </c>
      <c r="BW310" s="51" t="s">
        <v>264</v>
      </c>
      <c r="BX310" s="51">
        <v>392.3</v>
      </c>
      <c r="BY310" s="51" t="s">
        <v>264</v>
      </c>
      <c r="BZ310" s="51" t="s">
        <v>264</v>
      </c>
      <c r="CA310" s="51">
        <v>43</v>
      </c>
      <c r="CB310" s="53">
        <v>104.9</v>
      </c>
      <c r="CC310" s="53" t="s">
        <v>264</v>
      </c>
      <c r="CD310" s="53">
        <v>114.2</v>
      </c>
      <c r="CE310" s="53">
        <v>16.8</v>
      </c>
      <c r="CF310" s="53">
        <v>111.3</v>
      </c>
      <c r="CG310" s="53">
        <v>127.7</v>
      </c>
      <c r="CH310" s="53">
        <v>5.3</v>
      </c>
      <c r="CI310" s="53">
        <v>29.7</v>
      </c>
      <c r="CJ310" s="53">
        <v>6.4</v>
      </c>
      <c r="CK310" s="12">
        <v>146.80000000000001</v>
      </c>
      <c r="CL310" s="12">
        <v>15.1</v>
      </c>
      <c r="CM310" s="55"/>
      <c r="CN310" s="53">
        <v>56.3</v>
      </c>
      <c r="CO310" s="53">
        <v>187.6</v>
      </c>
      <c r="CP310" s="53">
        <v>97.8</v>
      </c>
      <c r="CQ310" s="53">
        <v>89.8</v>
      </c>
      <c r="CR310" s="52" t="s">
        <v>264</v>
      </c>
      <c r="CS310" s="53">
        <v>45.2</v>
      </c>
      <c r="CT310" s="53">
        <v>31.6</v>
      </c>
      <c r="CU310" s="53">
        <v>13.6</v>
      </c>
      <c r="CV310" s="53">
        <v>124</v>
      </c>
      <c r="CW310" s="52" t="s">
        <v>264</v>
      </c>
      <c r="CX310" s="52" t="s">
        <v>264</v>
      </c>
      <c r="CY310" s="52" t="s">
        <v>264</v>
      </c>
      <c r="CZ310" s="53">
        <v>54.9</v>
      </c>
      <c r="DA310" s="12">
        <v>10.6</v>
      </c>
      <c r="DB310" s="53" t="s">
        <v>264</v>
      </c>
      <c r="DC310" s="53" t="s">
        <v>264</v>
      </c>
      <c r="DD310" s="55"/>
      <c r="DE310" s="55"/>
      <c r="DF310" s="55"/>
      <c r="DG310" s="55"/>
      <c r="DH310" s="55"/>
      <c r="DI310" s="53">
        <v>605.20000000000005</v>
      </c>
      <c r="DJ310" s="53">
        <v>422.6</v>
      </c>
      <c r="DK310" s="55"/>
      <c r="DL310" s="55"/>
      <c r="DM310" s="53">
        <v>469.4</v>
      </c>
      <c r="DN310" s="55"/>
      <c r="DO310" s="53">
        <v>193</v>
      </c>
      <c r="DP310" s="53">
        <v>306</v>
      </c>
      <c r="DQ310" s="55"/>
      <c r="DR310" s="55"/>
      <c r="DS310" s="53">
        <v>2283.8960000000002</v>
      </c>
      <c r="DT310" s="53">
        <v>4284.3999999999996</v>
      </c>
      <c r="DU310" s="53">
        <v>-4.3039999999991778</v>
      </c>
      <c r="DV310" s="53">
        <v>0</v>
      </c>
      <c r="DW310" s="55"/>
      <c r="DX310" s="55"/>
      <c r="DY310" s="55"/>
      <c r="DZ310" s="55"/>
      <c r="EA310" s="53">
        <v>253.3</v>
      </c>
      <c r="EB310" s="53">
        <v>188.5</v>
      </c>
      <c r="EC310" s="55"/>
      <c r="ED310" s="55"/>
      <c r="EE310" s="53">
        <v>87.3</v>
      </c>
      <c r="EF310" s="55"/>
      <c r="EG310" s="53">
        <v>55.8</v>
      </c>
      <c r="EH310" s="53">
        <v>184.6</v>
      </c>
      <c r="EI310" s="55"/>
      <c r="EJ310" s="55"/>
      <c r="EK310" s="53">
        <v>874.78499999999997</v>
      </c>
      <c r="EL310" s="53">
        <v>1774.6</v>
      </c>
      <c r="EM310" s="55"/>
      <c r="EN310" s="55"/>
      <c r="EO310" s="55"/>
      <c r="EP310" s="55"/>
      <c r="EQ310" s="53">
        <v>230.6</v>
      </c>
      <c r="ER310" s="53">
        <v>161.6</v>
      </c>
      <c r="ES310" s="55"/>
      <c r="ET310" s="55"/>
      <c r="EU310" s="53">
        <v>176.6</v>
      </c>
      <c r="EV310" s="55"/>
      <c r="EW310" s="53">
        <v>74</v>
      </c>
      <c r="EX310" s="53">
        <v>111.8</v>
      </c>
      <c r="EY310" s="55"/>
      <c r="EZ310" s="55"/>
      <c r="FA310" s="53">
        <v>863.00800000000004</v>
      </c>
      <c r="FB310" s="53">
        <v>1620.1</v>
      </c>
      <c r="FC310" s="55"/>
      <c r="FD310" s="55"/>
      <c r="FE310" s="55"/>
      <c r="FF310" s="55"/>
      <c r="FG310" s="53">
        <v>478</v>
      </c>
      <c r="FH310" s="53">
        <v>336.7</v>
      </c>
      <c r="FI310" s="55"/>
      <c r="FJ310" s="55"/>
      <c r="FK310" s="53">
        <v>375.4</v>
      </c>
      <c r="FL310" s="55"/>
      <c r="FM310" s="53">
        <v>153.30000000000001</v>
      </c>
      <c r="FN310" s="53">
        <v>244.7</v>
      </c>
      <c r="FO310" s="55"/>
      <c r="FP310" s="55"/>
      <c r="FQ310" s="53">
        <v>1813.97</v>
      </c>
      <c r="FR310" s="53">
        <v>3406</v>
      </c>
      <c r="FS310" s="55"/>
      <c r="FT310" s="55"/>
      <c r="FU310" s="55"/>
      <c r="FV310" s="55"/>
      <c r="FW310" s="53">
        <v>198.4</v>
      </c>
      <c r="FX310" s="53">
        <v>147.9</v>
      </c>
      <c r="FY310" s="55"/>
      <c r="FZ310" s="55"/>
      <c r="GA310" s="53">
        <v>83.8</v>
      </c>
      <c r="GB310" s="55"/>
      <c r="GC310" s="53">
        <v>63.5</v>
      </c>
      <c r="GD310" s="53" t="e">
        <v>#VALUE!</v>
      </c>
      <c r="GE310" s="55"/>
      <c r="GF310" s="55"/>
      <c r="GG310" s="53">
        <v>446.09800000000001</v>
      </c>
      <c r="GH310" s="53">
        <v>1004.1</v>
      </c>
      <c r="GI310" s="55"/>
      <c r="GJ310" s="55"/>
      <c r="GK310" s="55"/>
      <c r="GL310" s="55"/>
      <c r="GM310" s="53">
        <v>63.1</v>
      </c>
      <c r="GN310" s="53">
        <v>45.8</v>
      </c>
      <c r="GO310" s="55"/>
      <c r="GP310" s="55"/>
      <c r="GQ310" s="53">
        <v>50.6</v>
      </c>
      <c r="GR310" s="55"/>
      <c r="GS310" s="53" t="e">
        <v>#VALUE!</v>
      </c>
      <c r="GT310" s="53" t="e">
        <v>#VALUE!</v>
      </c>
      <c r="GU310" s="55"/>
      <c r="GV310" s="55"/>
      <c r="GW310" s="53">
        <v>180.60300000000001</v>
      </c>
      <c r="GX310" s="53">
        <v>349</v>
      </c>
      <c r="GY310" s="19">
        <v>0.98101313890787578</v>
      </c>
      <c r="GZ310" s="53">
        <v>1291.7</v>
      </c>
      <c r="HA310" s="53">
        <v>1316.7</v>
      </c>
      <c r="HB310" s="18">
        <v>-121.86914994040035</v>
      </c>
      <c r="HC310" s="18">
        <v>188.8771555725998</v>
      </c>
      <c r="HD310" s="18">
        <v>1458.3308500595997</v>
      </c>
      <c r="HE310" s="18">
        <v>65.799999999999955</v>
      </c>
      <c r="HF310" s="14">
        <v>1580.2</v>
      </c>
      <c r="HG310" s="53">
        <v>1520.8</v>
      </c>
      <c r="HH310" s="53">
        <v>688.5</v>
      </c>
      <c r="HI310" s="53">
        <v>68.2</v>
      </c>
      <c r="HJ310" s="53">
        <v>752.4</v>
      </c>
      <c r="HK310" s="53">
        <v>11.8</v>
      </c>
      <c r="HL310" s="53">
        <v>59.3</v>
      </c>
      <c r="HM310" s="55"/>
      <c r="HN310" s="55"/>
      <c r="HO310" s="55"/>
      <c r="HP310" s="53" t="e">
        <v>#VALUE!</v>
      </c>
      <c r="HQ310" s="53">
        <v>8.1</v>
      </c>
      <c r="HR310" s="53">
        <v>7.6</v>
      </c>
      <c r="HS310" s="53" t="e">
        <v>#VALUE!</v>
      </c>
      <c r="HT310" s="53">
        <v>37</v>
      </c>
      <c r="HU310" s="55"/>
      <c r="HV310" s="55"/>
      <c r="HW310" s="53">
        <v>337.1</v>
      </c>
      <c r="HX310" s="53" t="e">
        <v>#VALUE!</v>
      </c>
      <c r="HY310" s="53">
        <v>337.1</v>
      </c>
      <c r="HZ310" s="53">
        <v>59</v>
      </c>
      <c r="IA310" s="53">
        <v>236.5</v>
      </c>
      <c r="IB310" s="53">
        <v>95.9</v>
      </c>
      <c r="IC310" s="53">
        <v>140.6</v>
      </c>
      <c r="ID310" s="53">
        <v>83</v>
      </c>
      <c r="IE310" s="53">
        <v>57.5</v>
      </c>
      <c r="IF310" s="53">
        <v>26.6</v>
      </c>
      <c r="IG310" s="53" t="e">
        <v>#VALUE!</v>
      </c>
      <c r="IH310" s="55"/>
      <c r="II310" s="55"/>
      <c r="IJ310" s="55"/>
      <c r="IK310" s="55"/>
      <c r="IL310" s="12">
        <v>41.600000000000023</v>
      </c>
      <c r="IM310" s="55"/>
      <c r="IN310" s="53">
        <v>52.7</v>
      </c>
      <c r="IO310" s="53">
        <v>52.9</v>
      </c>
      <c r="IP310" s="53" t="e">
        <v>#VALUE!</v>
      </c>
      <c r="IQ310" s="53">
        <v>58.3</v>
      </c>
      <c r="IR310" s="53">
        <v>20.6</v>
      </c>
      <c r="IS310" s="53" t="e">
        <v>#VALUE!</v>
      </c>
      <c r="IT310" s="53">
        <v>36.200000000000003</v>
      </c>
      <c r="IU310" s="53" t="e">
        <v>#VALUE!</v>
      </c>
      <c r="IV310" s="53" t="e">
        <v>#VALUE!</v>
      </c>
      <c r="IY310" s="48">
        <f t="shared" si="14"/>
        <v>47.585192792456354</v>
      </c>
      <c r="IZ310" s="48">
        <f>IY310-'NOPA Crush'!J310</f>
        <v>9.5192792456352038E-2</v>
      </c>
      <c r="JB310" s="63">
        <f t="shared" si="12"/>
        <v>11.344178881523666</v>
      </c>
      <c r="JC310" s="64">
        <f>JB310-'NOPA Crush'!O310</f>
        <v>-6.5821118476334206E-2</v>
      </c>
      <c r="JD310" s="65"/>
      <c r="JE310" s="67">
        <f t="shared" si="13"/>
        <v>1888.7</v>
      </c>
      <c r="JF310" s="68">
        <f>'NOPA Crush'!Q310/'Census Crush'!JE310</f>
        <v>0.83194578281357545</v>
      </c>
    </row>
    <row r="311" spans="1:266">
      <c r="A311" s="39">
        <v>38504</v>
      </c>
      <c r="B311" s="51">
        <v>3959.6</v>
      </c>
      <c r="C311" s="51">
        <v>1982</v>
      </c>
      <c r="D311" s="51">
        <v>266.60000000000002</v>
      </c>
      <c r="E311" s="51">
        <v>797.5</v>
      </c>
      <c r="F311" s="51">
        <v>16.8</v>
      </c>
      <c r="G311" s="51" t="s">
        <v>264</v>
      </c>
      <c r="H311" s="51" t="s">
        <v>264</v>
      </c>
      <c r="I311" s="51" t="s">
        <v>264</v>
      </c>
      <c r="J311" s="51" t="s">
        <v>264</v>
      </c>
      <c r="K311" s="51">
        <v>1497.3</v>
      </c>
      <c r="L311" s="49">
        <v>1838.1000000000001</v>
      </c>
      <c r="M311" s="51">
        <v>1623.2</v>
      </c>
      <c r="N311" s="51">
        <v>214.9</v>
      </c>
      <c r="O311" s="53">
        <v>81.599999999999994</v>
      </c>
      <c r="P311" s="51">
        <v>90</v>
      </c>
      <c r="Q311" s="51">
        <v>6.9</v>
      </c>
      <c r="R311" s="51">
        <v>83.1</v>
      </c>
      <c r="S311" s="51"/>
      <c r="T311" s="51">
        <v>14.6</v>
      </c>
      <c r="U311" s="51">
        <v>53.8</v>
      </c>
      <c r="V311" s="51">
        <v>52.3</v>
      </c>
      <c r="W311" s="51">
        <v>1.5</v>
      </c>
      <c r="X311" s="51" t="s">
        <v>264</v>
      </c>
      <c r="Y311" s="51" t="s">
        <v>264</v>
      </c>
      <c r="Z311" s="49">
        <v>48.6</v>
      </c>
      <c r="AA311" s="51">
        <v>34</v>
      </c>
      <c r="AB311" s="51">
        <v>14.6</v>
      </c>
      <c r="AC311" s="51" t="s">
        <v>264</v>
      </c>
      <c r="AD311" s="51" t="s">
        <v>264</v>
      </c>
      <c r="AE311" s="51"/>
      <c r="AF311" s="51">
        <v>158.80000000000001</v>
      </c>
      <c r="AG311" s="51">
        <v>141.9</v>
      </c>
      <c r="AH311" s="51">
        <v>16.899999999999999</v>
      </c>
      <c r="AI311" s="51">
        <v>211.6</v>
      </c>
      <c r="AJ311" s="55"/>
      <c r="AK311" s="55"/>
      <c r="AL311" s="51">
        <v>99.5</v>
      </c>
      <c r="AM311" s="51">
        <v>67.900000000000006</v>
      </c>
      <c r="AN311" s="51">
        <v>31.6</v>
      </c>
      <c r="AO311" s="51">
        <v>2937.8</v>
      </c>
      <c r="AP311" s="51">
        <v>206.6</v>
      </c>
      <c r="AQ311" s="51">
        <v>222.8</v>
      </c>
      <c r="AR311" s="51">
        <v>38.200000000000003</v>
      </c>
      <c r="AS311" s="51">
        <v>121</v>
      </c>
      <c r="AT311" s="51">
        <v>71.2</v>
      </c>
      <c r="AU311" s="51">
        <v>76</v>
      </c>
      <c r="AV311" s="51">
        <v>36.5</v>
      </c>
      <c r="AW311" s="51">
        <v>9.3000000000000007</v>
      </c>
      <c r="AX311" s="51">
        <v>1.9</v>
      </c>
      <c r="AY311" s="51" t="s">
        <v>264</v>
      </c>
      <c r="AZ311" s="51" t="s">
        <v>264</v>
      </c>
      <c r="BA311" s="51" t="s">
        <v>264</v>
      </c>
      <c r="BB311" s="51" t="s">
        <v>264</v>
      </c>
      <c r="BC311" s="55"/>
      <c r="BD311" s="53">
        <v>161.69999999999999</v>
      </c>
      <c r="BE311" s="53">
        <v>34.6</v>
      </c>
      <c r="BF311" s="53">
        <v>77.099999999999994</v>
      </c>
      <c r="BG311" s="53">
        <v>7.5</v>
      </c>
      <c r="BH311" s="53">
        <v>334</v>
      </c>
      <c r="BI311" s="53">
        <v>124</v>
      </c>
      <c r="BJ311" s="53">
        <v>108</v>
      </c>
      <c r="BK311" s="53">
        <v>232</v>
      </c>
      <c r="BL311" s="53">
        <v>0</v>
      </c>
      <c r="BM311" s="53">
        <v>566</v>
      </c>
      <c r="BN311" s="53">
        <v>160.6</v>
      </c>
      <c r="BO311" s="53">
        <v>65.8</v>
      </c>
      <c r="BP311" s="53">
        <v>33.5</v>
      </c>
      <c r="BQ311" s="53">
        <v>99.3</v>
      </c>
      <c r="BR311" s="53">
        <v>0</v>
      </c>
      <c r="BS311" s="53">
        <v>259.89999999999998</v>
      </c>
      <c r="BT311" s="53">
        <v>21.3</v>
      </c>
      <c r="BU311" s="53">
        <v>11.8</v>
      </c>
      <c r="BV311" s="51" t="s">
        <v>264</v>
      </c>
      <c r="BW311" s="51" t="s">
        <v>264</v>
      </c>
      <c r="BX311" s="51">
        <v>400.1</v>
      </c>
      <c r="BY311" s="51" t="s">
        <v>264</v>
      </c>
      <c r="BZ311" s="51" t="s">
        <v>264</v>
      </c>
      <c r="CA311" s="51">
        <v>42.6</v>
      </c>
      <c r="CB311" s="53">
        <v>103.3</v>
      </c>
      <c r="CC311" s="53" t="s">
        <v>264</v>
      </c>
      <c r="CD311" s="53">
        <v>109.1</v>
      </c>
      <c r="CE311" s="53">
        <v>10.6</v>
      </c>
      <c r="CF311" s="53">
        <v>105.8</v>
      </c>
      <c r="CG311" s="53">
        <v>126.1</v>
      </c>
      <c r="CH311" s="53">
        <v>5.2</v>
      </c>
      <c r="CI311" s="53">
        <v>31.1</v>
      </c>
      <c r="CJ311" s="53">
        <v>8.3000000000000007</v>
      </c>
      <c r="CK311" s="12">
        <v>150.1</v>
      </c>
      <c r="CL311" s="12">
        <v>15.3</v>
      </c>
      <c r="CM311" s="55"/>
      <c r="CN311" s="53">
        <v>52.6</v>
      </c>
      <c r="CO311" s="53">
        <v>263.5</v>
      </c>
      <c r="CP311" s="53">
        <v>175.4</v>
      </c>
      <c r="CQ311" s="53">
        <v>88.1</v>
      </c>
      <c r="CR311" s="52" t="s">
        <v>264</v>
      </c>
      <c r="CS311" s="53">
        <v>36.799999999999997</v>
      </c>
      <c r="CT311" s="53">
        <v>26.5</v>
      </c>
      <c r="CU311" s="53">
        <v>10.3</v>
      </c>
      <c r="CV311" s="53">
        <v>125.7</v>
      </c>
      <c r="CW311" s="52" t="s">
        <v>264</v>
      </c>
      <c r="CX311" s="52" t="s">
        <v>264</v>
      </c>
      <c r="CY311" s="52" t="s">
        <v>264</v>
      </c>
      <c r="CZ311" s="53">
        <v>49.2</v>
      </c>
      <c r="DA311" s="12">
        <v>12.3</v>
      </c>
      <c r="DB311" s="53" t="s">
        <v>264</v>
      </c>
      <c r="DC311" s="53" t="s">
        <v>264</v>
      </c>
      <c r="DD311" s="55"/>
      <c r="DE311" s="55"/>
      <c r="DF311" s="55"/>
      <c r="DG311" s="55"/>
      <c r="DH311" s="55"/>
      <c r="DI311" s="53">
        <v>447.1</v>
      </c>
      <c r="DJ311" s="53">
        <v>400.8</v>
      </c>
      <c r="DK311" s="55"/>
      <c r="DL311" s="55"/>
      <c r="DM311" s="53">
        <v>441.1</v>
      </c>
      <c r="DN311" s="55"/>
      <c r="DO311" s="53">
        <v>164.7</v>
      </c>
      <c r="DP311" s="53">
        <v>244.7</v>
      </c>
      <c r="DQ311" s="55"/>
      <c r="DR311" s="55"/>
      <c r="DS311" s="53">
        <v>2301.2179999999998</v>
      </c>
      <c r="DT311" s="53">
        <v>3959.6</v>
      </c>
      <c r="DU311" s="53">
        <v>40.018000000000029</v>
      </c>
      <c r="DV311" s="53">
        <v>0</v>
      </c>
      <c r="DW311" s="55"/>
      <c r="DX311" s="55"/>
      <c r="DY311" s="55"/>
      <c r="DZ311" s="55"/>
      <c r="EA311" s="53">
        <v>374.7</v>
      </c>
      <c r="EB311" s="53">
        <v>154.19999999999999</v>
      </c>
      <c r="EC311" s="55"/>
      <c r="ED311" s="55"/>
      <c r="EE311" s="53">
        <v>133.5</v>
      </c>
      <c r="EF311" s="55"/>
      <c r="EG311" s="53">
        <v>58.5</v>
      </c>
      <c r="EH311" s="53">
        <v>186.4</v>
      </c>
      <c r="EI311" s="55"/>
      <c r="EJ311" s="55"/>
      <c r="EK311" s="53">
        <v>980.77700000000004</v>
      </c>
      <c r="EL311" s="53">
        <v>1982</v>
      </c>
      <c r="EM311" s="55"/>
      <c r="EN311" s="55"/>
      <c r="EO311" s="55"/>
      <c r="EP311" s="55"/>
      <c r="EQ311" s="53">
        <v>170.8</v>
      </c>
      <c r="ER311" s="53">
        <v>153.19999999999999</v>
      </c>
      <c r="ES311" s="55"/>
      <c r="ET311" s="55"/>
      <c r="EU311" s="53">
        <v>164.4</v>
      </c>
      <c r="EV311" s="55"/>
      <c r="EW311" s="53">
        <v>63</v>
      </c>
      <c r="EX311" s="53">
        <v>89.7</v>
      </c>
      <c r="EY311" s="55"/>
      <c r="EZ311" s="55"/>
      <c r="FA311" s="53">
        <v>869.69600000000003</v>
      </c>
      <c r="FB311" s="53">
        <v>1497.3</v>
      </c>
      <c r="FC311" s="55"/>
      <c r="FD311" s="55"/>
      <c r="FE311" s="55"/>
      <c r="FF311" s="55"/>
      <c r="FG311" s="53">
        <v>353.5</v>
      </c>
      <c r="FH311" s="53">
        <v>327.3</v>
      </c>
      <c r="FI311" s="55"/>
      <c r="FJ311" s="55"/>
      <c r="FK311" s="53">
        <v>356.3</v>
      </c>
      <c r="FL311" s="55"/>
      <c r="FM311" s="53">
        <v>131</v>
      </c>
      <c r="FN311" s="53">
        <v>198.8</v>
      </c>
      <c r="FO311" s="55"/>
      <c r="FP311" s="55"/>
      <c r="FQ311" s="53">
        <v>1835.3440000000001</v>
      </c>
      <c r="FR311" s="53">
        <v>3168</v>
      </c>
      <c r="FS311" s="55"/>
      <c r="FT311" s="55"/>
      <c r="FU311" s="55"/>
      <c r="FV311" s="55"/>
      <c r="FW311" s="53">
        <v>178.1</v>
      </c>
      <c r="FX311" s="53">
        <v>139.19999999999999</v>
      </c>
      <c r="FY311" s="55"/>
      <c r="FZ311" s="55"/>
      <c r="GA311" s="53">
        <v>87.4</v>
      </c>
      <c r="GB311" s="55"/>
      <c r="GC311" s="53">
        <v>63.8</v>
      </c>
      <c r="GD311" s="53" t="e">
        <v>#VALUE!</v>
      </c>
      <c r="GE311" s="55"/>
      <c r="GF311" s="55"/>
      <c r="GG311" s="53">
        <v>488.87400000000002</v>
      </c>
      <c r="GH311" s="53">
        <v>983.9</v>
      </c>
      <c r="GI311" s="55"/>
      <c r="GJ311" s="55"/>
      <c r="GK311" s="55"/>
      <c r="GL311" s="55"/>
      <c r="GM311" s="53">
        <v>37.799999999999997</v>
      </c>
      <c r="GN311" s="53">
        <v>41.9</v>
      </c>
      <c r="GO311" s="55"/>
      <c r="GP311" s="55"/>
      <c r="GQ311" s="53">
        <v>27.5</v>
      </c>
      <c r="GR311" s="55"/>
      <c r="GS311" s="53" t="e">
        <v>#VALUE!</v>
      </c>
      <c r="GT311" s="53" t="e">
        <v>#VALUE!</v>
      </c>
      <c r="GU311" s="55"/>
      <c r="GV311" s="55"/>
      <c r="GW311" s="53">
        <v>128.41200000000001</v>
      </c>
      <c r="GX311" s="53">
        <v>244.8</v>
      </c>
      <c r="GY311" s="19">
        <v>0.97762811580740061</v>
      </c>
      <c r="GZ311" s="53">
        <v>1262.9000000000001</v>
      </c>
      <c r="HA311" s="53">
        <v>1291.8</v>
      </c>
      <c r="HB311" s="18">
        <v>8.1003127551996386</v>
      </c>
      <c r="HC311" s="18">
        <v>144.07665676100032</v>
      </c>
      <c r="HD311" s="18">
        <v>1481.5003127551997</v>
      </c>
      <c r="HE311" s="18">
        <v>37.300000000000182</v>
      </c>
      <c r="HF311" s="14">
        <v>1473.4</v>
      </c>
      <c r="HG311" s="53">
        <v>1412</v>
      </c>
      <c r="HH311" s="53">
        <v>658.2</v>
      </c>
      <c r="HI311" s="53">
        <v>67.400000000000006</v>
      </c>
      <c r="HJ311" s="53">
        <v>678.2</v>
      </c>
      <c r="HK311" s="53">
        <v>8.1999999999999993</v>
      </c>
      <c r="HL311" s="53">
        <v>61.5</v>
      </c>
      <c r="HM311" s="55"/>
      <c r="HN311" s="55"/>
      <c r="HO311" s="55"/>
      <c r="HP311" s="53" t="e">
        <v>#VALUE!</v>
      </c>
      <c r="HQ311" s="53">
        <v>6.5</v>
      </c>
      <c r="HR311" s="53">
        <v>8.9</v>
      </c>
      <c r="HS311" s="53" t="e">
        <v>#VALUE!</v>
      </c>
      <c r="HT311" s="53">
        <v>38.200000000000003</v>
      </c>
      <c r="HU311" s="55"/>
      <c r="HV311" s="55"/>
      <c r="HW311" s="53">
        <v>333.1</v>
      </c>
      <c r="HX311" s="53" t="e">
        <v>#VALUE!</v>
      </c>
      <c r="HY311" s="53">
        <v>333.1</v>
      </c>
      <c r="HZ311" s="53">
        <v>57.6</v>
      </c>
      <c r="IA311" s="53">
        <v>233.8</v>
      </c>
      <c r="IB311" s="53">
        <v>93.9</v>
      </c>
      <c r="IC311" s="53">
        <v>139.80000000000001</v>
      </c>
      <c r="ID311" s="53">
        <v>83.5</v>
      </c>
      <c r="IE311" s="53">
        <v>56.3</v>
      </c>
      <c r="IF311" s="53">
        <v>26.8</v>
      </c>
      <c r="IG311" s="53" t="e">
        <v>#VALUE!</v>
      </c>
      <c r="IH311" s="55"/>
      <c r="II311" s="55"/>
      <c r="IJ311" s="55"/>
      <c r="IK311" s="55"/>
      <c r="IL311" s="12">
        <v>41.699999999999989</v>
      </c>
      <c r="IM311" s="55"/>
      <c r="IN311" s="53">
        <v>64.599999999999994</v>
      </c>
      <c r="IO311" s="53">
        <v>64.7</v>
      </c>
      <c r="IP311" s="53" t="e">
        <v>#VALUE!</v>
      </c>
      <c r="IQ311" s="53">
        <v>49.3</v>
      </c>
      <c r="IR311" s="53">
        <v>17.100000000000001</v>
      </c>
      <c r="IS311" s="53" t="e">
        <v>#VALUE!</v>
      </c>
      <c r="IT311" s="53">
        <v>30.7</v>
      </c>
      <c r="IU311" s="53" t="e">
        <v>#VALUE!</v>
      </c>
      <c r="IV311" s="53" t="e">
        <v>#VALUE!</v>
      </c>
      <c r="IY311" s="48">
        <f t="shared" si="14"/>
        <v>47.892716436003646</v>
      </c>
      <c r="IZ311" s="48">
        <f>IY311-'NOPA Crush'!J311</f>
        <v>0.22271643600364399</v>
      </c>
      <c r="JB311" s="63">
        <f t="shared" si="12"/>
        <v>11.344327709869685</v>
      </c>
      <c r="JC311" s="64">
        <f>JB311-'NOPA Crush'!O311</f>
        <v>-6.5672290130315503E-2</v>
      </c>
      <c r="JD311" s="65"/>
      <c r="JE311" s="67">
        <f t="shared" si="13"/>
        <v>1838.1000000000001</v>
      </c>
      <c r="JF311" s="68">
        <f>'NOPA Crush'!Q311/'Census Crush'!JE311</f>
        <v>0.85081170774168968</v>
      </c>
    </row>
    <row r="312" spans="1:266">
      <c r="A312" s="39">
        <v>38534</v>
      </c>
      <c r="B312" s="51">
        <v>4184.5</v>
      </c>
      <c r="C312" s="51">
        <v>1550.3</v>
      </c>
      <c r="D312" s="51">
        <v>221.6</v>
      </c>
      <c r="E312" s="51">
        <v>592.1</v>
      </c>
      <c r="F312" s="51">
        <v>10.9</v>
      </c>
      <c r="G312" s="51" t="s">
        <v>264</v>
      </c>
      <c r="H312" s="51" t="s">
        <v>264</v>
      </c>
      <c r="I312" s="51" t="s">
        <v>264</v>
      </c>
      <c r="J312" s="51" t="s">
        <v>264</v>
      </c>
      <c r="K312" s="51">
        <v>1586.7</v>
      </c>
      <c r="L312" s="49">
        <v>1988.9</v>
      </c>
      <c r="M312" s="51">
        <v>1716.5</v>
      </c>
      <c r="N312" s="51">
        <v>272.39999999999998</v>
      </c>
      <c r="O312" s="53">
        <v>69.5</v>
      </c>
      <c r="P312" s="51">
        <v>86.3</v>
      </c>
      <c r="Q312" s="51">
        <v>5.2</v>
      </c>
      <c r="R312" s="51">
        <v>81.099999999999994</v>
      </c>
      <c r="S312" s="51"/>
      <c r="T312" s="51">
        <v>8.9</v>
      </c>
      <c r="U312" s="51">
        <v>60.3</v>
      </c>
      <c r="V312" s="51">
        <v>56.9</v>
      </c>
      <c r="W312" s="51">
        <v>3.4</v>
      </c>
      <c r="X312" s="51" t="s">
        <v>264</v>
      </c>
      <c r="Y312" s="51" t="s">
        <v>264</v>
      </c>
      <c r="Z312" s="9">
        <v>38.4</v>
      </c>
      <c r="AA312" s="51" t="s">
        <v>264</v>
      </c>
      <c r="AB312" s="51" t="s">
        <v>264</v>
      </c>
      <c r="AC312" s="51" t="s">
        <v>264</v>
      </c>
      <c r="AD312" s="51" t="s">
        <v>264</v>
      </c>
      <c r="AE312" s="51"/>
      <c r="AF312" s="51">
        <v>103.80000000000001</v>
      </c>
      <c r="AG312" s="51">
        <v>73.2</v>
      </c>
      <c r="AH312" s="51">
        <v>30.6</v>
      </c>
      <c r="AI312" s="51">
        <v>206.7</v>
      </c>
      <c r="AJ312" s="55"/>
      <c r="AK312" s="55"/>
      <c r="AL312" s="51">
        <v>131.60000000000002</v>
      </c>
      <c r="AM312" s="51">
        <v>78.900000000000006</v>
      </c>
      <c r="AN312" s="51">
        <v>52.7</v>
      </c>
      <c r="AO312" s="51">
        <v>3091.1</v>
      </c>
      <c r="AP312" s="51">
        <v>325.60000000000002</v>
      </c>
      <c r="AQ312" s="51">
        <v>229.3</v>
      </c>
      <c r="AR312" s="51">
        <v>36.700000000000003</v>
      </c>
      <c r="AS312" s="51">
        <v>106.2</v>
      </c>
      <c r="AT312" s="51">
        <v>69.900000000000006</v>
      </c>
      <c r="AU312" s="51">
        <v>67.5</v>
      </c>
      <c r="AV312" s="51">
        <v>38.299999999999997</v>
      </c>
      <c r="AW312" s="51">
        <v>5.9</v>
      </c>
      <c r="AX312" s="51">
        <v>0.7</v>
      </c>
      <c r="AY312" s="51" t="s">
        <v>264</v>
      </c>
      <c r="AZ312" s="51" t="s">
        <v>264</v>
      </c>
      <c r="BA312" s="51" t="s">
        <v>264</v>
      </c>
      <c r="BB312" s="51" t="s">
        <v>264</v>
      </c>
      <c r="BC312" s="55"/>
      <c r="BD312" s="53">
        <v>147.6</v>
      </c>
      <c r="BE312" s="53">
        <v>25.8</v>
      </c>
      <c r="BF312" s="53">
        <v>71.7</v>
      </c>
      <c r="BG312" s="53">
        <v>7.2</v>
      </c>
      <c r="BH312" s="53">
        <v>308.3</v>
      </c>
      <c r="BI312" s="53">
        <v>120.7</v>
      </c>
      <c r="BJ312" s="53">
        <v>94.5</v>
      </c>
      <c r="BK312" s="53">
        <v>215.2</v>
      </c>
      <c r="BL312" s="53">
        <v>0</v>
      </c>
      <c r="BM312" s="53">
        <v>523.5</v>
      </c>
      <c r="BN312" s="53">
        <v>207.1</v>
      </c>
      <c r="BO312" s="53">
        <v>64.400000000000006</v>
      </c>
      <c r="BP312" s="53">
        <v>25.4</v>
      </c>
      <c r="BQ312" s="53">
        <v>89.800000000000011</v>
      </c>
      <c r="BR312" s="53">
        <v>0</v>
      </c>
      <c r="BS312" s="53">
        <v>296.89999999999998</v>
      </c>
      <c r="BT312" s="53">
        <v>18.3</v>
      </c>
      <c r="BU312" s="53">
        <v>13</v>
      </c>
      <c r="BV312" s="51" t="s">
        <v>264</v>
      </c>
      <c r="BW312" s="51" t="s">
        <v>264</v>
      </c>
      <c r="BX312" s="51">
        <v>386.3</v>
      </c>
      <c r="BY312" s="51" t="s">
        <v>264</v>
      </c>
      <c r="BZ312" s="51" t="s">
        <v>264</v>
      </c>
      <c r="CA312" s="51">
        <v>44.2</v>
      </c>
      <c r="CB312" s="53">
        <v>95.1</v>
      </c>
      <c r="CC312" s="53" t="s">
        <v>264</v>
      </c>
      <c r="CD312" s="53">
        <v>103.5</v>
      </c>
      <c r="CE312" s="53">
        <v>12.9</v>
      </c>
      <c r="CF312" s="53">
        <v>104.8</v>
      </c>
      <c r="CG312" s="53">
        <v>121.7</v>
      </c>
      <c r="CH312" s="53">
        <v>4.4000000000000004</v>
      </c>
      <c r="CI312" s="53">
        <v>60.7</v>
      </c>
      <c r="CJ312" s="53">
        <v>9.3000000000000007</v>
      </c>
      <c r="CK312" s="12">
        <v>135.30000000000001</v>
      </c>
      <c r="CL312" s="12">
        <v>13.9</v>
      </c>
      <c r="CM312" s="55"/>
      <c r="CN312" s="53">
        <v>44.8</v>
      </c>
      <c r="CO312" s="53">
        <v>250.29999999999998</v>
      </c>
      <c r="CP312" s="53">
        <v>155.19999999999999</v>
      </c>
      <c r="CQ312" s="53">
        <v>95.1</v>
      </c>
      <c r="CR312" s="52" t="s">
        <v>264</v>
      </c>
      <c r="CS312" s="53">
        <v>23.8</v>
      </c>
      <c r="CT312" s="53">
        <v>16.600000000000001</v>
      </c>
      <c r="CU312" s="53">
        <v>7.2</v>
      </c>
      <c r="CV312" s="53">
        <v>180.4</v>
      </c>
      <c r="CW312" s="52" t="s">
        <v>264</v>
      </c>
      <c r="CX312" s="52" t="s">
        <v>264</v>
      </c>
      <c r="CY312" s="52" t="s">
        <v>264</v>
      </c>
      <c r="CZ312" s="53">
        <v>59.8</v>
      </c>
      <c r="DA312" s="12">
        <v>11</v>
      </c>
      <c r="DB312" s="53" t="s">
        <v>264</v>
      </c>
      <c r="DC312" s="53" t="s">
        <v>264</v>
      </c>
      <c r="DD312" s="55"/>
      <c r="DE312" s="55"/>
      <c r="DF312" s="55"/>
      <c r="DG312" s="55"/>
      <c r="DH312" s="55"/>
      <c r="DI312" s="53">
        <v>618</v>
      </c>
      <c r="DJ312" s="53">
        <v>373.9</v>
      </c>
      <c r="DK312" s="55"/>
      <c r="DL312" s="55"/>
      <c r="DM312" s="53">
        <v>437.6</v>
      </c>
      <c r="DN312" s="55"/>
      <c r="DO312" s="53">
        <v>160.69999999999999</v>
      </c>
      <c r="DP312" s="53">
        <v>311.89999999999998</v>
      </c>
      <c r="DQ312" s="55"/>
      <c r="DR312" s="55"/>
      <c r="DS312" s="53">
        <v>2290.8240000000001</v>
      </c>
      <c r="DT312" s="53">
        <v>4184.5</v>
      </c>
      <c r="DU312" s="53">
        <v>8.4239999999999782</v>
      </c>
      <c r="DV312" s="53">
        <v>0</v>
      </c>
      <c r="DW312" s="55"/>
      <c r="DX312" s="55"/>
      <c r="DY312" s="55"/>
      <c r="DZ312" s="55"/>
      <c r="EA312" s="53">
        <v>317.10000000000002</v>
      </c>
      <c r="EB312" s="53">
        <v>156</v>
      </c>
      <c r="EC312" s="55"/>
      <c r="ED312" s="55"/>
      <c r="EE312" s="53">
        <v>125.4</v>
      </c>
      <c r="EF312" s="55"/>
      <c r="EG312" s="53">
        <v>48.6</v>
      </c>
      <c r="EH312" s="53">
        <v>62</v>
      </c>
      <c r="EI312" s="55"/>
      <c r="EJ312" s="55"/>
      <c r="EK312" s="53">
        <v>816.03599999999994</v>
      </c>
      <c r="EL312" s="53">
        <v>1550.3</v>
      </c>
      <c r="EM312" s="55"/>
      <c r="EN312" s="55"/>
      <c r="EO312" s="55"/>
      <c r="EP312" s="55"/>
      <c r="EQ312" s="53">
        <v>240.5</v>
      </c>
      <c r="ER312" s="53">
        <v>142.69999999999999</v>
      </c>
      <c r="ES312" s="55"/>
      <c r="ET312" s="55"/>
      <c r="EU312" s="53">
        <v>165.7</v>
      </c>
      <c r="EV312" s="55"/>
      <c r="EW312" s="53">
        <v>61.7</v>
      </c>
      <c r="EX312" s="53">
        <v>112.8</v>
      </c>
      <c r="EY312" s="55"/>
      <c r="EZ312" s="55"/>
      <c r="FA312" s="53">
        <v>864.63199999999995</v>
      </c>
      <c r="FB312" s="53">
        <v>1586.7</v>
      </c>
      <c r="FC312" s="55"/>
      <c r="FD312" s="55"/>
      <c r="FE312" s="55"/>
      <c r="FF312" s="55"/>
      <c r="FG312" s="53">
        <v>489</v>
      </c>
      <c r="FH312" s="53">
        <v>299.10000000000002</v>
      </c>
      <c r="FI312" s="55"/>
      <c r="FJ312" s="55"/>
      <c r="FK312" s="53">
        <v>351</v>
      </c>
      <c r="FL312" s="55"/>
      <c r="FM312" s="53">
        <v>127.9</v>
      </c>
      <c r="FN312" s="53">
        <v>248.5</v>
      </c>
      <c r="FO312" s="55"/>
      <c r="FP312" s="55"/>
      <c r="FQ312" s="53">
        <v>1822.7280000000001</v>
      </c>
      <c r="FR312" s="53">
        <v>3328.4</v>
      </c>
      <c r="FS312" s="55"/>
      <c r="FT312" s="55"/>
      <c r="FU312" s="55"/>
      <c r="FV312" s="55"/>
      <c r="FW312" s="53">
        <v>230.5</v>
      </c>
      <c r="FX312" s="53">
        <v>112.7</v>
      </c>
      <c r="FY312" s="55"/>
      <c r="FZ312" s="55"/>
      <c r="GA312" s="53">
        <v>82.2</v>
      </c>
      <c r="GB312" s="55"/>
      <c r="GC312" s="53">
        <v>66.2</v>
      </c>
      <c r="GD312" s="53" t="e">
        <v>#VALUE!</v>
      </c>
      <c r="GE312" s="55"/>
      <c r="GF312" s="55"/>
      <c r="GG312" s="53">
        <v>505.23500000000001</v>
      </c>
      <c r="GH312" s="53">
        <v>1017</v>
      </c>
      <c r="GI312" s="55"/>
      <c r="GJ312" s="55"/>
      <c r="GK312" s="55"/>
      <c r="GL312" s="55"/>
      <c r="GM312" s="53">
        <v>49.4</v>
      </c>
      <c r="GN312" s="53">
        <v>57.6</v>
      </c>
      <c r="GO312" s="55"/>
      <c r="GP312" s="55"/>
      <c r="GQ312" s="53">
        <v>43.3</v>
      </c>
      <c r="GR312" s="55"/>
      <c r="GS312" s="53" t="e">
        <v>#VALUE!</v>
      </c>
      <c r="GT312" s="53" t="e">
        <v>#VALUE!</v>
      </c>
      <c r="GU312" s="55"/>
      <c r="GV312" s="55"/>
      <c r="GW312" s="53">
        <v>210.22</v>
      </c>
      <c r="GX312" s="53">
        <v>362.3</v>
      </c>
      <c r="GY312" s="19">
        <v>0.98684508958947603</v>
      </c>
      <c r="GZ312" s="53">
        <v>1305.3</v>
      </c>
      <c r="HA312" s="53">
        <v>1322.7</v>
      </c>
      <c r="HB312" s="18">
        <v>-113.93112838979982</v>
      </c>
      <c r="HC312" s="18">
        <v>-57.422562496999262</v>
      </c>
      <c r="HD312" s="18">
        <v>1385.2688716102002</v>
      </c>
      <c r="HE312" s="18">
        <v>58.5</v>
      </c>
      <c r="HF312" s="14">
        <v>1499.2</v>
      </c>
      <c r="HG312" s="53">
        <v>1440.7</v>
      </c>
      <c r="HH312" s="53">
        <v>677.8</v>
      </c>
      <c r="HI312" s="53">
        <v>58.7</v>
      </c>
      <c r="HJ312" s="53">
        <v>692.7</v>
      </c>
      <c r="HK312" s="53">
        <v>11.5</v>
      </c>
      <c r="HL312" s="53">
        <v>58.5</v>
      </c>
      <c r="HM312" s="55"/>
      <c r="HN312" s="55"/>
      <c r="HO312" s="55"/>
      <c r="HP312" s="53" t="e">
        <v>#VALUE!</v>
      </c>
      <c r="HQ312" s="53">
        <v>10</v>
      </c>
      <c r="HR312" s="53">
        <v>7.9</v>
      </c>
      <c r="HS312" s="53" t="e">
        <v>#VALUE!</v>
      </c>
      <c r="HT312" s="53">
        <v>33.1</v>
      </c>
      <c r="HU312" s="55"/>
      <c r="HV312" s="55"/>
      <c r="HW312" s="53">
        <v>312.10000000000002</v>
      </c>
      <c r="HX312" s="53" t="e">
        <v>#VALUE!</v>
      </c>
      <c r="HY312" s="53">
        <v>312.10000000000002</v>
      </c>
      <c r="HZ312" s="53">
        <v>39.9</v>
      </c>
      <c r="IA312" s="53">
        <v>234</v>
      </c>
      <c r="IB312" s="53">
        <v>95</v>
      </c>
      <c r="IC312" s="53">
        <v>139</v>
      </c>
      <c r="ID312" s="53">
        <v>81</v>
      </c>
      <c r="IE312" s="53">
        <v>58</v>
      </c>
      <c r="IF312" s="53">
        <v>26.5</v>
      </c>
      <c r="IG312" s="53" t="e">
        <v>#VALUE!</v>
      </c>
      <c r="IH312" s="55"/>
      <c r="II312" s="55"/>
      <c r="IJ312" s="55"/>
      <c r="IK312" s="55"/>
      <c r="IL312" s="12">
        <v>38.200000000000045</v>
      </c>
      <c r="IM312" s="55"/>
      <c r="IN312" s="53">
        <v>56.6</v>
      </c>
      <c r="IO312" s="53">
        <v>57</v>
      </c>
      <c r="IP312" s="53" t="e">
        <v>#VALUE!</v>
      </c>
      <c r="IQ312" s="53">
        <v>47.1</v>
      </c>
      <c r="IR312" s="53">
        <v>18.100000000000001</v>
      </c>
      <c r="IS312" s="53" t="e">
        <v>#VALUE!</v>
      </c>
      <c r="IT312" s="53">
        <v>27.6</v>
      </c>
      <c r="IU312" s="53" t="e">
        <v>#VALUE!</v>
      </c>
      <c r="IV312" s="53" t="e">
        <v>#VALUE!</v>
      </c>
      <c r="IY312" s="48">
        <f t="shared" si="14"/>
        <v>47.609989246027013</v>
      </c>
      <c r="IZ312" s="48">
        <f>IY312-'NOPA Crush'!J312</f>
        <v>0.10998924602701265</v>
      </c>
      <c r="JB312" s="63">
        <f t="shared" si="12"/>
        <v>11.375552634723386</v>
      </c>
      <c r="JC312" s="64">
        <f>JB312-'NOPA Crush'!O312</f>
        <v>-3.4447365276614406E-2</v>
      </c>
      <c r="JD312" s="65"/>
      <c r="JE312" s="67">
        <f t="shared" si="13"/>
        <v>1988.9</v>
      </c>
      <c r="JF312" s="68">
        <f>'NOPA Crush'!Q312/'Census Crush'!JE312</f>
        <v>0.79237819900447481</v>
      </c>
    </row>
    <row r="313" spans="1:266">
      <c r="A313" s="39">
        <v>38565</v>
      </c>
      <c r="B313" s="51">
        <v>3910.2</v>
      </c>
      <c r="C313" s="51">
        <v>1311.7</v>
      </c>
      <c r="D313" s="51">
        <v>240.7</v>
      </c>
      <c r="E313" s="51">
        <v>505.3</v>
      </c>
      <c r="F313" s="51">
        <v>16.899999999999999</v>
      </c>
      <c r="G313" s="51" t="s">
        <v>264</v>
      </c>
      <c r="H313" s="51" t="s">
        <v>264</v>
      </c>
      <c r="I313" s="51" t="s">
        <v>264</v>
      </c>
      <c r="J313" s="51" t="s">
        <v>264</v>
      </c>
      <c r="K313" s="51">
        <v>1484.4</v>
      </c>
      <c r="L313" s="49">
        <v>1727.1</v>
      </c>
      <c r="M313" s="51">
        <v>1526.1</v>
      </c>
      <c r="N313" s="51">
        <v>201</v>
      </c>
      <c r="O313" s="53">
        <v>84.3</v>
      </c>
      <c r="P313" s="51">
        <v>90.6</v>
      </c>
      <c r="Q313" s="51">
        <v>4.5999999999999996</v>
      </c>
      <c r="R313" s="51">
        <v>86</v>
      </c>
      <c r="S313" s="51"/>
      <c r="T313" s="51">
        <v>14.5</v>
      </c>
      <c r="U313" s="51">
        <v>40.800000000000004</v>
      </c>
      <c r="V313" s="51">
        <v>38.1</v>
      </c>
      <c r="W313" s="51">
        <v>2.7</v>
      </c>
      <c r="X313" s="51" t="s">
        <v>264</v>
      </c>
      <c r="Y313" s="51" t="s">
        <v>264</v>
      </c>
      <c r="Z313" s="9">
        <v>21.7</v>
      </c>
      <c r="AA313" s="51" t="s">
        <v>264</v>
      </c>
      <c r="AB313" s="51" t="s">
        <v>264</v>
      </c>
      <c r="AC313" s="51" t="s">
        <v>264</v>
      </c>
      <c r="AD313" s="51" t="s">
        <v>264</v>
      </c>
      <c r="AE313" s="51"/>
      <c r="AF313" s="51">
        <v>106.69999999999999</v>
      </c>
      <c r="AG313" s="51">
        <v>86.1</v>
      </c>
      <c r="AH313" s="51">
        <v>20.6</v>
      </c>
      <c r="AI313" s="51">
        <v>198.5</v>
      </c>
      <c r="AJ313" s="55"/>
      <c r="AK313" s="55"/>
      <c r="AL313" s="51">
        <v>120.5</v>
      </c>
      <c r="AM313" s="51">
        <v>78.900000000000006</v>
      </c>
      <c r="AN313" s="51">
        <v>41.6</v>
      </c>
      <c r="AO313" s="51">
        <v>2894.7</v>
      </c>
      <c r="AP313" s="51">
        <v>210.7</v>
      </c>
      <c r="AQ313" s="51">
        <v>227.3</v>
      </c>
      <c r="AR313" s="51">
        <v>27.5</v>
      </c>
      <c r="AS313" s="51">
        <v>116.4</v>
      </c>
      <c r="AT313" s="51">
        <v>68.099999999999994</v>
      </c>
      <c r="AU313" s="51">
        <v>77.900000000000006</v>
      </c>
      <c r="AV313" s="51">
        <v>38.1</v>
      </c>
      <c r="AW313" s="51">
        <v>9.1</v>
      </c>
      <c r="AX313" s="51">
        <v>1.9</v>
      </c>
      <c r="AY313" s="51" t="s">
        <v>264</v>
      </c>
      <c r="AZ313" s="51" t="s">
        <v>264</v>
      </c>
      <c r="BA313" s="51" t="s">
        <v>264</v>
      </c>
      <c r="BB313" s="51" t="s">
        <v>264</v>
      </c>
      <c r="BC313" s="55"/>
      <c r="BD313" s="53">
        <v>168.6</v>
      </c>
      <c r="BE313" s="53">
        <v>21.2</v>
      </c>
      <c r="BF313" s="53">
        <v>78</v>
      </c>
      <c r="BG313" s="53">
        <v>7.8</v>
      </c>
      <c r="BH313" s="53">
        <v>358.4</v>
      </c>
      <c r="BI313" s="53">
        <v>129.80000000000001</v>
      </c>
      <c r="BJ313" s="53">
        <v>94.5</v>
      </c>
      <c r="BK313" s="53">
        <v>224.3</v>
      </c>
      <c r="BL313" s="53">
        <v>0</v>
      </c>
      <c r="BM313" s="53">
        <v>582.70000000000005</v>
      </c>
      <c r="BN313" s="53">
        <v>183.2</v>
      </c>
      <c r="BO313" s="53">
        <v>73</v>
      </c>
      <c r="BP313" s="53">
        <v>33.6</v>
      </c>
      <c r="BQ313" s="53">
        <v>106.6</v>
      </c>
      <c r="BR313" s="53">
        <v>0</v>
      </c>
      <c r="BS313" s="53">
        <v>289.79999999999995</v>
      </c>
      <c r="BT313" s="53">
        <v>19.2</v>
      </c>
      <c r="BU313" s="53">
        <v>12.2</v>
      </c>
      <c r="BV313" s="51" t="s">
        <v>264</v>
      </c>
      <c r="BW313" s="51" t="s">
        <v>264</v>
      </c>
      <c r="BX313" s="51">
        <v>442.6</v>
      </c>
      <c r="BY313" s="51" t="s">
        <v>264</v>
      </c>
      <c r="BZ313" s="51" t="s">
        <v>264</v>
      </c>
      <c r="CA313" s="51">
        <v>48.7</v>
      </c>
      <c r="CB313" s="53">
        <v>103.5</v>
      </c>
      <c r="CC313" s="53" t="s">
        <v>264</v>
      </c>
      <c r="CD313" s="53">
        <v>105.3</v>
      </c>
      <c r="CE313" s="53">
        <v>13.1</v>
      </c>
      <c r="CF313" s="53">
        <v>104.9</v>
      </c>
      <c r="CG313" s="53">
        <v>123.6</v>
      </c>
      <c r="CH313" s="53">
        <v>5.3</v>
      </c>
      <c r="CI313" s="53">
        <v>36.1</v>
      </c>
      <c r="CJ313" s="53">
        <v>7.3</v>
      </c>
      <c r="CK313" s="12">
        <v>156.6</v>
      </c>
      <c r="CL313" s="12">
        <v>14.6</v>
      </c>
      <c r="CM313" s="55"/>
      <c r="CN313" s="53">
        <v>56.2</v>
      </c>
      <c r="CO313" s="53">
        <v>253.79999999999998</v>
      </c>
      <c r="CP313" s="53">
        <v>177.7</v>
      </c>
      <c r="CQ313" s="53">
        <v>76.099999999999994</v>
      </c>
      <c r="CR313" s="52" t="s">
        <v>264</v>
      </c>
      <c r="CS313" s="53">
        <v>12.9</v>
      </c>
      <c r="CT313" s="53">
        <v>4.0999999999999996</v>
      </c>
      <c r="CU313" s="53">
        <v>8.8000000000000007</v>
      </c>
      <c r="CV313" s="53">
        <v>172.6</v>
      </c>
      <c r="CW313" s="52" t="s">
        <v>264</v>
      </c>
      <c r="CX313" s="52" t="s">
        <v>264</v>
      </c>
      <c r="CY313" s="52" t="s">
        <v>264</v>
      </c>
      <c r="CZ313" s="53">
        <v>58</v>
      </c>
      <c r="DA313" s="12">
        <v>10.5</v>
      </c>
      <c r="DB313" s="53" t="s">
        <v>264</v>
      </c>
      <c r="DC313" s="53" t="s">
        <v>264</v>
      </c>
      <c r="DD313" s="55"/>
      <c r="DE313" s="55"/>
      <c r="DF313" s="55"/>
      <c r="DG313" s="55"/>
      <c r="DH313" s="55"/>
      <c r="DI313" s="53">
        <v>615.6</v>
      </c>
      <c r="DJ313" s="53">
        <v>328</v>
      </c>
      <c r="DK313" s="55"/>
      <c r="DL313" s="55"/>
      <c r="DM313" s="53">
        <v>483.4</v>
      </c>
      <c r="DN313" s="55"/>
      <c r="DO313" s="53">
        <v>183.5</v>
      </c>
      <c r="DP313" s="53">
        <v>272.31900000000002</v>
      </c>
      <c r="DQ313" s="55"/>
      <c r="DR313" s="55"/>
      <c r="DS313" s="53">
        <v>2085.9349999999999</v>
      </c>
      <c r="DT313" s="53">
        <v>3910.2</v>
      </c>
      <c r="DU313" s="53">
        <v>58.554000000000087</v>
      </c>
      <c r="DV313" s="53">
        <v>0</v>
      </c>
      <c r="DW313" s="55"/>
      <c r="DX313" s="55"/>
      <c r="DY313" s="55"/>
      <c r="DZ313" s="55"/>
      <c r="EA313" s="53">
        <v>309.3</v>
      </c>
      <c r="EB313" s="53">
        <v>65.099999999999994</v>
      </c>
      <c r="EC313" s="55"/>
      <c r="ED313" s="55"/>
      <c r="EE313" s="53">
        <v>89.7</v>
      </c>
      <c r="EF313" s="55"/>
      <c r="EG313" s="53">
        <v>51</v>
      </c>
      <c r="EH313" s="53" t="e">
        <v>#VALUE!</v>
      </c>
      <c r="EI313" s="55"/>
      <c r="EJ313" s="55"/>
      <c r="EK313" s="53">
        <v>721.423</v>
      </c>
      <c r="EL313" s="53">
        <v>1311.7</v>
      </c>
      <c r="EM313" s="55"/>
      <c r="EN313" s="55"/>
      <c r="EO313" s="55"/>
      <c r="EP313" s="55"/>
      <c r="EQ313" s="53">
        <v>240.6</v>
      </c>
      <c r="ER313" s="53">
        <v>125.9</v>
      </c>
      <c r="ES313" s="55"/>
      <c r="ET313" s="55"/>
      <c r="EU313" s="53">
        <v>181.2</v>
      </c>
      <c r="EV313" s="55"/>
      <c r="EW313" s="53">
        <v>70.400000000000006</v>
      </c>
      <c r="EX313" s="53">
        <v>102.1</v>
      </c>
      <c r="EY313" s="55"/>
      <c r="EZ313" s="55"/>
      <c r="FA313" s="53">
        <v>784.94200000000001</v>
      </c>
      <c r="FB313" s="53">
        <v>1484.4</v>
      </c>
      <c r="FC313" s="55"/>
      <c r="FD313" s="55"/>
      <c r="FE313" s="55"/>
      <c r="FF313" s="55"/>
      <c r="FG313" s="53">
        <v>490.5</v>
      </c>
      <c r="FH313" s="53">
        <v>265.3</v>
      </c>
      <c r="FI313" s="55"/>
      <c r="FJ313" s="55"/>
      <c r="FK313" s="53">
        <v>387.6</v>
      </c>
      <c r="FL313" s="55"/>
      <c r="FM313" s="53">
        <v>145.69999999999999</v>
      </c>
      <c r="FN313" s="53">
        <v>225.3</v>
      </c>
      <c r="FO313" s="55"/>
      <c r="FP313" s="55"/>
      <c r="FQ313" s="53">
        <v>1663.643</v>
      </c>
      <c r="FR313" s="53">
        <v>3130.6</v>
      </c>
      <c r="FS313" s="55"/>
      <c r="FT313" s="55"/>
      <c r="FU313" s="55"/>
      <c r="FV313" s="55"/>
      <c r="FW313" s="53">
        <v>179.4</v>
      </c>
      <c r="FX313" s="53">
        <v>73.099999999999994</v>
      </c>
      <c r="FY313" s="55"/>
      <c r="FZ313" s="55"/>
      <c r="GA313" s="53">
        <v>93.2</v>
      </c>
      <c r="GB313" s="55"/>
      <c r="GC313" s="53">
        <v>52.9</v>
      </c>
      <c r="GD313" s="53" t="e">
        <v>#VALUE!</v>
      </c>
      <c r="GE313" s="55"/>
      <c r="GF313" s="55"/>
      <c r="GG313" s="53">
        <v>436.91500000000002</v>
      </c>
      <c r="GH313" s="53">
        <v>833.1</v>
      </c>
      <c r="GI313" s="55"/>
      <c r="GJ313" s="55"/>
      <c r="GK313" s="55"/>
      <c r="GL313" s="55"/>
      <c r="GM313" s="53">
        <v>36.4</v>
      </c>
      <c r="GN313" s="53">
        <v>23.5</v>
      </c>
      <c r="GO313" s="55"/>
      <c r="GP313" s="55"/>
      <c r="GQ313" s="53">
        <v>32</v>
      </c>
      <c r="GR313" s="55"/>
      <c r="GS313" s="53">
        <v>3.7490000000000001</v>
      </c>
      <c r="GT313" s="53" t="e">
        <v>#VALUE!</v>
      </c>
      <c r="GU313" s="55"/>
      <c r="GV313" s="55"/>
      <c r="GW313" s="53">
        <v>148.06800000000001</v>
      </c>
      <c r="GX313" s="53">
        <v>238.3</v>
      </c>
      <c r="GY313" s="19">
        <v>0.97937009030174005</v>
      </c>
      <c r="GZ313" s="53">
        <v>1334</v>
      </c>
      <c r="HA313" s="53">
        <v>1362.1</v>
      </c>
      <c r="HB313" s="18">
        <v>68.077990640000507</v>
      </c>
      <c r="HC313" s="18">
        <v>141.45245537440064</v>
      </c>
      <c r="HD313" s="18">
        <v>1609.7779906400006</v>
      </c>
      <c r="HE313" s="18">
        <v>58.700000000000045</v>
      </c>
      <c r="HF313" s="14">
        <v>1541.7</v>
      </c>
      <c r="HG313" s="53">
        <v>1484.9</v>
      </c>
      <c r="HH313" s="53">
        <v>661.8</v>
      </c>
      <c r="HI313" s="53">
        <v>72</v>
      </c>
      <c r="HJ313" s="53">
        <v>739.1</v>
      </c>
      <c r="HK313" s="53">
        <v>12</v>
      </c>
      <c r="HL313" s="53">
        <v>56.7</v>
      </c>
      <c r="HM313" s="55"/>
      <c r="HN313" s="55"/>
      <c r="HO313" s="55"/>
      <c r="HP313" s="53" t="e">
        <v>#VALUE!</v>
      </c>
      <c r="HQ313" s="53">
        <v>9.1999999999999993</v>
      </c>
      <c r="HR313" s="53">
        <v>5.7</v>
      </c>
      <c r="HS313" s="53" t="e">
        <v>#VALUE!</v>
      </c>
      <c r="HT313" s="53">
        <v>35.299999999999997</v>
      </c>
      <c r="HU313" s="55"/>
      <c r="HV313" s="55"/>
      <c r="HW313" s="53">
        <v>341.1</v>
      </c>
      <c r="HX313" s="53" t="e">
        <v>#VALUE!</v>
      </c>
      <c r="HY313" s="53">
        <v>341.1</v>
      </c>
      <c r="HZ313" s="53">
        <v>53.5</v>
      </c>
      <c r="IA313" s="53">
        <v>247.4</v>
      </c>
      <c r="IB313" s="53">
        <v>99.4</v>
      </c>
      <c r="IC313" s="53">
        <v>148</v>
      </c>
      <c r="ID313" s="53">
        <v>86.1</v>
      </c>
      <c r="IE313" s="53">
        <v>61.9</v>
      </c>
      <c r="IF313" s="53">
        <v>26.6</v>
      </c>
      <c r="IG313" s="53" t="e">
        <v>#VALUE!</v>
      </c>
      <c r="IH313" s="55"/>
      <c r="II313" s="55"/>
      <c r="IJ313" s="55"/>
      <c r="IK313" s="55"/>
      <c r="IL313" s="12">
        <v>40.200000000000017</v>
      </c>
      <c r="IM313" s="55"/>
      <c r="IN313" s="53">
        <v>71.2</v>
      </c>
      <c r="IO313" s="53">
        <v>71.8</v>
      </c>
      <c r="IP313" s="53" t="e">
        <v>#VALUE!</v>
      </c>
      <c r="IQ313" s="53">
        <v>50.8</v>
      </c>
      <c r="IR313" s="53">
        <v>17.8</v>
      </c>
      <c r="IS313" s="53" t="e">
        <v>#VALUE!</v>
      </c>
      <c r="IT313" s="53">
        <v>31.6</v>
      </c>
      <c r="IU313" s="53" t="e">
        <v>#VALUE!</v>
      </c>
      <c r="IV313" s="53" t="e">
        <v>#VALUE!</v>
      </c>
      <c r="IY313" s="48">
        <f t="shared" si="14"/>
        <v>47.90547798066595</v>
      </c>
      <c r="IZ313" s="48">
        <f>IY313-'NOPA Crush'!J313</f>
        <v>0.16547798066594765</v>
      </c>
      <c r="JB313" s="63">
        <f t="shared" si="12"/>
        <v>11.388675771060305</v>
      </c>
      <c r="JC313" s="64">
        <f>JB313-'NOPA Crush'!O313</f>
        <v>-5.1324228939694905E-2</v>
      </c>
      <c r="JD313" s="65"/>
      <c r="JE313" s="67">
        <f t="shared" si="13"/>
        <v>1727.1</v>
      </c>
      <c r="JF313" s="68">
        <f>'NOPA Crush'!Q313/'Census Crush'!JE313</f>
        <v>0.81766718777140879</v>
      </c>
    </row>
    <row r="314" spans="1:266">
      <c r="A314" s="39">
        <v>38596</v>
      </c>
      <c r="B314" s="51">
        <v>3994.9</v>
      </c>
      <c r="C314" s="51">
        <v>1985</v>
      </c>
      <c r="D314" s="51">
        <v>170.3</v>
      </c>
      <c r="E314" s="51">
        <v>578.20000000000005</v>
      </c>
      <c r="F314" s="51">
        <v>11.8</v>
      </c>
      <c r="G314" s="51" t="s">
        <v>264</v>
      </c>
      <c r="H314" s="51" t="s">
        <v>264</v>
      </c>
      <c r="I314" s="51" t="s">
        <v>264</v>
      </c>
      <c r="J314" s="51" t="s">
        <v>264</v>
      </c>
      <c r="K314" s="51">
        <v>1531.1</v>
      </c>
      <c r="L314" s="49">
        <v>1699.1</v>
      </c>
      <c r="M314" s="51">
        <v>1506.8</v>
      </c>
      <c r="N314" s="51">
        <v>192.3</v>
      </c>
      <c r="O314" s="53">
        <v>62.6</v>
      </c>
      <c r="P314" s="51">
        <v>76.3</v>
      </c>
      <c r="Q314" s="51">
        <v>3.3</v>
      </c>
      <c r="R314" s="51">
        <v>73</v>
      </c>
      <c r="S314" s="51"/>
      <c r="T314" s="51">
        <v>11.3</v>
      </c>
      <c r="U314" s="51">
        <v>38.4</v>
      </c>
      <c r="V314" s="51">
        <v>35.4</v>
      </c>
      <c r="W314" s="51">
        <v>3</v>
      </c>
      <c r="X314" s="51" t="s">
        <v>264</v>
      </c>
      <c r="Y314" s="51" t="s">
        <v>264</v>
      </c>
      <c r="Z314" s="9">
        <v>22.3</v>
      </c>
      <c r="AA314" s="51" t="s">
        <v>264</v>
      </c>
      <c r="AB314" s="51" t="s">
        <v>264</v>
      </c>
      <c r="AC314" s="51" t="s">
        <v>264</v>
      </c>
      <c r="AD314" s="51" t="s">
        <v>264</v>
      </c>
      <c r="AE314" s="51"/>
      <c r="AF314" s="51">
        <v>128</v>
      </c>
      <c r="AG314" s="51">
        <v>104</v>
      </c>
      <c r="AH314" s="51">
        <v>24</v>
      </c>
      <c r="AI314" s="51">
        <v>189</v>
      </c>
      <c r="AJ314" s="55"/>
      <c r="AK314" s="55"/>
      <c r="AL314" s="51">
        <v>155.5</v>
      </c>
      <c r="AM314" s="51">
        <v>79.8</v>
      </c>
      <c r="AN314" s="51">
        <v>75.7</v>
      </c>
      <c r="AO314" s="51">
        <v>2936.2</v>
      </c>
      <c r="AP314" s="51">
        <v>147.5</v>
      </c>
      <c r="AQ314" s="51">
        <v>220.8</v>
      </c>
      <c r="AR314" s="51">
        <v>24.3</v>
      </c>
      <c r="AS314" s="51">
        <v>91.1</v>
      </c>
      <c r="AT314" s="51">
        <v>52.6</v>
      </c>
      <c r="AU314" s="51">
        <v>62.4</v>
      </c>
      <c r="AV314" s="51">
        <v>27.7</v>
      </c>
      <c r="AW314" s="51">
        <v>6.8</v>
      </c>
      <c r="AX314" s="51">
        <v>1</v>
      </c>
      <c r="AY314" s="51" t="s">
        <v>264</v>
      </c>
      <c r="AZ314" s="51" t="s">
        <v>264</v>
      </c>
      <c r="BA314" s="51" t="s">
        <v>264</v>
      </c>
      <c r="BB314" s="51" t="s">
        <v>264</v>
      </c>
      <c r="BC314" s="55"/>
      <c r="BD314" s="53">
        <v>154.9</v>
      </c>
      <c r="BE314" s="53">
        <v>22.1</v>
      </c>
      <c r="BF314" s="53">
        <v>72.7</v>
      </c>
      <c r="BG314" s="53">
        <v>9.5</v>
      </c>
      <c r="BH314" s="53">
        <v>344.4</v>
      </c>
      <c r="BI314" s="53">
        <v>126.3</v>
      </c>
      <c r="BJ314" s="53">
        <v>117.4</v>
      </c>
      <c r="BK314" s="53">
        <v>243.7</v>
      </c>
      <c r="BL314" s="53">
        <v>0</v>
      </c>
      <c r="BM314" s="53">
        <v>588.09999999999991</v>
      </c>
      <c r="BN314" s="53">
        <v>205.7</v>
      </c>
      <c r="BO314" s="53">
        <v>53.7</v>
      </c>
      <c r="BP314" s="53">
        <v>27.8</v>
      </c>
      <c r="BQ314" s="53">
        <v>81.5</v>
      </c>
      <c r="BR314" s="53">
        <v>0</v>
      </c>
      <c r="BS314" s="53">
        <v>287.2</v>
      </c>
      <c r="BT314" s="53">
        <v>21</v>
      </c>
      <c r="BU314" s="53">
        <v>12.8</v>
      </c>
      <c r="BV314" s="51" t="s">
        <v>264</v>
      </c>
      <c r="BW314" s="51" t="s">
        <v>264</v>
      </c>
      <c r="BX314" s="51">
        <v>434.9</v>
      </c>
      <c r="BY314" s="51" t="s">
        <v>264</v>
      </c>
      <c r="BZ314" s="51" t="s">
        <v>264</v>
      </c>
      <c r="CA314" s="51">
        <v>52.6</v>
      </c>
      <c r="CB314" s="53">
        <v>100.3</v>
      </c>
      <c r="CC314" s="53" t="s">
        <v>264</v>
      </c>
      <c r="CD314" s="53">
        <v>105.5</v>
      </c>
      <c r="CE314" s="53">
        <v>17.7</v>
      </c>
      <c r="CF314" s="53">
        <v>102.5</v>
      </c>
      <c r="CG314" s="53">
        <v>107.2</v>
      </c>
      <c r="CH314" s="53">
        <v>5</v>
      </c>
      <c r="CI314" s="53">
        <v>36.799999999999997</v>
      </c>
      <c r="CJ314" s="53">
        <v>15.5</v>
      </c>
      <c r="CK314" s="12">
        <v>147.6</v>
      </c>
      <c r="CL314" s="12">
        <v>14.6</v>
      </c>
      <c r="CM314" s="55"/>
      <c r="CN314" s="53">
        <v>50.3</v>
      </c>
      <c r="CO314" s="53">
        <v>242.2</v>
      </c>
      <c r="CP314" s="53">
        <v>172.4</v>
      </c>
      <c r="CQ314" s="53">
        <v>69.8</v>
      </c>
      <c r="CR314" s="52" t="s">
        <v>264</v>
      </c>
      <c r="CS314" s="53">
        <v>31.8</v>
      </c>
      <c r="CT314" s="53">
        <v>18.5</v>
      </c>
      <c r="CU314" s="53">
        <v>13.3</v>
      </c>
      <c r="CV314" s="53">
        <v>168.5</v>
      </c>
      <c r="CW314" s="52" t="s">
        <v>264</v>
      </c>
      <c r="CX314" s="52" t="s">
        <v>264</v>
      </c>
      <c r="CY314" s="52" t="s">
        <v>264</v>
      </c>
      <c r="CZ314" s="53">
        <v>81.400000000000006</v>
      </c>
      <c r="DA314" s="12">
        <v>10.7</v>
      </c>
      <c r="DB314" s="53" t="s">
        <v>264</v>
      </c>
      <c r="DC314" s="53" t="s">
        <v>264</v>
      </c>
      <c r="DD314" s="55"/>
      <c r="DE314" s="55"/>
      <c r="DF314" s="55"/>
      <c r="DG314" s="55"/>
      <c r="DH314" s="55"/>
      <c r="DI314" s="53">
        <v>623.6</v>
      </c>
      <c r="DJ314" s="53">
        <v>367.8</v>
      </c>
      <c r="DK314" s="55"/>
      <c r="DL314" s="55"/>
      <c r="DM314" s="53">
        <v>441.1</v>
      </c>
      <c r="DN314" s="55"/>
      <c r="DO314" s="53">
        <v>137.4</v>
      </c>
      <c r="DP314" s="53">
        <v>282.10000000000002</v>
      </c>
      <c r="DQ314" s="55"/>
      <c r="DR314" s="55"/>
      <c r="DS314" s="53">
        <v>2184.424</v>
      </c>
      <c r="DT314" s="53">
        <v>3994.9</v>
      </c>
      <c r="DU314" s="53">
        <v>41.523999999999887</v>
      </c>
      <c r="DV314" s="53">
        <v>0</v>
      </c>
      <c r="DW314" s="55"/>
      <c r="DX314" s="55"/>
      <c r="DY314" s="55"/>
      <c r="DZ314" s="55"/>
      <c r="EA314" s="53">
        <v>379.2</v>
      </c>
      <c r="EB314" s="53">
        <v>126.8</v>
      </c>
      <c r="EC314" s="55"/>
      <c r="ED314" s="55"/>
      <c r="EE314" s="53">
        <v>160.30000000000001</v>
      </c>
      <c r="EF314" s="55"/>
      <c r="EG314" s="53">
        <v>46.4</v>
      </c>
      <c r="EH314" s="53" t="e">
        <v>#VALUE!</v>
      </c>
      <c r="EI314" s="55"/>
      <c r="EJ314" s="55"/>
      <c r="EK314" s="53">
        <v>1183.8230000000001</v>
      </c>
      <c r="EL314" s="53">
        <v>1985</v>
      </c>
      <c r="EM314" s="55"/>
      <c r="EN314" s="55"/>
      <c r="EO314" s="55"/>
      <c r="EP314" s="55"/>
      <c r="EQ314" s="53">
        <v>241.5</v>
      </c>
      <c r="ER314" s="53">
        <v>140</v>
      </c>
      <c r="ES314" s="55"/>
      <c r="ET314" s="55"/>
      <c r="EU314" s="53">
        <v>165.2</v>
      </c>
      <c r="EV314" s="55"/>
      <c r="EW314" s="53">
        <v>52.7</v>
      </c>
      <c r="EX314" s="53">
        <v>107.5</v>
      </c>
      <c r="EY314" s="55"/>
      <c r="EZ314" s="55"/>
      <c r="FA314" s="53">
        <v>835.91399999999999</v>
      </c>
      <c r="FB314" s="53">
        <v>1531.1</v>
      </c>
      <c r="FC314" s="55"/>
      <c r="FD314" s="55"/>
      <c r="FE314" s="55"/>
      <c r="FF314" s="55"/>
      <c r="FG314" s="53">
        <v>490.3</v>
      </c>
      <c r="FH314" s="53">
        <v>293</v>
      </c>
      <c r="FI314" s="55"/>
      <c r="FJ314" s="55"/>
      <c r="FK314" s="53">
        <v>353.2</v>
      </c>
      <c r="FL314" s="55"/>
      <c r="FM314" s="53">
        <v>109.2</v>
      </c>
      <c r="FN314" s="53">
        <v>227.5</v>
      </c>
      <c r="FO314" s="55"/>
      <c r="FP314" s="55"/>
      <c r="FQ314" s="53">
        <v>1725.973</v>
      </c>
      <c r="FR314" s="53">
        <v>3164.9</v>
      </c>
      <c r="FS314" s="55"/>
      <c r="FT314" s="55"/>
      <c r="FU314" s="55"/>
      <c r="FV314" s="55"/>
      <c r="FW314" s="53">
        <v>166.2</v>
      </c>
      <c r="FX314" s="53">
        <v>82.8</v>
      </c>
      <c r="FY314" s="55"/>
      <c r="FZ314" s="55"/>
      <c r="GA314" s="53">
        <v>96.2</v>
      </c>
      <c r="GB314" s="55"/>
      <c r="GC314" s="53">
        <v>51.8</v>
      </c>
      <c r="GD314" s="53" t="e">
        <v>#VALUE!</v>
      </c>
      <c r="GE314" s="55"/>
      <c r="GF314" s="55"/>
      <c r="GG314" s="53">
        <v>409.952</v>
      </c>
      <c r="GH314" s="53">
        <v>804</v>
      </c>
      <c r="GI314" s="55"/>
      <c r="GJ314" s="55"/>
      <c r="GK314" s="55"/>
      <c r="GL314" s="55"/>
      <c r="GM314" s="53">
        <v>27.8</v>
      </c>
      <c r="GN314" s="53">
        <v>15.3</v>
      </c>
      <c r="GO314" s="55"/>
      <c r="GP314" s="55"/>
      <c r="GQ314" s="53">
        <v>26.1</v>
      </c>
      <c r="GR314" s="55"/>
      <c r="GS314" s="53" t="e">
        <v>#VALUE!</v>
      </c>
      <c r="GT314" s="53" t="e">
        <v>#VALUE!</v>
      </c>
      <c r="GU314" s="55"/>
      <c r="GV314" s="55"/>
      <c r="GW314" s="53">
        <v>98.822000000000003</v>
      </c>
      <c r="GX314" s="53">
        <v>171.7</v>
      </c>
      <c r="GY314" s="19">
        <v>0.9785782407747049</v>
      </c>
      <c r="GZ314" s="53">
        <v>1333.9</v>
      </c>
      <c r="HA314" s="53">
        <v>1363.1</v>
      </c>
      <c r="HB314" s="18">
        <v>-8.8415177389999826</v>
      </c>
      <c r="HC314" s="18">
        <v>82.929301171000361</v>
      </c>
      <c r="HD314" s="18">
        <v>1493.458482261</v>
      </c>
      <c r="HE314" s="18">
        <v>0.5</v>
      </c>
      <c r="HF314" s="14">
        <v>1502.3</v>
      </c>
      <c r="HG314" s="53">
        <v>1444.7</v>
      </c>
      <c r="HH314" s="53">
        <v>632.20000000000005</v>
      </c>
      <c r="HI314" s="53">
        <v>73.599999999999994</v>
      </c>
      <c r="HJ314" s="53">
        <v>726.5</v>
      </c>
      <c r="HK314" s="53">
        <v>12.5</v>
      </c>
      <c r="HL314" s="53">
        <v>57.6</v>
      </c>
      <c r="HM314" s="55"/>
      <c r="HN314" s="55"/>
      <c r="HO314" s="55"/>
      <c r="HP314" s="53" t="e">
        <v>#VALUE!</v>
      </c>
      <c r="HQ314" s="53">
        <v>7.9</v>
      </c>
      <c r="HR314" s="53">
        <v>7.6</v>
      </c>
      <c r="HS314" s="53" t="e">
        <v>#VALUE!</v>
      </c>
      <c r="HT314" s="53">
        <v>35.1</v>
      </c>
      <c r="HU314" s="55"/>
      <c r="HV314" s="55"/>
      <c r="HW314" s="53">
        <v>331.5</v>
      </c>
      <c r="HX314" s="53" t="e">
        <v>#VALUE!</v>
      </c>
      <c r="HY314" s="53">
        <v>331.5</v>
      </c>
      <c r="HZ314" s="53">
        <v>42.2</v>
      </c>
      <c r="IA314" s="53">
        <v>248.1</v>
      </c>
      <c r="IB314" s="53">
        <v>103.3</v>
      </c>
      <c r="IC314" s="53">
        <v>144.80000000000001</v>
      </c>
      <c r="ID314" s="53">
        <v>71.400000000000006</v>
      </c>
      <c r="IE314" s="53">
        <v>73.400000000000006</v>
      </c>
      <c r="IF314" s="53">
        <v>26.8</v>
      </c>
      <c r="IG314" s="53" t="e">
        <v>#VALUE!</v>
      </c>
      <c r="IH314" s="55"/>
      <c r="II314" s="55"/>
      <c r="IJ314" s="55"/>
      <c r="IK314" s="55"/>
      <c r="IL314" s="12">
        <v>41.200000000000017</v>
      </c>
      <c r="IM314" s="55"/>
      <c r="IN314" s="53">
        <v>54.7</v>
      </c>
      <c r="IO314" s="53">
        <v>55.2</v>
      </c>
      <c r="IP314" s="53" t="e">
        <v>#VALUE!</v>
      </c>
      <c r="IQ314" s="53">
        <v>52.7</v>
      </c>
      <c r="IR314" s="53">
        <v>18.899999999999999</v>
      </c>
      <c r="IS314" s="53" t="e">
        <v>#VALUE!</v>
      </c>
      <c r="IT314" s="53">
        <v>32.200000000000003</v>
      </c>
      <c r="IU314" s="53" t="e">
        <v>#VALUE!</v>
      </c>
      <c r="IV314" s="53" t="e">
        <v>#VALUE!</v>
      </c>
      <c r="IY314" s="48">
        <f t="shared" si="14"/>
        <v>47.415454704748555</v>
      </c>
      <c r="IZ314" s="48">
        <f>IY314-'NOPA Crush'!J314</f>
        <v>0.1954547047485562</v>
      </c>
      <c r="JB314" s="63">
        <f t="shared" si="12"/>
        <v>11.497909835039675</v>
      </c>
      <c r="JC314" s="64">
        <f>JB314-'NOPA Crush'!O314</f>
        <v>-6.2090164960325822E-2</v>
      </c>
      <c r="JD314" s="65"/>
      <c r="JE314" s="67">
        <f t="shared" si="13"/>
        <v>1699.1</v>
      </c>
      <c r="JF314" s="68">
        <f>'NOPA Crush'!Q314/'Census Crush'!JE314</f>
        <v>0.80893296451062335</v>
      </c>
    </row>
    <row r="315" spans="1:266">
      <c r="A315" s="39">
        <v>38626</v>
      </c>
      <c r="B315" s="51">
        <v>4730.2</v>
      </c>
      <c r="C315" s="51">
        <v>4747.6000000000004</v>
      </c>
      <c r="D315" s="51">
        <v>258</v>
      </c>
      <c r="E315" s="51">
        <v>1147</v>
      </c>
      <c r="F315" s="51">
        <v>18.399999999999999</v>
      </c>
      <c r="G315" s="51" t="s">
        <v>264</v>
      </c>
      <c r="H315" s="51" t="s">
        <v>264</v>
      </c>
      <c r="I315" s="51" t="s">
        <v>264</v>
      </c>
      <c r="J315" s="51" t="s">
        <v>264</v>
      </c>
      <c r="K315" s="51">
        <v>1828.6</v>
      </c>
      <c r="L315" s="49">
        <v>1883.5</v>
      </c>
      <c r="M315" s="51">
        <v>1630.8</v>
      </c>
      <c r="N315" s="51">
        <v>252.7</v>
      </c>
      <c r="O315" s="53">
        <v>83.2</v>
      </c>
      <c r="P315" s="51">
        <v>70.8</v>
      </c>
      <c r="Q315" s="51">
        <v>4.5999999999999996</v>
      </c>
      <c r="R315" s="51">
        <v>66.2</v>
      </c>
      <c r="S315" s="51"/>
      <c r="T315" s="51">
        <v>15.3</v>
      </c>
      <c r="U315" s="51">
        <v>26.7</v>
      </c>
      <c r="V315" s="51">
        <v>22.9</v>
      </c>
      <c r="W315" s="51">
        <v>3.8</v>
      </c>
      <c r="X315" s="51" t="s">
        <v>264</v>
      </c>
      <c r="Y315" s="51" t="e">
        <v>#VALUE!</v>
      </c>
      <c r="Z315" s="9">
        <v>22.6</v>
      </c>
      <c r="AA315" s="51" t="e">
        <v>#VALUE!</v>
      </c>
      <c r="AB315" s="51" t="e">
        <v>#VALUE!</v>
      </c>
      <c r="AC315" s="51" t="s">
        <v>264</v>
      </c>
      <c r="AD315" s="51" t="s">
        <v>264</v>
      </c>
      <c r="AE315" s="51"/>
      <c r="AF315" s="51">
        <v>96.199999999999989</v>
      </c>
      <c r="AG315" s="51">
        <v>75.8</v>
      </c>
      <c r="AH315" s="51">
        <v>20.399999999999999</v>
      </c>
      <c r="AI315" s="51">
        <v>207.5</v>
      </c>
      <c r="AJ315" s="55"/>
      <c r="AK315" s="55"/>
      <c r="AL315" s="51">
        <v>131.80000000000001</v>
      </c>
      <c r="AM315" s="51">
        <v>91</v>
      </c>
      <c r="AN315" s="51">
        <v>40.799999999999997</v>
      </c>
      <c r="AO315" s="51">
        <v>3446</v>
      </c>
      <c r="AP315" s="51">
        <v>275.7</v>
      </c>
      <c r="AQ315" s="51">
        <v>254.9</v>
      </c>
      <c r="AR315" s="51">
        <v>40.4</v>
      </c>
      <c r="AS315" s="51">
        <v>130.1</v>
      </c>
      <c r="AT315" s="51">
        <v>43.9</v>
      </c>
      <c r="AU315" s="51">
        <v>71.099999999999994</v>
      </c>
      <c r="AV315" s="51">
        <v>20</v>
      </c>
      <c r="AW315" s="51">
        <v>9.9</v>
      </c>
      <c r="AX315" s="51">
        <v>2.9</v>
      </c>
      <c r="AY315" s="51" t="s">
        <v>264</v>
      </c>
      <c r="AZ315" s="51" t="s">
        <v>264</v>
      </c>
      <c r="BA315" s="51" t="s">
        <v>264</v>
      </c>
      <c r="BB315" s="51" t="s">
        <v>264</v>
      </c>
      <c r="BC315" s="55"/>
      <c r="BD315" s="53">
        <v>152.6</v>
      </c>
      <c r="BE315" s="53">
        <v>22.8</v>
      </c>
      <c r="BF315" s="53">
        <v>73.5</v>
      </c>
      <c r="BG315" s="53">
        <v>9.8000000000000007</v>
      </c>
      <c r="BH315" s="53">
        <v>323.89999999999998</v>
      </c>
      <c r="BI315" s="53">
        <v>116.7</v>
      </c>
      <c r="BJ315" s="53">
        <v>97.6</v>
      </c>
      <c r="BK315" s="53">
        <v>214.3</v>
      </c>
      <c r="BL315" s="53">
        <v>0</v>
      </c>
      <c r="BM315" s="53">
        <v>538.20000000000005</v>
      </c>
      <c r="BN315" s="53">
        <v>197</v>
      </c>
      <c r="BO315" s="53">
        <v>49.2</v>
      </c>
      <c r="BP315" s="53">
        <v>21.2</v>
      </c>
      <c r="BQ315" s="53">
        <v>70.400000000000006</v>
      </c>
      <c r="BR315" s="53">
        <v>0</v>
      </c>
      <c r="BS315" s="53">
        <v>267.39999999999998</v>
      </c>
      <c r="BT315" s="53">
        <v>22.3</v>
      </c>
      <c r="BU315" s="53">
        <v>12.2</v>
      </c>
      <c r="BV315" s="51" t="s">
        <v>264</v>
      </c>
      <c r="BW315" s="51" t="s">
        <v>264</v>
      </c>
      <c r="BX315" s="51">
        <v>404.8</v>
      </c>
      <c r="BY315" s="51" t="s">
        <v>264</v>
      </c>
      <c r="BZ315" s="51" t="s">
        <v>264</v>
      </c>
      <c r="CA315" s="51">
        <v>57.6</v>
      </c>
      <c r="CB315" s="53">
        <v>96.6</v>
      </c>
      <c r="CC315" s="53" t="s">
        <v>264</v>
      </c>
      <c r="CD315" s="53">
        <v>107</v>
      </c>
      <c r="CE315" s="53">
        <v>16.7</v>
      </c>
      <c r="CF315" s="53">
        <v>99.9</v>
      </c>
      <c r="CG315" s="53">
        <v>97</v>
      </c>
      <c r="CH315" s="53">
        <v>7.1</v>
      </c>
      <c r="CI315" s="53">
        <v>35.9</v>
      </c>
      <c r="CJ315" s="53">
        <v>7.5</v>
      </c>
      <c r="CK315" s="12">
        <v>149</v>
      </c>
      <c r="CL315" s="12">
        <v>16.8</v>
      </c>
      <c r="CM315" s="55"/>
      <c r="CN315" s="53">
        <v>29.8</v>
      </c>
      <c r="CO315" s="53">
        <v>239.5</v>
      </c>
      <c r="CP315" s="53">
        <v>186.4</v>
      </c>
      <c r="CQ315" s="53">
        <v>53.1</v>
      </c>
      <c r="CR315" s="52" t="s">
        <v>264</v>
      </c>
      <c r="CS315" s="12">
        <v>29.6</v>
      </c>
      <c r="CT315" s="57" t="e">
        <v>#VALUE!</v>
      </c>
      <c r="CU315" s="57" t="e">
        <v>#VALUE!</v>
      </c>
      <c r="CV315" s="53">
        <v>120.8</v>
      </c>
      <c r="CW315" s="52" t="e">
        <v>#VALUE!</v>
      </c>
      <c r="CX315" s="52" t="e">
        <v>#VALUE!</v>
      </c>
      <c r="CY315" s="52" t="e">
        <v>#VALUE!</v>
      </c>
      <c r="CZ315" s="53">
        <v>59.3</v>
      </c>
      <c r="DA315" s="12">
        <v>12.8</v>
      </c>
      <c r="DB315" s="53" t="e">
        <v>#VALUE!</v>
      </c>
      <c r="DC315" s="53" t="e">
        <v>#VALUE!</v>
      </c>
      <c r="DD315" s="55"/>
      <c r="DE315" s="55"/>
      <c r="DF315" s="55"/>
      <c r="DG315" s="55"/>
      <c r="DH315" s="55"/>
      <c r="DI315" s="53">
        <v>723.2</v>
      </c>
      <c r="DJ315" s="53">
        <v>483.4</v>
      </c>
      <c r="DK315" s="55"/>
      <c r="DL315" s="55"/>
      <c r="DM315" s="53">
        <v>467.1</v>
      </c>
      <c r="DN315" s="55"/>
      <c r="DO315" s="53">
        <v>200.5</v>
      </c>
      <c r="DP315" s="53">
        <v>327.3</v>
      </c>
      <c r="DQ315" s="55"/>
      <c r="DR315" s="55"/>
      <c r="DS315" s="53">
        <v>2550.6880000000001</v>
      </c>
      <c r="DT315" s="53">
        <v>4730.2</v>
      </c>
      <c r="DU315" s="53">
        <v>21.988000000000284</v>
      </c>
      <c r="DV315" s="53">
        <v>0</v>
      </c>
      <c r="DW315" s="55"/>
      <c r="DX315" s="55"/>
      <c r="DY315" s="55"/>
      <c r="DZ315" s="55"/>
      <c r="EA315" s="53">
        <v>1090.5</v>
      </c>
      <c r="EB315" s="53">
        <v>885.6</v>
      </c>
      <c r="EC315" s="55"/>
      <c r="ED315" s="55"/>
      <c r="EE315" s="53">
        <v>263</v>
      </c>
      <c r="EF315" s="55"/>
      <c r="EG315" s="53">
        <v>218</v>
      </c>
      <c r="EH315" s="53" t="e">
        <v>#VALUE!</v>
      </c>
      <c r="EI315" s="55"/>
      <c r="EJ315" s="55"/>
      <c r="EK315" s="53">
        <v>1811.6079999999999</v>
      </c>
      <c r="EL315" s="53">
        <v>4747.6000000000004</v>
      </c>
      <c r="EM315" s="55"/>
      <c r="EN315" s="55"/>
      <c r="EO315" s="55"/>
      <c r="EP315" s="55"/>
      <c r="EQ315" s="53">
        <v>285.10000000000002</v>
      </c>
      <c r="ER315" s="53">
        <v>183.7</v>
      </c>
      <c r="ES315" s="55"/>
      <c r="ET315" s="55"/>
      <c r="EU315" s="53">
        <v>183.3</v>
      </c>
      <c r="EV315" s="55"/>
      <c r="EW315" s="53">
        <v>76.099999999999994</v>
      </c>
      <c r="EX315" s="53">
        <v>126.4</v>
      </c>
      <c r="EY315" s="55"/>
      <c r="EZ315" s="55"/>
      <c r="FA315" s="53">
        <v>983.69299999999998</v>
      </c>
      <c r="FB315" s="53">
        <v>1828.6</v>
      </c>
      <c r="FC315" s="55"/>
      <c r="FD315" s="55"/>
      <c r="FE315" s="55"/>
      <c r="FF315" s="55"/>
      <c r="FG315" s="53">
        <v>562.9</v>
      </c>
      <c r="FH315" s="53">
        <v>378.2</v>
      </c>
      <c r="FI315" s="55"/>
      <c r="FJ315" s="55"/>
      <c r="FK315" s="53">
        <v>369.7</v>
      </c>
      <c r="FL315" s="55"/>
      <c r="FM315" s="53">
        <v>156.6</v>
      </c>
      <c r="FN315" s="53">
        <v>264.5</v>
      </c>
      <c r="FO315" s="55"/>
      <c r="FP315" s="55"/>
      <c r="FQ315" s="53">
        <v>1995.751</v>
      </c>
      <c r="FR315" s="53">
        <v>3709</v>
      </c>
      <c r="FS315" s="55"/>
      <c r="FT315" s="55"/>
      <c r="FU315" s="55"/>
      <c r="FV315" s="55"/>
      <c r="FW315" s="53">
        <v>190.5</v>
      </c>
      <c r="FX315" s="53">
        <v>80.400000000000006</v>
      </c>
      <c r="FY315" s="55"/>
      <c r="FZ315" s="55"/>
      <c r="GA315" s="53">
        <v>90.3</v>
      </c>
      <c r="GB315" s="55"/>
      <c r="GC315" s="53">
        <v>64.599999999999994</v>
      </c>
      <c r="GD315" s="53" t="e">
        <v>#VALUE!</v>
      </c>
      <c r="GE315" s="55"/>
      <c r="GF315" s="55"/>
      <c r="GG315" s="53">
        <v>483.96800000000002</v>
      </c>
      <c r="GH315" s="53">
        <v>899.8</v>
      </c>
      <c r="GI315" s="55"/>
      <c r="GJ315" s="55"/>
      <c r="GK315" s="55"/>
      <c r="GL315" s="55"/>
      <c r="GM315" s="53">
        <v>66</v>
      </c>
      <c r="GN315" s="53">
        <v>42</v>
      </c>
      <c r="GO315" s="55"/>
      <c r="GP315" s="55"/>
      <c r="GQ315" s="53">
        <v>43.3</v>
      </c>
      <c r="GR315" s="55"/>
      <c r="GS315" s="53">
        <v>6.6</v>
      </c>
      <c r="GT315" s="53" t="e">
        <v>#VALUE!</v>
      </c>
      <c r="GU315" s="55"/>
      <c r="GV315" s="55"/>
      <c r="GW315" s="53">
        <v>162.12200000000001</v>
      </c>
      <c r="GX315" s="53">
        <v>316.10000000000002</v>
      </c>
      <c r="GY315" s="19">
        <v>0.97858192762651353</v>
      </c>
      <c r="GZ315" s="53">
        <v>1398.1</v>
      </c>
      <c r="HA315" s="53">
        <v>1428.7</v>
      </c>
      <c r="HB315" s="18">
        <v>-21.359417652000047</v>
      </c>
      <c r="HC315" s="18">
        <v>-33.854942996000091</v>
      </c>
      <c r="HD315" s="18">
        <v>1570.640582348</v>
      </c>
      <c r="HE315" s="18">
        <v>16.099999999999909</v>
      </c>
      <c r="HF315" s="14">
        <v>1592</v>
      </c>
      <c r="HG315" s="53">
        <v>1533.1</v>
      </c>
      <c r="HH315" s="53">
        <v>644.6</v>
      </c>
      <c r="HI315" s="53">
        <v>74.8</v>
      </c>
      <c r="HJ315" s="53">
        <v>802.6</v>
      </c>
      <c r="HK315" s="53">
        <v>11.1</v>
      </c>
      <c r="HL315" s="53">
        <v>58.9</v>
      </c>
      <c r="HM315" s="55"/>
      <c r="HN315" s="55"/>
      <c r="HO315" s="55"/>
      <c r="HP315" s="53" t="e">
        <v>#VALUE!</v>
      </c>
      <c r="HQ315" s="53">
        <v>8.8000000000000007</v>
      </c>
      <c r="HR315" s="53">
        <v>7.7</v>
      </c>
      <c r="HS315" s="53" t="e">
        <v>#VALUE!</v>
      </c>
      <c r="HT315" s="53">
        <v>35.200000000000003</v>
      </c>
      <c r="HU315" s="55"/>
      <c r="HV315" s="55"/>
      <c r="HW315" s="53">
        <v>319.7</v>
      </c>
      <c r="HX315" s="53" t="e">
        <v>#VALUE!</v>
      </c>
      <c r="HY315" s="53">
        <v>319.7</v>
      </c>
      <c r="HZ315" s="53">
        <v>52.9</v>
      </c>
      <c r="IA315" s="53">
        <v>226.2</v>
      </c>
      <c r="IB315" s="53">
        <v>96.1</v>
      </c>
      <c r="IC315" s="53">
        <v>130.1</v>
      </c>
      <c r="ID315" s="53">
        <v>74.7</v>
      </c>
      <c r="IE315" s="53">
        <v>55.4</v>
      </c>
      <c r="IF315" s="53">
        <v>26.7</v>
      </c>
      <c r="IG315" s="53" t="e">
        <v>#VALUE!</v>
      </c>
      <c r="IH315" s="55"/>
      <c r="II315" s="55"/>
      <c r="IJ315" s="55"/>
      <c r="IK315" s="55"/>
      <c r="IL315" s="12">
        <v>40.600000000000023</v>
      </c>
      <c r="IM315" s="55"/>
      <c r="IN315" s="53">
        <v>68.900000000000006</v>
      </c>
      <c r="IO315" s="53">
        <v>69.2</v>
      </c>
      <c r="IP315" s="53" t="e">
        <v>#VALUE!</v>
      </c>
      <c r="IQ315" s="53">
        <v>55</v>
      </c>
      <c r="IR315" s="53">
        <v>18.399999999999999</v>
      </c>
      <c r="IS315" s="53" t="e">
        <v>#VALUE!</v>
      </c>
      <c r="IT315" s="53">
        <v>35.1</v>
      </c>
      <c r="IU315" s="53" t="e">
        <v>#VALUE!</v>
      </c>
      <c r="IV315" s="53" t="e">
        <v>#VALUE!</v>
      </c>
      <c r="IY315" s="48">
        <f t="shared" si="14"/>
        <v>46.943892435837817</v>
      </c>
      <c r="IZ315" s="48">
        <f>IY315-'NOPA Crush'!J315</f>
        <v>0.12389243583781706</v>
      </c>
      <c r="JB315" s="63">
        <f t="shared" si="12"/>
        <v>11.597395458965796</v>
      </c>
      <c r="JC315" s="64">
        <f>JB315-'NOPA Crush'!O315</f>
        <v>-5.2604541034204644E-2</v>
      </c>
      <c r="JD315" s="65"/>
      <c r="JE315" s="67">
        <f t="shared" si="13"/>
        <v>1883.5</v>
      </c>
      <c r="JF315" s="68">
        <f>'NOPA Crush'!Q315/'Census Crush'!JE315</f>
        <v>0.79380992832492703</v>
      </c>
    </row>
    <row r="316" spans="1:266">
      <c r="A316" s="39">
        <v>38657</v>
      </c>
      <c r="B316" s="51">
        <v>4545.3999999999996</v>
      </c>
      <c r="C316" s="51">
        <v>3892.3</v>
      </c>
      <c r="D316" s="51">
        <v>297.5</v>
      </c>
      <c r="E316" s="51">
        <v>1727.7</v>
      </c>
      <c r="F316" s="51">
        <v>19</v>
      </c>
      <c r="G316" s="51" t="s">
        <v>264</v>
      </c>
      <c r="H316" s="51" t="s">
        <v>264</v>
      </c>
      <c r="I316" s="51" t="s">
        <v>264</v>
      </c>
      <c r="J316" s="51" t="s">
        <v>264</v>
      </c>
      <c r="K316" s="51">
        <v>1756.7</v>
      </c>
      <c r="L316" s="49">
        <v>1851.8</v>
      </c>
      <c r="M316" s="51">
        <v>1674.2</v>
      </c>
      <c r="N316" s="51">
        <v>177.6</v>
      </c>
      <c r="O316" s="53">
        <v>94.7</v>
      </c>
      <c r="P316" s="51">
        <v>77.7</v>
      </c>
      <c r="Q316" s="51">
        <v>6.8</v>
      </c>
      <c r="R316" s="51">
        <v>70.900000000000006</v>
      </c>
      <c r="S316" s="51"/>
      <c r="T316" s="51">
        <v>16.399999999999999</v>
      </c>
      <c r="U316" s="51">
        <v>14.5</v>
      </c>
      <c r="V316" s="51">
        <v>11.6</v>
      </c>
      <c r="W316" s="51">
        <v>2.9</v>
      </c>
      <c r="X316" s="51" t="s">
        <v>264</v>
      </c>
      <c r="Y316" s="51" t="e">
        <v>#VALUE!</v>
      </c>
      <c r="Z316" s="9">
        <v>25.4</v>
      </c>
      <c r="AA316" s="51" t="e">
        <v>#VALUE!</v>
      </c>
      <c r="AB316" s="51" t="e">
        <v>#VALUE!</v>
      </c>
      <c r="AC316" s="51" t="s">
        <v>264</v>
      </c>
      <c r="AD316" s="51" t="s">
        <v>264</v>
      </c>
      <c r="AE316" s="51"/>
      <c r="AF316" s="51">
        <v>109.6</v>
      </c>
      <c r="AG316" s="51">
        <v>92.6</v>
      </c>
      <c r="AH316" s="51">
        <v>17</v>
      </c>
      <c r="AI316" s="51">
        <v>199.9</v>
      </c>
      <c r="AJ316" s="55"/>
      <c r="AK316" s="55"/>
      <c r="AL316" s="51">
        <v>149.9</v>
      </c>
      <c r="AM316" s="51">
        <v>87.8</v>
      </c>
      <c r="AN316" s="51">
        <v>62.1</v>
      </c>
      <c r="AO316" s="51">
        <v>3312.7</v>
      </c>
      <c r="AP316" s="51">
        <v>278</v>
      </c>
      <c r="AQ316" s="51">
        <v>249.5</v>
      </c>
      <c r="AR316" s="51">
        <v>26.9</v>
      </c>
      <c r="AS316" s="51">
        <v>133.80000000000001</v>
      </c>
      <c r="AT316" s="51">
        <v>40.4</v>
      </c>
      <c r="AU316" s="51">
        <v>85</v>
      </c>
      <c r="AV316" s="51">
        <v>14.1</v>
      </c>
      <c r="AW316" s="51">
        <v>10.7</v>
      </c>
      <c r="AX316" s="51">
        <v>2.6</v>
      </c>
      <c r="AY316" s="51" t="s">
        <v>264</v>
      </c>
      <c r="AZ316" s="51" t="s">
        <v>264</v>
      </c>
      <c r="BA316" s="51" t="s">
        <v>264</v>
      </c>
      <c r="BB316" s="51" t="s">
        <v>264</v>
      </c>
      <c r="BC316" s="55"/>
      <c r="BD316" s="53">
        <v>143.30000000000001</v>
      </c>
      <c r="BE316" s="53">
        <v>23.6</v>
      </c>
      <c r="BF316" s="53">
        <v>70.599999999999994</v>
      </c>
      <c r="BG316" s="53">
        <v>8.1999999999999993</v>
      </c>
      <c r="BH316" s="53">
        <v>326</v>
      </c>
      <c r="BI316" s="53">
        <v>108.9</v>
      </c>
      <c r="BJ316" s="53">
        <v>97</v>
      </c>
      <c r="BK316" s="53">
        <v>205.9</v>
      </c>
      <c r="BL316" s="55"/>
      <c r="BM316" s="53">
        <v>531.9</v>
      </c>
      <c r="BN316" s="53">
        <v>182.8</v>
      </c>
      <c r="BO316" s="53">
        <v>54.7</v>
      </c>
      <c r="BP316" s="53">
        <v>18.600000000000001</v>
      </c>
      <c r="BQ316" s="53">
        <v>73.300000000000011</v>
      </c>
      <c r="BR316" s="55"/>
      <c r="BS316" s="53">
        <v>256.10000000000002</v>
      </c>
      <c r="BT316" s="53">
        <v>31.5</v>
      </c>
      <c r="BU316" s="53">
        <v>15.3</v>
      </c>
      <c r="BV316" s="51" t="s">
        <v>264</v>
      </c>
      <c r="BW316" s="51" t="s">
        <v>264</v>
      </c>
      <c r="BX316" s="51">
        <v>403.6</v>
      </c>
      <c r="BY316" s="51" t="s">
        <v>264</v>
      </c>
      <c r="BZ316" s="51" t="s">
        <v>264</v>
      </c>
      <c r="CA316" s="51">
        <v>64.599999999999994</v>
      </c>
      <c r="CB316" s="53">
        <v>98.4</v>
      </c>
      <c r="CC316" s="53" t="s">
        <v>264</v>
      </c>
      <c r="CD316" s="53">
        <v>107.3</v>
      </c>
      <c r="CE316" s="53">
        <v>15.2</v>
      </c>
      <c r="CF316" s="53">
        <v>96.5</v>
      </c>
      <c r="CG316" s="53">
        <v>83.2</v>
      </c>
      <c r="CH316" s="53">
        <v>7</v>
      </c>
      <c r="CI316" s="53">
        <v>34.5</v>
      </c>
      <c r="CJ316" s="53">
        <v>4.2</v>
      </c>
      <c r="CK316" s="53">
        <v>147.6</v>
      </c>
      <c r="CL316" s="53">
        <v>13.3</v>
      </c>
      <c r="CM316" s="55"/>
      <c r="CN316" s="53">
        <v>57.1</v>
      </c>
      <c r="CO316" s="53">
        <v>255.10000000000002</v>
      </c>
      <c r="CP316" s="53">
        <v>205.3</v>
      </c>
      <c r="CQ316" s="53">
        <v>49.8</v>
      </c>
      <c r="CR316" s="52" t="s">
        <v>264</v>
      </c>
      <c r="CS316" s="12">
        <v>19.899999999999999</v>
      </c>
      <c r="CT316" s="53" t="e">
        <v>#VALUE!</v>
      </c>
      <c r="CU316" s="53" t="e">
        <v>#VALUE!</v>
      </c>
      <c r="CV316" s="53">
        <v>174.1</v>
      </c>
      <c r="CW316" s="53" t="e">
        <v>#VALUE!</v>
      </c>
      <c r="CX316" s="53" t="e">
        <v>#VALUE!</v>
      </c>
      <c r="CY316" s="53" t="e">
        <v>#VALUE!</v>
      </c>
      <c r="CZ316" s="53">
        <v>64.5</v>
      </c>
      <c r="DA316" s="12">
        <v>13.5</v>
      </c>
      <c r="DB316" s="53" t="e">
        <v>#VALUE!</v>
      </c>
      <c r="DC316" s="53" t="e">
        <v>#VALUE!</v>
      </c>
      <c r="DD316" s="55"/>
      <c r="DE316" s="55"/>
      <c r="DF316" s="55"/>
      <c r="DG316" s="55"/>
      <c r="DH316" s="55"/>
      <c r="DI316" s="53">
        <v>677.2</v>
      </c>
      <c r="DJ316" s="53">
        <v>460.4</v>
      </c>
      <c r="DK316" s="55"/>
      <c r="DL316" s="55"/>
      <c r="DM316" s="53">
        <v>467.9</v>
      </c>
      <c r="DN316" s="55"/>
      <c r="DO316" s="53">
        <v>196.2</v>
      </c>
      <c r="DP316" s="53">
        <v>311.2</v>
      </c>
      <c r="DQ316" s="55"/>
      <c r="DR316" s="55"/>
      <c r="DS316" s="53">
        <v>2437.62</v>
      </c>
      <c r="DT316" s="53">
        <v>4545.3999999999996</v>
      </c>
      <c r="DU316" s="53">
        <v>5.1200000000008004</v>
      </c>
      <c r="DV316" s="53">
        <v>0</v>
      </c>
      <c r="DW316" s="55"/>
      <c r="DX316" s="55"/>
      <c r="DY316" s="55"/>
      <c r="DZ316" s="55"/>
      <c r="EA316" s="53">
        <v>887.8</v>
      </c>
      <c r="EB316" s="53">
        <v>667.1</v>
      </c>
      <c r="EC316" s="55"/>
      <c r="ED316" s="55"/>
      <c r="EE316" s="53">
        <v>124</v>
      </c>
      <c r="EF316" s="55"/>
      <c r="EG316" s="53">
        <v>182</v>
      </c>
      <c r="EH316" s="53" t="e">
        <v>#VALUE!</v>
      </c>
      <c r="EI316" s="55"/>
      <c r="EJ316" s="55"/>
      <c r="EK316" s="53">
        <v>1552.818</v>
      </c>
      <c r="EL316" s="53">
        <v>3892.3</v>
      </c>
      <c r="EM316" s="55"/>
      <c r="EN316" s="55"/>
      <c r="EO316" s="55"/>
      <c r="EP316" s="55"/>
      <c r="EQ316" s="53">
        <v>262.10000000000002</v>
      </c>
      <c r="ER316" s="53">
        <v>175.2</v>
      </c>
      <c r="ES316" s="55"/>
      <c r="ET316" s="55"/>
      <c r="EU316" s="53">
        <v>189.3</v>
      </c>
      <c r="EV316" s="55"/>
      <c r="EW316" s="53">
        <v>75.099999999999994</v>
      </c>
      <c r="EX316" s="53">
        <v>118</v>
      </c>
      <c r="EY316" s="55"/>
      <c r="EZ316" s="55"/>
      <c r="FA316" s="53">
        <v>947.34500000000003</v>
      </c>
      <c r="FB316" s="53">
        <v>1756.7</v>
      </c>
      <c r="FC316" s="55"/>
      <c r="FD316" s="55"/>
      <c r="FE316" s="55"/>
      <c r="FF316" s="55"/>
      <c r="FG316" s="53">
        <v>527.9</v>
      </c>
      <c r="FH316" s="53">
        <v>362.4</v>
      </c>
      <c r="FI316" s="55"/>
      <c r="FJ316" s="55"/>
      <c r="FK316" s="53">
        <v>364.4</v>
      </c>
      <c r="FL316" s="55"/>
      <c r="FM316" s="53">
        <v>154.30000000000001</v>
      </c>
      <c r="FN316" s="53">
        <v>248.7</v>
      </c>
      <c r="FO316" s="55"/>
      <c r="FP316" s="55"/>
      <c r="FQ316" s="53">
        <v>1910.827</v>
      </c>
      <c r="FR316" s="53">
        <v>3570.5</v>
      </c>
      <c r="FS316" s="55"/>
      <c r="FT316" s="55"/>
      <c r="FU316" s="55"/>
      <c r="FV316" s="55"/>
      <c r="FW316" s="53">
        <v>204.2</v>
      </c>
      <c r="FX316" s="53">
        <v>97.6</v>
      </c>
      <c r="FY316" s="55"/>
      <c r="FZ316" s="55"/>
      <c r="GA316" s="53">
        <v>115.3</v>
      </c>
      <c r="GB316" s="55"/>
      <c r="GC316" s="53">
        <v>73.8</v>
      </c>
      <c r="GD316" s="53" t="e">
        <v>#VALUE!</v>
      </c>
      <c r="GE316" s="55"/>
      <c r="GF316" s="55"/>
      <c r="GG316" s="53">
        <v>543.15300000000002</v>
      </c>
      <c r="GH316" s="53">
        <v>989</v>
      </c>
      <c r="GI316" s="55"/>
      <c r="GJ316" s="55"/>
      <c r="GK316" s="55"/>
      <c r="GL316" s="55"/>
      <c r="GM316" s="53">
        <v>93.5</v>
      </c>
      <c r="GN316" s="53">
        <v>36.4</v>
      </c>
      <c r="GO316" s="55"/>
      <c r="GP316" s="55"/>
      <c r="GQ316" s="53">
        <v>25.5</v>
      </c>
      <c r="GR316" s="55"/>
      <c r="GS316" s="53">
        <v>3.5</v>
      </c>
      <c r="GT316" s="53" t="e">
        <v>#VALUE!</v>
      </c>
      <c r="GU316" s="55"/>
      <c r="GV316" s="55"/>
      <c r="GW316" s="53">
        <v>146.006</v>
      </c>
      <c r="GX316" s="53">
        <v>304.7</v>
      </c>
      <c r="GY316" s="19">
        <v>0.97583932409397467</v>
      </c>
      <c r="GZ316" s="53">
        <v>1316.7</v>
      </c>
      <c r="HA316" s="53">
        <v>1349.3</v>
      </c>
      <c r="HB316" s="18">
        <v>89.105660245599893</v>
      </c>
      <c r="HC316" s="18">
        <v>56.551317693000328</v>
      </c>
      <c r="HD316" s="18">
        <v>1640.1056602455999</v>
      </c>
      <c r="HE316" s="18">
        <v>3.5999999999999091</v>
      </c>
      <c r="HF316" s="14">
        <v>1551</v>
      </c>
      <c r="HG316" s="53">
        <v>1488.9</v>
      </c>
      <c r="HH316" s="53">
        <v>624.6</v>
      </c>
      <c r="HI316" s="53">
        <v>81</v>
      </c>
      <c r="HJ316" s="53">
        <v>771.6</v>
      </c>
      <c r="HK316" s="53">
        <v>11.7</v>
      </c>
      <c r="HL316" s="53">
        <v>62</v>
      </c>
      <c r="HM316" s="55"/>
      <c r="HN316" s="55"/>
      <c r="HO316" s="55"/>
      <c r="HP316" s="53" t="e">
        <v>#VALUE!</v>
      </c>
      <c r="HQ316" s="53">
        <v>7.7</v>
      </c>
      <c r="HR316" s="53">
        <v>7.3</v>
      </c>
      <c r="HS316" s="53" t="e">
        <v>#VALUE!</v>
      </c>
      <c r="HT316" s="53">
        <v>41.4</v>
      </c>
      <c r="HU316" s="57"/>
      <c r="HV316" s="57"/>
      <c r="HW316" s="53">
        <v>301.2</v>
      </c>
      <c r="HX316" s="53" t="e">
        <v>#VALUE!</v>
      </c>
      <c r="HY316" s="53">
        <v>301.2</v>
      </c>
      <c r="HZ316" s="53">
        <v>47.1</v>
      </c>
      <c r="IA316" s="53">
        <v>217.4</v>
      </c>
      <c r="IB316" s="53">
        <v>98.1</v>
      </c>
      <c r="IC316" s="53">
        <v>119.3</v>
      </c>
      <c r="ID316" s="53">
        <v>68.099999999999994</v>
      </c>
      <c r="IE316" s="53">
        <v>51.2</v>
      </c>
      <c r="IF316" s="53" t="e">
        <v>#VALUE!</v>
      </c>
      <c r="IG316" s="53" t="e">
        <v>#VALUE!</v>
      </c>
      <c r="IH316" s="55"/>
      <c r="II316" s="55"/>
      <c r="IJ316" s="55"/>
      <c r="IK316" s="55"/>
      <c r="IL316" s="12">
        <v>36.699999999999989</v>
      </c>
      <c r="IM316" s="55"/>
      <c r="IN316" s="53">
        <v>78</v>
      </c>
      <c r="IO316" s="53">
        <v>78.400000000000006</v>
      </c>
      <c r="IP316" s="53" t="e">
        <v>#VALUE!</v>
      </c>
      <c r="IQ316" s="53">
        <v>55.9</v>
      </c>
      <c r="IR316" s="53">
        <v>16.399999999999999</v>
      </c>
      <c r="IS316" s="53" t="e">
        <v>#VALUE!</v>
      </c>
      <c r="IT316" s="53">
        <v>37.700000000000003</v>
      </c>
      <c r="IU316" s="53" t="e">
        <v>#VALUE!</v>
      </c>
      <c r="IV316" s="53" t="e">
        <v>#VALUE!</v>
      </c>
      <c r="IY316" s="48">
        <f t="shared" si="14"/>
        <v>47.021604259251113</v>
      </c>
      <c r="IZ316" s="48">
        <f>IY316-'NOPA Crush'!J316</f>
        <v>0.1216042592511144</v>
      </c>
      <c r="JB316" s="63">
        <f t="shared" si="12"/>
        <v>11.59435913230959</v>
      </c>
      <c r="JC316" s="64">
        <f>JB316-'NOPA Crush'!O316</f>
        <v>4.3591323095899526E-3</v>
      </c>
      <c r="JD316" s="65"/>
      <c r="JE316" s="67">
        <f t="shared" si="13"/>
        <v>1851.8</v>
      </c>
      <c r="JF316" s="68">
        <f>'NOPA Crush'!Q316/'Census Crush'!JE316</f>
        <v>0.86846905713359979</v>
      </c>
    </row>
    <row r="317" spans="1:266">
      <c r="A317" s="39">
        <v>38687</v>
      </c>
      <c r="B317" s="51">
        <v>4451.3999999999996</v>
      </c>
      <c r="C317" s="51">
        <v>3422.6</v>
      </c>
      <c r="D317" s="51">
        <v>285.89999999999998</v>
      </c>
      <c r="E317" s="51">
        <v>1928.8</v>
      </c>
      <c r="F317" s="51">
        <v>20.9</v>
      </c>
      <c r="G317" s="51" t="s">
        <v>264</v>
      </c>
      <c r="H317" s="51" t="s">
        <v>264</v>
      </c>
      <c r="I317" s="51" t="s">
        <v>264</v>
      </c>
      <c r="J317" s="51" t="s">
        <v>264</v>
      </c>
      <c r="K317" s="51">
        <v>1717.3</v>
      </c>
      <c r="L317" s="49">
        <v>2190.5</v>
      </c>
      <c r="M317" s="51">
        <v>1992.4</v>
      </c>
      <c r="N317" s="51">
        <v>198.1</v>
      </c>
      <c r="O317" s="53">
        <v>89.4</v>
      </c>
      <c r="P317" s="51">
        <v>75.600000000000009</v>
      </c>
      <c r="Q317" s="51">
        <v>6.2</v>
      </c>
      <c r="R317" s="51">
        <v>69.400000000000006</v>
      </c>
      <c r="S317" s="51"/>
      <c r="T317" s="51">
        <v>17.7</v>
      </c>
      <c r="U317" s="51">
        <v>17.600000000000001</v>
      </c>
      <c r="V317" s="51">
        <v>13.5</v>
      </c>
      <c r="W317" s="51">
        <v>4.0999999999999996</v>
      </c>
      <c r="X317" s="51" t="s">
        <v>264</v>
      </c>
      <c r="Y317" s="51" t="e">
        <v>#VALUE!</v>
      </c>
      <c r="Z317" s="9">
        <v>47.1</v>
      </c>
      <c r="AA317" s="51" t="e">
        <v>#VALUE!</v>
      </c>
      <c r="AB317" s="51" t="e">
        <v>#VALUE!</v>
      </c>
      <c r="AC317" s="51" t="s">
        <v>264</v>
      </c>
      <c r="AD317" s="51" t="s">
        <v>264</v>
      </c>
      <c r="AE317" s="51"/>
      <c r="AF317" s="51">
        <v>109.8</v>
      </c>
      <c r="AG317" s="51">
        <v>93.3</v>
      </c>
      <c r="AH317" s="51">
        <v>16.5</v>
      </c>
      <c r="AI317" s="51">
        <v>200.3</v>
      </c>
      <c r="AJ317" s="55"/>
      <c r="AK317" s="55"/>
      <c r="AL317" s="51">
        <v>130</v>
      </c>
      <c r="AM317" s="51">
        <v>91.8</v>
      </c>
      <c r="AN317" s="51">
        <v>38.200000000000003</v>
      </c>
      <c r="AO317" s="51">
        <v>3270.1</v>
      </c>
      <c r="AP317" s="51">
        <v>309.60000000000002</v>
      </c>
      <c r="AQ317" s="51">
        <v>247.9</v>
      </c>
      <c r="AR317" s="51">
        <v>28.4</v>
      </c>
      <c r="AS317" s="51">
        <v>127.7</v>
      </c>
      <c r="AT317" s="51">
        <v>33.200000000000003</v>
      </c>
      <c r="AU317" s="51">
        <v>81</v>
      </c>
      <c r="AV317" s="51">
        <v>11.7</v>
      </c>
      <c r="AW317" s="51">
        <v>11.4</v>
      </c>
      <c r="AX317" s="51">
        <v>1.5</v>
      </c>
      <c r="AY317" s="51" t="s">
        <v>264</v>
      </c>
      <c r="AZ317" s="51" t="s">
        <v>264</v>
      </c>
      <c r="BA317" s="51" t="s">
        <v>264</v>
      </c>
      <c r="BB317" s="51" t="s">
        <v>264</v>
      </c>
      <c r="BC317" s="55"/>
      <c r="BD317" s="53">
        <v>141</v>
      </c>
      <c r="BE317" s="53">
        <v>24.7</v>
      </c>
      <c r="BF317" s="53">
        <v>62.8</v>
      </c>
      <c r="BG317" s="53">
        <v>7.8</v>
      </c>
      <c r="BH317" s="53">
        <v>341.1</v>
      </c>
      <c r="BI317" s="53">
        <v>117.8</v>
      </c>
      <c r="BJ317" s="53">
        <v>102.3</v>
      </c>
      <c r="BK317" s="53">
        <v>220.1</v>
      </c>
      <c r="BL317" s="55"/>
      <c r="BM317" s="53">
        <v>561.20000000000005</v>
      </c>
      <c r="BN317" s="53">
        <v>226.8</v>
      </c>
      <c r="BO317" s="53">
        <v>45.7</v>
      </c>
      <c r="BP317" s="53">
        <v>23.9</v>
      </c>
      <c r="BQ317" s="53">
        <v>69.599999999999994</v>
      </c>
      <c r="BR317" s="55"/>
      <c r="BS317" s="53">
        <v>296.39999999999998</v>
      </c>
      <c r="BT317" s="53">
        <v>28.6</v>
      </c>
      <c r="BU317" s="53">
        <v>9.4</v>
      </c>
      <c r="BV317" s="51" t="s">
        <v>264</v>
      </c>
      <c r="BW317" s="51" t="s">
        <v>264</v>
      </c>
      <c r="BX317" s="51">
        <v>426.3</v>
      </c>
      <c r="BY317" s="51" t="s">
        <v>264</v>
      </c>
      <c r="BZ317" s="51" t="s">
        <v>264</v>
      </c>
      <c r="CA317" s="51">
        <v>60.2</v>
      </c>
      <c r="CB317" s="53">
        <v>98.6</v>
      </c>
      <c r="CC317" s="53" t="s">
        <v>264</v>
      </c>
      <c r="CD317" s="53">
        <v>116.8</v>
      </c>
      <c r="CE317" s="53">
        <v>15.5</v>
      </c>
      <c r="CF317" s="53">
        <v>104.9</v>
      </c>
      <c r="CG317" s="53">
        <v>81.3</v>
      </c>
      <c r="CH317" s="53">
        <v>8.5</v>
      </c>
      <c r="CI317" s="53">
        <v>31.7</v>
      </c>
      <c r="CJ317" s="53">
        <v>7.6</v>
      </c>
      <c r="CK317" s="53">
        <v>149.30000000000001</v>
      </c>
      <c r="CL317" s="53">
        <v>16.2</v>
      </c>
      <c r="CM317" s="55"/>
      <c r="CN317" s="53">
        <v>55.1</v>
      </c>
      <c r="CO317" s="53">
        <v>236.3</v>
      </c>
      <c r="CP317" s="53">
        <v>167.6</v>
      </c>
      <c r="CQ317" s="53">
        <v>68.7</v>
      </c>
      <c r="CR317" s="53" t="s">
        <v>264</v>
      </c>
      <c r="CS317" s="12">
        <v>27.6</v>
      </c>
      <c r="CT317" s="53" t="e">
        <v>#VALUE!</v>
      </c>
      <c r="CU317" s="53" t="e">
        <v>#VALUE!</v>
      </c>
      <c r="CV317" s="53">
        <v>151.19999999999999</v>
      </c>
      <c r="CW317" s="53" t="e">
        <v>#VALUE!</v>
      </c>
      <c r="CX317" s="53" t="e">
        <v>#VALUE!</v>
      </c>
      <c r="CY317" s="53" t="e">
        <v>#VALUE!</v>
      </c>
      <c r="CZ317" s="53">
        <v>73.400000000000006</v>
      </c>
      <c r="DA317" s="12">
        <v>10.9</v>
      </c>
      <c r="DB317" s="53" t="e">
        <v>#VALUE!</v>
      </c>
      <c r="DC317" s="53" t="e">
        <v>#VALUE!</v>
      </c>
      <c r="DD317" s="55"/>
      <c r="DE317" s="55"/>
      <c r="DF317" s="55"/>
      <c r="DG317" s="55"/>
      <c r="DH317" s="55"/>
      <c r="DI317" s="53">
        <v>711.5</v>
      </c>
      <c r="DJ317" s="53">
        <v>443.3</v>
      </c>
      <c r="DK317" s="55"/>
      <c r="DL317" s="55"/>
      <c r="DM317" s="53">
        <v>426.9</v>
      </c>
      <c r="DN317" s="55"/>
      <c r="DO317" s="53">
        <v>200.6</v>
      </c>
      <c r="DP317" s="53">
        <v>319.7</v>
      </c>
      <c r="DQ317" s="55"/>
      <c r="DR317" s="55"/>
      <c r="DS317" s="53">
        <v>2337.8670000000002</v>
      </c>
      <c r="DT317" s="53">
        <v>4451.3999999999996</v>
      </c>
      <c r="DU317" s="53">
        <v>-11.532999999999447</v>
      </c>
      <c r="DV317" s="53">
        <v>0</v>
      </c>
      <c r="DW317" s="55"/>
      <c r="DX317" s="55"/>
      <c r="DY317" s="55"/>
      <c r="DZ317" s="55"/>
      <c r="EA317" s="53">
        <v>708.9</v>
      </c>
      <c r="EB317" s="53">
        <v>594.9</v>
      </c>
      <c r="EC317" s="55"/>
      <c r="ED317" s="55"/>
      <c r="EE317" s="53">
        <v>145.9</v>
      </c>
      <c r="EF317" s="55"/>
      <c r="EG317" s="53">
        <v>167.7</v>
      </c>
      <c r="EH317" s="53" t="e">
        <v>#VALUE!</v>
      </c>
      <c r="EI317" s="55"/>
      <c r="EJ317" s="55"/>
      <c r="EK317" s="53">
        <v>1431.4110000000001</v>
      </c>
      <c r="EL317" s="53">
        <v>3422.6</v>
      </c>
      <c r="EM317" s="55"/>
      <c r="EN317" s="55"/>
      <c r="EO317" s="55"/>
      <c r="EP317" s="55"/>
      <c r="EQ317" s="53">
        <v>279.5</v>
      </c>
      <c r="ER317" s="53">
        <v>171.2</v>
      </c>
      <c r="ES317" s="55"/>
      <c r="ET317" s="55"/>
      <c r="EU317" s="53">
        <v>164.3</v>
      </c>
      <c r="EV317" s="55"/>
      <c r="EW317" s="53">
        <v>75.8</v>
      </c>
      <c r="EX317" s="53">
        <v>121.2</v>
      </c>
      <c r="EY317" s="55"/>
      <c r="EZ317" s="55"/>
      <c r="FA317" s="53">
        <v>902.46400000000006</v>
      </c>
      <c r="FB317" s="53">
        <v>1717.3</v>
      </c>
      <c r="FC317" s="55"/>
      <c r="FD317" s="55"/>
      <c r="FE317" s="55"/>
      <c r="FF317" s="55"/>
      <c r="FG317" s="53">
        <v>558.29999999999995</v>
      </c>
      <c r="FH317" s="53">
        <v>351.7</v>
      </c>
      <c r="FI317" s="55"/>
      <c r="FJ317" s="55"/>
      <c r="FK317" s="53">
        <v>351.4</v>
      </c>
      <c r="FL317" s="55"/>
      <c r="FM317" s="53">
        <v>158.30000000000001</v>
      </c>
      <c r="FN317" s="53">
        <v>252.5</v>
      </c>
      <c r="FO317" s="55"/>
      <c r="FP317" s="55"/>
      <c r="FQ317" s="53">
        <v>1856.7470000000001</v>
      </c>
      <c r="FR317" s="53">
        <v>3525.8</v>
      </c>
      <c r="FS317" s="55"/>
      <c r="FT317" s="55"/>
      <c r="FU317" s="55"/>
      <c r="FV317" s="55"/>
      <c r="FW317" s="53">
        <v>213.1</v>
      </c>
      <c r="FX317" s="53">
        <v>129.69999999999999</v>
      </c>
      <c r="FY317" s="55"/>
      <c r="FZ317" s="55"/>
      <c r="GA317" s="53">
        <v>113.3</v>
      </c>
      <c r="GB317" s="55"/>
      <c r="GC317" s="53">
        <v>74.8</v>
      </c>
      <c r="GD317" s="53" t="e">
        <v>#VALUE!</v>
      </c>
      <c r="GE317" s="55"/>
      <c r="GF317" s="55"/>
      <c r="GG317" s="53">
        <v>604.30399999999997</v>
      </c>
      <c r="GH317" s="53">
        <v>1117.3</v>
      </c>
      <c r="GI317" s="55"/>
      <c r="GJ317" s="55"/>
      <c r="GK317" s="55"/>
      <c r="GL317" s="55"/>
      <c r="GM317" s="53">
        <v>105.1</v>
      </c>
      <c r="GN317" s="53">
        <v>35.4</v>
      </c>
      <c r="GO317" s="55"/>
      <c r="GP317" s="55"/>
      <c r="GQ317" s="53">
        <v>31.7</v>
      </c>
      <c r="GR317" s="55"/>
      <c r="GS317" s="53" t="e">
        <v>#VALUE!</v>
      </c>
      <c r="GT317" s="53" t="e">
        <v>#VALUE!</v>
      </c>
      <c r="GU317" s="55"/>
      <c r="GV317" s="55"/>
      <c r="GW317" s="53">
        <v>158.10900000000001</v>
      </c>
      <c r="GX317" s="53">
        <v>338</v>
      </c>
      <c r="GY317" s="19">
        <v>0.97793716379511975</v>
      </c>
      <c r="GZ317" s="53">
        <v>1254.4000000000001</v>
      </c>
      <c r="HA317" s="53">
        <v>1282.7</v>
      </c>
      <c r="HB317" s="18">
        <v>-146.02254163199996</v>
      </c>
      <c r="HC317" s="18">
        <v>-50.27199793940008</v>
      </c>
      <c r="HD317" s="18">
        <v>1273.977458368</v>
      </c>
      <c r="HE317" s="18">
        <v>34.900000000000091</v>
      </c>
      <c r="HF317" s="14">
        <v>1420</v>
      </c>
      <c r="HG317" s="53">
        <v>1365.8</v>
      </c>
      <c r="HH317" s="53">
        <v>577.4</v>
      </c>
      <c r="HI317" s="53">
        <v>70</v>
      </c>
      <c r="HJ317" s="53">
        <v>707.8</v>
      </c>
      <c r="HK317" s="53">
        <v>10.6</v>
      </c>
      <c r="HL317" s="53">
        <v>54.3</v>
      </c>
      <c r="HM317" s="55"/>
      <c r="HN317" s="55"/>
      <c r="HO317" s="55"/>
      <c r="HP317" s="53" t="e">
        <v>#VALUE!</v>
      </c>
      <c r="HQ317" s="53">
        <v>8.6</v>
      </c>
      <c r="HR317" s="53">
        <v>5.2</v>
      </c>
      <c r="HS317" s="53" t="e">
        <v>#VALUE!</v>
      </c>
      <c r="HT317" s="53">
        <v>35</v>
      </c>
      <c r="HU317" s="55"/>
      <c r="HV317" s="57"/>
      <c r="HW317" s="53">
        <v>338.6</v>
      </c>
      <c r="HX317" s="53" t="e">
        <v>#VALUE!</v>
      </c>
      <c r="HY317" s="53">
        <v>338.6</v>
      </c>
      <c r="HZ317" s="53">
        <v>55.6</v>
      </c>
      <c r="IA317" s="53">
        <v>241.1</v>
      </c>
      <c r="IB317" s="53">
        <v>105.9</v>
      </c>
      <c r="IC317" s="53">
        <v>135.19999999999999</v>
      </c>
      <c r="ID317" s="53">
        <v>76.2</v>
      </c>
      <c r="IE317" s="53">
        <v>59</v>
      </c>
      <c r="IF317" s="53" t="e">
        <v>#VALUE!</v>
      </c>
      <c r="IG317" s="53" t="e">
        <v>#VALUE!</v>
      </c>
      <c r="IH317" s="55"/>
      <c r="II317" s="55"/>
      <c r="IJ317" s="55"/>
      <c r="IK317" s="55"/>
      <c r="IL317" s="12">
        <v>41.900000000000006</v>
      </c>
      <c r="IM317" s="55"/>
      <c r="IN317" s="53">
        <v>73.900000000000006</v>
      </c>
      <c r="IO317" s="53">
        <v>74</v>
      </c>
      <c r="IP317" s="53" t="e">
        <v>#VALUE!</v>
      </c>
      <c r="IQ317" s="53">
        <v>57.6</v>
      </c>
      <c r="IR317" s="53">
        <v>13.6</v>
      </c>
      <c r="IS317" s="53" t="e">
        <v>#VALUE!</v>
      </c>
      <c r="IT317" s="53">
        <v>42.3</v>
      </c>
      <c r="IU317" s="53">
        <v>1.6739999999999999</v>
      </c>
      <c r="IV317" s="53" t="e">
        <v>#VALUE!</v>
      </c>
      <c r="IY317" s="48">
        <f t="shared" si="14"/>
        <v>47.418789594284945</v>
      </c>
      <c r="IZ317" s="48">
        <f>IY317-'NOPA Crush'!J317</f>
        <v>0.33878959428494682</v>
      </c>
      <c r="JB317" s="63">
        <f t="shared" si="12"/>
        <v>11.573662218627847</v>
      </c>
      <c r="JC317" s="64">
        <f>JB317-'NOPA Crush'!O317</f>
        <v>-7.6337781372153302E-2</v>
      </c>
      <c r="JD317" s="65"/>
      <c r="JE317" s="67">
        <f t="shared" si="13"/>
        <v>2190.5</v>
      </c>
      <c r="JF317" s="68">
        <f>'NOPA Crush'!Q317/'Census Crush'!JE317</f>
        <v>0.83519059575439392</v>
      </c>
    </row>
    <row r="318" spans="1:266">
      <c r="A318" s="39">
        <v>38718</v>
      </c>
      <c r="B318" s="51">
        <v>4572.8</v>
      </c>
      <c r="C318" s="51">
        <v>3523</v>
      </c>
      <c r="D318" s="51">
        <v>289.89999999999998</v>
      </c>
      <c r="E318" s="51">
        <v>1935.1</v>
      </c>
      <c r="F318" s="55"/>
      <c r="G318" s="51" t="s">
        <v>264</v>
      </c>
      <c r="H318" s="51" t="s">
        <v>264</v>
      </c>
      <c r="I318" s="51" t="s">
        <v>264</v>
      </c>
      <c r="J318" s="51" t="s">
        <v>264</v>
      </c>
      <c r="K318" s="51">
        <v>1765.2</v>
      </c>
      <c r="L318" s="49">
        <v>2470.556</v>
      </c>
      <c r="M318" s="9">
        <v>2215.6</v>
      </c>
      <c r="N318" s="51">
        <v>254.95599999999999</v>
      </c>
      <c r="O318" s="53">
        <v>91</v>
      </c>
      <c r="P318" s="51">
        <v>84.7</v>
      </c>
      <c r="Q318" s="51">
        <v>8.3000000000000007</v>
      </c>
      <c r="R318" s="51">
        <v>76.400000000000006</v>
      </c>
      <c r="S318" s="51"/>
      <c r="T318" s="55"/>
      <c r="U318" s="51">
        <v>22.5</v>
      </c>
      <c r="V318" s="51">
        <v>18.7</v>
      </c>
      <c r="W318" s="51">
        <v>3.8</v>
      </c>
      <c r="X318" s="51" t="s">
        <v>264</v>
      </c>
      <c r="Y318" s="51" t="e">
        <v>#VALUE!</v>
      </c>
      <c r="Z318" s="51">
        <v>56.9</v>
      </c>
      <c r="AA318" s="51" t="e">
        <v>#VALUE!</v>
      </c>
      <c r="AB318" s="51" t="e">
        <v>#VALUE!</v>
      </c>
      <c r="AC318" s="51" t="s">
        <v>264</v>
      </c>
      <c r="AD318" s="51">
        <v>74.099999999999994</v>
      </c>
      <c r="AE318" s="51">
        <v>76.5</v>
      </c>
      <c r="AF318" s="51">
        <v>91.899999999999991</v>
      </c>
      <c r="AG318" s="51">
        <v>68.599999999999994</v>
      </c>
      <c r="AH318" s="51">
        <v>23.3</v>
      </c>
      <c r="AI318" s="51">
        <v>209.2</v>
      </c>
      <c r="AJ318" s="55"/>
      <c r="AK318" s="55"/>
      <c r="AL318" s="51">
        <v>142.80000000000001</v>
      </c>
      <c r="AM318" s="51">
        <v>64.8</v>
      </c>
      <c r="AN318" s="51">
        <v>78</v>
      </c>
      <c r="AO318" s="51">
        <v>3332.2</v>
      </c>
      <c r="AP318" s="51">
        <v>297.60000000000002</v>
      </c>
      <c r="AQ318" s="51">
        <v>257.3</v>
      </c>
      <c r="AR318" s="51">
        <v>29.1</v>
      </c>
      <c r="AS318" s="51">
        <v>128.19999999999999</v>
      </c>
      <c r="AT318" s="51">
        <v>29.7</v>
      </c>
      <c r="AU318" s="51">
        <v>82.2</v>
      </c>
      <c r="AV318" s="51">
        <v>10.3</v>
      </c>
      <c r="AW318" s="55"/>
      <c r="AX318" s="55"/>
      <c r="AY318" s="51" t="s">
        <v>264</v>
      </c>
      <c r="AZ318" s="51" t="s">
        <v>264</v>
      </c>
      <c r="BA318" s="51" t="s">
        <v>264</v>
      </c>
      <c r="BB318" s="51" t="s">
        <v>264</v>
      </c>
      <c r="BC318" s="55"/>
      <c r="BD318" s="53">
        <v>140.5</v>
      </c>
      <c r="BE318" s="53">
        <v>24.5</v>
      </c>
      <c r="BF318" s="53">
        <v>82.2</v>
      </c>
      <c r="BG318" s="53">
        <v>7.2</v>
      </c>
      <c r="BH318" s="53">
        <v>319.39999999999998</v>
      </c>
      <c r="BI318" s="53">
        <v>123.6</v>
      </c>
      <c r="BJ318" s="53">
        <v>97.5</v>
      </c>
      <c r="BK318" s="53">
        <v>221.1</v>
      </c>
      <c r="BL318" s="55"/>
      <c r="BM318" s="53">
        <v>540.5</v>
      </c>
      <c r="BN318" s="53">
        <v>199.9</v>
      </c>
      <c r="BO318" s="53">
        <v>43.5</v>
      </c>
      <c r="BP318" s="53">
        <v>22.5</v>
      </c>
      <c r="BQ318" s="53">
        <v>66</v>
      </c>
      <c r="BR318" s="55"/>
      <c r="BS318" s="53">
        <v>265.89999999999998</v>
      </c>
      <c r="BT318" s="53">
        <v>27.3</v>
      </c>
      <c r="BU318" s="53">
        <v>11.3</v>
      </c>
      <c r="BV318" s="51" t="s">
        <v>264</v>
      </c>
      <c r="BW318" s="51" t="s">
        <v>264</v>
      </c>
      <c r="BX318" s="51">
        <v>394.3</v>
      </c>
      <c r="BY318" s="51" t="s">
        <v>264</v>
      </c>
      <c r="BZ318" s="51" t="s">
        <v>264</v>
      </c>
      <c r="CA318" s="51">
        <v>42</v>
      </c>
      <c r="CB318" s="53">
        <v>101</v>
      </c>
      <c r="CC318" s="53">
        <v>15.2</v>
      </c>
      <c r="CD318" s="53">
        <v>118.1</v>
      </c>
      <c r="CE318" s="53">
        <v>11.9</v>
      </c>
      <c r="CF318" s="53">
        <v>109.4</v>
      </c>
      <c r="CG318" s="53">
        <v>89.9</v>
      </c>
      <c r="CH318" s="53">
        <v>7.6</v>
      </c>
      <c r="CI318" s="53">
        <v>34</v>
      </c>
      <c r="CJ318" s="53">
        <v>4.7</v>
      </c>
      <c r="CK318" s="53">
        <v>157.30000000000001</v>
      </c>
      <c r="CL318" s="53">
        <v>19.7</v>
      </c>
      <c r="CM318" s="55"/>
      <c r="CN318" s="53">
        <v>55.4</v>
      </c>
      <c r="CO318" s="53">
        <v>199.4</v>
      </c>
      <c r="CP318" s="53">
        <v>143.80000000000001</v>
      </c>
      <c r="CQ318" s="53">
        <v>55.6</v>
      </c>
      <c r="CR318" s="53" t="s">
        <v>264</v>
      </c>
      <c r="CS318" s="12">
        <v>35.6</v>
      </c>
      <c r="CT318" s="53" t="e">
        <v>#VALUE!</v>
      </c>
      <c r="CU318" s="53" t="e">
        <v>#VALUE!</v>
      </c>
      <c r="CV318" s="53">
        <v>136.1</v>
      </c>
      <c r="CW318" s="53" t="e">
        <v>#VALUE!</v>
      </c>
      <c r="CX318" s="53" t="e">
        <v>#VALUE!</v>
      </c>
      <c r="CY318" s="53" t="e">
        <v>#VALUE!</v>
      </c>
      <c r="CZ318" s="53">
        <v>51</v>
      </c>
      <c r="DA318" s="12">
        <v>15.1</v>
      </c>
      <c r="DB318" s="53" t="e">
        <v>#VALUE!</v>
      </c>
      <c r="DC318" s="53" t="e">
        <v>#VALUE!</v>
      </c>
      <c r="DD318" s="55"/>
      <c r="DE318" s="55"/>
      <c r="DF318" s="55"/>
      <c r="DG318" s="55"/>
      <c r="DH318" s="55"/>
      <c r="DI318" s="53">
        <v>704.8</v>
      </c>
      <c r="DJ318" s="53">
        <v>429.4</v>
      </c>
      <c r="DK318" s="55"/>
      <c r="DL318" s="55"/>
      <c r="DM318" s="53">
        <v>490.1</v>
      </c>
      <c r="DN318" s="55"/>
      <c r="DO318" s="53">
        <v>195.8</v>
      </c>
      <c r="DP318" s="53">
        <v>330.3</v>
      </c>
      <c r="DQ318" s="55"/>
      <c r="DR318" s="55"/>
      <c r="DS318" s="53">
        <v>2448.712</v>
      </c>
      <c r="DT318" s="53">
        <v>4572.8</v>
      </c>
      <c r="DU318" s="53">
        <v>26.311999999998989</v>
      </c>
      <c r="DV318" s="53">
        <v>0</v>
      </c>
      <c r="DW318" s="55"/>
      <c r="DX318" s="55"/>
      <c r="DY318" s="55"/>
      <c r="DZ318" s="55"/>
      <c r="EA318" s="53">
        <v>737.4</v>
      </c>
      <c r="EB318" s="53">
        <v>577.70000000000005</v>
      </c>
      <c r="EC318" s="55"/>
      <c r="ED318" s="55"/>
      <c r="EE318" s="53">
        <v>184.9</v>
      </c>
      <c r="EF318" s="55"/>
      <c r="EG318" s="53">
        <v>145.83099999999999</v>
      </c>
      <c r="EH318" s="53" t="e">
        <v>#VALUE!</v>
      </c>
      <c r="EI318" s="55"/>
      <c r="EJ318" s="55"/>
      <c r="EK318" s="53">
        <v>1496.9349999999999</v>
      </c>
      <c r="EL318" s="53">
        <v>3523</v>
      </c>
      <c r="EM318" s="55"/>
      <c r="EN318" s="55"/>
      <c r="EO318" s="55"/>
      <c r="EP318" s="55"/>
      <c r="EQ318" s="53">
        <v>273.5</v>
      </c>
      <c r="ER318" s="53">
        <v>166</v>
      </c>
      <c r="ES318" s="55"/>
      <c r="ET318" s="55"/>
      <c r="EU318" s="53">
        <v>190.9</v>
      </c>
      <c r="EV318" s="55"/>
      <c r="EW318" s="53">
        <v>75.400000000000006</v>
      </c>
      <c r="EX318" s="53">
        <v>124.1</v>
      </c>
      <c r="EY318" s="55"/>
      <c r="EZ318" s="55"/>
      <c r="FA318" s="53">
        <v>944.07899999999995</v>
      </c>
      <c r="FB318" s="53">
        <v>1765.2</v>
      </c>
      <c r="FC318" s="55"/>
      <c r="FD318" s="55"/>
      <c r="FE318" s="55"/>
      <c r="FF318" s="55"/>
      <c r="FG318" s="53">
        <v>550.70000000000005</v>
      </c>
      <c r="FH318" s="53">
        <v>339.7</v>
      </c>
      <c r="FI318" s="55"/>
      <c r="FJ318" s="55"/>
      <c r="FK318" s="53">
        <v>384.2</v>
      </c>
      <c r="FL318" s="55"/>
      <c r="FM318" s="53">
        <v>154.6</v>
      </c>
      <c r="FN318" s="53">
        <v>260.8</v>
      </c>
      <c r="FO318" s="55"/>
      <c r="FP318" s="55"/>
      <c r="FQ318" s="53">
        <v>1926.366</v>
      </c>
      <c r="FR318" s="53">
        <v>3598.3</v>
      </c>
      <c r="FS318" s="55"/>
      <c r="FT318" s="55"/>
      <c r="FU318" s="55"/>
      <c r="FV318" s="55"/>
      <c r="FW318" s="53">
        <v>256.2</v>
      </c>
      <c r="FX318" s="53">
        <v>143.80000000000001</v>
      </c>
      <c r="FY318" s="55"/>
      <c r="FZ318" s="55"/>
      <c r="GA318" s="53">
        <v>127.4</v>
      </c>
      <c r="GB318" s="55"/>
      <c r="GC318" s="53">
        <v>76.400000000000006</v>
      </c>
      <c r="GD318" s="53" t="s">
        <v>265</v>
      </c>
      <c r="GE318" s="55"/>
      <c r="GF318" s="55"/>
      <c r="GG318" s="53">
        <v>629.36500000000001</v>
      </c>
      <c r="GH318" s="53">
        <v>1242.8</v>
      </c>
      <c r="GI318" s="55"/>
      <c r="GJ318" s="55"/>
      <c r="GK318" s="55"/>
      <c r="GL318" s="55"/>
      <c r="GM318" s="53">
        <v>73.8</v>
      </c>
      <c r="GN318" s="53">
        <v>39.6</v>
      </c>
      <c r="GO318" s="55"/>
      <c r="GP318" s="55"/>
      <c r="GQ318" s="53">
        <v>36.5</v>
      </c>
      <c r="GR318" s="55"/>
      <c r="GS318" s="53">
        <v>5.8</v>
      </c>
      <c r="GT318" s="53" t="e">
        <v>#VALUE!</v>
      </c>
      <c r="GU318" s="55"/>
      <c r="GV318" s="55"/>
      <c r="GW318" s="53">
        <v>171.98099999999999</v>
      </c>
      <c r="GX318" s="53">
        <v>326.60000000000002</v>
      </c>
      <c r="GY318" s="19">
        <v>0.97134627046694966</v>
      </c>
      <c r="GZ318" s="53">
        <v>1281.4000000000001</v>
      </c>
      <c r="HA318" s="53">
        <v>1319.2</v>
      </c>
      <c r="HB318" s="18">
        <v>-42.733233178800219</v>
      </c>
      <c r="HC318" s="18">
        <v>60.774449719199765</v>
      </c>
      <c r="HD318" s="18">
        <v>1416.7667668211998</v>
      </c>
      <c r="HE318" s="18">
        <v>89.799999999999955</v>
      </c>
      <c r="HF318" s="53">
        <v>1459.5</v>
      </c>
      <c r="HG318" s="53">
        <v>1307.5</v>
      </c>
      <c r="HH318" s="53">
        <v>526.4</v>
      </c>
      <c r="HI318" s="53">
        <v>74.222880000000004</v>
      </c>
      <c r="HJ318" s="53">
        <v>698.5</v>
      </c>
      <c r="HK318" s="53">
        <v>8.3000000000000007</v>
      </c>
      <c r="HL318" s="53">
        <v>152</v>
      </c>
      <c r="HM318" s="53">
        <v>94.4</v>
      </c>
      <c r="HN318" s="53" t="s">
        <v>265</v>
      </c>
      <c r="HO318" s="53" t="s">
        <v>265</v>
      </c>
      <c r="HP318" s="55"/>
      <c r="HQ318" s="53">
        <v>4.3</v>
      </c>
      <c r="HR318" s="53">
        <v>9.5</v>
      </c>
      <c r="HS318" s="55"/>
      <c r="HT318" s="53">
        <v>43.8</v>
      </c>
      <c r="HU318" s="55"/>
      <c r="HV318" s="55"/>
      <c r="HW318" s="53">
        <v>373.7</v>
      </c>
      <c r="HX318" s="53" t="s">
        <v>266</v>
      </c>
      <c r="HY318" s="53">
        <v>373.7</v>
      </c>
      <c r="HZ318" s="53" t="s">
        <v>265</v>
      </c>
      <c r="IA318" s="53">
        <v>235.7</v>
      </c>
      <c r="IB318" s="53">
        <v>100.9</v>
      </c>
      <c r="IC318" s="53">
        <v>134.69999999999999</v>
      </c>
      <c r="ID318" s="53">
        <v>73.099999999999994</v>
      </c>
      <c r="IE318" s="53">
        <v>61.7</v>
      </c>
      <c r="IF318" s="55"/>
      <c r="IG318" s="55"/>
      <c r="IH318" s="55"/>
      <c r="II318" s="55"/>
      <c r="IJ318" s="55"/>
      <c r="IK318" s="55"/>
      <c r="IL318" s="53" t="s">
        <v>265</v>
      </c>
      <c r="IM318" s="55"/>
      <c r="IN318" s="53">
        <v>70.3</v>
      </c>
      <c r="IO318" s="53">
        <v>70.900000000000006</v>
      </c>
      <c r="IP318" s="53" t="s">
        <v>265</v>
      </c>
      <c r="IQ318" s="53">
        <v>54.3</v>
      </c>
      <c r="IR318" s="53">
        <v>15.5</v>
      </c>
      <c r="IS318" s="55"/>
      <c r="IT318" s="53">
        <v>37.299999999999997</v>
      </c>
      <c r="IU318" s="53">
        <v>1.5</v>
      </c>
      <c r="IV318" s="53" t="s">
        <v>265</v>
      </c>
      <c r="IY318" s="48">
        <f t="shared" si="14"/>
        <v>47.098058082575221</v>
      </c>
      <c r="IZ318" s="48">
        <f>IY318-'NOPA Crush'!J318</f>
        <v>8.8058082575223295E-2</v>
      </c>
      <c r="JB318" s="63">
        <f t="shared" si="12"/>
        <v>11.580650804758571</v>
      </c>
      <c r="JC318" s="64">
        <f>JB318-'NOPA Crush'!O318</f>
        <v>-5.9349195241429342E-2</v>
      </c>
      <c r="JD318" s="65"/>
      <c r="JE318" s="67">
        <f t="shared" si="13"/>
        <v>2470.556</v>
      </c>
      <c r="JF318" s="68">
        <f>'NOPA Crush'!Q318/'Census Crush'!JE318</f>
        <v>0.83247940949324761</v>
      </c>
    </row>
    <row r="319" spans="1:266">
      <c r="A319" s="39">
        <v>38749</v>
      </c>
      <c r="B319" s="51">
        <v>4090.5</v>
      </c>
      <c r="C319" s="51">
        <v>3240.6</v>
      </c>
      <c r="D319" s="51">
        <v>245</v>
      </c>
      <c r="E319" s="51">
        <v>1859.4</v>
      </c>
      <c r="F319" s="51">
        <v>19.100000000000001</v>
      </c>
      <c r="G319" s="51" t="s">
        <v>264</v>
      </c>
      <c r="H319" s="51" t="s">
        <v>264</v>
      </c>
      <c r="I319" s="51" t="s">
        <v>264</v>
      </c>
      <c r="J319" s="51" t="s">
        <v>264</v>
      </c>
      <c r="K319" s="51">
        <v>1588.2</v>
      </c>
      <c r="L319" s="49">
        <v>2762.5990000000002</v>
      </c>
      <c r="M319" s="9">
        <v>2480.6</v>
      </c>
      <c r="N319" s="51">
        <v>281.99900000000002</v>
      </c>
      <c r="O319" s="53">
        <v>77.2</v>
      </c>
      <c r="P319" s="51">
        <v>100.9</v>
      </c>
      <c r="Q319" s="51">
        <v>8.5</v>
      </c>
      <c r="R319" s="51">
        <v>92.4</v>
      </c>
      <c r="S319" s="51"/>
      <c r="T319" s="51">
        <v>16.5</v>
      </c>
      <c r="U319" s="51">
        <v>29.299999999999997</v>
      </c>
      <c r="V319" s="51">
        <v>25.2</v>
      </c>
      <c r="W319" s="51">
        <v>4.0999999999999996</v>
      </c>
      <c r="X319" s="51" t="s">
        <v>264</v>
      </c>
      <c r="Y319" s="51" t="e">
        <v>#VALUE!</v>
      </c>
      <c r="Z319" s="51">
        <v>67.7</v>
      </c>
      <c r="AA319" s="51" t="e">
        <v>#VALUE!</v>
      </c>
      <c r="AB319" s="51" t="e">
        <v>#VALUE!</v>
      </c>
      <c r="AC319" s="51" t="s">
        <v>264</v>
      </c>
      <c r="AD319" s="51">
        <v>49.8</v>
      </c>
      <c r="AE319" s="51">
        <v>52</v>
      </c>
      <c r="AF319" s="51">
        <v>142.1</v>
      </c>
      <c r="AG319" s="51">
        <v>114.9</v>
      </c>
      <c r="AH319" s="51">
        <v>27.2</v>
      </c>
      <c r="AI319" s="51">
        <v>184.8</v>
      </c>
      <c r="AJ319" s="55"/>
      <c r="AK319" s="55"/>
      <c r="AL319" s="51">
        <v>149.6</v>
      </c>
      <c r="AM319" s="51">
        <v>74.099999999999994</v>
      </c>
      <c r="AN319" s="51">
        <v>75.5</v>
      </c>
      <c r="AO319" s="51">
        <v>2982.2</v>
      </c>
      <c r="AP319" s="51">
        <v>266</v>
      </c>
      <c r="AQ319" s="51">
        <v>233</v>
      </c>
      <c r="AR319" s="51">
        <v>35.6</v>
      </c>
      <c r="AS319" s="51">
        <v>108.2</v>
      </c>
      <c r="AT319" s="51">
        <v>23.1</v>
      </c>
      <c r="AU319" s="51">
        <v>69.900000000000006</v>
      </c>
      <c r="AV319" s="51">
        <v>10.9</v>
      </c>
      <c r="AW319" s="51">
        <v>10.5</v>
      </c>
      <c r="AX319" s="51">
        <v>0.9</v>
      </c>
      <c r="AY319" s="51" t="s">
        <v>264</v>
      </c>
      <c r="AZ319" s="51" t="s">
        <v>264</v>
      </c>
      <c r="BA319" s="51" t="s">
        <v>264</v>
      </c>
      <c r="BB319" s="51" t="s">
        <v>264</v>
      </c>
      <c r="BC319" s="55"/>
      <c r="BD319" s="53">
        <v>131.6</v>
      </c>
      <c r="BE319" s="53">
        <v>24.6</v>
      </c>
      <c r="BF319" s="53">
        <v>79</v>
      </c>
      <c r="BG319" s="53">
        <v>9.5</v>
      </c>
      <c r="BH319" s="53">
        <v>287.60000000000002</v>
      </c>
      <c r="BI319" s="53">
        <v>110</v>
      </c>
      <c r="BJ319" s="53">
        <v>95.8</v>
      </c>
      <c r="BK319" s="53">
        <v>205.8</v>
      </c>
      <c r="BL319" s="55"/>
      <c r="BM319" s="53">
        <v>493.5</v>
      </c>
      <c r="BN319" s="53">
        <v>228.9</v>
      </c>
      <c r="BO319" s="53">
        <v>49.2</v>
      </c>
      <c r="BP319" s="53">
        <v>25.3</v>
      </c>
      <c r="BQ319" s="53">
        <v>74.5</v>
      </c>
      <c r="BR319" s="55"/>
      <c r="BS319" s="53">
        <v>303.39999999999998</v>
      </c>
      <c r="BT319" s="53">
        <v>26.3</v>
      </c>
      <c r="BU319" s="53">
        <v>13.6</v>
      </c>
      <c r="BV319" s="51" t="s">
        <v>264</v>
      </c>
      <c r="BW319" s="51" t="s">
        <v>264</v>
      </c>
      <c r="BX319" s="51">
        <v>359.1</v>
      </c>
      <c r="BY319" s="51" t="s">
        <v>264</v>
      </c>
      <c r="BZ319" s="51" t="s">
        <v>264</v>
      </c>
      <c r="CA319" s="51">
        <v>42.2</v>
      </c>
      <c r="CB319" s="53">
        <v>95.7</v>
      </c>
      <c r="CC319" s="53">
        <v>17.5</v>
      </c>
      <c r="CD319" s="53">
        <v>109.9</v>
      </c>
      <c r="CE319" s="53">
        <v>13.3</v>
      </c>
      <c r="CF319" s="53">
        <v>108.8</v>
      </c>
      <c r="CG319" s="53">
        <v>99.1</v>
      </c>
      <c r="CH319" s="53">
        <v>7.3</v>
      </c>
      <c r="CI319" s="53">
        <v>30</v>
      </c>
      <c r="CJ319" s="53">
        <v>8.6</v>
      </c>
      <c r="CK319" s="53">
        <v>153</v>
      </c>
      <c r="CL319" s="53">
        <v>16.2</v>
      </c>
      <c r="CM319" s="55"/>
      <c r="CN319" s="53">
        <v>45.9</v>
      </c>
      <c r="CO319" s="53">
        <v>214.7</v>
      </c>
      <c r="CP319" s="53">
        <v>163.6</v>
      </c>
      <c r="CQ319" s="53">
        <v>51.1</v>
      </c>
      <c r="CR319" s="53" t="s">
        <v>264</v>
      </c>
      <c r="CS319" s="12">
        <v>39.1</v>
      </c>
      <c r="CT319" s="53" t="e">
        <v>#VALUE!</v>
      </c>
      <c r="CU319" s="53" t="e">
        <v>#VALUE!</v>
      </c>
      <c r="CV319" s="53">
        <v>162.9</v>
      </c>
      <c r="CW319" s="53" t="e">
        <v>#VALUE!</v>
      </c>
      <c r="CX319" s="53" t="e">
        <v>#VALUE!</v>
      </c>
      <c r="CY319" s="53" t="e">
        <v>#VALUE!</v>
      </c>
      <c r="CZ319" s="53">
        <v>70.3</v>
      </c>
      <c r="DA319" s="12">
        <v>11.8</v>
      </c>
      <c r="DB319" s="53" t="e">
        <v>#VALUE!</v>
      </c>
      <c r="DC319" s="53" t="e">
        <v>#VALUE!</v>
      </c>
      <c r="DD319" s="55"/>
      <c r="DE319" s="55"/>
      <c r="DF319" s="55"/>
      <c r="DG319" s="55"/>
      <c r="DH319" s="55"/>
      <c r="DI319" s="53">
        <v>616.70000000000005</v>
      </c>
      <c r="DJ319" s="53">
        <v>361.7</v>
      </c>
      <c r="DK319" s="55"/>
      <c r="DL319" s="55"/>
      <c r="DM319" s="53">
        <v>441</v>
      </c>
      <c r="DN319" s="55"/>
      <c r="DO319" s="53">
        <v>162.4</v>
      </c>
      <c r="DP319" s="53">
        <v>288.2</v>
      </c>
      <c r="DQ319" s="55"/>
      <c r="DR319" s="55"/>
      <c r="DS319" s="53">
        <v>2253.2379999999998</v>
      </c>
      <c r="DT319" s="53">
        <v>4090.5</v>
      </c>
      <c r="DU319" s="53">
        <v>32.738000000000284</v>
      </c>
      <c r="DV319" s="53">
        <v>0</v>
      </c>
      <c r="DW319" s="55"/>
      <c r="DX319" s="55"/>
      <c r="DY319" s="55"/>
      <c r="DZ319" s="55"/>
      <c r="EA319" s="53">
        <v>672</v>
      </c>
      <c r="EB319" s="53">
        <v>573.5</v>
      </c>
      <c r="EC319" s="55"/>
      <c r="ED319" s="55"/>
      <c r="EE319" s="53">
        <v>167.6</v>
      </c>
      <c r="EF319" s="55"/>
      <c r="EG319" s="53">
        <v>107.045</v>
      </c>
      <c r="EH319" s="53">
        <v>289</v>
      </c>
      <c r="EI319" s="55"/>
      <c r="EJ319" s="55"/>
      <c r="EK319" s="53">
        <v>1372.991</v>
      </c>
      <c r="EL319" s="53">
        <v>3240.6</v>
      </c>
      <c r="EM319" s="55"/>
      <c r="EN319" s="55"/>
      <c r="EO319" s="55"/>
      <c r="EP319" s="55"/>
      <c r="EQ319" s="53">
        <v>245.1</v>
      </c>
      <c r="ER319" s="53">
        <v>139.69999999999999</v>
      </c>
      <c r="ES319" s="55"/>
      <c r="ET319" s="55"/>
      <c r="EU319" s="53">
        <v>171.2</v>
      </c>
      <c r="EV319" s="55"/>
      <c r="EW319" s="53">
        <v>62.5</v>
      </c>
      <c r="EX319" s="53">
        <v>111.4</v>
      </c>
      <c r="EY319" s="55"/>
      <c r="EZ319" s="55"/>
      <c r="FA319" s="53">
        <v>877.476</v>
      </c>
      <c r="FB319" s="53">
        <v>1588.2</v>
      </c>
      <c r="FC319" s="55"/>
      <c r="FD319" s="55"/>
      <c r="FE319" s="55"/>
      <c r="FF319" s="55"/>
      <c r="FG319" s="53">
        <v>477.5</v>
      </c>
      <c r="FH319" s="53">
        <v>284.7</v>
      </c>
      <c r="FI319" s="55"/>
      <c r="FJ319" s="55"/>
      <c r="FK319" s="53">
        <v>350.3</v>
      </c>
      <c r="FL319" s="55"/>
      <c r="FM319" s="53">
        <v>128.4</v>
      </c>
      <c r="FN319" s="53">
        <v>231</v>
      </c>
      <c r="FO319" s="55"/>
      <c r="FP319" s="55"/>
      <c r="FQ319" s="53">
        <v>1776.7059999999999</v>
      </c>
      <c r="FR319" s="53">
        <v>3223</v>
      </c>
      <c r="FS319" s="55"/>
      <c r="FT319" s="55"/>
      <c r="FU319" s="55"/>
      <c r="FV319" s="55"/>
      <c r="FW319" s="53">
        <v>296.60000000000002</v>
      </c>
      <c r="FX319" s="53">
        <v>158.1</v>
      </c>
      <c r="FY319" s="55"/>
      <c r="FZ319" s="55"/>
      <c r="GA319" s="53">
        <v>143.5</v>
      </c>
      <c r="GB319" s="55"/>
      <c r="GC319" s="53">
        <v>60.5</v>
      </c>
      <c r="GD319" s="18">
        <v>21.52</v>
      </c>
      <c r="GE319" s="55"/>
      <c r="GF319" s="55"/>
      <c r="GG319" s="53">
        <v>617.97799999999995</v>
      </c>
      <c r="GH319" s="53">
        <v>1409.7</v>
      </c>
      <c r="GI319" s="55"/>
      <c r="GJ319" s="55"/>
      <c r="GK319" s="55"/>
      <c r="GL319" s="55"/>
      <c r="GM319" s="53">
        <v>54.7</v>
      </c>
      <c r="GN319" s="53" t="e">
        <v>#VALUE!</v>
      </c>
      <c r="GO319" s="55"/>
      <c r="GP319" s="55"/>
      <c r="GQ319" s="53">
        <v>40.9</v>
      </c>
      <c r="GR319" s="55"/>
      <c r="GS319" s="53">
        <v>6.4</v>
      </c>
      <c r="GT319" s="53">
        <v>11.1</v>
      </c>
      <c r="GU319" s="55"/>
      <c r="GV319" s="55"/>
      <c r="GW319" s="53">
        <v>154.38499999999999</v>
      </c>
      <c r="GX319" s="53">
        <v>301.60000000000002</v>
      </c>
      <c r="GY319" s="19">
        <v>0.97029618216058888</v>
      </c>
      <c r="GZ319" s="53">
        <v>1133.5</v>
      </c>
      <c r="HA319" s="53">
        <v>1168.2</v>
      </c>
      <c r="HB319" s="18">
        <v>-87.367884965599842</v>
      </c>
      <c r="HC319" s="18">
        <v>-30.04790845679986</v>
      </c>
      <c r="HD319" s="18">
        <v>1231.1321150344002</v>
      </c>
      <c r="HE319" s="18">
        <v>-89.299999999999955</v>
      </c>
      <c r="HF319" s="53">
        <v>1318.5</v>
      </c>
      <c r="HG319" s="53">
        <v>1188.9000000000001</v>
      </c>
      <c r="HH319" s="53">
        <v>493.8</v>
      </c>
      <c r="HI319" s="53">
        <v>76.3</v>
      </c>
      <c r="HJ319" s="53">
        <v>610.5</v>
      </c>
      <c r="HK319" s="53">
        <v>8.3000000000000007</v>
      </c>
      <c r="HL319" s="53">
        <v>129.6</v>
      </c>
      <c r="HM319" s="53">
        <v>81.599999999999994</v>
      </c>
      <c r="HN319" s="53" t="s">
        <v>265</v>
      </c>
      <c r="HO319" s="53" t="s">
        <v>265</v>
      </c>
      <c r="HP319" s="55"/>
      <c r="HQ319" s="53">
        <v>5.0999999999999996</v>
      </c>
      <c r="HR319" s="53">
        <v>9.6999999999999993</v>
      </c>
      <c r="HS319" s="55"/>
      <c r="HT319" s="53">
        <v>33.200000000000003</v>
      </c>
      <c r="HU319" s="55"/>
      <c r="HV319" s="55"/>
      <c r="HW319" s="53">
        <v>334</v>
      </c>
      <c r="HX319" s="53" t="s">
        <v>266</v>
      </c>
      <c r="HY319" s="53">
        <v>334</v>
      </c>
      <c r="HZ319" s="53" t="s">
        <v>265</v>
      </c>
      <c r="IA319" s="53">
        <v>207</v>
      </c>
      <c r="IB319" s="53">
        <v>92.5</v>
      </c>
      <c r="IC319" s="53">
        <v>114.6</v>
      </c>
      <c r="ID319" s="53">
        <v>65.5</v>
      </c>
      <c r="IE319" s="53">
        <v>49</v>
      </c>
      <c r="IF319" s="55"/>
      <c r="IG319" s="55"/>
      <c r="IH319" s="55"/>
      <c r="II319" s="55"/>
      <c r="IJ319" s="55"/>
      <c r="IK319" s="55"/>
      <c r="IL319" s="53" t="s">
        <v>265</v>
      </c>
      <c r="IM319" s="55"/>
      <c r="IN319" s="53">
        <v>63.8</v>
      </c>
      <c r="IO319" s="53">
        <v>64</v>
      </c>
      <c r="IP319" s="53" t="s">
        <v>265</v>
      </c>
      <c r="IQ319" s="53">
        <v>42.5</v>
      </c>
      <c r="IR319" s="53">
        <v>12.1</v>
      </c>
      <c r="IS319" s="55"/>
      <c r="IT319" s="53">
        <v>29</v>
      </c>
      <c r="IU319" s="53">
        <v>1.4</v>
      </c>
      <c r="IV319" s="53" t="s">
        <v>265</v>
      </c>
      <c r="IY319" s="48">
        <f t="shared" si="14"/>
        <v>47.160982764943164</v>
      </c>
      <c r="IZ319" s="48">
        <f>IY319-'NOPA Crush'!J319</f>
        <v>4.0982764943166217E-2</v>
      </c>
      <c r="JB319" s="63">
        <f t="shared" si="12"/>
        <v>11.647964796479648</v>
      </c>
      <c r="JC319" s="64">
        <f>JB319-'NOPA Crush'!O319</f>
        <v>-8.2035203520351985E-2</v>
      </c>
      <c r="JD319" s="65"/>
      <c r="JE319" s="67">
        <f t="shared" si="13"/>
        <v>2762.5990000000002</v>
      </c>
      <c r="JF319" s="68">
        <f>'NOPA Crush'!Q319/'Census Crush'!JE319</f>
        <v>0.83851872819761386</v>
      </c>
    </row>
    <row r="320" spans="1:266">
      <c r="A320" s="39">
        <v>38777</v>
      </c>
      <c r="B320" s="51">
        <v>4486</v>
      </c>
      <c r="C320" s="51">
        <v>2700.5</v>
      </c>
      <c r="D320" s="51">
        <v>276.7</v>
      </c>
      <c r="E320" s="51">
        <v>1732.9</v>
      </c>
      <c r="F320" s="51">
        <v>17.760999999999999</v>
      </c>
      <c r="G320" s="51" t="s">
        <v>264</v>
      </c>
      <c r="H320" s="51" t="s">
        <v>264</v>
      </c>
      <c r="I320" s="51" t="s">
        <v>264</v>
      </c>
      <c r="J320" s="51" t="s">
        <v>264</v>
      </c>
      <c r="K320" s="51">
        <v>1746.5</v>
      </c>
      <c r="L320" s="49">
        <v>2752.5320000000002</v>
      </c>
      <c r="M320" s="9">
        <v>2467.5</v>
      </c>
      <c r="N320" s="51">
        <v>285.03199999999998</v>
      </c>
      <c r="O320" s="53">
        <v>87.8</v>
      </c>
      <c r="P320" s="51">
        <v>108.5</v>
      </c>
      <c r="Q320" s="51">
        <v>16.5</v>
      </c>
      <c r="R320" s="51">
        <v>92</v>
      </c>
      <c r="S320" s="51"/>
      <c r="T320" s="55"/>
      <c r="U320" s="51">
        <v>29.2</v>
      </c>
      <c r="V320" s="51">
        <v>23.7</v>
      </c>
      <c r="W320" s="51">
        <v>5.5</v>
      </c>
      <c r="X320" s="51" t="s">
        <v>264</v>
      </c>
      <c r="Y320" s="51" t="e">
        <v>#VALUE!</v>
      </c>
      <c r="Z320" s="51">
        <v>97.5</v>
      </c>
      <c r="AA320" s="51" t="e">
        <v>#VALUE!</v>
      </c>
      <c r="AB320" s="51" t="e">
        <v>#VALUE!</v>
      </c>
      <c r="AC320" s="51" t="s">
        <v>264</v>
      </c>
      <c r="AD320" s="51">
        <v>66.2</v>
      </c>
      <c r="AE320" s="51">
        <v>67.7</v>
      </c>
      <c r="AF320" s="51">
        <v>177.29999999999998</v>
      </c>
      <c r="AG320" s="51">
        <v>147.69999999999999</v>
      </c>
      <c r="AH320" s="51">
        <v>29.6</v>
      </c>
      <c r="AI320" s="51">
        <v>217.6</v>
      </c>
      <c r="AJ320" s="55"/>
      <c r="AK320" s="55"/>
      <c r="AL320" s="51">
        <v>211.10000000000002</v>
      </c>
      <c r="AM320" s="51">
        <v>116.2</v>
      </c>
      <c r="AN320" s="51">
        <v>94.9</v>
      </c>
      <c r="AO320" s="51">
        <v>3249.6</v>
      </c>
      <c r="AP320" s="51">
        <v>255.1</v>
      </c>
      <c r="AQ320" s="51">
        <v>254.4</v>
      </c>
      <c r="AR320" s="51">
        <v>31.4</v>
      </c>
      <c r="AS320" s="51">
        <v>119.4</v>
      </c>
      <c r="AT320" s="51">
        <v>14.4</v>
      </c>
      <c r="AU320" s="51">
        <v>82.5</v>
      </c>
      <c r="AV320" s="51">
        <v>15.2</v>
      </c>
      <c r="AW320" s="55"/>
      <c r="AX320" s="55"/>
      <c r="AY320" s="51" t="s">
        <v>264</v>
      </c>
      <c r="AZ320" s="51" t="s">
        <v>264</v>
      </c>
      <c r="BA320" s="51" t="s">
        <v>264</v>
      </c>
      <c r="BB320" s="51" t="s">
        <v>264</v>
      </c>
      <c r="BC320" s="55"/>
      <c r="BD320" s="53">
        <v>156</v>
      </c>
      <c r="BE320" s="53">
        <v>24.3</v>
      </c>
      <c r="BF320" s="53">
        <v>86.8</v>
      </c>
      <c r="BG320" s="53">
        <v>10.199999999999999</v>
      </c>
      <c r="BH320" s="53">
        <v>342.5</v>
      </c>
      <c r="BI320" s="53">
        <v>137.19999999999999</v>
      </c>
      <c r="BJ320" s="53">
        <v>106.2</v>
      </c>
      <c r="BK320" s="53">
        <v>243.39999999999998</v>
      </c>
      <c r="BL320" s="55"/>
      <c r="BM320" s="53">
        <v>586</v>
      </c>
      <c r="BN320" s="53">
        <v>225.3</v>
      </c>
      <c r="BO320" s="53">
        <v>69.900000000000006</v>
      </c>
      <c r="BP320" s="53">
        <v>22.1</v>
      </c>
      <c r="BQ320" s="53">
        <v>92</v>
      </c>
      <c r="BR320" s="55"/>
      <c r="BS320" s="53">
        <v>317.3</v>
      </c>
      <c r="BT320" s="53">
        <v>28.9</v>
      </c>
      <c r="BU320" s="53">
        <v>13.7</v>
      </c>
      <c r="BV320" s="51" t="s">
        <v>264</v>
      </c>
      <c r="BW320" s="51" t="s">
        <v>264</v>
      </c>
      <c r="BX320" s="51">
        <v>412.4</v>
      </c>
      <c r="BY320" s="51" t="s">
        <v>264</v>
      </c>
      <c r="BZ320" s="51" t="s">
        <v>264</v>
      </c>
      <c r="CA320" s="51">
        <v>57.3</v>
      </c>
      <c r="CB320" s="53">
        <v>111</v>
      </c>
      <c r="CC320" s="53">
        <v>15.7</v>
      </c>
      <c r="CD320" s="53">
        <v>126.2</v>
      </c>
      <c r="CE320" s="53">
        <v>12.3</v>
      </c>
      <c r="CF320" s="53">
        <v>108</v>
      </c>
      <c r="CG320" s="53">
        <v>82.6</v>
      </c>
      <c r="CH320" s="53">
        <v>6.8</v>
      </c>
      <c r="CI320" s="53">
        <v>34.9</v>
      </c>
      <c r="CJ320" s="53">
        <v>7.5</v>
      </c>
      <c r="CK320" s="53">
        <v>171</v>
      </c>
      <c r="CL320" s="53">
        <v>19.600000000000001</v>
      </c>
      <c r="CM320" s="55"/>
      <c r="CN320" s="53">
        <v>54.9</v>
      </c>
      <c r="CO320" s="53">
        <v>224.60000000000002</v>
      </c>
      <c r="CP320" s="53">
        <v>158.4</v>
      </c>
      <c r="CQ320" s="53">
        <v>66.2</v>
      </c>
      <c r="CR320" s="53" t="s">
        <v>264</v>
      </c>
      <c r="CS320" s="12">
        <v>31.6</v>
      </c>
      <c r="CT320" s="53" t="e">
        <v>#VALUE!</v>
      </c>
      <c r="CU320" s="53" t="e">
        <v>#VALUE!</v>
      </c>
      <c r="CV320" s="53">
        <v>199.8</v>
      </c>
      <c r="CW320" s="53" t="e">
        <v>#VALUE!</v>
      </c>
      <c r="CX320" s="53" t="e">
        <v>#VALUE!</v>
      </c>
      <c r="CY320" s="53" t="e">
        <v>#VALUE!</v>
      </c>
      <c r="CZ320" s="53">
        <v>111.7</v>
      </c>
      <c r="DA320" s="12">
        <v>14.7</v>
      </c>
      <c r="DB320" s="53" t="e">
        <v>#VALUE!</v>
      </c>
      <c r="DC320" s="53" t="e">
        <v>#VALUE!</v>
      </c>
      <c r="DD320" s="55"/>
      <c r="DE320" s="55"/>
      <c r="DF320" s="55"/>
      <c r="DG320" s="55"/>
      <c r="DH320" s="55"/>
      <c r="DI320" s="53">
        <v>688.8</v>
      </c>
      <c r="DJ320" s="53">
        <v>406.7</v>
      </c>
      <c r="DK320" s="55"/>
      <c r="DL320" s="55"/>
      <c r="DM320" s="53">
        <v>469.9</v>
      </c>
      <c r="DN320" s="55"/>
      <c r="DO320" s="53">
        <v>185.6</v>
      </c>
      <c r="DP320" s="53">
        <v>331.3</v>
      </c>
      <c r="DQ320" s="55"/>
      <c r="DR320" s="55"/>
      <c r="DS320" s="53">
        <v>2426.8589999999999</v>
      </c>
      <c r="DT320" s="53">
        <v>4486</v>
      </c>
      <c r="DU320" s="53">
        <v>23.158999999999651</v>
      </c>
      <c r="DV320" s="53">
        <v>0</v>
      </c>
      <c r="DW320" s="55"/>
      <c r="DX320" s="55"/>
      <c r="DY320" s="55"/>
      <c r="DZ320" s="55"/>
      <c r="EA320" s="53">
        <v>466.1</v>
      </c>
      <c r="EB320" s="53">
        <v>450.5</v>
      </c>
      <c r="EC320" s="55"/>
      <c r="ED320" s="55"/>
      <c r="EE320" s="53">
        <v>134.80000000000001</v>
      </c>
      <c r="EF320" s="55"/>
      <c r="EG320" s="53">
        <v>118.696</v>
      </c>
      <c r="EH320" s="53" t="e">
        <v>#VALUE!</v>
      </c>
      <c r="EI320" s="55"/>
      <c r="EJ320" s="55"/>
      <c r="EK320" s="53">
        <v>1210.4100000000001</v>
      </c>
      <c r="EL320" s="53">
        <v>2700.5</v>
      </c>
      <c r="EM320" s="55"/>
      <c r="EN320" s="55"/>
      <c r="EO320" s="55"/>
      <c r="EP320" s="55"/>
      <c r="EQ320" s="53">
        <v>271.7</v>
      </c>
      <c r="ER320" s="53">
        <v>157.19999999999999</v>
      </c>
      <c r="ES320" s="55"/>
      <c r="ET320" s="55"/>
      <c r="EU320" s="53">
        <v>181.6</v>
      </c>
      <c r="EV320" s="55"/>
      <c r="EW320" s="53">
        <v>71.900000000000006</v>
      </c>
      <c r="EX320" s="53">
        <v>157.19999999999999</v>
      </c>
      <c r="EY320" s="55"/>
      <c r="EZ320" s="55"/>
      <c r="FA320" s="53">
        <v>945.01599999999996</v>
      </c>
      <c r="FB320" s="53">
        <v>1746.5</v>
      </c>
      <c r="FC320" s="55"/>
      <c r="FD320" s="55"/>
      <c r="FE320" s="55"/>
      <c r="FF320" s="55"/>
      <c r="FG320" s="53">
        <v>540.79999999999995</v>
      </c>
      <c r="FH320" s="53">
        <v>319.39999999999998</v>
      </c>
      <c r="FI320" s="55"/>
      <c r="FJ320" s="55"/>
      <c r="FK320" s="53">
        <v>339.3</v>
      </c>
      <c r="FL320" s="55"/>
      <c r="FM320" s="53">
        <v>147.1</v>
      </c>
      <c r="FN320" s="53">
        <v>265.10000000000002</v>
      </c>
      <c r="FO320" s="55"/>
      <c r="FP320" s="55"/>
      <c r="FQ320" s="53">
        <v>1917.8579999999999</v>
      </c>
      <c r="FR320" s="53">
        <v>3512.6</v>
      </c>
      <c r="FS320" s="55"/>
      <c r="FT320" s="55"/>
      <c r="FU320" s="55"/>
      <c r="FV320" s="55"/>
      <c r="FW320" s="53" t="s">
        <v>265</v>
      </c>
      <c r="FX320" s="53">
        <v>155.30000000000001</v>
      </c>
      <c r="FY320" s="55"/>
      <c r="FZ320" s="55"/>
      <c r="GA320" s="53">
        <v>145</v>
      </c>
      <c r="GB320" s="55"/>
      <c r="GC320" s="53">
        <v>65.599999999999994</v>
      </c>
      <c r="GD320" s="53" t="s">
        <v>265</v>
      </c>
      <c r="GE320" s="55"/>
      <c r="GF320" s="55"/>
      <c r="GG320" s="53">
        <v>620.87300000000005</v>
      </c>
      <c r="GH320" s="53">
        <v>1344</v>
      </c>
      <c r="GI320" s="55"/>
      <c r="GJ320" s="55"/>
      <c r="GK320" s="55"/>
      <c r="GL320" s="55"/>
      <c r="GM320" s="53">
        <v>75.5</v>
      </c>
      <c r="GN320" s="53">
        <v>33.4</v>
      </c>
      <c r="GO320" s="55"/>
      <c r="GP320" s="55"/>
      <c r="GQ320" s="53">
        <v>28</v>
      </c>
      <c r="GR320" s="55"/>
      <c r="GS320" s="53" t="e">
        <v>#VALUE!</v>
      </c>
      <c r="GT320" s="53">
        <v>9.9</v>
      </c>
      <c r="GU320" s="55"/>
      <c r="GV320" s="55"/>
      <c r="GW320" s="53">
        <v>141.15799999999999</v>
      </c>
      <c r="GX320" s="53">
        <v>286.5</v>
      </c>
      <c r="GY320" s="19">
        <v>0.9769867204338456</v>
      </c>
      <c r="GZ320" s="53">
        <v>1405.2</v>
      </c>
      <c r="HA320" s="53">
        <v>1438.3</v>
      </c>
      <c r="HB320" s="18">
        <v>8.8064751670003716</v>
      </c>
      <c r="HC320" s="18">
        <v>133.86998349240002</v>
      </c>
      <c r="HD320" s="18">
        <v>1581.4064751670003</v>
      </c>
      <c r="HE320" s="18">
        <v>-42.600000000000136</v>
      </c>
      <c r="HF320" s="53">
        <v>1572.6</v>
      </c>
      <c r="HG320" s="53">
        <v>1410.8</v>
      </c>
      <c r="HH320" s="53">
        <v>550.20000000000005</v>
      </c>
      <c r="HI320" s="53">
        <v>87.805850000000007</v>
      </c>
      <c r="HJ320" s="53">
        <v>764.2</v>
      </c>
      <c r="HK320" s="53">
        <v>8.6</v>
      </c>
      <c r="HL320" s="53">
        <v>161.80000000000001</v>
      </c>
      <c r="HM320" s="53">
        <v>111.3</v>
      </c>
      <c r="HN320" s="53" t="s">
        <v>265</v>
      </c>
      <c r="HO320" s="53" t="s">
        <v>265</v>
      </c>
      <c r="HP320" s="55"/>
      <c r="HQ320" s="53">
        <v>5.2</v>
      </c>
      <c r="HR320" s="53">
        <v>8</v>
      </c>
      <c r="HS320" s="55"/>
      <c r="HT320" s="53">
        <v>37.299999999999997</v>
      </c>
      <c r="HU320" s="55"/>
      <c r="HV320" s="55"/>
      <c r="HW320" s="53">
        <v>366.8</v>
      </c>
      <c r="HX320" s="53" t="s">
        <v>266</v>
      </c>
      <c r="HY320" s="53">
        <v>366.8</v>
      </c>
      <c r="HZ320" s="53" t="s">
        <v>265</v>
      </c>
      <c r="IA320" s="53">
        <v>244.8</v>
      </c>
      <c r="IB320" s="53">
        <v>112.3</v>
      </c>
      <c r="IC320" s="53">
        <v>132.5</v>
      </c>
      <c r="ID320" s="53">
        <v>76.8</v>
      </c>
      <c r="IE320" s="53">
        <v>55.7</v>
      </c>
      <c r="IF320" s="55"/>
      <c r="IG320" s="55"/>
      <c r="IH320" s="55"/>
      <c r="II320" s="55"/>
      <c r="IJ320" s="55"/>
      <c r="IK320" s="55"/>
      <c r="IL320" s="53" t="s">
        <v>265</v>
      </c>
      <c r="IM320" s="55"/>
      <c r="IN320" s="53">
        <v>70.8</v>
      </c>
      <c r="IO320" s="53">
        <v>71.099999999999994</v>
      </c>
      <c r="IP320" s="53" t="s">
        <v>265</v>
      </c>
      <c r="IQ320" s="53">
        <v>51</v>
      </c>
      <c r="IR320" s="53">
        <v>15.7</v>
      </c>
      <c r="IS320" s="55"/>
      <c r="IT320" s="53">
        <v>33.700000000000003</v>
      </c>
      <c r="IU320" s="53">
        <v>1.5</v>
      </c>
      <c r="IV320" s="53" t="s">
        <v>265</v>
      </c>
      <c r="IY320" s="48">
        <f t="shared" si="14"/>
        <v>46.865804725813646</v>
      </c>
      <c r="IZ320" s="48">
        <f>IY320-'NOPA Crush'!J320</f>
        <v>-0.28419527418635226</v>
      </c>
      <c r="JB320" s="63">
        <f t="shared" si="12"/>
        <v>11.679670084707981</v>
      </c>
      <c r="JC320" s="64">
        <f>JB320-'NOPA Crush'!O320</f>
        <v>-8.0329915292018939E-2</v>
      </c>
      <c r="JD320" s="65"/>
      <c r="JE320" s="67">
        <f t="shared" si="13"/>
        <v>2752.5320000000002</v>
      </c>
      <c r="JF320" s="68">
        <f>'NOPA Crush'!Q320/'Census Crush'!JE320</f>
        <v>0.86931014789292183</v>
      </c>
    </row>
    <row r="321" spans="1:266">
      <c r="A321" s="39">
        <v>38808</v>
      </c>
      <c r="B321" s="51">
        <v>4066</v>
      </c>
      <c r="C321" s="51">
        <v>2084.6</v>
      </c>
      <c r="D321" s="51">
        <v>235</v>
      </c>
      <c r="E321" s="51">
        <v>1366.3</v>
      </c>
      <c r="F321" s="51">
        <v>18</v>
      </c>
      <c r="G321" s="51" t="s">
        <v>264</v>
      </c>
      <c r="H321" s="51" t="s">
        <v>264</v>
      </c>
      <c r="I321" s="51" t="s">
        <v>264</v>
      </c>
      <c r="J321" s="51" t="s">
        <v>264</v>
      </c>
      <c r="K321" s="51">
        <v>1586.3</v>
      </c>
      <c r="L321" s="49">
        <v>2862.8009999999999</v>
      </c>
      <c r="M321" s="9">
        <v>2571.6999999999998</v>
      </c>
      <c r="N321" s="51">
        <v>291.101</v>
      </c>
      <c r="O321" s="53">
        <v>70.900000000000006</v>
      </c>
      <c r="P321" s="51">
        <v>105.69999999999999</v>
      </c>
      <c r="Q321" s="51">
        <v>21.4</v>
      </c>
      <c r="R321" s="51">
        <v>84.3</v>
      </c>
      <c r="S321" s="51"/>
      <c r="T321" s="51">
        <v>15.6</v>
      </c>
      <c r="U321" s="51">
        <v>25.299999999999997</v>
      </c>
      <c r="V321" s="51">
        <v>21.9</v>
      </c>
      <c r="W321" s="51">
        <v>3.4</v>
      </c>
      <c r="X321" s="51" t="s">
        <v>264</v>
      </c>
      <c r="Y321" s="51" t="e">
        <v>#VALUE!</v>
      </c>
      <c r="Z321" s="51">
        <v>80.7</v>
      </c>
      <c r="AA321" s="51" t="e">
        <v>#VALUE!</v>
      </c>
      <c r="AB321" s="51" t="e">
        <v>#VALUE!</v>
      </c>
      <c r="AC321" s="51" t="s">
        <v>264</v>
      </c>
      <c r="AD321" s="51">
        <v>86.4</v>
      </c>
      <c r="AE321" s="51">
        <v>88.5</v>
      </c>
      <c r="AF321" s="51">
        <v>216.8</v>
      </c>
      <c r="AG321" s="51">
        <v>190</v>
      </c>
      <c r="AH321" s="51">
        <v>26.8</v>
      </c>
      <c r="AI321" s="51">
        <v>191.7</v>
      </c>
      <c r="AJ321" s="55"/>
      <c r="AK321" s="55"/>
      <c r="AL321" s="51">
        <v>161.80000000000001</v>
      </c>
      <c r="AM321" s="51">
        <v>122.6</v>
      </c>
      <c r="AN321" s="51">
        <v>39.200000000000003</v>
      </c>
      <c r="AO321" s="51">
        <v>2983.2</v>
      </c>
      <c r="AP321" s="51">
        <v>375.7</v>
      </c>
      <c r="AQ321" s="51">
        <v>229.4</v>
      </c>
      <c r="AR321" s="51">
        <v>39.700000000000003</v>
      </c>
      <c r="AS321" s="51">
        <v>104.5</v>
      </c>
      <c r="AT321" s="51">
        <v>30.8</v>
      </c>
      <c r="AU321" s="51">
        <v>66.900000000000006</v>
      </c>
      <c r="AV321" s="51">
        <v>18.2</v>
      </c>
      <c r="AW321" s="51">
        <v>10.199999999999999</v>
      </c>
      <c r="AX321" s="51">
        <v>1.9</v>
      </c>
      <c r="AY321" s="51" t="s">
        <v>264</v>
      </c>
      <c r="AZ321" s="51" t="s">
        <v>264</v>
      </c>
      <c r="BA321" s="51" t="s">
        <v>264</v>
      </c>
      <c r="BB321" s="51" t="s">
        <v>264</v>
      </c>
      <c r="BC321" s="55"/>
      <c r="BD321" s="53">
        <v>144.80000000000001</v>
      </c>
      <c r="BE321" s="53">
        <v>25.6</v>
      </c>
      <c r="BF321" s="53">
        <v>81.3</v>
      </c>
      <c r="BG321" s="53">
        <v>10.4</v>
      </c>
      <c r="BH321" s="53">
        <v>296.89999999999998</v>
      </c>
      <c r="BI321" s="53">
        <v>119.5</v>
      </c>
      <c r="BJ321" s="53">
        <v>100.8</v>
      </c>
      <c r="BK321" s="53">
        <v>220.3</v>
      </c>
      <c r="BL321" s="55"/>
      <c r="BM321" s="53">
        <v>517.20000000000005</v>
      </c>
      <c r="BN321" s="53">
        <v>248.1</v>
      </c>
      <c r="BO321" s="53">
        <v>77.099999999999994</v>
      </c>
      <c r="BP321" s="53">
        <v>26.2</v>
      </c>
      <c r="BQ321" s="53">
        <v>103.3</v>
      </c>
      <c r="BR321" s="55"/>
      <c r="BS321" s="53">
        <v>351.4</v>
      </c>
      <c r="BT321" s="53">
        <v>19.3</v>
      </c>
      <c r="BU321" s="53">
        <v>9.8000000000000007</v>
      </c>
      <c r="BV321" s="51" t="s">
        <v>264</v>
      </c>
      <c r="BW321" s="51" t="s">
        <v>264</v>
      </c>
      <c r="BX321" s="51">
        <v>373.3</v>
      </c>
      <c r="BY321" s="51" t="s">
        <v>264</v>
      </c>
      <c r="BZ321" s="51" t="s">
        <v>264</v>
      </c>
      <c r="CA321" s="51">
        <v>43.4</v>
      </c>
      <c r="CB321" s="53">
        <v>96.2</v>
      </c>
      <c r="CC321" s="53">
        <v>18</v>
      </c>
      <c r="CD321" s="53">
        <v>110.9</v>
      </c>
      <c r="CE321" s="53">
        <v>15.9</v>
      </c>
      <c r="CF321" s="53">
        <v>110.9</v>
      </c>
      <c r="CG321" s="53">
        <v>88.3</v>
      </c>
      <c r="CH321" s="53">
        <v>5.8</v>
      </c>
      <c r="CI321" s="53">
        <v>32.1</v>
      </c>
      <c r="CJ321" s="53">
        <v>7.8</v>
      </c>
      <c r="CK321" s="53">
        <v>156.19999999999999</v>
      </c>
      <c r="CL321" s="53">
        <v>23.2</v>
      </c>
      <c r="CM321" s="55"/>
      <c r="CN321" s="53">
        <v>51.7</v>
      </c>
      <c r="CO321" s="53">
        <v>257.10000000000002</v>
      </c>
      <c r="CP321" s="53">
        <v>175.9</v>
      </c>
      <c r="CQ321" s="53">
        <v>81.2</v>
      </c>
      <c r="CR321" s="53" t="s">
        <v>264</v>
      </c>
      <c r="CS321" s="12">
        <v>24.9</v>
      </c>
      <c r="CT321" s="53" t="e">
        <v>#VALUE!</v>
      </c>
      <c r="CU321" s="53" t="e">
        <v>#VALUE!</v>
      </c>
      <c r="CV321" s="53">
        <v>162.6</v>
      </c>
      <c r="CW321" s="53" t="e">
        <v>#VALUE!</v>
      </c>
      <c r="CX321" s="53" t="e">
        <v>#VALUE!</v>
      </c>
      <c r="CY321" s="53" t="e">
        <v>#VALUE!</v>
      </c>
      <c r="CZ321" s="53">
        <v>102.4</v>
      </c>
      <c r="DA321" s="12">
        <v>14.8</v>
      </c>
      <c r="DB321" s="53" t="e">
        <v>#VALUE!</v>
      </c>
      <c r="DC321" s="53" t="e">
        <v>#VALUE!</v>
      </c>
      <c r="DD321" s="55"/>
      <c r="DE321" s="55"/>
      <c r="DF321" s="55"/>
      <c r="DG321" s="55"/>
      <c r="DH321" s="55"/>
      <c r="DI321" s="53">
        <v>657</v>
      </c>
      <c r="DJ321" s="53">
        <v>338.4</v>
      </c>
      <c r="DK321" s="55"/>
      <c r="DL321" s="55"/>
      <c r="DM321" s="53">
        <v>419.6</v>
      </c>
      <c r="DN321" s="55"/>
      <c r="DO321" s="53">
        <v>181.9</v>
      </c>
      <c r="DP321" s="53">
        <v>306.5</v>
      </c>
      <c r="DQ321" s="55"/>
      <c r="DR321" s="55"/>
      <c r="DS321" s="53">
        <v>2183.152</v>
      </c>
      <c r="DT321" s="53">
        <v>4066</v>
      </c>
      <c r="DU321" s="53">
        <v>20.552000000000135</v>
      </c>
      <c r="DV321" s="53">
        <v>0</v>
      </c>
      <c r="DW321" s="55"/>
      <c r="DX321" s="55"/>
      <c r="DY321" s="55"/>
      <c r="DZ321" s="55"/>
      <c r="EA321" s="53">
        <v>329.8</v>
      </c>
      <c r="EB321" s="53">
        <v>343.1</v>
      </c>
      <c r="EC321" s="55"/>
      <c r="ED321" s="55"/>
      <c r="EE321" s="53">
        <v>99.7</v>
      </c>
      <c r="EF321" s="55"/>
      <c r="EG321" s="53">
        <v>79.481999999999999</v>
      </c>
      <c r="EH321" s="53" t="e">
        <v>#VALUE!</v>
      </c>
      <c r="EI321" s="55"/>
      <c r="EJ321" s="55"/>
      <c r="EK321" s="53">
        <v>973.41399999999999</v>
      </c>
      <c r="EL321" s="53">
        <v>2084.6</v>
      </c>
      <c r="EM321" s="55"/>
      <c r="EN321" s="55"/>
      <c r="EO321" s="55"/>
      <c r="EP321" s="55"/>
      <c r="EQ321" s="53">
        <v>261.5</v>
      </c>
      <c r="ER321" s="53">
        <v>131</v>
      </c>
      <c r="ES321" s="55"/>
      <c r="ET321" s="55"/>
      <c r="EU321" s="53">
        <v>161.9</v>
      </c>
      <c r="EV321" s="55"/>
      <c r="EW321" s="53">
        <v>70</v>
      </c>
      <c r="EX321" s="53">
        <v>131</v>
      </c>
      <c r="EY321" s="55"/>
      <c r="EZ321" s="55"/>
      <c r="FA321" s="53">
        <v>851.01900000000001</v>
      </c>
      <c r="FB321" s="53">
        <v>1586.3</v>
      </c>
      <c r="FC321" s="55"/>
      <c r="FD321" s="55"/>
      <c r="FE321" s="55"/>
      <c r="FF321" s="55"/>
      <c r="FG321" s="53">
        <v>518.20000000000005</v>
      </c>
      <c r="FH321" s="53">
        <v>271.60000000000002</v>
      </c>
      <c r="FI321" s="55"/>
      <c r="FJ321" s="55"/>
      <c r="FK321" s="53">
        <v>331.7</v>
      </c>
      <c r="FL321" s="55"/>
      <c r="FM321" s="53">
        <v>144</v>
      </c>
      <c r="FN321" s="53">
        <v>246.5</v>
      </c>
      <c r="FO321" s="55"/>
      <c r="FP321" s="55"/>
      <c r="FQ321" s="53">
        <v>1725.47</v>
      </c>
      <c r="FR321" s="53">
        <v>3220.6</v>
      </c>
      <c r="FS321" s="55"/>
      <c r="FT321" s="55"/>
      <c r="FU321" s="55"/>
      <c r="FV321" s="55"/>
      <c r="FW321" s="53" t="s">
        <v>265</v>
      </c>
      <c r="FX321" s="53">
        <v>134.30000000000001</v>
      </c>
      <c r="FY321" s="55"/>
      <c r="FZ321" s="55"/>
      <c r="GA321" s="53">
        <v>120.8</v>
      </c>
      <c r="GB321" s="55"/>
      <c r="GC321" s="53">
        <v>67.8</v>
      </c>
      <c r="GD321" s="53" t="s">
        <v>265</v>
      </c>
      <c r="GE321" s="55"/>
      <c r="GF321" s="55"/>
      <c r="GG321" s="53">
        <v>513.18700000000001</v>
      </c>
      <c r="GH321" s="53">
        <v>1284</v>
      </c>
      <c r="GI321" s="55"/>
      <c r="GJ321" s="55"/>
      <c r="GK321" s="55"/>
      <c r="GL321" s="55"/>
      <c r="GM321" s="53">
        <v>88.2</v>
      </c>
      <c r="GN321" s="53">
        <v>41.2</v>
      </c>
      <c r="GO321" s="55"/>
      <c r="GP321" s="55"/>
      <c r="GQ321" s="53">
        <v>37.700000000000003</v>
      </c>
      <c r="GR321" s="55"/>
      <c r="GS321" s="53" t="e">
        <v>#VALUE!</v>
      </c>
      <c r="GT321" s="53">
        <v>18.600000000000001</v>
      </c>
      <c r="GU321" s="55"/>
      <c r="GV321" s="55"/>
      <c r="GW321" s="53">
        <v>223.892</v>
      </c>
      <c r="GX321" s="53">
        <v>415.4</v>
      </c>
      <c r="GY321" s="19">
        <v>0.97469296613323408</v>
      </c>
      <c r="GZ321" s="53">
        <v>1309.5</v>
      </c>
      <c r="HA321" s="53">
        <v>1343.5</v>
      </c>
      <c r="HB321" s="18">
        <v>-92.900120864999735</v>
      </c>
      <c r="HC321" s="18">
        <v>-139.2297374267996</v>
      </c>
      <c r="HD321" s="18">
        <v>1383.1998791350002</v>
      </c>
      <c r="HE321" s="18">
        <v>-100.5</v>
      </c>
      <c r="HF321" s="53">
        <v>1476.1</v>
      </c>
      <c r="HG321" s="53">
        <v>1306.8</v>
      </c>
      <c r="HH321" s="53">
        <v>528.6</v>
      </c>
      <c r="HI321" s="53">
        <v>69.639200000000002</v>
      </c>
      <c r="HJ321" s="53">
        <v>701</v>
      </c>
      <c r="HK321" s="53">
        <v>7.5</v>
      </c>
      <c r="HL321" s="53">
        <v>169.3</v>
      </c>
      <c r="HM321" s="53">
        <v>116.7</v>
      </c>
      <c r="HN321" s="53" t="s">
        <v>265</v>
      </c>
      <c r="HO321" s="53" t="s">
        <v>265</v>
      </c>
      <c r="HP321" s="55"/>
      <c r="HQ321" s="53">
        <v>8.1999999999999993</v>
      </c>
      <c r="HR321" s="53">
        <v>8.1999999999999993</v>
      </c>
      <c r="HS321" s="55"/>
      <c r="HT321" s="53">
        <v>36.200000000000003</v>
      </c>
      <c r="HU321" s="55"/>
      <c r="HV321" s="55"/>
      <c r="HW321" s="53">
        <v>283.10000000000002</v>
      </c>
      <c r="HX321" s="53" t="s">
        <v>266</v>
      </c>
      <c r="HY321" s="53">
        <v>283.10000000000002</v>
      </c>
      <c r="HZ321" s="53" t="s">
        <v>265</v>
      </c>
      <c r="IA321" s="53">
        <v>219.5</v>
      </c>
      <c r="IB321" s="53">
        <v>99.7</v>
      </c>
      <c r="IC321" s="53">
        <v>119.9</v>
      </c>
      <c r="ID321" s="53">
        <v>66.7</v>
      </c>
      <c r="IE321" s="53">
        <v>53.2</v>
      </c>
      <c r="IF321" s="55"/>
      <c r="IG321" s="55"/>
      <c r="IH321" s="55"/>
      <c r="II321" s="55"/>
      <c r="IJ321" s="55"/>
      <c r="IK321" s="55"/>
      <c r="IL321" s="53" t="s">
        <v>265</v>
      </c>
      <c r="IM321" s="55"/>
      <c r="IN321" s="53">
        <v>57.8</v>
      </c>
      <c r="IO321" s="53">
        <v>58.2</v>
      </c>
      <c r="IP321" s="53" t="s">
        <v>265</v>
      </c>
      <c r="IQ321" s="53">
        <v>69.5</v>
      </c>
      <c r="IR321" s="53">
        <v>11.5</v>
      </c>
      <c r="IS321" s="55"/>
      <c r="IT321" s="53">
        <v>56.6</v>
      </c>
      <c r="IU321" s="53">
        <v>1.3</v>
      </c>
      <c r="IV321" s="53" t="s">
        <v>265</v>
      </c>
      <c r="IY321" s="48">
        <f t="shared" si="14"/>
        <v>47.406787998032463</v>
      </c>
      <c r="IZ321" s="48">
        <f>IY321-'NOPA Crush'!J321</f>
        <v>0.1967879980324625</v>
      </c>
      <c r="JB321" s="63">
        <f t="shared" si="12"/>
        <v>11.704131824889325</v>
      </c>
      <c r="JC321" s="64">
        <f>JB321-'NOPA Crush'!O321</f>
        <v>-6.5868175110674443E-2</v>
      </c>
      <c r="JD321" s="65"/>
      <c r="JE321" s="67">
        <f t="shared" si="13"/>
        <v>2862.8009999999999</v>
      </c>
      <c r="JF321" s="68">
        <f>'NOPA Crush'!Q321/'Census Crush'!JE321</f>
        <v>0.820893593372365</v>
      </c>
    </row>
    <row r="322" spans="1:266">
      <c r="A322" s="39">
        <v>38838</v>
      </c>
      <c r="B322" s="51">
        <v>4385.6000000000004</v>
      </c>
      <c r="C322" s="51">
        <v>1921</v>
      </c>
      <c r="D322" s="51">
        <v>280.3</v>
      </c>
      <c r="E322" s="51">
        <v>1076.8</v>
      </c>
      <c r="F322" s="51">
        <v>20.8</v>
      </c>
      <c r="G322" s="51" t="s">
        <v>264</v>
      </c>
      <c r="H322" s="51" t="s">
        <v>264</v>
      </c>
      <c r="I322" s="51" t="s">
        <v>264</v>
      </c>
      <c r="J322" s="51" t="s">
        <v>264</v>
      </c>
      <c r="K322" s="51">
        <v>1710.5</v>
      </c>
      <c r="L322" s="49">
        <v>3004.5170000000003</v>
      </c>
      <c r="M322" s="9">
        <v>2698.3</v>
      </c>
      <c r="N322" s="51">
        <v>306.21699999999998</v>
      </c>
      <c r="O322" s="53">
        <v>90.4</v>
      </c>
      <c r="P322" s="51">
        <v>113.8</v>
      </c>
      <c r="Q322" s="51">
        <v>23.8</v>
      </c>
      <c r="R322" s="51">
        <v>90</v>
      </c>
      <c r="S322" s="51"/>
      <c r="T322" s="51">
        <v>18.100000000000001</v>
      </c>
      <c r="U322" s="51">
        <v>22.3</v>
      </c>
      <c r="V322" s="51">
        <v>17.8</v>
      </c>
      <c r="W322" s="51">
        <v>4.5</v>
      </c>
      <c r="X322" s="51" t="s">
        <v>264</v>
      </c>
      <c r="Y322" s="51" t="e">
        <v>#VALUE!</v>
      </c>
      <c r="Z322" s="51">
        <v>124</v>
      </c>
      <c r="AA322" s="51" t="e">
        <v>#VALUE!</v>
      </c>
      <c r="AB322" s="51" t="e">
        <v>#VALUE!</v>
      </c>
      <c r="AC322" s="51" t="s">
        <v>264</v>
      </c>
      <c r="AD322" s="51">
        <v>52.1</v>
      </c>
      <c r="AE322" s="51">
        <v>53.3</v>
      </c>
      <c r="AF322" s="51">
        <v>230</v>
      </c>
      <c r="AG322" s="51">
        <v>204.9</v>
      </c>
      <c r="AH322" s="51">
        <v>25.1</v>
      </c>
      <c r="AI322" s="51">
        <v>218.7</v>
      </c>
      <c r="AJ322" s="55"/>
      <c r="AK322" s="55"/>
      <c r="AL322" s="51">
        <v>133.80000000000001</v>
      </c>
      <c r="AM322" s="51">
        <v>81.3</v>
      </c>
      <c r="AN322" s="51">
        <v>52.5</v>
      </c>
      <c r="AO322" s="51">
        <v>3225</v>
      </c>
      <c r="AP322" s="51">
        <v>263.60000000000002</v>
      </c>
      <c r="AQ322" s="51">
        <v>249.8</v>
      </c>
      <c r="AR322" s="51">
        <v>39.9</v>
      </c>
      <c r="AS322" s="51">
        <v>129.30000000000001</v>
      </c>
      <c r="AT322" s="51">
        <v>64.400000000000006</v>
      </c>
      <c r="AU322" s="51">
        <v>81.8</v>
      </c>
      <c r="AV322" s="51">
        <v>25.3</v>
      </c>
      <c r="AW322" s="51">
        <v>11.7</v>
      </c>
      <c r="AX322" s="51">
        <v>2</v>
      </c>
      <c r="AY322" s="51" t="s">
        <v>264</v>
      </c>
      <c r="AZ322" s="51" t="s">
        <v>264</v>
      </c>
      <c r="BA322" s="51" t="s">
        <v>264</v>
      </c>
      <c r="BB322" s="51" t="s">
        <v>264</v>
      </c>
      <c r="BC322" s="55"/>
      <c r="BD322" s="53">
        <v>167.4</v>
      </c>
      <c r="BE322" s="53">
        <v>30.1</v>
      </c>
      <c r="BF322" s="53">
        <v>88.6</v>
      </c>
      <c r="BG322" s="53">
        <v>10.3</v>
      </c>
      <c r="BH322" s="53">
        <v>342.8</v>
      </c>
      <c r="BI322" s="53">
        <v>128.80000000000001</v>
      </c>
      <c r="BJ322" s="53">
        <v>102.1</v>
      </c>
      <c r="BK322" s="53">
        <v>230.9</v>
      </c>
      <c r="BL322" s="55"/>
      <c r="BM322" s="53">
        <v>573.70000000000005</v>
      </c>
      <c r="BN322" s="53">
        <v>197.6</v>
      </c>
      <c r="BO322" s="53">
        <v>101.2</v>
      </c>
      <c r="BP322" s="53">
        <v>17.899999999999999</v>
      </c>
      <c r="BQ322" s="53">
        <v>119.1</v>
      </c>
      <c r="BR322" s="55"/>
      <c r="BS322" s="53">
        <v>316.7</v>
      </c>
      <c r="BT322" s="53">
        <v>21.5</v>
      </c>
      <c r="BU322" s="53">
        <v>9.5</v>
      </c>
      <c r="BV322" s="51" t="s">
        <v>264</v>
      </c>
      <c r="BW322" s="51" t="s">
        <v>264</v>
      </c>
      <c r="BX322" s="51">
        <v>406.8</v>
      </c>
      <c r="BY322" s="51" t="s">
        <v>264</v>
      </c>
      <c r="BZ322" s="51" t="s">
        <v>264</v>
      </c>
      <c r="CA322" s="51">
        <v>43.3</v>
      </c>
      <c r="CB322" s="53">
        <v>113.2</v>
      </c>
      <c r="CC322" s="53">
        <v>19.7</v>
      </c>
      <c r="CD322" s="53">
        <v>124.3</v>
      </c>
      <c r="CE322" s="53">
        <v>13.3</v>
      </c>
      <c r="CF322" s="53">
        <v>116.9</v>
      </c>
      <c r="CG322" s="53">
        <v>95.1</v>
      </c>
      <c r="CH322" s="53">
        <v>6.6</v>
      </c>
      <c r="CI322" s="53">
        <v>33.200000000000003</v>
      </c>
      <c r="CJ322" s="53">
        <v>8.4</v>
      </c>
      <c r="CK322" s="53">
        <v>171.7</v>
      </c>
      <c r="CL322" s="53">
        <v>22.5</v>
      </c>
      <c r="CM322" s="55"/>
      <c r="CN322" s="53">
        <v>53.1</v>
      </c>
      <c r="CO322" s="53">
        <v>227.9</v>
      </c>
      <c r="CP322" s="53">
        <v>173</v>
      </c>
      <c r="CQ322" s="53">
        <v>54.9</v>
      </c>
      <c r="CR322" s="53" t="s">
        <v>264</v>
      </c>
      <c r="CS322" s="12">
        <v>29.1</v>
      </c>
      <c r="CT322" s="53" t="e">
        <v>#VALUE!</v>
      </c>
      <c r="CU322" s="53" t="e">
        <v>#VALUE!</v>
      </c>
      <c r="CV322" s="53">
        <v>189.7</v>
      </c>
      <c r="CW322" s="53" t="e">
        <v>#VALUE!</v>
      </c>
      <c r="CX322" s="53" t="e">
        <v>#VALUE!</v>
      </c>
      <c r="CY322" s="53" t="e">
        <v>#VALUE!</v>
      </c>
      <c r="CZ322" s="53">
        <v>103.9</v>
      </c>
      <c r="DA322" s="12">
        <v>13.1</v>
      </c>
      <c r="DB322" s="53" t="e">
        <v>#VALUE!</v>
      </c>
      <c r="DC322" s="53" t="e">
        <v>#VALUE!</v>
      </c>
      <c r="DD322" s="55"/>
      <c r="DE322" s="55"/>
      <c r="DF322" s="55"/>
      <c r="DG322" s="55"/>
      <c r="DH322" s="55"/>
      <c r="DI322" s="53">
        <v>674.8</v>
      </c>
      <c r="DJ322" s="53">
        <v>398.8</v>
      </c>
      <c r="DK322" s="55"/>
      <c r="DL322" s="55"/>
      <c r="DM322" s="53">
        <v>508.9</v>
      </c>
      <c r="DN322" s="55"/>
      <c r="DO322" s="53">
        <v>197.3</v>
      </c>
      <c r="DP322" s="53">
        <v>295.2</v>
      </c>
      <c r="DQ322" s="55"/>
      <c r="DR322" s="55"/>
      <c r="DS322" s="53">
        <v>2352.6529999999998</v>
      </c>
      <c r="DT322" s="53">
        <v>4385.6000000000004</v>
      </c>
      <c r="DU322" s="53">
        <v>42.052999999999884</v>
      </c>
      <c r="DV322" s="53">
        <v>0</v>
      </c>
      <c r="DW322" s="55"/>
      <c r="DX322" s="55"/>
      <c r="DY322" s="55"/>
      <c r="DZ322" s="55"/>
      <c r="EA322" s="53">
        <v>334.9</v>
      </c>
      <c r="EB322" s="53">
        <v>244.6</v>
      </c>
      <c r="EC322" s="55"/>
      <c r="ED322" s="55"/>
      <c r="EE322" s="53">
        <v>84</v>
      </c>
      <c r="EF322" s="55"/>
      <c r="EG322" s="53" t="e">
        <v>#VALUE!</v>
      </c>
      <c r="EH322" s="53" t="e">
        <v>#VALUE!</v>
      </c>
      <c r="EI322" s="55"/>
      <c r="EJ322" s="55"/>
      <c r="EK322" s="53">
        <v>908.40599999999995</v>
      </c>
      <c r="EL322" s="53">
        <v>1921</v>
      </c>
      <c r="EM322" s="55"/>
      <c r="EN322" s="55"/>
      <c r="EO322" s="55"/>
      <c r="EP322" s="55"/>
      <c r="EQ322" s="53">
        <v>267.7</v>
      </c>
      <c r="ER322" s="53">
        <v>154.80000000000001</v>
      </c>
      <c r="ES322" s="55"/>
      <c r="ET322" s="55"/>
      <c r="EU322" s="53">
        <v>198.3</v>
      </c>
      <c r="EV322" s="55"/>
      <c r="EW322" s="53">
        <v>76</v>
      </c>
      <c r="EX322" s="53">
        <v>115.8</v>
      </c>
      <c r="EY322" s="55"/>
      <c r="EZ322" s="55"/>
      <c r="FA322" s="53">
        <v>912.18600000000004</v>
      </c>
      <c r="FB322" s="53">
        <v>1710.5</v>
      </c>
      <c r="FC322" s="55"/>
      <c r="FD322" s="55"/>
      <c r="FE322" s="55"/>
      <c r="FF322" s="55"/>
      <c r="FG322" s="53">
        <v>532.9</v>
      </c>
      <c r="FH322" s="53">
        <v>315.10000000000002</v>
      </c>
      <c r="FI322" s="55"/>
      <c r="FJ322" s="55"/>
      <c r="FK322" s="53">
        <v>405.1</v>
      </c>
      <c r="FL322" s="55"/>
      <c r="FM322" s="53">
        <v>155.4</v>
      </c>
      <c r="FN322" s="53">
        <v>239.1</v>
      </c>
      <c r="FO322" s="55"/>
      <c r="FP322" s="55"/>
      <c r="FQ322" s="53">
        <v>1869.846</v>
      </c>
      <c r="FR322" s="53">
        <v>3482.8</v>
      </c>
      <c r="FS322" s="55"/>
      <c r="FT322" s="55"/>
      <c r="FU322" s="55"/>
      <c r="FV322" s="55"/>
      <c r="FW322" s="53" t="s">
        <v>265</v>
      </c>
      <c r="FX322" s="53">
        <v>131.9</v>
      </c>
      <c r="FY322" s="55"/>
      <c r="FZ322" s="55"/>
      <c r="GA322" s="53">
        <v>116.9</v>
      </c>
      <c r="GB322" s="55"/>
      <c r="GC322" s="53">
        <v>73.3</v>
      </c>
      <c r="GD322" s="53" t="s">
        <v>265</v>
      </c>
      <c r="GE322" s="55"/>
      <c r="GF322" s="55"/>
      <c r="GG322" s="53">
        <v>502.05900000000003</v>
      </c>
      <c r="GH322" s="53">
        <v>1292.4000000000001</v>
      </c>
      <c r="GI322" s="55"/>
      <c r="GJ322" s="55"/>
      <c r="GK322" s="55"/>
      <c r="GL322" s="55"/>
      <c r="GM322" s="53">
        <v>60</v>
      </c>
      <c r="GN322" s="53">
        <v>31.6</v>
      </c>
      <c r="GO322" s="55"/>
      <c r="GP322" s="55"/>
      <c r="GQ322" s="53">
        <v>31.4</v>
      </c>
      <c r="GR322" s="55"/>
      <c r="GS322" s="53" t="e">
        <v>#VALUE!</v>
      </c>
      <c r="GT322" s="53">
        <v>14.1</v>
      </c>
      <c r="GU322" s="55"/>
      <c r="GV322" s="55"/>
      <c r="GW322" s="53">
        <v>164.34700000000001</v>
      </c>
      <c r="GX322" s="53">
        <v>303.5</v>
      </c>
      <c r="GY322" s="19">
        <v>0.97483908718548851</v>
      </c>
      <c r="GZ322" s="53">
        <v>1332.8</v>
      </c>
      <c r="HA322" s="53">
        <v>1367.2</v>
      </c>
      <c r="HB322" s="18">
        <v>-24.659678196000868</v>
      </c>
      <c r="HC322" s="18">
        <v>60.809471744399389</v>
      </c>
      <c r="HD322" s="18">
        <v>1519.1403218039991</v>
      </c>
      <c r="HE322" s="18">
        <v>-36.400000000000091</v>
      </c>
      <c r="HF322" s="53">
        <v>1543.8</v>
      </c>
      <c r="HG322" s="53">
        <v>1336.5</v>
      </c>
      <c r="HH322" s="53">
        <v>508.1</v>
      </c>
      <c r="HI322" s="53">
        <v>77.357740000000007</v>
      </c>
      <c r="HJ322" s="53">
        <v>742.1</v>
      </c>
      <c r="HK322" s="53">
        <v>9</v>
      </c>
      <c r="HL322" s="53">
        <v>207.3</v>
      </c>
      <c r="HM322" s="53">
        <v>160.80000000000001</v>
      </c>
      <c r="HN322" s="53">
        <v>14.8</v>
      </c>
      <c r="HO322" s="53">
        <v>146</v>
      </c>
      <c r="HP322" s="55"/>
      <c r="HQ322" s="53">
        <v>7.9</v>
      </c>
      <c r="HR322" s="53">
        <v>8.6999999999999993</v>
      </c>
      <c r="HS322" s="55"/>
      <c r="HT322" s="53">
        <v>29.9</v>
      </c>
      <c r="HU322" s="55"/>
      <c r="HV322" s="55"/>
      <c r="HW322" s="53">
        <v>324.39999999999998</v>
      </c>
      <c r="HX322" s="53" t="s">
        <v>266</v>
      </c>
      <c r="HY322" s="53">
        <v>324.39999999999998</v>
      </c>
      <c r="HZ322" s="53" t="s">
        <v>265</v>
      </c>
      <c r="IA322" s="53">
        <v>223.8</v>
      </c>
      <c r="IB322" s="53">
        <v>94.3</v>
      </c>
      <c r="IC322" s="53">
        <v>129.5</v>
      </c>
      <c r="ID322" s="53">
        <v>74.900000000000006</v>
      </c>
      <c r="IE322" s="53">
        <v>54.6</v>
      </c>
      <c r="IF322" s="55"/>
      <c r="IG322" s="55"/>
      <c r="IH322" s="55"/>
      <c r="II322" s="55"/>
      <c r="IJ322" s="55"/>
      <c r="IK322" s="55"/>
      <c r="IL322" s="53" t="s">
        <v>265</v>
      </c>
      <c r="IM322" s="55"/>
      <c r="IN322" s="53">
        <v>71.2</v>
      </c>
      <c r="IO322" s="53">
        <v>71.599999999999994</v>
      </c>
      <c r="IP322" s="53" t="s">
        <v>265</v>
      </c>
      <c r="IQ322" s="53">
        <v>77.900000000000006</v>
      </c>
      <c r="IR322" s="53">
        <v>12.8</v>
      </c>
      <c r="IS322" s="55"/>
      <c r="IT322" s="53">
        <v>63.3</v>
      </c>
      <c r="IU322" s="53">
        <v>1.7</v>
      </c>
      <c r="IV322" s="53" t="s">
        <v>265</v>
      </c>
      <c r="IY322" s="48">
        <f t="shared" si="14"/>
        <v>47.539219263042689</v>
      </c>
      <c r="IZ322" s="48">
        <f>IY322-'NOPA Crush'!J322</f>
        <v>6.9219263042690216E-2</v>
      </c>
      <c r="JB322" s="63">
        <f t="shared" ref="JB322:JB372" si="15">K322/(B322/30)</f>
        <v>11.7007935060197</v>
      </c>
      <c r="JC322" s="64">
        <f>JB322-'NOPA Crush'!O322</f>
        <v>-6.9206493980299655E-2</v>
      </c>
      <c r="JD322" s="65"/>
      <c r="JE322" s="67">
        <f t="shared" si="13"/>
        <v>3004.5170000000003</v>
      </c>
      <c r="JF322" s="68">
        <f>'NOPA Crush'!Q322/'Census Crush'!JE322</f>
        <v>0.83026356649005484</v>
      </c>
    </row>
    <row r="323" spans="1:266">
      <c r="A323" s="39">
        <v>38869</v>
      </c>
      <c r="B323" s="51">
        <v>4123.2</v>
      </c>
      <c r="C323" s="51">
        <v>1893.7</v>
      </c>
      <c r="D323" s="51">
        <v>227.2</v>
      </c>
      <c r="E323" s="51">
        <v>840.3</v>
      </c>
      <c r="F323" s="51">
        <v>18.2</v>
      </c>
      <c r="G323" s="51" t="s">
        <v>264</v>
      </c>
      <c r="H323" s="51" t="s">
        <v>264</v>
      </c>
      <c r="I323" s="51" t="s">
        <v>264</v>
      </c>
      <c r="J323" s="51" t="s">
        <v>264</v>
      </c>
      <c r="K323" s="51">
        <v>1608.7</v>
      </c>
      <c r="L323" s="49">
        <v>3050.1829999999995</v>
      </c>
      <c r="M323" s="9">
        <v>2731.8999999999996</v>
      </c>
      <c r="N323" s="51">
        <v>318.28300000000002</v>
      </c>
      <c r="O323" s="53">
        <v>70.400000000000006</v>
      </c>
      <c r="P323" s="51">
        <v>105.8</v>
      </c>
      <c r="Q323" s="51">
        <v>17.8</v>
      </c>
      <c r="R323" s="51">
        <v>88</v>
      </c>
      <c r="S323" s="51"/>
      <c r="T323" s="51">
        <v>15.6</v>
      </c>
      <c r="U323" s="51">
        <v>23.799999999999997</v>
      </c>
      <c r="V323" s="51">
        <v>19.399999999999999</v>
      </c>
      <c r="W323" s="51">
        <v>4.4000000000000004</v>
      </c>
      <c r="X323" s="51" t="s">
        <v>264</v>
      </c>
      <c r="Y323" s="51" t="e">
        <v>#VALUE!</v>
      </c>
      <c r="Z323" s="51">
        <v>107.6</v>
      </c>
      <c r="AA323" s="51" t="e">
        <v>#VALUE!</v>
      </c>
      <c r="AB323" s="51" t="e">
        <v>#VALUE!</v>
      </c>
      <c r="AC323" s="51" t="s">
        <v>264</v>
      </c>
      <c r="AD323" s="51">
        <v>58</v>
      </c>
      <c r="AE323" s="51">
        <v>59.4</v>
      </c>
      <c r="AF323" s="51">
        <v>325.60000000000002</v>
      </c>
      <c r="AG323" s="51">
        <v>298.3</v>
      </c>
      <c r="AH323" s="51">
        <v>27.3</v>
      </c>
      <c r="AI323" s="51">
        <v>206.7</v>
      </c>
      <c r="AJ323" s="55"/>
      <c r="AK323" s="55"/>
      <c r="AL323" s="51">
        <v>160.60000000000002</v>
      </c>
      <c r="AM323" s="51">
        <v>94.7</v>
      </c>
      <c r="AN323" s="51">
        <v>65.900000000000006</v>
      </c>
      <c r="AO323" s="51">
        <v>3014.9</v>
      </c>
      <c r="AP323" s="51">
        <v>231.6</v>
      </c>
      <c r="AQ323" s="51">
        <v>236</v>
      </c>
      <c r="AR323" s="51">
        <v>34.6</v>
      </c>
      <c r="AS323" s="51">
        <v>107.2</v>
      </c>
      <c r="AT323" s="51">
        <v>68.900000000000006</v>
      </c>
      <c r="AU323" s="51">
        <v>73.400000000000006</v>
      </c>
      <c r="AV323" s="51">
        <v>25.8</v>
      </c>
      <c r="AW323" s="51">
        <v>9.9</v>
      </c>
      <c r="AX323" s="55"/>
      <c r="AY323" s="51" t="s">
        <v>264</v>
      </c>
      <c r="AZ323" s="51" t="s">
        <v>264</v>
      </c>
      <c r="BA323" s="51" t="s">
        <v>264</v>
      </c>
      <c r="BB323" s="51" t="s">
        <v>264</v>
      </c>
      <c r="BC323" s="55"/>
      <c r="BD323" s="53">
        <v>168.9</v>
      </c>
      <c r="BE323" s="53">
        <v>29.8</v>
      </c>
      <c r="BF323" s="53">
        <v>87.7</v>
      </c>
      <c r="BG323" s="53">
        <v>11.2</v>
      </c>
      <c r="BH323" s="53">
        <v>337</v>
      </c>
      <c r="BI323" s="53">
        <v>119.7</v>
      </c>
      <c r="BJ323" s="53">
        <v>109.8</v>
      </c>
      <c r="BK323" s="53">
        <v>229.5</v>
      </c>
      <c r="BL323" s="55"/>
      <c r="BM323" s="53">
        <v>566.5</v>
      </c>
      <c r="BN323" s="53">
        <v>210.9</v>
      </c>
      <c r="BO323" s="53">
        <v>112.8</v>
      </c>
      <c r="BP323" s="53">
        <v>31</v>
      </c>
      <c r="BQ323" s="53">
        <v>143.80000000000001</v>
      </c>
      <c r="BR323" s="55"/>
      <c r="BS323" s="53">
        <v>354.70000000000005</v>
      </c>
      <c r="BT323" s="53">
        <v>19.399999999999999</v>
      </c>
      <c r="BU323" s="53">
        <v>13</v>
      </c>
      <c r="BV323" s="51" t="s">
        <v>264</v>
      </c>
      <c r="BW323" s="51" t="s">
        <v>264</v>
      </c>
      <c r="BX323" s="51">
        <v>408.3</v>
      </c>
      <c r="BY323" s="51" t="s">
        <v>264</v>
      </c>
      <c r="BZ323" s="51" t="s">
        <v>264</v>
      </c>
      <c r="CA323" s="51">
        <v>45.6</v>
      </c>
      <c r="CB323" s="53">
        <v>111.5</v>
      </c>
      <c r="CC323" s="53">
        <v>18</v>
      </c>
      <c r="CD323" s="53">
        <v>124.6</v>
      </c>
      <c r="CE323" s="53">
        <v>19.2</v>
      </c>
      <c r="CF323" s="53">
        <v>101.6</v>
      </c>
      <c r="CG323" s="53">
        <v>94.3</v>
      </c>
      <c r="CH323" s="53">
        <v>4.5</v>
      </c>
      <c r="CI323" s="53">
        <v>32.9</v>
      </c>
      <c r="CJ323" s="53">
        <v>9.6</v>
      </c>
      <c r="CK323" s="53">
        <v>169.1</v>
      </c>
      <c r="CL323" s="53">
        <v>23.1</v>
      </c>
      <c r="CM323" s="55"/>
      <c r="CN323" s="53">
        <v>55.8</v>
      </c>
      <c r="CO323" s="53">
        <v>212.6</v>
      </c>
      <c r="CP323" s="53">
        <v>155.5</v>
      </c>
      <c r="CQ323" s="53">
        <v>57.1</v>
      </c>
      <c r="CR323" s="53" t="s">
        <v>264</v>
      </c>
      <c r="CS323" s="12">
        <v>21.7</v>
      </c>
      <c r="CT323" s="53" t="e">
        <v>#VALUE!</v>
      </c>
      <c r="CU323" s="53" t="e">
        <v>#VALUE!</v>
      </c>
      <c r="CV323" s="53">
        <v>224.6</v>
      </c>
      <c r="CW323" s="53" t="e">
        <v>#VALUE!</v>
      </c>
      <c r="CX323" s="53" t="e">
        <v>#VALUE!</v>
      </c>
      <c r="CY323" s="53" t="e">
        <v>#VALUE!</v>
      </c>
      <c r="CZ323" s="53">
        <v>104.1</v>
      </c>
      <c r="DA323" s="12">
        <v>9.9</v>
      </c>
      <c r="DB323" s="53" t="e">
        <v>#VALUE!</v>
      </c>
      <c r="DC323" s="53" t="e">
        <v>#VALUE!</v>
      </c>
      <c r="DD323" s="55"/>
      <c r="DE323" s="55"/>
      <c r="DF323" s="55"/>
      <c r="DG323" s="55"/>
      <c r="DH323" s="55"/>
      <c r="DI323" s="53">
        <v>489.6</v>
      </c>
      <c r="DJ323" s="53">
        <v>425.5</v>
      </c>
      <c r="DK323" s="55"/>
      <c r="DL323" s="55"/>
      <c r="DM323" s="53">
        <v>426.6</v>
      </c>
      <c r="DN323" s="55"/>
      <c r="DO323" s="53">
        <v>178.5</v>
      </c>
      <c r="DP323" s="53">
        <v>282.7</v>
      </c>
      <c r="DQ323" s="55"/>
      <c r="DR323" s="55"/>
      <c r="DS323" s="53">
        <v>2381.08</v>
      </c>
      <c r="DT323" s="53">
        <v>4123.2</v>
      </c>
      <c r="DU323" s="53">
        <v>60.779999999999745</v>
      </c>
      <c r="DV323" s="53">
        <v>0</v>
      </c>
      <c r="DW323" s="55"/>
      <c r="DX323" s="55"/>
      <c r="DY323" s="55"/>
      <c r="DZ323" s="55"/>
      <c r="EA323" s="53">
        <v>349.3</v>
      </c>
      <c r="EB323" s="53">
        <v>172.3</v>
      </c>
      <c r="EC323" s="55"/>
      <c r="ED323" s="55"/>
      <c r="EE323" s="53">
        <v>149.80000000000001</v>
      </c>
      <c r="EF323" s="55"/>
      <c r="EG323" s="53">
        <v>88.152000000000001</v>
      </c>
      <c r="EH323" s="53">
        <v>129.30000000000001</v>
      </c>
      <c r="EI323" s="55"/>
      <c r="EJ323" s="55"/>
      <c r="EK323" s="53">
        <v>951.87699999999995</v>
      </c>
      <c r="EL323" s="53">
        <v>1893.7</v>
      </c>
      <c r="EM323" s="55"/>
      <c r="EN323" s="55"/>
      <c r="EO323" s="55"/>
      <c r="EP323" s="55"/>
      <c r="EQ323" s="53">
        <v>198.9</v>
      </c>
      <c r="ER323" s="53">
        <v>162.4</v>
      </c>
      <c r="ES323" s="55"/>
      <c r="ET323" s="55"/>
      <c r="EU323" s="53">
        <v>168.2</v>
      </c>
      <c r="EV323" s="55"/>
      <c r="EW323" s="53">
        <v>68.599999999999994</v>
      </c>
      <c r="EX323" s="53">
        <v>109</v>
      </c>
      <c r="EY323" s="55"/>
      <c r="EZ323" s="55"/>
      <c r="FA323" s="53">
        <v>926.41700000000003</v>
      </c>
      <c r="FB323" s="53">
        <v>1608.7</v>
      </c>
      <c r="FC323" s="55"/>
      <c r="FD323" s="55"/>
      <c r="FE323" s="55"/>
      <c r="FF323" s="55"/>
      <c r="FG323" s="53">
        <v>382.8</v>
      </c>
      <c r="FH323" s="53">
        <v>332</v>
      </c>
      <c r="FI323" s="55"/>
      <c r="FJ323" s="55"/>
      <c r="FK323" s="53">
        <v>335.2</v>
      </c>
      <c r="FL323" s="55"/>
      <c r="FM323" s="53">
        <v>140.4</v>
      </c>
      <c r="FN323" s="53">
        <v>227.7</v>
      </c>
      <c r="FO323" s="55"/>
      <c r="FP323" s="55"/>
      <c r="FQ323" s="53">
        <v>1886.8309999999999</v>
      </c>
      <c r="FR323" s="53">
        <v>3258.4</v>
      </c>
      <c r="FS323" s="55"/>
      <c r="FT323" s="55"/>
      <c r="FU323" s="55"/>
      <c r="FV323" s="55"/>
      <c r="FW323" s="53" t="s">
        <v>265</v>
      </c>
      <c r="FX323" s="53">
        <v>125.9</v>
      </c>
      <c r="FY323" s="55"/>
      <c r="FZ323" s="55"/>
      <c r="GA323" s="53">
        <v>98.6</v>
      </c>
      <c r="GB323" s="55"/>
      <c r="GC323" s="53">
        <v>64.7</v>
      </c>
      <c r="GD323" s="53" t="s">
        <v>265</v>
      </c>
      <c r="GE323" s="55"/>
      <c r="GF323" s="55"/>
      <c r="GG323" s="53">
        <v>517.22400000000005</v>
      </c>
      <c r="GH323" s="53">
        <v>1282.7</v>
      </c>
      <c r="GI323" s="55"/>
      <c r="GJ323" s="55"/>
      <c r="GK323" s="55"/>
      <c r="GL323" s="55"/>
      <c r="GM323" s="53">
        <v>47.7</v>
      </c>
      <c r="GN323" s="53">
        <v>27.6</v>
      </c>
      <c r="GO323" s="55"/>
      <c r="GP323" s="55"/>
      <c r="GQ323" s="53">
        <v>25.1</v>
      </c>
      <c r="GR323" s="55"/>
      <c r="GS323" s="53">
        <v>3.2</v>
      </c>
      <c r="GT323" s="53">
        <v>9.9</v>
      </c>
      <c r="GU323" s="55"/>
      <c r="GV323" s="55"/>
      <c r="GW323" s="53">
        <v>163.27600000000001</v>
      </c>
      <c r="GX323" s="53">
        <v>266.2</v>
      </c>
      <c r="GY323" s="19">
        <v>0.97357022245062774</v>
      </c>
      <c r="GZ323" s="53">
        <v>1326.1</v>
      </c>
      <c r="HA323" s="53">
        <v>1362.1</v>
      </c>
      <c r="HB323" s="18">
        <v>-108.65801466939911</v>
      </c>
      <c r="HC323" s="18">
        <v>1.8416725754011622</v>
      </c>
      <c r="HD323" s="18">
        <v>1483.3419853306009</v>
      </c>
      <c r="HE323" s="18">
        <v>118.59999999999991</v>
      </c>
      <c r="HF323" s="53">
        <v>1592</v>
      </c>
      <c r="HG323" s="53">
        <v>1358.8</v>
      </c>
      <c r="HH323" s="53">
        <v>511</v>
      </c>
      <c r="HI323" s="53">
        <v>83.480800000000002</v>
      </c>
      <c r="HJ323" s="53">
        <v>754.7</v>
      </c>
      <c r="HK323" s="53">
        <v>9.6</v>
      </c>
      <c r="HL323" s="53">
        <v>233.2</v>
      </c>
      <c r="HM323" s="53">
        <v>185.3</v>
      </c>
      <c r="HN323" s="53">
        <v>18.7</v>
      </c>
      <c r="HO323" s="53">
        <v>166.6</v>
      </c>
      <c r="HP323" s="55"/>
      <c r="HQ323" s="53">
        <v>7.2</v>
      </c>
      <c r="HR323" s="53">
        <v>9.3000000000000007</v>
      </c>
      <c r="HS323" s="55"/>
      <c r="HT323" s="53">
        <v>31.4</v>
      </c>
      <c r="HU323" s="55"/>
      <c r="HV323" s="55"/>
      <c r="HW323" s="53">
        <v>331.9</v>
      </c>
      <c r="HX323" s="53" t="s">
        <v>266</v>
      </c>
      <c r="HY323" s="53">
        <v>331.9</v>
      </c>
      <c r="HZ323" s="53" t="s">
        <v>265</v>
      </c>
      <c r="IA323" s="53">
        <v>223.7</v>
      </c>
      <c r="IB323" s="53">
        <v>93.4</v>
      </c>
      <c r="IC323" s="53">
        <v>130.30000000000001</v>
      </c>
      <c r="ID323" s="53">
        <v>68.8</v>
      </c>
      <c r="IE323" s="53">
        <v>61.5</v>
      </c>
      <c r="IF323" s="55"/>
      <c r="IG323" s="55"/>
      <c r="IH323" s="55"/>
      <c r="II323" s="55"/>
      <c r="IJ323" s="55"/>
      <c r="IK323" s="55"/>
      <c r="IL323" s="53" t="s">
        <v>265</v>
      </c>
      <c r="IM323" s="55"/>
      <c r="IN323" s="53">
        <v>60.8</v>
      </c>
      <c r="IO323" s="53">
        <v>61.2</v>
      </c>
      <c r="IP323" s="53" t="s">
        <v>265</v>
      </c>
      <c r="IQ323" s="53">
        <v>72.5</v>
      </c>
      <c r="IR323" s="53">
        <v>12.3</v>
      </c>
      <c r="IS323" s="55"/>
      <c r="IT323" s="53">
        <v>58.8</v>
      </c>
      <c r="IU323" s="53">
        <v>1.4</v>
      </c>
      <c r="IV323" s="53" t="s">
        <v>265</v>
      </c>
      <c r="IY323" s="48">
        <f t="shared" si="14"/>
        <v>47.306461001164145</v>
      </c>
      <c r="IZ323" s="48">
        <f>IY323-'NOPA Crush'!J323</f>
        <v>0.13646100116414317</v>
      </c>
      <c r="JB323" s="63">
        <f t="shared" si="15"/>
        <v>11.704743888242142</v>
      </c>
      <c r="JC323" s="64">
        <f>JB323-'NOPA Crush'!O323</f>
        <v>-4.5256111757858264E-2</v>
      </c>
      <c r="JD323" s="65"/>
      <c r="JE323" s="67">
        <f t="shared" ref="JE323:JE384" si="16">L323</f>
        <v>3050.1829999999995</v>
      </c>
      <c r="JF323" s="68">
        <f>'NOPA Crush'!Q323/'Census Crush'!JE323</f>
        <v>0.83355621613522868</v>
      </c>
    </row>
    <row r="324" spans="1:266">
      <c r="A324" s="39">
        <v>38899</v>
      </c>
      <c r="B324" s="51">
        <v>4454.7</v>
      </c>
      <c r="C324" s="51">
        <v>1544.3</v>
      </c>
      <c r="D324" s="51">
        <v>203.4</v>
      </c>
      <c r="E324" s="51">
        <v>601.5</v>
      </c>
      <c r="F324" s="51">
        <v>18.5</v>
      </c>
      <c r="G324" s="51" t="s">
        <v>264</v>
      </c>
      <c r="H324" s="51" t="s">
        <v>264</v>
      </c>
      <c r="I324" s="51" t="s">
        <v>264</v>
      </c>
      <c r="J324" s="51" t="s">
        <v>264</v>
      </c>
      <c r="K324" s="51">
        <v>1737</v>
      </c>
      <c r="L324" s="49">
        <v>3244.232</v>
      </c>
      <c r="M324" s="9">
        <v>2911</v>
      </c>
      <c r="N324" s="51">
        <v>333.23200000000003</v>
      </c>
      <c r="O324" s="53">
        <v>68.099999999999994</v>
      </c>
      <c r="P324" s="51">
        <v>95.6</v>
      </c>
      <c r="Q324" s="51">
        <v>19.600000000000001</v>
      </c>
      <c r="R324" s="51">
        <v>76</v>
      </c>
      <c r="S324" s="51"/>
      <c r="T324" s="51">
        <v>15.7</v>
      </c>
      <c r="U324" s="51">
        <v>36.1</v>
      </c>
      <c r="V324" s="51">
        <v>32.200000000000003</v>
      </c>
      <c r="W324" s="51">
        <v>3.9</v>
      </c>
      <c r="X324" s="51" t="s">
        <v>264</v>
      </c>
      <c r="Y324" s="51" t="e">
        <v>#VALUE!</v>
      </c>
      <c r="Z324" s="51">
        <v>89.3</v>
      </c>
      <c r="AA324" s="51" t="e">
        <v>#VALUE!</v>
      </c>
      <c r="AB324" s="51" t="e">
        <v>#VALUE!</v>
      </c>
      <c r="AC324" s="51" t="s">
        <v>264</v>
      </c>
      <c r="AD324" s="51">
        <v>64.7</v>
      </c>
      <c r="AE324" s="51">
        <v>66.400000000000006</v>
      </c>
      <c r="AF324" s="51">
        <v>216.5</v>
      </c>
      <c r="AG324" s="51">
        <v>188</v>
      </c>
      <c r="AH324" s="51">
        <v>28.5</v>
      </c>
      <c r="AI324" s="51">
        <v>215.3</v>
      </c>
      <c r="AJ324" s="55"/>
      <c r="AK324" s="55"/>
      <c r="AL324" s="51">
        <v>171.4</v>
      </c>
      <c r="AM324" s="51">
        <v>117.8</v>
      </c>
      <c r="AN324" s="51">
        <v>53.6</v>
      </c>
      <c r="AO324" s="51">
        <v>3251.7</v>
      </c>
      <c r="AP324" s="51">
        <v>331.6</v>
      </c>
      <c r="AQ324" s="51">
        <v>255.8</v>
      </c>
      <c r="AR324" s="51">
        <v>35</v>
      </c>
      <c r="AS324" s="51">
        <v>99</v>
      </c>
      <c r="AT324" s="51">
        <v>87.7</v>
      </c>
      <c r="AU324" s="51">
        <v>62.7</v>
      </c>
      <c r="AV324" s="51">
        <v>27.1</v>
      </c>
      <c r="AW324" s="51">
        <v>9.6999999999999993</v>
      </c>
      <c r="AX324" s="51">
        <v>2.2000000000000002</v>
      </c>
      <c r="AY324" s="51" t="s">
        <v>264</v>
      </c>
      <c r="AZ324" s="51" t="s">
        <v>264</v>
      </c>
      <c r="BA324" s="51" t="s">
        <v>264</v>
      </c>
      <c r="BB324" s="51" t="s">
        <v>264</v>
      </c>
      <c r="BC324" s="55"/>
      <c r="BD324" s="53">
        <v>155.80000000000001</v>
      </c>
      <c r="BE324" s="53">
        <v>38.200000000000003</v>
      </c>
      <c r="BF324" s="53">
        <v>81.599999999999994</v>
      </c>
      <c r="BG324" s="53">
        <v>9.6999999999999993</v>
      </c>
      <c r="BH324" s="53">
        <v>299.39999999999998</v>
      </c>
      <c r="BI324" s="53">
        <v>128.9</v>
      </c>
      <c r="BJ324" s="53">
        <v>95.6</v>
      </c>
      <c r="BK324" s="53">
        <v>224.5</v>
      </c>
      <c r="BL324" s="55"/>
      <c r="BM324" s="53">
        <v>523.9</v>
      </c>
      <c r="BN324" s="53">
        <v>174.9</v>
      </c>
      <c r="BO324" s="53">
        <v>98.6</v>
      </c>
      <c r="BP324" s="53">
        <v>18.7</v>
      </c>
      <c r="BQ324" s="53">
        <v>117.3</v>
      </c>
      <c r="BR324" s="55"/>
      <c r="BS324" s="53">
        <v>292.2</v>
      </c>
      <c r="BT324" s="53">
        <v>17.7</v>
      </c>
      <c r="BU324" s="53">
        <v>10.199999999999999</v>
      </c>
      <c r="BV324" s="51" t="s">
        <v>264</v>
      </c>
      <c r="BW324" s="51" t="s">
        <v>264</v>
      </c>
      <c r="BX324" s="51">
        <v>374.8</v>
      </c>
      <c r="BY324" s="51" t="s">
        <v>264</v>
      </c>
      <c r="BZ324" s="51" t="s">
        <v>264</v>
      </c>
      <c r="CA324" s="51">
        <v>40.799999999999997</v>
      </c>
      <c r="CB324" s="53">
        <v>101.8</v>
      </c>
      <c r="CC324" s="53">
        <v>16.7</v>
      </c>
      <c r="CD324" s="53">
        <v>115.1</v>
      </c>
      <c r="CE324" s="53">
        <v>15.5</v>
      </c>
      <c r="CF324" s="53">
        <v>103.8</v>
      </c>
      <c r="CG324" s="53">
        <v>82</v>
      </c>
      <c r="CH324" s="53">
        <v>5.0999999999999996</v>
      </c>
      <c r="CI324" s="53">
        <v>34.6</v>
      </c>
      <c r="CJ324" s="53">
        <v>12</v>
      </c>
      <c r="CK324" s="53">
        <v>153.6</v>
      </c>
      <c r="CL324" s="53">
        <v>19.3</v>
      </c>
      <c r="CM324" s="55"/>
      <c r="CN324" s="53">
        <v>45.9</v>
      </c>
      <c r="CO324" s="53">
        <v>204.8</v>
      </c>
      <c r="CP324" s="53">
        <v>142.30000000000001</v>
      </c>
      <c r="CQ324" s="53">
        <v>62.5</v>
      </c>
      <c r="CR324" s="53" t="s">
        <v>264</v>
      </c>
      <c r="CS324" s="12">
        <v>27.2</v>
      </c>
      <c r="CT324" s="53" t="e">
        <v>#VALUE!</v>
      </c>
      <c r="CU324" s="53" t="e">
        <v>#VALUE!</v>
      </c>
      <c r="CV324" s="53">
        <v>184.8</v>
      </c>
      <c r="CW324" s="53" t="e">
        <v>#VALUE!</v>
      </c>
      <c r="CX324" s="53" t="e">
        <v>#VALUE!</v>
      </c>
      <c r="CY324" s="53" t="e">
        <v>#VALUE!</v>
      </c>
      <c r="CZ324" s="53">
        <v>87.3</v>
      </c>
      <c r="DA324" s="12">
        <v>7.7</v>
      </c>
      <c r="DB324" s="53" t="e">
        <v>#VALUE!</v>
      </c>
      <c r="DC324" s="53" t="e">
        <v>#VALUE!</v>
      </c>
      <c r="DD324" s="55"/>
      <c r="DE324" s="55"/>
      <c r="DF324" s="55"/>
      <c r="DG324" s="55"/>
      <c r="DH324" s="55"/>
      <c r="DI324" s="53">
        <v>679.4</v>
      </c>
      <c r="DJ324" s="53">
        <v>412.9</v>
      </c>
      <c r="DK324" s="55"/>
      <c r="DL324" s="55"/>
      <c r="DM324" s="53">
        <v>498.1</v>
      </c>
      <c r="DN324" s="55"/>
      <c r="DO324" s="53">
        <v>201.7</v>
      </c>
      <c r="DP324" s="53">
        <v>279.10000000000002</v>
      </c>
      <c r="DQ324" s="55"/>
      <c r="DR324" s="55"/>
      <c r="DS324" s="53">
        <v>2415.25</v>
      </c>
      <c r="DT324" s="53">
        <v>4454.7</v>
      </c>
      <c r="DU324" s="53">
        <v>31.750000000000909</v>
      </c>
      <c r="DV324" s="53">
        <v>0</v>
      </c>
      <c r="DW324" s="55"/>
      <c r="DX324" s="55"/>
      <c r="DY324" s="55"/>
      <c r="DZ324" s="55"/>
      <c r="EA324" s="53">
        <v>302.39999999999998</v>
      </c>
      <c r="EB324" s="53">
        <v>111.4</v>
      </c>
      <c r="EC324" s="55"/>
      <c r="ED324" s="55"/>
      <c r="EE324" s="53">
        <v>133</v>
      </c>
      <c r="EF324" s="55"/>
      <c r="EG324" s="53">
        <v>83.504000000000005</v>
      </c>
      <c r="EH324" s="53" t="e">
        <v>#VALUE!</v>
      </c>
      <c r="EI324" s="55"/>
      <c r="EJ324" s="55"/>
      <c r="EK324" s="53">
        <v>809.49800000000005</v>
      </c>
      <c r="EL324" s="53">
        <v>1544.3</v>
      </c>
      <c r="EM324" s="55"/>
      <c r="EN324" s="55"/>
      <c r="EO324" s="55"/>
      <c r="EP324" s="55"/>
      <c r="EQ324" s="53">
        <v>269.39999999999998</v>
      </c>
      <c r="ER324" s="53">
        <v>158.4</v>
      </c>
      <c r="ES324" s="55"/>
      <c r="ET324" s="55"/>
      <c r="EU324" s="53">
        <v>195.7</v>
      </c>
      <c r="EV324" s="55"/>
      <c r="EW324" s="53">
        <v>77.7</v>
      </c>
      <c r="EX324" s="53">
        <v>107.9</v>
      </c>
      <c r="EY324" s="55"/>
      <c r="EZ324" s="55"/>
      <c r="FA324" s="53">
        <v>938.56899999999996</v>
      </c>
      <c r="FB324" s="53">
        <v>1737</v>
      </c>
      <c r="FC324" s="55"/>
      <c r="FD324" s="55"/>
      <c r="FE324" s="55"/>
      <c r="FF324" s="55"/>
      <c r="FG324" s="53">
        <v>535.1</v>
      </c>
      <c r="FH324" s="53">
        <v>324.5</v>
      </c>
      <c r="FI324" s="55"/>
      <c r="FJ324" s="55"/>
      <c r="FK324" s="53">
        <v>391</v>
      </c>
      <c r="FL324" s="55"/>
      <c r="FM324" s="53">
        <v>158.69999999999999</v>
      </c>
      <c r="FN324" s="53">
        <v>226.4</v>
      </c>
      <c r="FO324" s="55"/>
      <c r="FP324" s="55"/>
      <c r="FQ324" s="53">
        <v>1902.2190000000001</v>
      </c>
      <c r="FR324" s="53">
        <v>3515.7</v>
      </c>
      <c r="FS324" s="55"/>
      <c r="FT324" s="55"/>
      <c r="FU324" s="55"/>
      <c r="FV324" s="55"/>
      <c r="FW324" s="53">
        <v>334.7</v>
      </c>
      <c r="FX324" s="53">
        <v>159.30000000000001</v>
      </c>
      <c r="FY324" s="55"/>
      <c r="FZ324" s="55"/>
      <c r="GA324" s="53">
        <v>117.3</v>
      </c>
      <c r="GB324" s="55"/>
      <c r="GC324" s="53">
        <v>69.599999999999994</v>
      </c>
      <c r="GD324" s="53" t="s">
        <v>265</v>
      </c>
      <c r="GE324" s="55"/>
      <c r="GF324" s="55"/>
      <c r="GG324" s="53">
        <v>529.04</v>
      </c>
      <c r="GH324" s="53">
        <v>1403.2</v>
      </c>
      <c r="GI324" s="55"/>
      <c r="GJ324" s="55"/>
      <c r="GK324" s="55"/>
      <c r="GL324" s="55"/>
      <c r="GM324" s="53">
        <v>92.7</v>
      </c>
      <c r="GN324" s="53">
        <v>62.7</v>
      </c>
      <c r="GO324" s="55"/>
      <c r="GP324" s="55"/>
      <c r="GQ324" s="53">
        <v>44.3</v>
      </c>
      <c r="GR324" s="55"/>
      <c r="GS324" s="53" t="e">
        <v>#VALUE!</v>
      </c>
      <c r="GT324" s="53">
        <v>11</v>
      </c>
      <c r="GU324" s="55"/>
      <c r="GV324" s="55"/>
      <c r="GW324" s="53">
        <v>175.10300000000001</v>
      </c>
      <c r="GX324" s="53">
        <v>372.6</v>
      </c>
      <c r="GY324" s="19">
        <v>0.97275102650242629</v>
      </c>
      <c r="GZ324" s="53">
        <v>1303</v>
      </c>
      <c r="HA324" s="53">
        <v>1339.5</v>
      </c>
      <c r="HB324" s="18">
        <v>-32.227029132601274</v>
      </c>
      <c r="HC324" s="18">
        <v>70.504099257198504</v>
      </c>
      <c r="HD324" s="18">
        <v>1455.7729708673987</v>
      </c>
      <c r="HE324" s="18">
        <v>-11.200000000000045</v>
      </c>
      <c r="HF324" s="53">
        <v>1488</v>
      </c>
      <c r="HG324" s="53">
        <v>1283.5</v>
      </c>
      <c r="HH324" s="53">
        <v>504.4</v>
      </c>
      <c r="HI324" s="53">
        <v>63.616399999999999</v>
      </c>
      <c r="HJ324" s="53">
        <v>706.3</v>
      </c>
      <c r="HK324" s="53">
        <v>9.3000000000000007</v>
      </c>
      <c r="HL324" s="53">
        <v>204.5</v>
      </c>
      <c r="HM324" s="53">
        <v>163.5</v>
      </c>
      <c r="HN324" s="53">
        <v>41.9</v>
      </c>
      <c r="HO324" s="53">
        <v>121.6</v>
      </c>
      <c r="HP324" s="55"/>
      <c r="HQ324" s="53">
        <v>7.8</v>
      </c>
      <c r="HR324" s="53">
        <v>8.6</v>
      </c>
      <c r="HS324" s="55"/>
      <c r="HT324" s="53">
        <v>24.6</v>
      </c>
      <c r="HU324" s="55"/>
      <c r="HV324" s="55"/>
      <c r="HW324" s="53">
        <v>312.8</v>
      </c>
      <c r="HX324" s="53" t="s">
        <v>266</v>
      </c>
      <c r="HY324" s="53">
        <v>312.8</v>
      </c>
      <c r="HZ324" s="53" t="s">
        <v>265</v>
      </c>
      <c r="IA324" s="53">
        <v>213.5</v>
      </c>
      <c r="IB324" s="53">
        <v>92.1</v>
      </c>
      <c r="IC324" s="53">
        <v>121.4</v>
      </c>
      <c r="ID324" s="53">
        <v>68.7</v>
      </c>
      <c r="IE324" s="53">
        <v>52.7</v>
      </c>
      <c r="IF324" s="55"/>
      <c r="IG324" s="55"/>
      <c r="IH324" s="55"/>
      <c r="II324" s="55"/>
      <c r="IJ324" s="55"/>
      <c r="IK324" s="55"/>
      <c r="IL324" s="53" t="s">
        <v>265</v>
      </c>
      <c r="IM324" s="55"/>
      <c r="IN324" s="53">
        <v>52.3</v>
      </c>
      <c r="IO324" s="53">
        <v>52.6</v>
      </c>
      <c r="IP324" s="53" t="s">
        <v>265</v>
      </c>
      <c r="IQ324" s="53">
        <v>70.599999999999994</v>
      </c>
      <c r="IR324" s="53">
        <v>11.7</v>
      </c>
      <c r="IS324" s="55"/>
      <c r="IT324" s="53">
        <v>57.7</v>
      </c>
      <c r="IU324" s="53">
        <v>1.2</v>
      </c>
      <c r="IV324" s="53" t="s">
        <v>265</v>
      </c>
      <c r="IY324" s="48">
        <f t="shared" ref="IY324:IY384" si="17">((AO324+AQ324)*2)/(B324/30)</f>
        <v>47.24223853458146</v>
      </c>
      <c r="IZ324" s="48">
        <f>IY324-'NOPA Crush'!J324</f>
        <v>0.14223853458145896</v>
      </c>
      <c r="JB324" s="63">
        <f t="shared" si="15"/>
        <v>11.697757424742408</v>
      </c>
      <c r="JC324" s="64">
        <f>JB324-'NOPA Crush'!O324</f>
        <v>-5.224257525759235E-2</v>
      </c>
      <c r="JD324" s="65"/>
      <c r="JE324" s="67">
        <f t="shared" si="16"/>
        <v>3244.232</v>
      </c>
      <c r="JF324" s="68">
        <f>'NOPA Crush'!Q324/'Census Crush'!JE324</f>
        <v>0.82854986942980646</v>
      </c>
    </row>
    <row r="325" spans="1:266">
      <c r="A325" s="39">
        <v>38930</v>
      </c>
      <c r="B325" s="51">
        <v>4264.8999999999996</v>
      </c>
      <c r="C325" s="51">
        <v>1581.3</v>
      </c>
      <c r="D325" s="51">
        <v>204.8</v>
      </c>
      <c r="E325" s="51">
        <v>432.9</v>
      </c>
      <c r="F325" s="51">
        <v>23.2</v>
      </c>
      <c r="G325" s="51" t="s">
        <v>264</v>
      </c>
      <c r="H325" s="51" t="s">
        <v>264</v>
      </c>
      <c r="I325" s="51" t="s">
        <v>264</v>
      </c>
      <c r="J325" s="51" t="s">
        <v>264</v>
      </c>
      <c r="K325" s="51">
        <v>1658.3</v>
      </c>
      <c r="L325" s="49">
        <v>3206.0020000000004</v>
      </c>
      <c r="M325" s="9">
        <v>2888.3</v>
      </c>
      <c r="N325" s="51">
        <v>317.702</v>
      </c>
      <c r="O325" s="53">
        <v>68.400000000000006</v>
      </c>
      <c r="P325" s="51">
        <v>98.9</v>
      </c>
      <c r="Q325" s="51">
        <v>14.2</v>
      </c>
      <c r="R325" s="51">
        <v>84.7</v>
      </c>
      <c r="S325" s="51"/>
      <c r="T325" s="51">
        <v>19.7</v>
      </c>
      <c r="U325" s="51">
        <v>38.5</v>
      </c>
      <c r="V325" s="51">
        <v>34.299999999999997</v>
      </c>
      <c r="W325" s="51">
        <v>4.2</v>
      </c>
      <c r="X325" s="51" t="s">
        <v>264</v>
      </c>
      <c r="Y325" s="51" t="e">
        <v>#VALUE!</v>
      </c>
      <c r="Z325" s="51">
        <v>75.2</v>
      </c>
      <c r="AA325" s="51" t="e">
        <v>#VALUE!</v>
      </c>
      <c r="AB325" s="51" t="e">
        <v>#VALUE!</v>
      </c>
      <c r="AC325" s="51" t="s">
        <v>264</v>
      </c>
      <c r="AD325" s="51">
        <v>60.9</v>
      </c>
      <c r="AE325" s="51">
        <v>62.5</v>
      </c>
      <c r="AF325" s="51">
        <v>258.39999999999998</v>
      </c>
      <c r="AG325" s="51">
        <v>202.2</v>
      </c>
      <c r="AH325" s="51">
        <v>56.2</v>
      </c>
      <c r="AI325" s="51">
        <v>222</v>
      </c>
      <c r="AJ325" s="55"/>
      <c r="AK325" s="55"/>
      <c r="AL325" s="51">
        <v>195.60000000000002</v>
      </c>
      <c r="AM325" s="51">
        <v>143.80000000000001</v>
      </c>
      <c r="AN325" s="51">
        <v>51.8</v>
      </c>
      <c r="AO325" s="51">
        <v>3107.2</v>
      </c>
      <c r="AP325" s="51">
        <v>198.1</v>
      </c>
      <c r="AQ325" s="51">
        <v>246.7</v>
      </c>
      <c r="AR325" s="51">
        <v>23.9</v>
      </c>
      <c r="AS325" s="51">
        <v>102</v>
      </c>
      <c r="AT325" s="51">
        <v>80.7</v>
      </c>
      <c r="AU325" s="51">
        <v>65.599999999999994</v>
      </c>
      <c r="AV325" s="51">
        <v>20</v>
      </c>
      <c r="AW325" s="51">
        <v>12.2</v>
      </c>
      <c r="AX325" s="51">
        <v>2.5</v>
      </c>
      <c r="AY325" s="51" t="s">
        <v>264</v>
      </c>
      <c r="AZ325" s="51" t="s">
        <v>264</v>
      </c>
      <c r="BA325" s="51" t="s">
        <v>264</v>
      </c>
      <c r="BB325" s="51" t="s">
        <v>264</v>
      </c>
      <c r="BC325" s="55"/>
      <c r="BD325" s="53">
        <v>174.4</v>
      </c>
      <c r="BE325" s="53">
        <v>47.3</v>
      </c>
      <c r="BF325" s="53">
        <v>88.4</v>
      </c>
      <c r="BG325" s="53">
        <v>9.6</v>
      </c>
      <c r="BH325" s="53">
        <v>344.6</v>
      </c>
      <c r="BI325" s="53">
        <v>121.6</v>
      </c>
      <c r="BJ325" s="53">
        <v>107.1</v>
      </c>
      <c r="BK325" s="53">
        <v>228.7</v>
      </c>
      <c r="BL325" s="55"/>
      <c r="BM325" s="53">
        <v>573.29999999999995</v>
      </c>
      <c r="BN325" s="53">
        <v>186.6</v>
      </c>
      <c r="BO325" s="53">
        <v>81.900000000000006</v>
      </c>
      <c r="BP325" s="53">
        <v>33.4</v>
      </c>
      <c r="BQ325" s="53">
        <v>115.30000000000001</v>
      </c>
      <c r="BR325" s="55"/>
      <c r="BS325" s="53">
        <v>301.89999999999998</v>
      </c>
      <c r="BT325" s="53">
        <v>32.200000000000003</v>
      </c>
      <c r="BU325" s="53">
        <v>10.6</v>
      </c>
      <c r="BV325" s="51" t="s">
        <v>264</v>
      </c>
      <c r="BW325" s="51" t="s">
        <v>264</v>
      </c>
      <c r="BX325" s="51">
        <v>417.4</v>
      </c>
      <c r="BY325" s="51" t="s">
        <v>264</v>
      </c>
      <c r="BZ325" s="51" t="s">
        <v>264</v>
      </c>
      <c r="CA325" s="51">
        <v>54.8</v>
      </c>
      <c r="CB325" s="53">
        <v>109.9</v>
      </c>
      <c r="CC325" s="53">
        <v>12.6</v>
      </c>
      <c r="CD325" s="53">
        <v>122.7</v>
      </c>
      <c r="CE325" s="53">
        <v>16.600000000000001</v>
      </c>
      <c r="CF325" s="53">
        <v>108.9</v>
      </c>
      <c r="CG325" s="53">
        <v>92.5</v>
      </c>
      <c r="CH325" s="53">
        <v>6.9</v>
      </c>
      <c r="CI325" s="53">
        <v>38.799999999999997</v>
      </c>
      <c r="CJ325" s="53">
        <v>7.2</v>
      </c>
      <c r="CK325" s="53">
        <v>164.4</v>
      </c>
      <c r="CL325" s="53">
        <v>20.9</v>
      </c>
      <c r="CM325" s="55"/>
      <c r="CN325" s="53">
        <v>56.9</v>
      </c>
      <c r="CO325" s="53">
        <v>202.7</v>
      </c>
      <c r="CP325" s="53">
        <v>147.9</v>
      </c>
      <c r="CQ325" s="53">
        <v>54.8</v>
      </c>
      <c r="CR325" s="53" t="s">
        <v>264</v>
      </c>
      <c r="CS325" s="12">
        <v>20.9</v>
      </c>
      <c r="CT325" s="53" t="e">
        <v>#VALUE!</v>
      </c>
      <c r="CU325" s="53" t="e">
        <v>#VALUE!</v>
      </c>
      <c r="CV325" s="53">
        <v>180.4</v>
      </c>
      <c r="CW325" s="53" t="e">
        <v>#VALUE!</v>
      </c>
      <c r="CX325" s="53" t="e">
        <v>#VALUE!</v>
      </c>
      <c r="CY325" s="53" t="e">
        <v>#VALUE!</v>
      </c>
      <c r="CZ325" s="53">
        <v>75.599999999999994</v>
      </c>
      <c r="DA325" s="12">
        <v>14.1</v>
      </c>
      <c r="DB325" s="53" t="e">
        <v>#VALUE!</v>
      </c>
      <c r="DC325" s="53" t="e">
        <v>#VALUE!</v>
      </c>
      <c r="DD325" s="55"/>
      <c r="DE325" s="55"/>
      <c r="DF325" s="55"/>
      <c r="DG325" s="55"/>
      <c r="DH325" s="55"/>
      <c r="DI325" s="53">
        <v>718.7</v>
      </c>
      <c r="DJ325" s="53">
        <v>310.2</v>
      </c>
      <c r="DK325" s="55"/>
      <c r="DL325" s="55"/>
      <c r="DM325" s="53">
        <v>505.5</v>
      </c>
      <c r="DN325" s="55"/>
      <c r="DO325" s="53">
        <v>202.6</v>
      </c>
      <c r="DP325" s="53">
        <v>285.5</v>
      </c>
      <c r="DQ325" s="55"/>
      <c r="DR325" s="55"/>
      <c r="DS325" s="53">
        <v>2278.2649999999999</v>
      </c>
      <c r="DT325" s="53">
        <v>4264.8999999999996</v>
      </c>
      <c r="DU325" s="53">
        <v>35.864999999999782</v>
      </c>
      <c r="DV325" s="53">
        <v>0</v>
      </c>
      <c r="DW325" s="55"/>
      <c r="DX325" s="55"/>
      <c r="DY325" s="55"/>
      <c r="DZ325" s="55"/>
      <c r="EA325" s="53">
        <v>262.8</v>
      </c>
      <c r="EB325" s="53">
        <v>123.5</v>
      </c>
      <c r="EC325" s="55"/>
      <c r="ED325" s="55"/>
      <c r="EE325" s="53">
        <v>92.5</v>
      </c>
      <c r="EF325" s="55"/>
      <c r="EG325" s="53">
        <v>107.74</v>
      </c>
      <c r="EH325" s="53">
        <v>78.7</v>
      </c>
      <c r="EI325" s="55"/>
      <c r="EJ325" s="55"/>
      <c r="EK325" s="53">
        <v>867.19200000000001</v>
      </c>
      <c r="EL325" s="53">
        <v>1581.3</v>
      </c>
      <c r="EM325" s="55"/>
      <c r="EN325" s="55"/>
      <c r="EO325" s="55"/>
      <c r="EP325" s="55"/>
      <c r="EQ325" s="53">
        <v>282.10000000000002</v>
      </c>
      <c r="ER325" s="53">
        <v>120.3</v>
      </c>
      <c r="ES325" s="55"/>
      <c r="ET325" s="55"/>
      <c r="EU325" s="53">
        <v>198</v>
      </c>
      <c r="EV325" s="55"/>
      <c r="EW325" s="53">
        <v>77.8</v>
      </c>
      <c r="EX325" s="53">
        <v>109.1</v>
      </c>
      <c r="EY325" s="55"/>
      <c r="EZ325" s="55"/>
      <c r="FA325" s="53">
        <v>885.62900000000002</v>
      </c>
      <c r="FB325" s="53">
        <v>1658.3</v>
      </c>
      <c r="FC325" s="55"/>
      <c r="FD325" s="55"/>
      <c r="FE325" s="55"/>
      <c r="FF325" s="55"/>
      <c r="FG325" s="53">
        <v>556.4</v>
      </c>
      <c r="FH325" s="53">
        <v>247</v>
      </c>
      <c r="FI325" s="55"/>
      <c r="FJ325" s="55"/>
      <c r="FK325" s="53">
        <v>401.7</v>
      </c>
      <c r="FL325" s="55"/>
      <c r="FM325" s="53">
        <v>159.69999999999999</v>
      </c>
      <c r="FN325" s="53">
        <v>228</v>
      </c>
      <c r="FO325" s="55"/>
      <c r="FP325" s="55"/>
      <c r="FQ325" s="53">
        <v>1797.325</v>
      </c>
      <c r="FR325" s="53">
        <v>3360.4</v>
      </c>
      <c r="FS325" s="55"/>
      <c r="FT325" s="55"/>
      <c r="FU325" s="55"/>
      <c r="FV325" s="55"/>
      <c r="FW325" s="53">
        <v>349.2</v>
      </c>
      <c r="FX325" s="53">
        <v>127.8</v>
      </c>
      <c r="FY325" s="55"/>
      <c r="FZ325" s="55"/>
      <c r="GA325" s="53">
        <v>114.8</v>
      </c>
      <c r="GB325" s="55"/>
      <c r="GC325" s="53">
        <v>60.1</v>
      </c>
      <c r="GD325" s="53" t="s">
        <v>265</v>
      </c>
      <c r="GE325" s="55"/>
      <c r="GF325" s="55"/>
      <c r="GG325" s="53">
        <v>490.05399999999997</v>
      </c>
      <c r="GH325" s="53">
        <v>1329.2</v>
      </c>
      <c r="GI325" s="55"/>
      <c r="GJ325" s="55"/>
      <c r="GK325" s="55"/>
      <c r="GL325" s="55"/>
      <c r="GM325" s="53">
        <v>66.400000000000006</v>
      </c>
      <c r="GN325" s="53">
        <v>16.5</v>
      </c>
      <c r="GO325" s="55"/>
      <c r="GP325" s="55"/>
      <c r="GQ325" s="53">
        <v>25.2</v>
      </c>
      <c r="GR325" s="55"/>
      <c r="GS325" s="53" t="e">
        <v>#VALUE!</v>
      </c>
      <c r="GT325" s="53">
        <v>8.6</v>
      </c>
      <c r="GU325" s="55"/>
      <c r="GV325" s="55"/>
      <c r="GW325" s="53">
        <v>118.039</v>
      </c>
      <c r="GX325" s="53">
        <v>225.8</v>
      </c>
      <c r="GY325" s="19">
        <v>0.97496473906911141</v>
      </c>
      <c r="GZ325" s="53">
        <v>1382.5</v>
      </c>
      <c r="HA325" s="53">
        <v>1418</v>
      </c>
      <c r="HB325" s="18">
        <v>-30.209745208400591</v>
      </c>
      <c r="HC325" s="18">
        <v>24.312264151598811</v>
      </c>
      <c r="HD325" s="18">
        <v>1634.0902547915994</v>
      </c>
      <c r="HE325" s="18">
        <v>122.59999999999991</v>
      </c>
      <c r="HF325" s="53">
        <v>1664.3</v>
      </c>
      <c r="HG325" s="53">
        <v>1399.6</v>
      </c>
      <c r="HH325" s="53">
        <v>546.6</v>
      </c>
      <c r="HI325" s="53">
        <v>87.184629999999999</v>
      </c>
      <c r="HJ325" s="53">
        <v>755.2</v>
      </c>
      <c r="HK325" s="53">
        <v>10.5</v>
      </c>
      <c r="HL325" s="53">
        <v>264.7</v>
      </c>
      <c r="HM325" s="53">
        <v>208.5</v>
      </c>
      <c r="HN325" s="53">
        <v>42.8</v>
      </c>
      <c r="HO325" s="53">
        <v>165.7</v>
      </c>
      <c r="HP325" s="55"/>
      <c r="HQ325" s="53">
        <v>8.6</v>
      </c>
      <c r="HR325" s="53">
        <v>10.4</v>
      </c>
      <c r="HS325" s="55"/>
      <c r="HT325" s="53">
        <v>37.200000000000003</v>
      </c>
      <c r="HU325" s="55"/>
      <c r="HV325" s="55"/>
      <c r="HW325" s="53">
        <v>315.60000000000002</v>
      </c>
      <c r="HX325" s="53" t="s">
        <v>266</v>
      </c>
      <c r="HY325" s="53">
        <v>315.60000000000002</v>
      </c>
      <c r="HZ325" s="53" t="s">
        <v>265</v>
      </c>
      <c r="IA325" s="53">
        <v>223.8</v>
      </c>
      <c r="IB325" s="53">
        <v>93.1</v>
      </c>
      <c r="IC325" s="53">
        <v>130.69999999999999</v>
      </c>
      <c r="ID325" s="53">
        <v>67.2</v>
      </c>
      <c r="IE325" s="53">
        <v>63.6</v>
      </c>
      <c r="IF325" s="55"/>
      <c r="IG325" s="55"/>
      <c r="IH325" s="55"/>
      <c r="II325" s="55"/>
      <c r="IJ325" s="55"/>
      <c r="IK325" s="55"/>
      <c r="IL325" s="53" t="s">
        <v>265</v>
      </c>
      <c r="IM325" s="55"/>
      <c r="IN325" s="53">
        <v>61</v>
      </c>
      <c r="IO325" s="53">
        <v>61.4</v>
      </c>
      <c r="IP325" s="53" t="s">
        <v>265</v>
      </c>
      <c r="IQ325" s="53">
        <v>67.599999999999994</v>
      </c>
      <c r="IR325" s="53">
        <v>16.399999999999999</v>
      </c>
      <c r="IS325" s="55"/>
      <c r="IT325" s="53">
        <v>50</v>
      </c>
      <c r="IU325" s="53">
        <v>1.2</v>
      </c>
      <c r="IV325" s="53" t="s">
        <v>265</v>
      </c>
      <c r="IY325" s="48">
        <f t="shared" si="17"/>
        <v>47.18375577387512</v>
      </c>
      <c r="IZ325" s="48">
        <f>IY325-'NOPA Crush'!J325</f>
        <v>7.3755773875120667E-2</v>
      </c>
      <c r="JB325" s="63">
        <f t="shared" si="15"/>
        <v>11.664751811296865</v>
      </c>
      <c r="JC325" s="64">
        <f>JB325-'NOPA Crush'!O325</f>
        <v>4.4751811296865895E-2</v>
      </c>
      <c r="JD325" s="65"/>
      <c r="JE325" s="67">
        <f t="shared" si="16"/>
        <v>3206.0020000000004</v>
      </c>
      <c r="JF325" s="68">
        <f>'NOPA Crush'!Q325/'Census Crush'!JE325</f>
        <v>0.83531638470593572</v>
      </c>
    </row>
    <row r="326" spans="1:266">
      <c r="A326" s="39">
        <v>38961</v>
      </c>
      <c r="B326" s="51">
        <v>4271</v>
      </c>
      <c r="C326" s="51">
        <v>1461.7</v>
      </c>
      <c r="D326" s="51">
        <v>158.19999999999999</v>
      </c>
      <c r="E326" s="51">
        <v>564.5</v>
      </c>
      <c r="F326" s="51">
        <v>18.899999999999999</v>
      </c>
      <c r="G326" s="51" t="s">
        <v>264</v>
      </c>
      <c r="H326" s="51" t="s">
        <v>264</v>
      </c>
      <c r="I326" s="51" t="s">
        <v>264</v>
      </c>
      <c r="J326" s="51" t="s">
        <v>264</v>
      </c>
      <c r="K326" s="51">
        <v>1684.1</v>
      </c>
      <c r="L326" s="49">
        <v>3144.9979999999996</v>
      </c>
      <c r="M326" s="9">
        <v>2839.3999999999996</v>
      </c>
      <c r="N326" s="51">
        <v>305.59800000000001</v>
      </c>
      <c r="O326" s="53">
        <v>59.2</v>
      </c>
      <c r="P326" s="51">
        <v>101.10000000000001</v>
      </c>
      <c r="Q326" s="51">
        <v>10.199999999999999</v>
      </c>
      <c r="R326" s="51">
        <v>90.9</v>
      </c>
      <c r="S326" s="51"/>
      <c r="T326" s="51">
        <v>16.2</v>
      </c>
      <c r="U326" s="51">
        <v>26.599999999999998</v>
      </c>
      <c r="V326" s="51">
        <v>22.9</v>
      </c>
      <c r="W326" s="51">
        <v>3.7</v>
      </c>
      <c r="X326" s="51" t="s">
        <v>264</v>
      </c>
      <c r="Y326" s="51" t="e">
        <v>#VALUE!</v>
      </c>
      <c r="Z326" s="51">
        <v>54.1</v>
      </c>
      <c r="AA326" s="51" t="e">
        <v>#VALUE!</v>
      </c>
      <c r="AB326" s="51" t="e">
        <v>#VALUE!</v>
      </c>
      <c r="AC326" s="51" t="s">
        <v>264</v>
      </c>
      <c r="AD326" s="51">
        <v>65.7</v>
      </c>
      <c r="AE326" s="51">
        <v>67.7</v>
      </c>
      <c r="AF326" s="51">
        <v>263.5</v>
      </c>
      <c r="AG326" s="51">
        <v>220.3</v>
      </c>
      <c r="AH326" s="51">
        <v>43.2</v>
      </c>
      <c r="AI326" s="51">
        <v>209</v>
      </c>
      <c r="AJ326" s="55"/>
      <c r="AK326" s="55"/>
      <c r="AL326" s="51">
        <v>199.9</v>
      </c>
      <c r="AM326" s="51">
        <v>151</v>
      </c>
      <c r="AN326" s="51">
        <v>48.9</v>
      </c>
      <c r="AO326" s="51">
        <v>3107.8</v>
      </c>
      <c r="AP326" s="51">
        <v>279.7</v>
      </c>
      <c r="AQ326" s="51">
        <v>246.7</v>
      </c>
      <c r="AR326" s="51">
        <v>34.1</v>
      </c>
      <c r="AS326" s="51">
        <v>83</v>
      </c>
      <c r="AT326" s="51">
        <v>59.3</v>
      </c>
      <c r="AU326" s="51">
        <v>54.5</v>
      </c>
      <c r="AV326" s="51">
        <v>15.7</v>
      </c>
      <c r="AW326" s="51">
        <v>10.6</v>
      </c>
      <c r="AX326" s="51">
        <v>2.4</v>
      </c>
      <c r="AY326" s="51" t="s">
        <v>264</v>
      </c>
      <c r="AZ326" s="51" t="s">
        <v>264</v>
      </c>
      <c r="BA326" s="51" t="s">
        <v>264</v>
      </c>
      <c r="BB326" s="51" t="s">
        <v>264</v>
      </c>
      <c r="BC326" s="55"/>
      <c r="BD326" s="53">
        <v>156.9</v>
      </c>
      <c r="BE326" s="53">
        <v>35.1</v>
      </c>
      <c r="BF326" s="53">
        <v>81.7</v>
      </c>
      <c r="BG326" s="53">
        <v>10.9</v>
      </c>
      <c r="BH326" s="53">
        <v>313.60000000000002</v>
      </c>
      <c r="BI326" s="53">
        <v>124.3</v>
      </c>
      <c r="BJ326" s="53">
        <v>102.7</v>
      </c>
      <c r="BK326" s="53">
        <v>227</v>
      </c>
      <c r="BL326" s="55"/>
      <c r="BM326" s="53">
        <v>540.6</v>
      </c>
      <c r="BN326" s="53">
        <v>206.2</v>
      </c>
      <c r="BO326" s="53">
        <v>76.8</v>
      </c>
      <c r="BP326" s="53">
        <v>21.8</v>
      </c>
      <c r="BQ326" s="53">
        <v>98.6</v>
      </c>
      <c r="BR326" s="55"/>
      <c r="BS326" s="53">
        <v>304.79999999999995</v>
      </c>
      <c r="BT326" s="53">
        <v>30.2</v>
      </c>
      <c r="BU326" s="53">
        <v>11.4</v>
      </c>
      <c r="BV326" s="51" t="s">
        <v>264</v>
      </c>
      <c r="BW326" s="51" t="s">
        <v>264</v>
      </c>
      <c r="BX326" s="51">
        <v>399.7</v>
      </c>
      <c r="BY326" s="51" t="s">
        <v>264</v>
      </c>
      <c r="BZ326" s="51" t="s">
        <v>264</v>
      </c>
      <c r="CA326" s="51">
        <v>68.2</v>
      </c>
      <c r="CB326" s="53">
        <v>101.3</v>
      </c>
      <c r="CC326" s="53">
        <v>16.3</v>
      </c>
      <c r="CD326" s="53">
        <v>117.7</v>
      </c>
      <c r="CE326" s="53">
        <v>24.2</v>
      </c>
      <c r="CF326" s="53">
        <v>98.2</v>
      </c>
      <c r="CG326" s="53">
        <v>73.900000000000006</v>
      </c>
      <c r="CH326" s="53">
        <v>7.7</v>
      </c>
      <c r="CI326" s="53">
        <v>35.9</v>
      </c>
      <c r="CJ326" s="53">
        <v>14.9</v>
      </c>
      <c r="CK326" s="53">
        <v>161.19999999999999</v>
      </c>
      <c r="CL326" s="53">
        <v>24.1</v>
      </c>
      <c r="CM326" s="55"/>
      <c r="CN326" s="53">
        <v>38.6</v>
      </c>
      <c r="CO326" s="53">
        <v>222.2</v>
      </c>
      <c r="CP326" s="53">
        <v>155.5</v>
      </c>
      <c r="CQ326" s="53">
        <v>66.7</v>
      </c>
      <c r="CR326" s="53" t="s">
        <v>264</v>
      </c>
      <c r="CS326" s="12">
        <v>23</v>
      </c>
      <c r="CT326" s="53" t="e">
        <v>#VALUE!</v>
      </c>
      <c r="CU326" s="53" t="e">
        <v>#VALUE!</v>
      </c>
      <c r="CV326" s="53">
        <v>207.2</v>
      </c>
      <c r="CW326" s="53" t="e">
        <v>#VALUE!</v>
      </c>
      <c r="CX326" s="53" t="e">
        <v>#VALUE!</v>
      </c>
      <c r="CY326" s="53" t="e">
        <v>#VALUE!</v>
      </c>
      <c r="CZ326" s="53">
        <v>78.2</v>
      </c>
      <c r="DA326" s="12">
        <v>14.4</v>
      </c>
      <c r="DB326" s="53" t="e">
        <v>#VALUE!</v>
      </c>
      <c r="DC326" s="53" t="e">
        <v>#VALUE!</v>
      </c>
      <c r="DD326" s="55"/>
      <c r="DE326" s="55"/>
      <c r="DF326" s="55"/>
      <c r="DG326" s="55"/>
      <c r="DH326" s="55"/>
      <c r="DI326" s="53">
        <v>657.6</v>
      </c>
      <c r="DJ326" s="53">
        <v>364.6</v>
      </c>
      <c r="DK326" s="55"/>
      <c r="DL326" s="55"/>
      <c r="DM326" s="53">
        <v>438.1</v>
      </c>
      <c r="DN326" s="55"/>
      <c r="DO326" s="53">
        <v>181.8</v>
      </c>
      <c r="DP326" s="53">
        <v>288.3</v>
      </c>
      <c r="DQ326" s="55"/>
      <c r="DR326" s="55"/>
      <c r="DS326" s="53">
        <v>2374.741</v>
      </c>
      <c r="DT326" s="53">
        <v>4271</v>
      </c>
      <c r="DU326" s="53">
        <v>34.140999999999622</v>
      </c>
      <c r="DV326" s="53">
        <v>0</v>
      </c>
      <c r="DW326" s="55"/>
      <c r="DX326" s="55"/>
      <c r="DY326" s="55"/>
      <c r="DZ326" s="55"/>
      <c r="EA326" s="53">
        <v>231.6</v>
      </c>
      <c r="EB326" s="53">
        <v>90.3</v>
      </c>
      <c r="EC326" s="55"/>
      <c r="ED326" s="55"/>
      <c r="EE326" s="53">
        <v>136.5</v>
      </c>
      <c r="EF326" s="55"/>
      <c r="EG326" s="53">
        <v>58.473999999999997</v>
      </c>
      <c r="EH326" s="53">
        <v>100.3</v>
      </c>
      <c r="EI326" s="55"/>
      <c r="EJ326" s="55"/>
      <c r="EK326" s="53">
        <v>838.995</v>
      </c>
      <c r="EL326" s="53">
        <v>1461.7</v>
      </c>
      <c r="EM326" s="55"/>
      <c r="EN326" s="55"/>
      <c r="EO326" s="55"/>
      <c r="EP326" s="55"/>
      <c r="EQ326" s="53">
        <v>260.10000000000002</v>
      </c>
      <c r="ER326" s="53">
        <v>140</v>
      </c>
      <c r="ES326" s="55"/>
      <c r="ET326" s="55"/>
      <c r="EU326" s="53">
        <v>170.4</v>
      </c>
      <c r="EV326" s="55"/>
      <c r="EW326" s="53">
        <v>70.599999999999994</v>
      </c>
      <c r="EX326" s="53">
        <v>109.8</v>
      </c>
      <c r="EY326" s="55"/>
      <c r="EZ326" s="55"/>
      <c r="FA326" s="53">
        <v>924.08100000000002</v>
      </c>
      <c r="FB326" s="53">
        <v>1684.1</v>
      </c>
      <c r="FC326" s="55"/>
      <c r="FD326" s="55"/>
      <c r="FE326" s="55"/>
      <c r="FF326" s="55"/>
      <c r="FG326" s="53">
        <v>515.6</v>
      </c>
      <c r="FH326" s="53">
        <v>285.60000000000002</v>
      </c>
      <c r="FI326" s="55"/>
      <c r="FJ326" s="55"/>
      <c r="FK326" s="53">
        <v>345.1</v>
      </c>
      <c r="FL326" s="55"/>
      <c r="FM326" s="53">
        <v>144.1</v>
      </c>
      <c r="FN326" s="53">
        <v>230</v>
      </c>
      <c r="FO326" s="55"/>
      <c r="FP326" s="55"/>
      <c r="FQ326" s="53">
        <v>1869.433</v>
      </c>
      <c r="FR326" s="53">
        <v>3363.6</v>
      </c>
      <c r="FS326" s="55"/>
      <c r="FT326" s="55"/>
      <c r="FU326" s="55"/>
      <c r="FV326" s="55"/>
      <c r="FW326" s="53">
        <v>326.3</v>
      </c>
      <c r="FX326" s="53" t="s">
        <v>265</v>
      </c>
      <c r="FY326" s="55"/>
      <c r="FZ326" s="55"/>
      <c r="GA326" s="53">
        <v>91.9</v>
      </c>
      <c r="GB326" s="55"/>
      <c r="GC326" s="53" t="s">
        <v>265</v>
      </c>
      <c r="GD326" s="53" t="s">
        <v>265</v>
      </c>
      <c r="GE326" s="55"/>
      <c r="GF326" s="55"/>
      <c r="GG326" s="53">
        <v>485.31</v>
      </c>
      <c r="GH326" s="53">
        <v>1299.9000000000001</v>
      </c>
      <c r="GI326" s="55"/>
      <c r="GJ326" s="55"/>
      <c r="GK326" s="55"/>
      <c r="GL326" s="55"/>
      <c r="GM326" s="53">
        <v>69.3</v>
      </c>
      <c r="GN326" s="53">
        <v>32.299999999999997</v>
      </c>
      <c r="GO326" s="55"/>
      <c r="GP326" s="55"/>
      <c r="GQ326" s="53">
        <v>29.8</v>
      </c>
      <c r="GR326" s="55"/>
      <c r="GS326" s="53">
        <v>6</v>
      </c>
      <c r="GT326" s="53">
        <v>15.1</v>
      </c>
      <c r="GU326" s="55"/>
      <c r="GV326" s="55"/>
      <c r="GW326" s="53">
        <v>169.916</v>
      </c>
      <c r="GX326" s="53">
        <v>313.8</v>
      </c>
      <c r="GY326" s="19">
        <v>0.97752489331436709</v>
      </c>
      <c r="GZ326" s="53">
        <v>1374.4</v>
      </c>
      <c r="HA326" s="53">
        <v>1406</v>
      </c>
      <c r="HB326" s="18">
        <v>22.741137467401359</v>
      </c>
      <c r="HC326" s="18">
        <v>143.08265520640134</v>
      </c>
      <c r="HD326" s="18">
        <v>1636.5411374674013</v>
      </c>
      <c r="HE326" s="18">
        <v>111.5</v>
      </c>
      <c r="HF326" s="53">
        <v>1613.8</v>
      </c>
      <c r="HG326" s="53">
        <v>1385.6</v>
      </c>
      <c r="HH326" s="53">
        <v>529.5</v>
      </c>
      <c r="HI326" s="53">
        <v>80.599999999999994</v>
      </c>
      <c r="HJ326" s="53">
        <v>765.1</v>
      </c>
      <c r="HK326" s="53">
        <v>10.3</v>
      </c>
      <c r="HL326" s="53">
        <v>228.2</v>
      </c>
      <c r="HM326" s="53">
        <v>181.2</v>
      </c>
      <c r="HN326" s="53">
        <v>44.6</v>
      </c>
      <c r="HO326" s="53">
        <v>136.6</v>
      </c>
      <c r="HP326" s="55"/>
      <c r="HQ326" s="53">
        <v>5.9</v>
      </c>
      <c r="HR326" s="53">
        <v>9.6999999999999993</v>
      </c>
      <c r="HS326" s="55"/>
      <c r="HT326" s="53">
        <v>31.4</v>
      </c>
      <c r="HU326" s="55"/>
      <c r="HV326" s="55"/>
      <c r="HW326" s="53">
        <v>297.2</v>
      </c>
      <c r="HX326" s="53" t="s">
        <v>266</v>
      </c>
      <c r="HY326" s="53">
        <v>297.2</v>
      </c>
      <c r="HZ326" s="53" t="s">
        <v>265</v>
      </c>
      <c r="IA326" s="53">
        <v>209.8</v>
      </c>
      <c r="IB326" s="53">
        <v>85.5</v>
      </c>
      <c r="IC326" s="53">
        <v>124.3</v>
      </c>
      <c r="ID326" s="53">
        <v>67.8</v>
      </c>
      <c r="IE326" s="53">
        <v>56.5</v>
      </c>
      <c r="IF326" s="55"/>
      <c r="IG326" s="55"/>
      <c r="IH326" s="55"/>
      <c r="II326" s="55"/>
      <c r="IJ326" s="55"/>
      <c r="IK326" s="55"/>
      <c r="IL326" s="53" t="s">
        <v>265</v>
      </c>
      <c r="IM326" s="55"/>
      <c r="IN326" s="53">
        <v>52</v>
      </c>
      <c r="IO326" s="53">
        <v>52.4</v>
      </c>
      <c r="IP326" s="53" t="s">
        <v>265</v>
      </c>
      <c r="IQ326" s="53">
        <v>47.7</v>
      </c>
      <c r="IR326" s="53">
        <v>13.4</v>
      </c>
      <c r="IS326" s="55"/>
      <c r="IT326" s="53">
        <v>32.9</v>
      </c>
      <c r="IU326" s="53">
        <v>1.3</v>
      </c>
      <c r="IV326" s="53" t="s">
        <v>265</v>
      </c>
      <c r="IY326" s="48">
        <f t="shared" si="17"/>
        <v>47.124795129946143</v>
      </c>
      <c r="IZ326" s="48">
        <f>IY326-'NOPA Crush'!J326</f>
        <v>3.479512994613998E-2</v>
      </c>
      <c r="JB326" s="63">
        <f t="shared" si="15"/>
        <v>11.829313977991102</v>
      </c>
      <c r="JC326" s="64">
        <f>JB326-'NOPA Crush'!O326</f>
        <v>7.9313977991102291E-2</v>
      </c>
      <c r="JD326" s="65"/>
      <c r="JE326" s="67">
        <f t="shared" si="16"/>
        <v>3144.9979999999996</v>
      </c>
      <c r="JF326" s="68">
        <f>'NOPA Crush'!Q326/'Census Crush'!JE326</f>
        <v>0.83627970510633087</v>
      </c>
    </row>
    <row r="327" spans="1:266">
      <c r="A327" s="39">
        <v>38991</v>
      </c>
      <c r="B327" s="51">
        <v>4852.2</v>
      </c>
      <c r="C327" s="51">
        <v>3740.3</v>
      </c>
      <c r="D327" s="51">
        <v>252.4</v>
      </c>
      <c r="E327" s="51">
        <v>1058.4000000000001</v>
      </c>
      <c r="F327" s="51">
        <v>21.7</v>
      </c>
      <c r="G327" s="51" t="s">
        <v>264</v>
      </c>
      <c r="H327" s="51" t="s">
        <v>264</v>
      </c>
      <c r="I327" s="51" t="s">
        <v>264</v>
      </c>
      <c r="J327" s="51" t="s">
        <v>264</v>
      </c>
      <c r="K327" s="51">
        <v>1829.5</v>
      </c>
      <c r="L327" s="49">
        <v>3154</v>
      </c>
      <c r="M327" s="9">
        <v>2824.7</v>
      </c>
      <c r="N327" s="51">
        <v>329.3</v>
      </c>
      <c r="O327" s="53">
        <v>77.099999999999994</v>
      </c>
      <c r="P327" s="51">
        <v>93.1</v>
      </c>
      <c r="Q327" s="51">
        <v>14.6</v>
      </c>
      <c r="R327" s="51">
        <v>78.5</v>
      </c>
      <c r="S327" s="51"/>
      <c r="T327" s="51">
        <v>18</v>
      </c>
      <c r="U327" s="51">
        <v>28.5</v>
      </c>
      <c r="V327" s="51">
        <v>22.9</v>
      </c>
      <c r="W327" s="51">
        <v>5.6</v>
      </c>
      <c r="X327" s="51" t="s">
        <v>264</v>
      </c>
      <c r="Y327" s="51" t="e">
        <v>#VALUE!</v>
      </c>
      <c r="Z327" s="51">
        <v>60.4</v>
      </c>
      <c r="AA327" s="51" t="e">
        <v>#VALUE!</v>
      </c>
      <c r="AB327" s="51" t="e">
        <v>#VALUE!</v>
      </c>
      <c r="AC327" s="51" t="s">
        <v>264</v>
      </c>
      <c r="AD327" s="51">
        <v>55.8</v>
      </c>
      <c r="AE327" s="51">
        <v>57.1</v>
      </c>
      <c r="AF327" s="51">
        <v>227.8</v>
      </c>
      <c r="AG327" s="51">
        <v>186</v>
      </c>
      <c r="AH327" s="51">
        <v>41.8</v>
      </c>
      <c r="AI327" s="51">
        <v>228.7</v>
      </c>
      <c r="AJ327" s="55"/>
      <c r="AK327" s="55"/>
      <c r="AL327" s="51">
        <v>230</v>
      </c>
      <c r="AM327" s="51">
        <v>183.9</v>
      </c>
      <c r="AN327" s="51">
        <v>46.1</v>
      </c>
      <c r="AO327" s="51">
        <v>3560</v>
      </c>
      <c r="AP327" s="51">
        <v>355.8</v>
      </c>
      <c r="AQ327" s="51">
        <v>263.2</v>
      </c>
      <c r="AR327" s="51">
        <v>32.6</v>
      </c>
      <c r="AS327" s="51">
        <v>118.8</v>
      </c>
      <c r="AT327" s="51">
        <v>76.5</v>
      </c>
      <c r="AU327" s="51">
        <v>73.5</v>
      </c>
      <c r="AV327" s="51">
        <v>19.2</v>
      </c>
      <c r="AW327" s="51">
        <v>11.5</v>
      </c>
      <c r="AX327" s="51">
        <v>1.2</v>
      </c>
      <c r="AY327" s="51" t="s">
        <v>264</v>
      </c>
      <c r="AZ327" s="51" t="s">
        <v>264</v>
      </c>
      <c r="BA327" s="51" t="s">
        <v>264</v>
      </c>
      <c r="BB327" s="51" t="s">
        <v>264</v>
      </c>
      <c r="BC327" s="55"/>
      <c r="BD327" s="53">
        <v>153</v>
      </c>
      <c r="BE327" s="53">
        <v>35.5</v>
      </c>
      <c r="BF327" s="53">
        <v>88.6</v>
      </c>
      <c r="BG327" s="53">
        <v>10.199999999999999</v>
      </c>
      <c r="BH327" s="53">
        <v>317.10000000000002</v>
      </c>
      <c r="BI327" s="53">
        <v>125.1</v>
      </c>
      <c r="BJ327" s="53">
        <v>106.1</v>
      </c>
      <c r="BK327" s="53">
        <v>231.2</v>
      </c>
      <c r="BL327" s="55"/>
      <c r="BM327" s="53">
        <v>548.29999999999995</v>
      </c>
      <c r="BN327" s="53">
        <v>181.8</v>
      </c>
      <c r="BO327" s="53">
        <v>78.900000000000006</v>
      </c>
      <c r="BP327" s="53">
        <v>18.7</v>
      </c>
      <c r="BQ327" s="53">
        <v>97.600000000000009</v>
      </c>
      <c r="BR327" s="55"/>
      <c r="BS327" s="53">
        <v>279.40000000000003</v>
      </c>
      <c r="BT327" s="53">
        <v>31.2</v>
      </c>
      <c r="BU327" s="53">
        <v>16.100000000000001</v>
      </c>
      <c r="BV327" s="51" t="s">
        <v>264</v>
      </c>
      <c r="BW327" s="51" t="s">
        <v>264</v>
      </c>
      <c r="BX327" s="51">
        <v>404.3</v>
      </c>
      <c r="BY327" s="51" t="s">
        <v>264</v>
      </c>
      <c r="BZ327" s="51" t="s">
        <v>264</v>
      </c>
      <c r="CA327" s="51">
        <v>69.2</v>
      </c>
      <c r="CB327" s="53">
        <v>109.9</v>
      </c>
      <c r="CC327" s="53">
        <v>18.2</v>
      </c>
      <c r="CD327" s="53">
        <v>133.69999999999999</v>
      </c>
      <c r="CE327" s="53">
        <v>20.9</v>
      </c>
      <c r="CF327" s="53">
        <v>104.8</v>
      </c>
      <c r="CG327" s="53">
        <v>61.7</v>
      </c>
      <c r="CH327" s="53">
        <v>7.6</v>
      </c>
      <c r="CI327" s="53">
        <v>35.299999999999997</v>
      </c>
      <c r="CJ327" s="53">
        <v>11.1</v>
      </c>
      <c r="CK327" s="53">
        <v>166.3</v>
      </c>
      <c r="CL327" s="53">
        <v>23.9</v>
      </c>
      <c r="CM327" s="55"/>
      <c r="CN327" s="53">
        <v>58.3</v>
      </c>
      <c r="CO327" s="53">
        <v>177</v>
      </c>
      <c r="CP327" s="53">
        <v>119.4</v>
      </c>
      <c r="CQ327" s="53">
        <v>57.6</v>
      </c>
      <c r="CR327" s="53" t="s">
        <v>264</v>
      </c>
      <c r="CS327" s="12">
        <v>27.9</v>
      </c>
      <c r="CT327" s="53" t="e">
        <v>#VALUE!</v>
      </c>
      <c r="CU327" s="53" t="e">
        <v>#VALUE!</v>
      </c>
      <c r="CV327" s="53">
        <v>154.4</v>
      </c>
      <c r="CW327" s="53" t="e">
        <v>#VALUE!</v>
      </c>
      <c r="CX327" s="53" t="e">
        <v>#VALUE!</v>
      </c>
      <c r="CY327" s="53" t="e">
        <v>#VALUE!</v>
      </c>
      <c r="CZ327" s="53">
        <v>70.7</v>
      </c>
      <c r="DA327" s="12">
        <v>16.3</v>
      </c>
      <c r="DB327" s="53" t="e">
        <v>#VALUE!</v>
      </c>
      <c r="DC327" s="53" t="e">
        <v>#VALUE!</v>
      </c>
      <c r="DD327" s="55"/>
      <c r="DE327" s="55"/>
      <c r="DF327" s="55"/>
      <c r="DG327" s="55"/>
      <c r="DH327" s="55"/>
      <c r="DI327" s="53">
        <v>704</v>
      </c>
      <c r="DJ327" s="53">
        <v>489.8</v>
      </c>
      <c r="DK327" s="55"/>
      <c r="DL327" s="55"/>
      <c r="DM327" s="53">
        <v>502.4</v>
      </c>
      <c r="DN327" s="55"/>
      <c r="DO327" s="53">
        <v>207.4</v>
      </c>
      <c r="DP327" s="53">
        <v>341.7</v>
      </c>
      <c r="DQ327" s="55"/>
      <c r="DR327" s="55"/>
      <c r="DS327" s="53">
        <v>2645.2190000000001</v>
      </c>
      <c r="DT327" s="53">
        <v>4852.2</v>
      </c>
      <c r="DU327" s="53">
        <v>38.319000000000415</v>
      </c>
      <c r="DV327" s="53">
        <v>0</v>
      </c>
      <c r="DW327" s="55"/>
      <c r="DX327" s="55"/>
      <c r="DY327" s="53"/>
      <c r="DZ327" s="53"/>
      <c r="EA327" s="53">
        <v>621.1</v>
      </c>
      <c r="EB327" s="53">
        <v>744.9</v>
      </c>
      <c r="EC327" s="53"/>
      <c r="ED327" s="53"/>
      <c r="EE327" s="53">
        <v>229.1</v>
      </c>
      <c r="EF327" s="53"/>
      <c r="EG327" s="53">
        <v>134.267</v>
      </c>
      <c r="EH327" s="53">
        <v>389.2</v>
      </c>
      <c r="EI327" s="55"/>
      <c r="EJ327" s="55"/>
      <c r="EK327" s="53">
        <v>1595.5</v>
      </c>
      <c r="EL327" s="53">
        <v>3740.3</v>
      </c>
      <c r="EM327" s="55"/>
      <c r="EN327" s="55"/>
      <c r="EO327" s="53"/>
      <c r="EP327" s="53"/>
      <c r="EQ327" s="53">
        <v>266.5</v>
      </c>
      <c r="ER327" s="53">
        <v>178.8</v>
      </c>
      <c r="ES327" s="53"/>
      <c r="ET327" s="53"/>
      <c r="EU327" s="53">
        <v>199.3</v>
      </c>
      <c r="EV327" s="53"/>
      <c r="EW327" s="53">
        <v>76.8</v>
      </c>
      <c r="EX327" s="53">
        <v>123.7</v>
      </c>
      <c r="EY327" s="55"/>
      <c r="EZ327" s="55"/>
      <c r="FA327" s="53">
        <v>1003.088</v>
      </c>
      <c r="FB327" s="53">
        <v>1829.5</v>
      </c>
      <c r="FC327" s="55"/>
      <c r="FD327" s="55"/>
      <c r="FE327" s="53"/>
      <c r="FF327" s="53"/>
      <c r="FG327" s="53">
        <v>557.6</v>
      </c>
      <c r="FH327" s="53">
        <v>382.9</v>
      </c>
      <c r="FI327" s="53"/>
      <c r="FJ327" s="53"/>
      <c r="FK327" s="53">
        <v>399.9</v>
      </c>
      <c r="FL327" s="53"/>
      <c r="FM327" s="53">
        <v>166</v>
      </c>
      <c r="FN327" s="53">
        <v>270.3</v>
      </c>
      <c r="FO327" s="55"/>
      <c r="FP327" s="55"/>
      <c r="FQ327" s="53">
        <v>2083.4299999999998</v>
      </c>
      <c r="FR327" s="53">
        <v>3832.7</v>
      </c>
      <c r="FS327" s="55"/>
      <c r="FT327" s="55"/>
      <c r="FU327" s="53"/>
      <c r="FV327" s="53"/>
      <c r="FW327" s="53">
        <v>348.8</v>
      </c>
      <c r="FX327" s="53">
        <v>145</v>
      </c>
      <c r="FY327" s="53"/>
      <c r="FZ327" s="53"/>
      <c r="GA327" s="53">
        <v>85.9</v>
      </c>
      <c r="GB327" s="53"/>
      <c r="GC327" s="53">
        <v>59</v>
      </c>
      <c r="GD327" s="53" t="s">
        <v>265</v>
      </c>
      <c r="GE327" s="55"/>
      <c r="GF327" s="55"/>
      <c r="GG327" s="53">
        <v>487.911</v>
      </c>
      <c r="GH327" s="53">
        <v>1323.6</v>
      </c>
      <c r="GI327" s="55"/>
      <c r="GJ327" s="55"/>
      <c r="GK327" s="53"/>
      <c r="GL327" s="53"/>
      <c r="GM327" s="53">
        <v>69.3</v>
      </c>
      <c r="GN327" s="53" t="e">
        <v>#VALUE!</v>
      </c>
      <c r="GO327" s="53"/>
      <c r="GP327" s="53"/>
      <c r="GQ327" s="53">
        <v>35</v>
      </c>
      <c r="GR327" s="53"/>
      <c r="GS327" s="53" t="e">
        <v>#VALUE!</v>
      </c>
      <c r="GT327" s="53" t="e">
        <v>#VALUE!</v>
      </c>
      <c r="GU327" s="55"/>
      <c r="GV327" s="55"/>
      <c r="GW327" s="53">
        <v>194.00200000000001</v>
      </c>
      <c r="GX327" s="53">
        <v>388.4</v>
      </c>
      <c r="GY327" s="19">
        <v>0.97657572269988502</v>
      </c>
      <c r="GZ327" s="53">
        <v>1442.5</v>
      </c>
      <c r="HA327" s="53">
        <v>1477.1</v>
      </c>
      <c r="HB327" s="18">
        <v>10.049970466399827</v>
      </c>
      <c r="HC327" s="18">
        <v>86.409388118399875</v>
      </c>
      <c r="HD327" s="18">
        <v>1657.0499704663998</v>
      </c>
      <c r="HE327" s="18">
        <v>55</v>
      </c>
      <c r="HF327" s="53">
        <v>1647</v>
      </c>
      <c r="HG327" s="53">
        <v>1432.3</v>
      </c>
      <c r="HH327" s="53">
        <v>549.20000000000005</v>
      </c>
      <c r="HI327" s="53">
        <v>91.2</v>
      </c>
      <c r="HJ327" s="53">
        <v>781.1</v>
      </c>
      <c r="HK327" s="53">
        <v>10.8</v>
      </c>
      <c r="HL327" s="53">
        <v>214.7</v>
      </c>
      <c r="HM327" s="53">
        <v>166.1</v>
      </c>
      <c r="HN327" s="53">
        <v>40.700000000000003</v>
      </c>
      <c r="HO327" s="53">
        <v>125.4</v>
      </c>
      <c r="HP327" s="55"/>
      <c r="HQ327" s="53">
        <v>5.6</v>
      </c>
      <c r="HR327" s="53">
        <v>7.9</v>
      </c>
      <c r="HS327" s="55"/>
      <c r="HT327" s="53">
        <v>35.1</v>
      </c>
      <c r="HU327" s="55"/>
      <c r="HV327" s="55"/>
      <c r="HW327" s="53">
        <v>336.4</v>
      </c>
      <c r="HX327" s="53" t="s">
        <v>266</v>
      </c>
      <c r="HY327" s="53">
        <v>336.4</v>
      </c>
      <c r="HZ327" s="53" t="s">
        <v>265</v>
      </c>
      <c r="IA327" s="53">
        <v>199.3</v>
      </c>
      <c r="IB327" s="53">
        <v>80.3</v>
      </c>
      <c r="IC327" s="53">
        <v>119</v>
      </c>
      <c r="ID327" s="53">
        <v>68.599999999999994</v>
      </c>
      <c r="IE327" s="53">
        <v>50.3</v>
      </c>
      <c r="IF327" s="55"/>
      <c r="IG327" s="55"/>
      <c r="IH327" s="55"/>
      <c r="II327" s="55"/>
      <c r="IJ327" s="55"/>
      <c r="IK327" s="55"/>
      <c r="IL327" s="53" t="s">
        <v>265</v>
      </c>
      <c r="IM327" s="55"/>
      <c r="IN327" s="53">
        <v>65.2</v>
      </c>
      <c r="IO327" s="53">
        <v>65.7</v>
      </c>
      <c r="IP327" s="53" t="s">
        <v>265</v>
      </c>
      <c r="IQ327" s="53">
        <v>62.8</v>
      </c>
      <c r="IR327" s="53">
        <v>15.8</v>
      </c>
      <c r="IS327" s="55"/>
      <c r="IT327" s="53">
        <v>45.6</v>
      </c>
      <c r="IU327" s="53">
        <v>1.4</v>
      </c>
      <c r="IV327" s="53" t="s">
        <v>265</v>
      </c>
      <c r="IY327" s="48">
        <f t="shared" si="17"/>
        <v>47.275874860887846</v>
      </c>
      <c r="IZ327" s="48">
        <f>IY327-'NOPA Crush'!J327</f>
        <v>6.5874860887845443E-2</v>
      </c>
      <c r="JB327" s="63">
        <f t="shared" si="15"/>
        <v>11.311363917398294</v>
      </c>
      <c r="JC327" s="64">
        <f>JB327-'NOPA Crush'!O327</f>
        <v>-7.8636082601706292E-2</v>
      </c>
      <c r="JD327" s="65"/>
      <c r="JE327" s="67">
        <f t="shared" si="16"/>
        <v>3154</v>
      </c>
      <c r="JF327" s="68">
        <f>'NOPA Crush'!Q327/'Census Crush'!JE327</f>
        <v>0.83376315789473676</v>
      </c>
    </row>
    <row r="328" spans="1:266">
      <c r="A328" s="39">
        <v>39022</v>
      </c>
      <c r="B328" s="51">
        <v>4652.8999999999996</v>
      </c>
      <c r="C328" s="51">
        <v>3971.9</v>
      </c>
      <c r="D328" s="51">
        <v>223.3</v>
      </c>
      <c r="E328" s="51">
        <v>1585.4</v>
      </c>
      <c r="F328" s="51">
        <v>16.399999999999999</v>
      </c>
      <c r="G328" s="51" t="s">
        <v>264</v>
      </c>
      <c r="H328" s="51" t="s">
        <v>264</v>
      </c>
      <c r="I328" s="51" t="s">
        <v>264</v>
      </c>
      <c r="J328" s="51" t="s">
        <v>264</v>
      </c>
      <c r="K328" s="51">
        <v>1725</v>
      </c>
      <c r="L328" s="49">
        <v>3247.8540000000003</v>
      </c>
      <c r="M328" s="9">
        <v>2894.9</v>
      </c>
      <c r="N328" s="51">
        <v>352.95400000000001</v>
      </c>
      <c r="O328" s="53">
        <v>71.7</v>
      </c>
      <c r="P328" s="51">
        <v>92.5</v>
      </c>
      <c r="Q328" s="51">
        <v>12.8</v>
      </c>
      <c r="R328" s="51">
        <v>79.7</v>
      </c>
      <c r="S328" s="51"/>
      <c r="T328" s="51">
        <v>14.4</v>
      </c>
      <c r="U328" s="51">
        <v>42.699999999999996</v>
      </c>
      <c r="V328" s="51">
        <v>38.4</v>
      </c>
      <c r="W328" s="51">
        <v>4.3</v>
      </c>
      <c r="X328" s="51" t="s">
        <v>264</v>
      </c>
      <c r="Y328" s="51" t="e">
        <v>#VALUE!</v>
      </c>
      <c r="Z328" s="51">
        <v>68.400000000000006</v>
      </c>
      <c r="AA328" s="51" t="e">
        <v>#VALUE!</v>
      </c>
      <c r="AB328" s="51" t="e">
        <v>#VALUE!</v>
      </c>
      <c r="AC328" s="51" t="s">
        <v>264</v>
      </c>
      <c r="AD328" s="51">
        <v>61.2</v>
      </c>
      <c r="AE328" s="51">
        <v>63</v>
      </c>
      <c r="AF328" s="51">
        <v>171</v>
      </c>
      <c r="AG328" s="51">
        <v>128.5</v>
      </c>
      <c r="AH328" s="51">
        <v>42.5</v>
      </c>
      <c r="AI328" s="51">
        <v>216</v>
      </c>
      <c r="AJ328" s="55"/>
      <c r="AK328" s="55"/>
      <c r="AL328" s="51">
        <v>227.2</v>
      </c>
      <c r="AM328" s="51">
        <v>178.2</v>
      </c>
      <c r="AN328" s="51">
        <v>49</v>
      </c>
      <c r="AO328" s="51">
        <v>3411.7</v>
      </c>
      <c r="AP328" s="51">
        <v>345.6</v>
      </c>
      <c r="AQ328" s="51">
        <v>260.3</v>
      </c>
      <c r="AR328" s="51">
        <v>28</v>
      </c>
      <c r="AS328" s="51">
        <v>101.8</v>
      </c>
      <c r="AT328" s="51">
        <v>51.6</v>
      </c>
      <c r="AU328" s="51">
        <v>68.3</v>
      </c>
      <c r="AV328" s="51">
        <v>18.899999999999999</v>
      </c>
      <c r="AW328" s="51">
        <v>9.1999999999999993</v>
      </c>
      <c r="AX328" s="51">
        <v>1.7</v>
      </c>
      <c r="AY328" s="51" t="s">
        <v>264</v>
      </c>
      <c r="AZ328" s="51" t="s">
        <v>264</v>
      </c>
      <c r="BA328" s="51" t="s">
        <v>264</v>
      </c>
      <c r="BB328" s="51" t="s">
        <v>264</v>
      </c>
      <c r="BC328" s="55"/>
      <c r="BD328" s="53">
        <v>156.30000000000001</v>
      </c>
      <c r="BE328" s="53">
        <v>34.6</v>
      </c>
      <c r="BF328" s="53">
        <v>88.2</v>
      </c>
      <c r="BG328" s="53">
        <v>10.1</v>
      </c>
      <c r="BH328" s="53">
        <v>320.3</v>
      </c>
      <c r="BI328" s="53">
        <v>124.3</v>
      </c>
      <c r="BJ328" s="53">
        <v>102.4</v>
      </c>
      <c r="BK328" s="53">
        <v>226.7</v>
      </c>
      <c r="BL328" s="55"/>
      <c r="BM328" s="53">
        <v>547</v>
      </c>
      <c r="BN328" s="53">
        <v>192.7</v>
      </c>
      <c r="BO328" s="53">
        <v>47.7</v>
      </c>
      <c r="BP328" s="53">
        <v>18.7</v>
      </c>
      <c r="BQ328" s="53">
        <v>66.400000000000006</v>
      </c>
      <c r="BR328" s="55"/>
      <c r="BS328" s="53">
        <v>259.10000000000002</v>
      </c>
      <c r="BT328" s="53">
        <v>31.4</v>
      </c>
      <c r="BU328" s="53">
        <v>13.9</v>
      </c>
      <c r="BV328" s="51" t="s">
        <v>264</v>
      </c>
      <c r="BW328" s="51" t="s">
        <v>264</v>
      </c>
      <c r="BX328" s="51">
        <v>404.2</v>
      </c>
      <c r="BY328" s="51" t="s">
        <v>264</v>
      </c>
      <c r="BZ328" s="51" t="s">
        <v>264</v>
      </c>
      <c r="CA328" s="51">
        <v>60</v>
      </c>
      <c r="CB328" s="53">
        <v>118.1</v>
      </c>
      <c r="CC328" s="53">
        <v>16.2</v>
      </c>
      <c r="CD328" s="53">
        <v>134.9</v>
      </c>
      <c r="CE328" s="53">
        <v>20.3</v>
      </c>
      <c r="CF328" s="53">
        <v>103.7</v>
      </c>
      <c r="CG328" s="53">
        <v>72.2</v>
      </c>
      <c r="CH328" s="53">
        <v>4.9000000000000004</v>
      </c>
      <c r="CI328" s="53">
        <v>34.6</v>
      </c>
      <c r="CJ328" s="53">
        <v>8</v>
      </c>
      <c r="CK328" s="53">
        <v>157.69999999999999</v>
      </c>
      <c r="CL328" s="53">
        <v>25</v>
      </c>
      <c r="CM328" s="55"/>
      <c r="CN328" s="53">
        <v>50.4</v>
      </c>
      <c r="CO328" s="53">
        <v>178.2</v>
      </c>
      <c r="CP328" s="53">
        <v>126.8</v>
      </c>
      <c r="CQ328" s="53">
        <v>51.4</v>
      </c>
      <c r="CR328" s="53" t="s">
        <v>264</v>
      </c>
      <c r="CS328" s="12">
        <v>33</v>
      </c>
      <c r="CT328" s="53" t="e">
        <v>#VALUE!</v>
      </c>
      <c r="CU328" s="53" t="e">
        <v>#VALUE!</v>
      </c>
      <c r="CV328" s="53">
        <v>127.7</v>
      </c>
      <c r="CW328" s="53" t="e">
        <v>#VALUE!</v>
      </c>
      <c r="CX328" s="53" t="e">
        <v>#VALUE!</v>
      </c>
      <c r="CY328" s="53" t="e">
        <v>#VALUE!</v>
      </c>
      <c r="CZ328" s="53">
        <v>81.900000000000006</v>
      </c>
      <c r="DA328" s="12">
        <v>18.7</v>
      </c>
      <c r="DB328" s="53" t="e">
        <v>#VALUE!</v>
      </c>
      <c r="DC328" s="53" t="e">
        <v>#VALUE!</v>
      </c>
      <c r="DD328" s="55"/>
      <c r="DE328" s="55"/>
      <c r="DF328" s="55"/>
      <c r="DG328" s="55"/>
      <c r="DH328" s="55"/>
      <c r="DI328" s="53">
        <v>686.4</v>
      </c>
      <c r="DJ328" s="53">
        <v>462.5</v>
      </c>
      <c r="DK328" s="55"/>
      <c r="DL328" s="55"/>
      <c r="DM328" s="53">
        <v>476</v>
      </c>
      <c r="DN328" s="55"/>
      <c r="DO328" s="53">
        <v>196.7</v>
      </c>
      <c r="DP328" s="53">
        <v>324.39999999999998</v>
      </c>
      <c r="DQ328" s="55"/>
      <c r="DR328" s="55"/>
      <c r="DS328" s="53">
        <v>2496.0500000000002</v>
      </c>
      <c r="DT328" s="53">
        <v>4652.8999999999996</v>
      </c>
      <c r="DU328" s="53">
        <v>-10.849999999999454</v>
      </c>
      <c r="DV328" s="53">
        <v>0</v>
      </c>
      <c r="DW328" s="55"/>
      <c r="DX328" s="55"/>
      <c r="DY328" s="53"/>
      <c r="DZ328" s="53"/>
      <c r="EA328" s="53">
        <v>596.79999999999995</v>
      </c>
      <c r="EB328" s="53">
        <v>754.9</v>
      </c>
      <c r="EC328" s="53"/>
      <c r="ED328" s="53"/>
      <c r="EE328" s="53">
        <v>183.8</v>
      </c>
      <c r="EF328" s="53"/>
      <c r="EG328" s="53">
        <v>174.179</v>
      </c>
      <c r="EH328" s="53">
        <v>387.1</v>
      </c>
      <c r="EI328" s="55"/>
      <c r="EJ328" s="55"/>
      <c r="EK328" s="53">
        <v>1785.3240000000001</v>
      </c>
      <c r="EL328" s="53">
        <v>3971.9</v>
      </c>
      <c r="EM328" s="55"/>
      <c r="EN328" s="55"/>
      <c r="EO328" s="53"/>
      <c r="EP328" s="53"/>
      <c r="EQ328" s="53">
        <v>253.1</v>
      </c>
      <c r="ER328" s="53">
        <v>166.1</v>
      </c>
      <c r="ES328" s="53"/>
      <c r="ET328" s="53"/>
      <c r="EU328" s="53">
        <v>186.9</v>
      </c>
      <c r="EV328" s="53"/>
      <c r="EW328" s="53">
        <v>71.7</v>
      </c>
      <c r="EX328" s="53">
        <v>116.5</v>
      </c>
      <c r="EY328" s="55"/>
      <c r="EZ328" s="55"/>
      <c r="FA328" s="53">
        <v>932.13300000000004</v>
      </c>
      <c r="FB328" s="53">
        <v>1725</v>
      </c>
      <c r="FC328" s="55"/>
      <c r="FD328" s="55"/>
      <c r="FE328" s="53"/>
      <c r="FF328" s="53"/>
      <c r="FG328" s="53">
        <v>543.6</v>
      </c>
      <c r="FH328" s="53">
        <v>363.4</v>
      </c>
      <c r="FI328" s="53"/>
      <c r="FJ328" s="53"/>
      <c r="FK328" s="53">
        <v>379.2</v>
      </c>
      <c r="FL328" s="53"/>
      <c r="FM328" s="53">
        <v>158.19999999999999</v>
      </c>
      <c r="FN328" s="53">
        <v>257.7</v>
      </c>
      <c r="FO328" s="55"/>
      <c r="FP328" s="55"/>
      <c r="FQ328" s="53">
        <v>1970.0360000000001</v>
      </c>
      <c r="FR328" s="53">
        <v>3681.3</v>
      </c>
      <c r="FS328" s="55"/>
      <c r="FT328" s="55"/>
      <c r="FU328" s="53"/>
      <c r="FV328" s="53"/>
      <c r="FW328" s="53">
        <v>351.2</v>
      </c>
      <c r="FX328" s="53">
        <v>159.69999999999999</v>
      </c>
      <c r="FY328" s="53"/>
      <c r="FZ328" s="53"/>
      <c r="GA328" s="53">
        <v>78.5</v>
      </c>
      <c r="GB328" s="53"/>
      <c r="GC328" s="53">
        <v>57.7</v>
      </c>
      <c r="GD328" s="53" t="s">
        <v>265</v>
      </c>
      <c r="GE328" s="55"/>
      <c r="GF328" s="55"/>
      <c r="GG328" s="53">
        <v>530.99</v>
      </c>
      <c r="GH328" s="53">
        <v>1396.4</v>
      </c>
      <c r="GI328" s="55"/>
      <c r="GJ328" s="55"/>
      <c r="GK328" s="53"/>
      <c r="GL328" s="53"/>
      <c r="GM328" s="53">
        <v>66.2</v>
      </c>
      <c r="GN328" s="53" t="e">
        <v>#VALUE!</v>
      </c>
      <c r="GO328" s="53"/>
      <c r="GP328" s="53"/>
      <c r="GQ328" s="53">
        <v>29.5</v>
      </c>
      <c r="GR328" s="53"/>
      <c r="GS328" s="53" t="e">
        <v>#VALUE!</v>
      </c>
      <c r="GT328" s="53" t="e">
        <v>#VALUE!</v>
      </c>
      <c r="GU328" s="55"/>
      <c r="GV328" s="55"/>
      <c r="GW328" s="53">
        <v>200.35</v>
      </c>
      <c r="GX328" s="53">
        <v>373.6</v>
      </c>
      <c r="GY328" s="19">
        <v>0.9718446601941747</v>
      </c>
      <c r="GZ328" s="53">
        <v>1301.3</v>
      </c>
      <c r="HA328" s="53">
        <v>1339</v>
      </c>
      <c r="HB328" s="18">
        <v>-20.41207964780051</v>
      </c>
      <c r="HC328" s="18">
        <v>-126.91773989340049</v>
      </c>
      <c r="HD328" s="18">
        <v>1513.1879203521994</v>
      </c>
      <c r="HE328" s="18">
        <v>-17.400000000000091</v>
      </c>
      <c r="HF328" s="53">
        <v>1533.6</v>
      </c>
      <c r="HG328" s="53">
        <v>1326.6</v>
      </c>
      <c r="HH328" s="53">
        <v>501.7</v>
      </c>
      <c r="HI328" s="53">
        <v>90</v>
      </c>
      <c r="HJ328" s="53">
        <v>725.1</v>
      </c>
      <c r="HK328" s="53">
        <v>9.8000000000000007</v>
      </c>
      <c r="HL328" s="53">
        <v>207</v>
      </c>
      <c r="HM328" s="53">
        <v>157.6</v>
      </c>
      <c r="HN328" s="53">
        <v>34.9</v>
      </c>
      <c r="HO328" s="53">
        <v>122.7</v>
      </c>
      <c r="HP328" s="55"/>
      <c r="HQ328" s="53">
        <v>4.3</v>
      </c>
      <c r="HR328" s="53">
        <v>6.9</v>
      </c>
      <c r="HS328" s="55"/>
      <c r="HT328" s="53">
        <v>38.200000000000003</v>
      </c>
      <c r="HU328" s="55"/>
      <c r="HV328" s="55"/>
      <c r="HW328" s="53">
        <v>335.5</v>
      </c>
      <c r="HX328" s="53" t="s">
        <v>266</v>
      </c>
      <c r="HY328" s="53">
        <v>335.5</v>
      </c>
      <c r="HZ328" s="53" t="s">
        <v>265</v>
      </c>
      <c r="IA328" s="53">
        <v>209</v>
      </c>
      <c r="IB328" s="53">
        <v>79.099999999999994</v>
      </c>
      <c r="IC328" s="53">
        <v>129.9</v>
      </c>
      <c r="ID328" s="53">
        <v>68.3</v>
      </c>
      <c r="IE328" s="53">
        <v>61.6</v>
      </c>
      <c r="IF328" s="55"/>
      <c r="IG328" s="55"/>
      <c r="IH328" s="55"/>
      <c r="II328" s="55"/>
      <c r="IJ328" s="55"/>
      <c r="IK328" s="55"/>
      <c r="IL328" s="53" t="s">
        <v>265</v>
      </c>
      <c r="IM328" s="55"/>
      <c r="IN328" s="53">
        <v>55.3</v>
      </c>
      <c r="IO328" s="53">
        <v>55.7</v>
      </c>
      <c r="IP328" s="53" t="s">
        <v>265</v>
      </c>
      <c r="IQ328" s="53">
        <v>58.5</v>
      </c>
      <c r="IR328" s="53">
        <v>13.6</v>
      </c>
      <c r="IS328" s="55"/>
      <c r="IT328" s="53">
        <v>43.4</v>
      </c>
      <c r="IU328" s="53">
        <v>1.6</v>
      </c>
      <c r="IV328" s="53" t="s">
        <v>265</v>
      </c>
      <c r="IY328" s="48">
        <f t="shared" si="17"/>
        <v>47.351114358786994</v>
      </c>
      <c r="IZ328" s="48">
        <f>IY328-'NOPA Crush'!J328</f>
        <v>3.1114358786993535E-2</v>
      </c>
      <c r="JB328" s="63">
        <f t="shared" si="15"/>
        <v>11.122095897182403</v>
      </c>
      <c r="JC328" s="64">
        <f>JB328-'NOPA Crush'!O328</f>
        <v>-6.7904102817596623E-2</v>
      </c>
      <c r="JD328" s="65"/>
      <c r="JE328" s="67">
        <f t="shared" si="16"/>
        <v>3247.8540000000003</v>
      </c>
      <c r="JF328" s="68">
        <f>'NOPA Crush'!Q328/'Census Crush'!JE328</f>
        <v>0.82953821200090883</v>
      </c>
    </row>
    <row r="329" spans="1:266">
      <c r="A329" s="39">
        <v>39052</v>
      </c>
      <c r="B329" s="51">
        <v>4721.5</v>
      </c>
      <c r="C329" s="51">
        <v>3810.5</v>
      </c>
      <c r="D329" s="51">
        <v>236.7</v>
      </c>
      <c r="E329" s="51">
        <v>1772.9</v>
      </c>
      <c r="F329" s="51">
        <v>11.9</v>
      </c>
      <c r="G329" s="51" t="s">
        <v>264</v>
      </c>
      <c r="H329" s="51" t="s">
        <v>264</v>
      </c>
      <c r="I329" s="51" t="s">
        <v>264</v>
      </c>
      <c r="J329" s="51" t="s">
        <v>264</v>
      </c>
      <c r="K329" s="51">
        <v>1771</v>
      </c>
      <c r="L329" s="49">
        <v>3268.895</v>
      </c>
      <c r="M329" s="9">
        <v>2890</v>
      </c>
      <c r="N329" s="51">
        <v>378.89499999999998</v>
      </c>
      <c r="O329" s="53">
        <v>73.900000000000006</v>
      </c>
      <c r="P329" s="51">
        <v>107</v>
      </c>
      <c r="Q329" s="51">
        <v>16.2</v>
      </c>
      <c r="R329" s="51">
        <v>90.8</v>
      </c>
      <c r="S329" s="51"/>
      <c r="T329" s="51">
        <v>10.1</v>
      </c>
      <c r="U329" s="51">
        <v>41.4</v>
      </c>
      <c r="V329" s="51">
        <v>36.799999999999997</v>
      </c>
      <c r="W329" s="51">
        <v>4.5999999999999996</v>
      </c>
      <c r="X329" s="51" t="s">
        <v>264</v>
      </c>
      <c r="Y329" s="51" t="e">
        <v>#VALUE!</v>
      </c>
      <c r="Z329" s="51">
        <v>73.400000000000006</v>
      </c>
      <c r="AA329" s="51" t="e">
        <v>#VALUE!</v>
      </c>
      <c r="AB329" s="51" t="e">
        <v>#VALUE!</v>
      </c>
      <c r="AC329" s="51" t="s">
        <v>264</v>
      </c>
      <c r="AD329" s="51">
        <v>29.1</v>
      </c>
      <c r="AE329" s="51">
        <v>29.7</v>
      </c>
      <c r="AF329" s="51">
        <v>168</v>
      </c>
      <c r="AG329" s="51">
        <v>130.30000000000001</v>
      </c>
      <c r="AH329" s="51">
        <v>37.700000000000003</v>
      </c>
      <c r="AI329" s="51">
        <v>226.1</v>
      </c>
      <c r="AJ329" s="55"/>
      <c r="AK329" s="55"/>
      <c r="AL329" s="51">
        <v>236.29999999999998</v>
      </c>
      <c r="AM329" s="51">
        <v>173.2</v>
      </c>
      <c r="AN329" s="51">
        <v>63.1</v>
      </c>
      <c r="AO329" s="51">
        <v>3466.3</v>
      </c>
      <c r="AP329" s="51">
        <v>433.1</v>
      </c>
      <c r="AQ329" s="51">
        <v>266.7</v>
      </c>
      <c r="AR329" s="51">
        <v>35.799999999999997</v>
      </c>
      <c r="AS329" s="51">
        <v>102.4</v>
      </c>
      <c r="AT329" s="51">
        <v>36.1</v>
      </c>
      <c r="AU329" s="51">
        <v>79.5</v>
      </c>
      <c r="AV329" s="51">
        <v>25.1</v>
      </c>
      <c r="AW329" s="51">
        <v>6.7</v>
      </c>
      <c r="AX329" s="51">
        <v>2.1</v>
      </c>
      <c r="AY329" s="51" t="s">
        <v>264</v>
      </c>
      <c r="AZ329" s="51" t="s">
        <v>264</v>
      </c>
      <c r="BA329" s="51" t="s">
        <v>264</v>
      </c>
      <c r="BB329" s="51" t="s">
        <v>264</v>
      </c>
      <c r="BC329" s="55"/>
      <c r="BD329" s="53">
        <v>155.80000000000001</v>
      </c>
      <c r="BE329" s="53">
        <v>34.6</v>
      </c>
      <c r="BF329" s="53">
        <v>81.599999999999994</v>
      </c>
      <c r="BG329" s="53">
        <v>10</v>
      </c>
      <c r="BH329" s="53">
        <v>309.89999999999998</v>
      </c>
      <c r="BI329" s="53">
        <v>117.2</v>
      </c>
      <c r="BJ329" s="53">
        <v>96.7</v>
      </c>
      <c r="BK329" s="53">
        <v>213.9</v>
      </c>
      <c r="BL329" s="55"/>
      <c r="BM329" s="53">
        <v>523.79999999999995</v>
      </c>
      <c r="BN329" s="53">
        <v>203.6</v>
      </c>
      <c r="BO329" s="53">
        <v>56.1</v>
      </c>
      <c r="BP329" s="53">
        <v>21.8</v>
      </c>
      <c r="BQ329" s="53">
        <v>77.900000000000006</v>
      </c>
      <c r="BR329" s="55"/>
      <c r="BS329" s="53">
        <v>281.5</v>
      </c>
      <c r="BT329" s="53">
        <v>31.8</v>
      </c>
      <c r="BU329" s="53">
        <v>14.2</v>
      </c>
      <c r="BV329" s="51" t="s">
        <v>264</v>
      </c>
      <c r="BW329" s="51" t="s">
        <v>264</v>
      </c>
      <c r="BX329" s="51">
        <v>402.7</v>
      </c>
      <c r="BY329" s="51" t="s">
        <v>264</v>
      </c>
      <c r="BZ329" s="51" t="s">
        <v>264</v>
      </c>
      <c r="CA329" s="51">
        <v>51.1</v>
      </c>
      <c r="CB329" s="53">
        <v>115.7</v>
      </c>
      <c r="CC329" s="53">
        <v>16.100000000000001</v>
      </c>
      <c r="CD329" s="53">
        <v>138.19999999999999</v>
      </c>
      <c r="CE329" s="53">
        <v>29.6</v>
      </c>
      <c r="CF329" s="53">
        <v>108.5</v>
      </c>
      <c r="CG329" s="53">
        <v>75.7</v>
      </c>
      <c r="CH329" s="53">
        <v>5</v>
      </c>
      <c r="CI329" s="53">
        <v>32.6</v>
      </c>
      <c r="CJ329" s="53">
        <v>7.5</v>
      </c>
      <c r="CK329" s="53">
        <v>152.69999999999999</v>
      </c>
      <c r="CL329" s="53">
        <v>26.3</v>
      </c>
      <c r="CM329" s="55"/>
      <c r="CN329" s="53">
        <v>53.9</v>
      </c>
      <c r="CO329" s="53">
        <v>214.5</v>
      </c>
      <c r="CP329" s="53">
        <v>150.30000000000001</v>
      </c>
      <c r="CQ329" s="53">
        <v>64.2</v>
      </c>
      <c r="CR329" s="53" t="s">
        <v>264</v>
      </c>
      <c r="CS329" s="12">
        <v>38.1</v>
      </c>
      <c r="CT329" s="53" t="e">
        <v>#VALUE!</v>
      </c>
      <c r="CU329" s="53" t="e">
        <v>#VALUE!</v>
      </c>
      <c r="CV329" s="53">
        <v>198.7</v>
      </c>
      <c r="CW329" s="53" t="e">
        <v>#VALUE!</v>
      </c>
      <c r="CX329" s="53" t="e">
        <v>#VALUE!</v>
      </c>
      <c r="CY329" s="53" t="e">
        <v>#VALUE!</v>
      </c>
      <c r="CZ329" s="53">
        <v>103.2</v>
      </c>
      <c r="DA329" s="12">
        <v>13.4</v>
      </c>
      <c r="DB329" s="53" t="e">
        <v>#VALUE!</v>
      </c>
      <c r="DC329" s="53" t="e">
        <v>#VALUE!</v>
      </c>
      <c r="DD329" s="55"/>
      <c r="DE329" s="55"/>
      <c r="DF329" s="55"/>
      <c r="DG329" s="55"/>
      <c r="DH329" s="55"/>
      <c r="DI329" s="53">
        <v>725.5</v>
      </c>
      <c r="DJ329" s="53">
        <v>457.8</v>
      </c>
      <c r="DK329" s="55"/>
      <c r="DL329" s="55"/>
      <c r="DM329" s="53">
        <v>521.70000000000005</v>
      </c>
      <c r="DN329" s="55"/>
      <c r="DO329" s="53">
        <v>197.4</v>
      </c>
      <c r="DP329" s="53">
        <v>333</v>
      </c>
      <c r="DQ329" s="55"/>
      <c r="DR329" s="55"/>
      <c r="DS329" s="53">
        <v>2519.1909999999998</v>
      </c>
      <c r="DT329" s="53">
        <v>4721.5</v>
      </c>
      <c r="DU329" s="53">
        <v>33.091000000000349</v>
      </c>
      <c r="DV329" s="53">
        <v>0</v>
      </c>
      <c r="DW329" s="55"/>
      <c r="DX329" s="55"/>
      <c r="DY329" s="53"/>
      <c r="DZ329" s="53"/>
      <c r="EA329" s="53">
        <v>633</v>
      </c>
      <c r="EB329" s="53">
        <v>644</v>
      </c>
      <c r="EC329" s="53"/>
      <c r="ED329" s="53"/>
      <c r="EE329" s="53">
        <v>197.3</v>
      </c>
      <c r="EF329" s="53"/>
      <c r="EG329" s="53">
        <v>137.56100000000001</v>
      </c>
      <c r="EH329" s="53">
        <v>353.6</v>
      </c>
      <c r="EI329" s="55"/>
      <c r="EJ329" s="55"/>
      <c r="EK329" s="53">
        <v>1768.0129999999999</v>
      </c>
      <c r="EL329" s="53">
        <v>3810.5</v>
      </c>
      <c r="EM329" s="55"/>
      <c r="EN329" s="55"/>
      <c r="EO329" s="53"/>
      <c r="EP329" s="53"/>
      <c r="EQ329" s="53">
        <v>273.39999999999998</v>
      </c>
      <c r="ER329" s="53">
        <v>168.3</v>
      </c>
      <c r="ES329" s="53"/>
      <c r="ET329" s="53"/>
      <c r="EU329" s="53">
        <v>202.7</v>
      </c>
      <c r="EV329" s="53"/>
      <c r="EW329" s="53">
        <v>72.3</v>
      </c>
      <c r="EX329" s="53">
        <v>120</v>
      </c>
      <c r="EY329" s="55"/>
      <c r="EZ329" s="55"/>
      <c r="FA329" s="53">
        <v>952.173</v>
      </c>
      <c r="FB329" s="53">
        <v>1771</v>
      </c>
      <c r="FC329" s="55"/>
      <c r="FD329" s="55"/>
      <c r="FE329" s="53"/>
      <c r="FF329" s="53"/>
      <c r="FG329" s="53">
        <v>576.1</v>
      </c>
      <c r="FH329" s="53">
        <v>363.4</v>
      </c>
      <c r="FI329" s="53"/>
      <c r="FJ329" s="53"/>
      <c r="FK329" s="53">
        <v>412.9</v>
      </c>
      <c r="FL329" s="53"/>
      <c r="FM329" s="53">
        <v>158.6</v>
      </c>
      <c r="FN329" s="53">
        <v>264.8</v>
      </c>
      <c r="FO329" s="55"/>
      <c r="FP329" s="55"/>
      <c r="FQ329" s="53">
        <v>1988.508</v>
      </c>
      <c r="FR329" s="53">
        <v>3738.9</v>
      </c>
      <c r="FS329" s="55"/>
      <c r="FT329" s="55"/>
      <c r="FU329" s="53"/>
      <c r="FV329" s="53"/>
      <c r="FW329" s="53">
        <v>380.9</v>
      </c>
      <c r="FX329" s="53">
        <v>159.69999999999999</v>
      </c>
      <c r="FY329" s="53"/>
      <c r="FZ329" s="53"/>
      <c r="GA329" s="53">
        <v>106.9</v>
      </c>
      <c r="GB329" s="53"/>
      <c r="GC329" s="53" t="s">
        <v>265</v>
      </c>
      <c r="GD329" s="53" t="s">
        <v>265</v>
      </c>
      <c r="GE329" s="55"/>
      <c r="GF329" s="55"/>
      <c r="GG329" s="53">
        <v>497.72699999999998</v>
      </c>
      <c r="GH329" s="53">
        <v>1448.3</v>
      </c>
      <c r="GI329" s="55"/>
      <c r="GJ329" s="55"/>
      <c r="GK329" s="53"/>
      <c r="GL329" s="53"/>
      <c r="GM329" s="53">
        <v>108.6</v>
      </c>
      <c r="GN329" s="53" t="e">
        <v>#VALUE!</v>
      </c>
      <c r="GO329" s="53"/>
      <c r="GP329" s="53"/>
      <c r="GQ329" s="53">
        <v>53.1</v>
      </c>
      <c r="GR329" s="53"/>
      <c r="GS329" s="53" t="e">
        <v>#VALUE!</v>
      </c>
      <c r="GT329" s="53">
        <v>15.5</v>
      </c>
      <c r="GU329" s="55"/>
      <c r="GV329" s="55"/>
      <c r="GW329" s="53">
        <v>260.07400000000001</v>
      </c>
      <c r="GX329" s="53">
        <v>475.7</v>
      </c>
      <c r="GY329" s="19">
        <v>0.97954496879149866</v>
      </c>
      <c r="GZ329" s="53">
        <v>1295.4013500000001</v>
      </c>
      <c r="HA329" s="53">
        <v>1322.4521499999998</v>
      </c>
      <c r="HB329" s="18">
        <v>-16.485198960999469</v>
      </c>
      <c r="HC329" s="18">
        <v>200.23734267100053</v>
      </c>
      <c r="HD329" s="18">
        <v>1474.2148010390006</v>
      </c>
      <c r="HE329" s="18">
        <v>70.700000000000045</v>
      </c>
      <c r="HF329" s="53">
        <v>1490.7</v>
      </c>
      <c r="HG329" s="53">
        <v>1266.9000000000001</v>
      </c>
      <c r="HH329" s="53">
        <v>475.3</v>
      </c>
      <c r="HI329" s="53">
        <v>79.599999999999994</v>
      </c>
      <c r="HJ329" s="53">
        <v>704.6</v>
      </c>
      <c r="HK329" s="53">
        <v>7.5</v>
      </c>
      <c r="HL329" s="53">
        <v>223.8</v>
      </c>
      <c r="HM329" s="53">
        <v>178.7</v>
      </c>
      <c r="HN329" s="53">
        <v>33.6</v>
      </c>
      <c r="HO329" s="53">
        <v>145.1</v>
      </c>
      <c r="HP329" s="55"/>
      <c r="HQ329" s="53">
        <v>5</v>
      </c>
      <c r="HR329" s="53">
        <v>5.9</v>
      </c>
      <c r="HS329" s="55"/>
      <c r="HT329" s="53">
        <v>34.200000000000003</v>
      </c>
      <c r="HU329" s="55"/>
      <c r="HV329" s="55"/>
      <c r="HW329" s="53">
        <v>303.41163000000006</v>
      </c>
      <c r="HX329" s="53" t="s">
        <v>266</v>
      </c>
      <c r="HY329" s="53">
        <v>303.41163000000006</v>
      </c>
      <c r="HZ329" s="53" t="s">
        <v>265</v>
      </c>
      <c r="IA329" s="53">
        <v>196.92442</v>
      </c>
      <c r="IB329" s="53">
        <v>75.483829999999998</v>
      </c>
      <c r="IC329" s="53">
        <v>121.44059</v>
      </c>
      <c r="ID329" s="53">
        <v>80.06147</v>
      </c>
      <c r="IE329" s="53">
        <v>41.37912</v>
      </c>
      <c r="IF329" s="55"/>
      <c r="IG329" s="55"/>
      <c r="IH329" s="55"/>
      <c r="II329" s="55"/>
      <c r="IJ329" s="55"/>
      <c r="IK329" s="55"/>
      <c r="IL329" s="53" t="s">
        <v>265</v>
      </c>
      <c r="IM329" s="55"/>
      <c r="IN329" s="53">
        <v>61.055999999999997</v>
      </c>
      <c r="IO329" s="53">
        <v>61.359000000000002</v>
      </c>
      <c r="IP329" s="53" t="s">
        <v>265</v>
      </c>
      <c r="IQ329" s="53">
        <v>51.238730000000004</v>
      </c>
      <c r="IR329" s="53">
        <v>11.431929999999999</v>
      </c>
      <c r="IS329" s="55"/>
      <c r="IT329" s="53">
        <v>38.404449999999997</v>
      </c>
      <c r="IU329" s="53">
        <v>1.4</v>
      </c>
      <c r="IV329" s="53" t="s">
        <v>265</v>
      </c>
      <c r="IY329" s="48">
        <f t="shared" si="17"/>
        <v>47.438314095096899</v>
      </c>
      <c r="IZ329" s="48">
        <f>IY329-'NOPA Crush'!J329</f>
        <v>0.12831409509689706</v>
      </c>
      <c r="JB329" s="63">
        <f t="shared" si="15"/>
        <v>11.252779836916234</v>
      </c>
      <c r="JC329" s="64">
        <f>JB329-'NOPA Crush'!O329</f>
        <v>-4.7220163083766309E-2</v>
      </c>
      <c r="JD329" s="65"/>
      <c r="JE329" s="67">
        <f t="shared" si="16"/>
        <v>3268.895</v>
      </c>
      <c r="JF329" s="68">
        <f>'NOPA Crush'!Q329/'Census Crush'!JE329</f>
        <v>0.79716846212558068</v>
      </c>
    </row>
    <row r="330" spans="1:266">
      <c r="A330" s="39">
        <v>39083</v>
      </c>
      <c r="B330" s="51">
        <v>4664.67659</v>
      </c>
      <c r="C330" s="51">
        <v>3991.2240000000002</v>
      </c>
      <c r="D330" s="51">
        <v>251.21632</v>
      </c>
      <c r="E330" s="51">
        <v>1675.1310000000001</v>
      </c>
      <c r="F330" s="51">
        <v>17.06025</v>
      </c>
      <c r="G330" s="51" t="s">
        <v>264</v>
      </c>
      <c r="H330" s="51" t="s">
        <v>264</v>
      </c>
      <c r="I330" s="51" t="s">
        <v>264</v>
      </c>
      <c r="J330" s="51" t="s">
        <v>264</v>
      </c>
      <c r="K330" s="51">
        <v>1747.20389</v>
      </c>
      <c r="L330" s="51">
        <v>3359.7</v>
      </c>
      <c r="M330" s="51">
        <v>2919.5</v>
      </c>
      <c r="N330" s="51">
        <v>437.2</v>
      </c>
      <c r="O330" s="53">
        <v>78.561960000000013</v>
      </c>
      <c r="P330" s="51">
        <v>117.5</v>
      </c>
      <c r="Q330" s="51">
        <v>13.7</v>
      </c>
      <c r="R330" s="51">
        <v>103.8</v>
      </c>
      <c r="S330" s="51"/>
      <c r="T330" s="51">
        <v>14.3</v>
      </c>
      <c r="U330" s="51">
        <v>43.1</v>
      </c>
      <c r="V330" s="51">
        <v>38.700000000000003</v>
      </c>
      <c r="W330" s="51">
        <v>4.4000000000000004</v>
      </c>
      <c r="X330" s="51" t="s">
        <v>264</v>
      </c>
      <c r="Y330" s="51" t="s">
        <v>265</v>
      </c>
      <c r="Z330" s="51">
        <v>73</v>
      </c>
      <c r="AA330" s="51" t="s">
        <v>265</v>
      </c>
      <c r="AB330" s="51" t="s">
        <v>265</v>
      </c>
      <c r="AC330" s="51" t="s">
        <v>264</v>
      </c>
      <c r="AD330" s="51">
        <v>51.9</v>
      </c>
      <c r="AE330" s="51">
        <v>53.3</v>
      </c>
      <c r="AF330" s="51">
        <v>169.6</v>
      </c>
      <c r="AG330" s="51">
        <v>132.19999999999999</v>
      </c>
      <c r="AH330" s="51">
        <v>37.299999999999997</v>
      </c>
      <c r="AI330" s="51">
        <v>224.964</v>
      </c>
      <c r="AJ330" s="51">
        <v>220.1</v>
      </c>
      <c r="AK330" s="51">
        <v>4.5999999999999996</v>
      </c>
      <c r="AL330" s="51">
        <v>251.6</v>
      </c>
      <c r="AM330" s="51">
        <v>163.19999999999999</v>
      </c>
      <c r="AN330" s="51">
        <v>88.4</v>
      </c>
      <c r="AO330" s="51">
        <v>3428.22298</v>
      </c>
      <c r="AP330" s="51">
        <v>338.62200000000001</v>
      </c>
      <c r="AQ330" s="51">
        <v>269.33584000000002</v>
      </c>
      <c r="AR330" s="51">
        <v>33.762999999999998</v>
      </c>
      <c r="AS330" s="51">
        <v>115.31547999999999</v>
      </c>
      <c r="AT330" s="51">
        <v>16.995999999999999</v>
      </c>
      <c r="AU330" s="51">
        <v>78.974320000000006</v>
      </c>
      <c r="AV330" s="51">
        <v>34.545999999999999</v>
      </c>
      <c r="AW330" s="51">
        <v>9.3997000000000011</v>
      </c>
      <c r="AX330" s="55"/>
      <c r="AY330" s="51" t="s">
        <v>264</v>
      </c>
      <c r="AZ330" s="51" t="s">
        <v>264</v>
      </c>
      <c r="BA330" s="51" t="s">
        <v>264</v>
      </c>
      <c r="BB330" s="51" t="s">
        <v>264</v>
      </c>
      <c r="BC330" s="55"/>
      <c r="BD330" s="53">
        <v>152.6</v>
      </c>
      <c r="BE330" s="53">
        <v>33.6</v>
      </c>
      <c r="BF330" s="53">
        <v>71</v>
      </c>
      <c r="BG330" s="53">
        <v>9.6999999999999993</v>
      </c>
      <c r="BH330" s="53">
        <v>340.3</v>
      </c>
      <c r="BI330" s="53">
        <v>121.8</v>
      </c>
      <c r="BJ330" s="53">
        <v>114.4</v>
      </c>
      <c r="BK330" s="53">
        <v>236.2</v>
      </c>
      <c r="BL330" s="55"/>
      <c r="BM330" s="53">
        <v>576.5</v>
      </c>
      <c r="BN330" s="53">
        <v>236.1</v>
      </c>
      <c r="BO330" s="53">
        <v>69.099999999999994</v>
      </c>
      <c r="BP330" s="53">
        <v>21.6</v>
      </c>
      <c r="BQ330" s="53">
        <v>90.7</v>
      </c>
      <c r="BR330" s="55"/>
      <c r="BS330" s="53">
        <v>326.8</v>
      </c>
      <c r="BT330" s="53">
        <v>34.200000000000003</v>
      </c>
      <c r="BU330" s="53">
        <v>14.9</v>
      </c>
      <c r="BV330" s="51" t="s">
        <v>264</v>
      </c>
      <c r="BW330" s="51" t="s">
        <v>264</v>
      </c>
      <c r="BX330" s="51">
        <v>429.3</v>
      </c>
      <c r="BY330" s="51" t="s">
        <v>264</v>
      </c>
      <c r="BZ330" s="51" t="s">
        <v>264</v>
      </c>
      <c r="CA330" s="51">
        <v>66.400000000000006</v>
      </c>
      <c r="CB330" s="53">
        <v>111.6</v>
      </c>
      <c r="CC330" s="53">
        <v>13.8</v>
      </c>
      <c r="CD330" s="53">
        <v>122</v>
      </c>
      <c r="CE330" s="53">
        <v>21.4</v>
      </c>
      <c r="CF330" s="53">
        <v>108.4</v>
      </c>
      <c r="CG330" s="53">
        <v>97.8</v>
      </c>
      <c r="CH330" s="53">
        <v>5.4</v>
      </c>
      <c r="CI330" s="53">
        <v>30.5</v>
      </c>
      <c r="CJ330" s="53">
        <v>5.9</v>
      </c>
      <c r="CK330" s="53">
        <v>166.9</v>
      </c>
      <c r="CL330" s="53">
        <v>29.8</v>
      </c>
      <c r="CM330" s="55"/>
      <c r="CN330" s="53">
        <v>53.3</v>
      </c>
      <c r="CO330" s="53">
        <v>229</v>
      </c>
      <c r="CP330" s="53">
        <v>161.4</v>
      </c>
      <c r="CQ330" s="53">
        <v>67.599999999999994</v>
      </c>
      <c r="CR330" s="53" t="s">
        <v>264</v>
      </c>
      <c r="CS330" s="53">
        <v>40.9</v>
      </c>
      <c r="CT330" s="53">
        <v>17.899999999999999</v>
      </c>
      <c r="CU330" s="53">
        <v>23</v>
      </c>
      <c r="CV330" s="53">
        <v>228.6</v>
      </c>
      <c r="CW330" s="53" t="s">
        <v>265</v>
      </c>
      <c r="CX330" s="53" t="s">
        <v>265</v>
      </c>
      <c r="CY330" s="53" t="s">
        <v>265</v>
      </c>
      <c r="CZ330" s="53">
        <v>87.4</v>
      </c>
      <c r="DA330" s="52">
        <v>10.6</v>
      </c>
      <c r="DB330" s="53">
        <v>7.6</v>
      </c>
      <c r="DC330" s="53">
        <v>3</v>
      </c>
      <c r="DD330" s="55"/>
      <c r="DE330" s="55"/>
      <c r="DF330" s="55"/>
      <c r="DG330" s="55"/>
      <c r="DH330" s="55"/>
      <c r="DI330" s="53">
        <v>690.08</v>
      </c>
      <c r="DJ330" s="53">
        <v>440.04055</v>
      </c>
      <c r="DK330" s="53">
        <v>1065.915</v>
      </c>
      <c r="DL330" s="55"/>
      <c r="DM330" s="53">
        <v>527.27700000000004</v>
      </c>
      <c r="DN330" s="55"/>
      <c r="DO330" s="53">
        <v>194.97200000000001</v>
      </c>
      <c r="DP330" s="53">
        <v>337.51299999999998</v>
      </c>
      <c r="DQ330" s="55"/>
      <c r="DR330" s="55"/>
      <c r="DS330" s="53">
        <v>1403.75</v>
      </c>
      <c r="DT330" s="53">
        <v>4664.67659</v>
      </c>
      <c r="DU330" s="53">
        <v>-5.1290399999998044</v>
      </c>
      <c r="DV330" s="53">
        <v>0</v>
      </c>
      <c r="DW330" s="55"/>
      <c r="DX330" s="55"/>
      <c r="DY330" s="53"/>
      <c r="DZ330" s="53"/>
      <c r="EA330" s="53">
        <v>672.59</v>
      </c>
      <c r="EB330" s="53">
        <v>641.84900000000005</v>
      </c>
      <c r="EC330" s="53">
        <v>578.14400000000001</v>
      </c>
      <c r="ED330" s="53"/>
      <c r="EE330" s="53">
        <v>207.744</v>
      </c>
      <c r="EF330" s="53"/>
      <c r="EG330" s="53">
        <v>144.16200000000001</v>
      </c>
      <c r="EH330" s="53" t="s">
        <v>265</v>
      </c>
      <c r="EI330" s="55"/>
      <c r="EJ330" s="55"/>
      <c r="EK330" s="53" t="e">
        <v>#VALUE!</v>
      </c>
      <c r="EL330" s="53">
        <v>3991.2240000000002</v>
      </c>
      <c r="EM330" s="55"/>
      <c r="EN330" s="55"/>
      <c r="EO330" s="53"/>
      <c r="EP330" s="53"/>
      <c r="EQ330" s="53">
        <v>260.93200000000002</v>
      </c>
      <c r="ER330" s="53">
        <v>159.98045000000002</v>
      </c>
      <c r="ES330" s="53">
        <v>401.83699999999999</v>
      </c>
      <c r="ET330" s="53"/>
      <c r="EU330" s="53">
        <v>204.18799999999999</v>
      </c>
      <c r="EV330" s="53"/>
      <c r="EW330" s="53">
        <v>71.507000000000005</v>
      </c>
      <c r="EX330" s="53">
        <v>121.04</v>
      </c>
      <c r="EY330" s="55"/>
      <c r="EZ330" s="55"/>
      <c r="FA330" s="53">
        <v>526.78800000000001</v>
      </c>
      <c r="FB330" s="53">
        <v>1747.20389</v>
      </c>
      <c r="FC330" s="55"/>
      <c r="FD330" s="55"/>
      <c r="FE330" s="53"/>
      <c r="FF330" s="53"/>
      <c r="FG330" s="53">
        <v>543.85500000000002</v>
      </c>
      <c r="FH330" s="53">
        <v>352.74270000000001</v>
      </c>
      <c r="FI330" s="53">
        <v>848.66200000000003</v>
      </c>
      <c r="FJ330" s="53"/>
      <c r="FK330" s="53">
        <v>416.32799999999997</v>
      </c>
      <c r="FL330" s="53"/>
      <c r="FM330" s="53">
        <v>157.38999999999999</v>
      </c>
      <c r="FN330" s="53">
        <v>268.39400000000001</v>
      </c>
      <c r="FO330" s="55"/>
      <c r="FP330" s="55"/>
      <c r="FQ330" s="53">
        <v>1781.9269999999999</v>
      </c>
      <c r="FR330" s="53">
        <v>3706.2288199999998</v>
      </c>
      <c r="FS330" s="55"/>
      <c r="FT330" s="55"/>
      <c r="FU330" s="53"/>
      <c r="FV330" s="53"/>
      <c r="FW330" s="53">
        <v>358.73899999999998</v>
      </c>
      <c r="FX330" s="53">
        <v>154.042</v>
      </c>
      <c r="FY330" s="53">
        <v>241.05600000000001</v>
      </c>
      <c r="FZ330" s="53"/>
      <c r="GA330" s="53">
        <v>134.63900000000001</v>
      </c>
      <c r="GB330" s="53"/>
      <c r="GC330" s="53">
        <v>60.021000000000001</v>
      </c>
      <c r="GD330" s="53" t="s">
        <v>265</v>
      </c>
      <c r="GE330" s="55"/>
      <c r="GF330" s="55"/>
      <c r="GG330" s="53">
        <v>334.81200000000001</v>
      </c>
      <c r="GH330" s="53">
        <v>1486.067</v>
      </c>
      <c r="GI330" s="55"/>
      <c r="GJ330" s="55"/>
      <c r="GK330" s="53"/>
      <c r="GL330" s="53"/>
      <c r="GM330" s="53">
        <v>83.741</v>
      </c>
      <c r="GN330" s="53" t="s">
        <v>265</v>
      </c>
      <c r="GO330" s="53">
        <v>65.403999999999996</v>
      </c>
      <c r="GP330" s="53"/>
      <c r="GQ330" s="53">
        <v>27.724</v>
      </c>
      <c r="GR330" s="53"/>
      <c r="GS330" s="53">
        <v>3.3</v>
      </c>
      <c r="GT330" s="53" t="s">
        <v>265</v>
      </c>
      <c r="GU330" s="55"/>
      <c r="GV330" s="55"/>
      <c r="GW330" s="53">
        <v>95.284000000000006</v>
      </c>
      <c r="GX330" s="53">
        <v>372.38499999999999</v>
      </c>
      <c r="GY330" s="19">
        <v>0.9794036274208423</v>
      </c>
      <c r="GZ330" s="53">
        <v>1274.4000000000001</v>
      </c>
      <c r="HA330" s="53">
        <v>1301.2</v>
      </c>
      <c r="HB330" s="18">
        <v>27.318123429200341</v>
      </c>
      <c r="HC330" s="18">
        <v>64.251356608000606</v>
      </c>
      <c r="HD330" s="18">
        <v>1481.0181234292004</v>
      </c>
      <c r="HE330" s="18">
        <v>-5.7999999999999545</v>
      </c>
      <c r="HF330" s="53">
        <v>1453.7</v>
      </c>
      <c r="HG330" s="53">
        <v>1237.3</v>
      </c>
      <c r="HH330" s="53">
        <v>471.3</v>
      </c>
      <c r="HI330" s="16">
        <v>81.266999999999996</v>
      </c>
      <c r="HJ330" s="53">
        <v>683.1</v>
      </c>
      <c r="HK330" s="16">
        <v>11.837999999999999</v>
      </c>
      <c r="HL330" s="53">
        <v>216.3</v>
      </c>
      <c r="HM330" s="53">
        <v>192.1</v>
      </c>
      <c r="HN330" s="53">
        <v>35.700000000000003</v>
      </c>
      <c r="HO330" s="53">
        <v>156.4</v>
      </c>
      <c r="HP330" s="55"/>
      <c r="HQ330" s="12">
        <v>5.2000000000000171</v>
      </c>
      <c r="HR330" s="53">
        <v>8.4</v>
      </c>
      <c r="HS330" s="55"/>
      <c r="HT330" s="53">
        <v>10.6</v>
      </c>
      <c r="HU330" s="55"/>
      <c r="HV330" s="55"/>
      <c r="HW330" s="53">
        <v>394.1</v>
      </c>
      <c r="HX330" s="53" t="s">
        <v>266</v>
      </c>
      <c r="HY330" s="53">
        <v>394.1</v>
      </c>
      <c r="HZ330" s="53" t="s">
        <v>265</v>
      </c>
      <c r="IA330" s="53">
        <v>249.8</v>
      </c>
      <c r="IB330" s="53">
        <v>95.8</v>
      </c>
      <c r="IC330" s="20">
        <v>154</v>
      </c>
      <c r="ID330" s="20">
        <v>87.2</v>
      </c>
      <c r="IE330" s="20">
        <v>66.8</v>
      </c>
      <c r="IF330" s="55"/>
      <c r="IG330" s="55"/>
      <c r="IH330" s="53">
        <v>10.199999999999999</v>
      </c>
      <c r="II330" s="69">
        <f t="shared" ref="II330:IK336" si="18">$IH330*(SUM(II$338:II$347)/SUM($IH$338:$IH$347))</f>
        <v>2.3166207529843894</v>
      </c>
      <c r="IJ330" s="69">
        <f t="shared" si="18"/>
        <v>2.7662075298438928</v>
      </c>
      <c r="IK330" s="69">
        <f t="shared" si="18"/>
        <v>5.107805325987143</v>
      </c>
      <c r="IL330" s="53" t="s">
        <v>265</v>
      </c>
      <c r="IM330" s="55"/>
      <c r="IN330" s="53">
        <v>59.2</v>
      </c>
      <c r="IO330" s="53">
        <v>59.2</v>
      </c>
      <c r="IP330" s="53" t="s">
        <v>265</v>
      </c>
      <c r="IQ330" s="58">
        <v>54.8</v>
      </c>
      <c r="IR330" s="53">
        <v>14.8</v>
      </c>
      <c r="IS330" s="55"/>
      <c r="IT330" s="53">
        <v>38.700000000000003</v>
      </c>
      <c r="IU330" s="53">
        <v>1.2</v>
      </c>
      <c r="IV330" s="53" t="s">
        <v>265</v>
      </c>
      <c r="IW330" s="53" t="s">
        <v>265</v>
      </c>
      <c r="IX330" s="53" t="s">
        <v>265</v>
      </c>
      <c r="IY330" s="48">
        <f t="shared" si="17"/>
        <v>47.560323833725853</v>
      </c>
      <c r="IZ330" s="48">
        <f>IY330-'NOPA Crush'!J330</f>
        <v>0.13032383372585343</v>
      </c>
      <c r="JB330" s="63">
        <f t="shared" si="15"/>
        <v>11.236816891522164</v>
      </c>
      <c r="JC330" s="64">
        <f>JB330-'NOPA Crush'!O330</f>
        <v>-6.3183108477836925E-2</v>
      </c>
      <c r="JD330" s="65"/>
      <c r="JE330" s="67">
        <f t="shared" si="16"/>
        <v>3359.7</v>
      </c>
      <c r="JF330" s="68">
        <f>'NOPA Crush'!Q330/'Census Crush'!JE330</f>
        <v>0.81510938476649708</v>
      </c>
    </row>
    <row r="331" spans="1:266">
      <c r="A331" s="39">
        <v>39114</v>
      </c>
      <c r="B331" s="51">
        <v>4108.3469999999998</v>
      </c>
      <c r="C331" s="51">
        <v>3655.125</v>
      </c>
      <c r="D331" s="51">
        <v>222.48400000000001</v>
      </c>
      <c r="E331" s="51">
        <v>1517.1590000000001</v>
      </c>
      <c r="F331" s="51">
        <v>15.542</v>
      </c>
      <c r="G331" s="51" t="s">
        <v>264</v>
      </c>
      <c r="H331" s="51" t="s">
        <v>264</v>
      </c>
      <c r="I331" s="51" t="s">
        <v>264</v>
      </c>
      <c r="J331" s="51" t="s">
        <v>264</v>
      </c>
      <c r="K331" s="51">
        <v>1548.3230000000001</v>
      </c>
      <c r="L331" s="51">
        <v>3477.6</v>
      </c>
      <c r="M331" s="51">
        <v>3032.1</v>
      </c>
      <c r="N331" s="51">
        <v>445.6</v>
      </c>
      <c r="O331" s="53">
        <v>67.061999999999998</v>
      </c>
      <c r="P331" s="51">
        <v>112.6</v>
      </c>
      <c r="Q331" s="51">
        <v>11.4</v>
      </c>
      <c r="R331" s="51">
        <v>101.2</v>
      </c>
      <c r="S331" s="51"/>
      <c r="T331" s="51">
        <v>12.8</v>
      </c>
      <c r="U331" s="51">
        <v>43</v>
      </c>
      <c r="V331" s="51">
        <v>38.4</v>
      </c>
      <c r="W331" s="51">
        <v>4.5999999999999996</v>
      </c>
      <c r="X331" s="51" t="s">
        <v>264</v>
      </c>
      <c r="Y331" s="51" t="s">
        <v>265</v>
      </c>
      <c r="Z331" s="51">
        <v>77.099999999999994</v>
      </c>
      <c r="AA331" s="51" t="s">
        <v>265</v>
      </c>
      <c r="AB331" s="51" t="s">
        <v>265</v>
      </c>
      <c r="AC331" s="51" t="s">
        <v>264</v>
      </c>
      <c r="AD331" s="51">
        <v>56</v>
      </c>
      <c r="AE331" s="51">
        <v>57.3</v>
      </c>
      <c r="AF331" s="51">
        <v>136.30000000000001</v>
      </c>
      <c r="AG331" s="51">
        <v>93</v>
      </c>
      <c r="AH331" s="51">
        <v>43.3</v>
      </c>
      <c r="AI331" s="51">
        <v>187.85499999999999</v>
      </c>
      <c r="AJ331" s="51">
        <v>183.6</v>
      </c>
      <c r="AK331" s="51">
        <v>4.2</v>
      </c>
      <c r="AL331" s="51">
        <v>214.8</v>
      </c>
      <c r="AM331" s="51">
        <v>133.1</v>
      </c>
      <c r="AN331" s="51">
        <v>81.599999999999994</v>
      </c>
      <c r="AO331" s="51">
        <v>3018.4459999999999</v>
      </c>
      <c r="AP331" s="51">
        <v>255.87100000000001</v>
      </c>
      <c r="AQ331" s="51">
        <v>238.78700000000001</v>
      </c>
      <c r="AR331" s="51">
        <v>33.564999999999998</v>
      </c>
      <c r="AS331" s="51">
        <v>101.78100000000001</v>
      </c>
      <c r="AT331" s="51">
        <v>9.4149999999999991</v>
      </c>
      <c r="AU331" s="51">
        <v>68.808999999999997</v>
      </c>
      <c r="AV331" s="51">
        <v>37.25</v>
      </c>
      <c r="AW331" s="51">
        <v>8.625</v>
      </c>
      <c r="AX331" s="55"/>
      <c r="AY331" s="51" t="s">
        <v>264</v>
      </c>
      <c r="AZ331" s="51" t="s">
        <v>264</v>
      </c>
      <c r="BA331" s="51" t="s">
        <v>264</v>
      </c>
      <c r="BB331" s="51" t="s">
        <v>264</v>
      </c>
      <c r="BC331" s="55"/>
      <c r="BD331" s="53">
        <v>140.1</v>
      </c>
      <c r="BE331" s="53">
        <v>34.700000000000003</v>
      </c>
      <c r="BF331" s="53">
        <v>66.099999999999994</v>
      </c>
      <c r="BG331" s="53">
        <v>8.1</v>
      </c>
      <c r="BH331" s="53">
        <v>312.89999999999998</v>
      </c>
      <c r="BI331" s="53">
        <v>112.3</v>
      </c>
      <c r="BJ331" s="53">
        <v>97.9</v>
      </c>
      <c r="BK331" s="53">
        <v>210.2</v>
      </c>
      <c r="BL331" s="55"/>
      <c r="BM331" s="53">
        <v>523</v>
      </c>
      <c r="BN331" s="53">
        <v>263.89999999999998</v>
      </c>
      <c r="BO331" s="53">
        <v>66.900000000000006</v>
      </c>
      <c r="BP331" s="53">
        <v>14</v>
      </c>
      <c r="BQ331" s="53">
        <v>80.900000000000006</v>
      </c>
      <c r="BR331" s="55"/>
      <c r="BS331" s="53">
        <v>344.8</v>
      </c>
      <c r="BT331" s="53">
        <v>30.4</v>
      </c>
      <c r="BU331" s="53">
        <v>13.3</v>
      </c>
      <c r="BV331" s="51" t="s">
        <v>264</v>
      </c>
      <c r="BW331" s="51" t="s">
        <v>264</v>
      </c>
      <c r="BX331" s="51">
        <v>391.8</v>
      </c>
      <c r="BY331" s="51" t="s">
        <v>264</v>
      </c>
      <c r="BZ331" s="51" t="s">
        <v>264</v>
      </c>
      <c r="CA331" s="51">
        <v>61.6</v>
      </c>
      <c r="CB331" s="53">
        <v>97.6</v>
      </c>
      <c r="CC331" s="53">
        <v>15.8</v>
      </c>
      <c r="CD331" s="53">
        <v>115.6</v>
      </c>
      <c r="CE331" s="53">
        <v>17.2</v>
      </c>
      <c r="CF331" s="53">
        <v>106.1</v>
      </c>
      <c r="CG331" s="53">
        <v>83.2</v>
      </c>
      <c r="CH331" s="53">
        <v>6.9</v>
      </c>
      <c r="CI331" s="53">
        <v>29.9</v>
      </c>
      <c r="CJ331" s="53">
        <v>6.3</v>
      </c>
      <c r="CK331" s="53">
        <v>155.69999999999999</v>
      </c>
      <c r="CL331" s="53">
        <v>28.9</v>
      </c>
      <c r="CM331" s="55"/>
      <c r="CN331" s="53">
        <v>50.7</v>
      </c>
      <c r="CO331" s="53">
        <v>231.8</v>
      </c>
      <c r="CP331" s="53">
        <v>166.2</v>
      </c>
      <c r="CQ331" s="53">
        <v>65.599999999999994</v>
      </c>
      <c r="CR331" s="53" t="s">
        <v>264</v>
      </c>
      <c r="CS331" s="53">
        <v>44</v>
      </c>
      <c r="CT331" s="18">
        <v>19.745000000000001</v>
      </c>
      <c r="CU331" s="18">
        <v>25.178999999999998</v>
      </c>
      <c r="CV331" s="53">
        <v>202.9</v>
      </c>
      <c r="CW331" s="53" t="s">
        <v>265</v>
      </c>
      <c r="CX331" s="53" t="s">
        <v>265</v>
      </c>
      <c r="CY331" s="53" t="s">
        <v>265</v>
      </c>
      <c r="CZ331" s="53">
        <v>76.099999999999994</v>
      </c>
      <c r="DA331" s="53">
        <v>12.9</v>
      </c>
      <c r="DB331" s="53" t="s">
        <v>265</v>
      </c>
      <c r="DC331" s="53" t="s">
        <v>265</v>
      </c>
      <c r="DD331" s="55"/>
      <c r="DE331" s="55"/>
      <c r="DF331" s="55"/>
      <c r="DG331" s="55"/>
      <c r="DH331" s="55"/>
      <c r="DI331" s="53">
        <v>606.22500000000002</v>
      </c>
      <c r="DJ331" s="53">
        <v>381.55799999999999</v>
      </c>
      <c r="DK331" s="53">
        <v>933.05399999999997</v>
      </c>
      <c r="DL331" s="55"/>
      <c r="DM331" s="53">
        <v>445.411</v>
      </c>
      <c r="DN331" s="55"/>
      <c r="DO331" s="53">
        <v>175.52199999999999</v>
      </c>
      <c r="DP331" s="53">
        <v>273.64800000000002</v>
      </c>
      <c r="DQ331" s="55"/>
      <c r="DR331" s="55"/>
      <c r="DS331" s="53">
        <v>1287.3589999999999</v>
      </c>
      <c r="DT331" s="53">
        <v>4108.3469999999998</v>
      </c>
      <c r="DU331" s="53">
        <v>-5.569999999999709</v>
      </c>
      <c r="DV331" s="53">
        <v>0</v>
      </c>
      <c r="DW331" s="55"/>
      <c r="DX331" s="55"/>
      <c r="DY331" s="53"/>
      <c r="DZ331" s="53"/>
      <c r="EA331" s="53">
        <v>567.79600000000005</v>
      </c>
      <c r="EB331" s="53">
        <v>575.08500000000004</v>
      </c>
      <c r="EC331" s="53">
        <v>580.22299999999996</v>
      </c>
      <c r="ED331" s="53"/>
      <c r="EE331" s="53">
        <v>177.85499999999999</v>
      </c>
      <c r="EF331" s="53"/>
      <c r="EG331" s="53">
        <v>150.53700000000001</v>
      </c>
      <c r="EH331" s="53" t="s">
        <v>265</v>
      </c>
      <c r="EI331" s="55"/>
      <c r="EJ331" s="55"/>
      <c r="EK331" s="53" t="e">
        <v>#VALUE!</v>
      </c>
      <c r="EL331" s="53">
        <v>3655.125</v>
      </c>
      <c r="EM331" s="55"/>
      <c r="EN331" s="55"/>
      <c r="EO331" s="53"/>
      <c r="EP331" s="53"/>
      <c r="EQ331" s="53">
        <v>228.19800000000001</v>
      </c>
      <c r="ER331" s="53">
        <v>140.71799999999999</v>
      </c>
      <c r="ES331" s="53">
        <v>352.74599999999998</v>
      </c>
      <c r="ET331" s="53"/>
      <c r="EU331" s="53">
        <v>176.79900000000001</v>
      </c>
      <c r="EV331" s="53"/>
      <c r="EW331" s="53">
        <v>66.947999999999993</v>
      </c>
      <c r="EX331" s="53">
        <v>98.77</v>
      </c>
      <c r="EY331" s="55"/>
      <c r="EZ331" s="55"/>
      <c r="FA331" s="53">
        <v>483.02699999999999</v>
      </c>
      <c r="FB331" s="53">
        <v>1548.3230000000001</v>
      </c>
      <c r="FC331" s="55"/>
      <c r="FD331" s="55"/>
      <c r="FE331" s="53"/>
      <c r="FF331" s="53"/>
      <c r="FG331" s="53">
        <v>477.33699999999999</v>
      </c>
      <c r="FH331" s="53">
        <v>302.87400000000002</v>
      </c>
      <c r="FI331" s="53">
        <v>741.98800000000006</v>
      </c>
      <c r="FJ331" s="53"/>
      <c r="FK331" s="53">
        <v>358.29899999999998</v>
      </c>
      <c r="FL331" s="53"/>
      <c r="FM331" s="53">
        <v>140.59200000000001</v>
      </c>
      <c r="FN331" s="53">
        <v>217.30500000000001</v>
      </c>
      <c r="FO331" s="55"/>
      <c r="FP331" s="55"/>
      <c r="FQ331" s="53">
        <v>1603.83</v>
      </c>
      <c r="FR331" s="53">
        <v>3264.8760000000002</v>
      </c>
      <c r="FS331" s="55"/>
      <c r="FT331" s="55"/>
      <c r="FU331" s="53"/>
      <c r="FV331" s="53"/>
      <c r="FW331" s="53">
        <v>372.072</v>
      </c>
      <c r="FX331" s="53">
        <v>162.08500000000001</v>
      </c>
      <c r="FY331" s="53">
        <v>225.24199999999999</v>
      </c>
      <c r="FZ331" s="53"/>
      <c r="GA331" s="53">
        <v>139.232</v>
      </c>
      <c r="GB331" s="53"/>
      <c r="GC331" s="53">
        <v>72.635999999999996</v>
      </c>
      <c r="GD331" s="53" t="s">
        <v>265</v>
      </c>
      <c r="GE331" s="55"/>
      <c r="GF331" s="55"/>
      <c r="GG331" s="53">
        <v>324.56900000000002</v>
      </c>
      <c r="GH331" s="53">
        <v>1501.5920000000001</v>
      </c>
      <c r="GI331" s="55"/>
      <c r="GJ331" s="55"/>
      <c r="GK331" s="53"/>
      <c r="GL331" s="53"/>
      <c r="GM331" s="53">
        <v>34.639000000000003</v>
      </c>
      <c r="GN331" s="53" t="s">
        <v>265</v>
      </c>
      <c r="GO331" s="53">
        <v>57.945</v>
      </c>
      <c r="GP331" s="53"/>
      <c r="GQ331" s="53">
        <v>29.457999999999998</v>
      </c>
      <c r="GR331" s="53"/>
      <c r="GS331" s="53" t="s">
        <v>265</v>
      </c>
      <c r="GT331" s="53" t="s">
        <v>265</v>
      </c>
      <c r="GU331" s="55"/>
      <c r="GV331" s="55"/>
      <c r="GW331" s="53">
        <v>86.278000000000006</v>
      </c>
      <c r="GX331" s="53">
        <v>289.43599999999998</v>
      </c>
      <c r="GY331" s="19">
        <v>0.97693902944836175</v>
      </c>
      <c r="GZ331" s="53">
        <v>1177.7</v>
      </c>
      <c r="HA331" s="53">
        <v>1205.5</v>
      </c>
      <c r="HB331" s="18">
        <v>-15.1414565123996</v>
      </c>
      <c r="HC331" s="18">
        <v>82.326428453200151</v>
      </c>
      <c r="HD331" s="18">
        <v>1313.4585434876003</v>
      </c>
      <c r="HE331" s="18">
        <v>10.099999999999909</v>
      </c>
      <c r="HF331" s="53">
        <v>1328.6</v>
      </c>
      <c r="HG331" s="53">
        <v>1147.3</v>
      </c>
      <c r="HH331" s="53">
        <v>403.7</v>
      </c>
      <c r="HI331" s="59">
        <v>65.2</v>
      </c>
      <c r="HJ331" s="53">
        <v>670.7</v>
      </c>
      <c r="HK331" s="59">
        <v>7.8</v>
      </c>
      <c r="HL331" s="53">
        <v>181.2</v>
      </c>
      <c r="HM331" s="53">
        <v>158.4</v>
      </c>
      <c r="HN331" s="53">
        <v>29.6</v>
      </c>
      <c r="HO331" s="53">
        <v>128.80000000000001</v>
      </c>
      <c r="HP331" s="55"/>
      <c r="HQ331" s="12">
        <v>6.2999999999999829</v>
      </c>
      <c r="HR331" s="53">
        <v>7.1</v>
      </c>
      <c r="HS331" s="55"/>
      <c r="HT331" s="53">
        <v>9.4</v>
      </c>
      <c r="HU331" s="55"/>
      <c r="HV331" s="55"/>
      <c r="HW331" s="53">
        <v>345.2</v>
      </c>
      <c r="HX331" s="53" t="s">
        <v>266</v>
      </c>
      <c r="HY331" s="53">
        <v>345.2</v>
      </c>
      <c r="HZ331" s="53" t="s">
        <v>265</v>
      </c>
      <c r="IA331" s="53">
        <v>233.8</v>
      </c>
      <c r="IB331" s="53">
        <v>89.5</v>
      </c>
      <c r="IC331" s="20">
        <v>144.30000000000001</v>
      </c>
      <c r="ID331" s="20">
        <v>85.6</v>
      </c>
      <c r="IE331" s="20">
        <v>58.7</v>
      </c>
      <c r="IF331" s="55"/>
      <c r="IG331" s="55"/>
      <c r="IH331" s="53">
        <v>6.5</v>
      </c>
      <c r="II331" s="69">
        <f t="shared" si="18"/>
        <v>1.4762779308233853</v>
      </c>
      <c r="IJ331" s="69">
        <f t="shared" si="18"/>
        <v>1.7627793082338536</v>
      </c>
      <c r="IK331" s="69">
        <f t="shared" si="18"/>
        <v>3.254973982246709</v>
      </c>
      <c r="IL331" s="53" t="s">
        <v>265</v>
      </c>
      <c r="IM331" s="55"/>
      <c r="IN331" s="53">
        <v>50.3</v>
      </c>
      <c r="IO331" s="53">
        <v>50.3</v>
      </c>
      <c r="IP331" s="53" t="s">
        <v>265</v>
      </c>
      <c r="IQ331" s="58">
        <v>52.2</v>
      </c>
      <c r="IR331" s="53">
        <v>11.4</v>
      </c>
      <c r="IS331" s="55"/>
      <c r="IT331" s="53">
        <v>39.5</v>
      </c>
      <c r="IU331" s="53">
        <v>1.3</v>
      </c>
      <c r="IV331" s="53" t="s">
        <v>265</v>
      </c>
      <c r="IW331" s="53" t="s">
        <v>265</v>
      </c>
      <c r="IX331" s="53" t="s">
        <v>265</v>
      </c>
      <c r="IY331" s="48">
        <f t="shared" si="17"/>
        <v>47.569978874715304</v>
      </c>
      <c r="IZ331" s="48">
        <f>IY331-'NOPA Crush'!J331</f>
        <v>6.9978874715303618E-2</v>
      </c>
      <c r="JB331" s="63">
        <f t="shared" si="15"/>
        <v>11.306174965259752</v>
      </c>
      <c r="JC331" s="64">
        <f>JB331-'NOPA Crush'!O331</f>
        <v>-3.3825034740248228E-2</v>
      </c>
      <c r="JD331" s="65"/>
      <c r="JE331" s="67">
        <f t="shared" si="16"/>
        <v>3477.6</v>
      </c>
      <c r="JF331" s="68">
        <f>'NOPA Crush'!Q331/'Census Crush'!JE331</f>
        <v>0.81081061651713837</v>
      </c>
    </row>
    <row r="332" spans="1:266">
      <c r="A332" s="39">
        <v>39142</v>
      </c>
      <c r="B332" s="51">
        <v>4683.4352399999998</v>
      </c>
      <c r="C332" s="51">
        <v>3714.6489999999999</v>
      </c>
      <c r="D332" s="51">
        <v>249.08620000000002</v>
      </c>
      <c r="E332" s="51">
        <v>1300.07</v>
      </c>
      <c r="F332" s="51">
        <v>17.421959999999999</v>
      </c>
      <c r="G332" s="51" t="s">
        <v>264</v>
      </c>
      <c r="H332" s="51" t="s">
        <v>264</v>
      </c>
      <c r="I332" s="51" t="s">
        <v>264</v>
      </c>
      <c r="J332" s="51" t="s">
        <v>264</v>
      </c>
      <c r="K332" s="51">
        <v>1766.8603400000002</v>
      </c>
      <c r="L332" s="51">
        <v>3558.3</v>
      </c>
      <c r="M332" s="51">
        <v>3156.3</v>
      </c>
      <c r="N332" s="51">
        <v>402.1</v>
      </c>
      <c r="O332" s="53">
        <v>78.074699999999993</v>
      </c>
      <c r="P332" s="51">
        <v>109.9</v>
      </c>
      <c r="Q332" s="51">
        <v>9</v>
      </c>
      <c r="R332" s="51">
        <v>100.9</v>
      </c>
      <c r="S332" s="51"/>
      <c r="T332" s="51">
        <v>14.3</v>
      </c>
      <c r="U332" s="51">
        <v>40.799999999999997</v>
      </c>
      <c r="V332" s="51">
        <v>35.9</v>
      </c>
      <c r="W332" s="51">
        <v>4.9000000000000004</v>
      </c>
      <c r="X332" s="51" t="s">
        <v>264</v>
      </c>
      <c r="Y332" s="51" t="s">
        <v>265</v>
      </c>
      <c r="Z332" s="51">
        <v>72.400000000000006</v>
      </c>
      <c r="AA332" s="51" t="s">
        <v>265</v>
      </c>
      <c r="AB332" s="51" t="s">
        <v>265</v>
      </c>
      <c r="AC332" s="51" t="s">
        <v>264</v>
      </c>
      <c r="AD332" s="51">
        <v>53</v>
      </c>
      <c r="AE332" s="51">
        <v>54.4</v>
      </c>
      <c r="AF332" s="51">
        <v>114.6</v>
      </c>
      <c r="AG332" s="51">
        <v>81.900000000000006</v>
      </c>
      <c r="AH332" s="51">
        <v>32.700000000000003</v>
      </c>
      <c r="AI332" s="51">
        <v>216.41</v>
      </c>
      <c r="AJ332" s="51">
        <v>211</v>
      </c>
      <c r="AK332" s="51">
        <v>5.4</v>
      </c>
      <c r="AL332" s="51">
        <v>202.6</v>
      </c>
      <c r="AM332" s="51">
        <v>125.9</v>
      </c>
      <c r="AN332" s="51">
        <v>76.7</v>
      </c>
      <c r="AO332" s="51">
        <v>3450.8078</v>
      </c>
      <c r="AP332" s="51">
        <v>291.19400000000002</v>
      </c>
      <c r="AQ332" s="51">
        <v>270.74180000000001</v>
      </c>
      <c r="AR332" s="51">
        <v>38.594999999999999</v>
      </c>
      <c r="AS332" s="51">
        <v>114.61239999999999</v>
      </c>
      <c r="AT332" s="51">
        <v>19.562999999999999</v>
      </c>
      <c r="AU332" s="51">
        <v>73.756100000000004</v>
      </c>
      <c r="AV332" s="51">
        <v>38.067999999999998</v>
      </c>
      <c r="AW332" s="51">
        <v>9.5634800000000002</v>
      </c>
      <c r="AX332" s="55"/>
      <c r="AY332" s="51" t="s">
        <v>264</v>
      </c>
      <c r="AZ332" s="51" t="s">
        <v>264</v>
      </c>
      <c r="BA332" s="51" t="s">
        <v>264</v>
      </c>
      <c r="BB332" s="51" t="s">
        <v>264</v>
      </c>
      <c r="BC332" s="55"/>
      <c r="BD332" s="53">
        <v>146.4</v>
      </c>
      <c r="BE332" s="53">
        <v>27.5</v>
      </c>
      <c r="BF332" s="53">
        <v>70.5</v>
      </c>
      <c r="BG332" s="53">
        <v>8.5</v>
      </c>
      <c r="BH332" s="53">
        <v>329.4</v>
      </c>
      <c r="BI332" s="53">
        <v>131.30000000000001</v>
      </c>
      <c r="BJ332" s="53">
        <v>107</v>
      </c>
      <c r="BK332" s="53">
        <v>238.3</v>
      </c>
      <c r="BL332" s="55"/>
      <c r="BM332" s="53">
        <v>567.70000000000005</v>
      </c>
      <c r="BN332" s="53">
        <v>257.8</v>
      </c>
      <c r="BO332" s="53">
        <v>84.6</v>
      </c>
      <c r="BP332" s="53">
        <v>22.8</v>
      </c>
      <c r="BQ332" s="53">
        <v>107.4</v>
      </c>
      <c r="BR332" s="55"/>
      <c r="BS332" s="53">
        <v>365.2</v>
      </c>
      <c r="BT332" s="53">
        <v>35.299999999999997</v>
      </c>
      <c r="BU332" s="53">
        <v>18.8</v>
      </c>
      <c r="BV332" s="51" t="s">
        <v>264</v>
      </c>
      <c r="BW332" s="51" t="s">
        <v>264</v>
      </c>
      <c r="BX332" s="51">
        <v>449.6</v>
      </c>
      <c r="BY332" s="51" t="s">
        <v>264</v>
      </c>
      <c r="BZ332" s="51" t="s">
        <v>264</v>
      </c>
      <c r="CA332" s="51">
        <v>53.2</v>
      </c>
      <c r="CB332" s="53">
        <v>112</v>
      </c>
      <c r="CC332" s="53">
        <v>19.100000000000001</v>
      </c>
      <c r="CD332" s="53">
        <v>130.6</v>
      </c>
      <c r="CE332" s="53">
        <v>22</v>
      </c>
      <c r="CF332" s="53">
        <v>104.8</v>
      </c>
      <c r="CG332" s="53">
        <v>115.7</v>
      </c>
      <c r="CH332" s="53">
        <v>7</v>
      </c>
      <c r="CI332" s="53">
        <v>32.9</v>
      </c>
      <c r="CJ332" s="53">
        <v>6.5</v>
      </c>
      <c r="CK332" s="53">
        <v>167</v>
      </c>
      <c r="CL332" s="53">
        <v>29.8</v>
      </c>
      <c r="CM332" s="55"/>
      <c r="CN332" s="53">
        <v>48.2</v>
      </c>
      <c r="CO332" s="53">
        <v>223.1</v>
      </c>
      <c r="CP332" s="53">
        <v>145.4</v>
      </c>
      <c r="CQ332" s="53">
        <v>77.7</v>
      </c>
      <c r="CR332" s="53" t="s">
        <v>264</v>
      </c>
      <c r="CS332" s="53">
        <v>43.5</v>
      </c>
      <c r="CT332" s="18">
        <v>21.38</v>
      </c>
      <c r="CU332" s="18">
        <v>22.898</v>
      </c>
      <c r="CV332" s="53">
        <v>232</v>
      </c>
      <c r="CW332" s="53" t="s">
        <v>265</v>
      </c>
      <c r="CX332" s="53" t="s">
        <v>265</v>
      </c>
      <c r="CY332" s="53" t="s">
        <v>265</v>
      </c>
      <c r="CZ332" s="53">
        <v>69.3</v>
      </c>
      <c r="DA332" s="53">
        <v>11.5</v>
      </c>
      <c r="DB332" s="53" t="s">
        <v>265</v>
      </c>
      <c r="DC332" s="53" t="s">
        <v>265</v>
      </c>
      <c r="DD332" s="55"/>
      <c r="DE332" s="55"/>
      <c r="DF332" s="55"/>
      <c r="DG332" s="55"/>
      <c r="DH332" s="55"/>
      <c r="DI332" s="53">
        <v>697.52099999999996</v>
      </c>
      <c r="DJ332" s="53">
        <v>463.16864000000004</v>
      </c>
      <c r="DK332" s="53">
        <v>1065.8869999999999</v>
      </c>
      <c r="DL332" s="55"/>
      <c r="DM332" s="53">
        <v>510.77199999999999</v>
      </c>
      <c r="DN332" s="55"/>
      <c r="DO332" s="53">
        <v>194.137</v>
      </c>
      <c r="DP332" s="53">
        <v>310.56299999999999</v>
      </c>
      <c r="DQ332" s="55"/>
      <c r="DR332" s="55"/>
      <c r="DS332" s="53">
        <v>1436.2760000000001</v>
      </c>
      <c r="DT332" s="53">
        <v>4683.4352399999998</v>
      </c>
      <c r="DU332" s="53">
        <v>-5.1105999999990672</v>
      </c>
      <c r="DV332" s="53">
        <v>0</v>
      </c>
      <c r="DW332" s="55"/>
      <c r="DX332" s="55"/>
      <c r="DY332" s="53"/>
      <c r="DZ332" s="53"/>
      <c r="EA332" s="53">
        <v>547.05899999999997</v>
      </c>
      <c r="EB332" s="53">
        <v>561.34699999999998</v>
      </c>
      <c r="EC332" s="53">
        <v>638.94100000000003</v>
      </c>
      <c r="ED332" s="53"/>
      <c r="EE332" s="53">
        <v>157.79900000000001</v>
      </c>
      <c r="EF332" s="53"/>
      <c r="EG332" s="53">
        <v>144.24199999999999</v>
      </c>
      <c r="EH332" s="53" t="s">
        <v>265</v>
      </c>
      <c r="EI332" s="55"/>
      <c r="EJ332" s="55"/>
      <c r="EK332" s="53" t="e">
        <v>#VALUE!</v>
      </c>
      <c r="EL332" s="53">
        <v>3714.6489999999999</v>
      </c>
      <c r="EM332" s="55"/>
      <c r="EN332" s="55"/>
      <c r="EO332" s="53"/>
      <c r="EP332" s="53"/>
      <c r="EQ332" s="53">
        <v>263.31200000000001</v>
      </c>
      <c r="ER332" s="53">
        <v>170.38303999999999</v>
      </c>
      <c r="ES332" s="53">
        <v>404.13900000000001</v>
      </c>
      <c r="ET332" s="53"/>
      <c r="EU332" s="53">
        <v>199.87200000000001</v>
      </c>
      <c r="EV332" s="53"/>
      <c r="EW332" s="53">
        <v>71.388999999999996</v>
      </c>
      <c r="EX332" s="53">
        <v>114.446</v>
      </c>
      <c r="EY332" s="55"/>
      <c r="EZ332" s="55"/>
      <c r="FA332" s="53">
        <v>542.40700000000004</v>
      </c>
      <c r="FB332" s="53">
        <v>1766.8603400000002</v>
      </c>
      <c r="FC332" s="55"/>
      <c r="FD332" s="55"/>
      <c r="FE332" s="53"/>
      <c r="FF332" s="53"/>
      <c r="FG332" s="53">
        <v>554.83000000000004</v>
      </c>
      <c r="FH332" s="53">
        <v>366.99299999999999</v>
      </c>
      <c r="FI332" s="53">
        <v>848.56899999999996</v>
      </c>
      <c r="FJ332" s="53"/>
      <c r="FK332" s="53">
        <v>400.78199999999998</v>
      </c>
      <c r="FL332" s="53"/>
      <c r="FM332" s="53">
        <v>157.90299999999999</v>
      </c>
      <c r="FN332" s="53">
        <v>252.59</v>
      </c>
      <c r="FO332" s="55"/>
      <c r="FP332" s="55"/>
      <c r="FQ332" s="53">
        <v>1798.117</v>
      </c>
      <c r="FR332" s="53">
        <v>3729.8956000000003</v>
      </c>
      <c r="FS332" s="55"/>
      <c r="FT332" s="55"/>
      <c r="FU332" s="53"/>
      <c r="FV332" s="53"/>
      <c r="FW332" s="53">
        <v>371.803</v>
      </c>
      <c r="FX332" s="53">
        <v>158.85900000000001</v>
      </c>
      <c r="FY332" s="53">
        <v>226.61199999999999</v>
      </c>
      <c r="FZ332" s="53"/>
      <c r="GA332" s="53">
        <v>118.033</v>
      </c>
      <c r="GB332" s="53"/>
      <c r="GC332" s="53" t="s">
        <v>265</v>
      </c>
      <c r="GD332" s="53" t="s">
        <v>265</v>
      </c>
      <c r="GE332" s="55"/>
      <c r="GF332" s="55"/>
      <c r="GG332" s="53">
        <v>358.91899999999998</v>
      </c>
      <c r="GH332" s="53">
        <v>1524.364</v>
      </c>
      <c r="GI332" s="55"/>
      <c r="GJ332" s="55"/>
      <c r="GK332" s="53"/>
      <c r="GL332" s="53"/>
      <c r="GM332" s="53">
        <v>40.109000000000002</v>
      </c>
      <c r="GN332" s="53">
        <v>74.316999999999993</v>
      </c>
      <c r="GO332" s="53">
        <v>69.149000000000001</v>
      </c>
      <c r="GP332" s="53"/>
      <c r="GQ332" s="53">
        <v>39.43</v>
      </c>
      <c r="GR332" s="53"/>
      <c r="GS332" s="53" t="s">
        <v>265</v>
      </c>
      <c r="GT332" s="53" t="s">
        <v>265</v>
      </c>
      <c r="GU332" s="55"/>
      <c r="GV332" s="55"/>
      <c r="GW332" s="53">
        <v>87.840999999999994</v>
      </c>
      <c r="GX332" s="53">
        <v>329.78899999999999</v>
      </c>
      <c r="GY332" s="19">
        <v>0.97727435146144503</v>
      </c>
      <c r="GZ332" s="53">
        <v>1367.5</v>
      </c>
      <c r="HA332" s="53">
        <v>1399.3</v>
      </c>
      <c r="HB332" s="18">
        <v>17.038899170199784</v>
      </c>
      <c r="HC332" s="18">
        <v>32.032424003199594</v>
      </c>
      <c r="HD332" s="18">
        <v>1613.4388991701999</v>
      </c>
      <c r="HE332" s="18">
        <v>23.800000000000182</v>
      </c>
      <c r="HF332" s="53">
        <v>1596.4</v>
      </c>
      <c r="HG332" s="53">
        <v>1347.4</v>
      </c>
      <c r="HH332" s="53">
        <v>475.1</v>
      </c>
      <c r="HI332" s="59">
        <v>78.599999999999994</v>
      </c>
      <c r="HJ332" s="53">
        <v>784.9</v>
      </c>
      <c r="HK332" s="59">
        <v>8.8000000000000007</v>
      </c>
      <c r="HL332" s="53">
        <v>248.9</v>
      </c>
      <c r="HM332" s="53">
        <v>222.4</v>
      </c>
      <c r="HN332" s="53">
        <v>36.4</v>
      </c>
      <c r="HO332" s="53">
        <v>186</v>
      </c>
      <c r="HP332" s="55"/>
      <c r="HQ332" s="53" t="s">
        <v>265</v>
      </c>
      <c r="HR332" s="53" t="s">
        <v>265</v>
      </c>
      <c r="HS332" s="55"/>
      <c r="HT332" s="53">
        <v>11.5</v>
      </c>
      <c r="HU332" s="55"/>
      <c r="HV332" s="55"/>
      <c r="HW332" s="53">
        <v>371.2</v>
      </c>
      <c r="HX332" s="53" t="s">
        <v>266</v>
      </c>
      <c r="HY332" s="53">
        <v>371.2</v>
      </c>
      <c r="HZ332" s="53" t="s">
        <v>265</v>
      </c>
      <c r="IA332" s="53">
        <v>255.9</v>
      </c>
      <c r="IB332" s="53">
        <v>99.2</v>
      </c>
      <c r="IC332" s="20">
        <v>156.69999999999999</v>
      </c>
      <c r="ID332" s="20">
        <v>101.7</v>
      </c>
      <c r="IE332" s="20">
        <v>55</v>
      </c>
      <c r="IF332" s="55"/>
      <c r="IG332" s="55"/>
      <c r="IH332" s="53">
        <v>7.3</v>
      </c>
      <c r="II332" s="69">
        <f t="shared" si="18"/>
        <v>1.6579736761554944</v>
      </c>
      <c r="IJ332" s="69">
        <f t="shared" si="18"/>
        <v>1.979736761554943</v>
      </c>
      <c r="IK332" s="69">
        <f t="shared" si="18"/>
        <v>3.6555861646770729</v>
      </c>
      <c r="IL332" s="53" t="s">
        <v>265</v>
      </c>
      <c r="IM332" s="55"/>
      <c r="IN332" s="53">
        <v>58.6</v>
      </c>
      <c r="IO332" s="53">
        <v>59.4</v>
      </c>
      <c r="IP332" s="53" t="s">
        <v>265</v>
      </c>
      <c r="IQ332" s="58">
        <v>64.400000000000006</v>
      </c>
      <c r="IR332" s="53">
        <v>12.9</v>
      </c>
      <c r="IS332" s="55"/>
      <c r="IT332" s="53">
        <v>49.9</v>
      </c>
      <c r="IU332" s="53">
        <v>1.5</v>
      </c>
      <c r="IV332" s="53" t="s">
        <v>265</v>
      </c>
      <c r="IW332" s="53">
        <v>2.6</v>
      </c>
      <c r="IX332" s="53" t="s">
        <v>265</v>
      </c>
      <c r="IY332" s="48">
        <f t="shared" si="17"/>
        <v>47.677178087766194</v>
      </c>
      <c r="IZ332" s="48">
        <f>IY332-'NOPA Crush'!J332</f>
        <v>0.10717808776619364</v>
      </c>
      <c r="JB332" s="63">
        <f t="shared" si="15"/>
        <v>11.317720323597344</v>
      </c>
      <c r="JC332" s="64">
        <f>JB332-'NOPA Crush'!O332</f>
        <v>-6.2279676402656747E-2</v>
      </c>
      <c r="JD332" s="65"/>
      <c r="JE332" s="67">
        <f t="shared" si="16"/>
        <v>3558.3</v>
      </c>
      <c r="JF332" s="68">
        <f>'NOPA Crush'!Q332/'Census Crush'!JE332</f>
        <v>0.82438861253969586</v>
      </c>
    </row>
    <row r="333" spans="1:266">
      <c r="A333" s="39">
        <v>39173</v>
      </c>
      <c r="B333" s="51">
        <v>4349.8927999999996</v>
      </c>
      <c r="C333" s="51">
        <v>3413.8209999999999</v>
      </c>
      <c r="D333" s="51">
        <v>230.82292000000001</v>
      </c>
      <c r="E333" s="51">
        <v>1052.0429999999999</v>
      </c>
      <c r="F333" s="51">
        <v>19.60005</v>
      </c>
      <c r="G333" s="51" t="s">
        <v>264</v>
      </c>
      <c r="H333" s="51" t="s">
        <v>264</v>
      </c>
      <c r="I333" s="51" t="s">
        <v>264</v>
      </c>
      <c r="J333" s="51" t="s">
        <v>264</v>
      </c>
      <c r="K333" s="51">
        <v>1626.3191999999999</v>
      </c>
      <c r="L333" s="51">
        <v>3500</v>
      </c>
      <c r="M333" s="51">
        <v>3097.9</v>
      </c>
      <c r="N333" s="51">
        <v>402.1</v>
      </c>
      <c r="O333" s="53">
        <v>72.460279999999997</v>
      </c>
      <c r="P333" s="51">
        <v>119.6</v>
      </c>
      <c r="Q333" s="51">
        <v>13.5</v>
      </c>
      <c r="R333" s="51">
        <v>106.1</v>
      </c>
      <c r="S333" s="51"/>
      <c r="T333" s="51">
        <v>14.9</v>
      </c>
      <c r="U333" s="51">
        <v>42</v>
      </c>
      <c r="V333" s="51">
        <v>38.5</v>
      </c>
      <c r="W333" s="51">
        <v>3.5</v>
      </c>
      <c r="X333" s="51" t="s">
        <v>264</v>
      </c>
      <c r="Y333" s="51" t="s">
        <v>265</v>
      </c>
      <c r="Z333" s="51">
        <v>80.5</v>
      </c>
      <c r="AA333" s="51" t="s">
        <v>265</v>
      </c>
      <c r="AB333" s="51" t="s">
        <v>265</v>
      </c>
      <c r="AC333" s="51" t="s">
        <v>264</v>
      </c>
      <c r="AD333" s="51">
        <v>41.2</v>
      </c>
      <c r="AE333" s="51">
        <v>42.1</v>
      </c>
      <c r="AF333" s="51">
        <v>178.4</v>
      </c>
      <c r="AG333" s="51">
        <v>146.69999999999999</v>
      </c>
      <c r="AH333" s="51">
        <v>31.8</v>
      </c>
      <c r="AI333" s="51">
        <v>194.14099999999999</v>
      </c>
      <c r="AJ333" s="51">
        <v>189.8</v>
      </c>
      <c r="AK333" s="51">
        <v>4.3</v>
      </c>
      <c r="AL333" s="51">
        <v>186.5</v>
      </c>
      <c r="AM333" s="51">
        <v>119.8</v>
      </c>
      <c r="AN333" s="51">
        <v>66.7</v>
      </c>
      <c r="AO333" s="51">
        <v>3188.2304600000002</v>
      </c>
      <c r="AP333" s="51">
        <v>284.43799999999999</v>
      </c>
      <c r="AQ333" s="51">
        <v>256.26692000000003</v>
      </c>
      <c r="AR333" s="51">
        <v>44.241999999999997</v>
      </c>
      <c r="AS333" s="51">
        <v>105.94103999999999</v>
      </c>
      <c r="AT333" s="51">
        <v>47.335000000000001</v>
      </c>
      <c r="AU333" s="51">
        <v>64.078400000000002</v>
      </c>
      <c r="AV333" s="51">
        <v>38.393999999999998</v>
      </c>
      <c r="AW333" s="51">
        <v>11.379250000000001</v>
      </c>
      <c r="AX333" s="55"/>
      <c r="AY333" s="51" t="s">
        <v>264</v>
      </c>
      <c r="AZ333" s="51" t="s">
        <v>264</v>
      </c>
      <c r="BA333" s="51" t="s">
        <v>264</v>
      </c>
      <c r="BB333" s="51" t="s">
        <v>264</v>
      </c>
      <c r="BC333" s="55"/>
      <c r="BD333" s="53">
        <v>129.4</v>
      </c>
      <c r="BE333" s="53">
        <v>26.3</v>
      </c>
      <c r="BF333" s="53">
        <v>69.5</v>
      </c>
      <c r="BG333" s="53">
        <v>8.6999999999999993</v>
      </c>
      <c r="BH333" s="53">
        <v>300.8</v>
      </c>
      <c r="BI333" s="53">
        <v>125.8</v>
      </c>
      <c r="BJ333" s="53">
        <v>109.5</v>
      </c>
      <c r="BK333" s="53">
        <v>235.3</v>
      </c>
      <c r="BL333" s="55"/>
      <c r="BM333" s="53">
        <v>536.20000000000005</v>
      </c>
      <c r="BN333" s="53">
        <v>193.9</v>
      </c>
      <c r="BO333" s="53">
        <v>74</v>
      </c>
      <c r="BP333" s="53">
        <v>23.1</v>
      </c>
      <c r="BQ333" s="53">
        <v>97</v>
      </c>
      <c r="BR333" s="55"/>
      <c r="BS333" s="53">
        <v>291</v>
      </c>
      <c r="BT333" s="53">
        <v>31.7</v>
      </c>
      <c r="BU333" s="53">
        <v>10.9</v>
      </c>
      <c r="BV333" s="51" t="s">
        <v>264</v>
      </c>
      <c r="BW333" s="51" t="s">
        <v>264</v>
      </c>
      <c r="BX333" s="51">
        <v>408.4</v>
      </c>
      <c r="BY333" s="51" t="s">
        <v>264</v>
      </c>
      <c r="BZ333" s="51" t="s">
        <v>264</v>
      </c>
      <c r="CA333" s="51">
        <v>56.2</v>
      </c>
      <c r="CB333" s="53">
        <v>106.1</v>
      </c>
      <c r="CC333" s="53">
        <v>18.399999999999999</v>
      </c>
      <c r="CD333" s="53">
        <v>121</v>
      </c>
      <c r="CE333" s="53">
        <v>22.8</v>
      </c>
      <c r="CF333" s="53">
        <v>122.2</v>
      </c>
      <c r="CG333" s="53">
        <v>132.5</v>
      </c>
      <c r="CH333" s="53">
        <v>6.7</v>
      </c>
      <c r="CI333" s="53">
        <v>31.5</v>
      </c>
      <c r="CJ333" s="53">
        <v>6.4</v>
      </c>
      <c r="CK333" s="53">
        <v>168.1</v>
      </c>
      <c r="CL333" s="53">
        <v>30.5</v>
      </c>
      <c r="CM333" s="55"/>
      <c r="CN333" s="53">
        <v>51.3</v>
      </c>
      <c r="CO333" s="53">
        <v>191.8</v>
      </c>
      <c r="CP333" s="53">
        <v>137.69999999999999</v>
      </c>
      <c r="CQ333" s="53">
        <v>54.1</v>
      </c>
      <c r="CR333" s="53" t="s">
        <v>264</v>
      </c>
      <c r="CS333" s="53">
        <v>48.6</v>
      </c>
      <c r="CT333" s="18">
        <v>21.318000000000001</v>
      </c>
      <c r="CU333" s="18">
        <v>28.297000000000001</v>
      </c>
      <c r="CV333" s="53">
        <v>182.2</v>
      </c>
      <c r="CW333" s="53" t="s">
        <v>265</v>
      </c>
      <c r="CX333" s="53" t="s">
        <v>265</v>
      </c>
      <c r="CY333" s="53" t="s">
        <v>265</v>
      </c>
      <c r="CZ333" s="53">
        <v>56.2</v>
      </c>
      <c r="DA333" s="53">
        <v>13.8</v>
      </c>
      <c r="DB333" s="53" t="s">
        <v>265</v>
      </c>
      <c r="DC333" s="53" t="s">
        <v>265</v>
      </c>
      <c r="DD333" s="55"/>
      <c r="DE333" s="55"/>
      <c r="DF333" s="55"/>
      <c r="DG333" s="55"/>
      <c r="DH333" s="55"/>
      <c r="DI333" s="53">
        <v>679.47199999999998</v>
      </c>
      <c r="DJ333" s="53">
        <v>436.82859999999999</v>
      </c>
      <c r="DK333" s="53">
        <v>996.28700000000003</v>
      </c>
      <c r="DL333" s="55"/>
      <c r="DM333" s="53">
        <v>486.904</v>
      </c>
      <c r="DN333" s="55"/>
      <c r="DO333" s="53">
        <v>198.67</v>
      </c>
      <c r="DP333" s="53">
        <v>297.25599999999997</v>
      </c>
      <c r="DQ333" s="55"/>
      <c r="DR333" s="55"/>
      <c r="DS333" s="53">
        <v>1249.0940000000001</v>
      </c>
      <c r="DT333" s="53">
        <v>4349.8927999999996</v>
      </c>
      <c r="DU333" s="53">
        <v>-5.3811999999998079</v>
      </c>
      <c r="DV333" s="53">
        <v>0</v>
      </c>
      <c r="DW333" s="55"/>
      <c r="DX333" s="55"/>
      <c r="DY333" s="53"/>
      <c r="DZ333" s="53"/>
      <c r="EA333" s="53">
        <v>479.649</v>
      </c>
      <c r="EB333" s="53">
        <v>444.07499999999999</v>
      </c>
      <c r="EC333" s="53">
        <v>569.13599999999997</v>
      </c>
      <c r="ED333" s="53"/>
      <c r="EE333" s="53">
        <v>149.59700000000001</v>
      </c>
      <c r="EF333" s="53"/>
      <c r="EG333" s="53">
        <v>111.76600000000001</v>
      </c>
      <c r="EH333" s="53" t="s">
        <v>265</v>
      </c>
      <c r="EI333" s="55"/>
      <c r="EJ333" s="55"/>
      <c r="EK333" s="53" t="e">
        <v>#VALUE!</v>
      </c>
      <c r="EL333" s="53">
        <v>3413.8209999999999</v>
      </c>
      <c r="EM333" s="55"/>
      <c r="EN333" s="55"/>
      <c r="EO333" s="53"/>
      <c r="EP333" s="53"/>
      <c r="EQ333" s="53">
        <v>250.845</v>
      </c>
      <c r="ER333" s="53">
        <v>161.7064</v>
      </c>
      <c r="ES333" s="53">
        <v>375.76600000000002</v>
      </c>
      <c r="ET333" s="53"/>
      <c r="EU333" s="53">
        <v>191.11600000000001</v>
      </c>
      <c r="EV333" s="53"/>
      <c r="EW333" s="53">
        <v>72.825000000000003</v>
      </c>
      <c r="EX333" s="53">
        <v>106.61199999999999</v>
      </c>
      <c r="EY333" s="55"/>
      <c r="EZ333" s="55"/>
      <c r="FA333" s="53">
        <v>466.40300000000002</v>
      </c>
      <c r="FB333" s="53">
        <v>1626.3191999999999</v>
      </c>
      <c r="FC333" s="55"/>
      <c r="FD333" s="55"/>
      <c r="FE333" s="53"/>
      <c r="FF333" s="53"/>
      <c r="FG333" s="53">
        <v>536.40200000000004</v>
      </c>
      <c r="FH333" s="53">
        <v>347.98690000000005</v>
      </c>
      <c r="FI333" s="53">
        <v>792.42200000000003</v>
      </c>
      <c r="FJ333" s="53"/>
      <c r="FK333" s="53">
        <v>384.09500000000003</v>
      </c>
      <c r="FL333" s="53"/>
      <c r="FM333" s="53">
        <v>160.80000000000001</v>
      </c>
      <c r="FN333" s="53">
        <v>237.006</v>
      </c>
      <c r="FO333" s="55"/>
      <c r="FP333" s="55"/>
      <c r="FQ333" s="53">
        <v>1614.231</v>
      </c>
      <c r="FR333" s="53">
        <v>3453.1043799999998</v>
      </c>
      <c r="FS333" s="55"/>
      <c r="FT333" s="55"/>
      <c r="FU333" s="53"/>
      <c r="FV333" s="53"/>
      <c r="FW333" s="53">
        <v>355.887</v>
      </c>
      <c r="FX333" s="53">
        <v>152.64699999999999</v>
      </c>
      <c r="FY333" s="53">
        <v>197.82400000000001</v>
      </c>
      <c r="FZ333" s="53"/>
      <c r="GA333" s="53">
        <v>97.320999999999998</v>
      </c>
      <c r="GB333" s="53"/>
      <c r="GC333" s="53" t="s">
        <v>265</v>
      </c>
      <c r="GD333" s="53" t="s">
        <v>265</v>
      </c>
      <c r="GE333" s="55"/>
      <c r="GF333" s="55"/>
      <c r="GG333" s="53">
        <v>351.52800000000002</v>
      </c>
      <c r="GH333" s="53">
        <v>1467.2190000000001</v>
      </c>
      <c r="GI333" s="55"/>
      <c r="GJ333" s="55"/>
      <c r="GK333" s="53"/>
      <c r="GL333" s="53"/>
      <c r="GM333" s="53">
        <v>44.597999999999999</v>
      </c>
      <c r="GN333" s="53">
        <v>76.349000000000004</v>
      </c>
      <c r="GO333" s="53">
        <v>59.631999999999998</v>
      </c>
      <c r="GP333" s="53"/>
      <c r="GQ333" s="53">
        <v>44.5</v>
      </c>
      <c r="GR333" s="53"/>
      <c r="GS333" s="53" t="s">
        <v>265</v>
      </c>
      <c r="GT333" s="53" t="s">
        <v>265</v>
      </c>
      <c r="GU333" s="55"/>
      <c r="GV333" s="55"/>
      <c r="GW333" s="53">
        <v>84.031000000000006</v>
      </c>
      <c r="GX333" s="53">
        <v>328.68</v>
      </c>
      <c r="GY333" s="19">
        <v>0.9791531881245058</v>
      </c>
      <c r="GZ333" s="53">
        <v>1362.1</v>
      </c>
      <c r="HA333" s="53">
        <v>1391.1</v>
      </c>
      <c r="HB333" s="18">
        <v>25.441461812199577</v>
      </c>
      <c r="HC333" s="18">
        <v>199.84158267719931</v>
      </c>
      <c r="HD333" s="18">
        <v>1583.0414618121995</v>
      </c>
      <c r="HE333" s="18">
        <v>81.5</v>
      </c>
      <c r="HF333" s="53">
        <v>1557.6</v>
      </c>
      <c r="HG333" s="53">
        <v>1317.3</v>
      </c>
      <c r="HH333" s="53">
        <v>443.3</v>
      </c>
      <c r="HI333" s="16">
        <v>68.113</v>
      </c>
      <c r="HJ333" s="53">
        <v>794.6</v>
      </c>
      <c r="HK333" s="16">
        <v>8.3629999999999995</v>
      </c>
      <c r="HL333" s="53">
        <v>240.3</v>
      </c>
      <c r="HM333" s="53">
        <v>214.9</v>
      </c>
      <c r="HN333" s="53">
        <v>42.5</v>
      </c>
      <c r="HO333" s="53">
        <v>172.4</v>
      </c>
      <c r="HP333" s="55"/>
      <c r="HQ333" s="12">
        <v>3.300000000000006</v>
      </c>
      <c r="HR333" s="53">
        <v>11.5</v>
      </c>
      <c r="HS333" s="55"/>
      <c r="HT333" s="53">
        <v>10.6</v>
      </c>
      <c r="HU333" s="55"/>
      <c r="HV333" s="55"/>
      <c r="HW333" s="53">
        <v>371.5</v>
      </c>
      <c r="HX333" s="53" t="s">
        <v>266</v>
      </c>
      <c r="HY333" s="53">
        <v>371.5</v>
      </c>
      <c r="HZ333" s="53" t="s">
        <v>265</v>
      </c>
      <c r="IA333" s="53">
        <v>231.9</v>
      </c>
      <c r="IB333" s="53">
        <v>83.3</v>
      </c>
      <c r="IC333" s="20">
        <v>148.6</v>
      </c>
      <c r="ID333" s="20">
        <v>87.7</v>
      </c>
      <c r="IE333" s="20">
        <v>60.9</v>
      </c>
      <c r="IF333" s="55"/>
      <c r="IG333" s="55"/>
      <c r="IH333" s="53">
        <v>10.5</v>
      </c>
      <c r="II333" s="69">
        <f t="shared" si="18"/>
        <v>2.3847566574839303</v>
      </c>
      <c r="IJ333" s="69">
        <f t="shared" si="18"/>
        <v>2.847566574839302</v>
      </c>
      <c r="IK333" s="69">
        <f t="shared" si="18"/>
        <v>5.2580348943985298</v>
      </c>
      <c r="IL333" s="53" t="s">
        <v>265</v>
      </c>
      <c r="IM333" s="55"/>
      <c r="IN333" s="53">
        <v>54.9</v>
      </c>
      <c r="IO333" s="53">
        <v>54.9</v>
      </c>
      <c r="IP333" s="53" t="s">
        <v>265</v>
      </c>
      <c r="IQ333" s="58">
        <v>56.7</v>
      </c>
      <c r="IR333" s="53">
        <v>13.7</v>
      </c>
      <c r="IS333" s="55"/>
      <c r="IT333" s="53">
        <v>41.6</v>
      </c>
      <c r="IU333" s="53">
        <v>1.4</v>
      </c>
      <c r="IV333" s="53" t="s">
        <v>265</v>
      </c>
      <c r="IW333" s="53">
        <v>2.8</v>
      </c>
      <c r="IX333" s="53" t="s">
        <v>265</v>
      </c>
      <c r="IY333" s="48">
        <f t="shared" si="17"/>
        <v>47.511479547266092</v>
      </c>
      <c r="IZ333" s="48">
        <f>IY333-'NOPA Crush'!J333</f>
        <v>0.17147954726608816</v>
      </c>
      <c r="JB333" s="63">
        <f t="shared" si="15"/>
        <v>11.216270892928673</v>
      </c>
      <c r="JC333" s="64">
        <f>JB333-'NOPA Crush'!O333</f>
        <v>-4.3729107071326823E-2</v>
      </c>
      <c r="JD333" s="65"/>
      <c r="JE333" s="67">
        <f t="shared" si="16"/>
        <v>3500</v>
      </c>
      <c r="JF333" s="68">
        <f>'NOPA Crush'!Q333/'Census Crush'!JE333</f>
        <v>0.82912428571428565</v>
      </c>
    </row>
    <row r="334" spans="1:266">
      <c r="A334" s="39">
        <v>39203</v>
      </c>
      <c r="B334" s="51">
        <v>4563.5118499999999</v>
      </c>
      <c r="C334" s="51">
        <v>3058.877</v>
      </c>
      <c r="D334" s="51">
        <v>243.12344000000002</v>
      </c>
      <c r="E334" s="51">
        <v>817.50300000000004</v>
      </c>
      <c r="F334" s="51">
        <v>11.8</v>
      </c>
      <c r="G334" s="51" t="s">
        <v>264</v>
      </c>
      <c r="H334" s="51" t="s">
        <v>264</v>
      </c>
      <c r="I334" s="51" t="s">
        <v>264</v>
      </c>
      <c r="J334" s="51" t="s">
        <v>264</v>
      </c>
      <c r="K334" s="51">
        <v>1729.8758</v>
      </c>
      <c r="L334" s="51">
        <v>3468.7</v>
      </c>
      <c r="M334" s="51">
        <v>3085.1</v>
      </c>
      <c r="N334" s="51">
        <v>383.6</v>
      </c>
      <c r="O334" s="53">
        <v>77.199079999999995</v>
      </c>
      <c r="P334" s="51">
        <v>123.3</v>
      </c>
      <c r="Q334" s="51">
        <v>13</v>
      </c>
      <c r="R334" s="51">
        <v>110.3</v>
      </c>
      <c r="S334" s="51"/>
      <c r="T334" s="51">
        <v>9.6999999999999993</v>
      </c>
      <c r="U334" s="51">
        <v>32.799999999999997</v>
      </c>
      <c r="V334" s="51">
        <v>30.7</v>
      </c>
      <c r="W334" s="51">
        <v>2.1</v>
      </c>
      <c r="X334" s="51" t="s">
        <v>264</v>
      </c>
      <c r="Y334" s="51" t="s">
        <v>265</v>
      </c>
      <c r="Z334" s="51">
        <v>107</v>
      </c>
      <c r="AA334" s="51" t="s">
        <v>265</v>
      </c>
      <c r="AB334" s="51" t="s">
        <v>265</v>
      </c>
      <c r="AC334" s="51" t="s">
        <v>264</v>
      </c>
      <c r="AD334" s="51">
        <v>50.1</v>
      </c>
      <c r="AE334" s="51">
        <v>51</v>
      </c>
      <c r="AF334" s="51">
        <v>142.9</v>
      </c>
      <c r="AG334" s="51">
        <v>111.1</v>
      </c>
      <c r="AH334" s="51">
        <v>31.8</v>
      </c>
      <c r="AI334" s="51">
        <v>214.446</v>
      </c>
      <c r="AJ334" s="51">
        <v>211.2</v>
      </c>
      <c r="AK334" s="51">
        <v>3.3</v>
      </c>
      <c r="AL334" s="51">
        <v>172.6</v>
      </c>
      <c r="AM334" s="51">
        <v>123.2</v>
      </c>
      <c r="AN334" s="51">
        <v>49.3</v>
      </c>
      <c r="AO334" s="51">
        <v>3361.6033499999999</v>
      </c>
      <c r="AP334" s="51">
        <v>235.78200000000001</v>
      </c>
      <c r="AQ334" s="51">
        <v>265.70249999999999</v>
      </c>
      <c r="AR334" s="51">
        <v>43.201000000000001</v>
      </c>
      <c r="AS334" s="51">
        <v>112.5504</v>
      </c>
      <c r="AT334" s="51">
        <v>74.293999999999997</v>
      </c>
      <c r="AU334" s="51">
        <v>71.973199999999991</v>
      </c>
      <c r="AV334" s="51">
        <v>42.762999999999998</v>
      </c>
      <c r="AW334" s="51">
        <v>6.1935500000000001</v>
      </c>
      <c r="AX334" s="55"/>
      <c r="AY334" s="51" t="s">
        <v>264</v>
      </c>
      <c r="AZ334" s="51" t="s">
        <v>264</v>
      </c>
      <c r="BA334" s="51" t="s">
        <v>264</v>
      </c>
      <c r="BB334" s="51" t="s">
        <v>264</v>
      </c>
      <c r="BC334" s="55"/>
      <c r="BD334" s="53">
        <v>152.4</v>
      </c>
      <c r="BE334" s="53">
        <v>34.700000000000003</v>
      </c>
      <c r="BF334" s="53">
        <v>77.400000000000006</v>
      </c>
      <c r="BG334" s="53">
        <v>9.9</v>
      </c>
      <c r="BH334" s="53">
        <v>328.4</v>
      </c>
      <c r="BI334" s="53">
        <v>136.1</v>
      </c>
      <c r="BJ334" s="53">
        <v>111</v>
      </c>
      <c r="BK334" s="53">
        <v>247</v>
      </c>
      <c r="BL334" s="55"/>
      <c r="BM334" s="53">
        <v>575.4</v>
      </c>
      <c r="BN334" s="53">
        <v>144.6</v>
      </c>
      <c r="BO334" s="53">
        <v>82.1</v>
      </c>
      <c r="BP334" s="53">
        <v>20.6</v>
      </c>
      <c r="BQ334" s="53">
        <v>102.7</v>
      </c>
      <c r="BR334" s="55"/>
      <c r="BS334" s="53">
        <v>247.3</v>
      </c>
      <c r="BT334" s="53">
        <v>33.4</v>
      </c>
      <c r="BU334" s="53">
        <v>15.2</v>
      </c>
      <c r="BV334" s="51" t="s">
        <v>264</v>
      </c>
      <c r="BW334" s="51" t="s">
        <v>264</v>
      </c>
      <c r="BX334" s="51">
        <v>463.7</v>
      </c>
      <c r="BY334" s="51" t="s">
        <v>264</v>
      </c>
      <c r="BZ334" s="51" t="s">
        <v>264</v>
      </c>
      <c r="CA334" s="51">
        <v>48.7</v>
      </c>
      <c r="CB334" s="53">
        <v>118.9</v>
      </c>
      <c r="CC334" s="53">
        <v>18.399999999999999</v>
      </c>
      <c r="CD334" s="53">
        <v>126.5</v>
      </c>
      <c r="CE334" s="53">
        <v>29.5</v>
      </c>
      <c r="CF334" s="53">
        <v>125.5</v>
      </c>
      <c r="CG334" s="53">
        <v>156.1</v>
      </c>
      <c r="CH334" s="53">
        <v>7.1</v>
      </c>
      <c r="CI334" s="53">
        <v>36.799999999999997</v>
      </c>
      <c r="CJ334" s="53">
        <v>5.0999999999999996</v>
      </c>
      <c r="CK334" s="53">
        <v>199.8</v>
      </c>
      <c r="CL334" s="53">
        <v>27.5</v>
      </c>
      <c r="CM334" s="55"/>
      <c r="CN334" s="53">
        <v>59.5</v>
      </c>
      <c r="CO334" s="53">
        <v>157.69999999999999</v>
      </c>
      <c r="CP334" s="53">
        <v>110.9</v>
      </c>
      <c r="CQ334" s="53">
        <v>46.8</v>
      </c>
      <c r="CR334" s="53" t="s">
        <v>264</v>
      </c>
      <c r="CS334" s="53">
        <v>50.8</v>
      </c>
      <c r="CT334" s="53">
        <v>29.6</v>
      </c>
      <c r="CU334" s="53">
        <v>21.2</v>
      </c>
      <c r="CV334" s="53">
        <v>173.4</v>
      </c>
      <c r="CW334" s="53" t="s">
        <v>265</v>
      </c>
      <c r="CX334" s="53" t="s">
        <v>265</v>
      </c>
      <c r="CY334" s="53" t="s">
        <v>265</v>
      </c>
      <c r="CZ334" s="53">
        <v>69.3</v>
      </c>
      <c r="DA334" s="53">
        <v>9.5</v>
      </c>
      <c r="DB334" s="53" t="s">
        <v>265</v>
      </c>
      <c r="DC334" s="53" t="s">
        <v>265</v>
      </c>
      <c r="DD334" s="55"/>
      <c r="DE334" s="55"/>
      <c r="DF334" s="55"/>
      <c r="DG334" s="55"/>
      <c r="DH334" s="55"/>
      <c r="DI334" s="53">
        <v>655.76199999999994</v>
      </c>
      <c r="DJ334" s="53">
        <v>439.50725</v>
      </c>
      <c r="DK334" s="53">
        <v>1009.0359999999999</v>
      </c>
      <c r="DL334" s="55"/>
      <c r="DM334" s="53">
        <v>499.96800000000002</v>
      </c>
      <c r="DN334" s="55"/>
      <c r="DO334" s="53">
        <v>173.99299999999999</v>
      </c>
      <c r="DP334" s="53">
        <v>290.53800000000001</v>
      </c>
      <c r="DQ334" s="55"/>
      <c r="DR334" s="55"/>
      <c r="DS334" s="53">
        <v>1489.4</v>
      </c>
      <c r="DT334" s="53">
        <v>4563.5118499999999</v>
      </c>
      <c r="DU334" s="53">
        <v>-5.3076000000000931</v>
      </c>
      <c r="DV334" s="53">
        <v>0</v>
      </c>
      <c r="DW334" s="55"/>
      <c r="DX334" s="55"/>
      <c r="DY334" s="53"/>
      <c r="DZ334" s="53"/>
      <c r="EA334" s="53">
        <v>448.25400000000002</v>
      </c>
      <c r="EB334" s="53">
        <v>344.97199999999998</v>
      </c>
      <c r="EC334" s="53">
        <v>497.1</v>
      </c>
      <c r="ED334" s="53"/>
      <c r="EE334" s="53">
        <v>202.06800000000001</v>
      </c>
      <c r="EF334" s="53"/>
      <c r="EG334" s="53">
        <v>119.28700000000001</v>
      </c>
      <c r="EH334" s="53" t="s">
        <v>265</v>
      </c>
      <c r="EI334" s="55"/>
      <c r="EJ334" s="55"/>
      <c r="EK334" s="53" t="e">
        <v>#VALUE!</v>
      </c>
      <c r="EL334" s="53">
        <v>3058.877</v>
      </c>
      <c r="EM334" s="55"/>
      <c r="EN334" s="55"/>
      <c r="EO334" s="53"/>
      <c r="EP334" s="53"/>
      <c r="EQ334" s="53">
        <v>248.47</v>
      </c>
      <c r="ER334" s="53">
        <v>163.96950000000001</v>
      </c>
      <c r="ES334" s="53">
        <v>383.745</v>
      </c>
      <c r="ET334" s="53"/>
      <c r="EU334" s="53">
        <v>197.44499999999999</v>
      </c>
      <c r="EV334" s="53"/>
      <c r="EW334" s="53">
        <v>64.05</v>
      </c>
      <c r="EX334" s="53">
        <v>106.18</v>
      </c>
      <c r="EY334" s="55"/>
      <c r="EZ334" s="55"/>
      <c r="FA334" s="53">
        <v>565.06500000000005</v>
      </c>
      <c r="FB334" s="53">
        <v>1729.8758</v>
      </c>
      <c r="FC334" s="55"/>
      <c r="FD334" s="55"/>
      <c r="FE334" s="53"/>
      <c r="FF334" s="53"/>
      <c r="FG334" s="53">
        <v>519.59299999999996</v>
      </c>
      <c r="FH334" s="53">
        <v>354.91829999999999</v>
      </c>
      <c r="FI334" s="53">
        <v>806.14800000000002</v>
      </c>
      <c r="FJ334" s="53"/>
      <c r="FK334" s="53">
        <v>399.86</v>
      </c>
      <c r="FL334" s="53"/>
      <c r="FM334" s="53">
        <v>140.54900000000001</v>
      </c>
      <c r="FN334" s="53">
        <v>226.74600000000001</v>
      </c>
      <c r="FO334" s="55"/>
      <c r="FP334" s="55"/>
      <c r="FQ334" s="53">
        <v>1184.479</v>
      </c>
      <c r="FR334" s="53">
        <v>3636.6098500000003</v>
      </c>
      <c r="FS334" s="55"/>
      <c r="FT334" s="55"/>
      <c r="FU334" s="53"/>
      <c r="FV334" s="53"/>
      <c r="FW334" s="53">
        <v>359.51</v>
      </c>
      <c r="FX334" s="53">
        <v>148.13</v>
      </c>
      <c r="FY334" s="53">
        <v>173.483</v>
      </c>
      <c r="FZ334" s="53"/>
      <c r="GA334" s="53">
        <v>82.91</v>
      </c>
      <c r="GB334" s="53"/>
      <c r="GC334" s="53" t="s">
        <v>265</v>
      </c>
      <c r="GD334" s="53" t="s">
        <v>265</v>
      </c>
      <c r="GE334" s="55"/>
      <c r="GF334" s="55"/>
      <c r="GG334" s="53">
        <v>345.09500000000003</v>
      </c>
      <c r="GH334" s="53">
        <v>1395.7670000000001</v>
      </c>
      <c r="GI334" s="55"/>
      <c r="GJ334" s="55"/>
      <c r="GK334" s="53"/>
      <c r="GL334" s="53"/>
      <c r="GM334" s="53">
        <v>52.604999999999997</v>
      </c>
      <c r="GN334" s="53">
        <v>65.521000000000001</v>
      </c>
      <c r="GO334" s="53">
        <v>43.671999999999997</v>
      </c>
      <c r="GP334" s="53"/>
      <c r="GQ334" s="53">
        <v>27.920999999999999</v>
      </c>
      <c r="GR334" s="53"/>
      <c r="GS334" s="53" t="s">
        <v>265</v>
      </c>
      <c r="GT334" s="53" t="s">
        <v>265</v>
      </c>
      <c r="GU334" s="55"/>
      <c r="GV334" s="55"/>
      <c r="GW334" s="53">
        <v>76.813000000000002</v>
      </c>
      <c r="GX334" s="53">
        <v>278.983</v>
      </c>
      <c r="GY334" s="19">
        <v>0.97854166666666664</v>
      </c>
      <c r="GZ334" s="53">
        <v>1409.1</v>
      </c>
      <c r="HA334" s="53">
        <v>1440</v>
      </c>
      <c r="HB334" s="18">
        <v>-55.202946334200533</v>
      </c>
      <c r="HC334" s="18">
        <v>122.15673186180038</v>
      </c>
      <c r="HD334" s="18">
        <v>1641.2970536657995</v>
      </c>
      <c r="HE334" s="18">
        <v>152.70000000000005</v>
      </c>
      <c r="HF334" s="53">
        <v>1696.5</v>
      </c>
      <c r="HG334" s="53">
        <v>1402.2</v>
      </c>
      <c r="HH334" s="53">
        <v>454.1</v>
      </c>
      <c r="HI334" s="16">
        <v>76.323999999999998</v>
      </c>
      <c r="HJ334" s="53">
        <v>860.3</v>
      </c>
      <c r="HK334" s="16">
        <v>9.702</v>
      </c>
      <c r="HL334" s="53">
        <v>294.3</v>
      </c>
      <c r="HM334" s="53">
        <v>269.10000000000002</v>
      </c>
      <c r="HN334" s="53">
        <v>48.9</v>
      </c>
      <c r="HO334" s="53">
        <v>220.3</v>
      </c>
      <c r="HP334" s="55"/>
      <c r="HQ334" s="12">
        <v>4.099999999999989</v>
      </c>
      <c r="HR334" s="53">
        <v>9.6</v>
      </c>
      <c r="HS334" s="55"/>
      <c r="HT334" s="53">
        <v>11.5</v>
      </c>
      <c r="HU334" s="55"/>
      <c r="HV334" s="55"/>
      <c r="HW334" s="53">
        <v>322.39999999999998</v>
      </c>
      <c r="HX334" s="53" t="s">
        <v>266</v>
      </c>
      <c r="HY334" s="53">
        <v>322.39999999999998</v>
      </c>
      <c r="HZ334" s="53" t="s">
        <v>265</v>
      </c>
      <c r="IA334" s="53">
        <v>213.9</v>
      </c>
      <c r="IB334" s="53">
        <v>60.4</v>
      </c>
      <c r="IC334" s="20">
        <v>153.4</v>
      </c>
      <c r="ID334" s="20">
        <v>101</v>
      </c>
      <c r="IE334" s="20">
        <v>52.5</v>
      </c>
      <c r="IF334" s="55"/>
      <c r="IG334" s="55"/>
      <c r="IH334" s="53">
        <v>11.5</v>
      </c>
      <c r="II334" s="69">
        <f t="shared" si="18"/>
        <v>2.6118763391490663</v>
      </c>
      <c r="IJ334" s="69">
        <f t="shared" si="18"/>
        <v>3.1187633914906638</v>
      </c>
      <c r="IK334" s="69">
        <f t="shared" si="18"/>
        <v>5.7588001224364849</v>
      </c>
      <c r="IL334" s="53" t="s">
        <v>265</v>
      </c>
      <c r="IM334" s="55"/>
      <c r="IN334" s="53">
        <v>59.1</v>
      </c>
      <c r="IO334" s="53">
        <v>59.1</v>
      </c>
      <c r="IP334" s="53" t="s">
        <v>265</v>
      </c>
      <c r="IQ334" s="58">
        <v>62.6</v>
      </c>
      <c r="IR334" s="53">
        <v>13.1</v>
      </c>
      <c r="IS334" s="55"/>
      <c r="IT334" s="53">
        <v>47.9</v>
      </c>
      <c r="IU334" s="53">
        <v>1.6</v>
      </c>
      <c r="IV334" s="53" t="s">
        <v>265</v>
      </c>
      <c r="IW334" s="53">
        <v>2.9</v>
      </c>
      <c r="IX334" s="53" t="s">
        <v>265</v>
      </c>
      <c r="IY334" s="48">
        <f t="shared" si="17"/>
        <v>47.6909797002061</v>
      </c>
      <c r="IZ334" s="48">
        <f>IY334-'NOPA Crush'!J334</f>
        <v>0.1309797002060975</v>
      </c>
      <c r="JB334" s="63">
        <f t="shared" si="15"/>
        <v>11.372003778186748</v>
      </c>
      <c r="JC334" s="64">
        <f>JB334-'NOPA Crush'!O334</f>
        <v>-3.7996221813251907E-2</v>
      </c>
      <c r="JD334" s="65"/>
      <c r="JE334" s="67">
        <f t="shared" si="16"/>
        <v>3468.7</v>
      </c>
      <c r="JF334" s="68">
        <f>'NOPA Crush'!Q334/'Census Crush'!JE334</f>
        <v>0.84284832934528797</v>
      </c>
    </row>
    <row r="335" spans="1:266">
      <c r="A335" s="39">
        <v>39234</v>
      </c>
      <c r="B335" s="51">
        <v>4466.0196699999997</v>
      </c>
      <c r="C335" s="51">
        <v>3104.3359999999998</v>
      </c>
      <c r="D335" s="51">
        <v>204.56174999999999</v>
      </c>
      <c r="E335" s="51">
        <v>637.56299999999999</v>
      </c>
      <c r="F335" s="55"/>
      <c r="G335" s="51" t="s">
        <v>264</v>
      </c>
      <c r="H335" s="51" t="s">
        <v>264</v>
      </c>
      <c r="I335" s="51" t="s">
        <v>264</v>
      </c>
      <c r="J335" s="51" t="s">
        <v>264</v>
      </c>
      <c r="K335" s="51">
        <v>1693.47831</v>
      </c>
      <c r="L335" s="51">
        <v>3549.8</v>
      </c>
      <c r="M335" s="51">
        <v>3145</v>
      </c>
      <c r="N335" s="51">
        <v>404.8</v>
      </c>
      <c r="O335" s="53">
        <v>65.152450000000002</v>
      </c>
      <c r="P335" s="51">
        <v>118.5</v>
      </c>
      <c r="Q335" s="51">
        <v>9.6999999999999993</v>
      </c>
      <c r="R335" s="51">
        <v>108.8</v>
      </c>
      <c r="S335" s="51"/>
      <c r="T335" s="51">
        <v>15.228</v>
      </c>
      <c r="U335" s="51">
        <v>25.6</v>
      </c>
      <c r="V335" s="51">
        <v>21.5</v>
      </c>
      <c r="W335" s="51">
        <v>4.0999999999999996</v>
      </c>
      <c r="X335" s="51" t="s">
        <v>264</v>
      </c>
      <c r="Y335" s="51" t="s">
        <v>265</v>
      </c>
      <c r="Z335" s="51">
        <v>95.6</v>
      </c>
      <c r="AA335" s="51" t="s">
        <v>265</v>
      </c>
      <c r="AB335" s="51" t="s">
        <v>265</v>
      </c>
      <c r="AC335" s="51" t="s">
        <v>264</v>
      </c>
      <c r="AD335" s="51">
        <v>57.1</v>
      </c>
      <c r="AE335" s="51">
        <v>58.6</v>
      </c>
      <c r="AF335" s="51">
        <v>152.1</v>
      </c>
      <c r="AG335" s="51">
        <v>117.1</v>
      </c>
      <c r="AH335" s="51">
        <v>35</v>
      </c>
      <c r="AI335" s="51">
        <v>212.69499999999999</v>
      </c>
      <c r="AJ335" s="15">
        <v>207.30000000000018</v>
      </c>
      <c r="AK335" s="15">
        <v>5.6000000000000014</v>
      </c>
      <c r="AL335" s="51">
        <v>156.80000000000001</v>
      </c>
      <c r="AM335" s="51">
        <v>119.6</v>
      </c>
      <c r="AN335" s="51">
        <v>37.200000000000003</v>
      </c>
      <c r="AO335" s="51">
        <v>3271.0104100000003</v>
      </c>
      <c r="AP335" s="51">
        <v>279.86599999999999</v>
      </c>
      <c r="AQ335" s="51">
        <v>261.64103</v>
      </c>
      <c r="AR335" s="51">
        <v>36.893000000000001</v>
      </c>
      <c r="AS335" s="51">
        <v>97.379300000000001</v>
      </c>
      <c r="AT335" s="51">
        <v>82.037999999999997</v>
      </c>
      <c r="AU335" s="51">
        <v>57.656699999999994</v>
      </c>
      <c r="AV335" s="51">
        <v>39.466000000000001</v>
      </c>
      <c r="AW335" s="15">
        <v>10.072759999999974</v>
      </c>
      <c r="AX335" s="55"/>
      <c r="AY335" s="51" t="s">
        <v>264</v>
      </c>
      <c r="AZ335" s="51" t="s">
        <v>264</v>
      </c>
      <c r="BA335" s="51" t="s">
        <v>264</v>
      </c>
      <c r="BB335" s="51" t="s">
        <v>264</v>
      </c>
      <c r="BC335" s="55"/>
      <c r="BD335" s="53">
        <v>155.19999999999999</v>
      </c>
      <c r="BE335" s="53">
        <v>30.9</v>
      </c>
      <c r="BF335" s="53">
        <v>72.2</v>
      </c>
      <c r="BG335" s="53">
        <v>11.4</v>
      </c>
      <c r="BH335" s="53">
        <v>321.39999999999998</v>
      </c>
      <c r="BI335" s="53">
        <v>143.30000000000001</v>
      </c>
      <c r="BJ335" s="53">
        <v>106.6</v>
      </c>
      <c r="BK335" s="53">
        <v>249.9</v>
      </c>
      <c r="BL335" s="55"/>
      <c r="BM335" s="53">
        <v>571.29999999999995</v>
      </c>
      <c r="BN335" s="53">
        <v>190.4</v>
      </c>
      <c r="BO335" s="53">
        <v>65.599999999999994</v>
      </c>
      <c r="BP335" s="53">
        <v>23.3</v>
      </c>
      <c r="BQ335" s="53">
        <v>88.9</v>
      </c>
      <c r="BR335" s="55"/>
      <c r="BS335" s="53">
        <v>279.2</v>
      </c>
      <c r="BT335" s="53">
        <v>30.2</v>
      </c>
      <c r="BU335" s="53">
        <v>11.3</v>
      </c>
      <c r="BV335" s="51" t="s">
        <v>264</v>
      </c>
      <c r="BW335" s="51" t="s">
        <v>264</v>
      </c>
      <c r="BX335" s="51">
        <v>449.6</v>
      </c>
      <c r="BY335" s="51" t="s">
        <v>264</v>
      </c>
      <c r="BZ335" s="51" t="s">
        <v>264</v>
      </c>
      <c r="CA335" s="51">
        <v>47</v>
      </c>
      <c r="CB335" s="53">
        <v>111.3</v>
      </c>
      <c r="CC335" s="53">
        <v>23.6</v>
      </c>
      <c r="CD335" s="53">
        <v>122.2</v>
      </c>
      <c r="CE335" s="53">
        <v>33.4</v>
      </c>
      <c r="CF335" s="53">
        <v>99.2</v>
      </c>
      <c r="CG335" s="53">
        <v>162.5</v>
      </c>
      <c r="CH335" s="53">
        <v>8.4</v>
      </c>
      <c r="CI335" s="53">
        <v>30.9</v>
      </c>
      <c r="CJ335" s="53">
        <v>5.0999999999999996</v>
      </c>
      <c r="CK335" s="53">
        <v>185.1</v>
      </c>
      <c r="CL335" s="53">
        <v>27.4</v>
      </c>
      <c r="CM335" s="55"/>
      <c r="CN335" s="53">
        <v>54.8</v>
      </c>
      <c r="CO335" s="53">
        <v>136.69999999999999</v>
      </c>
      <c r="CP335" s="53">
        <v>80.599999999999994</v>
      </c>
      <c r="CQ335" s="53">
        <v>56.1</v>
      </c>
      <c r="CR335" s="53" t="s">
        <v>264</v>
      </c>
      <c r="CS335" s="53">
        <v>40.6</v>
      </c>
      <c r="CT335" s="53">
        <v>19.2</v>
      </c>
      <c r="CU335" s="53">
        <v>21.4</v>
      </c>
      <c r="CV335" s="53">
        <v>237.2</v>
      </c>
      <c r="CW335" s="53" t="s">
        <v>265</v>
      </c>
      <c r="CX335" s="53" t="s">
        <v>265</v>
      </c>
      <c r="CY335" s="53" t="s">
        <v>265</v>
      </c>
      <c r="CZ335" s="53">
        <v>74.400000000000006</v>
      </c>
      <c r="DA335" s="53" t="s">
        <v>265</v>
      </c>
      <c r="DB335" s="53" t="s">
        <v>265</v>
      </c>
      <c r="DC335" s="53" t="s">
        <v>265</v>
      </c>
      <c r="DD335" s="55"/>
      <c r="DE335" s="55"/>
      <c r="DF335" s="55"/>
      <c r="DG335" s="55"/>
      <c r="DH335" s="55"/>
      <c r="DI335" s="53">
        <v>616.64599999999996</v>
      </c>
      <c r="DJ335" s="53">
        <v>387.93932000000001</v>
      </c>
      <c r="DK335" s="53">
        <v>1049.9290000000001</v>
      </c>
      <c r="DL335" s="55"/>
      <c r="DM335" s="53">
        <v>533.41899999999998</v>
      </c>
      <c r="DN335" s="55"/>
      <c r="DO335" s="53">
        <v>201.745</v>
      </c>
      <c r="DP335" s="53">
        <v>310.72399999999999</v>
      </c>
      <c r="DQ335" s="55"/>
      <c r="DR335" s="55"/>
      <c r="DS335" s="53">
        <v>1360.2339999999999</v>
      </c>
      <c r="DT335" s="53">
        <v>4466.0196699999997</v>
      </c>
      <c r="DU335" s="53">
        <v>-5.383350000000064</v>
      </c>
      <c r="DV335" s="53">
        <v>0</v>
      </c>
      <c r="DW335" s="55"/>
      <c r="DX335" s="55"/>
      <c r="DY335" s="53"/>
      <c r="DZ335" s="53"/>
      <c r="EA335" s="53">
        <v>525.18499999999995</v>
      </c>
      <c r="EB335" s="53">
        <v>414.39299999999997</v>
      </c>
      <c r="EC335" s="53">
        <v>508.49099999999999</v>
      </c>
      <c r="ED335" s="53"/>
      <c r="EE335" s="53">
        <v>251.298</v>
      </c>
      <c r="EF335" s="53"/>
      <c r="EG335" s="53" t="s">
        <v>265</v>
      </c>
      <c r="EH335" s="53" t="s">
        <v>265</v>
      </c>
      <c r="EI335" s="55"/>
      <c r="EJ335" s="55"/>
      <c r="EK335" s="53">
        <v>1067.681</v>
      </c>
      <c r="EL335" s="53">
        <v>3104.3359999999998</v>
      </c>
      <c r="EM335" s="55"/>
      <c r="EN335" s="55"/>
      <c r="EO335" s="53"/>
      <c r="EP335" s="53"/>
      <c r="EQ335" s="53">
        <v>235.50899999999999</v>
      </c>
      <c r="ER335" s="53">
        <v>144.82376000000002</v>
      </c>
      <c r="ES335" s="53">
        <v>397.976</v>
      </c>
      <c r="ET335" s="53"/>
      <c r="EU335" s="53">
        <v>211.84399999999999</v>
      </c>
      <c r="EV335" s="53"/>
      <c r="EW335" s="53">
        <v>74.781000000000006</v>
      </c>
      <c r="EX335" s="53">
        <v>113.795</v>
      </c>
      <c r="EY335" s="55"/>
      <c r="EZ335" s="55"/>
      <c r="FA335" s="53">
        <v>513.76400000000001</v>
      </c>
      <c r="FB335" s="53">
        <v>1693.47831</v>
      </c>
      <c r="FC335" s="55"/>
      <c r="FD335" s="55"/>
      <c r="FE335" s="53"/>
      <c r="FF335" s="53"/>
      <c r="FG335" s="53">
        <v>489.93400000000003</v>
      </c>
      <c r="FH335" s="53">
        <v>305.48144000000002</v>
      </c>
      <c r="FI335" s="53">
        <v>832.89099999999996</v>
      </c>
      <c r="FJ335" s="53"/>
      <c r="FK335" s="53">
        <v>424.72800000000001</v>
      </c>
      <c r="FL335" s="53"/>
      <c r="FM335" s="53">
        <v>163.48699999999999</v>
      </c>
      <c r="FN335" s="53">
        <v>246.02</v>
      </c>
      <c r="FO335" s="55"/>
      <c r="FP335" s="55"/>
      <c r="FQ335" s="53">
        <v>1074.7650000000001</v>
      </c>
      <c r="FR335" s="53">
        <v>3541.7344399999997</v>
      </c>
      <c r="FS335" s="55"/>
      <c r="FT335" s="55"/>
      <c r="FU335" s="53"/>
      <c r="FV335" s="53"/>
      <c r="FW335" s="53">
        <v>350.1</v>
      </c>
      <c r="FX335" s="53">
        <v>149.10499999999999</v>
      </c>
      <c r="FY335" s="53">
        <v>187.47399999999999</v>
      </c>
      <c r="FZ335" s="53"/>
      <c r="GA335" s="53">
        <v>106.354</v>
      </c>
      <c r="GB335" s="53"/>
      <c r="GC335" s="53" t="s">
        <v>265</v>
      </c>
      <c r="GD335" s="53" t="s">
        <v>265</v>
      </c>
      <c r="GE335" s="55"/>
      <c r="GF335" s="55"/>
      <c r="GG335" s="53">
        <v>336.69900000000001</v>
      </c>
      <c r="GH335" s="53">
        <v>1439.232</v>
      </c>
      <c r="GI335" s="55"/>
      <c r="GJ335" s="55"/>
      <c r="GK335" s="53"/>
      <c r="GL335" s="53"/>
      <c r="GM335" s="53">
        <v>58.709000000000003</v>
      </c>
      <c r="GN335" s="53">
        <v>46.712000000000003</v>
      </c>
      <c r="GO335" s="53">
        <v>59.481000000000002</v>
      </c>
      <c r="GP335" s="53"/>
      <c r="GQ335" s="53">
        <v>38.137</v>
      </c>
      <c r="GR335" s="53"/>
      <c r="GS335" s="53" t="s">
        <v>265</v>
      </c>
      <c r="GT335" s="53" t="s">
        <v>265</v>
      </c>
      <c r="GU335" s="55"/>
      <c r="GV335" s="55"/>
      <c r="GW335" s="53">
        <v>91.165999999999997</v>
      </c>
      <c r="GX335" s="53">
        <v>316.75900000000001</v>
      </c>
      <c r="GY335" s="19">
        <v>0.97944061024337092</v>
      </c>
      <c r="GZ335" s="53">
        <v>1348.2</v>
      </c>
      <c r="HA335" s="53">
        <v>1376.5</v>
      </c>
      <c r="HB335" s="18">
        <v>-111.60782623440082</v>
      </c>
      <c r="HC335" s="18">
        <v>7.5501884349982902</v>
      </c>
      <c r="HD335" s="18">
        <v>1490.8921737655992</v>
      </c>
      <c r="HE335" s="18">
        <v>10.5</v>
      </c>
      <c r="HF335" s="53">
        <v>1602.5</v>
      </c>
      <c r="HG335" s="53">
        <v>1304.7</v>
      </c>
      <c r="HH335" s="53">
        <v>438.5</v>
      </c>
      <c r="HI335" s="16">
        <v>72.781000000000006</v>
      </c>
      <c r="HJ335" s="53">
        <v>782.8</v>
      </c>
      <c r="HK335" s="16">
        <v>9.0050000000000008</v>
      </c>
      <c r="HL335" s="53">
        <v>297.8</v>
      </c>
      <c r="HM335" s="53">
        <v>255.9</v>
      </c>
      <c r="HN335" s="53">
        <v>61.9</v>
      </c>
      <c r="HO335" s="53">
        <v>194</v>
      </c>
      <c r="HP335" s="55"/>
      <c r="HQ335" s="53" t="s">
        <v>267</v>
      </c>
      <c r="HR335" s="53">
        <v>10.199999999999999</v>
      </c>
      <c r="HS335" s="55"/>
      <c r="HT335" s="53">
        <v>27.8</v>
      </c>
      <c r="HU335" s="55"/>
      <c r="HV335" s="55"/>
      <c r="HW335" s="53">
        <v>362.4</v>
      </c>
      <c r="HX335" s="53" t="s">
        <v>266</v>
      </c>
      <c r="HY335" s="53">
        <v>362.4</v>
      </c>
      <c r="HZ335" s="53" t="s">
        <v>265</v>
      </c>
      <c r="IA335" s="53">
        <v>232.8</v>
      </c>
      <c r="IB335" s="53">
        <v>70.2</v>
      </c>
      <c r="IC335" s="20">
        <v>162.6</v>
      </c>
      <c r="ID335" s="20">
        <v>106.8</v>
      </c>
      <c r="IE335" s="20">
        <v>55.9</v>
      </c>
      <c r="IF335" s="55"/>
      <c r="IG335" s="55"/>
      <c r="IH335" s="53">
        <v>15.9</v>
      </c>
      <c r="II335" s="69">
        <f t="shared" si="18"/>
        <v>3.6112029384756661</v>
      </c>
      <c r="IJ335" s="69">
        <f t="shared" si="18"/>
        <v>4.3120293847566575</v>
      </c>
      <c r="IK335" s="69">
        <f t="shared" si="18"/>
        <v>7.9621671258034876</v>
      </c>
      <c r="IL335" s="53" t="s">
        <v>265</v>
      </c>
      <c r="IM335" s="55"/>
      <c r="IN335" s="53">
        <v>54</v>
      </c>
      <c r="IO335" s="53">
        <v>54.1</v>
      </c>
      <c r="IP335" s="53" t="s">
        <v>265</v>
      </c>
      <c r="IQ335" s="18">
        <v>53.256999999999998</v>
      </c>
      <c r="IR335" s="53">
        <v>8.6999999999999993</v>
      </c>
      <c r="IS335" s="55"/>
      <c r="IT335" s="53">
        <v>43.7</v>
      </c>
      <c r="IU335" s="18">
        <v>1.385</v>
      </c>
      <c r="IV335" s="53" t="s">
        <v>265</v>
      </c>
      <c r="IW335" s="53" t="s">
        <v>265</v>
      </c>
      <c r="IX335" s="53" t="s">
        <v>265</v>
      </c>
      <c r="IY335" s="48">
        <f t="shared" si="17"/>
        <v>47.46040144511948</v>
      </c>
      <c r="IZ335" s="48">
        <f>IY335-'NOPA Crush'!J335</f>
        <v>8.0401445119477444E-2</v>
      </c>
      <c r="JB335" s="63">
        <f t="shared" si="15"/>
        <v>11.375755830470849</v>
      </c>
      <c r="JC335" s="64">
        <f>JB335-'NOPA Crush'!O335</f>
        <v>-6.4244169529150241E-2</v>
      </c>
      <c r="JD335" s="65"/>
      <c r="JE335" s="67">
        <f t="shared" si="16"/>
        <v>3549.8</v>
      </c>
      <c r="JF335" s="68">
        <f>'NOPA Crush'!Q335/'Census Crush'!JE335</f>
        <v>0.83142120682855369</v>
      </c>
    </row>
    <row r="336" spans="1:266">
      <c r="A336" s="39">
        <v>39264</v>
      </c>
      <c r="B336" s="51">
        <v>4511.4168200000004</v>
      </c>
      <c r="C336" s="51">
        <v>2971.741</v>
      </c>
      <c r="D336" s="51">
        <v>203.33510000000001</v>
      </c>
      <c r="E336" s="51">
        <v>489.08199999999999</v>
      </c>
      <c r="F336" s="51">
        <v>17.027000000000001</v>
      </c>
      <c r="G336" s="51" t="s">
        <v>264</v>
      </c>
      <c r="H336" s="51" t="s">
        <v>264</v>
      </c>
      <c r="I336" s="51" t="s">
        <v>264</v>
      </c>
      <c r="J336" s="51" t="s">
        <v>264</v>
      </c>
      <c r="K336" s="51">
        <v>1710.6886999999999</v>
      </c>
      <c r="L336" s="51">
        <v>3399.7</v>
      </c>
      <c r="M336" s="51">
        <v>2988</v>
      </c>
      <c r="N336" s="51">
        <v>411.6</v>
      </c>
      <c r="O336" s="53">
        <v>66.718000000000004</v>
      </c>
      <c r="P336" s="51">
        <v>115.9</v>
      </c>
      <c r="Q336" s="51">
        <v>9.3000000000000007</v>
      </c>
      <c r="R336" s="51">
        <v>106.7</v>
      </c>
      <c r="S336" s="51"/>
      <c r="T336" s="51">
        <v>14.1</v>
      </c>
      <c r="U336" s="51">
        <v>22.3</v>
      </c>
      <c r="V336" s="51">
        <v>17.100000000000001</v>
      </c>
      <c r="W336" s="51">
        <v>5.2</v>
      </c>
      <c r="X336" s="51" t="s">
        <v>264</v>
      </c>
      <c r="Y336" s="51" t="s">
        <v>265</v>
      </c>
      <c r="Z336" s="51">
        <v>91.1</v>
      </c>
      <c r="AA336" s="51" t="s">
        <v>265</v>
      </c>
      <c r="AB336" s="51" t="s">
        <v>265</v>
      </c>
      <c r="AC336" s="51" t="s">
        <v>264</v>
      </c>
      <c r="AD336" s="51">
        <v>73.7</v>
      </c>
      <c r="AE336" s="51">
        <v>75.400000000000006</v>
      </c>
      <c r="AF336" s="51">
        <v>168.7</v>
      </c>
      <c r="AG336" s="51">
        <v>122.2</v>
      </c>
      <c r="AH336" s="51">
        <v>46.5</v>
      </c>
      <c r="AI336" s="51">
        <v>219.80699999999999</v>
      </c>
      <c r="AJ336" s="51">
        <v>216.6</v>
      </c>
      <c r="AK336" s="51">
        <v>3.2</v>
      </c>
      <c r="AL336" s="51">
        <v>177.9</v>
      </c>
      <c r="AM336" s="51">
        <v>123.8</v>
      </c>
      <c r="AN336" s="51">
        <v>54</v>
      </c>
      <c r="AO336" s="51">
        <v>3300.0713999999998</v>
      </c>
      <c r="AP336" s="51">
        <v>279.517</v>
      </c>
      <c r="AQ336" s="51">
        <v>265.87615999999997</v>
      </c>
      <c r="AR336" s="51">
        <v>32.091999999999999</v>
      </c>
      <c r="AS336" s="51">
        <v>102.30889999999999</v>
      </c>
      <c r="AT336" s="51">
        <v>84.316000000000003</v>
      </c>
      <c r="AU336" s="51">
        <v>63.644100000000002</v>
      </c>
      <c r="AV336" s="51">
        <v>48.911999999999999</v>
      </c>
      <c r="AW336" s="51">
        <v>9.6307999999999989</v>
      </c>
      <c r="AX336" s="55"/>
      <c r="AY336" s="51" t="s">
        <v>264</v>
      </c>
      <c r="AZ336" s="51" t="s">
        <v>264</v>
      </c>
      <c r="BA336" s="51" t="s">
        <v>264</v>
      </c>
      <c r="BB336" s="51" t="s">
        <v>264</v>
      </c>
      <c r="BC336" s="55"/>
      <c r="BD336" s="53">
        <v>153</v>
      </c>
      <c r="BE336" s="53">
        <v>32.1</v>
      </c>
      <c r="BF336" s="53">
        <v>76.2</v>
      </c>
      <c r="BG336" s="53">
        <v>9.9</v>
      </c>
      <c r="BH336" s="53">
        <v>310</v>
      </c>
      <c r="BI336" s="53">
        <v>132.69999999999999</v>
      </c>
      <c r="BJ336" s="53">
        <v>101.8</v>
      </c>
      <c r="BK336" s="53">
        <v>234.4</v>
      </c>
      <c r="BL336" s="55"/>
      <c r="BM336" s="53">
        <v>544.4</v>
      </c>
      <c r="BN336" s="53">
        <v>201.4</v>
      </c>
      <c r="BO336" s="53">
        <v>77.599999999999994</v>
      </c>
      <c r="BP336" s="53">
        <v>20.8</v>
      </c>
      <c r="BQ336" s="53">
        <v>98.4</v>
      </c>
      <c r="BR336" s="55"/>
      <c r="BS336" s="53">
        <v>299.8</v>
      </c>
      <c r="BT336" s="53">
        <v>31.6</v>
      </c>
      <c r="BU336" s="53">
        <v>12.9</v>
      </c>
      <c r="BV336" s="51" t="s">
        <v>264</v>
      </c>
      <c r="BW336" s="51" t="s">
        <v>264</v>
      </c>
      <c r="BX336" s="51">
        <v>431</v>
      </c>
      <c r="BY336" s="51" t="s">
        <v>264</v>
      </c>
      <c r="BZ336" s="51" t="s">
        <v>264</v>
      </c>
      <c r="CA336" s="51">
        <v>57.2</v>
      </c>
      <c r="CB336" s="53">
        <v>112.1</v>
      </c>
      <c r="CC336" s="53">
        <v>22.9</v>
      </c>
      <c r="CD336" s="53">
        <v>122.6</v>
      </c>
      <c r="CE336" s="53">
        <v>25.4</v>
      </c>
      <c r="CF336" s="53">
        <v>108.8</v>
      </c>
      <c r="CG336" s="53">
        <v>164.3</v>
      </c>
      <c r="CH336" s="53">
        <v>6</v>
      </c>
      <c r="CI336" s="53">
        <v>53.3</v>
      </c>
      <c r="CJ336" s="53">
        <v>5.9</v>
      </c>
      <c r="CK336" s="53">
        <v>185.9</v>
      </c>
      <c r="CL336" s="53">
        <v>28.1</v>
      </c>
      <c r="CM336" s="55"/>
      <c r="CN336" s="53">
        <v>57.6</v>
      </c>
      <c r="CO336" s="53">
        <v>157.19999999999999</v>
      </c>
      <c r="CP336" s="53">
        <v>108</v>
      </c>
      <c r="CQ336" s="53">
        <v>49.3</v>
      </c>
      <c r="CR336" s="53" t="s">
        <v>264</v>
      </c>
      <c r="CS336" s="53">
        <v>42.7</v>
      </c>
      <c r="CT336" s="53">
        <v>15.5</v>
      </c>
      <c r="CU336" s="53">
        <v>27.2</v>
      </c>
      <c r="CV336" s="53">
        <v>173.3</v>
      </c>
      <c r="CW336" s="53" t="s">
        <v>265</v>
      </c>
      <c r="CX336" s="53" t="s">
        <v>265</v>
      </c>
      <c r="CY336" s="53" t="s">
        <v>265</v>
      </c>
      <c r="CZ336" s="53">
        <v>107.5</v>
      </c>
      <c r="DA336" s="53" t="s">
        <v>265</v>
      </c>
      <c r="DB336" s="53" t="s">
        <v>265</v>
      </c>
      <c r="DC336" s="53" t="s">
        <v>265</v>
      </c>
      <c r="DD336" s="55"/>
      <c r="DE336" s="55"/>
      <c r="DF336" s="55"/>
      <c r="DG336" s="55"/>
      <c r="DH336" s="55"/>
      <c r="DI336" s="53">
        <v>696.29600000000005</v>
      </c>
      <c r="DJ336" s="53">
        <v>395.7441</v>
      </c>
      <c r="DK336" s="53">
        <v>1028.0940000000001</v>
      </c>
      <c r="DL336" s="55"/>
      <c r="DM336" s="53">
        <v>541.70000000000005</v>
      </c>
      <c r="DN336" s="55"/>
      <c r="DO336" s="53">
        <v>201.51400000000001</v>
      </c>
      <c r="DP336" s="53">
        <v>278.452</v>
      </c>
      <c r="DQ336" s="55"/>
      <c r="DR336" s="55"/>
      <c r="DS336" s="53">
        <v>1364.277</v>
      </c>
      <c r="DT336" s="53">
        <v>4511.4168200000004</v>
      </c>
      <c r="DU336" s="53">
        <v>-5.339719999999943</v>
      </c>
      <c r="DV336" s="53">
        <v>0</v>
      </c>
      <c r="DW336" s="55"/>
      <c r="DX336" s="55"/>
      <c r="DY336" s="53"/>
      <c r="DZ336" s="53"/>
      <c r="EA336" s="53">
        <v>459.86</v>
      </c>
      <c r="EB336" s="53">
        <v>410.589</v>
      </c>
      <c r="EC336" s="53">
        <v>499.53</v>
      </c>
      <c r="ED336" s="53"/>
      <c r="EE336" s="53">
        <v>280.416</v>
      </c>
      <c r="EF336" s="53"/>
      <c r="EG336" s="53" t="s">
        <v>265</v>
      </c>
      <c r="EH336" s="53" t="s">
        <v>265</v>
      </c>
      <c r="EI336" s="55"/>
      <c r="EJ336" s="55"/>
      <c r="EK336" s="53">
        <v>1061.9780000000001</v>
      </c>
      <c r="EL336" s="53">
        <v>2971.741</v>
      </c>
      <c r="EM336" s="55"/>
      <c r="EN336" s="55"/>
      <c r="EO336" s="53"/>
      <c r="EP336" s="53"/>
      <c r="EQ336" s="53">
        <v>264.38499999999999</v>
      </c>
      <c r="ER336" s="53">
        <v>146.66290000000001</v>
      </c>
      <c r="ES336" s="53">
        <v>390.334</v>
      </c>
      <c r="ET336" s="53"/>
      <c r="EU336" s="53">
        <v>212.31</v>
      </c>
      <c r="EV336" s="53"/>
      <c r="EW336" s="53">
        <v>75.472999999999999</v>
      </c>
      <c r="EX336" s="53">
        <v>102.074</v>
      </c>
      <c r="EY336" s="55"/>
      <c r="EZ336" s="55"/>
      <c r="FA336" s="53">
        <v>518.48599999999999</v>
      </c>
      <c r="FB336" s="53">
        <v>1710.6886999999999</v>
      </c>
      <c r="FC336" s="55"/>
      <c r="FD336" s="55"/>
      <c r="FE336" s="53"/>
      <c r="FF336" s="53"/>
      <c r="FG336" s="53">
        <v>553.803</v>
      </c>
      <c r="FH336" s="53">
        <v>312.81079999999997</v>
      </c>
      <c r="FI336" s="53">
        <v>812.57399999999996</v>
      </c>
      <c r="FJ336" s="53"/>
      <c r="FK336" s="53">
        <v>425.19600000000003</v>
      </c>
      <c r="FL336" s="53"/>
      <c r="FM336" s="53">
        <v>162.828</v>
      </c>
      <c r="FN336" s="53">
        <v>222.38399999999999</v>
      </c>
      <c r="FO336" s="55"/>
      <c r="FP336" s="55"/>
      <c r="FQ336" s="53">
        <v>1081.4680000000001</v>
      </c>
      <c r="FR336" s="53">
        <v>3575.47156</v>
      </c>
      <c r="FS336" s="55"/>
      <c r="FT336" s="55"/>
      <c r="FU336" s="53"/>
      <c r="FV336" s="53"/>
      <c r="FW336" s="53">
        <v>345.702</v>
      </c>
      <c r="FX336" s="53">
        <v>131.66200000000001</v>
      </c>
      <c r="FY336" s="53">
        <v>161.05699999999999</v>
      </c>
      <c r="FZ336" s="53"/>
      <c r="GA336" s="53">
        <v>98.736000000000004</v>
      </c>
      <c r="GB336" s="53"/>
      <c r="GC336" s="53" t="s">
        <v>265</v>
      </c>
      <c r="GD336" s="53" t="s">
        <v>265</v>
      </c>
      <c r="GE336" s="55"/>
      <c r="GF336" s="55"/>
      <c r="GG336" s="53">
        <v>316.10899999999998</v>
      </c>
      <c r="GH336" s="53">
        <v>1353.7650000000001</v>
      </c>
      <c r="GI336" s="55"/>
      <c r="GJ336" s="55"/>
      <c r="GK336" s="53"/>
      <c r="GL336" s="53"/>
      <c r="GM336" s="53">
        <v>70.662999999999997</v>
      </c>
      <c r="GN336" s="53">
        <v>47.795000000000002</v>
      </c>
      <c r="GO336" s="53">
        <v>49.517000000000003</v>
      </c>
      <c r="GP336" s="53"/>
      <c r="GQ336" s="53">
        <v>28.177</v>
      </c>
      <c r="GR336" s="53"/>
      <c r="GS336" s="53" t="s">
        <v>265</v>
      </c>
      <c r="GT336" s="53" t="s">
        <v>265</v>
      </c>
      <c r="GU336" s="55"/>
      <c r="GV336" s="55"/>
      <c r="GW336" s="53">
        <v>96.114000000000004</v>
      </c>
      <c r="GX336" s="53">
        <v>311.60899999999998</v>
      </c>
      <c r="GY336" s="19">
        <v>0.97815092049362728</v>
      </c>
      <c r="GZ336" s="53">
        <v>1450.5</v>
      </c>
      <c r="HA336" s="53">
        <v>1482.9</v>
      </c>
      <c r="HB336" s="18">
        <v>-115.44051600160014</v>
      </c>
      <c r="HC336" s="18">
        <v>206.08651313100108</v>
      </c>
      <c r="HD336" s="18">
        <v>1661.8594839983998</v>
      </c>
      <c r="HE336" s="18">
        <v>289.29999999999995</v>
      </c>
      <c r="HF336" s="53">
        <v>1777.3</v>
      </c>
      <c r="HG336" s="53">
        <v>1400.9</v>
      </c>
      <c r="HH336" s="53">
        <v>457.1</v>
      </c>
      <c r="HI336" s="59">
        <v>64.400000000000006</v>
      </c>
      <c r="HJ336" s="53">
        <v>871.2</v>
      </c>
      <c r="HK336" s="59">
        <v>8.1999999999999993</v>
      </c>
      <c r="HL336" s="53">
        <v>376.4</v>
      </c>
      <c r="HM336" s="53">
        <v>348.1</v>
      </c>
      <c r="HN336" s="53">
        <v>63.9</v>
      </c>
      <c r="HO336" s="53">
        <v>284.3</v>
      </c>
      <c r="HP336" s="55"/>
      <c r="HQ336" s="53" t="s">
        <v>267</v>
      </c>
      <c r="HR336" s="53">
        <v>12</v>
      </c>
      <c r="HS336" s="55"/>
      <c r="HT336" s="53">
        <v>13</v>
      </c>
      <c r="HU336" s="55"/>
      <c r="HV336" s="55"/>
      <c r="HW336" s="53">
        <v>338.9</v>
      </c>
      <c r="HX336" s="53" t="s">
        <v>266</v>
      </c>
      <c r="HY336" s="53">
        <v>338.9</v>
      </c>
      <c r="HZ336" s="53" t="s">
        <v>265</v>
      </c>
      <c r="IA336" s="53">
        <v>218.8</v>
      </c>
      <c r="IB336" s="53">
        <v>63.6</v>
      </c>
      <c r="IC336" s="20">
        <v>155.19999999999999</v>
      </c>
      <c r="ID336" s="20">
        <v>93</v>
      </c>
      <c r="IE336" s="20">
        <v>62.2</v>
      </c>
      <c r="IF336" s="55"/>
      <c r="IG336" s="55"/>
      <c r="IH336" s="53">
        <v>13.6</v>
      </c>
      <c r="II336" s="69">
        <f t="shared" si="18"/>
        <v>3.0888276706458524</v>
      </c>
      <c r="IJ336" s="69">
        <f>$IH336*(SUM(IJ$338:IJ$347)/SUM($IH$338:$IH$347))</f>
        <v>3.6882767064585242</v>
      </c>
      <c r="IK336" s="69">
        <f>$IH336*(SUM(IK$338:IK$347)/SUM($IH$338:$IH$347))</f>
        <v>6.8104071013161906</v>
      </c>
      <c r="IL336" s="53" t="s">
        <v>265</v>
      </c>
      <c r="IM336" s="55"/>
      <c r="IN336" s="53">
        <v>52.8</v>
      </c>
      <c r="IO336" s="53">
        <v>52.8</v>
      </c>
      <c r="IP336" s="53" t="s">
        <v>265</v>
      </c>
      <c r="IQ336" s="53">
        <v>72.7</v>
      </c>
      <c r="IR336" s="53">
        <v>19.7</v>
      </c>
      <c r="IS336" s="55"/>
      <c r="IT336" s="53">
        <v>51.6</v>
      </c>
      <c r="IU336" s="53">
        <v>1.3</v>
      </c>
      <c r="IV336" s="53" t="s">
        <v>265</v>
      </c>
      <c r="IW336" s="53" t="s">
        <v>265</v>
      </c>
      <c r="IX336" s="53" t="s">
        <v>265</v>
      </c>
      <c r="IY336" s="48">
        <f t="shared" si="17"/>
        <v>47.425645232222188</v>
      </c>
      <c r="IZ336" s="48">
        <f>IY336-'NOPA Crush'!J336</f>
        <v>7.564523222218611E-2</v>
      </c>
      <c r="JB336" s="63">
        <f t="shared" si="15"/>
        <v>11.375730296629962</v>
      </c>
      <c r="JC336" s="64">
        <f>JB336-'NOPA Crush'!O336</f>
        <v>-4.4269703370037661E-2</v>
      </c>
      <c r="JD336" s="65"/>
      <c r="JE336" s="67">
        <f t="shared" si="16"/>
        <v>3399.7</v>
      </c>
      <c r="JF336" s="68">
        <f>'NOPA Crush'!Q336/'Census Crush'!JE336</f>
        <v>0.83400623584433931</v>
      </c>
    </row>
    <row r="337" spans="1:266">
      <c r="A337" s="39">
        <v>39295</v>
      </c>
      <c r="B337" s="51">
        <v>4386.3270300000004</v>
      </c>
      <c r="C337" s="51">
        <v>2777.5830000000001</v>
      </c>
      <c r="D337" s="51">
        <v>173.35595999999998</v>
      </c>
      <c r="E337" s="51">
        <v>361.46100000000001</v>
      </c>
      <c r="F337" s="51">
        <v>20.0626</v>
      </c>
      <c r="G337" s="51" t="s">
        <v>264</v>
      </c>
      <c r="H337" s="51" t="s">
        <v>264</v>
      </c>
      <c r="I337" s="51" t="s">
        <v>264</v>
      </c>
      <c r="J337" s="51" t="s">
        <v>264</v>
      </c>
      <c r="K337" s="51">
        <v>1662.7852700000001</v>
      </c>
      <c r="L337" s="51">
        <v>3200.4</v>
      </c>
      <c r="M337" s="51">
        <v>2817.2</v>
      </c>
      <c r="N337" s="51">
        <v>383.2</v>
      </c>
      <c r="O337" s="53">
        <v>58.234639999999999</v>
      </c>
      <c r="P337" s="51">
        <v>107.7</v>
      </c>
      <c r="Q337" s="51">
        <v>9</v>
      </c>
      <c r="R337" s="51">
        <v>98.1</v>
      </c>
      <c r="S337" s="51"/>
      <c r="T337" s="51">
        <v>17.7</v>
      </c>
      <c r="U337" s="51">
        <v>42</v>
      </c>
      <c r="V337" s="51">
        <v>35.799999999999997</v>
      </c>
      <c r="W337" s="51">
        <v>6.3</v>
      </c>
      <c r="X337" s="51" t="s">
        <v>264</v>
      </c>
      <c r="Y337" s="51" t="s">
        <v>265</v>
      </c>
      <c r="Z337" s="51">
        <v>68.400000000000006</v>
      </c>
      <c r="AA337" s="51" t="s">
        <v>265</v>
      </c>
      <c r="AB337" s="51" t="s">
        <v>265</v>
      </c>
      <c r="AC337" s="51" t="s">
        <v>264</v>
      </c>
      <c r="AD337" s="51">
        <v>112.3</v>
      </c>
      <c r="AE337" s="51">
        <v>114.7</v>
      </c>
      <c r="AF337" s="51">
        <v>154.6</v>
      </c>
      <c r="AG337" s="51">
        <v>94.2</v>
      </c>
      <c r="AH337" s="51">
        <v>60.4</v>
      </c>
      <c r="AI337" s="51">
        <v>209.45400000000001</v>
      </c>
      <c r="AJ337" s="51">
        <v>207</v>
      </c>
      <c r="AK337" s="51">
        <v>2.4</v>
      </c>
      <c r="AL337" s="51">
        <v>171.2</v>
      </c>
      <c r="AM337" s="51">
        <v>116.8</v>
      </c>
      <c r="AN337" s="51">
        <v>54.4</v>
      </c>
      <c r="AO337" s="51">
        <v>3208.9884299999999</v>
      </c>
      <c r="AP337" s="51">
        <v>198.34</v>
      </c>
      <c r="AQ337" s="51">
        <v>257.49448999999998</v>
      </c>
      <c r="AR337" s="51">
        <v>31.721</v>
      </c>
      <c r="AS337" s="51">
        <v>81.349119999999999</v>
      </c>
      <c r="AT337" s="51">
        <v>68.394999999999996</v>
      </c>
      <c r="AU337" s="51">
        <v>53.30124</v>
      </c>
      <c r="AV337" s="51">
        <v>37.235999999999997</v>
      </c>
      <c r="AW337" s="51">
        <v>11.6014</v>
      </c>
      <c r="AX337" s="55"/>
      <c r="AY337" s="51" t="s">
        <v>264</v>
      </c>
      <c r="AZ337" s="51" t="s">
        <v>264</v>
      </c>
      <c r="BA337" s="51" t="s">
        <v>264</v>
      </c>
      <c r="BB337" s="51" t="s">
        <v>264</v>
      </c>
      <c r="BC337" s="55"/>
      <c r="BD337" s="53">
        <v>168</v>
      </c>
      <c r="BE337" s="53">
        <v>33.5</v>
      </c>
      <c r="BF337" s="53">
        <v>78.2</v>
      </c>
      <c r="BG337" s="53">
        <v>9.1999999999999993</v>
      </c>
      <c r="BH337" s="53">
        <v>326.7</v>
      </c>
      <c r="BI337" s="53">
        <v>134.69999999999999</v>
      </c>
      <c r="BJ337" s="53">
        <v>111.1</v>
      </c>
      <c r="BK337" s="53">
        <v>245.8</v>
      </c>
      <c r="BL337" s="55"/>
      <c r="BM337" s="53">
        <v>572.5</v>
      </c>
      <c r="BN337" s="53">
        <v>235.5</v>
      </c>
      <c r="BO337" s="53">
        <v>74.8</v>
      </c>
      <c r="BP337" s="53">
        <v>23</v>
      </c>
      <c r="BQ337" s="53">
        <v>97.9</v>
      </c>
      <c r="BR337" s="55"/>
      <c r="BS337" s="53">
        <v>333.3</v>
      </c>
      <c r="BT337" s="53">
        <v>44.6</v>
      </c>
      <c r="BU337" s="53">
        <v>11</v>
      </c>
      <c r="BV337" s="51" t="s">
        <v>264</v>
      </c>
      <c r="BW337" s="51" t="s">
        <v>264</v>
      </c>
      <c r="BX337" s="51">
        <v>478.6</v>
      </c>
      <c r="BY337" s="51" t="s">
        <v>264</v>
      </c>
      <c r="BZ337" s="51" t="s">
        <v>264</v>
      </c>
      <c r="CA337" s="51">
        <v>59.1</v>
      </c>
      <c r="CB337" s="53">
        <v>123.6</v>
      </c>
      <c r="CC337" s="53">
        <v>24.1</v>
      </c>
      <c r="CD337" s="53">
        <v>128.1</v>
      </c>
      <c r="CE337" s="53">
        <v>26.5</v>
      </c>
      <c r="CF337" s="53">
        <v>122</v>
      </c>
      <c r="CG337" s="53">
        <v>198.4</v>
      </c>
      <c r="CH337" s="53">
        <v>3.8</v>
      </c>
      <c r="CI337" s="53">
        <v>33.799999999999997</v>
      </c>
      <c r="CJ337" s="53">
        <v>5</v>
      </c>
      <c r="CK337" s="53">
        <v>186.3</v>
      </c>
      <c r="CL337" s="53">
        <v>25.1</v>
      </c>
      <c r="CM337" s="55"/>
      <c r="CN337" s="53">
        <v>61.9</v>
      </c>
      <c r="CO337" s="53">
        <v>127.6</v>
      </c>
      <c r="CP337" s="53">
        <v>96.3</v>
      </c>
      <c r="CQ337" s="53">
        <v>31.3</v>
      </c>
      <c r="CR337" s="53" t="s">
        <v>264</v>
      </c>
      <c r="CS337" s="53">
        <v>47.8</v>
      </c>
      <c r="CT337" s="53">
        <v>19</v>
      </c>
      <c r="CU337" s="53">
        <v>28.8</v>
      </c>
      <c r="CV337" s="53">
        <v>156.1</v>
      </c>
      <c r="CW337" s="53" t="s">
        <v>265</v>
      </c>
      <c r="CX337" s="53" t="s">
        <v>265</v>
      </c>
      <c r="CY337" s="53" t="s">
        <v>265</v>
      </c>
      <c r="CZ337" s="53">
        <v>78.900000000000006</v>
      </c>
      <c r="DA337" s="53">
        <v>11.1</v>
      </c>
      <c r="DB337" s="53" t="s">
        <v>265</v>
      </c>
      <c r="DC337" s="53" t="s">
        <v>265</v>
      </c>
      <c r="DD337" s="55"/>
      <c r="DE337" s="55"/>
      <c r="DF337" s="55"/>
      <c r="DG337" s="55"/>
      <c r="DH337" s="55"/>
      <c r="DI337" s="53">
        <v>662.52300000000002</v>
      </c>
      <c r="DJ337" s="53">
        <v>451.62448000000001</v>
      </c>
      <c r="DK337" s="53">
        <v>969.86900000000003</v>
      </c>
      <c r="DL337" s="55"/>
      <c r="DM337" s="53">
        <v>556.94200000000001</v>
      </c>
      <c r="DN337" s="55"/>
      <c r="DO337" s="53" t="s">
        <v>265</v>
      </c>
      <c r="DP337" s="18">
        <v>187.70200000000023</v>
      </c>
      <c r="DQ337" s="55"/>
      <c r="DR337" s="55"/>
      <c r="DS337" s="53">
        <v>1354.2349999999999</v>
      </c>
      <c r="DT337" s="53">
        <v>4386.3270300000004</v>
      </c>
      <c r="DU337" s="53">
        <v>-203.43155000000024</v>
      </c>
      <c r="DV337" s="53">
        <v>0</v>
      </c>
      <c r="DW337" s="55"/>
      <c r="DX337" s="55"/>
      <c r="DY337" s="53"/>
      <c r="DZ337" s="53"/>
      <c r="EA337" s="53">
        <v>436.59500000000003</v>
      </c>
      <c r="EB337" s="53">
        <v>250.447</v>
      </c>
      <c r="EC337" s="53">
        <v>582.81500000000005</v>
      </c>
      <c r="ED337" s="53"/>
      <c r="EE337" s="53">
        <v>231.203</v>
      </c>
      <c r="EF337" s="53"/>
      <c r="EG337" s="53">
        <v>82.58</v>
      </c>
      <c r="EH337" s="53">
        <v>151.25</v>
      </c>
      <c r="EI337" s="55"/>
      <c r="EJ337" s="55"/>
      <c r="EK337" s="53">
        <v>1039.43</v>
      </c>
      <c r="EL337" s="53">
        <v>2777.5830000000001</v>
      </c>
      <c r="EM337" s="55"/>
      <c r="EN337" s="55"/>
      <c r="EO337" s="53"/>
      <c r="EP337" s="53"/>
      <c r="EQ337" s="53">
        <v>253.749</v>
      </c>
      <c r="ER337" s="53">
        <v>168.06872000000001</v>
      </c>
      <c r="ES337" s="53">
        <v>363.59100000000001</v>
      </c>
      <c r="ET337" s="53"/>
      <c r="EU337" s="53">
        <v>219.24700000000001</v>
      </c>
      <c r="EV337" s="53"/>
      <c r="EW337" s="53" t="s">
        <v>265</v>
      </c>
      <c r="EX337" s="18">
        <v>67.816000000000031</v>
      </c>
      <c r="EY337" s="55"/>
      <c r="EZ337" s="55"/>
      <c r="FA337" s="53">
        <v>516.20899999999995</v>
      </c>
      <c r="FB337" s="53">
        <v>1662.7852700000001</v>
      </c>
      <c r="FC337" s="55"/>
      <c r="FD337" s="55"/>
      <c r="FE337" s="53"/>
      <c r="FF337" s="53"/>
      <c r="FG337" s="53">
        <v>525.14400000000001</v>
      </c>
      <c r="FH337" s="53">
        <v>356.74691999999999</v>
      </c>
      <c r="FI337" s="53">
        <v>769.13900000000001</v>
      </c>
      <c r="FJ337" s="53"/>
      <c r="FK337" s="53">
        <v>439.577</v>
      </c>
      <c r="FL337" s="53"/>
      <c r="FM337" s="53" t="s">
        <v>265</v>
      </c>
      <c r="FN337" s="18">
        <v>151.4970000000003</v>
      </c>
      <c r="FO337" s="55"/>
      <c r="FP337" s="55"/>
      <c r="FQ337" s="53">
        <v>1070.385</v>
      </c>
      <c r="FR337" s="53">
        <v>3476.09987</v>
      </c>
      <c r="FS337" s="55"/>
      <c r="FT337" s="55"/>
      <c r="FU337" s="53"/>
      <c r="FV337" s="53"/>
      <c r="FW337" s="53">
        <v>325.66000000000003</v>
      </c>
      <c r="FX337" s="53">
        <v>118.967</v>
      </c>
      <c r="FY337" s="53">
        <v>162.77000000000001</v>
      </c>
      <c r="FZ337" s="53"/>
      <c r="GA337" s="53">
        <v>61.631999999999998</v>
      </c>
      <c r="GB337" s="53"/>
      <c r="GC337" s="53" t="s">
        <v>265</v>
      </c>
      <c r="GD337" s="53" t="s">
        <v>265</v>
      </c>
      <c r="GE337" s="55"/>
      <c r="GF337" s="55"/>
      <c r="GG337" s="53">
        <v>273.63099999999997</v>
      </c>
      <c r="GH337" s="53">
        <v>1243.0319999999999</v>
      </c>
      <c r="GI337" s="55"/>
      <c r="GJ337" s="55"/>
      <c r="GK337" s="53"/>
      <c r="GL337" s="53"/>
      <c r="GM337" s="53">
        <v>38.542999999999999</v>
      </c>
      <c r="GN337" s="53">
        <v>34.612000000000002</v>
      </c>
      <c r="GO337" s="53">
        <v>41.398000000000003</v>
      </c>
      <c r="GP337" s="53"/>
      <c r="GQ337" s="53">
        <v>23.332000000000001</v>
      </c>
      <c r="GR337" s="53"/>
      <c r="GS337" s="53" t="s">
        <v>265</v>
      </c>
      <c r="GT337" s="53" t="s">
        <v>265</v>
      </c>
      <c r="GU337" s="55"/>
      <c r="GV337" s="55"/>
      <c r="GW337" s="53">
        <v>82.347999999999999</v>
      </c>
      <c r="GX337" s="53">
        <v>230.06100000000001</v>
      </c>
      <c r="GY337" s="19">
        <v>0.97877764762626618</v>
      </c>
      <c r="GZ337" s="53">
        <v>1420.5</v>
      </c>
      <c r="HA337" s="53">
        <v>1451.3</v>
      </c>
      <c r="HB337" s="18">
        <v>-27.793401707200019</v>
      </c>
      <c r="HC337" s="18">
        <v>35.316343501200663</v>
      </c>
      <c r="HD337" s="18">
        <v>1669.4065982928</v>
      </c>
      <c r="HE337" s="18">
        <v>32.900000000000091</v>
      </c>
      <c r="HF337" s="53">
        <v>1697.2</v>
      </c>
      <c r="HG337" s="53">
        <v>1349</v>
      </c>
      <c r="HH337" s="53">
        <v>446.5</v>
      </c>
      <c r="HI337" s="16">
        <v>73.034000000000006</v>
      </c>
      <c r="HJ337" s="53">
        <v>818.3</v>
      </c>
      <c r="HK337" s="16">
        <v>9.4350000000000005</v>
      </c>
      <c r="HL337" s="53">
        <v>348.2</v>
      </c>
      <c r="HM337" s="53">
        <v>311.5</v>
      </c>
      <c r="HN337" s="53">
        <v>65.2</v>
      </c>
      <c r="HO337" s="53">
        <v>246.3</v>
      </c>
      <c r="HP337" s="55"/>
      <c r="HQ337" s="53" t="s">
        <v>267</v>
      </c>
      <c r="HR337" s="53">
        <v>11.8</v>
      </c>
      <c r="HS337" s="55"/>
      <c r="HT337" s="53">
        <v>22.3</v>
      </c>
      <c r="HU337" s="55"/>
      <c r="HV337" s="55"/>
      <c r="HW337" s="53">
        <v>359.5</v>
      </c>
      <c r="HX337" s="53" t="s">
        <v>266</v>
      </c>
      <c r="HY337" s="53">
        <v>359.5</v>
      </c>
      <c r="HZ337" s="53" t="s">
        <v>265</v>
      </c>
      <c r="IA337" s="53">
        <v>237.6</v>
      </c>
      <c r="IB337" s="53">
        <v>69.400000000000006</v>
      </c>
      <c r="IC337" s="20">
        <v>168.1</v>
      </c>
      <c r="ID337" s="20">
        <v>95.2</v>
      </c>
      <c r="IE337" s="20">
        <v>73</v>
      </c>
      <c r="IF337" s="55"/>
      <c r="IG337" s="55"/>
      <c r="IH337" s="53">
        <v>22.7</v>
      </c>
      <c r="II337" s="69">
        <f>$IH337*(SUM(II$338:II$347)/SUM($IH$338:$IH$347))</f>
        <v>5.1556167737985916</v>
      </c>
      <c r="IJ337" s="69">
        <f>$IH337*(SUM(IJ$338:IJ$347)/SUM($IH$338:$IH$347))</f>
        <v>6.1561677379859194</v>
      </c>
      <c r="IK337" s="69">
        <f>$IH337*(SUM(IK$338:IK$347)/SUM($IH$338:$IH$347))</f>
        <v>11.367370676461583</v>
      </c>
      <c r="IL337" s="53" t="s">
        <v>265</v>
      </c>
      <c r="IM337" s="55"/>
      <c r="IN337" s="53">
        <v>52.2</v>
      </c>
      <c r="IO337" s="53">
        <v>52.3</v>
      </c>
      <c r="IP337" s="53" t="s">
        <v>265</v>
      </c>
      <c r="IQ337" s="53">
        <v>68.099999999999994</v>
      </c>
      <c r="IR337" s="53">
        <v>12.1</v>
      </c>
      <c r="IS337" s="55"/>
      <c r="IT337" s="53">
        <v>54.6</v>
      </c>
      <c r="IU337" s="53">
        <v>1.4</v>
      </c>
      <c r="IV337" s="53" t="s">
        <v>265</v>
      </c>
      <c r="IW337" s="53" t="s">
        <v>265</v>
      </c>
      <c r="IX337" s="53" t="s">
        <v>265</v>
      </c>
      <c r="IY337" s="48">
        <f t="shared" si="17"/>
        <v>47.417571416237969</v>
      </c>
      <c r="IZ337" s="48">
        <f>IY337-'NOPA Crush'!J337</f>
        <v>0.13757141623796798</v>
      </c>
      <c r="JB337" s="63">
        <f t="shared" si="15"/>
        <v>11.372512299886587</v>
      </c>
      <c r="JC337" s="64">
        <f>JB337-'NOPA Crush'!O337</f>
        <v>-2.7487700113413283E-2</v>
      </c>
      <c r="JD337" s="65"/>
      <c r="JE337" s="67">
        <f t="shared" si="16"/>
        <v>3200.4</v>
      </c>
      <c r="JF337" s="68">
        <f>'NOPA Crush'!Q337/'Census Crush'!JE337</f>
        <v>0.84417947756530431</v>
      </c>
    </row>
    <row r="338" spans="1:266">
      <c r="A338" s="39">
        <v>39326</v>
      </c>
      <c r="B338" s="51">
        <v>4420.1040000000003</v>
      </c>
      <c r="C338" s="51">
        <v>3048.8270000000002</v>
      </c>
      <c r="D338" s="51">
        <v>166.35300000000001</v>
      </c>
      <c r="E338" s="51">
        <v>416.435</v>
      </c>
      <c r="F338" s="51">
        <v>21.617599999999999</v>
      </c>
      <c r="G338" s="51" t="s">
        <v>264</v>
      </c>
      <c r="H338" s="51" t="s">
        <v>264</v>
      </c>
      <c r="I338" s="51" t="s">
        <v>264</v>
      </c>
      <c r="J338" s="51" t="s">
        <v>264</v>
      </c>
      <c r="K338" s="51">
        <v>1678</v>
      </c>
      <c r="L338" s="51">
        <v>3085.2</v>
      </c>
      <c r="M338" s="51">
        <v>2725.2</v>
      </c>
      <c r="N338" s="51">
        <v>360.1</v>
      </c>
      <c r="O338" s="53">
        <v>62.508000000000003</v>
      </c>
      <c r="P338" s="51">
        <v>99.4</v>
      </c>
      <c r="Q338" s="51">
        <v>14</v>
      </c>
      <c r="R338" s="51">
        <v>85.4</v>
      </c>
      <c r="S338" s="51"/>
      <c r="T338" s="51">
        <v>19</v>
      </c>
      <c r="U338" s="51">
        <v>42.4</v>
      </c>
      <c r="V338" s="51">
        <v>36.700000000000003</v>
      </c>
      <c r="W338" s="51">
        <v>5.7</v>
      </c>
      <c r="X338" s="51" t="s">
        <v>264</v>
      </c>
      <c r="Y338" s="51" t="s">
        <v>265</v>
      </c>
      <c r="Z338" s="51">
        <v>59.9</v>
      </c>
      <c r="AA338" s="51" t="s">
        <v>265</v>
      </c>
      <c r="AB338" s="51" t="s">
        <v>265</v>
      </c>
      <c r="AC338" s="51" t="s">
        <v>264</v>
      </c>
      <c r="AD338" s="51">
        <v>78.7</v>
      </c>
      <c r="AE338" s="51">
        <v>80.900000000000006</v>
      </c>
      <c r="AF338" s="51">
        <v>149.19999999999999</v>
      </c>
      <c r="AG338" s="51">
        <v>104.5</v>
      </c>
      <c r="AH338" s="51">
        <v>44.7</v>
      </c>
      <c r="AI338" s="51">
        <v>209.36799999999999</v>
      </c>
      <c r="AJ338" s="51">
        <v>206</v>
      </c>
      <c r="AK338" s="51">
        <v>3.3</v>
      </c>
      <c r="AL338" s="51">
        <v>178.7</v>
      </c>
      <c r="AM338" s="51">
        <v>122.6</v>
      </c>
      <c r="AN338" s="51">
        <v>56.1</v>
      </c>
      <c r="AO338" s="51">
        <v>3228.8019999999997</v>
      </c>
      <c r="AP338" s="51">
        <v>308.20499999999998</v>
      </c>
      <c r="AQ338" s="51">
        <v>261.41800000000001</v>
      </c>
      <c r="AR338" s="51">
        <v>34.764000000000003</v>
      </c>
      <c r="AS338" s="51">
        <v>87.293999999999997</v>
      </c>
      <c r="AT338" s="51">
        <v>62.110999999999997</v>
      </c>
      <c r="AU338" s="51">
        <v>59.287999999999997</v>
      </c>
      <c r="AV338" s="51">
        <v>39.709000000000003</v>
      </c>
      <c r="AW338" s="51">
        <v>11.9</v>
      </c>
      <c r="AX338" s="51">
        <v>3.2</v>
      </c>
      <c r="AY338" s="51" t="s">
        <v>264</v>
      </c>
      <c r="AZ338" s="51" t="s">
        <v>264</v>
      </c>
      <c r="BA338" s="51" t="s">
        <v>264</v>
      </c>
      <c r="BB338" s="51" t="s">
        <v>264</v>
      </c>
      <c r="BC338" s="55"/>
      <c r="BD338" s="53">
        <v>135.69999999999999</v>
      </c>
      <c r="BE338" s="53">
        <v>27.1</v>
      </c>
      <c r="BF338" s="53">
        <v>69.3</v>
      </c>
      <c r="BG338" s="53">
        <v>9.1</v>
      </c>
      <c r="BH338" s="53">
        <v>279.2</v>
      </c>
      <c r="BI338" s="53">
        <v>121.7</v>
      </c>
      <c r="BJ338" s="53">
        <v>98.9</v>
      </c>
      <c r="BK338" s="53">
        <v>220.6</v>
      </c>
      <c r="BL338" s="55"/>
      <c r="BM338" s="53">
        <v>499.8</v>
      </c>
      <c r="BN338" s="53">
        <v>242.4</v>
      </c>
      <c r="BO338" s="53">
        <v>72.400000000000006</v>
      </c>
      <c r="BP338" s="53">
        <v>17.600000000000001</v>
      </c>
      <c r="BQ338" s="53">
        <v>90</v>
      </c>
      <c r="BR338" s="55"/>
      <c r="BS338" s="53">
        <v>332.4</v>
      </c>
      <c r="BT338" s="53">
        <v>40.799999999999997</v>
      </c>
      <c r="BU338" s="53">
        <v>9.4</v>
      </c>
      <c r="BV338" s="51" t="s">
        <v>264</v>
      </c>
      <c r="BW338" s="51" t="s">
        <v>264</v>
      </c>
      <c r="BX338" s="51">
        <v>412.3</v>
      </c>
      <c r="BY338" s="51" t="s">
        <v>264</v>
      </c>
      <c r="BZ338" s="51" t="s">
        <v>264</v>
      </c>
      <c r="CA338" s="51">
        <v>67.7</v>
      </c>
      <c r="CB338" s="53">
        <v>110.1</v>
      </c>
      <c r="CC338" s="53">
        <v>20.3</v>
      </c>
      <c r="CD338" s="53">
        <v>115.2</v>
      </c>
      <c r="CE338" s="53">
        <v>25.1</v>
      </c>
      <c r="CF338" s="53">
        <v>108.1</v>
      </c>
      <c r="CG338" s="53">
        <v>186.8</v>
      </c>
      <c r="CH338" s="53">
        <v>5.3</v>
      </c>
      <c r="CI338" s="53">
        <v>37.200000000000003</v>
      </c>
      <c r="CJ338" s="53">
        <v>7.6</v>
      </c>
      <c r="CK338" s="53">
        <v>171.1</v>
      </c>
      <c r="CL338" s="53">
        <v>26.3</v>
      </c>
      <c r="CM338" s="55"/>
      <c r="CN338" s="53">
        <v>54.8</v>
      </c>
      <c r="CO338" s="53">
        <v>128.4</v>
      </c>
      <c r="CP338" s="53">
        <v>99.3</v>
      </c>
      <c r="CQ338" s="53">
        <v>29.1</v>
      </c>
      <c r="CR338" s="53" t="s">
        <v>264</v>
      </c>
      <c r="CS338" s="53">
        <v>37.799999999999997</v>
      </c>
      <c r="CT338" s="53">
        <v>17.399999999999999</v>
      </c>
      <c r="CU338" s="53">
        <v>20.399999999999999</v>
      </c>
      <c r="CV338" s="53">
        <v>201.7</v>
      </c>
      <c r="CW338" s="53" t="s">
        <v>265</v>
      </c>
      <c r="CX338" s="53" t="s">
        <v>265</v>
      </c>
      <c r="CY338" s="53" t="s">
        <v>265</v>
      </c>
      <c r="CZ338" s="53">
        <v>94.3</v>
      </c>
      <c r="DA338" s="53">
        <v>18.2</v>
      </c>
      <c r="DB338" s="53" t="s">
        <v>265</v>
      </c>
      <c r="DC338" s="53" t="s">
        <v>265</v>
      </c>
      <c r="DD338" s="55"/>
      <c r="DE338" s="55"/>
      <c r="DF338" s="55"/>
      <c r="DG338" s="55"/>
      <c r="DH338" s="55"/>
      <c r="DI338" s="53">
        <v>678.39800000000002</v>
      </c>
      <c r="DJ338" s="53">
        <v>448.99799999999999</v>
      </c>
      <c r="DK338" s="53">
        <v>1044.731</v>
      </c>
      <c r="DL338" s="55"/>
      <c r="DM338" s="53">
        <v>488.44099999999997</v>
      </c>
      <c r="DN338" s="55"/>
      <c r="DO338" s="53">
        <v>160.26300000000001</v>
      </c>
      <c r="DP338" s="53">
        <v>258.66199999999998</v>
      </c>
      <c r="DQ338" s="55"/>
      <c r="DR338" s="55"/>
      <c r="DS338" s="53">
        <v>1335.2449999999999</v>
      </c>
      <c r="DT338" s="53">
        <v>4420.1040000000003</v>
      </c>
      <c r="DU338" s="53">
        <v>-5.3660000000008949</v>
      </c>
      <c r="DV338" s="53">
        <v>0</v>
      </c>
      <c r="DW338" s="55"/>
      <c r="DX338" s="55"/>
      <c r="DY338" s="53"/>
      <c r="DZ338" s="53"/>
      <c r="EA338" s="53">
        <v>527.43299999999999</v>
      </c>
      <c r="EB338" s="53">
        <v>433.71199999999999</v>
      </c>
      <c r="EC338" s="53">
        <v>619.76499999999999</v>
      </c>
      <c r="ED338" s="53"/>
      <c r="EE338" s="53">
        <v>307.05599999999998</v>
      </c>
      <c r="EF338" s="53"/>
      <c r="EG338" s="53">
        <v>56.201000000000001</v>
      </c>
      <c r="EH338" s="53">
        <v>139.56</v>
      </c>
      <c r="EI338" s="55"/>
      <c r="EJ338" s="55"/>
      <c r="EK338" s="53">
        <v>961.88300000000004</v>
      </c>
      <c r="EL338" s="53">
        <v>3048.8270000000002</v>
      </c>
      <c r="EM338" s="55"/>
      <c r="EN338" s="55"/>
      <c r="EO338" s="53"/>
      <c r="EP338" s="53"/>
      <c r="EQ338" s="53">
        <v>260.18900000000002</v>
      </c>
      <c r="ER338" s="53">
        <v>168.33600000000001</v>
      </c>
      <c r="ES338" s="53">
        <v>395.84899999999999</v>
      </c>
      <c r="ET338" s="53"/>
      <c r="EU338" s="53">
        <v>190.77699999999999</v>
      </c>
      <c r="EV338" s="53"/>
      <c r="EW338" s="53">
        <v>59.066000000000003</v>
      </c>
      <c r="EX338" s="53">
        <v>95.376000000000005</v>
      </c>
      <c r="EY338" s="55"/>
      <c r="EZ338" s="55"/>
      <c r="FA338" s="53">
        <v>507.42</v>
      </c>
      <c r="FB338" s="53">
        <v>1678</v>
      </c>
      <c r="FC338" s="55"/>
      <c r="FD338" s="55"/>
      <c r="FE338" s="53"/>
      <c r="FF338" s="53"/>
      <c r="FG338" s="53">
        <v>535.77099999999996</v>
      </c>
      <c r="FH338" s="53">
        <v>356.12</v>
      </c>
      <c r="FI338" s="53">
        <v>823.36699999999996</v>
      </c>
      <c r="FJ338" s="53"/>
      <c r="FK338" s="53">
        <v>386.97899999999998</v>
      </c>
      <c r="FL338" s="53"/>
      <c r="FM338" s="53">
        <v>128.93199999999999</v>
      </c>
      <c r="FN338" s="53">
        <v>207.75</v>
      </c>
      <c r="FO338" s="55"/>
      <c r="FP338" s="55"/>
      <c r="FQ338" s="53">
        <v>1055.277</v>
      </c>
      <c r="FR338" s="53">
        <v>3498.652</v>
      </c>
      <c r="FS338" s="55"/>
      <c r="FT338" s="55"/>
      <c r="FU338" s="53"/>
      <c r="FV338" s="53"/>
      <c r="FW338" s="53">
        <v>300.30700000000002</v>
      </c>
      <c r="FX338" s="53">
        <v>121.88200000000001</v>
      </c>
      <c r="FY338" s="53">
        <v>135.59100000000001</v>
      </c>
      <c r="FZ338" s="53"/>
      <c r="GA338" s="53">
        <v>73.924999999999997</v>
      </c>
      <c r="GB338" s="53"/>
      <c r="GC338" s="53" t="s">
        <v>265</v>
      </c>
      <c r="GD338" s="53" t="s">
        <v>265</v>
      </c>
      <c r="GE338" s="55"/>
      <c r="GF338" s="55"/>
      <c r="GG338" s="53">
        <v>292.495</v>
      </c>
      <c r="GH338" s="53">
        <v>1211.079</v>
      </c>
      <c r="GI338" s="55"/>
      <c r="GJ338" s="55"/>
      <c r="GK338" s="53"/>
      <c r="GL338" s="53"/>
      <c r="GM338" s="53">
        <v>62.494</v>
      </c>
      <c r="GN338" s="53">
        <v>46.322000000000003</v>
      </c>
      <c r="GO338" s="53">
        <v>72.722999999999999</v>
      </c>
      <c r="GP338" s="53"/>
      <c r="GQ338" s="53">
        <v>44.076999999999998</v>
      </c>
      <c r="GR338" s="53"/>
      <c r="GS338" s="53" t="s">
        <v>265</v>
      </c>
      <c r="GT338" s="53" t="s">
        <v>265</v>
      </c>
      <c r="GU338" s="55"/>
      <c r="GV338" s="55"/>
      <c r="GW338" s="53">
        <v>94.031000000000006</v>
      </c>
      <c r="GX338" s="53">
        <v>342.96899999999999</v>
      </c>
      <c r="GY338" s="19">
        <v>0.98014465065502188</v>
      </c>
      <c r="GZ338" s="53">
        <v>1436.5</v>
      </c>
      <c r="HA338" s="53">
        <v>1465.6</v>
      </c>
      <c r="HB338" s="18">
        <v>-63.560077892600702</v>
      </c>
      <c r="HC338" s="18">
        <v>-28.801215360002061</v>
      </c>
      <c r="HD338" s="18">
        <v>1607.7399221073993</v>
      </c>
      <c r="HE338" s="18">
        <v>57.5</v>
      </c>
      <c r="HF338" s="53">
        <v>1671.3</v>
      </c>
      <c r="HG338" s="53">
        <v>1339.4</v>
      </c>
      <c r="HH338" s="53">
        <v>445.1</v>
      </c>
      <c r="HI338" s="59">
        <v>75.2</v>
      </c>
      <c r="HJ338" s="53">
        <v>815.3</v>
      </c>
      <c r="HK338" s="59">
        <v>3.8</v>
      </c>
      <c r="HL338" s="53">
        <v>332</v>
      </c>
      <c r="HM338" s="53">
        <v>286.60000000000002</v>
      </c>
      <c r="HN338" s="53">
        <v>72.900000000000006</v>
      </c>
      <c r="HO338" s="53">
        <v>213.7</v>
      </c>
      <c r="HP338" s="55"/>
      <c r="HQ338" s="53" t="s">
        <v>267</v>
      </c>
      <c r="HR338" s="53" t="s">
        <v>267</v>
      </c>
      <c r="HS338" s="55"/>
      <c r="HT338" s="53">
        <v>30.4</v>
      </c>
      <c r="HU338" s="55"/>
      <c r="HV338" s="55"/>
      <c r="HW338" s="53">
        <v>322.2</v>
      </c>
      <c r="HX338" s="53" t="s">
        <v>266</v>
      </c>
      <c r="HY338" s="53">
        <v>322.2</v>
      </c>
      <c r="HZ338" s="53">
        <v>62.8</v>
      </c>
      <c r="IA338" s="53">
        <v>208.5</v>
      </c>
      <c r="IB338" s="53">
        <v>61.6</v>
      </c>
      <c r="IC338" s="20">
        <v>146.80000000000001</v>
      </c>
      <c r="ID338" s="20">
        <v>80.900000000000006</v>
      </c>
      <c r="IE338" s="20">
        <v>65.900000000000006</v>
      </c>
      <c r="IF338" s="55"/>
      <c r="IG338" s="55"/>
      <c r="IH338" s="53">
        <v>19.3</v>
      </c>
      <c r="II338" s="53">
        <v>3.9</v>
      </c>
      <c r="IJ338" s="53">
        <v>4.5</v>
      </c>
      <c r="IK338" s="53">
        <v>10.9</v>
      </c>
      <c r="IL338" s="53">
        <v>31.6</v>
      </c>
      <c r="IM338" s="55"/>
      <c r="IN338" s="53">
        <v>50.6</v>
      </c>
      <c r="IO338" s="53">
        <v>50.6</v>
      </c>
      <c r="IP338" s="53" t="s">
        <v>265</v>
      </c>
      <c r="IQ338" s="18">
        <v>65.569999999999993</v>
      </c>
      <c r="IR338" s="53">
        <v>14.3</v>
      </c>
      <c r="IS338" s="55"/>
      <c r="IT338" s="53">
        <v>51</v>
      </c>
      <c r="IU338" s="18">
        <v>1.4259999999999999</v>
      </c>
      <c r="IV338" s="53" t="s">
        <v>265</v>
      </c>
      <c r="IW338" s="53" t="s">
        <v>265</v>
      </c>
      <c r="IX338" s="53" t="s">
        <v>265</v>
      </c>
      <c r="IY338" s="48">
        <f t="shared" si="17"/>
        <v>47.377437272969139</v>
      </c>
      <c r="IZ338" s="48">
        <f>IY338-'NOPA Crush'!J338</f>
        <v>1.7437272969139883E-2</v>
      </c>
      <c r="JB338" s="63">
        <f t="shared" si="15"/>
        <v>11.388872298027376</v>
      </c>
      <c r="JC338" s="64">
        <f>JB338-'NOPA Crush'!O338</f>
        <v>-7.1127701972624635E-2</v>
      </c>
      <c r="JD338" s="65"/>
      <c r="JE338" s="67">
        <f t="shared" si="16"/>
        <v>3085.2</v>
      </c>
      <c r="JF338" s="68">
        <f>'NOPA Crush'!Q338/'Census Crush'!JE338</f>
        <v>0.83020873849345267</v>
      </c>
    </row>
    <row r="339" spans="1:266">
      <c r="A339" s="39">
        <v>39356</v>
      </c>
      <c r="B339" s="51">
        <v>4912.3791300000003</v>
      </c>
      <c r="C339" s="51">
        <v>4714.518</v>
      </c>
      <c r="D339" s="51">
        <v>242.45532</v>
      </c>
      <c r="E339" s="51">
        <v>979.40200000000004</v>
      </c>
      <c r="F339" s="51">
        <v>20.45965</v>
      </c>
      <c r="G339" s="51" t="s">
        <v>264</v>
      </c>
      <c r="H339" s="51" t="s">
        <v>264</v>
      </c>
      <c r="I339" s="51" t="s">
        <v>264</v>
      </c>
      <c r="J339" s="51" t="s">
        <v>264</v>
      </c>
      <c r="K339" s="51">
        <v>1868.60808</v>
      </c>
      <c r="L339" s="51">
        <v>3224.9</v>
      </c>
      <c r="M339" s="51">
        <v>2877.6</v>
      </c>
      <c r="N339" s="51">
        <v>347.3</v>
      </c>
      <c r="O339" s="53">
        <v>77.505839999999992</v>
      </c>
      <c r="P339" s="51">
        <v>90.1</v>
      </c>
      <c r="Q339" s="51">
        <v>8.1999999999999993</v>
      </c>
      <c r="R339" s="51">
        <v>81.900000000000006</v>
      </c>
      <c r="S339" s="51"/>
      <c r="T339" s="51">
        <v>17.3</v>
      </c>
      <c r="U339" s="51">
        <v>22.6</v>
      </c>
      <c r="V339" s="51">
        <v>20.399999999999999</v>
      </c>
      <c r="W339" s="51">
        <v>2.2000000000000002</v>
      </c>
      <c r="X339" s="51" t="s">
        <v>264</v>
      </c>
      <c r="Y339" s="51" t="s">
        <v>265</v>
      </c>
      <c r="Z339" s="51">
        <v>81.5</v>
      </c>
      <c r="AA339" s="51" t="s">
        <v>265</v>
      </c>
      <c r="AB339" s="51" t="s">
        <v>265</v>
      </c>
      <c r="AC339" s="51" t="s">
        <v>264</v>
      </c>
      <c r="AD339" s="51">
        <v>102.8</v>
      </c>
      <c r="AE339" s="51">
        <v>110.7</v>
      </c>
      <c r="AF339" s="51">
        <v>125</v>
      </c>
      <c r="AG339" s="51">
        <v>84.3</v>
      </c>
      <c r="AH339" s="51">
        <v>40.700000000000003</v>
      </c>
      <c r="AI339" s="51">
        <v>213.45304999999999</v>
      </c>
      <c r="AJ339" s="51">
        <v>209.7</v>
      </c>
      <c r="AK339" s="51">
        <v>3.4</v>
      </c>
      <c r="AL339" s="51">
        <v>170.2</v>
      </c>
      <c r="AM339" s="51">
        <v>119.6</v>
      </c>
      <c r="AN339" s="51">
        <v>50.6</v>
      </c>
      <c r="AO339" s="51">
        <v>3587.5550899999998</v>
      </c>
      <c r="AP339" s="51">
        <v>274.75700000000001</v>
      </c>
      <c r="AQ339" s="51">
        <v>281.92316999999997</v>
      </c>
      <c r="AR339" s="51">
        <v>30.39</v>
      </c>
      <c r="AS339" s="51">
        <v>112.53612</v>
      </c>
      <c r="AT339" s="51">
        <v>55.506</v>
      </c>
      <c r="AU339" s="51">
        <v>73.354919999999993</v>
      </c>
      <c r="AV339" s="51">
        <v>39.844999999999999</v>
      </c>
      <c r="AW339" s="51">
        <v>11.3247</v>
      </c>
      <c r="AX339" s="15">
        <v>3.1640000000000001</v>
      </c>
      <c r="AY339" s="51" t="s">
        <v>264</v>
      </c>
      <c r="AZ339" s="51" t="s">
        <v>264</v>
      </c>
      <c r="BA339" s="51" t="s">
        <v>264</v>
      </c>
      <c r="BB339" s="51" t="s">
        <v>264</v>
      </c>
      <c r="BC339" s="55"/>
      <c r="BD339" s="53">
        <v>163.69999999999999</v>
      </c>
      <c r="BE339" s="53">
        <v>32.6</v>
      </c>
      <c r="BF339" s="53">
        <v>79.2</v>
      </c>
      <c r="BG339" s="53">
        <v>9</v>
      </c>
      <c r="BH339" s="53">
        <v>330.9</v>
      </c>
      <c r="BI339" s="53">
        <v>136.9</v>
      </c>
      <c r="BJ339" s="53">
        <v>113.9</v>
      </c>
      <c r="BK339" s="53">
        <v>250.8</v>
      </c>
      <c r="BL339" s="55"/>
      <c r="BM339" s="53">
        <v>581.70000000000005</v>
      </c>
      <c r="BN339" s="53">
        <v>244.7</v>
      </c>
      <c r="BO339" s="53">
        <v>70.2</v>
      </c>
      <c r="BP339" s="53">
        <v>22.9</v>
      </c>
      <c r="BQ339" s="53">
        <v>93.1</v>
      </c>
      <c r="BR339" s="55"/>
      <c r="BS339" s="53">
        <v>337.8</v>
      </c>
      <c r="BT339" s="53">
        <v>50.6</v>
      </c>
      <c r="BU339" s="53">
        <v>14.6</v>
      </c>
      <c r="BV339" s="51" t="s">
        <v>264</v>
      </c>
      <c r="BW339" s="51" t="s">
        <v>264</v>
      </c>
      <c r="BX339" s="51">
        <v>460.9</v>
      </c>
      <c r="BY339" s="51" t="s">
        <v>264</v>
      </c>
      <c r="BZ339" s="51" t="s">
        <v>264</v>
      </c>
      <c r="CA339" s="51">
        <v>68.900000000000006</v>
      </c>
      <c r="CB339" s="53">
        <v>125.2</v>
      </c>
      <c r="CC339" s="53">
        <v>20</v>
      </c>
      <c r="CD339" s="53">
        <v>130.30000000000001</v>
      </c>
      <c r="CE339" s="53">
        <v>23.8</v>
      </c>
      <c r="CF339" s="53">
        <v>100.3</v>
      </c>
      <c r="CG339" s="53">
        <v>186.3</v>
      </c>
      <c r="CH339" s="53">
        <v>6.1</v>
      </c>
      <c r="CI339" s="53">
        <v>42</v>
      </c>
      <c r="CJ339" s="53">
        <v>7.4</v>
      </c>
      <c r="CK339" s="53">
        <v>192.3</v>
      </c>
      <c r="CL339" s="53">
        <v>29.9</v>
      </c>
      <c r="CM339" s="55"/>
      <c r="CN339" s="53">
        <v>39.700000000000003</v>
      </c>
      <c r="CO339" s="53">
        <v>142.80000000000001</v>
      </c>
      <c r="CP339" s="53">
        <v>108.6</v>
      </c>
      <c r="CQ339" s="53">
        <v>34.1</v>
      </c>
      <c r="CR339" s="53" t="s">
        <v>264</v>
      </c>
      <c r="CS339" s="53">
        <v>48.6</v>
      </c>
      <c r="CT339" s="53">
        <v>28.7</v>
      </c>
      <c r="CU339" s="53">
        <v>19.899999999999999</v>
      </c>
      <c r="CV339" s="53">
        <v>152.69999999999999</v>
      </c>
      <c r="CW339" s="53" t="s">
        <v>265</v>
      </c>
      <c r="CX339" s="53" t="s">
        <v>265</v>
      </c>
      <c r="CY339" s="53" t="s">
        <v>265</v>
      </c>
      <c r="CZ339" s="53">
        <v>66.400000000000006</v>
      </c>
      <c r="DA339" s="53">
        <v>16.899999999999999</v>
      </c>
      <c r="DB339" s="53" t="s">
        <v>265</v>
      </c>
      <c r="DC339" s="53" t="s">
        <v>265</v>
      </c>
      <c r="DD339" s="55"/>
      <c r="DE339" s="55"/>
      <c r="DF339" s="55"/>
      <c r="DG339" s="55"/>
      <c r="DH339" s="55"/>
      <c r="DI339" s="53">
        <v>751.447</v>
      </c>
      <c r="DJ339" s="53">
        <v>502.69655</v>
      </c>
      <c r="DK339" s="53">
        <v>1104.329</v>
      </c>
      <c r="DL339" s="55"/>
      <c r="DM339" s="53">
        <v>564.03099999999995</v>
      </c>
      <c r="DN339" s="55"/>
      <c r="DO339" s="53">
        <v>201.28200000000001</v>
      </c>
      <c r="DP339" s="53">
        <v>341.18200000000002</v>
      </c>
      <c r="DQ339" s="55"/>
      <c r="DR339" s="55"/>
      <c r="DS339" s="53">
        <v>1442.4059999999999</v>
      </c>
      <c r="DT339" s="53">
        <v>4912.3791300000003</v>
      </c>
      <c r="DU339" s="53">
        <v>-5.005580000000009</v>
      </c>
      <c r="DV339" s="53">
        <v>0</v>
      </c>
      <c r="DW339" s="55"/>
      <c r="DX339" s="55"/>
      <c r="DY339" s="53"/>
      <c r="DZ339" s="53"/>
      <c r="EA339" s="53">
        <v>816.16600000000005</v>
      </c>
      <c r="EB339" s="53">
        <v>796.00199999999995</v>
      </c>
      <c r="EC339" s="53">
        <v>797.62599999999998</v>
      </c>
      <c r="ED339" s="53"/>
      <c r="EE339" s="53">
        <v>220.06299999999999</v>
      </c>
      <c r="EF339" s="53"/>
      <c r="EG339" s="53" t="s">
        <v>265</v>
      </c>
      <c r="EH339" s="53" t="s">
        <v>265</v>
      </c>
      <c r="EI339" s="55"/>
      <c r="EJ339" s="55"/>
      <c r="EK339" s="53">
        <v>1437.5650000000001</v>
      </c>
      <c r="EL339" s="53">
        <v>4714.518</v>
      </c>
      <c r="EM339" s="55"/>
      <c r="EN339" s="55"/>
      <c r="EO339" s="53"/>
      <c r="EP339" s="53"/>
      <c r="EQ339" s="53">
        <v>286.971</v>
      </c>
      <c r="ER339" s="53">
        <v>190.35910000000001</v>
      </c>
      <c r="ES339" s="53">
        <v>419.59399999999999</v>
      </c>
      <c r="ET339" s="53"/>
      <c r="EU339" s="53">
        <v>221.89</v>
      </c>
      <c r="EV339" s="53"/>
      <c r="EW339" s="53">
        <v>75.450999999999993</v>
      </c>
      <c r="EX339" s="53">
        <v>126.806</v>
      </c>
      <c r="EY339" s="55"/>
      <c r="EZ339" s="55"/>
      <c r="FA339" s="53">
        <v>546.71799999999996</v>
      </c>
      <c r="FB339" s="53">
        <v>1868.60808</v>
      </c>
      <c r="FC339" s="55"/>
      <c r="FD339" s="55"/>
      <c r="FE339" s="53"/>
      <c r="FF339" s="53"/>
      <c r="FG339" s="53">
        <v>597.779</v>
      </c>
      <c r="FH339" s="53">
        <v>394.73584999999997</v>
      </c>
      <c r="FI339" s="53">
        <v>863.86599999999999</v>
      </c>
      <c r="FJ339" s="53"/>
      <c r="FK339" s="53">
        <v>441.45499999999998</v>
      </c>
      <c r="FL339" s="53"/>
      <c r="FM339" s="53">
        <v>159.02699999999999</v>
      </c>
      <c r="FN339" s="53">
        <v>274.82</v>
      </c>
      <c r="FO339" s="55"/>
      <c r="FP339" s="55"/>
      <c r="FQ339" s="53">
        <v>1176.2750000000001</v>
      </c>
      <c r="FR339" s="53">
        <v>3879.48218</v>
      </c>
      <c r="FS339" s="55"/>
      <c r="FT339" s="55"/>
      <c r="FU339" s="53"/>
      <c r="FV339" s="53"/>
      <c r="FW339" s="53">
        <v>295.11599999999999</v>
      </c>
      <c r="FX339" s="53">
        <v>144.87799999999999</v>
      </c>
      <c r="FY339" s="53">
        <v>138.23599999999999</v>
      </c>
      <c r="FZ339" s="53"/>
      <c r="GA339" s="53">
        <v>86.194999999999993</v>
      </c>
      <c r="GB339" s="53"/>
      <c r="GC339" s="53" t="s">
        <v>265</v>
      </c>
      <c r="GD339" s="53" t="s">
        <v>265</v>
      </c>
      <c r="GE339" s="55"/>
      <c r="GF339" s="55"/>
      <c r="GG339" s="53">
        <v>300.15699999999998</v>
      </c>
      <c r="GH339" s="53">
        <v>1257.33</v>
      </c>
      <c r="GI339" s="55"/>
      <c r="GJ339" s="55"/>
      <c r="GK339" s="53"/>
      <c r="GL339" s="53"/>
      <c r="GM339" s="53">
        <v>64.573999999999998</v>
      </c>
      <c r="GN339" s="53">
        <v>60.667999999999999</v>
      </c>
      <c r="GO339" s="53">
        <v>55.180999999999997</v>
      </c>
      <c r="GP339" s="53"/>
      <c r="GQ339" s="53">
        <v>20.483000000000001</v>
      </c>
      <c r="GR339" s="53"/>
      <c r="GS339" s="53" t="s">
        <v>265</v>
      </c>
      <c r="GT339" s="53" t="s">
        <v>265</v>
      </c>
      <c r="GU339" s="55"/>
      <c r="GV339" s="55"/>
      <c r="GW339" s="53">
        <v>89.611000000000004</v>
      </c>
      <c r="GX339" s="53">
        <v>305.14699999999999</v>
      </c>
      <c r="GY339" s="19">
        <v>0.98163851238565802</v>
      </c>
      <c r="GZ339" s="53">
        <v>1470.2</v>
      </c>
      <c r="HA339" s="53">
        <v>1497.7</v>
      </c>
      <c r="HB339" s="18">
        <v>-119.38549575220054</v>
      </c>
      <c r="HC339" s="18">
        <v>-54.235466218600322</v>
      </c>
      <c r="HD339" s="18">
        <v>1602.8145042477995</v>
      </c>
      <c r="HE339" s="18">
        <v>75.200000000000045</v>
      </c>
      <c r="HF339" s="53">
        <v>1722.2</v>
      </c>
      <c r="HG339" s="53">
        <v>1437.6</v>
      </c>
      <c r="HH339" s="53">
        <v>469.4</v>
      </c>
      <c r="HI339" s="16">
        <v>82.906000000000006</v>
      </c>
      <c r="HJ339" s="53">
        <v>875.2</v>
      </c>
      <c r="HK339" s="16">
        <v>9.2210000000000001</v>
      </c>
      <c r="HL339" s="53">
        <v>284.60000000000002</v>
      </c>
      <c r="HM339" s="53">
        <v>246.8</v>
      </c>
      <c r="HN339" s="53">
        <v>64.7</v>
      </c>
      <c r="HO339" s="53">
        <v>182.1</v>
      </c>
      <c r="HP339" s="55"/>
      <c r="HQ339" s="12">
        <v>2.8000000000000114</v>
      </c>
      <c r="HR339" s="53">
        <v>14</v>
      </c>
      <c r="HS339" s="55"/>
      <c r="HT339" s="53">
        <v>21</v>
      </c>
      <c r="HU339" s="55"/>
      <c r="HV339" s="55"/>
      <c r="HW339" s="53">
        <v>372.1</v>
      </c>
      <c r="HX339" s="53" t="s">
        <v>266</v>
      </c>
      <c r="HY339" s="53">
        <v>372.1</v>
      </c>
      <c r="HZ339" s="53">
        <v>78.5</v>
      </c>
      <c r="IA339" s="53">
        <v>226.6</v>
      </c>
      <c r="IB339" s="53">
        <v>55.2</v>
      </c>
      <c r="IC339" s="20">
        <v>171.4</v>
      </c>
      <c r="ID339" s="20">
        <v>94.3</v>
      </c>
      <c r="IE339" s="20">
        <v>77.099999999999994</v>
      </c>
      <c r="IF339" s="55"/>
      <c r="IG339" s="55"/>
      <c r="IH339" s="53">
        <v>20.399999999999999</v>
      </c>
      <c r="II339" s="53">
        <v>4.2</v>
      </c>
      <c r="IJ339" s="53">
        <v>8.6999999999999993</v>
      </c>
      <c r="IK339" s="53">
        <v>7.5</v>
      </c>
      <c r="IL339" s="53">
        <v>46.6</v>
      </c>
      <c r="IM339" s="55"/>
      <c r="IN339" s="53">
        <v>59.3</v>
      </c>
      <c r="IO339" s="53">
        <v>59.6</v>
      </c>
      <c r="IP339" s="53" t="s">
        <v>265</v>
      </c>
      <c r="IQ339" s="53">
        <v>67.5</v>
      </c>
      <c r="IR339" s="53">
        <v>14.8</v>
      </c>
      <c r="IS339" s="55"/>
      <c r="IT339" s="53">
        <v>51.1</v>
      </c>
      <c r="IU339" s="53">
        <v>1.5</v>
      </c>
      <c r="IV339" s="53" t="s">
        <v>265</v>
      </c>
      <c r="IW339" s="53" t="s">
        <v>265</v>
      </c>
      <c r="IX339" s="53" t="s">
        <v>265</v>
      </c>
      <c r="IY339" s="48">
        <f t="shared" si="17"/>
        <v>47.261966036404033</v>
      </c>
      <c r="IZ339" s="48">
        <f>IY339-'NOPA Crush'!J339</f>
        <v>0.25196603640403481</v>
      </c>
      <c r="JB339" s="63">
        <f t="shared" si="15"/>
        <v>11.411627831746774</v>
      </c>
      <c r="JC339" s="64">
        <f>JB339-'NOPA Crush'!O339</f>
        <v>-5.8372168253226775E-2</v>
      </c>
      <c r="JD339" s="65"/>
      <c r="JE339" s="67">
        <f t="shared" si="16"/>
        <v>3224.9</v>
      </c>
      <c r="JF339" s="68">
        <f>'NOPA Crush'!Q339/'Census Crush'!JE339</f>
        <v>0.83097088281807174</v>
      </c>
    </row>
    <row r="340" spans="1:266">
      <c r="A340" s="39">
        <v>39387</v>
      </c>
      <c r="B340" s="51">
        <v>4688.4611999999997</v>
      </c>
      <c r="C340" s="51">
        <v>4184.8069999999998</v>
      </c>
      <c r="D340" s="51">
        <v>241.20589999999999</v>
      </c>
      <c r="E340" s="51">
        <v>1500.117</v>
      </c>
      <c r="F340" s="51">
        <v>14.314299999999999</v>
      </c>
      <c r="G340" s="51" t="s">
        <v>264</v>
      </c>
      <c r="H340" s="51" t="s">
        <v>264</v>
      </c>
      <c r="I340" s="51" t="s">
        <v>264</v>
      </c>
      <c r="J340" s="51" t="s">
        <v>264</v>
      </c>
      <c r="K340" s="51">
        <v>1805.4337</v>
      </c>
      <c r="L340" s="51">
        <v>3235.2</v>
      </c>
      <c r="M340" s="51">
        <v>2917.8</v>
      </c>
      <c r="N340" s="51">
        <v>317.39999999999998</v>
      </c>
      <c r="O340" s="53">
        <v>73.786899999999989</v>
      </c>
      <c r="P340" s="51">
        <v>89.8</v>
      </c>
      <c r="Q340" s="51">
        <v>8.9</v>
      </c>
      <c r="R340" s="51">
        <v>80.8</v>
      </c>
      <c r="S340" s="51"/>
      <c r="T340" s="51">
        <v>12</v>
      </c>
      <c r="U340" s="51">
        <v>15.2</v>
      </c>
      <c r="V340" s="51">
        <v>13.6</v>
      </c>
      <c r="W340" s="51">
        <v>1.6</v>
      </c>
      <c r="X340" s="51" t="s">
        <v>264</v>
      </c>
      <c r="Y340" s="51" t="s">
        <v>265</v>
      </c>
      <c r="Z340" s="51">
        <v>67.5</v>
      </c>
      <c r="AA340" s="51" t="s">
        <v>265</v>
      </c>
      <c r="AB340" s="51" t="s">
        <v>265</v>
      </c>
      <c r="AC340" s="51" t="s">
        <v>264</v>
      </c>
      <c r="AD340" s="51">
        <v>109</v>
      </c>
      <c r="AE340" s="51">
        <v>112.3</v>
      </c>
      <c r="AF340" s="51">
        <v>205.7</v>
      </c>
      <c r="AG340" s="51">
        <v>156.30000000000001</v>
      </c>
      <c r="AH340" s="51">
        <v>49.4</v>
      </c>
      <c r="AI340" s="51">
        <v>213.01300000000001</v>
      </c>
      <c r="AJ340" s="51">
        <v>210.5</v>
      </c>
      <c r="AK340" s="51">
        <v>2.5</v>
      </c>
      <c r="AL340" s="51">
        <v>181</v>
      </c>
      <c r="AM340" s="51">
        <v>138.6</v>
      </c>
      <c r="AN340" s="51">
        <v>42.4</v>
      </c>
      <c r="AO340" s="51">
        <v>3434.1827000000003</v>
      </c>
      <c r="AP340" s="51">
        <v>266.81400000000002</v>
      </c>
      <c r="AQ340" s="51">
        <v>275.25979999999998</v>
      </c>
      <c r="AR340" s="51">
        <v>28.654</v>
      </c>
      <c r="AS340" s="51">
        <v>111.03789999999999</v>
      </c>
      <c r="AT340" s="51">
        <v>37.716999999999999</v>
      </c>
      <c r="AU340" s="51">
        <v>70.162000000000006</v>
      </c>
      <c r="AV340" s="51">
        <v>38.31</v>
      </c>
      <c r="AW340" s="51">
        <v>7.6920000000000002</v>
      </c>
      <c r="AX340" s="51">
        <v>1.2</v>
      </c>
      <c r="AY340" s="51" t="s">
        <v>264</v>
      </c>
      <c r="AZ340" s="51" t="s">
        <v>264</v>
      </c>
      <c r="BA340" s="51" t="s">
        <v>264</v>
      </c>
      <c r="BB340" s="51" t="s">
        <v>264</v>
      </c>
      <c r="BC340" s="55"/>
      <c r="BD340" s="53">
        <v>149.30000000000001</v>
      </c>
      <c r="BE340" s="53">
        <v>36</v>
      </c>
      <c r="BF340" s="53">
        <v>75.2</v>
      </c>
      <c r="BG340" s="53">
        <v>8.3000000000000007</v>
      </c>
      <c r="BH340" s="53">
        <v>314.3</v>
      </c>
      <c r="BI340" s="53">
        <v>125.7</v>
      </c>
      <c r="BJ340" s="53">
        <v>108</v>
      </c>
      <c r="BK340" s="53">
        <v>233.7</v>
      </c>
      <c r="BL340" s="55"/>
      <c r="BM340" s="53">
        <v>547.9</v>
      </c>
      <c r="BN340" s="53">
        <v>272</v>
      </c>
      <c r="BO340" s="53">
        <v>70</v>
      </c>
      <c r="BP340" s="53">
        <v>26.3</v>
      </c>
      <c r="BQ340" s="53">
        <v>96.3</v>
      </c>
      <c r="BR340" s="55"/>
      <c r="BS340" s="53">
        <v>368.3</v>
      </c>
      <c r="BT340" s="53">
        <v>51.8</v>
      </c>
      <c r="BU340" s="53">
        <v>18.8</v>
      </c>
      <c r="BV340" s="51" t="s">
        <v>264</v>
      </c>
      <c r="BW340" s="51" t="s">
        <v>264</v>
      </c>
      <c r="BX340" s="51">
        <v>440.8</v>
      </c>
      <c r="BY340" s="51" t="s">
        <v>264</v>
      </c>
      <c r="BZ340" s="51" t="s">
        <v>264</v>
      </c>
      <c r="CA340" s="51">
        <v>64.2</v>
      </c>
      <c r="CB340" s="53">
        <v>121.5</v>
      </c>
      <c r="CC340" s="53">
        <v>21.8</v>
      </c>
      <c r="CD340" s="53">
        <v>127.3</v>
      </c>
      <c r="CE340" s="53">
        <v>25.9</v>
      </c>
      <c r="CF340" s="53">
        <v>103.2</v>
      </c>
      <c r="CG340" s="53">
        <v>168.5</v>
      </c>
      <c r="CH340" s="53">
        <v>4.7</v>
      </c>
      <c r="CI340" s="53">
        <v>41.2</v>
      </c>
      <c r="CJ340" s="53">
        <v>7.1</v>
      </c>
      <c r="CK340" s="53">
        <v>177.1</v>
      </c>
      <c r="CL340" s="53">
        <v>32.9</v>
      </c>
      <c r="CM340" s="55"/>
      <c r="CN340" s="53">
        <v>51.3</v>
      </c>
      <c r="CO340" s="53">
        <v>212.6</v>
      </c>
      <c r="CP340" s="53">
        <v>163.9</v>
      </c>
      <c r="CQ340" s="53">
        <v>48.7</v>
      </c>
      <c r="CR340" s="53" t="s">
        <v>264</v>
      </c>
      <c r="CS340" s="53">
        <v>48.2</v>
      </c>
      <c r="CT340" s="53">
        <v>26.3</v>
      </c>
      <c r="CU340" s="53">
        <v>22</v>
      </c>
      <c r="CV340" s="53">
        <v>242.4</v>
      </c>
      <c r="CW340" s="53" t="s">
        <v>265</v>
      </c>
      <c r="CX340" s="53" t="s">
        <v>265</v>
      </c>
      <c r="CY340" s="53" t="s">
        <v>265</v>
      </c>
      <c r="CZ340" s="53">
        <v>73.099999999999994</v>
      </c>
      <c r="DA340" s="53">
        <v>20.2</v>
      </c>
      <c r="DB340" s="53" t="s">
        <v>265</v>
      </c>
      <c r="DC340" s="53" t="s">
        <v>265</v>
      </c>
      <c r="DD340" s="55"/>
      <c r="DE340" s="55"/>
      <c r="DF340" s="55"/>
      <c r="DG340" s="55"/>
      <c r="DH340" s="55"/>
      <c r="DI340" s="53">
        <v>702.44500000000005</v>
      </c>
      <c r="DJ340" s="53">
        <v>486.48099999999999</v>
      </c>
      <c r="DK340" s="53">
        <v>1046.0129999999999</v>
      </c>
      <c r="DL340" s="55"/>
      <c r="DM340" s="53">
        <v>494.77600000000001</v>
      </c>
      <c r="DN340" s="55"/>
      <c r="DO340" s="53">
        <v>188.62200000000001</v>
      </c>
      <c r="DP340" s="53">
        <v>329.72800000000001</v>
      </c>
      <c r="DQ340" s="55"/>
      <c r="DR340" s="55"/>
      <c r="DS340" s="53">
        <v>1435.1590000000001</v>
      </c>
      <c r="DT340" s="53">
        <v>4688.4611999999997</v>
      </c>
      <c r="DU340" s="53">
        <v>-5.2371999999995751</v>
      </c>
      <c r="DV340" s="53">
        <v>0</v>
      </c>
      <c r="DW340" s="55"/>
      <c r="DX340" s="55"/>
      <c r="DY340" s="53"/>
      <c r="DZ340" s="53"/>
      <c r="EA340" s="53">
        <v>724.83299999999997</v>
      </c>
      <c r="EB340" s="53">
        <v>666.56100000000004</v>
      </c>
      <c r="EC340" s="53">
        <v>599.01300000000003</v>
      </c>
      <c r="ED340" s="53"/>
      <c r="EE340" s="53">
        <v>196.58699999999999</v>
      </c>
      <c r="EF340" s="53"/>
      <c r="EG340" s="53" t="s">
        <v>265</v>
      </c>
      <c r="EH340" s="53" t="s">
        <v>265</v>
      </c>
      <c r="EI340" s="55"/>
      <c r="EJ340" s="55"/>
      <c r="EK340" s="53">
        <v>1466.8979999999999</v>
      </c>
      <c r="EL340" s="53">
        <v>4184.8069999999998</v>
      </c>
      <c r="EM340" s="55"/>
      <c r="EN340" s="55"/>
      <c r="EO340" s="53"/>
      <c r="EP340" s="53"/>
      <c r="EQ340" s="53">
        <v>277.40899999999999</v>
      </c>
      <c r="ER340" s="53">
        <v>184.61709999999999</v>
      </c>
      <c r="ES340" s="53">
        <v>394.64499999999998</v>
      </c>
      <c r="ET340" s="53"/>
      <c r="EU340" s="53">
        <v>197.149</v>
      </c>
      <c r="EV340" s="53"/>
      <c r="EW340" s="53">
        <v>71.215000000000003</v>
      </c>
      <c r="EX340" s="53">
        <v>121.988</v>
      </c>
      <c r="EY340" s="55"/>
      <c r="EZ340" s="55"/>
      <c r="FA340" s="53">
        <v>557.50599999999997</v>
      </c>
      <c r="FB340" s="53">
        <v>1805.4337</v>
      </c>
      <c r="FC340" s="55"/>
      <c r="FD340" s="55"/>
      <c r="FE340" s="53"/>
      <c r="FF340" s="53"/>
      <c r="FG340" s="53">
        <v>573.24900000000002</v>
      </c>
      <c r="FH340" s="53">
        <v>384.20659999999998</v>
      </c>
      <c r="FI340" s="53">
        <v>822.84400000000005</v>
      </c>
      <c r="FJ340" s="53"/>
      <c r="FK340" s="53">
        <v>388.68400000000003</v>
      </c>
      <c r="FL340" s="53"/>
      <c r="FM340" s="53">
        <v>149.535</v>
      </c>
      <c r="FN340" s="53">
        <v>263.38</v>
      </c>
      <c r="FO340" s="55"/>
      <c r="FP340" s="55"/>
      <c r="FQ340" s="53">
        <v>1164.6489999999999</v>
      </c>
      <c r="FR340" s="53">
        <v>3717.4155000000001</v>
      </c>
      <c r="FS340" s="55"/>
      <c r="FT340" s="55"/>
      <c r="FU340" s="53"/>
      <c r="FV340" s="53"/>
      <c r="FW340" s="53">
        <v>317.66300000000001</v>
      </c>
      <c r="FX340" s="53">
        <v>153.875</v>
      </c>
      <c r="FY340" s="53">
        <v>117.648</v>
      </c>
      <c r="FZ340" s="53"/>
      <c r="GA340" s="53">
        <v>87.869</v>
      </c>
      <c r="GB340" s="53"/>
      <c r="GC340" s="53" t="s">
        <v>265</v>
      </c>
      <c r="GD340" s="53" t="s">
        <v>265</v>
      </c>
      <c r="GE340" s="55"/>
      <c r="GF340" s="55"/>
      <c r="GG340" s="53">
        <v>305.78800000000001</v>
      </c>
      <c r="GH340" s="53">
        <v>1283.1489999999999</v>
      </c>
      <c r="GI340" s="55"/>
      <c r="GJ340" s="55"/>
      <c r="GK340" s="53"/>
      <c r="GL340" s="53"/>
      <c r="GM340" s="53" t="s">
        <v>265</v>
      </c>
      <c r="GN340" s="53">
        <v>48.156999999999996</v>
      </c>
      <c r="GO340" s="53">
        <v>45.607999999999997</v>
      </c>
      <c r="GP340" s="53"/>
      <c r="GQ340" s="53">
        <v>23.393000000000001</v>
      </c>
      <c r="GR340" s="53"/>
      <c r="GS340" s="53">
        <v>2.2509999999999999</v>
      </c>
      <c r="GT340" s="53" t="s">
        <v>265</v>
      </c>
      <c r="GU340" s="55"/>
      <c r="GV340" s="55"/>
      <c r="GW340" s="53">
        <v>92.608000000000004</v>
      </c>
      <c r="GX340" s="53">
        <v>295.46800000000002</v>
      </c>
      <c r="GY340" s="19">
        <v>0.98029556650246297</v>
      </c>
      <c r="GZ340" s="53">
        <v>1373.1</v>
      </c>
      <c r="HA340" s="53">
        <v>1400.7</v>
      </c>
      <c r="HB340" s="18">
        <v>18.453566063200469</v>
      </c>
      <c r="HC340" s="18">
        <v>86.165645711001162</v>
      </c>
      <c r="HD340" s="18">
        <v>1599.3535660632006</v>
      </c>
      <c r="HE340" s="18">
        <v>47.300000000000182</v>
      </c>
      <c r="HF340" s="53">
        <v>1580.9</v>
      </c>
      <c r="HG340" s="53">
        <v>1323.3</v>
      </c>
      <c r="HH340" s="53">
        <v>388.7</v>
      </c>
      <c r="HI340" s="16">
        <v>80.790999999999997</v>
      </c>
      <c r="HJ340" s="53">
        <v>844.4</v>
      </c>
      <c r="HK340" s="16">
        <v>8.8049999999999997</v>
      </c>
      <c r="HL340" s="53">
        <v>257.5</v>
      </c>
      <c r="HM340" s="53">
        <v>219.1</v>
      </c>
      <c r="HN340" s="53">
        <v>63.7</v>
      </c>
      <c r="HO340" s="53">
        <v>155.4</v>
      </c>
      <c r="HP340" s="55"/>
      <c r="HQ340" s="53" t="s">
        <v>265</v>
      </c>
      <c r="HR340" s="53" t="s">
        <v>265</v>
      </c>
      <c r="HS340" s="55"/>
      <c r="HT340" s="53">
        <v>18.2</v>
      </c>
      <c r="HU340" s="55"/>
      <c r="HV340" s="55"/>
      <c r="HW340" s="53">
        <v>319.60000000000002</v>
      </c>
      <c r="HX340" s="53" t="s">
        <v>266</v>
      </c>
      <c r="HY340" s="53">
        <v>319.60000000000002</v>
      </c>
      <c r="HZ340" s="53">
        <v>58.2</v>
      </c>
      <c r="IA340" s="53">
        <v>217.2</v>
      </c>
      <c r="IB340" s="53">
        <v>61.1</v>
      </c>
      <c r="IC340" s="20">
        <v>156.19999999999999</v>
      </c>
      <c r="ID340" s="20">
        <v>84.6</v>
      </c>
      <c r="IE340" s="20">
        <v>71.5</v>
      </c>
      <c r="IF340" s="55"/>
      <c r="IG340" s="55"/>
      <c r="IH340" s="53">
        <v>15.9</v>
      </c>
      <c r="II340" s="53">
        <v>4.0999999999999996</v>
      </c>
      <c r="IJ340" s="53">
        <v>4.7</v>
      </c>
      <c r="IK340" s="53">
        <v>7.2</v>
      </c>
      <c r="IL340" s="53">
        <v>28.3</v>
      </c>
      <c r="IM340" s="55"/>
      <c r="IN340" s="53">
        <v>60.9</v>
      </c>
      <c r="IO340" s="53">
        <v>60.9</v>
      </c>
      <c r="IP340" s="53" t="s">
        <v>265</v>
      </c>
      <c r="IQ340" s="53">
        <v>68</v>
      </c>
      <c r="IR340" s="53">
        <v>16</v>
      </c>
      <c r="IS340" s="55"/>
      <c r="IT340" s="53">
        <v>50.8</v>
      </c>
      <c r="IU340" s="53">
        <v>1.2</v>
      </c>
      <c r="IV340" s="53" t="s">
        <v>265</v>
      </c>
      <c r="IW340" s="53" t="s">
        <v>265</v>
      </c>
      <c r="IX340" s="53" t="s">
        <v>265</v>
      </c>
      <c r="IY340" s="48">
        <f t="shared" si="17"/>
        <v>47.471129760015934</v>
      </c>
      <c r="IZ340" s="48">
        <f>IY340-'NOPA Crush'!J340</f>
        <v>0.16112976001593182</v>
      </c>
      <c r="JB340" s="63">
        <f t="shared" si="15"/>
        <v>11.552406789673338</v>
      </c>
      <c r="JC340" s="64">
        <f>JB340-'NOPA Crush'!O340</f>
        <v>6.240678967333757E-2</v>
      </c>
      <c r="JD340" s="65"/>
      <c r="JE340" s="67">
        <f t="shared" si="16"/>
        <v>3235.2</v>
      </c>
      <c r="JF340" s="68">
        <f>'NOPA Crush'!Q340/'Census Crush'!JE340</f>
        <v>0.83128060089020772</v>
      </c>
    </row>
    <row r="341" spans="1:266">
      <c r="A341" s="39">
        <v>39417</v>
      </c>
      <c r="B341" s="51">
        <v>4921.7598499999995</v>
      </c>
      <c r="C341" s="51">
        <v>3536.8820000000001</v>
      </c>
      <c r="D341" s="51">
        <v>252.14823999999999</v>
      </c>
      <c r="E341" s="51">
        <v>1709.5050000000001</v>
      </c>
      <c r="F341" s="51">
        <v>16.874639999999999</v>
      </c>
      <c r="G341" s="51" t="s">
        <v>264</v>
      </c>
      <c r="H341" s="51" t="s">
        <v>264</v>
      </c>
      <c r="I341" s="51" t="s">
        <v>264</v>
      </c>
      <c r="J341" s="51" t="s">
        <v>264</v>
      </c>
      <c r="K341" s="51">
        <v>1879.4398000000001</v>
      </c>
      <c r="L341" s="51">
        <v>3277.1</v>
      </c>
      <c r="M341" s="51">
        <v>2916.1</v>
      </c>
      <c r="N341" s="51">
        <v>360.9</v>
      </c>
      <c r="O341" s="53">
        <v>76.789880000000011</v>
      </c>
      <c r="P341" s="51">
        <v>95.9</v>
      </c>
      <c r="Q341" s="51">
        <v>8.8000000000000007</v>
      </c>
      <c r="R341" s="51">
        <v>87.1</v>
      </c>
      <c r="S341" s="51"/>
      <c r="T341" s="51">
        <v>14</v>
      </c>
      <c r="U341" s="51">
        <v>18.100000000000001</v>
      </c>
      <c r="V341" s="51">
        <v>16.2</v>
      </c>
      <c r="W341" s="51">
        <v>1.9</v>
      </c>
      <c r="X341" s="51" t="s">
        <v>264</v>
      </c>
      <c r="Y341" s="51" t="s">
        <v>265</v>
      </c>
      <c r="Z341" s="51">
        <v>96.2</v>
      </c>
      <c r="AA341" s="51" t="s">
        <v>265</v>
      </c>
      <c r="AB341" s="51" t="s">
        <v>265</v>
      </c>
      <c r="AC341" s="51" t="s">
        <v>264</v>
      </c>
      <c r="AD341" s="51">
        <v>98.4</v>
      </c>
      <c r="AE341" s="51">
        <v>100.1</v>
      </c>
      <c r="AF341" s="51">
        <v>136.19999999999999</v>
      </c>
      <c r="AG341" s="51">
        <v>88.4</v>
      </c>
      <c r="AH341" s="51">
        <v>47.8</v>
      </c>
      <c r="AI341" s="51">
        <v>214.01599999999999</v>
      </c>
      <c r="AJ341" s="51">
        <v>211</v>
      </c>
      <c r="AK341" s="51">
        <v>3</v>
      </c>
      <c r="AL341" s="51">
        <v>194.2</v>
      </c>
      <c r="AM341" s="51">
        <v>135.5</v>
      </c>
      <c r="AN341" s="51">
        <v>58.7</v>
      </c>
      <c r="AO341" s="51">
        <v>3604.5327499999999</v>
      </c>
      <c r="AP341" s="51">
        <v>380.86500000000001</v>
      </c>
      <c r="AQ341" s="51">
        <v>283.00720000000001</v>
      </c>
      <c r="AR341" s="51">
        <v>40.765999999999998</v>
      </c>
      <c r="AS341" s="51">
        <v>111.90888000000001</v>
      </c>
      <c r="AT341" s="51">
        <v>27.27</v>
      </c>
      <c r="AU341" s="51">
        <v>70.076359999999994</v>
      </c>
      <c r="AV341" s="51">
        <v>35.906999999999996</v>
      </c>
      <c r="AW341" s="51">
        <v>9.1124799999999997</v>
      </c>
      <c r="AX341" s="51">
        <v>1.2</v>
      </c>
      <c r="AY341" s="51" t="s">
        <v>264</v>
      </c>
      <c r="AZ341" s="51" t="s">
        <v>264</v>
      </c>
      <c r="BA341" s="51" t="s">
        <v>264</v>
      </c>
      <c r="BB341" s="51" t="s">
        <v>264</v>
      </c>
      <c r="BC341" s="55"/>
      <c r="BD341" s="53">
        <v>143.30000000000001</v>
      </c>
      <c r="BE341" s="53">
        <v>38.9</v>
      </c>
      <c r="BF341" s="53">
        <v>74.099999999999994</v>
      </c>
      <c r="BG341" s="53">
        <v>15.8</v>
      </c>
      <c r="BH341" s="53">
        <v>314.3</v>
      </c>
      <c r="BI341" s="53">
        <v>121</v>
      </c>
      <c r="BJ341" s="53">
        <v>96.4</v>
      </c>
      <c r="BK341" s="53">
        <v>217.4</v>
      </c>
      <c r="BL341" s="55"/>
      <c r="BM341" s="53">
        <v>531.70000000000005</v>
      </c>
      <c r="BN341" s="53">
        <v>235.5</v>
      </c>
      <c r="BO341" s="53">
        <v>78.8</v>
      </c>
      <c r="BP341" s="53">
        <v>24</v>
      </c>
      <c r="BQ341" s="53">
        <v>102.8</v>
      </c>
      <c r="BR341" s="55"/>
      <c r="BS341" s="53">
        <v>338.3</v>
      </c>
      <c r="BT341" s="53">
        <v>51</v>
      </c>
      <c r="BU341" s="53">
        <v>13.9</v>
      </c>
      <c r="BV341" s="51" t="s">
        <v>264</v>
      </c>
      <c r="BW341" s="51" t="s">
        <v>264</v>
      </c>
      <c r="BX341" s="51">
        <v>471.8</v>
      </c>
      <c r="BY341" s="51" t="s">
        <v>264</v>
      </c>
      <c r="BZ341" s="51" t="s">
        <v>264</v>
      </c>
      <c r="CA341" s="51">
        <v>63.9</v>
      </c>
      <c r="CB341" s="53">
        <v>127.5</v>
      </c>
      <c r="CC341" s="53">
        <v>21.4</v>
      </c>
      <c r="CD341" s="53">
        <v>129.1</v>
      </c>
      <c r="CE341" s="53">
        <v>20.7</v>
      </c>
      <c r="CF341" s="53">
        <v>107.4</v>
      </c>
      <c r="CG341" s="53">
        <v>177</v>
      </c>
      <c r="CH341" s="53">
        <v>5.8</v>
      </c>
      <c r="CI341" s="53">
        <v>34.299999999999997</v>
      </c>
      <c r="CJ341" s="53">
        <v>5.4</v>
      </c>
      <c r="CK341" s="53">
        <v>169.8</v>
      </c>
      <c r="CL341" s="53">
        <v>28.2</v>
      </c>
      <c r="CM341" s="55"/>
      <c r="CN341" s="53">
        <v>48.9</v>
      </c>
      <c r="CO341" s="53">
        <v>205.5</v>
      </c>
      <c r="CP341" s="53">
        <v>156.1</v>
      </c>
      <c r="CQ341" s="53">
        <v>49.5</v>
      </c>
      <c r="CR341" s="53" t="s">
        <v>264</v>
      </c>
      <c r="CS341" s="53">
        <v>33.4</v>
      </c>
      <c r="CT341" s="53">
        <v>13.4</v>
      </c>
      <c r="CU341" s="53">
        <v>20</v>
      </c>
      <c r="CV341" s="53">
        <v>249.9</v>
      </c>
      <c r="CW341" s="53" t="s">
        <v>265</v>
      </c>
      <c r="CX341" s="53" t="s">
        <v>265</v>
      </c>
      <c r="CY341" s="53" t="s">
        <v>265</v>
      </c>
      <c r="CZ341" s="53">
        <v>79.900000000000006</v>
      </c>
      <c r="DA341" s="53">
        <v>13.6</v>
      </c>
      <c r="DB341" s="53" t="s">
        <v>265</v>
      </c>
      <c r="DC341" s="53" t="s">
        <v>265</v>
      </c>
      <c r="DD341" s="55"/>
      <c r="DE341" s="55"/>
      <c r="DF341" s="55"/>
      <c r="DG341" s="55"/>
      <c r="DH341" s="55"/>
      <c r="DI341" s="53">
        <v>745.00599999999997</v>
      </c>
      <c r="DJ341" s="53">
        <v>546.58675000000005</v>
      </c>
      <c r="DK341" s="53">
        <v>1090.748</v>
      </c>
      <c r="DL341" s="55"/>
      <c r="DM341" s="53">
        <v>539.79499999999996</v>
      </c>
      <c r="DN341" s="55"/>
      <c r="DO341" s="53">
        <v>196.535</v>
      </c>
      <c r="DP341" s="12">
        <v>331.02100000000002</v>
      </c>
      <c r="DQ341" s="55"/>
      <c r="DR341" s="55"/>
      <c r="DS341" s="53">
        <v>1467.644</v>
      </c>
      <c r="DT341" s="53">
        <v>4921.7598499999995</v>
      </c>
      <c r="DU341" s="53">
        <v>-4.4240999999992709</v>
      </c>
      <c r="DV341" s="53">
        <v>0</v>
      </c>
      <c r="DW341" s="55"/>
      <c r="DX341" s="55"/>
      <c r="DY341" s="53"/>
      <c r="DZ341" s="53"/>
      <c r="EA341" s="53">
        <v>603.04399999999998</v>
      </c>
      <c r="EB341" s="53">
        <v>615.28800000000001</v>
      </c>
      <c r="EC341" s="53">
        <v>457.49200000000002</v>
      </c>
      <c r="ED341" s="53"/>
      <c r="EE341" s="53">
        <v>179.709</v>
      </c>
      <c r="EF341" s="53"/>
      <c r="EG341" s="53" t="s">
        <v>265</v>
      </c>
      <c r="EH341" s="53" t="s">
        <v>265</v>
      </c>
      <c r="EI341" s="55"/>
      <c r="EJ341" s="55"/>
      <c r="EK341" s="53">
        <v>1226.5070000000001</v>
      </c>
      <c r="EL341" s="53">
        <v>3536.8820000000001</v>
      </c>
      <c r="EM341" s="55"/>
      <c r="EN341" s="55"/>
      <c r="EO341" s="53"/>
      <c r="EP341" s="53"/>
      <c r="EQ341" s="53">
        <v>287.90199999999999</v>
      </c>
      <c r="ER341" s="53">
        <v>205.89959999999999</v>
      </c>
      <c r="ES341" s="53">
        <v>417.589</v>
      </c>
      <c r="ET341" s="53"/>
      <c r="EU341" s="53">
        <v>214.761</v>
      </c>
      <c r="EV341" s="53"/>
      <c r="EW341" s="53">
        <v>73.037999999999997</v>
      </c>
      <c r="EX341" s="18">
        <v>123.797</v>
      </c>
      <c r="EY341" s="55"/>
      <c r="EZ341" s="55"/>
      <c r="FA341" s="53">
        <v>555.548</v>
      </c>
      <c r="FB341" s="53">
        <v>1879.4398000000001</v>
      </c>
      <c r="FC341" s="55"/>
      <c r="FD341" s="55"/>
      <c r="FE341" s="53"/>
      <c r="FF341" s="53"/>
      <c r="FG341" s="53">
        <v>589.18100000000004</v>
      </c>
      <c r="FH341" s="53">
        <v>431.79730000000001</v>
      </c>
      <c r="FI341" s="53">
        <v>859.02800000000002</v>
      </c>
      <c r="FJ341" s="53"/>
      <c r="FK341" s="53">
        <v>429.55500000000001</v>
      </c>
      <c r="FL341" s="53"/>
      <c r="FM341" s="53">
        <v>156.874</v>
      </c>
      <c r="FN341" s="18">
        <v>263.38799999999998</v>
      </c>
      <c r="FO341" s="55"/>
      <c r="FP341" s="55"/>
      <c r="FQ341" s="53">
        <v>1199.6959999999999</v>
      </c>
      <c r="FR341" s="53">
        <v>3898.7075499999996</v>
      </c>
      <c r="FS341" s="55"/>
      <c r="FT341" s="55"/>
      <c r="FU341" s="53"/>
      <c r="FV341" s="53"/>
      <c r="FW341" s="53">
        <v>366.18799999999999</v>
      </c>
      <c r="FX341" s="53">
        <v>168.18700000000001</v>
      </c>
      <c r="FY341" s="53">
        <v>132.387</v>
      </c>
      <c r="FZ341" s="53"/>
      <c r="GA341" s="53">
        <v>100.75700000000001</v>
      </c>
      <c r="GB341" s="53"/>
      <c r="GC341" s="53" t="s">
        <v>265</v>
      </c>
      <c r="GD341" s="53" t="s">
        <v>265</v>
      </c>
      <c r="GE341" s="55"/>
      <c r="GF341" s="55"/>
      <c r="GG341" s="53">
        <v>293.03100000000001</v>
      </c>
      <c r="GH341" s="53">
        <v>1356.4839999999999</v>
      </c>
      <c r="GI341" s="55"/>
      <c r="GJ341" s="55"/>
      <c r="GK341" s="53"/>
      <c r="GL341" s="53"/>
      <c r="GM341" s="53" t="s">
        <v>265</v>
      </c>
      <c r="GN341" s="53">
        <v>86.263999999999996</v>
      </c>
      <c r="GO341" s="53">
        <v>63.03</v>
      </c>
      <c r="GP341" s="53"/>
      <c r="GQ341" s="53">
        <v>37.094000000000001</v>
      </c>
      <c r="GR341" s="53"/>
      <c r="GS341" s="53">
        <v>9.3140000000000001</v>
      </c>
      <c r="GT341" s="53" t="s">
        <v>265</v>
      </c>
      <c r="GU341" s="55"/>
      <c r="GV341" s="55"/>
      <c r="GW341" s="53">
        <v>128.68</v>
      </c>
      <c r="GX341" s="53">
        <v>421.63099999999997</v>
      </c>
      <c r="GY341" s="19">
        <v>0.9804105149441843</v>
      </c>
      <c r="GZ341" s="53">
        <v>1361.3</v>
      </c>
      <c r="HA341" s="53">
        <v>1388.5</v>
      </c>
      <c r="HB341" s="18">
        <v>-73.69544043400083</v>
      </c>
      <c r="HC341" s="18">
        <v>-23.910241473001406</v>
      </c>
      <c r="HD341" s="18">
        <v>1450.3045595659992</v>
      </c>
      <c r="HE341" s="18">
        <v>33.299999999999955</v>
      </c>
      <c r="HF341" s="53">
        <v>1524</v>
      </c>
      <c r="HG341" s="53">
        <v>1274.5999999999999</v>
      </c>
      <c r="HH341" s="53">
        <v>378.3</v>
      </c>
      <c r="HI341" s="59">
        <v>77.8</v>
      </c>
      <c r="HJ341" s="53">
        <v>810.8</v>
      </c>
      <c r="HK341" s="59">
        <v>7.6</v>
      </c>
      <c r="HL341" s="53">
        <v>249.5</v>
      </c>
      <c r="HM341" s="53">
        <v>219.3</v>
      </c>
      <c r="HN341" s="53">
        <v>49</v>
      </c>
      <c r="HO341" s="53">
        <v>170.3</v>
      </c>
      <c r="HP341" s="55"/>
      <c r="HQ341" s="53" t="s">
        <v>265</v>
      </c>
      <c r="HR341" s="53" t="s">
        <v>265</v>
      </c>
      <c r="HS341" s="55"/>
      <c r="HT341" s="53">
        <v>20.6</v>
      </c>
      <c r="HU341" s="55"/>
      <c r="HV341" s="55"/>
      <c r="HW341" s="53">
        <v>340.7</v>
      </c>
      <c r="HX341" s="53" t="s">
        <v>266</v>
      </c>
      <c r="HY341" s="53">
        <v>340.7</v>
      </c>
      <c r="HZ341" s="53">
        <v>65.900000000000006</v>
      </c>
      <c r="IA341" s="53">
        <v>228.8</v>
      </c>
      <c r="IB341" s="53">
        <v>64.2</v>
      </c>
      <c r="IC341" s="53">
        <v>164.6</v>
      </c>
      <c r="ID341" s="53">
        <v>100.2</v>
      </c>
      <c r="IE341" s="53">
        <v>64.400000000000006</v>
      </c>
      <c r="IF341" s="55"/>
      <c r="IG341" s="55"/>
      <c r="IH341" s="53">
        <v>15</v>
      </c>
      <c r="II341" s="53">
        <v>4.3</v>
      </c>
      <c r="IJ341" s="53">
        <v>4.3</v>
      </c>
      <c r="IK341" s="53">
        <v>6.4</v>
      </c>
      <c r="IL341" s="53">
        <v>31.1</v>
      </c>
      <c r="IM341" s="55"/>
      <c r="IN341" s="53">
        <v>61.6</v>
      </c>
      <c r="IO341" s="53">
        <v>61.7</v>
      </c>
      <c r="IP341" s="53" t="s">
        <v>265</v>
      </c>
      <c r="IQ341" s="53">
        <v>63.3</v>
      </c>
      <c r="IR341" s="53">
        <v>14.8</v>
      </c>
      <c r="IS341" s="55"/>
      <c r="IT341" s="53">
        <v>47.2</v>
      </c>
      <c r="IU341" s="53">
        <v>1.3</v>
      </c>
      <c r="IV341" s="53" t="s">
        <v>265</v>
      </c>
      <c r="IW341" s="53" t="s">
        <v>265</v>
      </c>
      <c r="IX341" s="53" t="s">
        <v>265</v>
      </c>
      <c r="IY341" s="48">
        <f t="shared" si="17"/>
        <v>47.39207196385253</v>
      </c>
      <c r="IZ341" s="48">
        <f>IY341-'NOPA Crush'!J341</f>
        <v>5.2071963852526437E-2</v>
      </c>
      <c r="JB341" s="63">
        <f t="shared" si="15"/>
        <v>11.455901083836915</v>
      </c>
      <c r="JC341" s="64">
        <f>JB341-'NOPA Crush'!O341</f>
        <v>-6.4098916163084496E-2</v>
      </c>
      <c r="JD341" s="65"/>
      <c r="JE341" s="67">
        <f t="shared" si="16"/>
        <v>3277.1</v>
      </c>
      <c r="JF341" s="68">
        <f>'NOPA Crush'!Q341/'Census Crush'!JE341</f>
        <v>0.82769155655915294</v>
      </c>
    </row>
    <row r="342" spans="1:266">
      <c r="A342" s="39">
        <v>39448</v>
      </c>
      <c r="B342" s="51">
        <v>4814.0179500000004</v>
      </c>
      <c r="C342" s="51">
        <v>4064.5369999999998</v>
      </c>
      <c r="D342" s="51">
        <v>267.50708000000003</v>
      </c>
      <c r="E342" s="51">
        <v>1720.79</v>
      </c>
      <c r="F342" s="51">
        <v>18.763450000000002</v>
      </c>
      <c r="G342" s="51" t="s">
        <v>264</v>
      </c>
      <c r="H342" s="51" t="s">
        <v>264</v>
      </c>
      <c r="I342" s="51" t="s">
        <v>264</v>
      </c>
      <c r="J342" s="51" t="s">
        <v>264</v>
      </c>
      <c r="K342" s="51">
        <v>1845.2</v>
      </c>
      <c r="L342" s="51">
        <v>3408</v>
      </c>
      <c r="M342" s="51">
        <v>3030.5</v>
      </c>
      <c r="N342" s="51">
        <v>377.5</v>
      </c>
      <c r="O342" s="53">
        <v>83.5</v>
      </c>
      <c r="P342" s="51">
        <v>111.1</v>
      </c>
      <c r="Q342" s="51">
        <v>9.4</v>
      </c>
      <c r="R342" s="51">
        <v>101.7</v>
      </c>
      <c r="S342" s="51"/>
      <c r="T342" s="51">
        <v>14.9</v>
      </c>
      <c r="U342" s="51">
        <v>30.5</v>
      </c>
      <c r="V342" s="51">
        <v>26</v>
      </c>
      <c r="W342" s="51">
        <v>4.5</v>
      </c>
      <c r="X342" s="51" t="s">
        <v>264</v>
      </c>
      <c r="Y342" s="51" t="s">
        <v>265</v>
      </c>
      <c r="Z342" s="51">
        <v>112.1</v>
      </c>
      <c r="AA342" s="51" t="s">
        <v>265</v>
      </c>
      <c r="AB342" s="51" t="s">
        <v>265</v>
      </c>
      <c r="AC342" s="51" t="s">
        <v>264</v>
      </c>
      <c r="AD342" s="51">
        <v>110</v>
      </c>
      <c r="AE342" s="51">
        <v>114.1</v>
      </c>
      <c r="AF342" s="51">
        <v>158.80000000000001</v>
      </c>
      <c r="AG342" s="51">
        <v>100.4</v>
      </c>
      <c r="AH342" s="51">
        <v>58.4</v>
      </c>
      <c r="AI342" s="51">
        <v>205.4</v>
      </c>
      <c r="AJ342" s="15">
        <v>202.31399999999999</v>
      </c>
      <c r="AK342" s="15">
        <v>3.1709999999999998</v>
      </c>
      <c r="AL342" s="51">
        <v>189.3</v>
      </c>
      <c r="AM342" s="51">
        <v>135.1</v>
      </c>
      <c r="AN342" s="51">
        <v>54.2</v>
      </c>
      <c r="AO342" s="51">
        <v>3515.1</v>
      </c>
      <c r="AP342" s="51">
        <v>259.5</v>
      </c>
      <c r="AQ342" s="51">
        <v>276.10000000000002</v>
      </c>
      <c r="AR342" s="51">
        <v>27.9</v>
      </c>
      <c r="AS342" s="51">
        <v>125.6</v>
      </c>
      <c r="AT342" s="51">
        <v>21</v>
      </c>
      <c r="AU342" s="51">
        <v>81</v>
      </c>
      <c r="AV342" s="51">
        <v>39.9</v>
      </c>
      <c r="AW342" s="51">
        <v>9.9</v>
      </c>
      <c r="AX342" s="51">
        <v>2.677</v>
      </c>
      <c r="AY342" s="51" t="s">
        <v>264</v>
      </c>
      <c r="AZ342" s="51" t="s">
        <v>264</v>
      </c>
      <c r="BA342" s="51" t="s">
        <v>264</v>
      </c>
      <c r="BB342" s="51" t="s">
        <v>264</v>
      </c>
      <c r="BC342" s="55"/>
      <c r="BD342" s="53">
        <v>152.5</v>
      </c>
      <c r="BE342" s="53">
        <v>39.5</v>
      </c>
      <c r="BF342" s="53">
        <v>83</v>
      </c>
      <c r="BG342" s="53">
        <v>6.9</v>
      </c>
      <c r="BH342" s="53">
        <v>304.7</v>
      </c>
      <c r="BI342" s="53">
        <v>142.9</v>
      </c>
      <c r="BJ342" s="53">
        <v>84.6</v>
      </c>
      <c r="BK342" s="53">
        <v>227.6</v>
      </c>
      <c r="BL342" s="55"/>
      <c r="BM342" s="53">
        <v>532.29999999999995</v>
      </c>
      <c r="BN342" s="53">
        <v>253.8</v>
      </c>
      <c r="BO342" s="53">
        <v>93.9</v>
      </c>
      <c r="BP342" s="53">
        <v>25.8</v>
      </c>
      <c r="BQ342" s="53">
        <v>119.6</v>
      </c>
      <c r="BR342" s="55"/>
      <c r="BS342" s="53">
        <v>373.4</v>
      </c>
      <c r="BT342" s="53">
        <v>56.6</v>
      </c>
      <c r="BU342" s="53">
        <v>24.4</v>
      </c>
      <c r="BV342" s="51" t="s">
        <v>264</v>
      </c>
      <c r="BW342" s="51" t="s">
        <v>264</v>
      </c>
      <c r="BX342" s="51">
        <v>451.3</v>
      </c>
      <c r="BY342" s="51" t="s">
        <v>264</v>
      </c>
      <c r="BZ342" s="51" t="s">
        <v>264</v>
      </c>
      <c r="CA342" s="51">
        <v>64.8</v>
      </c>
      <c r="CB342" s="53">
        <v>140.80000000000001</v>
      </c>
      <c r="CC342" s="53">
        <v>23.1</v>
      </c>
      <c r="CD342" s="53">
        <v>152.80000000000001</v>
      </c>
      <c r="CE342" s="53">
        <v>13.1</v>
      </c>
      <c r="CF342" s="53">
        <v>113.4</v>
      </c>
      <c r="CG342" s="53">
        <v>176.2</v>
      </c>
      <c r="CH342" s="53">
        <v>5.9939999999999998</v>
      </c>
      <c r="CI342" s="53">
        <v>31.8</v>
      </c>
      <c r="CJ342" s="53">
        <v>6.3</v>
      </c>
      <c r="CK342" s="53">
        <v>156.6</v>
      </c>
      <c r="CL342" s="53">
        <v>28.8</v>
      </c>
      <c r="CM342" s="55"/>
      <c r="CN342" s="53">
        <v>63.3</v>
      </c>
      <c r="CO342" s="53">
        <v>193.2</v>
      </c>
      <c r="CP342" s="53">
        <v>143.9</v>
      </c>
      <c r="CQ342" s="53">
        <v>49.2</v>
      </c>
      <c r="CR342" s="53" t="s">
        <v>264</v>
      </c>
      <c r="CS342" s="53">
        <v>30</v>
      </c>
      <c r="CT342" s="53">
        <v>13.8</v>
      </c>
      <c r="CU342" s="53">
        <v>16.2</v>
      </c>
      <c r="CV342" s="53">
        <v>214.1</v>
      </c>
      <c r="CW342" s="53" t="s">
        <v>265</v>
      </c>
      <c r="CX342" s="53" t="s">
        <v>265</v>
      </c>
      <c r="CY342" s="53" t="s">
        <v>265</v>
      </c>
      <c r="CZ342" s="53">
        <v>82.7</v>
      </c>
      <c r="DA342" s="53">
        <v>15.7</v>
      </c>
      <c r="DB342" s="53" t="s">
        <v>265</v>
      </c>
      <c r="DC342" s="53" t="s">
        <v>265</v>
      </c>
      <c r="DD342" s="55"/>
      <c r="DE342" s="55"/>
      <c r="DF342" s="55"/>
      <c r="DG342" s="55"/>
      <c r="DH342" s="55"/>
      <c r="DI342" s="53">
        <v>732.90899999999999</v>
      </c>
      <c r="DJ342" s="53">
        <v>547.95775000000003</v>
      </c>
      <c r="DK342" s="53">
        <v>1069.0409999999999</v>
      </c>
      <c r="DL342" s="55"/>
      <c r="DM342" s="53">
        <v>543.35299999999995</v>
      </c>
      <c r="DN342" s="55"/>
      <c r="DO342" s="53">
        <v>200.20599999999999</v>
      </c>
      <c r="DP342" s="53">
        <v>327.61</v>
      </c>
      <c r="DQ342" s="55"/>
      <c r="DR342" s="55"/>
      <c r="DS342" s="53">
        <v>1392.9412000000002</v>
      </c>
      <c r="DT342" s="53">
        <v>4814.0179500000004</v>
      </c>
      <c r="DU342" s="53">
        <v>0</v>
      </c>
      <c r="DV342" s="53">
        <v>0</v>
      </c>
      <c r="DW342" s="55"/>
      <c r="DX342" s="55"/>
      <c r="DY342" s="53"/>
      <c r="DZ342" s="53"/>
      <c r="EA342" s="53">
        <v>764.28700000000003</v>
      </c>
      <c r="EB342" s="53">
        <v>726.93100000000004</v>
      </c>
      <c r="EC342" s="53">
        <v>542.78300000000002</v>
      </c>
      <c r="ED342" s="53"/>
      <c r="EE342" s="53">
        <v>266.76299999999998</v>
      </c>
      <c r="EF342" s="53"/>
      <c r="EG342" s="53" t="s">
        <v>265</v>
      </c>
      <c r="EH342" s="53" t="s">
        <v>265</v>
      </c>
      <c r="EI342" s="55"/>
      <c r="EJ342" s="55"/>
      <c r="EK342" s="53">
        <v>1240.4749999999999</v>
      </c>
      <c r="EL342" s="53">
        <v>4064.5369999999998</v>
      </c>
      <c r="EM342" s="55"/>
      <c r="EN342" s="55"/>
      <c r="EO342" s="53"/>
      <c r="EP342" s="53"/>
      <c r="EQ342" s="53">
        <v>286.7</v>
      </c>
      <c r="ER342" s="53">
        <v>209.1</v>
      </c>
      <c r="ES342" s="53">
        <v>409</v>
      </c>
      <c r="ET342" s="53"/>
      <c r="EU342" s="53">
        <v>214.9</v>
      </c>
      <c r="EV342" s="53"/>
      <c r="EW342" s="53">
        <v>75.400000000000006</v>
      </c>
      <c r="EX342" s="53">
        <v>122.7</v>
      </c>
      <c r="EY342" s="55"/>
      <c r="EZ342" s="55"/>
      <c r="FA342" s="53">
        <v>527.54448000000025</v>
      </c>
      <c r="FB342" s="53">
        <v>1845.2</v>
      </c>
      <c r="FC342" s="55"/>
      <c r="FD342" s="55"/>
      <c r="FE342" s="53"/>
      <c r="FF342" s="53"/>
      <c r="FG342" s="53">
        <v>579.4</v>
      </c>
      <c r="FH342" s="53">
        <v>433.7</v>
      </c>
      <c r="FI342" s="53">
        <v>843.9</v>
      </c>
      <c r="FJ342" s="53"/>
      <c r="FK342" s="53">
        <v>420.7</v>
      </c>
      <c r="FL342" s="53"/>
      <c r="FM342" s="53">
        <v>159.9</v>
      </c>
      <c r="FN342" s="53">
        <v>262.2</v>
      </c>
      <c r="FO342" s="55"/>
      <c r="FP342" s="55"/>
      <c r="FQ342" s="53">
        <v>1101.1879599999997</v>
      </c>
      <c r="FR342" s="53">
        <v>3801.1</v>
      </c>
      <c r="FS342" s="55"/>
      <c r="FT342" s="55"/>
      <c r="FU342" s="53"/>
      <c r="FV342" s="53"/>
      <c r="FW342" s="53">
        <v>368.2</v>
      </c>
      <c r="FX342" s="53">
        <v>178.9</v>
      </c>
      <c r="FY342" s="53">
        <v>141.19999999999999</v>
      </c>
      <c r="FZ342" s="53"/>
      <c r="GA342" s="53">
        <v>111.7</v>
      </c>
      <c r="GB342" s="53"/>
      <c r="GC342" s="53" t="s">
        <v>265</v>
      </c>
      <c r="GD342" s="53" t="s">
        <v>265</v>
      </c>
      <c r="GE342" s="55"/>
      <c r="GF342" s="55"/>
      <c r="GG342" s="53">
        <v>473.96299999999985</v>
      </c>
      <c r="GH342" s="53">
        <v>1395.4</v>
      </c>
      <c r="GI342" s="55"/>
      <c r="GJ342" s="55"/>
      <c r="GK342" s="53"/>
      <c r="GL342" s="53"/>
      <c r="GM342" s="53">
        <v>67.400000000000006</v>
      </c>
      <c r="GN342" s="53">
        <v>33.799999999999997</v>
      </c>
      <c r="GO342" s="53">
        <v>49.5</v>
      </c>
      <c r="GP342" s="53"/>
      <c r="GQ342" s="53">
        <v>24</v>
      </c>
      <c r="GR342" s="53"/>
      <c r="GS342" s="53">
        <v>6.1</v>
      </c>
      <c r="GT342" s="53">
        <v>9.9</v>
      </c>
      <c r="GU342" s="55"/>
      <c r="GV342" s="55"/>
      <c r="GW342" s="53">
        <v>96.696000000000012</v>
      </c>
      <c r="GX342" s="53">
        <v>287.39999999999998</v>
      </c>
      <c r="GY342" s="19">
        <v>0.99381503310776398</v>
      </c>
      <c r="GZ342" s="53">
        <v>1365.8</v>
      </c>
      <c r="HA342" s="53">
        <v>1374.3</v>
      </c>
      <c r="HB342" s="18">
        <v>-99.914991028399982</v>
      </c>
      <c r="HC342" s="18">
        <v>78.666885542399541</v>
      </c>
      <c r="HD342" s="18">
        <v>1559.6850089715999</v>
      </c>
      <c r="HE342" s="18">
        <v>205.89999999999986</v>
      </c>
      <c r="HF342" s="53">
        <v>1659.6</v>
      </c>
      <c r="HG342" s="53">
        <v>1340.7</v>
      </c>
      <c r="HH342" s="53">
        <v>391.2</v>
      </c>
      <c r="HI342" s="12">
        <v>70.341999999999999</v>
      </c>
      <c r="HJ342" s="53">
        <v>861.3</v>
      </c>
      <c r="HK342" s="12">
        <v>9.6940000000000008</v>
      </c>
      <c r="HL342" s="53">
        <v>318.89999999999998</v>
      </c>
      <c r="HM342" s="53">
        <v>289</v>
      </c>
      <c r="HN342" s="53">
        <v>101.6</v>
      </c>
      <c r="HO342" s="53">
        <v>187.4</v>
      </c>
      <c r="HP342" s="55"/>
      <c r="HQ342" s="53">
        <v>2.4</v>
      </c>
      <c r="HR342" s="53">
        <v>9.9</v>
      </c>
      <c r="HS342" s="55"/>
      <c r="HT342" s="53">
        <v>17.7</v>
      </c>
      <c r="HU342" s="55"/>
      <c r="HV342" s="55"/>
      <c r="HW342" s="53">
        <v>282.7</v>
      </c>
      <c r="HX342" s="53" t="s">
        <v>266</v>
      </c>
      <c r="HY342" s="53">
        <v>282.7</v>
      </c>
      <c r="HZ342" s="53">
        <v>46.9</v>
      </c>
      <c r="IA342" s="53">
        <v>191.5</v>
      </c>
      <c r="IB342" s="53">
        <v>44.5</v>
      </c>
      <c r="IC342" s="53">
        <v>147</v>
      </c>
      <c r="ID342" s="53">
        <v>97</v>
      </c>
      <c r="IE342" s="53">
        <v>50.1</v>
      </c>
      <c r="IF342" s="55"/>
      <c r="IG342" s="55"/>
      <c r="IH342" s="53">
        <v>18</v>
      </c>
      <c r="II342" s="53">
        <v>5.9</v>
      </c>
      <c r="IJ342" s="53">
        <v>4.7</v>
      </c>
      <c r="IK342" s="53">
        <v>7.3</v>
      </c>
      <c r="IL342" s="53">
        <v>26.3</v>
      </c>
      <c r="IM342" s="55"/>
      <c r="IN342" s="53">
        <v>73.8</v>
      </c>
      <c r="IO342" s="53">
        <v>74</v>
      </c>
      <c r="IP342" s="53" t="s">
        <v>265</v>
      </c>
      <c r="IQ342" s="53">
        <v>64.7</v>
      </c>
      <c r="IR342" s="18">
        <v>13.917999999999999</v>
      </c>
      <c r="IS342" s="55"/>
      <c r="IT342" s="53">
        <v>48.6</v>
      </c>
      <c r="IU342" s="18">
        <v>1.599</v>
      </c>
      <c r="IV342" s="53" t="s">
        <v>265</v>
      </c>
      <c r="IW342" s="53" t="s">
        <v>265</v>
      </c>
      <c r="IX342" s="53" t="s">
        <v>265</v>
      </c>
      <c r="IY342" s="48">
        <f t="shared" si="17"/>
        <v>47.252004949420673</v>
      </c>
      <c r="IZ342" s="48">
        <f>IY342-'NOPA Crush'!J342</f>
        <v>1.2004949420671096E-2</v>
      </c>
      <c r="JB342" s="63">
        <f t="shared" si="15"/>
        <v>11.498918486583539</v>
      </c>
      <c r="JC342" s="64">
        <f>JB342-'NOPA Crush'!O342</f>
        <v>-6.1081513416461064E-2</v>
      </c>
      <c r="JD342" s="65"/>
      <c r="JE342" s="67">
        <f t="shared" si="16"/>
        <v>3408</v>
      </c>
      <c r="JF342" s="68">
        <f>'NOPA Crush'!Q342/'Census Crush'!JE342</f>
        <v>0.82681866197183096</v>
      </c>
    </row>
    <row r="343" spans="1:266">
      <c r="A343" s="39">
        <v>39479</v>
      </c>
      <c r="B343" s="51">
        <v>4395.3</v>
      </c>
      <c r="C343" s="51">
        <v>3659.7</v>
      </c>
      <c r="D343" s="51">
        <v>264.10000000000002</v>
      </c>
      <c r="E343" s="51">
        <v>1670.7</v>
      </c>
      <c r="F343" s="9">
        <v>7.8949999999999996</v>
      </c>
      <c r="G343" s="51" t="s">
        <v>264</v>
      </c>
      <c r="H343" s="51" t="s">
        <v>264</v>
      </c>
      <c r="I343" s="51" t="s">
        <v>264</v>
      </c>
      <c r="J343" s="51" t="s">
        <v>264</v>
      </c>
      <c r="K343" s="51">
        <v>1687.7</v>
      </c>
      <c r="L343" s="51">
        <v>3278.3</v>
      </c>
      <c r="M343" s="51">
        <v>2899.9</v>
      </c>
      <c r="N343" s="51">
        <v>378.4</v>
      </c>
      <c r="O343" s="53">
        <v>82.1</v>
      </c>
      <c r="P343" s="51">
        <v>132.6</v>
      </c>
      <c r="Q343" s="51">
        <v>14.2</v>
      </c>
      <c r="R343" s="51">
        <v>118.4</v>
      </c>
      <c r="S343" s="51"/>
      <c r="T343" s="51">
        <v>6</v>
      </c>
      <c r="U343" s="51">
        <v>31.2</v>
      </c>
      <c r="V343" s="51">
        <v>25.3</v>
      </c>
      <c r="W343" s="51">
        <v>5.9</v>
      </c>
      <c r="X343" s="51" t="s">
        <v>264</v>
      </c>
      <c r="Y343" s="51" t="s">
        <v>265</v>
      </c>
      <c r="Z343" s="51">
        <v>113.6</v>
      </c>
      <c r="AA343" s="51" t="s">
        <v>265</v>
      </c>
      <c r="AB343" s="51" t="s">
        <v>265</v>
      </c>
      <c r="AC343" s="51" t="s">
        <v>264</v>
      </c>
      <c r="AD343" s="51" t="s">
        <v>265</v>
      </c>
      <c r="AE343" s="51" t="s">
        <v>265</v>
      </c>
      <c r="AF343" s="51">
        <v>128.69999999999999</v>
      </c>
      <c r="AG343" s="51">
        <v>89</v>
      </c>
      <c r="AH343" s="51">
        <v>39.700000000000003</v>
      </c>
      <c r="AI343" s="51">
        <v>193.7</v>
      </c>
      <c r="AJ343" s="15">
        <v>190.98400000000001</v>
      </c>
      <c r="AK343" s="15">
        <v>2.673</v>
      </c>
      <c r="AL343" s="51">
        <v>200.3</v>
      </c>
      <c r="AM343" s="51">
        <v>144.4</v>
      </c>
      <c r="AN343" s="51">
        <v>55.9</v>
      </c>
      <c r="AO343" s="51">
        <v>3223.9</v>
      </c>
      <c r="AP343" s="51">
        <v>306.60000000000002</v>
      </c>
      <c r="AQ343" s="51">
        <v>249.8</v>
      </c>
      <c r="AR343" s="51">
        <v>24.8</v>
      </c>
      <c r="AS343" s="51">
        <v>119.9</v>
      </c>
      <c r="AT343" s="51">
        <v>22.5</v>
      </c>
      <c r="AU343" s="51">
        <v>74.3</v>
      </c>
      <c r="AV343" s="51">
        <v>42.1</v>
      </c>
      <c r="AW343" s="9">
        <v>3.9750000000000001</v>
      </c>
      <c r="AX343" s="51">
        <v>0.9</v>
      </c>
      <c r="AY343" s="51" t="s">
        <v>264</v>
      </c>
      <c r="AZ343" s="51" t="s">
        <v>264</v>
      </c>
      <c r="BA343" s="51" t="s">
        <v>264</v>
      </c>
      <c r="BB343" s="51" t="s">
        <v>264</v>
      </c>
      <c r="BC343" s="55"/>
      <c r="BD343" s="53">
        <v>148.5</v>
      </c>
      <c r="BE343" s="53">
        <v>32.299999999999997</v>
      </c>
      <c r="BF343" s="53">
        <v>81.7</v>
      </c>
      <c r="BG343" s="53">
        <v>6.2</v>
      </c>
      <c r="BH343" s="53">
        <v>301.2</v>
      </c>
      <c r="BI343" s="53">
        <v>128.9</v>
      </c>
      <c r="BJ343" s="53">
        <v>82.1</v>
      </c>
      <c r="BK343" s="53">
        <v>211</v>
      </c>
      <c r="BL343" s="55"/>
      <c r="BM343" s="53">
        <v>512.20000000000005</v>
      </c>
      <c r="BN343" s="53">
        <v>271.5</v>
      </c>
      <c r="BO343" s="53">
        <v>98.8</v>
      </c>
      <c r="BP343" s="53">
        <v>30.4</v>
      </c>
      <c r="BQ343" s="53">
        <v>129.19999999999999</v>
      </c>
      <c r="BR343" s="55"/>
      <c r="BS343" s="53">
        <v>400.7</v>
      </c>
      <c r="BT343" s="53">
        <v>48.2</v>
      </c>
      <c r="BU343" s="53">
        <v>26.2</v>
      </c>
      <c r="BV343" s="51" t="s">
        <v>264</v>
      </c>
      <c r="BW343" s="51" t="s">
        <v>264</v>
      </c>
      <c r="BX343" s="51">
        <v>415.5</v>
      </c>
      <c r="BY343" s="51" t="s">
        <v>264</v>
      </c>
      <c r="BZ343" s="51" t="s">
        <v>264</v>
      </c>
      <c r="CA343" s="51">
        <v>58.2</v>
      </c>
      <c r="CB343" s="53">
        <v>117.7</v>
      </c>
      <c r="CC343" s="53">
        <v>22.7</v>
      </c>
      <c r="CD343" s="53">
        <v>128.4</v>
      </c>
      <c r="CE343" s="53">
        <v>12.6</v>
      </c>
      <c r="CF343" s="53">
        <v>111.7</v>
      </c>
      <c r="CG343" s="53">
        <v>162.80000000000001</v>
      </c>
      <c r="CH343" s="53">
        <v>7.5460000000000003</v>
      </c>
      <c r="CI343" s="53">
        <v>30.1</v>
      </c>
      <c r="CJ343" s="53">
        <v>4.7</v>
      </c>
      <c r="CK343" s="53">
        <v>156.6</v>
      </c>
      <c r="CL343" s="53">
        <v>28</v>
      </c>
      <c r="CM343" s="55"/>
      <c r="CN343" s="53">
        <v>57.7</v>
      </c>
      <c r="CO343" s="53">
        <v>179.6</v>
      </c>
      <c r="CP343" s="53">
        <v>133.4</v>
      </c>
      <c r="CQ343" s="53">
        <v>46.1</v>
      </c>
      <c r="CR343" s="53" t="s">
        <v>264</v>
      </c>
      <c r="CS343" s="53">
        <v>33.1</v>
      </c>
      <c r="CT343" s="53">
        <v>19.3</v>
      </c>
      <c r="CU343" s="53">
        <v>13.8</v>
      </c>
      <c r="CV343" s="53">
        <v>227.8</v>
      </c>
      <c r="CW343" s="53" t="s">
        <v>265</v>
      </c>
      <c r="CX343" s="53" t="s">
        <v>265</v>
      </c>
      <c r="CY343" s="53" t="s">
        <v>265</v>
      </c>
      <c r="CZ343" s="53">
        <v>80.099999999999994</v>
      </c>
      <c r="DA343" s="53">
        <v>23</v>
      </c>
      <c r="DB343" s="12">
        <v>14.4</v>
      </c>
      <c r="DC343" s="12">
        <v>8.6</v>
      </c>
      <c r="DD343" s="55"/>
      <c r="DE343" s="55"/>
      <c r="DF343" s="55"/>
      <c r="DG343" s="55"/>
      <c r="DH343" s="55"/>
      <c r="DI343" s="53">
        <v>657.4</v>
      </c>
      <c r="DJ343" s="53">
        <v>482.6</v>
      </c>
      <c r="DK343" s="53">
        <v>988.4</v>
      </c>
      <c r="DL343" s="55"/>
      <c r="DM343" s="53">
        <v>509.5</v>
      </c>
      <c r="DN343" s="55"/>
      <c r="DO343" s="53">
        <v>180.4</v>
      </c>
      <c r="DP343" s="53">
        <v>302</v>
      </c>
      <c r="DQ343" s="55"/>
      <c r="DR343" s="55"/>
      <c r="DS343" s="53">
        <v>1275.0863000000006</v>
      </c>
      <c r="DT343" s="53">
        <v>4395.3</v>
      </c>
      <c r="DU343" s="53">
        <v>8.6300000000846921E-2</v>
      </c>
      <c r="DV343" s="53">
        <v>0</v>
      </c>
      <c r="DW343" s="55"/>
      <c r="DX343" s="55"/>
      <c r="DY343" s="53"/>
      <c r="DZ343" s="53"/>
      <c r="EA343" s="53">
        <v>634.79999999999995</v>
      </c>
      <c r="EB343" s="53">
        <v>603.79999999999995</v>
      </c>
      <c r="EC343" s="53">
        <v>523.9</v>
      </c>
      <c r="ED343" s="53"/>
      <c r="EE343" s="53">
        <v>261.39999999999998</v>
      </c>
      <c r="EF343" s="53"/>
      <c r="EG343" s="53" t="s">
        <v>265</v>
      </c>
      <c r="EH343" s="53" t="s">
        <v>265</v>
      </c>
      <c r="EI343" s="55"/>
      <c r="EJ343" s="55"/>
      <c r="EK343" s="53">
        <v>1167.9949999999999</v>
      </c>
      <c r="EL343" s="53">
        <v>3659.7</v>
      </c>
      <c r="EM343" s="55"/>
      <c r="EN343" s="55"/>
      <c r="EO343" s="53"/>
      <c r="EP343" s="53"/>
      <c r="EQ343" s="53">
        <v>254.6</v>
      </c>
      <c r="ER343" s="53">
        <v>186.5</v>
      </c>
      <c r="ES343" s="53">
        <v>379.2</v>
      </c>
      <c r="ET343" s="53"/>
      <c r="EU343" s="53">
        <v>200.8</v>
      </c>
      <c r="EV343" s="53"/>
      <c r="EW343" s="53">
        <v>65.099999999999994</v>
      </c>
      <c r="EX343" s="53">
        <v>115.5</v>
      </c>
      <c r="EY343" s="55"/>
      <c r="EZ343" s="55"/>
      <c r="FA343" s="53">
        <v>486.01809999999995</v>
      </c>
      <c r="FB343" s="53">
        <v>1687.7</v>
      </c>
      <c r="FC343" s="55"/>
      <c r="FD343" s="55"/>
      <c r="FE343" s="53"/>
      <c r="FF343" s="53"/>
      <c r="FG343" s="53">
        <v>516.70000000000005</v>
      </c>
      <c r="FH343" s="53">
        <v>379.8</v>
      </c>
      <c r="FI343" s="53">
        <v>781.2</v>
      </c>
      <c r="FJ343" s="53"/>
      <c r="FK343" s="53">
        <v>405.8</v>
      </c>
      <c r="FL343" s="53"/>
      <c r="FM343" s="53">
        <v>144.6</v>
      </c>
      <c r="FN343" s="53">
        <v>239.8</v>
      </c>
      <c r="FO343" s="55"/>
      <c r="FP343" s="55"/>
      <c r="FQ343" s="53">
        <v>1014.7817499999999</v>
      </c>
      <c r="FR343" s="53">
        <v>3482.7</v>
      </c>
      <c r="FS343" s="55"/>
      <c r="FT343" s="55"/>
      <c r="FU343" s="53"/>
      <c r="FV343" s="53"/>
      <c r="FW343" s="53">
        <v>333</v>
      </c>
      <c r="FX343" s="53">
        <v>156.1</v>
      </c>
      <c r="FY343" s="53">
        <v>185.3</v>
      </c>
      <c r="FZ343" s="53"/>
      <c r="GA343" s="53">
        <v>135.5</v>
      </c>
      <c r="GB343" s="53"/>
      <c r="GC343" s="53" t="s">
        <v>265</v>
      </c>
      <c r="GD343" s="53" t="s">
        <v>265</v>
      </c>
      <c r="GE343" s="55"/>
      <c r="GF343" s="55"/>
      <c r="GG343" s="53">
        <v>461.17</v>
      </c>
      <c r="GH343" s="53">
        <v>1383.4</v>
      </c>
      <c r="GI343" s="55"/>
      <c r="GJ343" s="55"/>
      <c r="GK343" s="53"/>
      <c r="GL343" s="53"/>
      <c r="GM343" s="53">
        <v>45.5</v>
      </c>
      <c r="GN343" s="53">
        <v>81.099999999999994</v>
      </c>
      <c r="GO343" s="53">
        <v>59.9</v>
      </c>
      <c r="GP343" s="53"/>
      <c r="GQ343" s="53">
        <v>27.1</v>
      </c>
      <c r="GR343" s="53"/>
      <c r="GS343" s="53" t="s">
        <v>265</v>
      </c>
      <c r="GT343" s="53" t="s">
        <v>265</v>
      </c>
      <c r="GU343" s="55"/>
      <c r="GV343" s="55"/>
      <c r="GW343" s="53">
        <v>102.788</v>
      </c>
      <c r="GX343" s="53">
        <v>331.3</v>
      </c>
      <c r="GY343" s="19">
        <v>0.99224806201550386</v>
      </c>
      <c r="GZ343" s="53">
        <v>1280</v>
      </c>
      <c r="HA343" s="53">
        <v>1290</v>
      </c>
      <c r="HB343" s="18">
        <v>-266.33337917220024</v>
      </c>
      <c r="HC343" s="18">
        <v>-2.6919226598006389</v>
      </c>
      <c r="HD343" s="18">
        <v>1310.7666208277997</v>
      </c>
      <c r="HE343" s="18">
        <v>248.5</v>
      </c>
      <c r="HF343" s="53">
        <v>1577.1</v>
      </c>
      <c r="HG343" s="53">
        <v>1294.2</v>
      </c>
      <c r="HH343" s="53">
        <v>390.2</v>
      </c>
      <c r="HI343" s="53">
        <v>62.4</v>
      </c>
      <c r="HJ343" s="53">
        <v>833.2</v>
      </c>
      <c r="HK343" s="12">
        <v>6.798</v>
      </c>
      <c r="HL343" s="53">
        <v>283</v>
      </c>
      <c r="HM343" s="53">
        <v>247.5</v>
      </c>
      <c r="HN343" s="53">
        <v>103.4</v>
      </c>
      <c r="HO343" s="53">
        <v>144</v>
      </c>
      <c r="HP343" s="55"/>
      <c r="HQ343" s="53">
        <v>2.4</v>
      </c>
      <c r="HR343" s="53">
        <v>10.7</v>
      </c>
      <c r="HS343" s="55"/>
      <c r="HT343" s="53">
        <v>22.4</v>
      </c>
      <c r="HU343" s="55"/>
      <c r="HV343" s="55"/>
      <c r="HW343" s="53">
        <v>305.2</v>
      </c>
      <c r="HX343" s="53" t="s">
        <v>266</v>
      </c>
      <c r="HY343" s="53">
        <v>305.2</v>
      </c>
      <c r="HZ343" s="53">
        <v>68.3</v>
      </c>
      <c r="IA343" s="53">
        <v>174.8</v>
      </c>
      <c r="IB343" s="53">
        <v>50.6</v>
      </c>
      <c r="IC343" s="53">
        <v>124.2</v>
      </c>
      <c r="ID343" s="53">
        <v>75.5</v>
      </c>
      <c r="IE343" s="53">
        <v>48.7</v>
      </c>
      <c r="IF343" s="55"/>
      <c r="IG343" s="55"/>
      <c r="IH343" s="53">
        <v>23.5</v>
      </c>
      <c r="II343" s="53">
        <v>5</v>
      </c>
      <c r="IJ343" s="53">
        <v>4</v>
      </c>
      <c r="IK343" s="53">
        <v>14.4</v>
      </c>
      <c r="IL343" s="53">
        <v>38.700000000000003</v>
      </c>
      <c r="IM343" s="55"/>
      <c r="IN343" s="53">
        <v>70</v>
      </c>
      <c r="IO343" s="53">
        <v>70.2</v>
      </c>
      <c r="IP343" s="53" t="s">
        <v>265</v>
      </c>
      <c r="IQ343" s="53">
        <v>65.2</v>
      </c>
      <c r="IR343" s="18">
        <v>12.839</v>
      </c>
      <c r="IS343" s="55"/>
      <c r="IT343" s="53">
        <v>51</v>
      </c>
      <c r="IU343" s="18">
        <v>1.1419999999999999</v>
      </c>
      <c r="IV343" s="53" t="s">
        <v>265</v>
      </c>
      <c r="IW343" s="53" t="s">
        <v>266</v>
      </c>
      <c r="IX343" s="53" t="s">
        <v>265</v>
      </c>
      <c r="IY343" s="48">
        <f t="shared" si="17"/>
        <v>47.419288785748414</v>
      </c>
      <c r="IZ343" s="48">
        <f>IY343-'NOPA Crush'!J343</f>
        <v>7.9288785748410362E-2</v>
      </c>
      <c r="JB343" s="63">
        <f t="shared" si="15"/>
        <v>11.519350215002389</v>
      </c>
      <c r="JC343" s="64">
        <f>JB343-'NOPA Crush'!O343</f>
        <v>-6.0649784997611533E-2</v>
      </c>
      <c r="JD343" s="65"/>
      <c r="JE343" s="67">
        <f t="shared" si="16"/>
        <v>3278.3</v>
      </c>
      <c r="JF343" s="68">
        <f>'NOPA Crush'!Q343/'Census Crush'!JE343</f>
        <v>0.82891468138974467</v>
      </c>
    </row>
    <row r="344" spans="1:266">
      <c r="A344" s="39">
        <v>39508</v>
      </c>
      <c r="B344" s="51">
        <v>4678.7</v>
      </c>
      <c r="C344" s="51">
        <v>3132.9</v>
      </c>
      <c r="D344" s="51">
        <v>236.3</v>
      </c>
      <c r="E344" s="51">
        <v>1539</v>
      </c>
      <c r="F344" s="51">
        <v>17.7</v>
      </c>
      <c r="G344" s="51" t="s">
        <v>264</v>
      </c>
      <c r="H344" s="51" t="s">
        <v>264</v>
      </c>
      <c r="I344" s="51" t="s">
        <v>264</v>
      </c>
      <c r="J344" s="51" t="s">
        <v>264</v>
      </c>
      <c r="K344" s="51">
        <v>1827.8</v>
      </c>
      <c r="L344" s="51">
        <v>3083.5</v>
      </c>
      <c r="M344" s="51">
        <v>2720.5</v>
      </c>
      <c r="N344" s="51">
        <v>362.9</v>
      </c>
      <c r="O344" s="53">
        <v>77.099999999999994</v>
      </c>
      <c r="P344" s="51">
        <v>140.1</v>
      </c>
      <c r="Q344" s="51">
        <v>15.8</v>
      </c>
      <c r="R344" s="51">
        <v>124.2</v>
      </c>
      <c r="S344" s="51"/>
      <c r="T344" s="51">
        <v>14.3</v>
      </c>
      <c r="U344" s="51">
        <v>40.5</v>
      </c>
      <c r="V344" s="51">
        <v>35.799999999999997</v>
      </c>
      <c r="W344" s="51">
        <v>4.7</v>
      </c>
      <c r="X344" s="51" t="s">
        <v>264</v>
      </c>
      <c r="Y344" s="51" t="s">
        <v>265</v>
      </c>
      <c r="Z344" s="51">
        <v>114.8</v>
      </c>
      <c r="AA344" s="51" t="s">
        <v>265</v>
      </c>
      <c r="AB344" s="51" t="s">
        <v>265</v>
      </c>
      <c r="AC344" s="51" t="s">
        <v>264</v>
      </c>
      <c r="AD344" s="51">
        <v>129.4</v>
      </c>
      <c r="AE344" s="51">
        <v>133.69999999999999</v>
      </c>
      <c r="AF344" s="51">
        <v>132.30000000000001</v>
      </c>
      <c r="AG344" s="51">
        <v>84.7</v>
      </c>
      <c r="AH344" s="51">
        <v>47.5</v>
      </c>
      <c r="AI344" s="51">
        <v>222.5</v>
      </c>
      <c r="AJ344" s="15">
        <v>219.64699999999999</v>
      </c>
      <c r="AK344" s="15">
        <v>2.859</v>
      </c>
      <c r="AL344" s="51">
        <v>161.5</v>
      </c>
      <c r="AM344" s="51">
        <v>108.3</v>
      </c>
      <c r="AN344" s="51">
        <v>53.2</v>
      </c>
      <c r="AO344" s="51">
        <v>3428.2</v>
      </c>
      <c r="AP344" s="51">
        <v>359.7</v>
      </c>
      <c r="AQ344" s="51">
        <v>272.89999999999998</v>
      </c>
      <c r="AR344" s="51">
        <v>35.799999999999997</v>
      </c>
      <c r="AS344" s="51">
        <v>116.3</v>
      </c>
      <c r="AT344" s="51">
        <v>23</v>
      </c>
      <c r="AU344" s="51">
        <v>76.7</v>
      </c>
      <c r="AV344" s="51">
        <v>45.3</v>
      </c>
      <c r="AW344" s="51">
        <v>9.6</v>
      </c>
      <c r="AX344" s="51" t="s">
        <v>264</v>
      </c>
      <c r="AY344" s="51" t="s">
        <v>264</v>
      </c>
      <c r="AZ344" s="51" t="s">
        <v>264</v>
      </c>
      <c r="BA344" s="51" t="s">
        <v>264</v>
      </c>
      <c r="BB344" s="51" t="s">
        <v>264</v>
      </c>
      <c r="BC344" s="55"/>
      <c r="BD344" s="53">
        <v>158.4</v>
      </c>
      <c r="BE344" s="53">
        <v>31.8</v>
      </c>
      <c r="BF344" s="53">
        <v>75.599999999999994</v>
      </c>
      <c r="BG344" s="53">
        <v>8.4</v>
      </c>
      <c r="BH344" s="53">
        <v>308.5</v>
      </c>
      <c r="BI344" s="53">
        <v>142.4</v>
      </c>
      <c r="BJ344" s="53">
        <v>89.6</v>
      </c>
      <c r="BK344" s="53">
        <v>232</v>
      </c>
      <c r="BL344" s="55"/>
      <c r="BM344" s="53">
        <v>540.5</v>
      </c>
      <c r="BN344" s="53">
        <v>260.10000000000002</v>
      </c>
      <c r="BO344" s="53">
        <v>86.7</v>
      </c>
      <c r="BP344" s="53">
        <v>28.3</v>
      </c>
      <c r="BQ344" s="53">
        <v>115</v>
      </c>
      <c r="BR344" s="55"/>
      <c r="BS344" s="53">
        <v>375.1</v>
      </c>
      <c r="BT344" s="53">
        <v>50.6</v>
      </c>
      <c r="BU344" s="53">
        <v>22.7</v>
      </c>
      <c r="BV344" s="51" t="s">
        <v>264</v>
      </c>
      <c r="BW344" s="51" t="s">
        <v>264</v>
      </c>
      <c r="BX344" s="51">
        <v>429</v>
      </c>
      <c r="BY344" s="51" t="s">
        <v>264</v>
      </c>
      <c r="BZ344" s="51" t="s">
        <v>264</v>
      </c>
      <c r="CA344" s="51">
        <v>68.900000000000006</v>
      </c>
      <c r="CB344" s="53">
        <v>117.3</v>
      </c>
      <c r="CC344" s="53">
        <v>20.6</v>
      </c>
      <c r="CD344" s="53">
        <v>132.1</v>
      </c>
      <c r="CE344" s="53">
        <v>17.399999999999999</v>
      </c>
      <c r="CF344" s="53">
        <v>115.6</v>
      </c>
      <c r="CG344" s="53">
        <v>156.19999999999999</v>
      </c>
      <c r="CH344" s="53">
        <v>6.7530000000000001</v>
      </c>
      <c r="CI344" s="53">
        <v>36.9</v>
      </c>
      <c r="CJ344" s="53">
        <v>8.6</v>
      </c>
      <c r="CK344" s="53">
        <v>148.69999999999999</v>
      </c>
      <c r="CL344" s="53">
        <v>26.2</v>
      </c>
      <c r="CM344" s="55"/>
      <c r="CN344" s="53">
        <v>44.9</v>
      </c>
      <c r="CO344" s="53">
        <v>186.8</v>
      </c>
      <c r="CP344" s="53">
        <v>145.4</v>
      </c>
      <c r="CQ344" s="53">
        <v>41.3</v>
      </c>
      <c r="CR344" s="53" t="s">
        <v>264</v>
      </c>
      <c r="CS344" s="53">
        <v>27.17</v>
      </c>
      <c r="CT344" s="53">
        <v>12.157</v>
      </c>
      <c r="CU344" s="53">
        <v>15</v>
      </c>
      <c r="CV344" s="53">
        <v>226.2</v>
      </c>
      <c r="CW344" s="53" t="s">
        <v>265</v>
      </c>
      <c r="CX344" s="53" t="s">
        <v>265</v>
      </c>
      <c r="CY344" s="53" t="s">
        <v>265</v>
      </c>
      <c r="CZ344" s="53">
        <v>94.1</v>
      </c>
      <c r="DA344" s="53">
        <v>21.3</v>
      </c>
      <c r="DB344" s="53" t="s">
        <v>265</v>
      </c>
      <c r="DC344" s="53" t="s">
        <v>265</v>
      </c>
      <c r="DD344" s="55"/>
      <c r="DE344" s="55"/>
      <c r="DF344" s="55"/>
      <c r="DG344" s="55"/>
      <c r="DH344" s="55"/>
      <c r="DI344" s="53">
        <v>713.4</v>
      </c>
      <c r="DJ344" s="53">
        <v>529.4</v>
      </c>
      <c r="DK344" s="53">
        <v>1040.0999999999999</v>
      </c>
      <c r="DL344" s="55"/>
      <c r="DM344" s="53">
        <v>544</v>
      </c>
      <c r="DN344" s="55"/>
      <c r="DO344" s="53">
        <v>192.8</v>
      </c>
      <c r="DP344" s="53">
        <v>316.2</v>
      </c>
      <c r="DQ344" s="55"/>
      <c r="DR344" s="55"/>
      <c r="DS344" s="53">
        <v>1342.7853999999995</v>
      </c>
      <c r="DT344" s="53">
        <v>4678.7</v>
      </c>
      <c r="DU344" s="53">
        <v>-1.4600000000427826E-2</v>
      </c>
      <c r="DV344" s="53">
        <v>0</v>
      </c>
      <c r="DW344" s="55"/>
      <c r="DX344" s="55"/>
      <c r="DY344" s="53"/>
      <c r="DZ344" s="53"/>
      <c r="EA344" s="53" t="s">
        <v>265</v>
      </c>
      <c r="EB344" s="53">
        <v>485.3</v>
      </c>
      <c r="EC344" s="53">
        <v>548.6</v>
      </c>
      <c r="ED344" s="53"/>
      <c r="EE344" s="53">
        <v>236.7</v>
      </c>
      <c r="EF344" s="53"/>
      <c r="EG344" s="53" t="s">
        <v>265</v>
      </c>
      <c r="EH344" s="53" t="s">
        <v>265</v>
      </c>
      <c r="EI344" s="55"/>
      <c r="EJ344" s="55"/>
      <c r="EK344" s="53">
        <v>945.4380000000001</v>
      </c>
      <c r="EL344" s="53">
        <v>3132.9</v>
      </c>
      <c r="EM344" s="55"/>
      <c r="EN344" s="55"/>
      <c r="EO344" s="53"/>
      <c r="EP344" s="53"/>
      <c r="EQ344" s="53">
        <v>275.10000000000002</v>
      </c>
      <c r="ER344" s="53">
        <v>204.2</v>
      </c>
      <c r="ES344" s="53">
        <v>400.7</v>
      </c>
      <c r="ET344" s="53"/>
      <c r="EU344" s="53">
        <v>220.2</v>
      </c>
      <c r="EV344" s="53"/>
      <c r="EW344" s="53">
        <v>73</v>
      </c>
      <c r="EX344" s="53">
        <v>120.3</v>
      </c>
      <c r="EY344" s="55"/>
      <c r="EZ344" s="55"/>
      <c r="FA344" s="53">
        <v>534.23790000000008</v>
      </c>
      <c r="FB344" s="53">
        <v>1827.8</v>
      </c>
      <c r="FC344" s="55"/>
      <c r="FD344" s="55"/>
      <c r="FE344" s="53"/>
      <c r="FF344" s="53"/>
      <c r="FG344" s="53">
        <v>566.29999999999995</v>
      </c>
      <c r="FH344" s="53">
        <v>418.2</v>
      </c>
      <c r="FI344" s="53">
        <v>814.8</v>
      </c>
      <c r="FJ344" s="53"/>
      <c r="FK344" s="53">
        <v>433.6</v>
      </c>
      <c r="FL344" s="53"/>
      <c r="FM344" s="53">
        <v>153.6</v>
      </c>
      <c r="FN344" s="53">
        <v>252.3</v>
      </c>
      <c r="FO344" s="55"/>
      <c r="FP344" s="55"/>
      <c r="FQ344" s="53">
        <v>1071.3045000000002</v>
      </c>
      <c r="FR344" s="53">
        <v>3710.2</v>
      </c>
      <c r="FS344" s="55"/>
      <c r="FT344" s="55"/>
      <c r="FU344" s="53"/>
      <c r="FV344" s="53"/>
      <c r="FW344" s="53">
        <v>301.10000000000002</v>
      </c>
      <c r="FX344" s="53">
        <v>146.69999999999999</v>
      </c>
      <c r="FY344" s="53">
        <v>159.6</v>
      </c>
      <c r="FZ344" s="53"/>
      <c r="GA344" s="53">
        <v>141.80000000000001</v>
      </c>
      <c r="GB344" s="53"/>
      <c r="GC344" s="53" t="s">
        <v>265</v>
      </c>
      <c r="GD344" s="53" t="s">
        <v>265</v>
      </c>
      <c r="GE344" s="55"/>
      <c r="GF344" s="55"/>
      <c r="GG344" s="53">
        <v>424.37299999999993</v>
      </c>
      <c r="GH344" s="53">
        <v>1293.3</v>
      </c>
      <c r="GI344" s="55"/>
      <c r="GJ344" s="55"/>
      <c r="GK344" s="53"/>
      <c r="GL344" s="53"/>
      <c r="GM344" s="53">
        <v>62.1</v>
      </c>
      <c r="GN344" s="53">
        <v>66</v>
      </c>
      <c r="GO344" s="53">
        <v>61.9</v>
      </c>
      <c r="GP344" s="53"/>
      <c r="GQ344" s="53">
        <v>38.9</v>
      </c>
      <c r="GR344" s="53"/>
      <c r="GS344" s="53" t="s">
        <v>265</v>
      </c>
      <c r="GT344" s="53" t="s">
        <v>265</v>
      </c>
      <c r="GU344" s="55"/>
      <c r="GV344" s="55"/>
      <c r="GW344" s="53">
        <v>141.63999999999999</v>
      </c>
      <c r="GX344" s="53">
        <v>395.4</v>
      </c>
      <c r="GY344" s="19">
        <v>0.99352112676056337</v>
      </c>
      <c r="GZ344" s="53">
        <v>1410.8</v>
      </c>
      <c r="HA344" s="53">
        <v>1420</v>
      </c>
      <c r="HB344" s="18">
        <v>-51.390182885799732</v>
      </c>
      <c r="HC344" s="18">
        <v>29.670917944000394</v>
      </c>
      <c r="HD344" s="18">
        <v>1643.1098171142003</v>
      </c>
      <c r="HE344" s="18">
        <v>98.099999999999909</v>
      </c>
      <c r="HF344" s="53">
        <v>1694.5</v>
      </c>
      <c r="HG344" s="53">
        <v>1396</v>
      </c>
      <c r="HH344" s="53">
        <v>409.7</v>
      </c>
      <c r="HI344" s="53" t="s">
        <v>265</v>
      </c>
      <c r="HJ344" s="53">
        <v>913</v>
      </c>
      <c r="HK344" s="53" t="s">
        <v>265</v>
      </c>
      <c r="HL344" s="53">
        <v>298.5</v>
      </c>
      <c r="HM344" s="53">
        <v>259.5</v>
      </c>
      <c r="HN344" s="53">
        <v>115</v>
      </c>
      <c r="HO344" s="53">
        <v>144.6</v>
      </c>
      <c r="HP344" s="55"/>
      <c r="HQ344" s="53">
        <v>2.4</v>
      </c>
      <c r="HR344" s="53">
        <v>10.9</v>
      </c>
      <c r="HS344" s="55"/>
      <c r="HT344" s="53">
        <v>25.7</v>
      </c>
      <c r="HU344" s="55"/>
      <c r="HV344" s="55"/>
      <c r="HW344" s="53">
        <v>310.60000000000002</v>
      </c>
      <c r="HX344" s="53" t="s">
        <v>266</v>
      </c>
      <c r="HY344" s="53">
        <v>310.60000000000002</v>
      </c>
      <c r="HZ344" s="53">
        <v>60</v>
      </c>
      <c r="IA344" s="53">
        <v>183.3</v>
      </c>
      <c r="IB344" s="53">
        <v>52</v>
      </c>
      <c r="IC344" s="53">
        <v>131.30000000000001</v>
      </c>
      <c r="ID344" s="53">
        <v>82.7</v>
      </c>
      <c r="IE344" s="53">
        <v>48.6</v>
      </c>
      <c r="IF344" s="55"/>
      <c r="IG344" s="55"/>
      <c r="IH344" s="53">
        <v>30.4</v>
      </c>
      <c r="II344" s="53">
        <v>5.3</v>
      </c>
      <c r="IJ344" s="53">
        <v>8</v>
      </c>
      <c r="IK344" s="53">
        <v>17</v>
      </c>
      <c r="IL344" s="53">
        <v>36.9</v>
      </c>
      <c r="IM344" s="55"/>
      <c r="IN344" s="53">
        <v>67.8</v>
      </c>
      <c r="IO344" s="53">
        <v>68</v>
      </c>
      <c r="IP344" s="53" t="s">
        <v>265</v>
      </c>
      <c r="IQ344" s="53">
        <v>63.9</v>
      </c>
      <c r="IR344" s="18">
        <v>10.128</v>
      </c>
      <c r="IS344" s="55"/>
      <c r="IT344" s="53">
        <v>52.1</v>
      </c>
      <c r="IU344" s="18">
        <v>1.17</v>
      </c>
      <c r="IV344" s="53" t="s">
        <v>265</v>
      </c>
      <c r="IW344" s="53" t="s">
        <v>266</v>
      </c>
      <c r="IX344" s="53" t="s">
        <v>265</v>
      </c>
      <c r="IY344" s="48">
        <f t="shared" si="17"/>
        <v>47.46318421783829</v>
      </c>
      <c r="IZ344" s="48">
        <f>IY344-'NOPA Crush'!J344</f>
        <v>7.3184217838289101E-2</v>
      </c>
      <c r="JB344" s="63">
        <f t="shared" si="15"/>
        <v>11.719922200611283</v>
      </c>
      <c r="JC344" s="64">
        <f>JB344-'NOPA Crush'!O344</f>
        <v>6.9922200611282292E-2</v>
      </c>
      <c r="JD344" s="65"/>
      <c r="JE344" s="67">
        <f t="shared" si="16"/>
        <v>3083.5</v>
      </c>
      <c r="JF344" s="68">
        <f>'NOPA Crush'!Q344/'Census Crush'!JE344</f>
        <v>0.82025847251499917</v>
      </c>
    </row>
    <row r="345" spans="1:266">
      <c r="A345" s="39">
        <v>39539</v>
      </c>
      <c r="B345" s="51">
        <v>4423.5</v>
      </c>
      <c r="C345" s="51">
        <v>3023.2</v>
      </c>
      <c r="D345" s="51">
        <v>245.2</v>
      </c>
      <c r="E345" s="51">
        <v>1306.9000000000001</v>
      </c>
      <c r="F345" s="9">
        <v>17.66</v>
      </c>
      <c r="G345" s="51" t="s">
        <v>264</v>
      </c>
      <c r="H345" s="51" t="s">
        <v>264</v>
      </c>
      <c r="I345" s="51" t="s">
        <v>264</v>
      </c>
      <c r="J345" s="51" t="s">
        <v>264</v>
      </c>
      <c r="K345" s="51">
        <v>1707</v>
      </c>
      <c r="L345" s="51">
        <v>2925.8</v>
      </c>
      <c r="M345" s="51">
        <v>2581.1</v>
      </c>
      <c r="N345" s="51">
        <v>344.7</v>
      </c>
      <c r="O345" s="53">
        <v>77.099999999999994</v>
      </c>
      <c r="P345" s="51">
        <v>153</v>
      </c>
      <c r="Q345" s="51">
        <v>19.5</v>
      </c>
      <c r="R345" s="51">
        <v>133.5</v>
      </c>
      <c r="S345" s="51"/>
      <c r="T345" s="51">
        <v>14.2</v>
      </c>
      <c r="U345" s="51">
        <v>36.299999999999997</v>
      </c>
      <c r="V345" s="51">
        <v>31.7</v>
      </c>
      <c r="W345" s="51">
        <v>4.7</v>
      </c>
      <c r="X345" s="51" t="s">
        <v>264</v>
      </c>
      <c r="Y345" s="51" t="s">
        <v>265</v>
      </c>
      <c r="Z345" s="51">
        <v>91.1</v>
      </c>
      <c r="AA345" s="51" t="s">
        <v>265</v>
      </c>
      <c r="AB345" s="51" t="s">
        <v>265</v>
      </c>
      <c r="AC345" s="51" t="s">
        <v>264</v>
      </c>
      <c r="AD345" s="51" t="s">
        <v>265</v>
      </c>
      <c r="AE345" s="51" t="s">
        <v>265</v>
      </c>
      <c r="AF345" s="51">
        <v>142.9</v>
      </c>
      <c r="AG345" s="51">
        <v>100.9</v>
      </c>
      <c r="AH345" s="51">
        <v>42</v>
      </c>
      <c r="AI345" s="51">
        <v>190.7</v>
      </c>
      <c r="AJ345" s="15">
        <v>187.89500000000001</v>
      </c>
      <c r="AK345" s="15">
        <v>2.78</v>
      </c>
      <c r="AL345" s="51">
        <v>168.8</v>
      </c>
      <c r="AM345" s="51">
        <v>118.7</v>
      </c>
      <c r="AN345" s="51">
        <v>50.1</v>
      </c>
      <c r="AO345" s="51">
        <v>3245.8</v>
      </c>
      <c r="AP345" s="51">
        <v>304.60000000000002</v>
      </c>
      <c r="AQ345" s="51">
        <v>254.8</v>
      </c>
      <c r="AR345" s="51">
        <v>35.4</v>
      </c>
      <c r="AS345" s="51">
        <v>110.4</v>
      </c>
      <c r="AT345" s="51">
        <v>24.4</v>
      </c>
      <c r="AU345" s="51">
        <v>73.400000000000006</v>
      </c>
      <c r="AV345" s="51">
        <v>48</v>
      </c>
      <c r="AW345" s="51">
        <v>9.3000000000000007</v>
      </c>
      <c r="AX345" s="51">
        <v>3.4</v>
      </c>
      <c r="AY345" s="51" t="s">
        <v>264</v>
      </c>
      <c r="AZ345" s="51" t="s">
        <v>264</v>
      </c>
      <c r="BA345" s="51" t="s">
        <v>264</v>
      </c>
      <c r="BB345" s="51" t="s">
        <v>264</v>
      </c>
      <c r="BC345" s="55"/>
      <c r="BD345" s="53">
        <v>162</v>
      </c>
      <c r="BE345" s="53">
        <v>31.7</v>
      </c>
      <c r="BF345" s="53">
        <v>79.400000000000006</v>
      </c>
      <c r="BG345" s="53">
        <v>10.1</v>
      </c>
      <c r="BH345" s="53">
        <v>311.89999999999998</v>
      </c>
      <c r="BI345" s="53">
        <v>143.80000000000001</v>
      </c>
      <c r="BJ345" s="53">
        <v>80.900000000000006</v>
      </c>
      <c r="BK345" s="53">
        <v>224.6</v>
      </c>
      <c r="BL345" s="55"/>
      <c r="BM345" s="53">
        <v>536.5</v>
      </c>
      <c r="BN345" s="53">
        <v>257.2</v>
      </c>
      <c r="BO345" s="53">
        <v>100.9</v>
      </c>
      <c r="BP345" s="53">
        <v>25.6</v>
      </c>
      <c r="BQ345" s="53">
        <v>126.5</v>
      </c>
      <c r="BR345" s="55"/>
      <c r="BS345" s="53">
        <v>383.7</v>
      </c>
      <c r="BT345" s="53">
        <v>48.5</v>
      </c>
      <c r="BU345" s="53">
        <v>22.8</v>
      </c>
      <c r="BV345" s="51" t="s">
        <v>264</v>
      </c>
      <c r="BW345" s="51" t="s">
        <v>264</v>
      </c>
      <c r="BX345" s="51">
        <v>437.6</v>
      </c>
      <c r="BY345" s="51" t="s">
        <v>264</v>
      </c>
      <c r="BZ345" s="51" t="s">
        <v>264</v>
      </c>
      <c r="CA345" s="51">
        <v>66.099999999999994</v>
      </c>
      <c r="CB345" s="53">
        <v>134.4</v>
      </c>
      <c r="CC345" s="53">
        <v>25.6</v>
      </c>
      <c r="CD345" s="53">
        <v>140.69999999999999</v>
      </c>
      <c r="CE345" s="53">
        <v>25.3</v>
      </c>
      <c r="CF345" s="53">
        <v>116.9</v>
      </c>
      <c r="CG345" s="53">
        <v>187.6</v>
      </c>
      <c r="CH345" s="53">
        <v>7.2839999999999998</v>
      </c>
      <c r="CI345" s="53">
        <v>40.700000000000003</v>
      </c>
      <c r="CJ345" s="53">
        <v>8.9</v>
      </c>
      <c r="CK345" s="53">
        <v>169.8</v>
      </c>
      <c r="CL345" s="53">
        <v>29</v>
      </c>
      <c r="CM345" s="55"/>
      <c r="CN345" s="53">
        <v>55.1</v>
      </c>
      <c r="CO345" s="53">
        <v>223.9</v>
      </c>
      <c r="CP345" s="53">
        <v>174.3</v>
      </c>
      <c r="CQ345" s="53">
        <v>49.6</v>
      </c>
      <c r="CR345" s="53" t="s">
        <v>264</v>
      </c>
      <c r="CS345" s="53">
        <v>35.384</v>
      </c>
      <c r="CT345" s="53">
        <v>20.47</v>
      </c>
      <c r="CU345" s="53">
        <v>14.914</v>
      </c>
      <c r="CV345" s="53">
        <v>233.1</v>
      </c>
      <c r="CW345" s="53" t="s">
        <v>265</v>
      </c>
      <c r="CX345" s="53" t="s">
        <v>265</v>
      </c>
      <c r="CY345" s="53" t="s">
        <v>265</v>
      </c>
      <c r="CZ345" s="53">
        <v>99.5</v>
      </c>
      <c r="DA345" s="53">
        <v>19</v>
      </c>
      <c r="DB345" s="53" t="s">
        <v>265</v>
      </c>
      <c r="DC345" s="53" t="s">
        <v>265</v>
      </c>
      <c r="DD345" s="55"/>
      <c r="DE345" s="55"/>
      <c r="DF345" s="55"/>
      <c r="DG345" s="55"/>
      <c r="DH345" s="55"/>
      <c r="DI345" s="53">
        <v>625.5</v>
      </c>
      <c r="DJ345" s="53">
        <v>482.7</v>
      </c>
      <c r="DK345" s="53">
        <v>1020.7</v>
      </c>
      <c r="DL345" s="55"/>
      <c r="DM345" s="53">
        <v>524.29999999999995</v>
      </c>
      <c r="DN345" s="55"/>
      <c r="DO345" s="53">
        <v>182.7</v>
      </c>
      <c r="DP345" s="53">
        <v>314.3</v>
      </c>
      <c r="DQ345" s="55"/>
      <c r="DR345" s="55"/>
      <c r="DS345" s="53">
        <v>1273.3549199999998</v>
      </c>
      <c r="DT345" s="53">
        <v>4423.5</v>
      </c>
      <c r="DU345" s="53">
        <v>5.4919999999583524E-2</v>
      </c>
      <c r="DV345" s="53">
        <v>0</v>
      </c>
      <c r="DW345" s="55"/>
      <c r="DX345" s="55"/>
      <c r="DY345" s="53"/>
      <c r="DZ345" s="53"/>
      <c r="EA345" s="53">
        <v>497.4</v>
      </c>
      <c r="EB345" s="53">
        <v>378.9</v>
      </c>
      <c r="EC345" s="53">
        <v>524.29999999999995</v>
      </c>
      <c r="ED345" s="53"/>
      <c r="EE345" s="53">
        <v>254.4</v>
      </c>
      <c r="EF345" s="53"/>
      <c r="EG345" s="53">
        <v>131.9</v>
      </c>
      <c r="EH345" s="53">
        <v>261.89999999999998</v>
      </c>
      <c r="EI345" s="55"/>
      <c r="EJ345" s="55"/>
      <c r="EK345" s="53">
        <v>974.23500000000001</v>
      </c>
      <c r="EL345" s="53">
        <v>3023.2</v>
      </c>
      <c r="EM345" s="55"/>
      <c r="EN345" s="55"/>
      <c r="EO345" s="53"/>
      <c r="EP345" s="53"/>
      <c r="EQ345" s="53">
        <v>242.3</v>
      </c>
      <c r="ER345" s="53">
        <v>185.8</v>
      </c>
      <c r="ES345" s="53">
        <v>393.1</v>
      </c>
      <c r="ET345" s="53"/>
      <c r="EU345" s="53">
        <v>210.3</v>
      </c>
      <c r="EV345" s="53"/>
      <c r="EW345" s="53">
        <v>68.599999999999994</v>
      </c>
      <c r="EX345" s="53">
        <v>119</v>
      </c>
      <c r="EY345" s="55"/>
      <c r="EZ345" s="55"/>
      <c r="FA345" s="53">
        <v>487.90176000000008</v>
      </c>
      <c r="FB345" s="53">
        <v>1707</v>
      </c>
      <c r="FC345" s="55"/>
      <c r="FD345" s="55"/>
      <c r="FE345" s="53"/>
      <c r="FF345" s="53"/>
      <c r="FG345" s="53">
        <v>497.2</v>
      </c>
      <c r="FH345" s="53">
        <v>383.3</v>
      </c>
      <c r="FI345" s="53">
        <v>806.3</v>
      </c>
      <c r="FJ345" s="53"/>
      <c r="FK345" s="53">
        <v>414.8</v>
      </c>
      <c r="FL345" s="53"/>
      <c r="FM345" s="53">
        <v>145.9</v>
      </c>
      <c r="FN345" s="53">
        <v>251.4</v>
      </c>
      <c r="FO345" s="55"/>
      <c r="FP345" s="55"/>
      <c r="FQ345" s="53">
        <v>1009.1345599999993</v>
      </c>
      <c r="FR345" s="53">
        <v>3508.1</v>
      </c>
      <c r="FS345" s="55"/>
      <c r="FT345" s="55"/>
      <c r="FU345" s="53"/>
      <c r="FV345" s="53"/>
      <c r="FW345" s="53">
        <v>248</v>
      </c>
      <c r="FX345" s="53">
        <v>124.6</v>
      </c>
      <c r="FY345" s="53">
        <v>165.8</v>
      </c>
      <c r="FZ345" s="53"/>
      <c r="GA345" s="53">
        <v>125.3</v>
      </c>
      <c r="GB345" s="53"/>
      <c r="GC345" s="53" t="s">
        <v>265</v>
      </c>
      <c r="GD345" s="53" t="s">
        <v>265</v>
      </c>
      <c r="GE345" s="55"/>
      <c r="GF345" s="55"/>
      <c r="GG345" s="53">
        <v>441.70099999999996</v>
      </c>
      <c r="GH345" s="53">
        <v>1227.9000000000001</v>
      </c>
      <c r="GI345" s="55"/>
      <c r="GJ345" s="55"/>
      <c r="GK345" s="53"/>
      <c r="GL345" s="53"/>
      <c r="GM345" s="53">
        <v>67.3</v>
      </c>
      <c r="GN345" s="53">
        <v>60.2</v>
      </c>
      <c r="GO345" s="53">
        <v>57</v>
      </c>
      <c r="GP345" s="53"/>
      <c r="GQ345" s="53">
        <v>42</v>
      </c>
      <c r="GR345" s="53"/>
      <c r="GS345" s="53">
        <v>9.6</v>
      </c>
      <c r="GT345" s="53">
        <v>9.1</v>
      </c>
      <c r="GU345" s="55"/>
      <c r="GV345" s="55"/>
      <c r="GW345" s="53">
        <v>94.748000000000047</v>
      </c>
      <c r="GX345" s="53">
        <v>339.9</v>
      </c>
      <c r="GY345" s="19">
        <v>0.99107077508599861</v>
      </c>
      <c r="GZ345" s="53">
        <v>1354.1</v>
      </c>
      <c r="HA345" s="53">
        <v>1366.3</v>
      </c>
      <c r="HB345" s="18">
        <v>-203.29103240100062</v>
      </c>
      <c r="HC345" s="18">
        <v>-138.53249421320015</v>
      </c>
      <c r="HD345" s="18">
        <v>1444.5089675989993</v>
      </c>
      <c r="HE345" s="18">
        <v>90.200000000000045</v>
      </c>
      <c r="HF345" s="53">
        <v>1647.8</v>
      </c>
      <c r="HG345" s="53">
        <v>1347</v>
      </c>
      <c r="HH345" s="53">
        <v>385.2</v>
      </c>
      <c r="HI345" s="53" t="s">
        <v>265</v>
      </c>
      <c r="HJ345" s="53">
        <v>880.6</v>
      </c>
      <c r="HK345" s="53" t="s">
        <v>265</v>
      </c>
      <c r="HL345" s="53">
        <v>300.8</v>
      </c>
      <c r="HM345" s="53">
        <v>266.5</v>
      </c>
      <c r="HN345" s="53">
        <v>124.4</v>
      </c>
      <c r="HO345" s="53">
        <v>142</v>
      </c>
      <c r="HP345" s="55"/>
      <c r="HQ345" s="53">
        <v>2.4</v>
      </c>
      <c r="HR345" s="53">
        <v>9.8000000000000007</v>
      </c>
      <c r="HS345" s="55"/>
      <c r="HT345" s="53">
        <v>22.1</v>
      </c>
      <c r="HU345" s="55"/>
      <c r="HV345" s="55"/>
      <c r="HW345" s="53">
        <v>338.7</v>
      </c>
      <c r="HX345" s="53" t="s">
        <v>266</v>
      </c>
      <c r="HY345" s="53">
        <v>338.7</v>
      </c>
      <c r="HZ345" s="53">
        <v>62.8</v>
      </c>
      <c r="IA345" s="53">
        <v>190.5</v>
      </c>
      <c r="IB345" s="53">
        <v>54.4</v>
      </c>
      <c r="IC345" s="53">
        <v>136.1</v>
      </c>
      <c r="ID345" s="53">
        <v>85</v>
      </c>
      <c r="IE345" s="53">
        <v>51.1</v>
      </c>
      <c r="IF345" s="55"/>
      <c r="IG345" s="55"/>
      <c r="IH345" s="53">
        <v>44.4</v>
      </c>
      <c r="II345" s="53">
        <v>7.1</v>
      </c>
      <c r="IJ345" s="53">
        <v>10.5</v>
      </c>
      <c r="IK345" s="53">
        <v>26.7</v>
      </c>
      <c r="IL345" s="53">
        <v>41</v>
      </c>
      <c r="IM345" s="55"/>
      <c r="IN345" s="53">
        <v>70.5</v>
      </c>
      <c r="IO345" s="53">
        <v>70.900000000000006</v>
      </c>
      <c r="IP345" s="53" t="s">
        <v>265</v>
      </c>
      <c r="IQ345" s="53">
        <v>71.099999999999994</v>
      </c>
      <c r="IR345" s="18">
        <v>13.353</v>
      </c>
      <c r="IS345" s="55"/>
      <c r="IT345" s="53">
        <v>56.1</v>
      </c>
      <c r="IU345" s="18">
        <v>1.2829999999999999</v>
      </c>
      <c r="IV345" s="53" t="s">
        <v>265</v>
      </c>
      <c r="IW345" s="53" t="s">
        <v>266</v>
      </c>
      <c r="IX345" s="53" t="s">
        <v>265</v>
      </c>
      <c r="IY345" s="48">
        <f t="shared" si="17"/>
        <v>47.481858257036293</v>
      </c>
      <c r="IZ345" s="48">
        <f>IY345-'NOPA Crush'!J345</f>
        <v>0.17185825703629121</v>
      </c>
      <c r="JB345" s="63">
        <f t="shared" si="15"/>
        <v>11.576805696846389</v>
      </c>
      <c r="JC345" s="64">
        <f>JB345-'NOPA Crush'!O345</f>
        <v>-8.3194303153611315E-2</v>
      </c>
      <c r="JD345" s="65"/>
      <c r="JE345" s="67">
        <f t="shared" si="16"/>
        <v>2925.8</v>
      </c>
      <c r="JF345" s="68">
        <f>'NOPA Crush'!Q345/'Census Crush'!JE345</f>
        <v>0.82351117643037797</v>
      </c>
    </row>
    <row r="346" spans="1:266">
      <c r="A346" s="39">
        <v>39569</v>
      </c>
      <c r="B346" s="51">
        <v>4578.1000000000004</v>
      </c>
      <c r="C346" s="51">
        <v>2366.4</v>
      </c>
      <c r="D346" s="51">
        <v>234.5</v>
      </c>
      <c r="E346" s="51">
        <v>1058.7</v>
      </c>
      <c r="F346" s="51">
        <v>17.3</v>
      </c>
      <c r="G346" s="51" t="s">
        <v>264</v>
      </c>
      <c r="H346" s="51" t="s">
        <v>264</v>
      </c>
      <c r="I346" s="51" t="s">
        <v>264</v>
      </c>
      <c r="J346" s="51" t="s">
        <v>264</v>
      </c>
      <c r="K346" s="51">
        <v>1756.4</v>
      </c>
      <c r="L346" s="51">
        <v>2989</v>
      </c>
      <c r="M346" s="51">
        <v>2641.8</v>
      </c>
      <c r="N346" s="51">
        <v>347.2</v>
      </c>
      <c r="O346" s="53">
        <v>70.3</v>
      </c>
      <c r="P346" s="51">
        <v>160.1</v>
      </c>
      <c r="Q346" s="51">
        <v>23.1</v>
      </c>
      <c r="R346" s="51">
        <v>137</v>
      </c>
      <c r="S346" s="51"/>
      <c r="T346" s="51">
        <v>13.8</v>
      </c>
      <c r="U346" s="51">
        <v>36.700000000000003</v>
      </c>
      <c r="V346" s="51">
        <v>31.6</v>
      </c>
      <c r="W346" s="51">
        <v>5.0999999999999996</v>
      </c>
      <c r="X346" s="51" t="s">
        <v>264</v>
      </c>
      <c r="Y346" s="51" t="s">
        <v>265</v>
      </c>
      <c r="Z346" s="51">
        <v>89.9</v>
      </c>
      <c r="AA346" s="51" t="s">
        <v>265</v>
      </c>
      <c r="AB346" s="51" t="s">
        <v>265</v>
      </c>
      <c r="AC346" s="51" t="s">
        <v>264</v>
      </c>
      <c r="AD346" s="51">
        <v>92.6</v>
      </c>
      <c r="AE346" s="51">
        <v>96.1</v>
      </c>
      <c r="AF346" s="51">
        <v>140.19999999999999</v>
      </c>
      <c r="AG346" s="51">
        <v>89.9</v>
      </c>
      <c r="AH346" s="51">
        <v>50.2</v>
      </c>
      <c r="AI346" s="51">
        <v>220.9</v>
      </c>
      <c r="AJ346" s="15">
        <v>217.96899999999999</v>
      </c>
      <c r="AK346" s="15">
        <v>2.883</v>
      </c>
      <c r="AL346" s="51">
        <v>161.80000000000001</v>
      </c>
      <c r="AM346" s="51">
        <v>92.7</v>
      </c>
      <c r="AN346" s="51">
        <v>69.099999999999994</v>
      </c>
      <c r="AO346" s="51">
        <v>3366.9</v>
      </c>
      <c r="AP346" s="51">
        <v>388.2</v>
      </c>
      <c r="AQ346" s="51">
        <v>266.89999999999998</v>
      </c>
      <c r="AR346" s="51">
        <v>44.8</v>
      </c>
      <c r="AS346" s="51">
        <v>103.2</v>
      </c>
      <c r="AT346" s="51">
        <v>35.4</v>
      </c>
      <c r="AU346" s="51">
        <v>70.599999999999994</v>
      </c>
      <c r="AV346" s="51">
        <v>49.4</v>
      </c>
      <c r="AW346" s="9">
        <v>9.5329999999999995</v>
      </c>
      <c r="AX346" s="51" t="s">
        <v>264</v>
      </c>
      <c r="AY346" s="51" t="s">
        <v>264</v>
      </c>
      <c r="AZ346" s="51" t="s">
        <v>264</v>
      </c>
      <c r="BA346" s="51" t="s">
        <v>264</v>
      </c>
      <c r="BB346" s="51" t="s">
        <v>264</v>
      </c>
      <c r="BC346" s="55"/>
      <c r="BD346" s="53">
        <v>163.6</v>
      </c>
      <c r="BE346" s="53">
        <v>38.4</v>
      </c>
      <c r="BF346" s="53">
        <v>82.9</v>
      </c>
      <c r="BG346" s="53">
        <v>12.5</v>
      </c>
      <c r="BH346" s="53">
        <v>308.10000000000002</v>
      </c>
      <c r="BI346" s="53">
        <v>142.9</v>
      </c>
      <c r="BJ346" s="53">
        <v>98.8</v>
      </c>
      <c r="BK346" s="53">
        <v>241.8</v>
      </c>
      <c r="BL346" s="55"/>
      <c r="BM346" s="53">
        <v>549.9</v>
      </c>
      <c r="BN346" s="53">
        <v>249.4</v>
      </c>
      <c r="BO346" s="53">
        <v>90.6</v>
      </c>
      <c r="BP346" s="53">
        <v>27.4</v>
      </c>
      <c r="BQ346" s="53">
        <v>118</v>
      </c>
      <c r="BR346" s="55"/>
      <c r="BS346" s="53">
        <v>367.5</v>
      </c>
      <c r="BT346" s="53">
        <v>42.6</v>
      </c>
      <c r="BU346" s="53">
        <v>19</v>
      </c>
      <c r="BV346" s="51" t="s">
        <v>264</v>
      </c>
      <c r="BW346" s="51" t="s">
        <v>264</v>
      </c>
      <c r="BX346" s="51">
        <v>443.4</v>
      </c>
      <c r="BY346" s="51" t="s">
        <v>264</v>
      </c>
      <c r="BZ346" s="51" t="s">
        <v>264</v>
      </c>
      <c r="CA346" s="51">
        <v>74.8</v>
      </c>
      <c r="CB346" s="53">
        <v>134.5</v>
      </c>
      <c r="CC346" s="53">
        <v>32</v>
      </c>
      <c r="CD346" s="53">
        <v>134.69999999999999</v>
      </c>
      <c r="CE346" s="53">
        <v>24.7</v>
      </c>
      <c r="CF346" s="53">
        <v>112.6</v>
      </c>
      <c r="CG346" s="53">
        <v>182.1</v>
      </c>
      <c r="CH346" s="53">
        <v>6.4720000000000004</v>
      </c>
      <c r="CI346" s="53">
        <v>33.200000000000003</v>
      </c>
      <c r="CJ346" s="53">
        <v>10.3</v>
      </c>
      <c r="CK346" s="53">
        <v>166.2</v>
      </c>
      <c r="CL346" s="53">
        <v>32.700000000000003</v>
      </c>
      <c r="CM346" s="55"/>
      <c r="CN346" s="53">
        <v>46.8</v>
      </c>
      <c r="CO346" s="53">
        <v>204</v>
      </c>
      <c r="CP346" s="53">
        <v>159</v>
      </c>
      <c r="CQ346" s="53">
        <v>45.1</v>
      </c>
      <c r="CR346" s="53" t="s">
        <v>264</v>
      </c>
      <c r="CS346" s="53">
        <v>26.231000000000002</v>
      </c>
      <c r="CT346" s="53">
        <v>13.696999999999999</v>
      </c>
      <c r="CU346" s="53">
        <v>12.534000000000001</v>
      </c>
      <c r="CV346" s="53">
        <v>220.6</v>
      </c>
      <c r="CW346" s="53" t="s">
        <v>265</v>
      </c>
      <c r="CX346" s="53" t="s">
        <v>265</v>
      </c>
      <c r="CY346" s="53" t="s">
        <v>265</v>
      </c>
      <c r="CZ346" s="53">
        <v>99</v>
      </c>
      <c r="DA346" s="53">
        <v>37.6</v>
      </c>
      <c r="DB346" s="53" t="s">
        <v>265</v>
      </c>
      <c r="DC346" s="53" t="s">
        <v>265</v>
      </c>
      <c r="DD346" s="55"/>
      <c r="DE346" s="55"/>
      <c r="DF346" s="55"/>
      <c r="DG346" s="55"/>
      <c r="DH346" s="55"/>
      <c r="DI346" s="53">
        <v>697.8</v>
      </c>
      <c r="DJ346" s="53">
        <v>545.6</v>
      </c>
      <c r="DK346" s="53">
        <v>964.1</v>
      </c>
      <c r="DL346" s="55"/>
      <c r="DM346" s="53">
        <v>488.8</v>
      </c>
      <c r="DN346" s="55"/>
      <c r="DO346" s="53">
        <v>196.9</v>
      </c>
      <c r="DP346" s="53">
        <v>283.2</v>
      </c>
      <c r="DQ346" s="55"/>
      <c r="DR346" s="55"/>
      <c r="DS346" s="53">
        <v>1401.9494999999995</v>
      </c>
      <c r="DT346" s="53">
        <v>4578.1000000000004</v>
      </c>
      <c r="DU346" s="53">
        <v>0.24949999999898864</v>
      </c>
      <c r="DV346" s="53">
        <v>0</v>
      </c>
      <c r="DW346" s="55"/>
      <c r="DX346" s="55"/>
      <c r="DY346" s="53"/>
      <c r="DZ346" s="53"/>
      <c r="EA346" s="53">
        <v>461.2</v>
      </c>
      <c r="EB346" s="53">
        <v>265.10000000000002</v>
      </c>
      <c r="EC346" s="53">
        <v>411</v>
      </c>
      <c r="ED346" s="53"/>
      <c r="EE346" s="53">
        <v>210.8</v>
      </c>
      <c r="EF346" s="53"/>
      <c r="EG346" s="53">
        <v>56.9</v>
      </c>
      <c r="EH346" s="53">
        <v>184.2</v>
      </c>
      <c r="EI346" s="55"/>
      <c r="EJ346" s="55"/>
      <c r="EK346" s="53">
        <v>777.22799999999984</v>
      </c>
      <c r="EL346" s="53">
        <v>2366.4</v>
      </c>
      <c r="EM346" s="55"/>
      <c r="EN346" s="55"/>
      <c r="EO346" s="53"/>
      <c r="EP346" s="53"/>
      <c r="EQ346" s="53">
        <v>267.3</v>
      </c>
      <c r="ER346" s="53">
        <v>212.2</v>
      </c>
      <c r="ES346" s="53">
        <v>372.6</v>
      </c>
      <c r="ET346" s="53"/>
      <c r="EU346" s="53">
        <v>183.8</v>
      </c>
      <c r="EV346" s="53"/>
      <c r="EW346" s="53">
        <v>74.3</v>
      </c>
      <c r="EX346" s="53">
        <v>108</v>
      </c>
      <c r="EY346" s="55"/>
      <c r="EZ346" s="55"/>
      <c r="FA346" s="53">
        <v>538.25559999999996</v>
      </c>
      <c r="FB346" s="53">
        <v>1756.4</v>
      </c>
      <c r="FC346" s="55"/>
      <c r="FD346" s="55"/>
      <c r="FE346" s="53"/>
      <c r="FF346" s="53"/>
      <c r="FG346" s="53">
        <v>552.5</v>
      </c>
      <c r="FH346" s="53">
        <v>434.1</v>
      </c>
      <c r="FI346" s="53">
        <v>760.9</v>
      </c>
      <c r="FJ346" s="53"/>
      <c r="FK346" s="53">
        <v>396.5</v>
      </c>
      <c r="FL346" s="53"/>
      <c r="FM346" s="53">
        <v>159.19999999999999</v>
      </c>
      <c r="FN346" s="53">
        <v>224.9</v>
      </c>
      <c r="FO346" s="55"/>
      <c r="FP346" s="55"/>
      <c r="FQ346" s="53">
        <v>1113.7584999999999</v>
      </c>
      <c r="FR346" s="53">
        <v>3641.8</v>
      </c>
      <c r="FS346" s="55"/>
      <c r="FT346" s="55"/>
      <c r="FU346" s="53"/>
      <c r="FV346" s="53"/>
      <c r="FW346" s="53" t="s">
        <v>265</v>
      </c>
      <c r="FX346" s="53">
        <v>136.30000000000001</v>
      </c>
      <c r="FY346" s="53">
        <v>190.3</v>
      </c>
      <c r="FZ346" s="53"/>
      <c r="GA346" s="53">
        <v>97.3</v>
      </c>
      <c r="GB346" s="53"/>
      <c r="GC346" s="12">
        <v>53.868000000000002</v>
      </c>
      <c r="GD346" s="53" t="s">
        <v>265</v>
      </c>
      <c r="GE346" s="55"/>
      <c r="GF346" s="55"/>
      <c r="GG346" s="53">
        <v>474.19</v>
      </c>
      <c r="GH346" s="53">
        <v>1232.5</v>
      </c>
      <c r="GI346" s="55"/>
      <c r="GJ346" s="55"/>
      <c r="GK346" s="53"/>
      <c r="GL346" s="53"/>
      <c r="GM346" s="53" t="s">
        <v>265</v>
      </c>
      <c r="GN346" s="53">
        <v>62.8</v>
      </c>
      <c r="GO346" s="53">
        <v>65.099999999999994</v>
      </c>
      <c r="GP346" s="53"/>
      <c r="GQ346" s="53">
        <v>28.7</v>
      </c>
      <c r="GR346" s="53"/>
      <c r="GS346" s="53">
        <v>8.1999999999999993</v>
      </c>
      <c r="GT346" s="53" t="s">
        <v>265</v>
      </c>
      <c r="GU346" s="55"/>
      <c r="GV346" s="55"/>
      <c r="GW346" s="53">
        <v>139.815</v>
      </c>
      <c r="GX346" s="53">
        <v>433</v>
      </c>
      <c r="GY346" s="19">
        <v>0.99102829537612158</v>
      </c>
      <c r="GZ346" s="53">
        <v>1292.4000000000001</v>
      </c>
      <c r="HA346" s="53">
        <v>1304.0999999999999</v>
      </c>
      <c r="HB346" s="18">
        <v>-56.835021136999785</v>
      </c>
      <c r="HC346" s="18">
        <v>-106.13207480279925</v>
      </c>
      <c r="HD346" s="18">
        <v>1535.1649788630002</v>
      </c>
      <c r="HE346" s="18">
        <v>-104.5</v>
      </c>
      <c r="HF346" s="53">
        <v>1592</v>
      </c>
      <c r="HG346" s="53">
        <v>1290.2</v>
      </c>
      <c r="HH346" s="53">
        <v>365.1</v>
      </c>
      <c r="HI346" s="53">
        <v>62.6</v>
      </c>
      <c r="HJ346" s="53">
        <v>837.7</v>
      </c>
      <c r="HK346" s="53">
        <v>24.8</v>
      </c>
      <c r="HL346" s="53">
        <v>301.8</v>
      </c>
      <c r="HM346" s="53">
        <v>269.8</v>
      </c>
      <c r="HN346" s="53">
        <v>132.19999999999999</v>
      </c>
      <c r="HO346" s="53">
        <v>137.6</v>
      </c>
      <c r="HP346" s="55"/>
      <c r="HQ346" s="53">
        <v>3.1</v>
      </c>
      <c r="HR346" s="53">
        <v>6.1</v>
      </c>
      <c r="HS346" s="55"/>
      <c r="HT346" s="53">
        <v>22.8</v>
      </c>
      <c r="HU346" s="55"/>
      <c r="HV346" s="55"/>
      <c r="HW346" s="53">
        <v>339.2</v>
      </c>
      <c r="HX346" s="53" t="s">
        <v>266</v>
      </c>
      <c r="HY346" s="53">
        <v>339.2</v>
      </c>
      <c r="HZ346" s="53">
        <v>56.9</v>
      </c>
      <c r="IA346" s="53">
        <v>190.3</v>
      </c>
      <c r="IB346" s="53">
        <v>53.3</v>
      </c>
      <c r="IC346" s="53">
        <v>137</v>
      </c>
      <c r="ID346" s="53">
        <v>82.4</v>
      </c>
      <c r="IE346" s="53">
        <v>54.6</v>
      </c>
      <c r="IF346" s="55"/>
      <c r="IG346" s="55"/>
      <c r="IH346" s="53">
        <v>59</v>
      </c>
      <c r="II346" s="53">
        <v>14.2</v>
      </c>
      <c r="IJ346" s="53">
        <v>12.3</v>
      </c>
      <c r="IK346" s="53">
        <v>32.5</v>
      </c>
      <c r="IL346" s="12">
        <v>33</v>
      </c>
      <c r="IM346" s="55"/>
      <c r="IN346" s="53">
        <v>62.1</v>
      </c>
      <c r="IO346" s="53">
        <v>62.2</v>
      </c>
      <c r="IP346" s="53" t="s">
        <v>265</v>
      </c>
      <c r="IQ346" s="53">
        <v>70.900000000000006</v>
      </c>
      <c r="IR346" s="18">
        <v>10.032</v>
      </c>
      <c r="IS346" s="55"/>
      <c r="IT346" s="53">
        <v>56.7</v>
      </c>
      <c r="IU346" s="18">
        <v>3.9079999999999999</v>
      </c>
      <c r="IV346" s="53" t="s">
        <v>265</v>
      </c>
      <c r="IW346" s="53" t="s">
        <v>266</v>
      </c>
      <c r="IX346" s="53" t="s">
        <v>265</v>
      </c>
      <c r="IY346" s="48">
        <f t="shared" si="17"/>
        <v>47.624123544701945</v>
      </c>
      <c r="IZ346" s="48">
        <f>IY346-'NOPA Crush'!J346</f>
        <v>0.28412354470194146</v>
      </c>
      <c r="JB346" s="63">
        <f t="shared" si="15"/>
        <v>11.5095782093008</v>
      </c>
      <c r="JC346" s="64">
        <f>JB346-'NOPA Crush'!O346</f>
        <v>-0.16042179069919982</v>
      </c>
      <c r="JD346" s="65"/>
      <c r="JE346" s="67">
        <f t="shared" si="16"/>
        <v>2989</v>
      </c>
      <c r="JF346" s="68">
        <f>'NOPA Crush'!Q346/'Census Crush'!JE346</f>
        <v>0.83277952492472396</v>
      </c>
    </row>
    <row r="347" spans="1:266">
      <c r="A347" s="39">
        <v>39600</v>
      </c>
      <c r="B347" s="51">
        <v>4231.5</v>
      </c>
      <c r="C347" s="51">
        <v>2244.6999999999998</v>
      </c>
      <c r="D347" s="51">
        <v>190.6</v>
      </c>
      <c r="E347" s="51">
        <v>838</v>
      </c>
      <c r="F347" s="51">
        <v>15.9</v>
      </c>
      <c r="G347" s="51" t="s">
        <v>264</v>
      </c>
      <c r="H347" s="51" t="s">
        <v>264</v>
      </c>
      <c r="I347" s="51" t="s">
        <v>264</v>
      </c>
      <c r="J347" s="51" t="s">
        <v>264</v>
      </c>
      <c r="K347" s="51">
        <v>1632.8</v>
      </c>
      <c r="L347" s="51">
        <v>2906</v>
      </c>
      <c r="M347" s="51">
        <v>2565.1</v>
      </c>
      <c r="N347" s="51">
        <v>340.9</v>
      </c>
      <c r="O347" s="53">
        <v>58.5</v>
      </c>
      <c r="P347" s="51">
        <v>156.6</v>
      </c>
      <c r="Q347" s="51">
        <v>20.9</v>
      </c>
      <c r="R347" s="51">
        <v>135.6</v>
      </c>
      <c r="S347" s="51"/>
      <c r="T347" s="9">
        <v>12.595000000000001</v>
      </c>
      <c r="U347" s="51">
        <v>33.9</v>
      </c>
      <c r="V347" s="51">
        <v>28.2</v>
      </c>
      <c r="W347" s="51">
        <v>5.7</v>
      </c>
      <c r="X347" s="51" t="s">
        <v>264</v>
      </c>
      <c r="Y347" s="51" t="s">
        <v>265</v>
      </c>
      <c r="Z347" s="51">
        <v>91.7</v>
      </c>
      <c r="AA347" s="51" t="s">
        <v>265</v>
      </c>
      <c r="AB347" s="51" t="s">
        <v>265</v>
      </c>
      <c r="AC347" s="51" t="s">
        <v>264</v>
      </c>
      <c r="AD347" s="51">
        <v>106.6</v>
      </c>
      <c r="AE347" s="51">
        <v>110.3</v>
      </c>
      <c r="AF347" s="51">
        <v>145.19999999999999</v>
      </c>
      <c r="AG347" s="51">
        <v>92.4</v>
      </c>
      <c r="AH347" s="51">
        <v>52.8</v>
      </c>
      <c r="AI347" s="51">
        <v>193.7</v>
      </c>
      <c r="AJ347" s="15">
        <v>190.42099999999999</v>
      </c>
      <c r="AK347" s="15">
        <v>3.302</v>
      </c>
      <c r="AL347" s="51">
        <v>188.3</v>
      </c>
      <c r="AM347" s="51">
        <v>136.80000000000001</v>
      </c>
      <c r="AN347" s="51">
        <v>51.5</v>
      </c>
      <c r="AO347" s="51">
        <v>3098</v>
      </c>
      <c r="AP347" s="51">
        <v>379.4</v>
      </c>
      <c r="AQ347" s="51">
        <v>254.3</v>
      </c>
      <c r="AR347" s="51">
        <v>44.9</v>
      </c>
      <c r="AS347" s="51">
        <v>86.8</v>
      </c>
      <c r="AT347" s="51">
        <v>29.7</v>
      </c>
      <c r="AU347" s="51">
        <v>53.7</v>
      </c>
      <c r="AV347" s="51">
        <v>38.299999999999997</v>
      </c>
      <c r="AW347" s="9">
        <v>8.4939999999999998</v>
      </c>
      <c r="AX347" s="51" t="s">
        <v>264</v>
      </c>
      <c r="AY347" s="51" t="s">
        <v>264</v>
      </c>
      <c r="AZ347" s="51" t="s">
        <v>264</v>
      </c>
      <c r="BA347" s="51" t="s">
        <v>264</v>
      </c>
      <c r="BB347" s="51" t="s">
        <v>264</v>
      </c>
      <c r="BC347" s="55"/>
      <c r="BD347" s="53">
        <v>139.80000000000001</v>
      </c>
      <c r="BE347" s="53">
        <v>29.6</v>
      </c>
      <c r="BF347" s="53">
        <v>78.3</v>
      </c>
      <c r="BG347" s="53">
        <v>10.3</v>
      </c>
      <c r="BH347" s="53">
        <v>285.39999999999998</v>
      </c>
      <c r="BI347" s="53">
        <v>140.5</v>
      </c>
      <c r="BJ347" s="53">
        <v>91.5</v>
      </c>
      <c r="BK347" s="53">
        <v>232</v>
      </c>
      <c r="BL347" s="55"/>
      <c r="BM347" s="53">
        <v>517.4</v>
      </c>
      <c r="BN347" s="53">
        <v>231</v>
      </c>
      <c r="BO347" s="53">
        <v>99.3</v>
      </c>
      <c r="BP347" s="53">
        <v>30.1</v>
      </c>
      <c r="BQ347" s="53">
        <v>129.4</v>
      </c>
      <c r="BR347" s="55"/>
      <c r="BS347" s="53">
        <v>360.4</v>
      </c>
      <c r="BT347" s="53">
        <v>39.299999999999997</v>
      </c>
      <c r="BU347" s="53">
        <v>22.3</v>
      </c>
      <c r="BV347" s="51" t="s">
        <v>264</v>
      </c>
      <c r="BW347" s="51" t="s">
        <v>264</v>
      </c>
      <c r="BX347" s="51">
        <v>417.6</v>
      </c>
      <c r="BY347" s="51" t="s">
        <v>264</v>
      </c>
      <c r="BZ347" s="51" t="s">
        <v>264</v>
      </c>
      <c r="CA347" s="51">
        <v>60.6</v>
      </c>
      <c r="CB347" s="53">
        <v>122.5</v>
      </c>
      <c r="CC347" s="53">
        <v>32.9</v>
      </c>
      <c r="CD347" s="53">
        <v>128.19999999999999</v>
      </c>
      <c r="CE347" s="53">
        <v>29.4</v>
      </c>
      <c r="CF347" s="53">
        <v>102.8</v>
      </c>
      <c r="CG347" s="53">
        <v>145</v>
      </c>
      <c r="CH347" s="53">
        <v>5.4290000000000003</v>
      </c>
      <c r="CI347" s="53">
        <v>33</v>
      </c>
      <c r="CJ347" s="53">
        <v>6.8</v>
      </c>
      <c r="CK347" s="53">
        <v>136.30000000000001</v>
      </c>
      <c r="CL347" s="53">
        <v>27.9</v>
      </c>
      <c r="CM347" s="55"/>
      <c r="CN347" s="53">
        <v>59.1</v>
      </c>
      <c r="CO347" s="53">
        <v>187.9</v>
      </c>
      <c r="CP347" s="53">
        <v>129</v>
      </c>
      <c r="CQ347" s="53">
        <v>58.9</v>
      </c>
      <c r="CR347" s="53" t="s">
        <v>264</v>
      </c>
      <c r="CS347" s="53">
        <v>22.161000000000001</v>
      </c>
      <c r="CT347" s="53" t="s">
        <v>265</v>
      </c>
      <c r="CU347" s="53" t="s">
        <v>265</v>
      </c>
      <c r="CV347" s="53">
        <v>235.3</v>
      </c>
      <c r="CW347" s="53" t="s">
        <v>265</v>
      </c>
      <c r="CX347" s="53" t="s">
        <v>265</v>
      </c>
      <c r="CY347" s="53" t="s">
        <v>265</v>
      </c>
      <c r="CZ347" s="53">
        <v>96</v>
      </c>
      <c r="DA347" s="53">
        <v>29.6</v>
      </c>
      <c r="DB347" s="53" t="s">
        <v>265</v>
      </c>
      <c r="DC347" s="53" t="s">
        <v>265</v>
      </c>
      <c r="DD347" s="55"/>
      <c r="DE347" s="55"/>
      <c r="DF347" s="55"/>
      <c r="DG347" s="55"/>
      <c r="DH347" s="55"/>
      <c r="DI347" s="53">
        <v>599.9</v>
      </c>
      <c r="DJ347" s="53">
        <v>483.8</v>
      </c>
      <c r="DK347" s="53">
        <v>955.5</v>
      </c>
      <c r="DL347" s="55"/>
      <c r="DM347" s="53">
        <v>466.6</v>
      </c>
      <c r="DN347" s="55"/>
      <c r="DO347" s="53">
        <v>183.1</v>
      </c>
      <c r="DP347" s="53">
        <v>258.39999999999998</v>
      </c>
      <c r="DQ347" s="55"/>
      <c r="DR347" s="55"/>
      <c r="DS347" s="53">
        <v>1284.2840999999989</v>
      </c>
      <c r="DT347" s="53">
        <v>4231.5</v>
      </c>
      <c r="DU347" s="53">
        <v>8.409999999912543E-2</v>
      </c>
      <c r="DV347" s="53">
        <v>0</v>
      </c>
      <c r="DW347" s="55"/>
      <c r="DX347" s="55"/>
      <c r="DY347" s="53"/>
      <c r="DZ347" s="53"/>
      <c r="EA347" s="53">
        <v>403.4</v>
      </c>
      <c r="EB347" s="53">
        <v>256.8</v>
      </c>
      <c r="EC347" s="53">
        <v>390.4</v>
      </c>
      <c r="ED347" s="53"/>
      <c r="EE347" s="53">
        <v>242.9</v>
      </c>
      <c r="EF347" s="53"/>
      <c r="EG347" s="53" t="s">
        <v>265</v>
      </c>
      <c r="EH347" s="53" t="s">
        <v>265</v>
      </c>
      <c r="EI347" s="55"/>
      <c r="EJ347" s="55"/>
      <c r="EK347" s="53">
        <v>704.92199999999957</v>
      </c>
      <c r="EL347" s="53">
        <v>2244.6999999999998</v>
      </c>
      <c r="EM347" s="55"/>
      <c r="EN347" s="55"/>
      <c r="EO347" s="53"/>
      <c r="EP347" s="53"/>
      <c r="EQ347" s="53">
        <v>236.8</v>
      </c>
      <c r="ER347" s="53">
        <v>189.3</v>
      </c>
      <c r="ES347" s="53">
        <v>367.6</v>
      </c>
      <c r="ET347" s="53"/>
      <c r="EU347" s="53">
        <v>181.5</v>
      </c>
      <c r="EV347" s="53"/>
      <c r="EW347" s="53">
        <v>68.099999999999994</v>
      </c>
      <c r="EX347" s="53">
        <v>98.4</v>
      </c>
      <c r="EY347" s="55"/>
      <c r="EZ347" s="55"/>
      <c r="FA347" s="53">
        <v>491.07040000000006</v>
      </c>
      <c r="FB347" s="53">
        <v>1632.8</v>
      </c>
      <c r="FC347" s="55"/>
      <c r="FD347" s="55"/>
      <c r="FE347" s="53"/>
      <c r="FF347" s="53"/>
      <c r="FG347" s="53">
        <v>473.8</v>
      </c>
      <c r="FH347" s="53">
        <v>384.1</v>
      </c>
      <c r="FI347" s="53">
        <v>753.3</v>
      </c>
      <c r="FJ347" s="53"/>
      <c r="FK347" s="53">
        <v>373</v>
      </c>
      <c r="FL347" s="53"/>
      <c r="FM347" s="53">
        <v>147.1</v>
      </c>
      <c r="FN347" s="53">
        <v>208.3</v>
      </c>
      <c r="FO347" s="55"/>
      <c r="FP347" s="55"/>
      <c r="FQ347" s="53">
        <v>1017.5438999999999</v>
      </c>
      <c r="FR347" s="53">
        <v>3357.2</v>
      </c>
      <c r="FS347" s="55"/>
      <c r="FT347" s="55"/>
      <c r="FU347" s="53"/>
      <c r="FV347" s="53"/>
      <c r="FW347" s="53">
        <v>179.4</v>
      </c>
      <c r="FX347" s="53">
        <v>151.4</v>
      </c>
      <c r="FY347" s="53">
        <v>194.2</v>
      </c>
      <c r="FZ347" s="53"/>
      <c r="GA347" s="53">
        <v>87.2</v>
      </c>
      <c r="GB347" s="53"/>
      <c r="GC347" s="53" t="s">
        <v>265</v>
      </c>
      <c r="GD347" s="53" t="s">
        <v>265</v>
      </c>
      <c r="GE347" s="55"/>
      <c r="GF347" s="55"/>
      <c r="GG347" s="53">
        <v>479.17399999999992</v>
      </c>
      <c r="GH347" s="53">
        <v>1209</v>
      </c>
      <c r="GI347" s="55"/>
      <c r="GJ347" s="55"/>
      <c r="GK347" s="53"/>
      <c r="GL347" s="53"/>
      <c r="GM347" s="53">
        <v>64.900000000000006</v>
      </c>
      <c r="GN347" s="53">
        <v>78.400000000000006</v>
      </c>
      <c r="GO347" s="53">
        <v>86.6</v>
      </c>
      <c r="GP347" s="53"/>
      <c r="GQ347" s="53">
        <v>23.1</v>
      </c>
      <c r="GR347" s="53"/>
      <c r="GS347" s="53" t="s">
        <v>265</v>
      </c>
      <c r="GT347" s="53" t="s">
        <v>265</v>
      </c>
      <c r="GU347" s="55"/>
      <c r="GV347" s="55"/>
      <c r="GW347" s="53">
        <v>142.83400000000009</v>
      </c>
      <c r="GX347" s="53">
        <v>424.2</v>
      </c>
      <c r="GY347" s="19">
        <v>0.98860976751443286</v>
      </c>
      <c r="GZ347" s="53">
        <v>1267.2</v>
      </c>
      <c r="HA347" s="53">
        <v>1281.8</v>
      </c>
      <c r="HB347" s="18">
        <v>-33.26760161519951</v>
      </c>
      <c r="HC347" s="18">
        <v>61.740224619201399</v>
      </c>
      <c r="HD347" s="18">
        <v>1552.6323983848006</v>
      </c>
      <c r="HE347" s="18">
        <v>-16.599999999999909</v>
      </c>
      <c r="HF347" s="53">
        <v>1585.9</v>
      </c>
      <c r="HG347" s="53">
        <v>1251.0999999999999</v>
      </c>
      <c r="HH347" s="53">
        <v>333.5</v>
      </c>
      <c r="HI347" s="53" t="s">
        <v>265</v>
      </c>
      <c r="HJ347" s="53">
        <v>839.8</v>
      </c>
      <c r="HK347" s="53" t="s">
        <v>265</v>
      </c>
      <c r="HL347" s="53">
        <v>334.8</v>
      </c>
      <c r="HM347" s="53">
        <v>298.8</v>
      </c>
      <c r="HN347" s="53">
        <v>146.4</v>
      </c>
      <c r="HO347" s="53">
        <v>152.4</v>
      </c>
      <c r="HP347" s="55"/>
      <c r="HQ347" s="53">
        <v>2.7</v>
      </c>
      <c r="HR347" s="53">
        <v>12.1</v>
      </c>
      <c r="HS347" s="55"/>
      <c r="HT347" s="53">
        <v>21.3</v>
      </c>
      <c r="HU347" s="55"/>
      <c r="HV347" s="55"/>
      <c r="HW347" s="53">
        <v>342.8</v>
      </c>
      <c r="HX347" s="53" t="s">
        <v>266</v>
      </c>
      <c r="HY347" s="53">
        <v>342.8</v>
      </c>
      <c r="HZ347" s="53">
        <v>53</v>
      </c>
      <c r="IA347" s="53">
        <v>174.9</v>
      </c>
      <c r="IB347" s="53">
        <v>51.1</v>
      </c>
      <c r="IC347" s="12">
        <v>123.80000000000001</v>
      </c>
      <c r="ID347" s="53">
        <v>76.900000000000006</v>
      </c>
      <c r="IE347" s="12">
        <v>46.900000000000006</v>
      </c>
      <c r="IF347" s="55"/>
      <c r="IG347" s="55"/>
      <c r="IH347" s="53">
        <v>80.8</v>
      </c>
      <c r="II347" s="53">
        <v>20.2</v>
      </c>
      <c r="IJ347" s="53">
        <v>26.9</v>
      </c>
      <c r="IK347" s="53">
        <v>33.700000000000003</v>
      </c>
      <c r="IL347" s="12">
        <v>34.100000000000009</v>
      </c>
      <c r="IM347" s="55"/>
      <c r="IN347" s="53">
        <v>52.3</v>
      </c>
      <c r="IO347" s="53">
        <v>52.3</v>
      </c>
      <c r="IP347" s="53" t="s">
        <v>265</v>
      </c>
      <c r="IQ347" s="53">
        <v>64.2</v>
      </c>
      <c r="IR347" s="18">
        <v>12.115</v>
      </c>
      <c r="IS347" s="55"/>
      <c r="IT347" s="53">
        <v>50.4</v>
      </c>
      <c r="IU347" s="18">
        <v>1.306</v>
      </c>
      <c r="IV347" s="53" t="s">
        <v>265</v>
      </c>
      <c r="IW347" s="53" t="s">
        <v>266</v>
      </c>
      <c r="IX347" s="53" t="s">
        <v>265</v>
      </c>
      <c r="IY347" s="48">
        <f t="shared" si="17"/>
        <v>47.533498759305211</v>
      </c>
      <c r="IZ347" s="48">
        <f>IY347-'NOPA Crush'!J347</f>
        <v>0.17349875930521108</v>
      </c>
      <c r="JB347" s="63">
        <f t="shared" si="15"/>
        <v>11.576036866359447</v>
      </c>
      <c r="JC347" s="64">
        <f>JB347-'NOPA Crush'!O347</f>
        <v>-9.3963133640553309E-2</v>
      </c>
      <c r="JD347" s="65"/>
      <c r="JE347" s="67">
        <f t="shared" si="16"/>
        <v>2906</v>
      </c>
      <c r="JF347" s="68">
        <f>'NOPA Crush'!Q347/'Census Crush'!JE347</f>
        <v>0.84284342739160356</v>
      </c>
    </row>
    <row r="348" spans="1:266">
      <c r="A348" s="39">
        <v>39630</v>
      </c>
      <c r="B348" s="51">
        <v>4179.5</v>
      </c>
      <c r="C348" s="51">
        <v>2210.3000000000002</v>
      </c>
      <c r="D348" s="51">
        <v>193.1</v>
      </c>
      <c r="E348" s="51">
        <v>643.1</v>
      </c>
      <c r="F348" s="51" t="s">
        <v>264</v>
      </c>
      <c r="G348" s="51" t="s">
        <v>264</v>
      </c>
      <c r="H348" s="51" t="s">
        <v>264</v>
      </c>
      <c r="I348" s="51" t="s">
        <v>264</v>
      </c>
      <c r="J348" s="51" t="s">
        <v>264</v>
      </c>
      <c r="K348" s="51">
        <v>1616.4</v>
      </c>
      <c r="L348" s="51">
        <v>2793.2</v>
      </c>
      <c r="M348" s="51">
        <v>2492.1999999999998</v>
      </c>
      <c r="N348" s="51">
        <v>301.10000000000002</v>
      </c>
      <c r="O348" s="53">
        <v>60.3</v>
      </c>
      <c r="P348" s="51">
        <v>141.30000000000001</v>
      </c>
      <c r="Q348" s="51">
        <v>16.7</v>
      </c>
      <c r="R348" s="51">
        <v>124.6</v>
      </c>
      <c r="S348" s="51"/>
      <c r="T348" s="9">
        <v>13.045999999999999</v>
      </c>
      <c r="U348" s="51">
        <v>24.2</v>
      </c>
      <c r="V348" s="51">
        <v>18.399999999999999</v>
      </c>
      <c r="W348" s="51">
        <v>5.8</v>
      </c>
      <c r="X348" s="51" t="s">
        <v>264</v>
      </c>
      <c r="Y348" s="51" t="s">
        <v>265</v>
      </c>
      <c r="Z348" s="51">
        <v>84.4</v>
      </c>
      <c r="AA348" s="51" t="s">
        <v>265</v>
      </c>
      <c r="AB348" s="51" t="s">
        <v>265</v>
      </c>
      <c r="AC348" s="51" t="s">
        <v>264</v>
      </c>
      <c r="AD348" s="51">
        <v>116.3</v>
      </c>
      <c r="AE348" s="51">
        <v>120.5</v>
      </c>
      <c r="AF348" s="51">
        <v>142</v>
      </c>
      <c r="AG348" s="51">
        <v>98.1</v>
      </c>
      <c r="AH348" s="51">
        <v>43.9</v>
      </c>
      <c r="AI348" s="51">
        <v>214.9</v>
      </c>
      <c r="AJ348" s="15">
        <v>212.07300000000001</v>
      </c>
      <c r="AK348" s="15">
        <v>2.8180000000000001</v>
      </c>
      <c r="AL348" s="51">
        <v>214.9</v>
      </c>
      <c r="AM348" s="76">
        <f>FORECAST(AL348,AM336:AM347,AL336:AL347)</f>
        <v>163.05328261163606</v>
      </c>
      <c r="AN348" s="76">
        <f>AL348-AM348</f>
        <v>51.846717388363942</v>
      </c>
      <c r="AO348" s="51">
        <v>3072.4</v>
      </c>
      <c r="AP348" s="51">
        <v>268.2</v>
      </c>
      <c r="AQ348" s="51">
        <v>243.9</v>
      </c>
      <c r="AR348" s="51">
        <v>29.2</v>
      </c>
      <c r="AS348" s="51">
        <v>90.7</v>
      </c>
      <c r="AT348" s="51">
        <v>25.8</v>
      </c>
      <c r="AU348" s="51">
        <v>58.4</v>
      </c>
      <c r="AV348" s="51">
        <v>36.299999999999997</v>
      </c>
      <c r="AW348" s="9">
        <v>8.8260000000000005</v>
      </c>
      <c r="AX348" s="51" t="s">
        <v>264</v>
      </c>
      <c r="AY348" s="51" t="s">
        <v>264</v>
      </c>
      <c r="AZ348" s="51" t="s">
        <v>264</v>
      </c>
      <c r="BA348" s="51" t="s">
        <v>264</v>
      </c>
      <c r="BB348" s="51" t="s">
        <v>264</v>
      </c>
      <c r="BC348" s="55"/>
      <c r="BD348" s="53">
        <v>136.1</v>
      </c>
      <c r="BE348" s="53">
        <v>36.700000000000003</v>
      </c>
      <c r="BF348" s="53">
        <v>82.2</v>
      </c>
      <c r="BG348" s="53">
        <v>10.199999999999999</v>
      </c>
      <c r="BH348" s="53">
        <v>295.39999999999998</v>
      </c>
      <c r="BI348" s="53">
        <v>147.19999999999999</v>
      </c>
      <c r="BJ348" s="53">
        <v>100.2</v>
      </c>
      <c r="BK348" s="53">
        <v>247.4</v>
      </c>
      <c r="BL348" s="55"/>
      <c r="BM348" s="53">
        <v>542.79999999999995</v>
      </c>
      <c r="BN348" s="53">
        <v>194.1</v>
      </c>
      <c r="BO348" s="53">
        <v>103.1</v>
      </c>
      <c r="BP348" s="53">
        <v>27.6</v>
      </c>
      <c r="BQ348" s="53">
        <v>130.69999999999999</v>
      </c>
      <c r="BR348" s="55"/>
      <c r="BS348" s="53">
        <v>324.8</v>
      </c>
      <c r="BT348" s="53">
        <v>38.5</v>
      </c>
      <c r="BU348" s="53">
        <v>13.6</v>
      </c>
      <c r="BV348" s="51" t="s">
        <v>264</v>
      </c>
      <c r="BW348" s="51" t="s">
        <v>264</v>
      </c>
      <c r="BX348" s="51">
        <v>443.2</v>
      </c>
      <c r="BY348" s="51" t="s">
        <v>264</v>
      </c>
      <c r="BZ348" s="51" t="s">
        <v>264</v>
      </c>
      <c r="CA348" s="51">
        <v>48.7</v>
      </c>
      <c r="CB348" s="53">
        <v>126.6</v>
      </c>
      <c r="CC348" s="53">
        <v>30.8</v>
      </c>
      <c r="CD348" s="53">
        <v>136.80000000000001</v>
      </c>
      <c r="CE348" s="53">
        <v>27.2</v>
      </c>
      <c r="CF348" s="53">
        <v>102.6</v>
      </c>
      <c r="CG348" s="53">
        <v>137.69999999999999</v>
      </c>
      <c r="CH348" s="53">
        <v>5.3239999999999998</v>
      </c>
      <c r="CI348" s="53">
        <v>38</v>
      </c>
      <c r="CJ348" s="53">
        <v>6.3</v>
      </c>
      <c r="CK348" s="53">
        <v>156.19999999999999</v>
      </c>
      <c r="CL348" s="53">
        <v>25.4</v>
      </c>
      <c r="CM348" s="55"/>
      <c r="CN348" s="53">
        <v>54.2</v>
      </c>
      <c r="CO348" s="53">
        <v>181.6</v>
      </c>
      <c r="CP348" s="53">
        <v>149.69999999999999</v>
      </c>
      <c r="CQ348" s="53">
        <v>31.9</v>
      </c>
      <c r="CR348" s="53" t="s">
        <v>264</v>
      </c>
      <c r="CS348" s="53">
        <v>25.83</v>
      </c>
      <c r="CT348" s="53">
        <v>11.048</v>
      </c>
      <c r="CU348" s="53">
        <v>14.782</v>
      </c>
      <c r="CV348" s="53">
        <v>208</v>
      </c>
      <c r="CW348" s="53" t="s">
        <v>265</v>
      </c>
      <c r="CX348" s="53" t="s">
        <v>265</v>
      </c>
      <c r="CY348" s="53" t="s">
        <v>265</v>
      </c>
      <c r="CZ348" s="53">
        <v>79</v>
      </c>
      <c r="DA348" s="18">
        <v>17.927</v>
      </c>
      <c r="DB348" s="53" t="s">
        <v>265</v>
      </c>
      <c r="DC348" s="53" t="s">
        <v>265</v>
      </c>
      <c r="DD348" s="55"/>
      <c r="DE348" s="55"/>
      <c r="DF348" s="55"/>
      <c r="DG348" s="55"/>
      <c r="DH348" s="55"/>
      <c r="DI348" s="53">
        <v>664.5</v>
      </c>
      <c r="DJ348" s="53">
        <v>474.7</v>
      </c>
      <c r="DK348" s="53">
        <v>818</v>
      </c>
      <c r="DL348" s="55"/>
      <c r="DM348" s="53">
        <v>547.79999999999995</v>
      </c>
      <c r="DN348" s="55"/>
      <c r="DO348" s="53">
        <v>120.1</v>
      </c>
      <c r="DP348" s="53">
        <v>283.8</v>
      </c>
      <c r="DQ348" s="55"/>
      <c r="DR348" s="55"/>
      <c r="DS348" s="53">
        <v>1270.5911600000004</v>
      </c>
      <c r="DT348" s="53">
        <v>4179.5</v>
      </c>
      <c r="DU348" s="53">
        <v>-8.8399999995090184E-3</v>
      </c>
      <c r="DV348" s="53">
        <v>0</v>
      </c>
      <c r="DW348" s="55"/>
      <c r="DX348" s="55"/>
      <c r="DY348" s="53"/>
      <c r="DZ348" s="53"/>
      <c r="EA348" s="53">
        <v>401.4</v>
      </c>
      <c r="EB348" s="53">
        <v>259.5</v>
      </c>
      <c r="EC348" s="53">
        <v>530.29999999999995</v>
      </c>
      <c r="ED348" s="53"/>
      <c r="EE348" s="53">
        <v>273</v>
      </c>
      <c r="EF348" s="53"/>
      <c r="EG348" s="53">
        <v>43.5</v>
      </c>
      <c r="EH348" s="53">
        <v>116.4</v>
      </c>
      <c r="EI348" s="55"/>
      <c r="EJ348" s="55"/>
      <c r="EK348" s="53">
        <v>586.26</v>
      </c>
      <c r="EL348" s="53">
        <v>2210.3000000000002</v>
      </c>
      <c r="EM348" s="55"/>
      <c r="EN348" s="55"/>
      <c r="EO348" s="53"/>
      <c r="EP348" s="53"/>
      <c r="EQ348" s="53">
        <v>258.10000000000002</v>
      </c>
      <c r="ER348" s="53">
        <v>184.1</v>
      </c>
      <c r="ES348" s="53">
        <v>316.60000000000002</v>
      </c>
      <c r="ET348" s="53"/>
      <c r="EU348" s="53">
        <v>216.6</v>
      </c>
      <c r="EV348" s="53"/>
      <c r="EW348" s="53">
        <v>46</v>
      </c>
      <c r="EX348" s="53">
        <v>110.1</v>
      </c>
      <c r="EY348" s="55"/>
      <c r="EZ348" s="55"/>
      <c r="FA348" s="53">
        <v>484.92328000000015</v>
      </c>
      <c r="FB348" s="53">
        <v>1616.4</v>
      </c>
      <c r="FC348" s="55"/>
      <c r="FD348" s="55"/>
      <c r="FE348" s="53"/>
      <c r="FF348" s="53"/>
      <c r="FG348" s="53">
        <v>530.6</v>
      </c>
      <c r="FH348" s="53">
        <v>386.3</v>
      </c>
      <c r="FI348" s="53">
        <v>646.20000000000005</v>
      </c>
      <c r="FJ348" s="53"/>
      <c r="FK348" s="53">
        <v>431.5</v>
      </c>
      <c r="FL348" s="53"/>
      <c r="FM348" s="53">
        <v>98.6</v>
      </c>
      <c r="FN348" s="53">
        <v>225</v>
      </c>
      <c r="FO348" s="55"/>
      <c r="FP348" s="55"/>
      <c r="FQ348" s="53">
        <v>1006.3241999999998</v>
      </c>
      <c r="FR348" s="53">
        <v>3324.5</v>
      </c>
      <c r="FS348" s="55"/>
      <c r="FT348" s="55"/>
      <c r="FU348" s="53"/>
      <c r="FV348" s="53"/>
      <c r="FW348" s="53">
        <v>190.2</v>
      </c>
      <c r="FX348" s="53">
        <v>128.69999999999999</v>
      </c>
      <c r="FY348" s="53">
        <v>170.7</v>
      </c>
      <c r="FZ348" s="53"/>
      <c r="GA348" s="53">
        <v>68.599999999999994</v>
      </c>
      <c r="GB348" s="53"/>
      <c r="GC348" s="53" t="s">
        <v>265</v>
      </c>
      <c r="GD348" s="53" t="s">
        <v>265</v>
      </c>
      <c r="GE348" s="55"/>
      <c r="GF348" s="55"/>
      <c r="GG348" s="53">
        <v>463.6</v>
      </c>
      <c r="GH348" s="53">
        <v>1133.2</v>
      </c>
      <c r="GI348" s="55"/>
      <c r="GJ348" s="55"/>
      <c r="GK348" s="53"/>
      <c r="GL348" s="53"/>
      <c r="GM348" s="53">
        <v>47.8</v>
      </c>
      <c r="GN348" s="53">
        <v>50.4</v>
      </c>
      <c r="GO348" s="53">
        <v>46.8</v>
      </c>
      <c r="GP348" s="53"/>
      <c r="GQ348" s="53">
        <v>27.9</v>
      </c>
      <c r="GR348" s="53"/>
      <c r="GS348" s="53">
        <v>2</v>
      </c>
      <c r="GT348" s="53">
        <v>10.6</v>
      </c>
      <c r="GU348" s="55"/>
      <c r="GV348" s="55"/>
      <c r="GW348" s="53">
        <v>113.824</v>
      </c>
      <c r="GX348" s="53">
        <v>299.3</v>
      </c>
      <c r="GY348" s="19">
        <v>0.9937951675304767</v>
      </c>
      <c r="GZ348" s="53">
        <v>1361.4</v>
      </c>
      <c r="HA348" s="53">
        <v>1369.9</v>
      </c>
      <c r="HB348" s="18">
        <v>-46.732808627399436</v>
      </c>
      <c r="HC348" s="18">
        <v>-52.8922926257992</v>
      </c>
      <c r="HD348" s="18">
        <v>1608.9671913726006</v>
      </c>
      <c r="HE348" s="18">
        <v>-121.59999999999991</v>
      </c>
      <c r="HF348" s="53">
        <v>1655.7</v>
      </c>
      <c r="HG348" s="53">
        <v>1305.5999999999999</v>
      </c>
      <c r="HH348" s="53">
        <v>352.4</v>
      </c>
      <c r="HI348" s="53" t="s">
        <v>267</v>
      </c>
      <c r="HJ348" s="53">
        <v>881.8</v>
      </c>
      <c r="HK348" s="53" t="s">
        <v>267</v>
      </c>
      <c r="HL348" s="53">
        <v>350.1</v>
      </c>
      <c r="HM348" s="53">
        <v>319.10000000000002</v>
      </c>
      <c r="HN348" s="53">
        <v>150.4</v>
      </c>
      <c r="HO348" s="53">
        <v>168.7</v>
      </c>
      <c r="HP348" s="55"/>
      <c r="HQ348" s="53">
        <v>3.9</v>
      </c>
      <c r="HR348" s="53">
        <v>7.3</v>
      </c>
      <c r="HS348" s="55"/>
      <c r="HT348" s="53">
        <v>19.8</v>
      </c>
      <c r="HU348" s="55"/>
      <c r="HV348" s="55"/>
      <c r="HW348" s="53">
        <v>358.8</v>
      </c>
      <c r="HX348" s="53" t="s">
        <v>266</v>
      </c>
      <c r="HY348" s="53">
        <v>358.8</v>
      </c>
      <c r="HZ348" s="53">
        <v>75.7</v>
      </c>
      <c r="IA348" s="53">
        <v>163.80000000000001</v>
      </c>
      <c r="IB348" s="53">
        <v>52.8</v>
      </c>
      <c r="IC348" s="53">
        <v>111</v>
      </c>
      <c r="ID348" s="53">
        <v>63.7</v>
      </c>
      <c r="IE348" s="12">
        <v>47.3</v>
      </c>
      <c r="IF348" s="55"/>
      <c r="IG348" s="55"/>
      <c r="IH348" s="53">
        <v>84.5</v>
      </c>
      <c r="II348" s="53">
        <v>27.1</v>
      </c>
      <c r="IJ348" s="53">
        <v>16.8</v>
      </c>
      <c r="IK348" s="53">
        <v>40.5</v>
      </c>
      <c r="IL348" s="53">
        <v>34.9</v>
      </c>
      <c r="IM348" s="55"/>
      <c r="IN348" s="53">
        <v>55.2</v>
      </c>
      <c r="IO348" s="53">
        <v>55.3</v>
      </c>
      <c r="IP348" s="53" t="s">
        <v>265</v>
      </c>
      <c r="IQ348" s="53">
        <v>72.5</v>
      </c>
      <c r="IR348" s="53" t="s">
        <v>265</v>
      </c>
      <c r="IS348" s="55"/>
      <c r="IT348" s="53">
        <v>59.9</v>
      </c>
      <c r="IU348" s="53" t="s">
        <v>265</v>
      </c>
      <c r="IV348" s="53" t="s">
        <v>265</v>
      </c>
      <c r="IW348" s="53" t="s">
        <v>266</v>
      </c>
      <c r="IX348" s="53" t="s">
        <v>265</v>
      </c>
      <c r="IY348" s="48">
        <f t="shared" si="17"/>
        <v>47.60808709175739</v>
      </c>
      <c r="IZ348" s="48">
        <f>IY348-'NOPA Crush'!J348</f>
        <v>0.21808709175738983</v>
      </c>
      <c r="JB348" s="63">
        <f t="shared" si="15"/>
        <v>11.602344778083504</v>
      </c>
      <c r="JC348" s="64">
        <f>JB348-'NOPA Crush'!O348</f>
        <v>-5.7655221916496302E-2</v>
      </c>
      <c r="JD348" s="65"/>
      <c r="JE348" s="67">
        <f t="shared" si="16"/>
        <v>2793.2</v>
      </c>
      <c r="JF348" s="68">
        <f>'NOPA Crush'!Q348/'Census Crush'!JE348</f>
        <v>0.84742123729056273</v>
      </c>
    </row>
    <row r="349" spans="1:266">
      <c r="A349" s="39">
        <v>39661</v>
      </c>
      <c r="B349" s="51">
        <v>3858.8</v>
      </c>
      <c r="C349" s="51">
        <v>1599.8</v>
      </c>
      <c r="D349" s="51">
        <v>202.3</v>
      </c>
      <c r="E349" s="51">
        <v>516.1</v>
      </c>
      <c r="F349" s="51">
        <v>15.5</v>
      </c>
      <c r="G349" s="51" t="s">
        <v>264</v>
      </c>
      <c r="H349" s="51" t="s">
        <v>264</v>
      </c>
      <c r="I349" s="51" t="s">
        <v>264</v>
      </c>
      <c r="J349" s="51" t="s">
        <v>264</v>
      </c>
      <c r="K349" s="51">
        <v>1507.5</v>
      </c>
      <c r="L349" s="51">
        <v>2567.4</v>
      </c>
      <c r="M349" s="51">
        <v>2272</v>
      </c>
      <c r="N349" s="51">
        <v>295.39999999999998</v>
      </c>
      <c r="O349" s="53">
        <v>64.400000000000006</v>
      </c>
      <c r="P349" s="51">
        <v>149.80000000000001</v>
      </c>
      <c r="Q349" s="51">
        <v>25.4</v>
      </c>
      <c r="R349" s="51">
        <v>124.5</v>
      </c>
      <c r="S349" s="51"/>
      <c r="T349" s="51">
        <v>11.8</v>
      </c>
      <c r="U349" s="51">
        <v>14.4</v>
      </c>
      <c r="V349" s="51">
        <v>8.8000000000000007</v>
      </c>
      <c r="W349" s="51">
        <v>5.6</v>
      </c>
      <c r="X349" s="51" t="s">
        <v>264</v>
      </c>
      <c r="Y349" s="51" t="s">
        <v>265</v>
      </c>
      <c r="Z349" s="51">
        <v>60.7</v>
      </c>
      <c r="AA349" s="51" t="s">
        <v>265</v>
      </c>
      <c r="AB349" s="51" t="s">
        <v>265</v>
      </c>
      <c r="AC349" s="51" t="s">
        <v>264</v>
      </c>
      <c r="AD349" s="51">
        <v>90.7</v>
      </c>
      <c r="AE349" s="51">
        <v>94.2</v>
      </c>
      <c r="AF349" s="51">
        <v>199.9</v>
      </c>
      <c r="AG349" s="51">
        <v>134.19999999999999</v>
      </c>
      <c r="AH349" s="51">
        <v>65.8</v>
      </c>
      <c r="AI349" s="51">
        <v>217.3</v>
      </c>
      <c r="AJ349" s="15">
        <v>213.715</v>
      </c>
      <c r="AK349" s="15">
        <v>3.605</v>
      </c>
      <c r="AL349" s="51">
        <v>198.7</v>
      </c>
      <c r="AM349" s="51">
        <v>125.7</v>
      </c>
      <c r="AN349" s="51">
        <v>73</v>
      </c>
      <c r="AO349" s="51">
        <v>2821.7</v>
      </c>
      <c r="AP349" s="51">
        <v>375.9</v>
      </c>
      <c r="AQ349" s="51">
        <v>230.6</v>
      </c>
      <c r="AR349" s="51">
        <v>39.4</v>
      </c>
      <c r="AS349" s="51">
        <v>96.5</v>
      </c>
      <c r="AT349" s="51">
        <v>42.5</v>
      </c>
      <c r="AU349" s="51">
        <v>59.5</v>
      </c>
      <c r="AV349" s="51">
        <v>39.200000000000003</v>
      </c>
      <c r="AW349" s="51">
        <v>7.7</v>
      </c>
      <c r="AX349" s="51" t="s">
        <v>264</v>
      </c>
      <c r="AY349" s="51" t="s">
        <v>264</v>
      </c>
      <c r="AZ349" s="51" t="s">
        <v>264</v>
      </c>
      <c r="BA349" s="51" t="s">
        <v>264</v>
      </c>
      <c r="BB349" s="51" t="s">
        <v>264</v>
      </c>
      <c r="BC349" s="55"/>
      <c r="BD349" s="53">
        <v>112.6</v>
      </c>
      <c r="BE349" s="53">
        <v>28</v>
      </c>
      <c r="BF349" s="53">
        <v>74.5</v>
      </c>
      <c r="BG349" s="53">
        <v>10.199999999999999</v>
      </c>
      <c r="BH349" s="53">
        <v>277.5</v>
      </c>
      <c r="BI349" s="53">
        <v>127.7</v>
      </c>
      <c r="BJ349" s="53">
        <v>95.5</v>
      </c>
      <c r="BK349" s="53">
        <v>223.2</v>
      </c>
      <c r="BL349" s="55"/>
      <c r="BM349" s="53">
        <v>500.8</v>
      </c>
      <c r="BN349" s="53">
        <v>173.1</v>
      </c>
      <c r="BO349" s="53">
        <v>98.5</v>
      </c>
      <c r="BP349" s="53">
        <v>31.2</v>
      </c>
      <c r="BQ349" s="53">
        <v>129.69999999999999</v>
      </c>
      <c r="BR349" s="55"/>
      <c r="BS349" s="53">
        <v>302.8</v>
      </c>
      <c r="BT349" s="53">
        <v>42.5</v>
      </c>
      <c r="BU349" s="53">
        <v>17.899999999999999</v>
      </c>
      <c r="BV349" s="51" t="s">
        <v>264</v>
      </c>
      <c r="BW349" s="51" t="s">
        <v>264</v>
      </c>
      <c r="BX349" s="51">
        <v>412.5</v>
      </c>
      <c r="BY349" s="51" t="s">
        <v>264</v>
      </c>
      <c r="BZ349" s="51" t="s">
        <v>264</v>
      </c>
      <c r="CA349" s="51">
        <v>60</v>
      </c>
      <c r="CB349" s="53">
        <v>113.8</v>
      </c>
      <c r="CC349" s="53">
        <v>33.9</v>
      </c>
      <c r="CD349" s="53">
        <v>131.80000000000001</v>
      </c>
      <c r="CE349" s="53">
        <v>31.5</v>
      </c>
      <c r="CF349" s="53">
        <v>107.2</v>
      </c>
      <c r="CG349" s="53">
        <v>138.5</v>
      </c>
      <c r="CH349" s="53">
        <v>8.2439999999999998</v>
      </c>
      <c r="CI349" s="53">
        <v>39.299999999999997</v>
      </c>
      <c r="CJ349" s="53">
        <v>9.8000000000000007</v>
      </c>
      <c r="CK349" s="53">
        <v>145.5</v>
      </c>
      <c r="CL349" s="53">
        <v>25.2</v>
      </c>
      <c r="CM349" s="55"/>
      <c r="CN349" s="53">
        <v>58.5</v>
      </c>
      <c r="CO349" s="53">
        <v>180.4</v>
      </c>
      <c r="CP349" s="53">
        <v>130.9</v>
      </c>
      <c r="CQ349" s="53">
        <v>49.5</v>
      </c>
      <c r="CR349" s="53" t="s">
        <v>264</v>
      </c>
      <c r="CS349" s="53">
        <v>31.567999999999998</v>
      </c>
      <c r="CT349" s="53">
        <v>14.016</v>
      </c>
      <c r="CU349" s="53">
        <v>17.552</v>
      </c>
      <c r="CV349" s="53">
        <v>222</v>
      </c>
      <c r="CW349" s="53" t="s">
        <v>265</v>
      </c>
      <c r="CX349" s="53" t="s">
        <v>265</v>
      </c>
      <c r="CY349" s="53" t="s">
        <v>265</v>
      </c>
      <c r="CZ349" s="53">
        <v>92.8</v>
      </c>
      <c r="DA349" s="18">
        <v>17.07</v>
      </c>
      <c r="DB349" s="53" t="s">
        <v>265</v>
      </c>
      <c r="DC349" s="53" t="s">
        <v>265</v>
      </c>
      <c r="DD349" s="55"/>
      <c r="DE349" s="55"/>
      <c r="DF349" s="55"/>
      <c r="DG349" s="55"/>
      <c r="DH349" s="55"/>
      <c r="DI349" s="53">
        <v>610.4</v>
      </c>
      <c r="DJ349" s="53">
        <v>512.9</v>
      </c>
      <c r="DK349" s="53">
        <v>812.4</v>
      </c>
      <c r="DL349" s="55"/>
      <c r="DM349" s="53">
        <v>530.79999999999995</v>
      </c>
      <c r="DN349" s="55"/>
      <c r="DO349" s="53">
        <v>107.3</v>
      </c>
      <c r="DP349" s="53">
        <v>241.3</v>
      </c>
      <c r="DQ349" s="55"/>
      <c r="DR349" s="55"/>
      <c r="DS349" s="53">
        <v>1043.6966499999996</v>
      </c>
      <c r="DT349" s="53">
        <v>3858.8</v>
      </c>
      <c r="DU349" s="53">
        <v>-3.3499999999548891E-3</v>
      </c>
      <c r="DV349" s="53">
        <v>0</v>
      </c>
      <c r="DW349" s="55"/>
      <c r="DX349" s="55"/>
      <c r="DY349" s="53"/>
      <c r="DZ349" s="53"/>
      <c r="EA349" s="53">
        <v>336.7</v>
      </c>
      <c r="EB349" s="53">
        <v>140</v>
      </c>
      <c r="EC349" s="53">
        <v>471</v>
      </c>
      <c r="ED349" s="53"/>
      <c r="EE349" s="53">
        <v>105</v>
      </c>
      <c r="EF349" s="53"/>
      <c r="EG349" s="53">
        <v>79.8</v>
      </c>
      <c r="EH349" s="53">
        <v>71.8</v>
      </c>
      <c r="EI349" s="55"/>
      <c r="EJ349" s="55"/>
      <c r="EK349" s="53">
        <v>395.58</v>
      </c>
      <c r="EL349" s="53">
        <v>1599.8</v>
      </c>
      <c r="EM349" s="55"/>
      <c r="EN349" s="55"/>
      <c r="EO349" s="53"/>
      <c r="EP349" s="53"/>
      <c r="EQ349" s="53">
        <v>242</v>
      </c>
      <c r="ER349" s="53">
        <v>198</v>
      </c>
      <c r="ES349" s="53">
        <v>313.39999999999998</v>
      </c>
      <c r="ET349" s="53"/>
      <c r="EU349" s="53">
        <v>213.2</v>
      </c>
      <c r="EV349" s="53"/>
      <c r="EW349" s="53">
        <v>40.9</v>
      </c>
      <c r="EX349" s="53">
        <v>92.8</v>
      </c>
      <c r="EY349" s="55"/>
      <c r="EZ349" s="55"/>
      <c r="FA349" s="53">
        <v>407.25564999999983</v>
      </c>
      <c r="FB349" s="53">
        <v>1507.5</v>
      </c>
      <c r="FC349" s="55"/>
      <c r="FD349" s="55"/>
      <c r="FE349" s="53"/>
      <c r="FF349" s="53"/>
      <c r="FG349" s="53">
        <v>491.2</v>
      </c>
      <c r="FH349" s="53">
        <v>407.7</v>
      </c>
      <c r="FI349" s="53">
        <v>639.79999999999995</v>
      </c>
      <c r="FJ349" s="53"/>
      <c r="FK349" s="53">
        <v>416.2</v>
      </c>
      <c r="FL349" s="53"/>
      <c r="FM349" s="53">
        <v>86.2</v>
      </c>
      <c r="FN349" s="53">
        <v>192.7</v>
      </c>
      <c r="FO349" s="55"/>
      <c r="FP349" s="55"/>
      <c r="FQ349" s="53">
        <v>826.16004999999996</v>
      </c>
      <c r="FR349" s="53">
        <v>3060</v>
      </c>
      <c r="FS349" s="55"/>
      <c r="FT349" s="55"/>
      <c r="FU349" s="53"/>
      <c r="FV349" s="53"/>
      <c r="FW349" s="53">
        <v>166.2</v>
      </c>
      <c r="FX349" s="53">
        <v>118.1</v>
      </c>
      <c r="FY349" s="53">
        <v>212.3</v>
      </c>
      <c r="FZ349" s="53"/>
      <c r="GA349" s="53">
        <v>49.5</v>
      </c>
      <c r="GB349" s="53"/>
      <c r="GC349" s="53" t="s">
        <v>265</v>
      </c>
      <c r="GD349" s="53" t="s">
        <v>265</v>
      </c>
      <c r="GE349" s="55"/>
      <c r="GF349" s="55"/>
      <c r="GG349" s="53">
        <v>409.68899999999996</v>
      </c>
      <c r="GH349" s="53">
        <v>1053</v>
      </c>
      <c r="GI349" s="55"/>
      <c r="GJ349" s="55"/>
      <c r="GK349" s="53"/>
      <c r="GL349" s="53"/>
      <c r="GM349" s="53">
        <v>71.900000000000006</v>
      </c>
      <c r="GN349" s="53">
        <v>101</v>
      </c>
      <c r="GO349" s="53">
        <v>53.2</v>
      </c>
      <c r="GP349" s="53"/>
      <c r="GQ349" s="53">
        <v>44.2</v>
      </c>
      <c r="GR349" s="53"/>
      <c r="GS349" s="53" t="s">
        <v>265</v>
      </c>
      <c r="GT349" s="53" t="s">
        <v>265</v>
      </c>
      <c r="GU349" s="55"/>
      <c r="GV349" s="55"/>
      <c r="GW349" s="53">
        <v>108.57299999999999</v>
      </c>
      <c r="GX349" s="53">
        <v>415.2</v>
      </c>
      <c r="GY349" s="19">
        <v>0.98883481248210703</v>
      </c>
      <c r="GZ349" s="53">
        <v>1381.6</v>
      </c>
      <c r="HA349" s="53">
        <v>1397.2</v>
      </c>
      <c r="HB349" s="18">
        <v>-148.11829532579964</v>
      </c>
      <c r="HC349" s="18">
        <v>-117.22489361859971</v>
      </c>
      <c r="HD349" s="18">
        <v>1552.1817046742003</v>
      </c>
      <c r="HE349" s="18">
        <v>3.0999999999999091</v>
      </c>
      <c r="HF349" s="53">
        <v>1700.3</v>
      </c>
      <c r="HG349" s="53">
        <v>1331.8</v>
      </c>
      <c r="HH349" s="53">
        <v>365.6</v>
      </c>
      <c r="HI349" s="53" t="s">
        <v>267</v>
      </c>
      <c r="HJ349" s="53">
        <v>893.4</v>
      </c>
      <c r="HK349" s="53" t="s">
        <v>267</v>
      </c>
      <c r="HL349" s="53">
        <v>368.5</v>
      </c>
      <c r="HM349" s="53">
        <v>331.9</v>
      </c>
      <c r="HN349" s="53">
        <v>164.9</v>
      </c>
      <c r="HO349" s="53">
        <v>166.9</v>
      </c>
      <c r="HP349" s="55"/>
      <c r="HQ349" s="53">
        <v>3.9</v>
      </c>
      <c r="HR349" s="53">
        <v>11.7</v>
      </c>
      <c r="HS349" s="55"/>
      <c r="HT349" s="53">
        <v>21</v>
      </c>
      <c r="HU349" s="55"/>
      <c r="HV349" s="55"/>
      <c r="HW349" s="53">
        <v>351.3</v>
      </c>
      <c r="HX349" s="53" t="s">
        <v>266</v>
      </c>
      <c r="HY349" s="53">
        <v>351.3</v>
      </c>
      <c r="HZ349" s="53">
        <v>61.8</v>
      </c>
      <c r="IA349" s="53">
        <v>170.4</v>
      </c>
      <c r="IB349" s="53">
        <v>41.5</v>
      </c>
      <c r="IC349" s="12">
        <v>128.9</v>
      </c>
      <c r="ID349" s="53">
        <v>76.7</v>
      </c>
      <c r="IE349" s="12">
        <v>52.2</v>
      </c>
      <c r="IF349" s="55"/>
      <c r="IG349" s="55"/>
      <c r="IH349" s="53">
        <v>88</v>
      </c>
      <c r="II349" s="53">
        <v>39.6</v>
      </c>
      <c r="IJ349" s="53">
        <v>8.4</v>
      </c>
      <c r="IK349" s="53">
        <v>40</v>
      </c>
      <c r="IL349" s="53">
        <v>31.1</v>
      </c>
      <c r="IM349" s="55"/>
      <c r="IN349" s="53">
        <v>56.9</v>
      </c>
      <c r="IO349" s="53">
        <v>57.1</v>
      </c>
      <c r="IP349" s="53" t="s">
        <v>265</v>
      </c>
      <c r="IQ349" s="53">
        <v>63.8</v>
      </c>
      <c r="IR349" s="53" t="s">
        <v>265</v>
      </c>
      <c r="IS349" s="55"/>
      <c r="IT349" s="53">
        <v>52.3</v>
      </c>
      <c r="IU349" s="53" t="s">
        <v>265</v>
      </c>
      <c r="IV349" s="53" t="s">
        <v>265</v>
      </c>
      <c r="IW349" s="53" t="s">
        <v>266</v>
      </c>
      <c r="IX349" s="53" t="s">
        <v>265</v>
      </c>
      <c r="IY349" s="48">
        <f t="shared" si="17"/>
        <v>47.459832072146774</v>
      </c>
      <c r="IZ349" s="48">
        <f>IY349-'NOPA Crush'!J349</f>
        <v>0.19983207214677634</v>
      </c>
      <c r="JB349" s="63">
        <f t="shared" si="15"/>
        <v>11.719964755882659</v>
      </c>
      <c r="JC349" s="64">
        <f>JB349-'NOPA Crush'!O349</f>
        <v>-5.0035244117340838E-2</v>
      </c>
      <c r="JD349" s="65"/>
      <c r="JE349" s="67">
        <f t="shared" si="16"/>
        <v>2567.4</v>
      </c>
      <c r="JF349" s="68">
        <f>'NOPA Crush'!Q349/'Census Crush'!JE349</f>
        <v>0.83832281685752119</v>
      </c>
    </row>
    <row r="350" spans="1:266">
      <c r="A350" s="39">
        <v>39692</v>
      </c>
      <c r="B350" s="51">
        <v>3770.7</v>
      </c>
      <c r="C350" s="51">
        <v>1502.5</v>
      </c>
      <c r="D350" s="51">
        <v>147.4</v>
      </c>
      <c r="E350" s="51">
        <v>443</v>
      </c>
      <c r="F350" s="9">
        <v>17.942</v>
      </c>
      <c r="G350" s="51" t="s">
        <v>264</v>
      </c>
      <c r="H350" s="51" t="s">
        <v>264</v>
      </c>
      <c r="I350" s="51" t="s">
        <v>264</v>
      </c>
      <c r="J350" s="51" t="s">
        <v>264</v>
      </c>
      <c r="K350" s="51">
        <v>1445.5</v>
      </c>
      <c r="L350" s="51">
        <v>2484.6</v>
      </c>
      <c r="M350" s="51">
        <v>2203.5</v>
      </c>
      <c r="N350" s="51">
        <v>281.10000000000002</v>
      </c>
      <c r="O350" s="53">
        <v>55</v>
      </c>
      <c r="P350" s="51">
        <v>146.6</v>
      </c>
      <c r="Q350" s="51">
        <v>27.8</v>
      </c>
      <c r="R350" s="51">
        <v>118.8</v>
      </c>
      <c r="S350" s="51"/>
      <c r="T350" s="51">
        <v>14.6</v>
      </c>
      <c r="U350" s="51">
        <v>33.9</v>
      </c>
      <c r="V350" s="51">
        <v>30.5</v>
      </c>
      <c r="W350" s="51">
        <v>3.5</v>
      </c>
      <c r="X350" s="51" t="s">
        <v>264</v>
      </c>
      <c r="Y350" s="51" t="s">
        <v>265</v>
      </c>
      <c r="Z350" s="51">
        <v>26.3</v>
      </c>
      <c r="AA350" s="51" t="s">
        <v>265</v>
      </c>
      <c r="AB350" s="51" t="s">
        <v>265</v>
      </c>
      <c r="AC350" s="51" t="s">
        <v>264</v>
      </c>
      <c r="AD350" s="51">
        <v>104.3</v>
      </c>
      <c r="AE350" s="51">
        <v>108.2</v>
      </c>
      <c r="AF350" s="51">
        <v>133</v>
      </c>
      <c r="AG350" s="51">
        <v>72.400000000000006</v>
      </c>
      <c r="AH350" s="51">
        <v>60.6</v>
      </c>
      <c r="AI350" s="51">
        <v>207.3</v>
      </c>
      <c r="AJ350" s="15">
        <v>203.393</v>
      </c>
      <c r="AK350" s="15">
        <v>3.8980000000000001</v>
      </c>
      <c r="AL350" s="51">
        <v>205.4</v>
      </c>
      <c r="AM350" s="51">
        <v>135.19999999999999</v>
      </c>
      <c r="AN350" s="51">
        <v>70.2</v>
      </c>
      <c r="AO350" s="51">
        <v>2772.8</v>
      </c>
      <c r="AP350" s="51">
        <v>259.89999999999998</v>
      </c>
      <c r="AQ350" s="51">
        <v>223.5</v>
      </c>
      <c r="AR350" s="51">
        <v>34</v>
      </c>
      <c r="AS350" s="51">
        <v>76.900000000000006</v>
      </c>
      <c r="AT350" s="51">
        <v>55.4</v>
      </c>
      <c r="AU350" s="51">
        <v>48.6</v>
      </c>
      <c r="AV350" s="51">
        <v>31.7</v>
      </c>
      <c r="AW350" s="51">
        <v>9.6</v>
      </c>
      <c r="AX350" s="51" t="s">
        <v>264</v>
      </c>
      <c r="AY350" s="51" t="s">
        <v>264</v>
      </c>
      <c r="AZ350" s="51" t="s">
        <v>264</v>
      </c>
      <c r="BA350" s="51" t="s">
        <v>264</v>
      </c>
      <c r="BB350" s="51" t="s">
        <v>264</v>
      </c>
      <c r="BC350" s="55"/>
      <c r="BD350" s="53">
        <v>159.30000000000001</v>
      </c>
      <c r="BE350" s="53">
        <v>31.2</v>
      </c>
      <c r="BF350" s="53">
        <v>64.599999999999994</v>
      </c>
      <c r="BG350" s="53">
        <v>9</v>
      </c>
      <c r="BH350" s="53">
        <v>300.7</v>
      </c>
      <c r="BI350" s="53">
        <v>127.7</v>
      </c>
      <c r="BJ350" s="53">
        <v>93.5</v>
      </c>
      <c r="BK350" s="53">
        <v>221.1</v>
      </c>
      <c r="BL350" s="55"/>
      <c r="BM350" s="53">
        <v>521.79999999999995</v>
      </c>
      <c r="BN350" s="53">
        <v>161.4</v>
      </c>
      <c r="BO350" s="53">
        <v>107.7</v>
      </c>
      <c r="BP350" s="53">
        <v>27.8</v>
      </c>
      <c r="BQ350" s="53">
        <v>135.5</v>
      </c>
      <c r="BR350" s="55"/>
      <c r="BS350" s="53">
        <v>296.89999999999998</v>
      </c>
      <c r="BT350" s="53">
        <v>29.1</v>
      </c>
      <c r="BU350" s="53">
        <v>17.899999999999999</v>
      </c>
      <c r="BV350" s="51" t="s">
        <v>264</v>
      </c>
      <c r="BW350" s="51" t="s">
        <v>264</v>
      </c>
      <c r="BX350" s="51">
        <v>422.9</v>
      </c>
      <c r="BY350" s="51" t="s">
        <v>264</v>
      </c>
      <c r="BZ350" s="51" t="s">
        <v>264</v>
      </c>
      <c r="CA350" s="51">
        <v>58.9</v>
      </c>
      <c r="CB350" s="53">
        <v>112.9</v>
      </c>
      <c r="CC350" s="53">
        <v>30.5</v>
      </c>
      <c r="CD350" s="53">
        <v>131.9</v>
      </c>
      <c r="CE350" s="53">
        <v>30.3</v>
      </c>
      <c r="CF350" s="53">
        <v>104.8</v>
      </c>
      <c r="CG350" s="53">
        <v>135.6</v>
      </c>
      <c r="CH350" s="53">
        <v>6.6059999999999999</v>
      </c>
      <c r="CI350" s="53">
        <v>39.4</v>
      </c>
      <c r="CJ350" s="53">
        <v>17.2</v>
      </c>
      <c r="CK350" s="53">
        <v>157</v>
      </c>
      <c r="CL350" s="53">
        <v>23.3</v>
      </c>
      <c r="CM350" s="55"/>
      <c r="CN350" s="53">
        <v>47.8</v>
      </c>
      <c r="CO350" s="53">
        <v>181.4</v>
      </c>
      <c r="CP350" s="53">
        <v>116.6</v>
      </c>
      <c r="CQ350" s="53">
        <v>64.7</v>
      </c>
      <c r="CR350" s="53" t="s">
        <v>264</v>
      </c>
      <c r="CS350" s="53">
        <v>28.212000000000003</v>
      </c>
      <c r="CT350" s="53" t="s">
        <v>265</v>
      </c>
      <c r="CU350" s="53" t="s">
        <v>265</v>
      </c>
      <c r="CV350" s="53">
        <v>161.30000000000001</v>
      </c>
      <c r="CW350" s="53" t="s">
        <v>265</v>
      </c>
      <c r="CX350" s="53" t="s">
        <v>265</v>
      </c>
      <c r="CY350" s="53" t="s">
        <v>265</v>
      </c>
      <c r="CZ350" s="53">
        <v>72.5</v>
      </c>
      <c r="DA350" s="53">
        <v>22.2</v>
      </c>
      <c r="DB350" s="53" t="s">
        <v>265</v>
      </c>
      <c r="DC350" s="53" t="s">
        <v>265</v>
      </c>
      <c r="DD350" s="55"/>
      <c r="DE350" s="55"/>
      <c r="DF350" s="55"/>
      <c r="DG350" s="55"/>
      <c r="DH350" s="55"/>
      <c r="DI350" s="53">
        <v>591.79999999999995</v>
      </c>
      <c r="DJ350" s="53">
        <v>447.9</v>
      </c>
      <c r="DK350" s="53">
        <v>887.2</v>
      </c>
      <c r="DL350" s="55"/>
      <c r="DM350" s="53">
        <v>408.7</v>
      </c>
      <c r="DN350" s="55"/>
      <c r="DO350" s="53">
        <v>189.4</v>
      </c>
      <c r="DP350" s="53">
        <v>234.9</v>
      </c>
      <c r="DQ350" s="55"/>
      <c r="DR350" s="55"/>
      <c r="DS350" s="53">
        <v>1010.9401999999999</v>
      </c>
      <c r="DT350" s="53">
        <v>3770.7</v>
      </c>
      <c r="DU350" s="53">
        <v>0.14020000000027721</v>
      </c>
      <c r="DV350" s="53">
        <v>0</v>
      </c>
      <c r="DW350" s="55"/>
      <c r="DX350" s="55"/>
      <c r="DY350" s="53"/>
      <c r="DZ350" s="53"/>
      <c r="EA350" s="53">
        <v>208.3</v>
      </c>
      <c r="EB350" s="53">
        <v>322.2</v>
      </c>
      <c r="EC350" s="53">
        <v>277.8</v>
      </c>
      <c r="ED350" s="53"/>
      <c r="EE350" s="53">
        <v>157.9</v>
      </c>
      <c r="EF350" s="53"/>
      <c r="EG350" s="53">
        <v>40</v>
      </c>
      <c r="EH350" s="53">
        <v>169.6</v>
      </c>
      <c r="EI350" s="55"/>
      <c r="EJ350" s="55"/>
      <c r="EK350" s="53">
        <v>326.76299999999992</v>
      </c>
      <c r="EL350" s="53">
        <v>1502.5</v>
      </c>
      <c r="EM350" s="55"/>
      <c r="EN350" s="55"/>
      <c r="EO350" s="53"/>
      <c r="EP350" s="53"/>
      <c r="EQ350" s="53">
        <v>225.1</v>
      </c>
      <c r="ER350" s="53">
        <v>172.8</v>
      </c>
      <c r="ES350" s="53">
        <v>342.3</v>
      </c>
      <c r="ET350" s="53"/>
      <c r="EU350" s="53">
        <v>161.1</v>
      </c>
      <c r="EV350" s="53"/>
      <c r="EW350" s="53">
        <v>72.8</v>
      </c>
      <c r="EX350" s="53">
        <v>90.8</v>
      </c>
      <c r="EY350" s="55"/>
      <c r="EZ350" s="55"/>
      <c r="FA350" s="53">
        <v>380.59470000000005</v>
      </c>
      <c r="FB350" s="53">
        <v>1445.5</v>
      </c>
      <c r="FC350" s="55"/>
      <c r="FD350" s="55"/>
      <c r="FE350" s="53"/>
      <c r="FF350" s="53"/>
      <c r="FG350" s="53">
        <v>471.9</v>
      </c>
      <c r="FH350" s="53">
        <v>360.4</v>
      </c>
      <c r="FI350" s="53">
        <v>698.1</v>
      </c>
      <c r="FJ350" s="53"/>
      <c r="FK350" s="53">
        <v>326.39999999999998</v>
      </c>
      <c r="FL350" s="53"/>
      <c r="FM350" s="53">
        <v>150.80000000000001</v>
      </c>
      <c r="FN350" s="53">
        <v>188.7</v>
      </c>
      <c r="FO350" s="55"/>
      <c r="FP350" s="55"/>
      <c r="FQ350" s="53">
        <v>807.62660000000028</v>
      </c>
      <c r="FR350" s="53">
        <v>3003.9</v>
      </c>
      <c r="FS350" s="55"/>
      <c r="FT350" s="55"/>
      <c r="FU350" s="53"/>
      <c r="FV350" s="53"/>
      <c r="FW350" s="53">
        <v>155.69999999999999</v>
      </c>
      <c r="FX350" s="53">
        <v>118</v>
      </c>
      <c r="FY350" s="53">
        <v>208.6</v>
      </c>
      <c r="FZ350" s="53"/>
      <c r="GA350" s="53">
        <v>35.299999999999997</v>
      </c>
      <c r="GB350" s="53"/>
      <c r="GC350" s="53" t="s">
        <v>265</v>
      </c>
      <c r="GD350" s="53" t="s">
        <v>265</v>
      </c>
      <c r="GE350" s="55"/>
      <c r="GF350" s="55"/>
      <c r="GG350" s="53">
        <v>372.33100000000013</v>
      </c>
      <c r="GH350" s="53">
        <v>978.2</v>
      </c>
      <c r="GI350" s="55"/>
      <c r="GJ350" s="55"/>
      <c r="GK350" s="53"/>
      <c r="GL350" s="53"/>
      <c r="GM350" s="53">
        <v>51.6</v>
      </c>
      <c r="GN350" s="53">
        <v>67.5</v>
      </c>
      <c r="GO350" s="53">
        <v>61.8</v>
      </c>
      <c r="GP350" s="53"/>
      <c r="GQ350" s="53">
        <v>29.6</v>
      </c>
      <c r="GR350" s="53"/>
      <c r="GS350" s="53" t="s">
        <v>265</v>
      </c>
      <c r="GT350" s="53" t="s">
        <v>265</v>
      </c>
      <c r="GU350" s="55"/>
      <c r="GV350" s="55"/>
      <c r="GW350" s="53">
        <v>63.843999999999994</v>
      </c>
      <c r="GX350" s="53">
        <v>293.8</v>
      </c>
      <c r="GY350" s="19">
        <v>0.98638449015835428</v>
      </c>
      <c r="GZ350" s="53">
        <v>1333</v>
      </c>
      <c r="HA350" s="53">
        <v>1351.4</v>
      </c>
      <c r="HB350" s="18">
        <v>-165.47562265979991</v>
      </c>
      <c r="HC350" s="18">
        <v>-138.41554476719921</v>
      </c>
      <c r="HD350" s="18">
        <v>1469.3243773402</v>
      </c>
      <c r="HE350" s="18">
        <v>-36.5</v>
      </c>
      <c r="HF350" s="53">
        <v>1634.8</v>
      </c>
      <c r="HG350" s="53">
        <v>1324.3</v>
      </c>
      <c r="HH350" s="53">
        <v>378.9</v>
      </c>
      <c r="HI350" s="53">
        <v>73.2</v>
      </c>
      <c r="HJ350" s="53">
        <v>866.5</v>
      </c>
      <c r="HK350" s="53">
        <v>5.7</v>
      </c>
      <c r="HL350" s="53">
        <v>310.5</v>
      </c>
      <c r="HM350" s="53">
        <v>278.10000000000002</v>
      </c>
      <c r="HN350" s="53">
        <v>138.69999999999999</v>
      </c>
      <c r="HO350" s="53">
        <v>139.4</v>
      </c>
      <c r="HP350" s="55"/>
      <c r="HQ350" s="53">
        <v>3.9</v>
      </c>
      <c r="HR350" s="53">
        <v>8.3000000000000007</v>
      </c>
      <c r="HS350" s="55"/>
      <c r="HT350" s="53">
        <v>20.2</v>
      </c>
      <c r="HU350" s="55"/>
      <c r="HV350" s="55"/>
      <c r="HW350" s="53">
        <v>333.9</v>
      </c>
      <c r="HX350" s="53" t="s">
        <v>266</v>
      </c>
      <c r="HY350" s="53">
        <v>333.9</v>
      </c>
      <c r="HZ350" s="53">
        <v>60.5</v>
      </c>
      <c r="IA350" s="53">
        <v>162.4</v>
      </c>
      <c r="IB350" s="53">
        <v>39.9</v>
      </c>
      <c r="IC350" s="53">
        <v>122.5</v>
      </c>
      <c r="ID350" s="53">
        <v>75</v>
      </c>
      <c r="IE350" s="53">
        <v>47.5</v>
      </c>
      <c r="IF350" s="55"/>
      <c r="IG350" s="55"/>
      <c r="IH350" s="53">
        <v>76.8</v>
      </c>
      <c r="II350" s="53">
        <v>30.4</v>
      </c>
      <c r="IJ350" s="53">
        <v>9.1</v>
      </c>
      <c r="IK350" s="53">
        <v>37.299999999999997</v>
      </c>
      <c r="IL350" s="53">
        <v>34.200000000000003</v>
      </c>
      <c r="IM350" s="55"/>
      <c r="IN350" s="53">
        <v>52.6</v>
      </c>
      <c r="IO350" s="53">
        <v>52.8</v>
      </c>
      <c r="IP350" s="53" t="s">
        <v>265</v>
      </c>
      <c r="IQ350" s="53">
        <v>60.1</v>
      </c>
      <c r="IR350" s="53" t="s">
        <v>265</v>
      </c>
      <c r="IS350" s="55"/>
      <c r="IT350" s="53">
        <v>48.4</v>
      </c>
      <c r="IU350" s="53" t="s">
        <v>265</v>
      </c>
      <c r="IV350" s="53" t="s">
        <v>265</v>
      </c>
      <c r="IW350" s="53" t="s">
        <v>266</v>
      </c>
      <c r="IX350" s="53" t="s">
        <v>265</v>
      </c>
      <c r="IY350" s="48">
        <f t="shared" si="17"/>
        <v>47.677619540138437</v>
      </c>
      <c r="IZ350" s="48">
        <f>IY350-'NOPA Crush'!J350</f>
        <v>-3.2380459861563793E-2</v>
      </c>
      <c r="JB350" s="63">
        <f t="shared" si="15"/>
        <v>11.500517145357627</v>
      </c>
      <c r="JC350" s="64">
        <f>JB350-'NOPA Crush'!O350</f>
        <v>-0.11948285464237252</v>
      </c>
      <c r="JD350" s="65"/>
      <c r="JE350" s="67">
        <f t="shared" si="16"/>
        <v>2484.6</v>
      </c>
      <c r="JF350" s="68">
        <f>'NOPA Crush'!Q350/'Census Crush'!JE350</f>
        <v>0.80013966030749417</v>
      </c>
    </row>
    <row r="351" spans="1:266">
      <c r="A351" s="39">
        <v>39722</v>
      </c>
      <c r="B351" s="51">
        <v>4501.5</v>
      </c>
      <c r="C351" s="51">
        <v>3910.6</v>
      </c>
      <c r="D351" s="51">
        <v>175.2</v>
      </c>
      <c r="E351" s="51">
        <v>733.6</v>
      </c>
      <c r="F351" s="51">
        <v>22.1</v>
      </c>
      <c r="G351" s="51" t="s">
        <v>264</v>
      </c>
      <c r="H351" s="51" t="s">
        <v>264</v>
      </c>
      <c r="I351" s="51" t="s">
        <v>264</v>
      </c>
      <c r="J351" s="51" t="s">
        <v>264</v>
      </c>
      <c r="K351" s="51">
        <v>1715.9</v>
      </c>
      <c r="L351" s="51">
        <v>2388.5</v>
      </c>
      <c r="M351" s="51">
        <v>2085.4</v>
      </c>
      <c r="N351" s="51">
        <v>303.10000000000002</v>
      </c>
      <c r="O351" s="53">
        <v>49.4</v>
      </c>
      <c r="P351" s="51">
        <v>143.1</v>
      </c>
      <c r="Q351" s="51">
        <v>37</v>
      </c>
      <c r="R351" s="51">
        <v>106.1</v>
      </c>
      <c r="S351" s="51"/>
      <c r="T351" s="51">
        <v>17.8</v>
      </c>
      <c r="U351" s="51">
        <v>19.8</v>
      </c>
      <c r="V351" s="51">
        <v>18.399999999999999</v>
      </c>
      <c r="W351" s="51">
        <v>1.4</v>
      </c>
      <c r="X351" s="51" t="s">
        <v>264</v>
      </c>
      <c r="Y351" s="51" t="s">
        <v>265</v>
      </c>
      <c r="Z351" s="51">
        <v>48.7</v>
      </c>
      <c r="AA351" s="51" t="s">
        <v>265</v>
      </c>
      <c r="AB351" s="51" t="s">
        <v>265</v>
      </c>
      <c r="AC351" s="51" t="s">
        <v>264</v>
      </c>
      <c r="AD351" s="51">
        <v>133.1</v>
      </c>
      <c r="AE351" s="51">
        <v>134.5</v>
      </c>
      <c r="AF351" s="51">
        <v>146.4</v>
      </c>
      <c r="AG351" s="51">
        <v>94.8</v>
      </c>
      <c r="AH351" s="51">
        <v>51.6</v>
      </c>
      <c r="AI351" s="51">
        <v>206.3</v>
      </c>
      <c r="AJ351" s="15">
        <v>202.37299999999999</v>
      </c>
      <c r="AK351" s="15">
        <v>3.6019999999999999</v>
      </c>
      <c r="AL351" s="51">
        <v>206.6</v>
      </c>
      <c r="AM351" s="51">
        <v>140.1</v>
      </c>
      <c r="AN351" s="51">
        <v>66.400000000000006</v>
      </c>
      <c r="AO351" s="51">
        <v>3267.4</v>
      </c>
      <c r="AP351" s="51">
        <v>335.5</v>
      </c>
      <c r="AQ351" s="51">
        <v>252</v>
      </c>
      <c r="AR351" s="51">
        <v>36.5</v>
      </c>
      <c r="AS351" s="51">
        <v>74.8</v>
      </c>
      <c r="AT351" s="51">
        <v>44.5</v>
      </c>
      <c r="AU351" s="51">
        <v>52.5</v>
      </c>
      <c r="AV351" s="51">
        <v>15.2</v>
      </c>
      <c r="AW351" s="51">
        <v>11.5</v>
      </c>
      <c r="AX351" s="9">
        <v>3.93</v>
      </c>
      <c r="AY351" s="51" t="s">
        <v>264</v>
      </c>
      <c r="AZ351" s="51" t="s">
        <v>264</v>
      </c>
      <c r="BA351" s="51" t="s">
        <v>264</v>
      </c>
      <c r="BB351" s="51" t="s">
        <v>264</v>
      </c>
      <c r="BC351" s="55"/>
      <c r="BD351" s="53">
        <v>173.8</v>
      </c>
      <c r="BE351" s="53">
        <v>27.2</v>
      </c>
      <c r="BF351" s="53">
        <v>68.7</v>
      </c>
      <c r="BG351" s="53">
        <v>11.6</v>
      </c>
      <c r="BH351" s="53">
        <v>306.5</v>
      </c>
      <c r="BI351" s="53">
        <v>132.19999999999999</v>
      </c>
      <c r="BJ351" s="53">
        <v>97.5</v>
      </c>
      <c r="BK351" s="53">
        <v>229.7</v>
      </c>
      <c r="BL351" s="55"/>
      <c r="BM351" s="53">
        <v>536.20000000000005</v>
      </c>
      <c r="BN351" s="53">
        <v>198.7</v>
      </c>
      <c r="BO351" s="53">
        <v>104.4</v>
      </c>
      <c r="BP351" s="53">
        <v>30</v>
      </c>
      <c r="BQ351" s="53">
        <v>134.5</v>
      </c>
      <c r="BR351" s="55"/>
      <c r="BS351" s="53">
        <v>333.2</v>
      </c>
      <c r="BT351" s="53">
        <v>32</v>
      </c>
      <c r="BU351" s="53">
        <v>16</v>
      </c>
      <c r="BV351" s="51" t="s">
        <v>264</v>
      </c>
      <c r="BW351" s="51" t="s">
        <v>264</v>
      </c>
      <c r="BX351" s="51">
        <v>453.3</v>
      </c>
      <c r="BY351" s="51" t="s">
        <v>264</v>
      </c>
      <c r="BZ351" s="51" t="s">
        <v>264</v>
      </c>
      <c r="CA351" s="51">
        <v>74.2</v>
      </c>
      <c r="CB351" s="53">
        <v>118.5</v>
      </c>
      <c r="CC351" s="53">
        <v>31.4</v>
      </c>
      <c r="CD351" s="53">
        <v>136.19999999999999</v>
      </c>
      <c r="CE351" s="53">
        <v>25.3</v>
      </c>
      <c r="CF351" s="53">
        <v>107.3</v>
      </c>
      <c r="CG351" s="53">
        <v>110.7</v>
      </c>
      <c r="CH351" s="53">
        <v>5.0049999999999999</v>
      </c>
      <c r="CI351" s="53">
        <v>39.200000000000003</v>
      </c>
      <c r="CJ351" s="53">
        <v>7.7</v>
      </c>
      <c r="CK351" s="53">
        <v>157.4</v>
      </c>
      <c r="CL351" s="53">
        <v>21.9</v>
      </c>
      <c r="CM351" s="55"/>
      <c r="CN351" s="53">
        <v>45.2</v>
      </c>
      <c r="CO351" s="53">
        <v>163.19999999999999</v>
      </c>
      <c r="CP351" s="53">
        <v>118.8</v>
      </c>
      <c r="CQ351" s="53">
        <v>44.5</v>
      </c>
      <c r="CR351" s="53" t="s">
        <v>264</v>
      </c>
      <c r="CS351" s="53">
        <v>30.085000000000001</v>
      </c>
      <c r="CT351" s="53" t="s">
        <v>265</v>
      </c>
      <c r="CU351" s="53" t="s">
        <v>265</v>
      </c>
      <c r="CV351" s="53">
        <v>169.2</v>
      </c>
      <c r="CW351" s="53" t="s">
        <v>265</v>
      </c>
      <c r="CX351" s="53" t="s">
        <v>265</v>
      </c>
      <c r="CY351" s="53" t="s">
        <v>265</v>
      </c>
      <c r="CZ351" s="53">
        <v>70.7</v>
      </c>
      <c r="DA351" s="53">
        <v>32.4</v>
      </c>
      <c r="DB351" s="53" t="s">
        <v>265</v>
      </c>
      <c r="DC351" s="53" t="s">
        <v>265</v>
      </c>
      <c r="DD351" s="55"/>
      <c r="DE351" s="55"/>
      <c r="DF351" s="55"/>
      <c r="DG351" s="55"/>
      <c r="DH351" s="55"/>
      <c r="DI351" s="53">
        <v>692.2</v>
      </c>
      <c r="DJ351" s="53">
        <v>587.1</v>
      </c>
      <c r="DK351" s="53">
        <v>917.3</v>
      </c>
      <c r="DL351" s="55"/>
      <c r="DM351" s="53">
        <v>519.29999999999995</v>
      </c>
      <c r="DN351" s="55"/>
      <c r="DO351" s="53">
        <v>237.1</v>
      </c>
      <c r="DP351" s="53">
        <v>265.7</v>
      </c>
      <c r="DQ351" s="55"/>
      <c r="DR351" s="55"/>
      <c r="DS351" s="53">
        <v>1282.6874400000004</v>
      </c>
      <c r="DT351" s="53">
        <v>4501.5</v>
      </c>
      <c r="DU351" s="53">
        <v>-0.11255999999957567</v>
      </c>
      <c r="DV351" s="53">
        <v>0</v>
      </c>
      <c r="DW351" s="55"/>
      <c r="DX351" s="55"/>
      <c r="DY351" s="53"/>
      <c r="DZ351" s="53"/>
      <c r="EA351" s="53" t="s">
        <v>265</v>
      </c>
      <c r="EB351" s="53">
        <v>779.2</v>
      </c>
      <c r="EC351" s="53">
        <v>657.4</v>
      </c>
      <c r="ED351" s="53"/>
      <c r="EE351" s="53">
        <v>295.3</v>
      </c>
      <c r="EF351" s="53"/>
      <c r="EG351" s="53" t="s">
        <v>265</v>
      </c>
      <c r="EH351" s="53">
        <v>308.3</v>
      </c>
      <c r="EI351" s="55"/>
      <c r="EJ351" s="55"/>
      <c r="EK351" s="53">
        <v>1094.2529999999997</v>
      </c>
      <c r="EL351" s="53">
        <v>3910.6</v>
      </c>
      <c r="EM351" s="55"/>
      <c r="EN351" s="55"/>
      <c r="EO351" s="53"/>
      <c r="EP351" s="53"/>
      <c r="EQ351" s="53">
        <v>272.8</v>
      </c>
      <c r="ER351" s="53">
        <v>219.1</v>
      </c>
      <c r="ES351" s="53">
        <v>346</v>
      </c>
      <c r="ET351" s="53"/>
      <c r="EU351" s="53">
        <v>189.1</v>
      </c>
      <c r="EV351" s="53"/>
      <c r="EW351" s="53">
        <v>89.2</v>
      </c>
      <c r="EX351" s="53">
        <v>102.3</v>
      </c>
      <c r="EY351" s="55"/>
      <c r="EZ351" s="55"/>
      <c r="FA351" s="53">
        <v>497.40743999999989</v>
      </c>
      <c r="FB351" s="53">
        <v>1715.9</v>
      </c>
      <c r="FC351" s="55"/>
      <c r="FD351" s="55"/>
      <c r="FE351" s="53"/>
      <c r="FF351" s="53"/>
      <c r="FG351" s="53">
        <v>538.20000000000005</v>
      </c>
      <c r="FH351" s="53">
        <v>461.3</v>
      </c>
      <c r="FI351" s="53">
        <v>716.4</v>
      </c>
      <c r="FJ351" s="53"/>
      <c r="FK351" s="53">
        <v>404.5</v>
      </c>
      <c r="FL351" s="53"/>
      <c r="FM351" s="53">
        <v>186</v>
      </c>
      <c r="FN351" s="53">
        <v>210.2</v>
      </c>
      <c r="FO351" s="55"/>
      <c r="FP351" s="55"/>
      <c r="FQ351" s="53">
        <v>1011.2455199999999</v>
      </c>
      <c r="FR351" s="53">
        <v>3527.8</v>
      </c>
      <c r="FS351" s="55"/>
      <c r="FT351" s="55"/>
      <c r="FU351" s="53"/>
      <c r="FV351" s="53"/>
      <c r="FW351" s="53">
        <v>136.1</v>
      </c>
      <c r="FX351" s="53">
        <v>116.4</v>
      </c>
      <c r="FY351" s="53">
        <v>185.6</v>
      </c>
      <c r="FZ351" s="53"/>
      <c r="GA351" s="53">
        <v>25.5</v>
      </c>
      <c r="GB351" s="53"/>
      <c r="GC351" s="53" t="s">
        <v>265</v>
      </c>
      <c r="GD351" s="53" t="s">
        <v>265</v>
      </c>
      <c r="GE351" s="55"/>
      <c r="GF351" s="55"/>
      <c r="GG351" s="53">
        <v>426.14399999999989</v>
      </c>
      <c r="GH351" s="53">
        <v>970.5</v>
      </c>
      <c r="GI351" s="55"/>
      <c r="GJ351" s="55"/>
      <c r="GK351" s="53"/>
      <c r="GL351" s="53"/>
      <c r="GM351" s="53">
        <v>70.400000000000006</v>
      </c>
      <c r="GN351" s="53">
        <v>98.4</v>
      </c>
      <c r="GO351" s="53">
        <v>57.4</v>
      </c>
      <c r="GP351" s="53"/>
      <c r="GQ351" s="53">
        <v>28.4</v>
      </c>
      <c r="GR351" s="53"/>
      <c r="GS351" s="53" t="s">
        <v>265</v>
      </c>
      <c r="GT351" s="53" t="s">
        <v>265</v>
      </c>
      <c r="GU351" s="55"/>
      <c r="GV351" s="55"/>
      <c r="GW351" s="53">
        <v>100.345</v>
      </c>
      <c r="GX351" s="53">
        <v>372</v>
      </c>
      <c r="GY351" s="19">
        <v>0.99513330512060949</v>
      </c>
      <c r="GZ351" s="53">
        <v>1410.9</v>
      </c>
      <c r="HA351" s="53">
        <v>1417.8</v>
      </c>
      <c r="HB351" s="18">
        <v>-52.023118250400103</v>
      </c>
      <c r="HC351" s="18">
        <v>80.362377501800438</v>
      </c>
      <c r="HD351" s="18">
        <v>1683.1768817495999</v>
      </c>
      <c r="HE351" s="18">
        <v>13</v>
      </c>
      <c r="HF351" s="53">
        <v>1735.2</v>
      </c>
      <c r="HG351" s="53">
        <v>1401.5</v>
      </c>
      <c r="HH351" s="53">
        <v>388.7</v>
      </c>
      <c r="HI351" s="53">
        <v>73.099999999999994</v>
      </c>
      <c r="HJ351" s="53">
        <v>933.2</v>
      </c>
      <c r="HK351" s="53">
        <v>6.5</v>
      </c>
      <c r="HL351" s="53">
        <v>333.8</v>
      </c>
      <c r="HM351" s="53">
        <v>295.3</v>
      </c>
      <c r="HN351" s="53">
        <v>132.19999999999999</v>
      </c>
      <c r="HO351" s="53">
        <v>163.1</v>
      </c>
      <c r="HP351" s="55"/>
      <c r="HQ351" s="53">
        <v>3.9</v>
      </c>
      <c r="HR351" s="53">
        <v>12.5</v>
      </c>
      <c r="HS351" s="55"/>
      <c r="HT351" s="53">
        <v>22.1</v>
      </c>
      <c r="HU351" s="55"/>
      <c r="HV351" s="55"/>
      <c r="HW351" s="53">
        <v>309.5</v>
      </c>
      <c r="HX351" s="53" t="s">
        <v>266</v>
      </c>
      <c r="HY351" s="53">
        <v>309.5</v>
      </c>
      <c r="HZ351" s="53">
        <v>59.9</v>
      </c>
      <c r="IA351" s="53">
        <v>167.2</v>
      </c>
      <c r="IB351" s="53">
        <v>33.4</v>
      </c>
      <c r="IC351" s="53">
        <v>133.80000000000001</v>
      </c>
      <c r="ID351" s="53">
        <v>85.7</v>
      </c>
      <c r="IE351" s="53">
        <v>48.1</v>
      </c>
      <c r="IF351" s="55"/>
      <c r="IG351" s="55"/>
      <c r="IH351" s="53">
        <v>37.6</v>
      </c>
      <c r="II351" s="53">
        <v>18.5</v>
      </c>
      <c r="IJ351" s="53">
        <v>5.0999999999999996</v>
      </c>
      <c r="IK351" s="53">
        <v>14</v>
      </c>
      <c r="IL351" s="53">
        <v>44.8</v>
      </c>
      <c r="IM351" s="55"/>
      <c r="IN351" s="53">
        <v>46.9</v>
      </c>
      <c r="IO351" s="53">
        <v>47.2</v>
      </c>
      <c r="IP351" s="53" t="s">
        <v>265</v>
      </c>
      <c r="IQ351" s="53">
        <v>65.7</v>
      </c>
      <c r="IR351" s="53" t="s">
        <v>265</v>
      </c>
      <c r="IS351" s="55"/>
      <c r="IT351" s="53">
        <v>52.8</v>
      </c>
      <c r="IU351" s="53" t="s">
        <v>265</v>
      </c>
      <c r="IV351" s="53" t="s">
        <v>265</v>
      </c>
      <c r="IW351" s="53" t="s">
        <v>265</v>
      </c>
      <c r="IX351" s="53" t="s">
        <v>265</v>
      </c>
      <c r="IY351" s="48">
        <f t="shared" si="17"/>
        <v>46.90969676774408</v>
      </c>
      <c r="IZ351" s="48">
        <f>IY351-'NOPA Crush'!J351</f>
        <v>0.26969676774407958</v>
      </c>
      <c r="JB351" s="63">
        <f t="shared" si="15"/>
        <v>11.43552149283572</v>
      </c>
      <c r="JC351" s="64">
        <f>JB351-'NOPA Crush'!O351</f>
        <v>-0.11447850716428043</v>
      </c>
      <c r="JD351" s="65"/>
      <c r="JE351" s="67">
        <f t="shared" si="16"/>
        <v>2388.5</v>
      </c>
      <c r="JF351" s="68">
        <f>'NOPA Crush'!Q351/'Census Crush'!JE351</f>
        <v>0.83059284069499695</v>
      </c>
    </row>
    <row r="352" spans="1:266">
      <c r="A352" s="39">
        <v>39753</v>
      </c>
      <c r="B352" s="51">
        <v>4340.5</v>
      </c>
      <c r="C352" s="51">
        <v>3651.9</v>
      </c>
      <c r="D352" s="51">
        <v>206.5</v>
      </c>
      <c r="E352" s="51">
        <v>1224.0999999999999</v>
      </c>
      <c r="F352" s="51">
        <v>15.8</v>
      </c>
      <c r="G352" s="51" t="s">
        <v>264</v>
      </c>
      <c r="H352" s="51" t="s">
        <v>264</v>
      </c>
      <c r="I352" s="51" t="s">
        <v>264</v>
      </c>
      <c r="J352" s="51" t="s">
        <v>264</v>
      </c>
      <c r="K352" s="51">
        <v>1622.9</v>
      </c>
      <c r="L352" s="51">
        <v>2519</v>
      </c>
      <c r="M352" s="51">
        <v>2187.4</v>
      </c>
      <c r="N352" s="51">
        <v>331.6</v>
      </c>
      <c r="O352" s="53">
        <v>64.400000000000006</v>
      </c>
      <c r="P352" s="51">
        <v>126.4</v>
      </c>
      <c r="Q352" s="51">
        <v>22.8</v>
      </c>
      <c r="R352" s="51">
        <v>103.6</v>
      </c>
      <c r="S352" s="51"/>
      <c r="T352" s="51">
        <v>12.4</v>
      </c>
      <c r="U352" s="51">
        <v>12.8</v>
      </c>
      <c r="V352" s="51">
        <v>10</v>
      </c>
      <c r="W352" s="51">
        <v>2.8</v>
      </c>
      <c r="X352" s="51" t="s">
        <v>264</v>
      </c>
      <c r="Y352" s="51" t="s">
        <v>265</v>
      </c>
      <c r="Z352" s="51">
        <v>81.8</v>
      </c>
      <c r="AA352" s="51" t="s">
        <v>265</v>
      </c>
      <c r="AB352" s="51" t="s">
        <v>265</v>
      </c>
      <c r="AC352" s="51" t="s">
        <v>264</v>
      </c>
      <c r="AD352" s="51">
        <v>93.3</v>
      </c>
      <c r="AE352" s="51">
        <v>93.6</v>
      </c>
      <c r="AF352" s="51">
        <v>175.9</v>
      </c>
      <c r="AG352" s="51">
        <v>113.7</v>
      </c>
      <c r="AH352" s="51">
        <v>62.2</v>
      </c>
      <c r="AI352" s="51">
        <v>210.6</v>
      </c>
      <c r="AJ352" s="15">
        <v>207.36500000000001</v>
      </c>
      <c r="AK352" s="15">
        <v>3.2160000000000002</v>
      </c>
      <c r="AL352" s="51">
        <v>219.6</v>
      </c>
      <c r="AM352" s="51">
        <v>149.9</v>
      </c>
      <c r="AN352" s="51">
        <v>69.7</v>
      </c>
      <c r="AO352" s="51">
        <v>3158</v>
      </c>
      <c r="AP352" s="51">
        <v>543.9</v>
      </c>
      <c r="AQ352" s="51">
        <v>255.4</v>
      </c>
      <c r="AR352" s="51">
        <v>56.2</v>
      </c>
      <c r="AS352" s="51">
        <v>89.7</v>
      </c>
      <c r="AT352" s="51">
        <v>56.7</v>
      </c>
      <c r="AU352" s="51">
        <v>59.4</v>
      </c>
      <c r="AV352" s="51">
        <v>19.8</v>
      </c>
      <c r="AW352" s="51">
        <v>8.1999999999999993</v>
      </c>
      <c r="AX352" s="9">
        <v>3.0920000000000001</v>
      </c>
      <c r="AY352" s="51" t="s">
        <v>264</v>
      </c>
      <c r="AZ352" s="51" t="s">
        <v>264</v>
      </c>
      <c r="BA352" s="51" t="s">
        <v>264</v>
      </c>
      <c r="BB352" s="51" t="s">
        <v>264</v>
      </c>
      <c r="BC352" s="55"/>
      <c r="BD352" s="53">
        <v>136.30000000000001</v>
      </c>
      <c r="BE352" s="53">
        <v>31.4</v>
      </c>
      <c r="BF352" s="53">
        <v>60</v>
      </c>
      <c r="BG352" s="53">
        <v>12.4</v>
      </c>
      <c r="BH352" s="53">
        <v>272</v>
      </c>
      <c r="BI352" s="53">
        <v>118.6</v>
      </c>
      <c r="BJ352" s="53">
        <v>97.7</v>
      </c>
      <c r="BK352" s="53">
        <v>216.3</v>
      </c>
      <c r="BL352" s="55"/>
      <c r="BM352" s="53">
        <v>488.3</v>
      </c>
      <c r="BN352" s="53">
        <v>200.9</v>
      </c>
      <c r="BO352" s="53">
        <v>122.6</v>
      </c>
      <c r="BP352" s="53">
        <v>28.9</v>
      </c>
      <c r="BQ352" s="53">
        <v>151.5</v>
      </c>
      <c r="BR352" s="55"/>
      <c r="BS352" s="53">
        <v>352.4</v>
      </c>
      <c r="BT352" s="53">
        <v>30.6</v>
      </c>
      <c r="BU352" s="53">
        <v>20.3</v>
      </c>
      <c r="BV352" s="51" t="s">
        <v>264</v>
      </c>
      <c r="BW352" s="51" t="s">
        <v>264</v>
      </c>
      <c r="BX352" s="51">
        <v>371.3</v>
      </c>
      <c r="BY352" s="51" t="s">
        <v>264</v>
      </c>
      <c r="BZ352" s="51" t="s">
        <v>264</v>
      </c>
      <c r="CA352" s="51">
        <v>81.099999999999994</v>
      </c>
      <c r="CB352" s="53">
        <v>102.7</v>
      </c>
      <c r="CC352" s="53">
        <v>23.8</v>
      </c>
      <c r="CD352" s="53">
        <v>121.6</v>
      </c>
      <c r="CE352" s="53">
        <v>25.9</v>
      </c>
      <c r="CF352" s="53">
        <v>100.5</v>
      </c>
      <c r="CG352" s="53">
        <v>95.6</v>
      </c>
      <c r="CH352" s="53">
        <v>6.5720000000000001</v>
      </c>
      <c r="CI352" s="53">
        <v>33.5</v>
      </c>
      <c r="CJ352" s="53">
        <v>7.5</v>
      </c>
      <c r="CK352" s="53">
        <v>143.9</v>
      </c>
      <c r="CL352" s="53">
        <v>26.9</v>
      </c>
      <c r="CM352" s="55"/>
      <c r="CN352" s="53">
        <v>63.5</v>
      </c>
      <c r="CO352" s="53">
        <v>174.6</v>
      </c>
      <c r="CP352" s="53">
        <v>109.6</v>
      </c>
      <c r="CQ352" s="53">
        <v>65</v>
      </c>
      <c r="CR352" s="53" t="s">
        <v>264</v>
      </c>
      <c r="CS352" s="53">
        <v>37.426000000000002</v>
      </c>
      <c r="CT352" s="53" t="s">
        <v>265</v>
      </c>
      <c r="CU352" s="53" t="s">
        <v>265</v>
      </c>
      <c r="CV352" s="53">
        <v>261.7</v>
      </c>
      <c r="CW352" s="53" t="s">
        <v>265</v>
      </c>
      <c r="CX352" s="53" t="s">
        <v>265</v>
      </c>
      <c r="CY352" s="53" t="s">
        <v>265</v>
      </c>
      <c r="CZ352" s="53">
        <v>79.8</v>
      </c>
      <c r="DA352" s="53">
        <v>25.5</v>
      </c>
      <c r="DB352" s="53" t="s">
        <v>265</v>
      </c>
      <c r="DC352" s="53" t="s">
        <v>265</v>
      </c>
      <c r="DD352" s="55"/>
      <c r="DE352" s="55"/>
      <c r="DF352" s="55"/>
      <c r="DG352" s="55"/>
      <c r="DH352" s="55"/>
      <c r="DI352" s="53">
        <v>663.5</v>
      </c>
      <c r="DJ352" s="53">
        <v>535.29999999999995</v>
      </c>
      <c r="DK352" s="53">
        <v>895.9</v>
      </c>
      <c r="DL352" s="55"/>
      <c r="DM352" s="53">
        <v>460.6</v>
      </c>
      <c r="DN352" s="55"/>
      <c r="DO352" s="53">
        <v>254.7</v>
      </c>
      <c r="DP352" s="53">
        <v>261</v>
      </c>
      <c r="DQ352" s="55"/>
      <c r="DR352" s="55"/>
      <c r="DS352" s="53">
        <v>1269.5450000000001</v>
      </c>
      <c r="DT352" s="53">
        <v>4340.5</v>
      </c>
      <c r="DU352" s="53">
        <v>4.500000000007276E-2</v>
      </c>
      <c r="DV352" s="53">
        <v>0</v>
      </c>
      <c r="DW352" s="55"/>
      <c r="DX352" s="55"/>
      <c r="DY352" s="53"/>
      <c r="DZ352" s="53"/>
      <c r="EA352" s="53">
        <v>551.70000000000005</v>
      </c>
      <c r="EB352" s="53">
        <v>678.4</v>
      </c>
      <c r="EC352" s="53">
        <v>439.6</v>
      </c>
      <c r="ED352" s="53"/>
      <c r="EE352" s="53">
        <v>182.7</v>
      </c>
      <c r="EF352" s="53"/>
      <c r="EG352" s="53" t="s">
        <v>265</v>
      </c>
      <c r="EH352" s="53" t="s">
        <v>265</v>
      </c>
      <c r="EI352" s="55"/>
      <c r="EJ352" s="55"/>
      <c r="EK352" s="53">
        <v>1359.8729999999998</v>
      </c>
      <c r="EL352" s="53">
        <v>3651.9</v>
      </c>
      <c r="EM352" s="55"/>
      <c r="EN352" s="55"/>
      <c r="EO352" s="53"/>
      <c r="EP352" s="53"/>
      <c r="EQ352" s="53">
        <v>245.7</v>
      </c>
      <c r="ER352" s="53">
        <v>201.3</v>
      </c>
      <c r="ES352" s="53">
        <v>342.4</v>
      </c>
      <c r="ET352" s="53"/>
      <c r="EU352" s="53">
        <v>171.1</v>
      </c>
      <c r="EV352" s="53"/>
      <c r="EW352" s="53">
        <v>92.8</v>
      </c>
      <c r="EX352" s="53">
        <v>98.3</v>
      </c>
      <c r="EY352" s="55"/>
      <c r="EZ352" s="55"/>
      <c r="FA352" s="53">
        <v>471.26300000000026</v>
      </c>
      <c r="FB352" s="53">
        <v>1622.9</v>
      </c>
      <c r="FC352" s="55"/>
      <c r="FD352" s="55"/>
      <c r="FE352" s="53"/>
      <c r="FF352" s="53"/>
      <c r="FG352" s="53">
        <v>518.9</v>
      </c>
      <c r="FH352" s="53">
        <v>426.3</v>
      </c>
      <c r="FI352" s="53">
        <v>699.1</v>
      </c>
      <c r="FJ352" s="53"/>
      <c r="FK352" s="53">
        <v>361.2</v>
      </c>
      <c r="FL352" s="53"/>
      <c r="FM352" s="53">
        <v>202.9</v>
      </c>
      <c r="FN352" s="53">
        <v>208.4</v>
      </c>
      <c r="FO352" s="55"/>
      <c r="FP352" s="55"/>
      <c r="FQ352" s="53">
        <v>1004.2309999999998</v>
      </c>
      <c r="FR352" s="53">
        <v>3421</v>
      </c>
      <c r="FS352" s="55"/>
      <c r="FT352" s="55"/>
      <c r="FU352" s="53"/>
      <c r="FV352" s="53"/>
      <c r="FW352" s="53" t="s">
        <v>265</v>
      </c>
      <c r="FX352" s="53">
        <v>124.2</v>
      </c>
      <c r="FY352" s="53">
        <v>204.1</v>
      </c>
      <c r="FZ352" s="53"/>
      <c r="GA352" s="53">
        <v>33.9</v>
      </c>
      <c r="GB352" s="53"/>
      <c r="GC352" s="53" t="s">
        <v>265</v>
      </c>
      <c r="GD352" s="53" t="s">
        <v>265</v>
      </c>
      <c r="GE352" s="55"/>
      <c r="GF352" s="55"/>
      <c r="GG352" s="53">
        <v>452.63299999999992</v>
      </c>
      <c r="GH352" s="53">
        <v>1041.3</v>
      </c>
      <c r="GI352" s="55"/>
      <c r="GJ352" s="55"/>
      <c r="GK352" s="53"/>
      <c r="GL352" s="53"/>
      <c r="GM352" s="53" t="s">
        <v>265</v>
      </c>
      <c r="GN352" s="53">
        <v>127.5</v>
      </c>
      <c r="GO352" s="53">
        <v>97.8</v>
      </c>
      <c r="GP352" s="53"/>
      <c r="GQ352" s="53">
        <v>56.9</v>
      </c>
      <c r="GR352" s="53"/>
      <c r="GS352" s="53" t="s">
        <v>265</v>
      </c>
      <c r="GT352" s="53" t="s">
        <v>265</v>
      </c>
      <c r="GU352" s="55"/>
      <c r="GV352" s="55"/>
      <c r="GW352" s="53">
        <v>154.88699999999997</v>
      </c>
      <c r="GX352" s="53">
        <v>599.70000000000005</v>
      </c>
      <c r="GY352" s="19">
        <v>0.9906868451688009</v>
      </c>
      <c r="GZ352" s="53">
        <v>1276.5</v>
      </c>
      <c r="HA352" s="53">
        <v>1288.5</v>
      </c>
      <c r="HB352" s="18">
        <v>-167.19869750919997</v>
      </c>
      <c r="HC352" s="18">
        <v>-204.15226357240044</v>
      </c>
      <c r="HD352" s="18">
        <v>1395.2013024908001</v>
      </c>
      <c r="HE352" s="18">
        <v>-18.5</v>
      </c>
      <c r="HF352" s="53">
        <v>1562.4</v>
      </c>
      <c r="HG352" s="53">
        <v>1275.5</v>
      </c>
      <c r="HH352" s="53">
        <v>348.6</v>
      </c>
      <c r="HI352" s="53">
        <v>80.400000000000006</v>
      </c>
      <c r="HJ352" s="53">
        <v>840.6</v>
      </c>
      <c r="HK352" s="53">
        <v>5.9</v>
      </c>
      <c r="HL352" s="53">
        <v>286.89999999999998</v>
      </c>
      <c r="HM352" s="53">
        <v>252.4</v>
      </c>
      <c r="HN352" s="53">
        <v>119.9</v>
      </c>
      <c r="HO352" s="53">
        <v>132.5</v>
      </c>
      <c r="HP352" s="55"/>
      <c r="HQ352" s="53">
        <v>3.9</v>
      </c>
      <c r="HR352" s="53">
        <v>10.4</v>
      </c>
      <c r="HS352" s="55"/>
      <c r="HT352" s="53">
        <v>20.3</v>
      </c>
      <c r="HU352" s="55"/>
      <c r="HV352" s="55"/>
      <c r="HW352" s="53">
        <v>293.7</v>
      </c>
      <c r="HX352" s="53" t="s">
        <v>266</v>
      </c>
      <c r="HY352" s="53">
        <v>293.7</v>
      </c>
      <c r="HZ352" s="53">
        <v>46.4</v>
      </c>
      <c r="IA352" s="53">
        <v>171.2</v>
      </c>
      <c r="IB352" s="53">
        <v>36.5</v>
      </c>
      <c r="IC352" s="53">
        <v>134.69999999999999</v>
      </c>
      <c r="ID352" s="53">
        <v>81.3</v>
      </c>
      <c r="IE352" s="53">
        <v>53.4</v>
      </c>
      <c r="IF352" s="55"/>
      <c r="IG352" s="55"/>
      <c r="IH352" s="53">
        <v>47.1</v>
      </c>
      <c r="II352" s="12">
        <v>21.200000000000003</v>
      </c>
      <c r="IJ352" s="53">
        <v>5.3</v>
      </c>
      <c r="IK352" s="53">
        <v>20.6</v>
      </c>
      <c r="IL352" s="12">
        <v>28.999999999999993</v>
      </c>
      <c r="IM352" s="55"/>
      <c r="IN352" s="53">
        <v>56.3</v>
      </c>
      <c r="IO352" s="53">
        <v>56.4</v>
      </c>
      <c r="IP352" s="53" t="s">
        <v>265</v>
      </c>
      <c r="IQ352" s="53">
        <v>66.7</v>
      </c>
      <c r="IR352" s="53" t="s">
        <v>265</v>
      </c>
      <c r="IS352" s="55"/>
      <c r="IT352" s="53">
        <v>54.9</v>
      </c>
      <c r="IU352" s="53" t="s">
        <v>265</v>
      </c>
      <c r="IV352" s="53" t="s">
        <v>265</v>
      </c>
      <c r="IW352" s="53" t="s">
        <v>265</v>
      </c>
      <c r="IX352" s="53" t="s">
        <v>265</v>
      </c>
      <c r="IY352" s="48">
        <f t="shared" si="17"/>
        <v>47.184425757401222</v>
      </c>
      <c r="IZ352" s="48">
        <f>IY352-'NOPA Crush'!J352</f>
        <v>0.23442575740121896</v>
      </c>
      <c r="JB352" s="63">
        <f t="shared" si="15"/>
        <v>11.216910494182699</v>
      </c>
      <c r="JC352" s="64">
        <f>JB352-'NOPA Crush'!O352</f>
        <v>-4.3089505817301088E-2</v>
      </c>
      <c r="JD352" s="65"/>
      <c r="JE352" s="67">
        <f t="shared" si="16"/>
        <v>2519</v>
      </c>
      <c r="JF352" s="68">
        <f>'NOPA Crush'!Q352/'Census Crush'!JE352</f>
        <v>0.81080389043271139</v>
      </c>
    </row>
    <row r="353" spans="1:266">
      <c r="A353" s="39">
        <v>39783</v>
      </c>
      <c r="B353" s="51">
        <v>4240.3999999999996</v>
      </c>
      <c r="C353" s="51">
        <v>3492.8</v>
      </c>
      <c r="D353" s="51">
        <v>230</v>
      </c>
      <c r="E353" s="51">
        <v>1400.1</v>
      </c>
      <c r="F353" s="51">
        <v>17.5</v>
      </c>
      <c r="G353" s="51" t="s">
        <v>264</v>
      </c>
      <c r="H353" s="51" t="s">
        <v>264</v>
      </c>
      <c r="I353" s="51" t="s">
        <v>264</v>
      </c>
      <c r="J353" s="51" t="s">
        <v>264</v>
      </c>
      <c r="K353" s="51">
        <v>1597</v>
      </c>
      <c r="L353" s="51">
        <v>2629.6</v>
      </c>
      <c r="M353" s="51">
        <v>2342.8000000000002</v>
      </c>
      <c r="N353" s="51">
        <v>286.8</v>
      </c>
      <c r="O353" s="53">
        <v>71.2</v>
      </c>
      <c r="P353" s="51">
        <v>120.9</v>
      </c>
      <c r="Q353" s="51">
        <v>20.399999999999999</v>
      </c>
      <c r="R353" s="51">
        <v>100.5</v>
      </c>
      <c r="S353" s="51"/>
      <c r="T353" s="51">
        <v>13.9</v>
      </c>
      <c r="U353" s="51">
        <v>20.8</v>
      </c>
      <c r="V353" s="51">
        <v>17.600000000000001</v>
      </c>
      <c r="W353" s="51">
        <v>3.2</v>
      </c>
      <c r="X353" s="51" t="s">
        <v>264</v>
      </c>
      <c r="Y353" s="51" t="s">
        <v>265</v>
      </c>
      <c r="Z353" s="51">
        <v>93</v>
      </c>
      <c r="AA353" s="9">
        <v>82.144000000000005</v>
      </c>
      <c r="AB353" s="9">
        <v>10.689</v>
      </c>
      <c r="AC353" s="9" t="s">
        <v>264</v>
      </c>
      <c r="AD353" s="9">
        <v>62.1</v>
      </c>
      <c r="AE353" s="9">
        <v>64.400000000000006</v>
      </c>
      <c r="AF353" s="51">
        <v>138.4</v>
      </c>
      <c r="AG353" s="51">
        <v>87.2</v>
      </c>
      <c r="AH353" s="51">
        <v>51.2</v>
      </c>
      <c r="AI353" s="51">
        <v>198.7</v>
      </c>
      <c r="AJ353" s="9">
        <v>195.26599999999999</v>
      </c>
      <c r="AK353" s="15">
        <v>3.4340000000000002</v>
      </c>
      <c r="AL353" s="51">
        <v>257.10000000000002</v>
      </c>
      <c r="AM353" s="51">
        <v>162.19999999999999</v>
      </c>
      <c r="AN353" s="51">
        <v>94.9</v>
      </c>
      <c r="AO353" s="51">
        <v>3101.8</v>
      </c>
      <c r="AP353" s="51">
        <v>372.3</v>
      </c>
      <c r="AQ353" s="51">
        <v>244.2</v>
      </c>
      <c r="AR353" s="51">
        <v>41.6</v>
      </c>
      <c r="AS353" s="51">
        <v>103.5</v>
      </c>
      <c r="AT353" s="51">
        <v>54.3</v>
      </c>
      <c r="AU353" s="51">
        <v>63.2</v>
      </c>
      <c r="AV353" s="51">
        <v>19.8</v>
      </c>
      <c r="AW353" s="51">
        <v>9.1999999999999993</v>
      </c>
      <c r="AX353" s="9">
        <v>1.9950000000000001</v>
      </c>
      <c r="AY353" s="51" t="s">
        <v>264</v>
      </c>
      <c r="AZ353" s="51" t="s">
        <v>264</v>
      </c>
      <c r="BA353" s="51" t="s">
        <v>264</v>
      </c>
      <c r="BB353" s="51" t="s">
        <v>264</v>
      </c>
      <c r="BC353" s="55"/>
      <c r="BD353" s="53">
        <v>150.9</v>
      </c>
      <c r="BE353" s="53">
        <v>30.1</v>
      </c>
      <c r="BF353" s="53">
        <v>61.5</v>
      </c>
      <c r="BG353" s="53">
        <v>9.3000000000000007</v>
      </c>
      <c r="BH353" s="53">
        <v>279</v>
      </c>
      <c r="BI353" s="53">
        <v>200.8</v>
      </c>
      <c r="BJ353" s="53">
        <v>92.9</v>
      </c>
      <c r="BK353" s="53">
        <v>293.60000000000002</v>
      </c>
      <c r="BL353" s="55"/>
      <c r="BM353" s="53">
        <v>572.70000000000005</v>
      </c>
      <c r="BN353" s="53">
        <v>171.4</v>
      </c>
      <c r="BO353" s="53">
        <v>96.6</v>
      </c>
      <c r="BP353" s="53">
        <v>21</v>
      </c>
      <c r="BQ353" s="53">
        <v>117.5</v>
      </c>
      <c r="BR353" s="55"/>
      <c r="BS353" s="53">
        <v>288.89999999999998</v>
      </c>
      <c r="BT353" s="53">
        <v>32.299999999999997</v>
      </c>
      <c r="BU353" s="53">
        <v>12.1</v>
      </c>
      <c r="BV353" s="51" t="s">
        <v>264</v>
      </c>
      <c r="BW353" s="51" t="s">
        <v>264</v>
      </c>
      <c r="BX353" s="51">
        <v>403.6</v>
      </c>
      <c r="BY353" s="51" t="s">
        <v>264</v>
      </c>
      <c r="BZ353" s="51" t="s">
        <v>264</v>
      </c>
      <c r="CA353" s="51">
        <v>79.400000000000006</v>
      </c>
      <c r="CB353" s="53">
        <v>111.7</v>
      </c>
      <c r="CC353" s="53">
        <v>24.9</v>
      </c>
      <c r="CD353" s="53">
        <v>125.1</v>
      </c>
      <c r="CE353" s="53">
        <v>20.5</v>
      </c>
      <c r="CF353" s="53">
        <v>86.8</v>
      </c>
      <c r="CG353" s="53">
        <v>110.7</v>
      </c>
      <c r="CH353" s="53">
        <v>5.2270000000000003</v>
      </c>
      <c r="CI353" s="53">
        <v>29.2</v>
      </c>
      <c r="CJ353" s="53">
        <v>5.5</v>
      </c>
      <c r="CK353" s="53">
        <v>150.5</v>
      </c>
      <c r="CL353" s="53">
        <v>29.9</v>
      </c>
      <c r="CM353" s="55"/>
      <c r="CN353" s="53">
        <v>38.9</v>
      </c>
      <c r="CO353" s="53">
        <v>164.1</v>
      </c>
      <c r="CP353" s="53">
        <v>101.4</v>
      </c>
      <c r="CQ353" s="53">
        <v>62.7</v>
      </c>
      <c r="CR353" s="53" t="s">
        <v>264</v>
      </c>
      <c r="CS353" s="53">
        <v>37.481999999999999</v>
      </c>
      <c r="CT353" s="53" t="s">
        <v>265</v>
      </c>
      <c r="CU353" s="53" t="s">
        <v>265</v>
      </c>
      <c r="CV353" s="53">
        <v>169.8</v>
      </c>
      <c r="CW353" s="53" t="s">
        <v>265</v>
      </c>
      <c r="CX353" s="53" t="s">
        <v>265</v>
      </c>
      <c r="CY353" s="53" t="s">
        <v>265</v>
      </c>
      <c r="CZ353" s="53">
        <v>56.8</v>
      </c>
      <c r="DA353" s="53">
        <v>21.4</v>
      </c>
      <c r="DB353" s="53" t="s">
        <v>265</v>
      </c>
      <c r="DC353" s="53" t="s">
        <v>265</v>
      </c>
      <c r="DD353" s="55"/>
      <c r="DE353" s="55"/>
      <c r="DF353" s="55"/>
      <c r="DG353" s="55"/>
      <c r="DH353" s="55"/>
      <c r="DI353" s="53">
        <v>659.7</v>
      </c>
      <c r="DJ353" s="53">
        <v>466.8</v>
      </c>
      <c r="DK353" s="53">
        <v>935.7</v>
      </c>
      <c r="DL353" s="55"/>
      <c r="DM353" s="53">
        <v>446.4</v>
      </c>
      <c r="DN353" s="55"/>
      <c r="DO353" s="53">
        <v>251.9</v>
      </c>
      <c r="DP353" s="53">
        <v>229.2</v>
      </c>
      <c r="DQ353" s="55"/>
      <c r="DR353" s="55"/>
      <c r="DS353" s="53">
        <v>1250.6725500000007</v>
      </c>
      <c r="DT353" s="53">
        <v>4240.3999999999996</v>
      </c>
      <c r="DU353" s="53">
        <v>-2.7449999999589636E-2</v>
      </c>
      <c r="DV353" s="53">
        <v>0</v>
      </c>
      <c r="DW353" s="55"/>
      <c r="DX353" s="55"/>
      <c r="DY353" s="53"/>
      <c r="DZ353" s="53"/>
      <c r="EA353" s="53">
        <v>360.4</v>
      </c>
      <c r="EB353" s="53">
        <v>587</v>
      </c>
      <c r="EC353" s="53">
        <v>473</v>
      </c>
      <c r="ED353" s="53"/>
      <c r="EE353" s="53">
        <v>243.9</v>
      </c>
      <c r="EF353" s="53"/>
      <c r="EG353" s="53" t="s">
        <v>265</v>
      </c>
      <c r="EH353" s="53" t="s">
        <v>265</v>
      </c>
      <c r="EI353" s="55"/>
      <c r="EJ353" s="55"/>
      <c r="EK353" s="53">
        <v>1427.1489999999999</v>
      </c>
      <c r="EL353" s="53">
        <v>3492.8</v>
      </c>
      <c r="EM353" s="55"/>
      <c r="EN353" s="55"/>
      <c r="EO353" s="53"/>
      <c r="EP353" s="53"/>
      <c r="EQ353" s="53">
        <v>250.6</v>
      </c>
      <c r="ER353" s="53">
        <v>177.9</v>
      </c>
      <c r="ES353" s="53">
        <v>351.7</v>
      </c>
      <c r="ET353" s="53"/>
      <c r="EU353" s="53">
        <v>174.9</v>
      </c>
      <c r="EV353" s="53"/>
      <c r="EW353" s="53">
        <v>91</v>
      </c>
      <c r="EX353" s="53">
        <v>87.2</v>
      </c>
      <c r="EY353" s="55"/>
      <c r="EZ353" s="55"/>
      <c r="FA353" s="53">
        <v>463.78790000000004</v>
      </c>
      <c r="FB353" s="53">
        <v>1597</v>
      </c>
      <c r="FC353" s="55"/>
      <c r="FD353" s="55"/>
      <c r="FE353" s="53"/>
      <c r="FF353" s="53"/>
      <c r="FG353" s="53">
        <v>519</v>
      </c>
      <c r="FH353" s="53">
        <v>369.8</v>
      </c>
      <c r="FI353" s="53">
        <v>733.4</v>
      </c>
      <c r="FJ353" s="53"/>
      <c r="FK353" s="53">
        <v>358.4</v>
      </c>
      <c r="FL353" s="53"/>
      <c r="FM353" s="53">
        <v>199.9</v>
      </c>
      <c r="FN353" s="53">
        <v>182.8</v>
      </c>
      <c r="FO353" s="55"/>
      <c r="FP353" s="55"/>
      <c r="FQ353" s="53">
        <v>990.39070000000015</v>
      </c>
      <c r="FR353" s="53">
        <v>3353.8</v>
      </c>
      <c r="FS353" s="55"/>
      <c r="FT353" s="55"/>
      <c r="FU353" s="53"/>
      <c r="FV353" s="53"/>
      <c r="FW353" s="53">
        <v>191.5</v>
      </c>
      <c r="FX353" s="53">
        <v>145.1</v>
      </c>
      <c r="FY353" s="53">
        <v>242.2</v>
      </c>
      <c r="FZ353" s="53"/>
      <c r="GA353" s="53">
        <v>57.9</v>
      </c>
      <c r="GB353" s="53"/>
      <c r="GC353" s="53" t="s">
        <v>265</v>
      </c>
      <c r="GD353" s="53" t="s">
        <v>265</v>
      </c>
      <c r="GE353" s="55"/>
      <c r="GF353" s="55"/>
      <c r="GG353" s="53">
        <v>438.67800000000005</v>
      </c>
      <c r="GH353" s="53">
        <v>1139.9000000000001</v>
      </c>
      <c r="GI353" s="55"/>
      <c r="GJ353" s="55"/>
      <c r="GK353" s="53"/>
      <c r="GL353" s="53"/>
      <c r="GM353" s="53">
        <v>102.8</v>
      </c>
      <c r="GN353" s="53">
        <v>68.5</v>
      </c>
      <c r="GO353" s="53">
        <v>61.4</v>
      </c>
      <c r="GP353" s="53"/>
      <c r="GQ353" s="53">
        <v>27</v>
      </c>
      <c r="GR353" s="53"/>
      <c r="GS353" s="53" t="s">
        <v>265</v>
      </c>
      <c r="GT353" s="53" t="s">
        <v>265</v>
      </c>
      <c r="GU353" s="55"/>
      <c r="GV353" s="55"/>
      <c r="GW353" s="53">
        <v>133.41799999999998</v>
      </c>
      <c r="GX353" s="53">
        <v>413.9</v>
      </c>
      <c r="GY353" s="19">
        <v>0.99717887684034201</v>
      </c>
      <c r="GZ353" s="53">
        <v>1131.0999999999999</v>
      </c>
      <c r="HA353" s="53">
        <v>1134.3</v>
      </c>
      <c r="HB353" s="18">
        <v>-33.141454580599657</v>
      </c>
      <c r="HC353" s="18">
        <v>-79.046014146598736</v>
      </c>
      <c r="HD353" s="18">
        <v>1371.2585454194004</v>
      </c>
      <c r="HE353" s="18">
        <v>-119.59999999999991</v>
      </c>
      <c r="HF353" s="53">
        <v>1404.4</v>
      </c>
      <c r="HG353" s="53">
        <v>1167.0999999999999</v>
      </c>
      <c r="HH353" s="53">
        <v>335.7</v>
      </c>
      <c r="HI353" s="53" t="s">
        <v>265</v>
      </c>
      <c r="HJ353" s="53">
        <v>740.1</v>
      </c>
      <c r="HK353" s="53" t="s">
        <v>265</v>
      </c>
      <c r="HL353" s="53">
        <v>237.3</v>
      </c>
      <c r="HM353" s="53">
        <v>207</v>
      </c>
      <c r="HN353" s="53">
        <v>96.8</v>
      </c>
      <c r="HO353" s="53">
        <v>110.2</v>
      </c>
      <c r="HP353" s="55"/>
      <c r="HQ353" s="53">
        <v>3.9</v>
      </c>
      <c r="HR353" s="53">
        <v>8.3000000000000007</v>
      </c>
      <c r="HS353" s="55"/>
      <c r="HT353" s="53">
        <v>18.100000000000001</v>
      </c>
      <c r="HU353" s="55"/>
      <c r="HV353" s="55"/>
      <c r="HW353" s="53">
        <v>297.2</v>
      </c>
      <c r="HX353" s="53" t="s">
        <v>266</v>
      </c>
      <c r="HY353" s="53">
        <v>297.2</v>
      </c>
      <c r="HZ353" s="53">
        <v>49.5</v>
      </c>
      <c r="IA353" s="53">
        <v>166.5</v>
      </c>
      <c r="IB353" s="53">
        <v>34.700000000000003</v>
      </c>
      <c r="IC353" s="53">
        <v>131.80000000000001</v>
      </c>
      <c r="ID353" s="53">
        <v>78.099999999999994</v>
      </c>
      <c r="IE353" s="53">
        <v>53.7</v>
      </c>
      <c r="IF353" s="55"/>
      <c r="IG353" s="55"/>
      <c r="IH353" s="53">
        <v>51.1</v>
      </c>
      <c r="II353" s="21">
        <v>28.400000000000002</v>
      </c>
      <c r="IJ353" s="21">
        <v>5</v>
      </c>
      <c r="IK353" s="53">
        <v>17.7</v>
      </c>
      <c r="IL353" s="12">
        <v>30.099999999999987</v>
      </c>
      <c r="IM353" s="55"/>
      <c r="IN353" s="53">
        <v>63.2</v>
      </c>
      <c r="IO353" s="53">
        <v>63.5</v>
      </c>
      <c r="IP353" s="53" t="s">
        <v>265</v>
      </c>
      <c r="IQ353" s="53">
        <v>64.599999999999994</v>
      </c>
      <c r="IR353" s="53" t="s">
        <v>265</v>
      </c>
      <c r="IS353" s="55"/>
      <c r="IT353" s="53">
        <v>54.3</v>
      </c>
      <c r="IU353" s="53" t="s">
        <v>265</v>
      </c>
      <c r="IV353" s="53" t="s">
        <v>265</v>
      </c>
      <c r="IW353" s="53" t="s">
        <v>265</v>
      </c>
      <c r="IX353" s="53" t="s">
        <v>265</v>
      </c>
      <c r="IY353" s="48">
        <f t="shared" si="17"/>
        <v>47.344590133006321</v>
      </c>
      <c r="IZ353" s="48">
        <f>IY353-'NOPA Crush'!J353</f>
        <v>0.21459013300631824</v>
      </c>
      <c r="JB353" s="63">
        <f t="shared" si="15"/>
        <v>11.298462409206678</v>
      </c>
      <c r="JC353" s="64">
        <f>JB353-'NOPA Crush'!O353</f>
        <v>-6.1537590793321328E-2</v>
      </c>
      <c r="JD353" s="65"/>
      <c r="JE353" s="67">
        <f t="shared" si="16"/>
        <v>2629.6</v>
      </c>
      <c r="JF353" s="68">
        <f>'NOPA Crush'!Q353/'Census Crush'!JE353</f>
        <v>0.82743991481594148</v>
      </c>
    </row>
    <row r="354" spans="1:266">
      <c r="A354" s="39">
        <v>39814</v>
      </c>
      <c r="B354" s="51">
        <v>4356.1189999999997</v>
      </c>
      <c r="C354" s="51">
        <v>3101.433</v>
      </c>
      <c r="D354" s="51">
        <v>234.33189999999999</v>
      </c>
      <c r="E354" s="51">
        <v>1391.221</v>
      </c>
      <c r="F354" s="51">
        <v>17.648</v>
      </c>
      <c r="G354" s="51" t="s">
        <v>264</v>
      </c>
      <c r="H354" s="51" t="s">
        <v>264</v>
      </c>
      <c r="I354" s="51" t="s">
        <v>264</v>
      </c>
      <c r="J354" s="51" t="s">
        <v>264</v>
      </c>
      <c r="K354" s="51">
        <v>1615.1</v>
      </c>
      <c r="L354" s="51">
        <v>2992.3</v>
      </c>
      <c r="M354" s="51">
        <v>2692.7</v>
      </c>
      <c r="N354" s="51">
        <v>299.60000000000002</v>
      </c>
      <c r="O354" s="53">
        <v>70.400000000000006</v>
      </c>
      <c r="P354" s="51">
        <v>130.80000000000001</v>
      </c>
      <c r="Q354" s="51">
        <v>51.2</v>
      </c>
      <c r="R354" s="51">
        <v>79.599999999999994</v>
      </c>
      <c r="S354" s="51"/>
      <c r="T354" s="51">
        <v>13.8</v>
      </c>
      <c r="U354" s="51">
        <v>24</v>
      </c>
      <c r="V354" s="51">
        <v>20.399999999999999</v>
      </c>
      <c r="W354" s="51">
        <v>3.5</v>
      </c>
      <c r="X354" s="51" t="s">
        <v>264</v>
      </c>
      <c r="Y354" s="51" t="s">
        <v>265</v>
      </c>
      <c r="Z354" s="51">
        <v>106.1</v>
      </c>
      <c r="AA354" s="51">
        <v>100.2</v>
      </c>
      <c r="AB354" s="51">
        <v>5.9</v>
      </c>
      <c r="AC354" s="51" t="s">
        <v>264</v>
      </c>
      <c r="AD354" s="51">
        <v>70</v>
      </c>
      <c r="AE354" s="51">
        <v>73.900000000000006</v>
      </c>
      <c r="AF354" s="51">
        <v>156.19999999999999</v>
      </c>
      <c r="AG354" s="51">
        <v>96.4</v>
      </c>
      <c r="AH354" s="51">
        <v>59.8</v>
      </c>
      <c r="AI354" s="51">
        <v>200.3</v>
      </c>
      <c r="AJ354" s="9">
        <v>197.3</v>
      </c>
      <c r="AK354" s="22">
        <v>3</v>
      </c>
      <c r="AL354" s="51">
        <v>264.8</v>
      </c>
      <c r="AM354" s="51">
        <v>153.80000000000001</v>
      </c>
      <c r="AN354" s="51">
        <v>111.1</v>
      </c>
      <c r="AO354" s="51">
        <v>3184.5717000000004</v>
      </c>
      <c r="AP354" s="51">
        <v>400.21699999999998</v>
      </c>
      <c r="AQ354" s="51">
        <v>254.61387999999999</v>
      </c>
      <c r="AR354" s="51">
        <v>45.021000000000001</v>
      </c>
      <c r="AS354" s="51">
        <v>102.7176</v>
      </c>
      <c r="AT354" s="51">
        <v>48.354999999999997</v>
      </c>
      <c r="AU354" s="51">
        <v>68.777299999999997</v>
      </c>
      <c r="AV354" s="51">
        <v>31.373999999999999</v>
      </c>
      <c r="AW354" s="51">
        <v>9.0078999999999994</v>
      </c>
      <c r="AX354" s="9">
        <v>2.2509999999999999</v>
      </c>
      <c r="AY354" s="51" t="s">
        <v>264</v>
      </c>
      <c r="AZ354" s="51" t="s">
        <v>264</v>
      </c>
      <c r="BA354" s="51" t="s">
        <v>264</v>
      </c>
      <c r="BB354" s="51" t="s">
        <v>264</v>
      </c>
      <c r="BC354" s="55"/>
      <c r="BD354" s="53">
        <v>143.1</v>
      </c>
      <c r="BE354" s="53">
        <v>41.5</v>
      </c>
      <c r="BF354" s="53">
        <v>63</v>
      </c>
      <c r="BG354" s="53">
        <v>7.7</v>
      </c>
      <c r="BH354" s="53">
        <v>283.60000000000002</v>
      </c>
      <c r="BI354" s="53">
        <v>145.9</v>
      </c>
      <c r="BJ354" s="53">
        <v>102.4</v>
      </c>
      <c r="BK354" s="53">
        <v>248.3</v>
      </c>
      <c r="BL354" s="55"/>
      <c r="BM354" s="53">
        <v>531.79999999999995</v>
      </c>
      <c r="BN354" s="53">
        <v>180.4</v>
      </c>
      <c r="BO354" s="53">
        <v>91</v>
      </c>
      <c r="BP354" s="53">
        <v>35.799999999999997</v>
      </c>
      <c r="BQ354" s="53">
        <v>126.8</v>
      </c>
      <c r="BR354" s="55"/>
      <c r="BS354" s="53">
        <v>307.2</v>
      </c>
      <c r="BT354" s="53">
        <v>31.3</v>
      </c>
      <c r="BU354" s="53">
        <v>17.5</v>
      </c>
      <c r="BV354" s="51" t="s">
        <v>264</v>
      </c>
      <c r="BW354" s="51" t="s">
        <v>264</v>
      </c>
      <c r="BX354" s="51">
        <v>423.8</v>
      </c>
      <c r="BY354" s="51" t="s">
        <v>264</v>
      </c>
      <c r="BZ354" s="51" t="s">
        <v>264</v>
      </c>
      <c r="CA354" s="51">
        <v>58.1</v>
      </c>
      <c r="CB354" s="53">
        <v>109.1</v>
      </c>
      <c r="CC354" s="53">
        <v>21.7</v>
      </c>
      <c r="CD354" s="53">
        <v>129</v>
      </c>
      <c r="CE354" s="53">
        <v>19.3</v>
      </c>
      <c r="CF354" s="53">
        <v>91.6</v>
      </c>
      <c r="CG354" s="53">
        <v>103.4</v>
      </c>
      <c r="CH354" s="53">
        <v>5.4</v>
      </c>
      <c r="CI354" s="53">
        <v>28.7</v>
      </c>
      <c r="CJ354" s="53">
        <v>7.3</v>
      </c>
      <c r="CK354" s="53">
        <v>141.1</v>
      </c>
      <c r="CL354" s="53">
        <v>21</v>
      </c>
      <c r="CM354" s="55"/>
      <c r="CN354" s="53">
        <v>46.8</v>
      </c>
      <c r="CO354" s="53">
        <v>184.4</v>
      </c>
      <c r="CP354" s="53">
        <v>127.2</v>
      </c>
      <c r="CQ354" s="53">
        <v>57.2</v>
      </c>
      <c r="CR354" s="53" t="s">
        <v>264</v>
      </c>
      <c r="CS354" s="53">
        <v>59.4</v>
      </c>
      <c r="CT354" s="53" t="s">
        <v>265</v>
      </c>
      <c r="CU354" s="53" t="s">
        <v>265</v>
      </c>
      <c r="CV354" s="53">
        <v>291.7</v>
      </c>
      <c r="CW354" s="53">
        <v>51</v>
      </c>
      <c r="CX354" s="53">
        <v>240.7</v>
      </c>
      <c r="CY354" s="53" t="s">
        <v>265</v>
      </c>
      <c r="CZ354" s="53">
        <v>94</v>
      </c>
      <c r="DA354" s="53">
        <v>33</v>
      </c>
      <c r="DB354" s="53" t="s">
        <v>265</v>
      </c>
      <c r="DC354" s="53" t="s">
        <v>265</v>
      </c>
      <c r="DD354" s="55"/>
      <c r="DE354" s="55"/>
      <c r="DF354" s="55"/>
      <c r="DG354" s="55"/>
      <c r="DH354" s="55"/>
      <c r="DI354" s="53">
        <v>659.82100000000003</v>
      </c>
      <c r="DJ354" s="53">
        <v>492.7278</v>
      </c>
      <c r="DK354" s="53">
        <v>945.47</v>
      </c>
      <c r="DL354" s="55"/>
      <c r="DM354" s="53">
        <v>468.57799999999997</v>
      </c>
      <c r="DN354" s="55"/>
      <c r="DO354" s="53">
        <v>243.78899999999999</v>
      </c>
      <c r="DP354" s="53">
        <v>227.70699999999999</v>
      </c>
      <c r="DQ354" s="55"/>
      <c r="DR354" s="55"/>
      <c r="DS354" s="53">
        <v>1318.0261999999998</v>
      </c>
      <c r="DT354" s="53">
        <v>4356.1189999999997</v>
      </c>
      <c r="DU354" s="53">
        <v>0</v>
      </c>
      <c r="DV354" s="53">
        <v>0</v>
      </c>
      <c r="DW354" s="55"/>
      <c r="DX354" s="55"/>
      <c r="DY354" s="53"/>
      <c r="DZ354" s="53"/>
      <c r="EA354" s="53">
        <v>318.00400000000002</v>
      </c>
      <c r="EB354" s="53">
        <v>581.62199999999996</v>
      </c>
      <c r="EC354" s="53">
        <v>470.35399999999998</v>
      </c>
      <c r="ED354" s="53"/>
      <c r="EE354" s="53">
        <v>171.21100000000001</v>
      </c>
      <c r="EF354" s="53"/>
      <c r="EG354" s="18">
        <v>108.59399999999999</v>
      </c>
      <c r="EH354" s="18">
        <v>245.99100000000001</v>
      </c>
      <c r="EI354" s="55"/>
      <c r="EJ354" s="55"/>
      <c r="EK354" s="53">
        <v>1244.0770000000002</v>
      </c>
      <c r="EL354" s="53">
        <v>3101.433</v>
      </c>
      <c r="EM354" s="55"/>
      <c r="EN354" s="55"/>
      <c r="EO354" s="53"/>
      <c r="EP354" s="53"/>
      <c r="EQ354" s="53">
        <v>235.4</v>
      </c>
      <c r="ER354" s="53">
        <v>187.5</v>
      </c>
      <c r="ES354" s="53">
        <v>356.6</v>
      </c>
      <c r="ET354" s="53"/>
      <c r="EU354" s="53">
        <v>177.8</v>
      </c>
      <c r="EV354" s="53"/>
      <c r="EW354" s="53">
        <v>88.2</v>
      </c>
      <c r="EX354" s="53">
        <v>82.4</v>
      </c>
      <c r="EY354" s="55"/>
      <c r="EZ354" s="55"/>
      <c r="FA354" s="53">
        <v>487.29107999999997</v>
      </c>
      <c r="FB354" s="53">
        <v>1615.1</v>
      </c>
      <c r="FC354" s="55"/>
      <c r="FD354" s="55"/>
      <c r="FE354" s="53"/>
      <c r="FF354" s="53"/>
      <c r="FG354" s="53">
        <v>521.4</v>
      </c>
      <c r="FH354" s="53">
        <v>391.4</v>
      </c>
      <c r="FI354" s="53">
        <v>748.7</v>
      </c>
      <c r="FJ354" s="53"/>
      <c r="FK354" s="53">
        <v>367.6</v>
      </c>
      <c r="FL354" s="53"/>
      <c r="FM354" s="53">
        <v>190.8</v>
      </c>
      <c r="FN354" s="53">
        <v>181.7</v>
      </c>
      <c r="FO354" s="55"/>
      <c r="FP354" s="55"/>
      <c r="FQ354" s="53">
        <v>1044.80808</v>
      </c>
      <c r="FR354" s="53">
        <v>3446.4</v>
      </c>
      <c r="FS354" s="55"/>
      <c r="FT354" s="55"/>
      <c r="FU354" s="53"/>
      <c r="FV354" s="53"/>
      <c r="FW354" s="53">
        <v>212.2</v>
      </c>
      <c r="FX354" s="53">
        <v>149.80000000000001</v>
      </c>
      <c r="FY354" s="53">
        <v>261.60000000000002</v>
      </c>
      <c r="FZ354" s="53"/>
      <c r="GA354" s="53">
        <v>87.6</v>
      </c>
      <c r="GB354" s="53"/>
      <c r="GC354" s="53" t="s">
        <v>265</v>
      </c>
      <c r="GD354" s="53" t="s">
        <v>265</v>
      </c>
      <c r="GE354" s="55"/>
      <c r="GF354" s="55"/>
      <c r="GG354" s="53">
        <v>484.21899999999977</v>
      </c>
      <c r="GH354" s="53">
        <v>1278.9000000000001</v>
      </c>
      <c r="GI354" s="55"/>
      <c r="GJ354" s="55"/>
      <c r="GK354" s="53"/>
      <c r="GL354" s="53"/>
      <c r="GM354" s="53">
        <v>108.8</v>
      </c>
      <c r="GN354" s="53">
        <v>91.8</v>
      </c>
      <c r="GO354" s="53">
        <v>73.3</v>
      </c>
      <c r="GP354" s="53"/>
      <c r="GQ354" s="53">
        <v>35.5</v>
      </c>
      <c r="GR354" s="53"/>
      <c r="GS354" s="53" t="s">
        <v>265</v>
      </c>
      <c r="GT354" s="53" t="s">
        <v>265</v>
      </c>
      <c r="GU354" s="55"/>
      <c r="GV354" s="55"/>
      <c r="GW354" s="53">
        <v>116.95</v>
      </c>
      <c r="GX354" s="53">
        <v>445.2</v>
      </c>
      <c r="GY354" s="19">
        <v>0.98493488807558083</v>
      </c>
      <c r="GZ354" s="53">
        <v>1157.2</v>
      </c>
      <c r="HA354" s="53">
        <v>1174.9000000000001</v>
      </c>
      <c r="HB354" s="18">
        <v>-117.43094006060028</v>
      </c>
      <c r="HC354" s="18">
        <v>-394.5159490322003</v>
      </c>
      <c r="HD354" s="18">
        <v>1165.1690599393996</v>
      </c>
      <c r="HE354" s="18">
        <v>-377</v>
      </c>
      <c r="HF354" s="53">
        <v>1282.5999999999999</v>
      </c>
      <c r="HG354" s="53">
        <v>1124.5</v>
      </c>
      <c r="HH354" s="53">
        <v>329.1</v>
      </c>
      <c r="HI354" s="53" t="s">
        <v>265</v>
      </c>
      <c r="HJ354" s="53">
        <v>727.4</v>
      </c>
      <c r="HK354" s="53" t="s">
        <v>265</v>
      </c>
      <c r="HL354" s="53">
        <v>158.1</v>
      </c>
      <c r="HM354" s="53">
        <v>133.30000000000001</v>
      </c>
      <c r="HN354" s="53">
        <v>70.099999999999994</v>
      </c>
      <c r="HO354" s="53">
        <v>63.2</v>
      </c>
      <c r="HP354" s="55"/>
      <c r="HQ354" s="53" t="s">
        <v>267</v>
      </c>
      <c r="HR354" s="53" t="s">
        <v>267</v>
      </c>
      <c r="HS354" s="55"/>
      <c r="HT354" s="53">
        <v>19.399999999999999</v>
      </c>
      <c r="HU354" s="55"/>
      <c r="HV354" s="55"/>
      <c r="HW354" s="53">
        <v>284.39999999999998</v>
      </c>
      <c r="HX354" s="53" t="s">
        <v>266</v>
      </c>
      <c r="HY354" s="53">
        <v>284.39999999999998</v>
      </c>
      <c r="HZ354" s="53">
        <v>36.6</v>
      </c>
      <c r="IA354" s="53">
        <v>176.5</v>
      </c>
      <c r="IB354" s="53">
        <v>43.6</v>
      </c>
      <c r="IC354" s="53">
        <v>132.9</v>
      </c>
      <c r="ID354" s="53">
        <v>81.599999999999994</v>
      </c>
      <c r="IE354" s="53">
        <v>51.3</v>
      </c>
      <c r="IF354" s="55"/>
      <c r="IG354" s="55"/>
      <c r="IH354" s="18">
        <v>24.201000000000001</v>
      </c>
      <c r="II354" s="12">
        <v>9.6379999999999999</v>
      </c>
      <c r="IJ354" s="18">
        <v>3.1629999999999998</v>
      </c>
      <c r="IK354" s="53">
        <v>11.4</v>
      </c>
      <c r="IL354" s="12">
        <v>47.098999999999982</v>
      </c>
      <c r="IM354" s="55"/>
      <c r="IN354" s="53">
        <v>57.9</v>
      </c>
      <c r="IO354" s="53">
        <v>58.3</v>
      </c>
      <c r="IP354" s="53" t="s">
        <v>265</v>
      </c>
      <c r="IQ354" s="53">
        <v>58</v>
      </c>
      <c r="IR354" s="18">
        <v>9.2089999999999996</v>
      </c>
      <c r="IS354" s="55"/>
      <c r="IT354" s="53">
        <v>47.5</v>
      </c>
      <c r="IU354" s="53" t="s">
        <v>265</v>
      </c>
      <c r="IV354" s="53" t="s">
        <v>265</v>
      </c>
      <c r="IW354" s="53" t="s">
        <v>265</v>
      </c>
      <c r="IX354" s="53" t="s">
        <v>265</v>
      </c>
      <c r="IY354" s="48">
        <f t="shared" si="17"/>
        <v>47.370408108685744</v>
      </c>
      <c r="IZ354" s="48">
        <f>IY354-'NOPA Crush'!J354</f>
        <v>0.13040810868574226</v>
      </c>
      <c r="JB354" s="63">
        <f t="shared" si="15"/>
        <v>11.12297437237137</v>
      </c>
      <c r="JC354" s="64">
        <f>JB354-'NOPA Crush'!O354</f>
        <v>-0.17702562762863039</v>
      </c>
      <c r="JD354" s="65"/>
      <c r="JE354" s="67">
        <f t="shared" si="16"/>
        <v>2992.3</v>
      </c>
      <c r="JF354" s="68">
        <f>'NOPA Crush'!Q354/'Census Crush'!JE354</f>
        <v>0.79989439561541276</v>
      </c>
    </row>
    <row r="355" spans="1:266">
      <c r="A355" s="39">
        <v>39845</v>
      </c>
      <c r="B355" s="51">
        <v>4061.3</v>
      </c>
      <c r="C355" s="51">
        <v>2993.2</v>
      </c>
      <c r="D355" s="51">
        <v>217.6</v>
      </c>
      <c r="E355" s="51">
        <v>1243.9000000000001</v>
      </c>
      <c r="F355" s="51">
        <v>8.8000000000000007</v>
      </c>
      <c r="G355" s="51" t="s">
        <v>264</v>
      </c>
      <c r="H355" s="51" t="s">
        <v>264</v>
      </c>
      <c r="I355" s="51" t="s">
        <v>264</v>
      </c>
      <c r="J355" s="51" t="s">
        <v>264</v>
      </c>
      <c r="K355" s="51">
        <v>1536.1</v>
      </c>
      <c r="L355" s="51">
        <v>3124.1</v>
      </c>
      <c r="M355" s="51">
        <v>2816.9</v>
      </c>
      <c r="N355" s="51">
        <v>307.2</v>
      </c>
      <c r="O355" s="53">
        <v>68.400000000000006</v>
      </c>
      <c r="P355" s="51">
        <v>134.6</v>
      </c>
      <c r="Q355" s="51">
        <v>57.5</v>
      </c>
      <c r="R355" s="51">
        <v>77.099999999999994</v>
      </c>
      <c r="S355" s="51"/>
      <c r="T355" s="51">
        <v>6.8</v>
      </c>
      <c r="U355" s="51">
        <v>23.4</v>
      </c>
      <c r="V355" s="51">
        <v>20.6</v>
      </c>
      <c r="W355" s="51">
        <v>2.8</v>
      </c>
      <c r="X355" s="51" t="s">
        <v>264</v>
      </c>
      <c r="Y355" s="51" t="s">
        <v>265</v>
      </c>
      <c r="Z355" s="15">
        <v>122.5</v>
      </c>
      <c r="AA355" s="15">
        <v>110</v>
      </c>
      <c r="AB355" s="51">
        <v>12.5</v>
      </c>
      <c r="AC355" s="51" t="s">
        <v>264</v>
      </c>
      <c r="AD355" s="51">
        <v>48.2</v>
      </c>
      <c r="AE355" s="51">
        <v>49.4</v>
      </c>
      <c r="AF355" s="51">
        <v>178.4</v>
      </c>
      <c r="AG355" s="51">
        <v>127.3</v>
      </c>
      <c r="AH355" s="51">
        <v>51.1</v>
      </c>
      <c r="AI355" s="51">
        <v>199.8</v>
      </c>
      <c r="AJ355" s="15">
        <v>197.001</v>
      </c>
      <c r="AK355" s="9">
        <v>2.7990000000000066</v>
      </c>
      <c r="AL355" s="51">
        <v>255.1</v>
      </c>
      <c r="AM355" s="51">
        <v>134.6</v>
      </c>
      <c r="AN355" s="51">
        <v>120.6</v>
      </c>
      <c r="AO355" s="51">
        <v>2972.2</v>
      </c>
      <c r="AP355" s="51">
        <v>393.1</v>
      </c>
      <c r="AQ355" s="51">
        <v>230.9</v>
      </c>
      <c r="AR355" s="51">
        <v>43.9</v>
      </c>
      <c r="AS355" s="51">
        <v>99.2</v>
      </c>
      <c r="AT355" s="51">
        <v>49.4</v>
      </c>
      <c r="AU355" s="51">
        <v>62.6</v>
      </c>
      <c r="AV355" s="51">
        <v>38.9</v>
      </c>
      <c r="AW355" s="51">
        <v>4.5</v>
      </c>
      <c r="AX355" s="9">
        <v>1.81</v>
      </c>
      <c r="AY355" s="51" t="s">
        <v>264</v>
      </c>
      <c r="AZ355" s="51" t="s">
        <v>264</v>
      </c>
      <c r="BA355" s="51" t="s">
        <v>264</v>
      </c>
      <c r="BB355" s="51" t="s">
        <v>264</v>
      </c>
      <c r="BC355" s="55"/>
      <c r="BD355" s="53">
        <v>143.4</v>
      </c>
      <c r="BE355" s="53">
        <v>38.9</v>
      </c>
      <c r="BF355" s="53">
        <v>57.3</v>
      </c>
      <c r="BG355" s="53">
        <v>4.8</v>
      </c>
      <c r="BH355" s="53">
        <v>274.60000000000002</v>
      </c>
      <c r="BI355" s="53">
        <v>139.6</v>
      </c>
      <c r="BJ355" s="53">
        <v>99.2</v>
      </c>
      <c r="BK355" s="53">
        <v>238.7</v>
      </c>
      <c r="BL355" s="55"/>
      <c r="BM355" s="53">
        <v>513.4</v>
      </c>
      <c r="BN355" s="53">
        <v>215</v>
      </c>
      <c r="BO355" s="53">
        <v>98.9</v>
      </c>
      <c r="BP355" s="53">
        <v>43.7</v>
      </c>
      <c r="BQ355" s="53">
        <v>142.5</v>
      </c>
      <c r="BR355" s="55"/>
      <c r="BS355" s="53">
        <v>357.5</v>
      </c>
      <c r="BT355" s="53">
        <v>27.2</v>
      </c>
      <c r="BU355" s="53">
        <v>19.100000000000001</v>
      </c>
      <c r="BV355" s="51" t="s">
        <v>264</v>
      </c>
      <c r="BW355" s="51" t="s">
        <v>264</v>
      </c>
      <c r="BX355" s="51">
        <v>381.4</v>
      </c>
      <c r="BY355" s="51" t="s">
        <v>264</v>
      </c>
      <c r="BZ355" s="51" t="s">
        <v>264</v>
      </c>
      <c r="CA355" s="51">
        <v>49.9</v>
      </c>
      <c r="CB355" s="53">
        <v>101.7</v>
      </c>
      <c r="CC355" s="53">
        <v>18.600000000000001</v>
      </c>
      <c r="CD355" s="53">
        <v>120.9</v>
      </c>
      <c r="CE355" s="53">
        <v>16.600000000000001</v>
      </c>
      <c r="CF355" s="53">
        <v>93.7</v>
      </c>
      <c r="CG355" s="53">
        <v>113.6</v>
      </c>
      <c r="CH355" s="53">
        <v>4.3</v>
      </c>
      <c r="CI355" s="53">
        <v>26.5</v>
      </c>
      <c r="CJ355" s="53">
        <v>10</v>
      </c>
      <c r="CK355" s="53">
        <v>128.80000000000001</v>
      </c>
      <c r="CL355" s="53">
        <v>19.600000000000001</v>
      </c>
      <c r="CM355" s="55"/>
      <c r="CN355" s="53">
        <v>44.3</v>
      </c>
      <c r="CO355" s="53">
        <v>216.3</v>
      </c>
      <c r="CP355" s="53">
        <v>131.80000000000001</v>
      </c>
      <c r="CQ355" s="53">
        <v>84.5</v>
      </c>
      <c r="CR355" s="53" t="s">
        <v>264</v>
      </c>
      <c r="CS355" s="53">
        <v>55</v>
      </c>
      <c r="CT355" s="53" t="s">
        <v>265</v>
      </c>
      <c r="CU355" s="53" t="s">
        <v>265</v>
      </c>
      <c r="CV355" s="53">
        <v>327.7</v>
      </c>
      <c r="CW355" s="53">
        <v>47.2</v>
      </c>
      <c r="CX355" s="53">
        <v>280.5</v>
      </c>
      <c r="CY355" s="53" t="s">
        <v>265</v>
      </c>
      <c r="CZ355" s="53">
        <v>90.4</v>
      </c>
      <c r="DA355" s="53">
        <v>26.6</v>
      </c>
      <c r="DB355" s="53" t="s">
        <v>265</v>
      </c>
      <c r="DC355" s="53" t="s">
        <v>265</v>
      </c>
      <c r="DD355" s="55"/>
      <c r="DE355" s="55"/>
      <c r="DF355" s="55"/>
      <c r="DG355" s="55"/>
      <c r="DH355" s="55"/>
      <c r="DI355" s="53">
        <v>614.1</v>
      </c>
      <c r="DJ355" s="53">
        <v>509.8</v>
      </c>
      <c r="DK355" s="53">
        <v>861.2</v>
      </c>
      <c r="DL355" s="55"/>
      <c r="DM355" s="53">
        <v>420.3</v>
      </c>
      <c r="DN355" s="55"/>
      <c r="DO355" s="53">
        <v>232</v>
      </c>
      <c r="DP355" s="53">
        <v>218.6</v>
      </c>
      <c r="DQ355" s="55"/>
      <c r="DR355" s="55"/>
      <c r="DS355" s="53">
        <v>1205.3170000000005</v>
      </c>
      <c r="DT355" s="53">
        <v>4061.3</v>
      </c>
      <c r="DU355" s="53">
        <v>1.7000000000280124E-2</v>
      </c>
      <c r="DV355" s="53">
        <v>0</v>
      </c>
      <c r="DW355" s="55"/>
      <c r="DX355" s="55"/>
      <c r="DY355" s="53"/>
      <c r="DZ355" s="53"/>
      <c r="EA355" s="53">
        <v>284.60000000000002</v>
      </c>
      <c r="EB355" s="53">
        <v>590.9</v>
      </c>
      <c r="EC355" s="53">
        <v>505.3</v>
      </c>
      <c r="ED355" s="53"/>
      <c r="EE355" s="53">
        <v>169.6</v>
      </c>
      <c r="EF355" s="53"/>
      <c r="EG355" s="53" t="s">
        <v>265</v>
      </c>
      <c r="EH355" s="53" t="s">
        <v>265</v>
      </c>
      <c r="EI355" s="55"/>
      <c r="EJ355" s="55"/>
      <c r="EK355" s="53">
        <v>1117.4919999999997</v>
      </c>
      <c r="EL355" s="53">
        <v>2993.2</v>
      </c>
      <c r="EM355" s="55"/>
      <c r="EN355" s="55"/>
      <c r="EO355" s="53"/>
      <c r="EP355" s="53"/>
      <c r="EQ355" s="53">
        <v>231</v>
      </c>
      <c r="ER355" s="53">
        <v>194.9</v>
      </c>
      <c r="ES355" s="53">
        <v>324.8</v>
      </c>
      <c r="ET355" s="53"/>
      <c r="EU355" s="53">
        <v>158.9</v>
      </c>
      <c r="EV355" s="53"/>
      <c r="EW355" s="53">
        <v>85.3</v>
      </c>
      <c r="EX355" s="53">
        <v>84</v>
      </c>
      <c r="EY355" s="55"/>
      <c r="EZ355" s="55"/>
      <c r="FA355" s="53">
        <v>457.18</v>
      </c>
      <c r="FB355" s="53">
        <v>1536.1</v>
      </c>
      <c r="FC355" s="55"/>
      <c r="FD355" s="55"/>
      <c r="FE355" s="53"/>
      <c r="FF355" s="53"/>
      <c r="FG355" s="53">
        <v>485.9</v>
      </c>
      <c r="FH355" s="53">
        <v>405.7</v>
      </c>
      <c r="FI355" s="53">
        <v>675.9</v>
      </c>
      <c r="FJ355" s="53"/>
      <c r="FK355" s="53">
        <v>331</v>
      </c>
      <c r="FL355" s="53"/>
      <c r="FM355" s="53">
        <v>183.3</v>
      </c>
      <c r="FN355" s="53">
        <v>176.8</v>
      </c>
      <c r="FO355" s="55"/>
      <c r="FP355" s="55"/>
      <c r="FQ355" s="53">
        <v>951.87299999999982</v>
      </c>
      <c r="FR355" s="53">
        <v>3210.5</v>
      </c>
      <c r="FS355" s="55"/>
      <c r="FT355" s="55"/>
      <c r="FU355" s="53"/>
      <c r="FV355" s="53"/>
      <c r="FW355" s="53">
        <v>265.2</v>
      </c>
      <c r="FX355" s="53">
        <v>161.30000000000001</v>
      </c>
      <c r="FY355" s="53">
        <v>273.3</v>
      </c>
      <c r="FZ355" s="53"/>
      <c r="GA355" s="53">
        <v>87</v>
      </c>
      <c r="GB355" s="53"/>
      <c r="GC355" s="53" t="s">
        <v>265</v>
      </c>
      <c r="GD355" s="53" t="s">
        <v>265</v>
      </c>
      <c r="GE355" s="55"/>
      <c r="GF355" s="55"/>
      <c r="GG355" s="53">
        <v>452.16800000000018</v>
      </c>
      <c r="GH355" s="53">
        <v>1337.5</v>
      </c>
      <c r="GI355" s="55"/>
      <c r="GJ355" s="55"/>
      <c r="GK355" s="53"/>
      <c r="GL355" s="53"/>
      <c r="GM355" s="53">
        <v>90.9</v>
      </c>
      <c r="GN355" s="53">
        <v>115.1</v>
      </c>
      <c r="GO355" s="53">
        <v>78.5</v>
      </c>
      <c r="GP355" s="53"/>
      <c r="GQ355" s="53">
        <v>32.5</v>
      </c>
      <c r="GR355" s="53"/>
      <c r="GS355" s="53" t="s">
        <v>265</v>
      </c>
      <c r="GT355" s="53" t="s">
        <v>265</v>
      </c>
      <c r="GU355" s="55"/>
      <c r="GV355" s="55"/>
      <c r="GW355" s="53">
        <v>98.573999999999998</v>
      </c>
      <c r="GX355" s="53">
        <v>437.1</v>
      </c>
      <c r="GY355" s="19">
        <v>0.97997551591465559</v>
      </c>
      <c r="GZ355" s="53">
        <v>1120.7</v>
      </c>
      <c r="HA355" s="53">
        <v>1143.5999999999999</v>
      </c>
      <c r="HB355" s="18">
        <v>-64.93287045840043</v>
      </c>
      <c r="HC355" s="18">
        <v>-49.099491286200191</v>
      </c>
      <c r="HD355" s="18">
        <v>1261.6671295415995</v>
      </c>
      <c r="HE355" s="18">
        <v>-250.5</v>
      </c>
      <c r="HF355" s="53">
        <v>1326.6</v>
      </c>
      <c r="HG355" s="53">
        <v>1105.4000000000001</v>
      </c>
      <c r="HH355" s="53">
        <v>312</v>
      </c>
      <c r="HI355" s="53" t="s">
        <v>265</v>
      </c>
      <c r="HJ355" s="53">
        <v>725.4</v>
      </c>
      <c r="HK355" s="53" t="s">
        <v>265</v>
      </c>
      <c r="HL355" s="53">
        <v>221.1</v>
      </c>
      <c r="HM355" s="53">
        <v>148.1</v>
      </c>
      <c r="HN355" s="53">
        <v>75.3</v>
      </c>
      <c r="HO355" s="53">
        <v>72.8</v>
      </c>
      <c r="HP355" s="55"/>
      <c r="HQ355" s="53" t="s">
        <v>267</v>
      </c>
      <c r="HR355" s="53">
        <v>6.6</v>
      </c>
      <c r="HS355" s="55"/>
      <c r="HT355" s="53">
        <v>18.3</v>
      </c>
      <c r="HU355" s="55"/>
      <c r="HV355" s="55"/>
      <c r="HW355" s="53">
        <v>277.89999999999998</v>
      </c>
      <c r="HX355" s="53" t="s">
        <v>266</v>
      </c>
      <c r="HY355" s="53">
        <v>277.89999999999998</v>
      </c>
      <c r="HZ355" s="53">
        <v>56.3</v>
      </c>
      <c r="IA355" s="53">
        <v>156.80000000000001</v>
      </c>
      <c r="IB355" s="53">
        <v>36.700000000000003</v>
      </c>
      <c r="IC355" s="53">
        <v>120.1</v>
      </c>
      <c r="ID355" s="53">
        <v>78.7</v>
      </c>
      <c r="IE355" s="53">
        <v>41.4</v>
      </c>
      <c r="IF355" s="55"/>
      <c r="IG355" s="55"/>
      <c r="IH355" s="18">
        <v>28.373999999999999</v>
      </c>
      <c r="II355" s="23">
        <v>13.508999999999999</v>
      </c>
      <c r="IJ355" s="18">
        <v>4.2649999999999997</v>
      </c>
      <c r="IK355" s="53">
        <v>10.6</v>
      </c>
      <c r="IL355" s="12">
        <v>36.425999999999959</v>
      </c>
      <c r="IM355" s="55"/>
      <c r="IN355" s="53">
        <v>58.1</v>
      </c>
      <c r="IO355" s="53">
        <v>58.4</v>
      </c>
      <c r="IP355" s="53" t="s">
        <v>265</v>
      </c>
      <c r="IQ355" s="53">
        <v>52</v>
      </c>
      <c r="IR355" s="18">
        <v>9.3510000000000009</v>
      </c>
      <c r="IS355" s="55"/>
      <c r="IT355" s="53">
        <v>41.5</v>
      </c>
      <c r="IU355" s="53" t="s">
        <v>265</v>
      </c>
      <c r="IV355" s="53" t="s">
        <v>265</v>
      </c>
      <c r="IW355" s="53" t="s">
        <v>265</v>
      </c>
      <c r="IX355" s="53" t="s">
        <v>265</v>
      </c>
      <c r="IY355" s="48">
        <f t="shared" si="17"/>
        <v>47.321301061236547</v>
      </c>
      <c r="IZ355" s="48">
        <f>IY355-'NOPA Crush'!J355</f>
        <v>0.191301061236544</v>
      </c>
      <c r="JB355" s="63">
        <f t="shared" si="15"/>
        <v>11.346859380001478</v>
      </c>
      <c r="JC355" s="64">
        <f>JB355-'NOPA Crush'!O355</f>
        <v>-6.3140619998522496E-2</v>
      </c>
      <c r="JD355" s="65"/>
      <c r="JE355" s="67">
        <f t="shared" si="16"/>
        <v>3124.1</v>
      </c>
      <c r="JF355" s="68">
        <f>'NOPA Crush'!Q355/'Census Crush'!JE355</f>
        <v>0.80052207035626266</v>
      </c>
    </row>
    <row r="356" spans="1:266">
      <c r="A356" s="39">
        <v>39873</v>
      </c>
      <c r="B356" s="51">
        <v>4331.6000000000004</v>
      </c>
      <c r="C356" s="51">
        <v>3016.2</v>
      </c>
      <c r="D356" s="51">
        <v>206.5</v>
      </c>
      <c r="E356" s="51">
        <v>1091.5999999999999</v>
      </c>
      <c r="F356" s="51">
        <v>17.2</v>
      </c>
      <c r="G356" s="51" t="s">
        <v>264</v>
      </c>
      <c r="H356" s="51" t="s">
        <v>264</v>
      </c>
      <c r="I356" s="51" t="s">
        <v>264</v>
      </c>
      <c r="J356" s="51" t="s">
        <v>264</v>
      </c>
      <c r="K356" s="51">
        <v>1636</v>
      </c>
      <c r="L356" s="51">
        <v>3191.6</v>
      </c>
      <c r="M356" s="51">
        <v>2904.2</v>
      </c>
      <c r="N356" s="51">
        <v>287.39999999999998</v>
      </c>
      <c r="O356" s="53">
        <v>65.900000000000006</v>
      </c>
      <c r="P356" s="51">
        <v>149.80000000000001</v>
      </c>
      <c r="Q356" s="51">
        <v>65.7</v>
      </c>
      <c r="R356" s="51">
        <v>84.1</v>
      </c>
      <c r="S356" s="51"/>
      <c r="T356" s="51">
        <v>14.1</v>
      </c>
      <c r="U356" s="51">
        <v>23.7</v>
      </c>
      <c r="V356" s="51">
        <v>16.8</v>
      </c>
      <c r="W356" s="51">
        <v>6.9</v>
      </c>
      <c r="X356" s="51" t="s">
        <v>264</v>
      </c>
      <c r="Y356" s="51" t="s">
        <v>265</v>
      </c>
      <c r="Z356" s="51">
        <v>127.1</v>
      </c>
      <c r="AA356" s="51">
        <v>116.6</v>
      </c>
      <c r="AB356" s="51">
        <v>10.5</v>
      </c>
      <c r="AC356" s="51" t="s">
        <v>264</v>
      </c>
      <c r="AD356" s="51">
        <v>65.099999999999994</v>
      </c>
      <c r="AE356" s="51">
        <v>66</v>
      </c>
      <c r="AF356" s="51">
        <v>192.9</v>
      </c>
      <c r="AG356" s="51">
        <v>136.4</v>
      </c>
      <c r="AH356" s="51">
        <v>56.5</v>
      </c>
      <c r="AI356" s="51">
        <v>218.8</v>
      </c>
      <c r="AJ356" s="15">
        <v>215.8</v>
      </c>
      <c r="AK356" s="9">
        <v>3</v>
      </c>
      <c r="AL356" s="51">
        <v>258.8</v>
      </c>
      <c r="AM356" s="51">
        <v>136.30000000000001</v>
      </c>
      <c r="AN356" s="51">
        <v>122.6</v>
      </c>
      <c r="AO356" s="51">
        <v>3171</v>
      </c>
      <c r="AP356" s="51">
        <v>313</v>
      </c>
      <c r="AQ356" s="51">
        <v>253.8</v>
      </c>
      <c r="AR356" s="51">
        <v>47.7</v>
      </c>
      <c r="AS356" s="51">
        <v>90.8</v>
      </c>
      <c r="AT356" s="51">
        <v>48.8</v>
      </c>
      <c r="AU356" s="51">
        <v>58.1</v>
      </c>
      <c r="AV356" s="51">
        <v>38.1</v>
      </c>
      <c r="AW356" s="51">
        <v>9.3000000000000007</v>
      </c>
      <c r="AX356" s="9">
        <v>1.296</v>
      </c>
      <c r="AY356" s="51" t="s">
        <v>264</v>
      </c>
      <c r="AZ356" s="51" t="s">
        <v>264</v>
      </c>
      <c r="BA356" s="51" t="s">
        <v>264</v>
      </c>
      <c r="BB356" s="51" t="s">
        <v>264</v>
      </c>
      <c r="BC356" s="55"/>
      <c r="BD356" s="53">
        <v>156.9</v>
      </c>
      <c r="BE356" s="53">
        <v>41.5</v>
      </c>
      <c r="BF356" s="53">
        <v>66.3</v>
      </c>
      <c r="BG356" s="53">
        <v>5.3</v>
      </c>
      <c r="BH356" s="53">
        <v>294.89999999999998</v>
      </c>
      <c r="BI356" s="53">
        <v>156.19999999999999</v>
      </c>
      <c r="BJ356" s="53">
        <v>108.7</v>
      </c>
      <c r="BK356" s="53">
        <v>264.89999999999998</v>
      </c>
      <c r="BL356" s="55"/>
      <c r="BM356" s="53">
        <v>559.79999999999995</v>
      </c>
      <c r="BN356" s="53">
        <v>278.3</v>
      </c>
      <c r="BO356" s="53">
        <v>97.6</v>
      </c>
      <c r="BP356" s="53">
        <v>45.4</v>
      </c>
      <c r="BQ356" s="53">
        <v>143</v>
      </c>
      <c r="BR356" s="55"/>
      <c r="BS356" s="53">
        <v>421.3</v>
      </c>
      <c r="BT356" s="53">
        <v>27.7</v>
      </c>
      <c r="BU356" s="53">
        <v>19.899999999999999</v>
      </c>
      <c r="BV356" s="51" t="s">
        <v>264</v>
      </c>
      <c r="BW356" s="51" t="s">
        <v>264</v>
      </c>
      <c r="BX356" s="51">
        <v>406.5</v>
      </c>
      <c r="BY356" s="51" t="s">
        <v>264</v>
      </c>
      <c r="BZ356" s="51" t="s">
        <v>264</v>
      </c>
      <c r="CA356" s="51">
        <v>51</v>
      </c>
      <c r="CB356" s="53">
        <v>109.2</v>
      </c>
      <c r="CC356" s="53">
        <v>19.399999999999999</v>
      </c>
      <c r="CD356" s="53">
        <v>132.1</v>
      </c>
      <c r="CE356" s="53">
        <v>14.2</v>
      </c>
      <c r="CF356" s="53">
        <v>106.8</v>
      </c>
      <c r="CG356" s="53">
        <v>117.4</v>
      </c>
      <c r="CH356" s="53">
        <v>5.0999999999999996</v>
      </c>
      <c r="CI356" s="53">
        <v>29.7</v>
      </c>
      <c r="CJ356" s="53">
        <v>9.3000000000000007</v>
      </c>
      <c r="CK356" s="53">
        <v>131.6</v>
      </c>
      <c r="CL356" s="53">
        <v>20.6</v>
      </c>
      <c r="CM356" s="55"/>
      <c r="CN356" s="53">
        <v>40</v>
      </c>
      <c r="CO356" s="53">
        <v>167.9</v>
      </c>
      <c r="CP356" s="53">
        <v>107.3</v>
      </c>
      <c r="CQ356" s="53">
        <v>60.7</v>
      </c>
      <c r="CR356" s="53" t="s">
        <v>264</v>
      </c>
      <c r="CS356" s="53">
        <v>51.8</v>
      </c>
      <c r="CT356" s="53" t="s">
        <v>265</v>
      </c>
      <c r="CU356" s="53" t="s">
        <v>265</v>
      </c>
      <c r="CV356" s="53">
        <v>289.7</v>
      </c>
      <c r="CW356" s="53">
        <v>32.6</v>
      </c>
      <c r="CX356" s="53">
        <v>257.10000000000002</v>
      </c>
      <c r="CY356" s="53" t="s">
        <v>265</v>
      </c>
      <c r="CZ356" s="53">
        <v>118.3</v>
      </c>
      <c r="DA356" s="53">
        <v>37.799999999999997</v>
      </c>
      <c r="DB356" s="53" t="s">
        <v>265</v>
      </c>
      <c r="DC356" s="53" t="s">
        <v>265</v>
      </c>
      <c r="DD356" s="55"/>
      <c r="DE356" s="55"/>
      <c r="DF356" s="55"/>
      <c r="DG356" s="55"/>
      <c r="DH356" s="55"/>
      <c r="DI356" s="53">
        <v>645.5</v>
      </c>
      <c r="DJ356" s="53">
        <v>472</v>
      </c>
      <c r="DK356" s="53">
        <v>962.5</v>
      </c>
      <c r="DL356" s="55"/>
      <c r="DM356" s="53">
        <v>434.8</v>
      </c>
      <c r="DN356" s="55"/>
      <c r="DO356" s="53">
        <v>243.3</v>
      </c>
      <c r="DP356" s="53">
        <v>248.3</v>
      </c>
      <c r="DQ356" s="55"/>
      <c r="DR356" s="55"/>
      <c r="DS356" s="53">
        <v>1325.3022000000001</v>
      </c>
      <c r="DT356" s="53">
        <v>4331.6000000000004</v>
      </c>
      <c r="DU356" s="53">
        <v>0.1022000000002663</v>
      </c>
      <c r="DV356" s="53">
        <v>0</v>
      </c>
      <c r="DW356" s="55"/>
      <c r="DX356" s="55"/>
      <c r="DY356" s="53"/>
      <c r="DZ356" s="53"/>
      <c r="EA356" s="53">
        <v>324.2</v>
      </c>
      <c r="EB356" s="53">
        <v>663.1</v>
      </c>
      <c r="EC356" s="53">
        <v>515.29999999999995</v>
      </c>
      <c r="ED356" s="53"/>
      <c r="EE356" s="53">
        <v>177.8</v>
      </c>
      <c r="EF356" s="53"/>
      <c r="EG356" s="53">
        <v>115</v>
      </c>
      <c r="EH356" s="53">
        <v>231.5</v>
      </c>
      <c r="EI356" s="55"/>
      <c r="EJ356" s="55"/>
      <c r="EK356" s="53">
        <v>989.32500000000005</v>
      </c>
      <c r="EL356" s="53">
        <v>3016.2</v>
      </c>
      <c r="EM356" s="55"/>
      <c r="EN356" s="55"/>
      <c r="EO356" s="53"/>
      <c r="EP356" s="53"/>
      <c r="EQ356" s="53">
        <v>244.3</v>
      </c>
      <c r="ER356" s="53">
        <v>179.6</v>
      </c>
      <c r="ES356" s="53">
        <v>364.9</v>
      </c>
      <c r="ET356" s="53"/>
      <c r="EU356" s="53">
        <v>165.7</v>
      </c>
      <c r="EV356" s="53"/>
      <c r="EW356" s="53">
        <v>90.1</v>
      </c>
      <c r="EX356" s="53">
        <v>95.5</v>
      </c>
      <c r="EY356" s="55"/>
      <c r="EZ356" s="55"/>
      <c r="FA356" s="53">
        <v>495.9654000000001</v>
      </c>
      <c r="FB356" s="53">
        <v>1636</v>
      </c>
      <c r="FC356" s="55"/>
      <c r="FD356" s="55"/>
      <c r="FE356" s="53"/>
      <c r="FF356" s="53"/>
      <c r="FG356" s="53">
        <v>507.5</v>
      </c>
      <c r="FH356" s="53">
        <v>376.6</v>
      </c>
      <c r="FI356" s="53">
        <v>758.9</v>
      </c>
      <c r="FJ356" s="53"/>
      <c r="FK356" s="53">
        <v>346.4</v>
      </c>
      <c r="FL356" s="53"/>
      <c r="FM356" s="53">
        <v>192.4</v>
      </c>
      <c r="FN356" s="53">
        <v>199.3</v>
      </c>
      <c r="FO356" s="55"/>
      <c r="FP356" s="55"/>
      <c r="FQ356" s="53">
        <v>1051.3484000000003</v>
      </c>
      <c r="FR356" s="53">
        <v>3432.5</v>
      </c>
      <c r="FS356" s="55"/>
      <c r="FT356" s="55"/>
      <c r="FU356" s="53"/>
      <c r="FV356" s="53"/>
      <c r="FW356" s="53">
        <v>285.3</v>
      </c>
      <c r="FX356" s="53">
        <v>137.80000000000001</v>
      </c>
      <c r="FY356" s="53">
        <v>300.8</v>
      </c>
      <c r="FZ356" s="53"/>
      <c r="GA356" s="53">
        <v>86.7</v>
      </c>
      <c r="GB356" s="53"/>
      <c r="GC356" s="53" t="s">
        <v>265</v>
      </c>
      <c r="GD356" s="53" t="s">
        <v>265</v>
      </c>
      <c r="GE356" s="55"/>
      <c r="GF356" s="55"/>
      <c r="GG356" s="53">
        <v>444.01499999999999</v>
      </c>
      <c r="GH356" s="53">
        <v>1381.2</v>
      </c>
      <c r="GI356" s="55"/>
      <c r="GJ356" s="55"/>
      <c r="GK356" s="53"/>
      <c r="GL356" s="53"/>
      <c r="GM356" s="53">
        <v>83.8</v>
      </c>
      <c r="GN356" s="53">
        <v>56.4</v>
      </c>
      <c r="GO356" s="53">
        <v>61.6</v>
      </c>
      <c r="GP356" s="53"/>
      <c r="GQ356" s="53">
        <v>29</v>
      </c>
      <c r="GR356" s="53"/>
      <c r="GS356" s="53" t="s">
        <v>265</v>
      </c>
      <c r="GT356" s="53" t="s">
        <v>265</v>
      </c>
      <c r="GU356" s="55"/>
      <c r="GV356" s="55"/>
      <c r="GW356" s="53">
        <v>114.83400000000003</v>
      </c>
      <c r="GX356" s="53">
        <v>360.8</v>
      </c>
      <c r="GY356" s="19">
        <v>0.97961313106990922</v>
      </c>
      <c r="GZ356" s="53">
        <v>1220.5</v>
      </c>
      <c r="HA356" s="53">
        <v>1245.9000000000001</v>
      </c>
      <c r="HB356" s="18">
        <v>64.390651713400985</v>
      </c>
      <c r="HC356" s="18">
        <v>-226.61916540079937</v>
      </c>
      <c r="HD356" s="18">
        <v>1416.4906517134009</v>
      </c>
      <c r="HE356" s="18">
        <v>-342.40000000000009</v>
      </c>
      <c r="HF356" s="53">
        <v>1352.1</v>
      </c>
      <c r="HG356" s="53">
        <v>1223.5999999999999</v>
      </c>
      <c r="HH356" s="53">
        <v>341</v>
      </c>
      <c r="HI356" s="53" t="s">
        <v>265</v>
      </c>
      <c r="HJ356" s="53">
        <v>805.2</v>
      </c>
      <c r="HK356" s="53" t="s">
        <v>265</v>
      </c>
      <c r="HL356" s="53">
        <v>128.5</v>
      </c>
      <c r="HM356" s="53">
        <v>107.4</v>
      </c>
      <c r="HN356" s="53">
        <v>52.7</v>
      </c>
      <c r="HO356" s="53">
        <v>54.7</v>
      </c>
      <c r="HP356" s="55"/>
      <c r="HQ356" s="53" t="s">
        <v>267</v>
      </c>
      <c r="HR356" s="12">
        <v>8.4260000000000002</v>
      </c>
      <c r="HS356" s="55"/>
      <c r="HT356" s="53">
        <v>14.7</v>
      </c>
      <c r="HU356" s="55"/>
      <c r="HV356" s="55"/>
      <c r="HW356" s="53">
        <v>304.60000000000002</v>
      </c>
      <c r="HX356" s="53" t="s">
        <v>266</v>
      </c>
      <c r="HY356" s="53">
        <v>304.60000000000002</v>
      </c>
      <c r="HZ356" s="24">
        <v>57</v>
      </c>
      <c r="IA356" s="53">
        <v>169</v>
      </c>
      <c r="IB356" s="53">
        <v>38.5</v>
      </c>
      <c r="IC356" s="53">
        <v>130.5</v>
      </c>
      <c r="ID356" s="53">
        <v>85.8</v>
      </c>
      <c r="IE356" s="53">
        <v>44.7</v>
      </c>
      <c r="IF356" s="55"/>
      <c r="IG356" s="55"/>
      <c r="IH356" s="18">
        <v>36.082000000000001</v>
      </c>
      <c r="II356" s="12">
        <v>13.870999999999999</v>
      </c>
      <c r="IJ356" s="18">
        <v>6.4109999999999996</v>
      </c>
      <c r="IK356" s="53">
        <v>15.8</v>
      </c>
      <c r="IL356" s="12">
        <v>42.518000000000022</v>
      </c>
      <c r="IM356" s="55"/>
      <c r="IN356" s="53">
        <v>57.2</v>
      </c>
      <c r="IO356" s="53">
        <v>57.5</v>
      </c>
      <c r="IP356" s="53" t="s">
        <v>265</v>
      </c>
      <c r="IQ356" s="53">
        <v>57.7</v>
      </c>
      <c r="IR356" s="18">
        <v>9.0470000000000006</v>
      </c>
      <c r="IS356" s="55"/>
      <c r="IT356" s="53">
        <v>47.5</v>
      </c>
      <c r="IU356" s="53" t="s">
        <v>265</v>
      </c>
      <c r="IV356" s="53" t="s">
        <v>265</v>
      </c>
      <c r="IW356" s="53" t="s">
        <v>265</v>
      </c>
      <c r="IX356" s="53" t="s">
        <v>265</v>
      </c>
      <c r="IY356" s="48">
        <f t="shared" si="17"/>
        <v>47.439283405669954</v>
      </c>
      <c r="IZ356" s="48">
        <f>IY356-'NOPA Crush'!J356</f>
        <v>8.9283405669952742E-2</v>
      </c>
      <c r="JB356" s="63">
        <f t="shared" si="15"/>
        <v>11.330686120602085</v>
      </c>
      <c r="JC356" s="64">
        <f>JB356-'NOPA Crush'!O356</f>
        <v>-8.931387939791513E-2</v>
      </c>
      <c r="JD356" s="65"/>
      <c r="JE356" s="67">
        <f t="shared" si="16"/>
        <v>3191.6</v>
      </c>
      <c r="JF356" s="68">
        <f>'NOPA Crush'!Q356/'Census Crush'!JE356</f>
        <v>0.81228976062163183</v>
      </c>
    </row>
    <row r="357" spans="1:266">
      <c r="A357" s="39">
        <v>39904</v>
      </c>
      <c r="B357" s="51">
        <v>4209</v>
      </c>
      <c r="C357" s="51">
        <v>2963.1</v>
      </c>
      <c r="D357" s="51">
        <v>170.7</v>
      </c>
      <c r="E357" s="51">
        <v>942.5</v>
      </c>
      <c r="F357" s="51">
        <v>15.3</v>
      </c>
      <c r="G357" s="51" t="s">
        <v>264</v>
      </c>
      <c r="H357" s="51" t="s">
        <v>264</v>
      </c>
      <c r="I357" s="51" t="s">
        <v>264</v>
      </c>
      <c r="J357" s="51" t="s">
        <v>264</v>
      </c>
      <c r="K357" s="51">
        <v>1596</v>
      </c>
      <c r="L357" s="51">
        <v>3279.4</v>
      </c>
      <c r="M357" s="51">
        <v>2975.6</v>
      </c>
      <c r="N357" s="51">
        <v>303.8</v>
      </c>
      <c r="O357" s="53">
        <v>53.5</v>
      </c>
      <c r="P357" s="51">
        <v>152.1</v>
      </c>
      <c r="Q357" s="9">
        <v>68.199999999999989</v>
      </c>
      <c r="R357" s="51">
        <v>83.9</v>
      </c>
      <c r="S357" s="51"/>
      <c r="T357" s="9">
        <v>12.177</v>
      </c>
      <c r="U357" s="51">
        <v>22.3</v>
      </c>
      <c r="V357" s="51">
        <v>18.899999999999999</v>
      </c>
      <c r="W357" s="51">
        <v>3.4</v>
      </c>
      <c r="X357" s="51" t="s">
        <v>264</v>
      </c>
      <c r="Y357" s="51" t="s">
        <v>265</v>
      </c>
      <c r="Z357" s="51">
        <v>113.1</v>
      </c>
      <c r="AA357" s="51" t="s">
        <v>265</v>
      </c>
      <c r="AB357" s="51" t="s">
        <v>265</v>
      </c>
      <c r="AC357" s="51" t="s">
        <v>264</v>
      </c>
      <c r="AD357" s="51">
        <v>63.6</v>
      </c>
      <c r="AE357" s="51">
        <v>65.099999999999994</v>
      </c>
      <c r="AF357" s="51">
        <v>151.4</v>
      </c>
      <c r="AG357" s="51">
        <v>108.2</v>
      </c>
      <c r="AH357" s="51">
        <v>43.2</v>
      </c>
      <c r="AI357" s="51">
        <v>189.4</v>
      </c>
      <c r="AJ357" s="9">
        <v>186.4</v>
      </c>
      <c r="AK357" s="22">
        <v>3</v>
      </c>
      <c r="AL357" s="51">
        <v>234.9</v>
      </c>
      <c r="AM357" s="51">
        <v>124.6</v>
      </c>
      <c r="AN357" s="51">
        <v>110.3</v>
      </c>
      <c r="AO357" s="51">
        <v>3092.5</v>
      </c>
      <c r="AP357" s="51">
        <v>375.9</v>
      </c>
      <c r="AQ357" s="51">
        <v>243.4</v>
      </c>
      <c r="AR357" s="51">
        <v>46.3</v>
      </c>
      <c r="AS357" s="51">
        <v>76.599999999999994</v>
      </c>
      <c r="AT357" s="51">
        <v>39.9</v>
      </c>
      <c r="AU357" s="51">
        <v>51.5</v>
      </c>
      <c r="AV357" s="51">
        <v>37.700000000000003</v>
      </c>
      <c r="AW357" s="51">
        <v>8.1999999999999993</v>
      </c>
      <c r="AX357" s="51" t="s">
        <v>264</v>
      </c>
      <c r="AY357" s="51" t="s">
        <v>264</v>
      </c>
      <c r="AZ357" s="51" t="s">
        <v>264</v>
      </c>
      <c r="BA357" s="51" t="s">
        <v>264</v>
      </c>
      <c r="BB357" s="51" t="s">
        <v>264</v>
      </c>
      <c r="BC357" s="55"/>
      <c r="BD357" s="53">
        <v>156.19999999999999</v>
      </c>
      <c r="BE357" s="53">
        <v>49.2</v>
      </c>
      <c r="BF357" s="53">
        <v>63.9</v>
      </c>
      <c r="BG357" s="53">
        <v>7.3</v>
      </c>
      <c r="BH357" s="53">
        <v>286.10000000000002</v>
      </c>
      <c r="BI357" s="53">
        <v>148.1</v>
      </c>
      <c r="BJ357" s="53">
        <v>99</v>
      </c>
      <c r="BK357" s="53">
        <v>247</v>
      </c>
      <c r="BL357" s="55"/>
      <c r="BM357" s="53">
        <v>533.1</v>
      </c>
      <c r="BN357" s="53">
        <v>209</v>
      </c>
      <c r="BO357" s="53">
        <v>105.7</v>
      </c>
      <c r="BP357" s="53">
        <v>41.9</v>
      </c>
      <c r="BQ357" s="53">
        <v>147.6</v>
      </c>
      <c r="BR357" s="55"/>
      <c r="BS357" s="53">
        <v>356.6</v>
      </c>
      <c r="BT357" s="53">
        <v>26</v>
      </c>
      <c r="BU357" s="53">
        <v>18.100000000000001</v>
      </c>
      <c r="BV357" s="51" t="s">
        <v>264</v>
      </c>
      <c r="BW357" s="51" t="s">
        <v>264</v>
      </c>
      <c r="BX357" s="51">
        <v>411</v>
      </c>
      <c r="BY357" s="51" t="s">
        <v>264</v>
      </c>
      <c r="BZ357" s="51" t="s">
        <v>264</v>
      </c>
      <c r="CA357" s="51">
        <v>49.3</v>
      </c>
      <c r="CB357" s="53">
        <v>114.2</v>
      </c>
      <c r="CC357" s="53">
        <v>20.7</v>
      </c>
      <c r="CD357" s="53">
        <v>127.5</v>
      </c>
      <c r="CE357" s="53">
        <v>14.8</v>
      </c>
      <c r="CF357" s="53">
        <v>105.8</v>
      </c>
      <c r="CG357" s="53">
        <v>136.69999999999999</v>
      </c>
      <c r="CH357" s="53">
        <v>4.4000000000000004</v>
      </c>
      <c r="CI357" s="53">
        <v>28.5</v>
      </c>
      <c r="CJ357" s="53">
        <v>5.3</v>
      </c>
      <c r="CK357" s="53">
        <v>131.30000000000001</v>
      </c>
      <c r="CL357" s="53">
        <v>23.2</v>
      </c>
      <c r="CM357" s="55"/>
      <c r="CN357" s="53">
        <v>44.4</v>
      </c>
      <c r="CO357" s="53">
        <v>144.6</v>
      </c>
      <c r="CP357" s="53">
        <v>88.5</v>
      </c>
      <c r="CQ357" s="53">
        <v>56.2</v>
      </c>
      <c r="CR357" s="53" t="s">
        <v>264</v>
      </c>
      <c r="CS357" s="53">
        <v>70.3</v>
      </c>
      <c r="CT357" s="53" t="s">
        <v>265</v>
      </c>
      <c r="CU357" s="53" t="s">
        <v>265</v>
      </c>
      <c r="CV357" s="53">
        <v>275</v>
      </c>
      <c r="CW357" s="53">
        <v>19.7</v>
      </c>
      <c r="CX357" s="53">
        <v>255.3</v>
      </c>
      <c r="CY357" s="53" t="s">
        <v>265</v>
      </c>
      <c r="CZ357" s="53">
        <v>101.7</v>
      </c>
      <c r="DA357" s="53">
        <v>25.6</v>
      </c>
      <c r="DB357" s="53" t="s">
        <v>265</v>
      </c>
      <c r="DC357" s="53" t="s">
        <v>265</v>
      </c>
      <c r="DD357" s="55"/>
      <c r="DE357" s="55"/>
      <c r="DF357" s="55"/>
      <c r="DG357" s="55"/>
      <c r="DH357" s="55"/>
      <c r="DI357" s="53">
        <v>653.4</v>
      </c>
      <c r="DJ357" s="53">
        <v>500.8</v>
      </c>
      <c r="DK357" s="53">
        <v>908.5</v>
      </c>
      <c r="DL357" s="55"/>
      <c r="DM357" s="53">
        <v>395</v>
      </c>
      <c r="DN357" s="55"/>
      <c r="DO357" s="53">
        <v>266</v>
      </c>
      <c r="DP357" s="53">
        <v>237.8</v>
      </c>
      <c r="DQ357" s="55"/>
      <c r="DR357" s="55"/>
      <c r="DS357" s="53">
        <v>1247.57276</v>
      </c>
      <c r="DT357" s="53">
        <v>4209</v>
      </c>
      <c r="DU357" s="53">
        <v>7.2760000000016589E-2</v>
      </c>
      <c r="DV357" s="53">
        <v>0</v>
      </c>
      <c r="DW357" s="55"/>
      <c r="DX357" s="55"/>
      <c r="DY357" s="53"/>
      <c r="DZ357" s="53"/>
      <c r="EA357" s="53">
        <v>351.9</v>
      </c>
      <c r="EB357" s="53">
        <v>595</v>
      </c>
      <c r="EC357" s="53">
        <v>467.3</v>
      </c>
      <c r="ED357" s="53"/>
      <c r="EE357" s="53">
        <v>186.9</v>
      </c>
      <c r="EF357" s="53"/>
      <c r="EG357" s="53">
        <v>100.7</v>
      </c>
      <c r="EH357" s="53">
        <v>241.9</v>
      </c>
      <c r="EI357" s="55"/>
      <c r="EJ357" s="55"/>
      <c r="EK357" s="53">
        <v>1019.4130000000002</v>
      </c>
      <c r="EL357" s="53">
        <v>2963.1</v>
      </c>
      <c r="EM357" s="55"/>
      <c r="EN357" s="55"/>
      <c r="EO357" s="53"/>
      <c r="EP357" s="53"/>
      <c r="EQ357" s="53">
        <v>246.5</v>
      </c>
      <c r="ER357" s="53">
        <v>193.1</v>
      </c>
      <c r="ES357" s="53">
        <v>345.7</v>
      </c>
      <c r="ET357" s="53"/>
      <c r="EU357" s="53">
        <v>153.1</v>
      </c>
      <c r="EV357" s="53"/>
      <c r="EW357" s="53">
        <v>99.2</v>
      </c>
      <c r="EX357" s="53">
        <v>90.8</v>
      </c>
      <c r="EY357" s="55"/>
      <c r="EZ357" s="55"/>
      <c r="FA357" s="53">
        <v>467.66387999999995</v>
      </c>
      <c r="FB357" s="53">
        <v>1596</v>
      </c>
      <c r="FC357" s="55"/>
      <c r="FD357" s="55"/>
      <c r="FE357" s="53"/>
      <c r="FF357" s="53"/>
      <c r="FG357" s="53">
        <v>516.4</v>
      </c>
      <c r="FH357" s="53">
        <v>401.3</v>
      </c>
      <c r="FI357" s="53">
        <v>716.8</v>
      </c>
      <c r="FJ357" s="53"/>
      <c r="FK357" s="53">
        <v>315.60000000000002</v>
      </c>
      <c r="FL357" s="53"/>
      <c r="FM357" s="53">
        <v>209.9</v>
      </c>
      <c r="FN357" s="53">
        <v>190.7</v>
      </c>
      <c r="FO357" s="55"/>
      <c r="FP357" s="55"/>
      <c r="FQ357" s="53">
        <v>992.98564000000033</v>
      </c>
      <c r="FR357" s="53">
        <v>3343.8</v>
      </c>
      <c r="FS357" s="55"/>
      <c r="FT357" s="55"/>
      <c r="FU357" s="53"/>
      <c r="FV357" s="53"/>
      <c r="FW357" s="53">
        <v>301.7</v>
      </c>
      <c r="FX357" s="53">
        <v>147.69999999999999</v>
      </c>
      <c r="FY357" s="53">
        <v>291.8</v>
      </c>
      <c r="FZ357" s="53"/>
      <c r="GA357" s="53">
        <v>80</v>
      </c>
      <c r="GB357" s="53"/>
      <c r="GC357" s="53" t="s">
        <v>265</v>
      </c>
      <c r="GD357" s="53" t="s">
        <v>265</v>
      </c>
      <c r="GE357" s="55"/>
      <c r="GF357" s="55"/>
      <c r="GG357" s="53">
        <v>442.23599999999993</v>
      </c>
      <c r="GH357" s="53">
        <v>1392.9</v>
      </c>
      <c r="GI357" s="55"/>
      <c r="GJ357" s="55"/>
      <c r="GK357" s="53"/>
      <c r="GL357" s="53"/>
      <c r="GM357" s="53">
        <v>74.900000000000006</v>
      </c>
      <c r="GN357" s="53">
        <v>91</v>
      </c>
      <c r="GO357" s="53">
        <v>108.5</v>
      </c>
      <c r="GP357" s="53"/>
      <c r="GQ357" s="53">
        <v>28.7</v>
      </c>
      <c r="GR357" s="53"/>
      <c r="GS357" s="53" t="s">
        <v>265</v>
      </c>
      <c r="GT357" s="53" t="s">
        <v>265</v>
      </c>
      <c r="GU357" s="55"/>
      <c r="GV357" s="55"/>
      <c r="GW357" s="53">
        <v>105.40700000000001</v>
      </c>
      <c r="GX357" s="53">
        <v>422.3</v>
      </c>
      <c r="GY357" s="19">
        <v>0.979125896934116</v>
      </c>
      <c r="GZ357" s="53">
        <v>1200.8</v>
      </c>
      <c r="HA357" s="53">
        <v>1226.4000000000001</v>
      </c>
      <c r="HB357" s="18">
        <v>-147.91396010700009</v>
      </c>
      <c r="HC357" s="18">
        <v>-276.52292770599934</v>
      </c>
      <c r="HD357" s="18">
        <v>1167.986039893</v>
      </c>
      <c r="HE357" s="18">
        <v>-331.89999999999986</v>
      </c>
      <c r="HF357" s="53">
        <v>1315.9</v>
      </c>
      <c r="HG357" s="53">
        <v>1194.8</v>
      </c>
      <c r="HH357" s="53">
        <v>324.89999999999998</v>
      </c>
      <c r="HI357" s="53" t="s">
        <v>265</v>
      </c>
      <c r="HJ357" s="53">
        <v>798.7</v>
      </c>
      <c r="HK357" s="53" t="s">
        <v>265</v>
      </c>
      <c r="HL357" s="53">
        <v>121.1</v>
      </c>
      <c r="HM357" s="53">
        <v>98.5</v>
      </c>
      <c r="HN357" s="53">
        <v>48.9</v>
      </c>
      <c r="HO357" s="53">
        <v>49.6</v>
      </c>
      <c r="HP357" s="55"/>
      <c r="HQ357" s="53" t="s">
        <v>267</v>
      </c>
      <c r="HR357" s="53">
        <v>10.199999999999999</v>
      </c>
      <c r="HS357" s="55"/>
      <c r="HT357" s="53">
        <v>12.1</v>
      </c>
      <c r="HU357" s="55"/>
      <c r="HV357" s="55"/>
      <c r="HW357" s="53">
        <v>319.5</v>
      </c>
      <c r="HX357" s="53" t="s">
        <v>266</v>
      </c>
      <c r="HY357" s="53">
        <v>319.5</v>
      </c>
      <c r="HZ357" s="24">
        <v>57</v>
      </c>
      <c r="IA357" s="53">
        <v>176.1</v>
      </c>
      <c r="IB357" s="53">
        <v>40</v>
      </c>
      <c r="IC357" s="53">
        <v>136</v>
      </c>
      <c r="ID357" s="53">
        <v>86.9</v>
      </c>
      <c r="IE357" s="12">
        <v>45.792000000000002</v>
      </c>
      <c r="IF357" s="55"/>
      <c r="IG357" s="55"/>
      <c r="IH357" s="18">
        <v>61.213000000000001</v>
      </c>
      <c r="II357" s="12">
        <v>20.913</v>
      </c>
      <c r="IJ357" s="21">
        <v>20</v>
      </c>
      <c r="IK357" s="53">
        <v>20.3</v>
      </c>
      <c r="IL357" s="12">
        <v>25.187000000000005</v>
      </c>
      <c r="IM357" s="55"/>
      <c r="IN357" s="53">
        <v>43.7</v>
      </c>
      <c r="IO357" s="53">
        <v>44</v>
      </c>
      <c r="IP357" s="53" t="s">
        <v>265</v>
      </c>
      <c r="IQ357" s="53">
        <v>50.8</v>
      </c>
      <c r="IR357" s="18">
        <v>8.9879999999999995</v>
      </c>
      <c r="IS357" s="55"/>
      <c r="IT357" s="53">
        <v>40.700000000000003</v>
      </c>
      <c r="IU357" s="53" t="s">
        <v>265</v>
      </c>
      <c r="IV357" s="53" t="s">
        <v>265</v>
      </c>
      <c r="IW357" s="53" t="s">
        <v>265</v>
      </c>
      <c r="IX357" s="53" t="s">
        <v>265</v>
      </c>
      <c r="IY357" s="48">
        <f t="shared" si="17"/>
        <v>47.553813257305769</v>
      </c>
      <c r="IZ357" s="48">
        <f>IY357-'NOPA Crush'!J357</f>
        <v>0.20381325730576805</v>
      </c>
      <c r="JB357" s="63">
        <f t="shared" si="15"/>
        <v>11.375623663578047</v>
      </c>
      <c r="JC357" s="64">
        <f>JB357-'NOPA Crush'!O357</f>
        <v>3.5623663578046916E-2</v>
      </c>
      <c r="JD357" s="65"/>
      <c r="JE357" s="67">
        <f t="shared" si="16"/>
        <v>3279.4</v>
      </c>
      <c r="JF357" s="68">
        <f>'NOPA Crush'!Q357/'Census Crush'!JE357</f>
        <v>0.8263566506068184</v>
      </c>
    </row>
    <row r="358" spans="1:266">
      <c r="A358" s="39">
        <v>39934</v>
      </c>
      <c r="B358" s="51">
        <v>4385.1000000000004</v>
      </c>
      <c r="C358" s="51">
        <v>2475.6999999999998</v>
      </c>
      <c r="D358" s="51">
        <v>168.1</v>
      </c>
      <c r="E358" s="51">
        <v>792.1</v>
      </c>
      <c r="F358" s="9">
        <v>15.082000000000001</v>
      </c>
      <c r="G358" s="51" t="s">
        <v>264</v>
      </c>
      <c r="H358" s="51" t="s">
        <v>264</v>
      </c>
      <c r="I358" s="51" t="s">
        <v>264</v>
      </c>
      <c r="J358" s="51" t="s">
        <v>264</v>
      </c>
      <c r="K358" s="51">
        <v>1683.2</v>
      </c>
      <c r="L358" s="51">
        <v>3338.8</v>
      </c>
      <c r="M358" s="51">
        <v>3034.7</v>
      </c>
      <c r="N358" s="51">
        <v>304</v>
      </c>
      <c r="O358" s="53">
        <v>57.2</v>
      </c>
      <c r="P358" s="51">
        <v>161.1</v>
      </c>
      <c r="Q358" s="9">
        <v>68.699999999999989</v>
      </c>
      <c r="R358" s="51">
        <v>92.4</v>
      </c>
      <c r="S358" s="51"/>
      <c r="T358" s="51">
        <v>11.9</v>
      </c>
      <c r="U358" s="51">
        <v>21.6</v>
      </c>
      <c r="V358" s="51">
        <v>16.8</v>
      </c>
      <c r="W358" s="51">
        <v>4.8</v>
      </c>
      <c r="X358" s="51" t="s">
        <v>264</v>
      </c>
      <c r="Y358" s="51" t="s">
        <v>265</v>
      </c>
      <c r="Z358" s="51">
        <v>124.7</v>
      </c>
      <c r="AA358" s="51" t="s">
        <v>265</v>
      </c>
      <c r="AB358" s="51" t="s">
        <v>265</v>
      </c>
      <c r="AC358" s="51" t="s">
        <v>264</v>
      </c>
      <c r="AD358" s="51">
        <v>70.5</v>
      </c>
      <c r="AE358" s="51">
        <v>71.8</v>
      </c>
      <c r="AF358" s="51">
        <v>138.19999999999999</v>
      </c>
      <c r="AG358" s="51">
        <v>87.8</v>
      </c>
      <c r="AH358" s="51">
        <v>50.3</v>
      </c>
      <c r="AI358" s="51">
        <v>202.5</v>
      </c>
      <c r="AJ358" s="9">
        <v>199.5</v>
      </c>
      <c r="AK358" s="22">
        <v>3</v>
      </c>
      <c r="AL358" s="51">
        <v>226.9</v>
      </c>
      <c r="AM358" s="51">
        <v>132.30000000000001</v>
      </c>
      <c r="AN358" s="51">
        <v>94.6</v>
      </c>
      <c r="AO358" s="51">
        <v>3245</v>
      </c>
      <c r="AP358" s="51">
        <v>517.20000000000005</v>
      </c>
      <c r="AQ358" s="51">
        <v>255.4</v>
      </c>
      <c r="AR358" s="51">
        <v>59.8</v>
      </c>
      <c r="AS358" s="51">
        <v>73.099999999999994</v>
      </c>
      <c r="AT358" s="51">
        <v>42.9</v>
      </c>
      <c r="AU358" s="51">
        <v>52.4</v>
      </c>
      <c r="AV358" s="51">
        <v>44.3</v>
      </c>
      <c r="AW358" s="9">
        <v>8.1430000000000007</v>
      </c>
      <c r="AX358" s="51" t="s">
        <v>264</v>
      </c>
      <c r="AY358" s="51" t="s">
        <v>264</v>
      </c>
      <c r="AZ358" s="51" t="s">
        <v>264</v>
      </c>
      <c r="BA358" s="51" t="s">
        <v>264</v>
      </c>
      <c r="BB358" s="51" t="s">
        <v>264</v>
      </c>
      <c r="BC358" s="55"/>
      <c r="BD358" s="53">
        <v>160.5</v>
      </c>
      <c r="BE358" s="53">
        <v>41.1</v>
      </c>
      <c r="BF358" s="53">
        <v>64.2</v>
      </c>
      <c r="BG358" s="53">
        <v>8.1</v>
      </c>
      <c r="BH358" s="53">
        <v>284.8</v>
      </c>
      <c r="BI358" s="53">
        <v>147.1</v>
      </c>
      <c r="BJ358" s="53">
        <v>78.900000000000006</v>
      </c>
      <c r="BK358" s="53">
        <v>226</v>
      </c>
      <c r="BL358" s="55"/>
      <c r="BM358" s="53">
        <v>510.8</v>
      </c>
      <c r="BN358" s="53">
        <v>177.5</v>
      </c>
      <c r="BO358" s="53">
        <v>92.7</v>
      </c>
      <c r="BP358" s="53">
        <v>36.9</v>
      </c>
      <c r="BQ358" s="53">
        <v>129.6</v>
      </c>
      <c r="BR358" s="55"/>
      <c r="BS358" s="53">
        <v>307.10000000000002</v>
      </c>
      <c r="BT358" s="53">
        <v>23.7</v>
      </c>
      <c r="BU358" s="53">
        <v>22.5</v>
      </c>
      <c r="BV358" s="51" t="s">
        <v>264</v>
      </c>
      <c r="BW358" s="51" t="s">
        <v>264</v>
      </c>
      <c r="BX358" s="51">
        <v>386.9</v>
      </c>
      <c r="BY358" s="51" t="s">
        <v>264</v>
      </c>
      <c r="BZ358" s="51" t="s">
        <v>264</v>
      </c>
      <c r="CA358" s="51">
        <v>53.5</v>
      </c>
      <c r="CB358" s="53">
        <v>116.6</v>
      </c>
      <c r="CC358" s="53">
        <v>23.5</v>
      </c>
      <c r="CD358" s="53">
        <v>126</v>
      </c>
      <c r="CE358" s="53">
        <v>17.899999999999999</v>
      </c>
      <c r="CF358" s="53">
        <v>104.4</v>
      </c>
      <c r="CG358" s="53">
        <v>135.30000000000001</v>
      </c>
      <c r="CH358" s="53">
        <v>4</v>
      </c>
      <c r="CI358" s="53">
        <v>31.3</v>
      </c>
      <c r="CJ358" s="53">
        <v>9.3000000000000007</v>
      </c>
      <c r="CK358" s="53">
        <v>139.19999999999999</v>
      </c>
      <c r="CL358" s="53">
        <v>24.2</v>
      </c>
      <c r="CM358" s="55"/>
      <c r="CN358" s="53">
        <v>44</v>
      </c>
      <c r="CO358" s="53">
        <v>138.69999999999999</v>
      </c>
      <c r="CP358" s="53">
        <v>94.1</v>
      </c>
      <c r="CQ358" s="53">
        <v>44.6</v>
      </c>
      <c r="CR358" s="53" t="s">
        <v>264</v>
      </c>
      <c r="CS358" s="53">
        <v>72.5</v>
      </c>
      <c r="CT358" s="53" t="s">
        <v>265</v>
      </c>
      <c r="CU358" s="53" t="s">
        <v>265</v>
      </c>
      <c r="CV358" s="53">
        <v>289.5</v>
      </c>
      <c r="CW358" s="12">
        <v>34.450000000000003</v>
      </c>
      <c r="CX358" s="12">
        <v>254.94900000000001</v>
      </c>
      <c r="CY358" s="53" t="s">
        <v>265</v>
      </c>
      <c r="CZ358" s="53">
        <v>118.5</v>
      </c>
      <c r="DA358" s="53">
        <v>38.6</v>
      </c>
      <c r="DB358" s="53" t="s">
        <v>265</v>
      </c>
      <c r="DC358" s="53" t="s">
        <v>265</v>
      </c>
      <c r="DD358" s="55"/>
      <c r="DE358" s="55"/>
      <c r="DF358" s="55"/>
      <c r="DG358" s="55"/>
      <c r="DH358" s="55"/>
      <c r="DI358" s="53">
        <v>706.7</v>
      </c>
      <c r="DJ358" s="53">
        <v>591.6</v>
      </c>
      <c r="DK358" s="53">
        <v>899.1</v>
      </c>
      <c r="DL358" s="55"/>
      <c r="DM358" s="53">
        <v>422</v>
      </c>
      <c r="DN358" s="55"/>
      <c r="DO358" s="53">
        <v>242.3</v>
      </c>
      <c r="DP358" s="53">
        <v>199</v>
      </c>
      <c r="DQ358" s="55"/>
      <c r="DR358" s="55"/>
      <c r="DS358" s="53">
        <v>1324.3501500000009</v>
      </c>
      <c r="DT358" s="53">
        <v>4385.1000000000004</v>
      </c>
      <c r="DU358" s="53">
        <v>-4.9849999999423744E-2</v>
      </c>
      <c r="DV358" s="53">
        <v>0</v>
      </c>
      <c r="DW358" s="55"/>
      <c r="DX358" s="55"/>
      <c r="DY358" s="53"/>
      <c r="DZ358" s="53"/>
      <c r="EA358" s="53">
        <v>288.60000000000002</v>
      </c>
      <c r="EB358" s="53">
        <v>381.2</v>
      </c>
      <c r="EC358" s="53">
        <v>474</v>
      </c>
      <c r="ED358" s="53"/>
      <c r="EE358" s="53">
        <v>185.8</v>
      </c>
      <c r="EF358" s="53"/>
      <c r="EG358" s="53">
        <v>71.3</v>
      </c>
      <c r="EH358" s="53">
        <v>213</v>
      </c>
      <c r="EI358" s="55"/>
      <c r="EJ358" s="55"/>
      <c r="EK358" s="53">
        <v>861.81299999999999</v>
      </c>
      <c r="EL358" s="53">
        <v>2475.6999999999998</v>
      </c>
      <c r="EM358" s="55"/>
      <c r="EN358" s="55"/>
      <c r="EO358" s="53"/>
      <c r="EP358" s="53"/>
      <c r="EQ358" s="53">
        <v>268</v>
      </c>
      <c r="ER358" s="53">
        <v>227.8</v>
      </c>
      <c r="ES358" s="53">
        <v>364</v>
      </c>
      <c r="ET358" s="53"/>
      <c r="EU358" s="53">
        <v>157.30000000000001</v>
      </c>
      <c r="EV358" s="53"/>
      <c r="EW358" s="53">
        <v>88.7</v>
      </c>
      <c r="EX358" s="53">
        <v>76.900000000000006</v>
      </c>
      <c r="EY358" s="55"/>
      <c r="EZ358" s="55"/>
      <c r="FA358" s="53">
        <v>500.56839999999994</v>
      </c>
      <c r="FB358" s="53">
        <v>1683.2</v>
      </c>
      <c r="FC358" s="55"/>
      <c r="FD358" s="55"/>
      <c r="FE358" s="53"/>
      <c r="FF358" s="53"/>
      <c r="FG358" s="53">
        <v>556.5</v>
      </c>
      <c r="FH358" s="53">
        <v>475.6</v>
      </c>
      <c r="FI358" s="53">
        <v>730.7</v>
      </c>
      <c r="FJ358" s="53"/>
      <c r="FK358" s="53">
        <v>335.6</v>
      </c>
      <c r="FL358" s="53"/>
      <c r="FM358" s="53">
        <v>192</v>
      </c>
      <c r="FN358" s="53">
        <v>158.6</v>
      </c>
      <c r="FO358" s="55"/>
      <c r="FP358" s="55"/>
      <c r="FQ358" s="53">
        <v>1059.3068999999996</v>
      </c>
      <c r="FR358" s="53">
        <v>3508.3</v>
      </c>
      <c r="FS358" s="55"/>
      <c r="FT358" s="55"/>
      <c r="FU358" s="53"/>
      <c r="FV358" s="53"/>
      <c r="FW358" s="53">
        <v>376.5</v>
      </c>
      <c r="FX358" s="53">
        <v>120.8</v>
      </c>
      <c r="FY358" s="53">
        <v>307</v>
      </c>
      <c r="FZ358" s="53"/>
      <c r="GA358" s="53">
        <v>73.400000000000006</v>
      </c>
      <c r="GB358" s="53"/>
      <c r="GC358" s="53" t="s">
        <v>265</v>
      </c>
      <c r="GD358" s="53" t="s">
        <v>265</v>
      </c>
      <c r="GE358" s="55"/>
      <c r="GF358" s="55"/>
      <c r="GG358" s="53">
        <v>464.88900000000007</v>
      </c>
      <c r="GH358" s="53">
        <v>1461.9</v>
      </c>
      <c r="GI358" s="55"/>
      <c r="GJ358" s="55"/>
      <c r="GK358" s="53"/>
      <c r="GL358" s="53"/>
      <c r="GM358" s="53">
        <v>129.4</v>
      </c>
      <c r="GN358" s="53">
        <v>120.2</v>
      </c>
      <c r="GO358" s="53">
        <v>126.4</v>
      </c>
      <c r="GP358" s="53"/>
      <c r="GQ358" s="53">
        <v>44.3</v>
      </c>
      <c r="GR358" s="53"/>
      <c r="GS358" s="53">
        <v>13.2</v>
      </c>
      <c r="GT358" s="53">
        <v>6.9</v>
      </c>
      <c r="GU358" s="55"/>
      <c r="GV358" s="55"/>
      <c r="GW358" s="53">
        <v>136.75</v>
      </c>
      <c r="GX358" s="53">
        <v>577.1</v>
      </c>
      <c r="GY358" s="19">
        <v>0.98002069569370376</v>
      </c>
      <c r="GZ358" s="53">
        <v>1231.2</v>
      </c>
      <c r="HA358" s="53">
        <v>1256.3</v>
      </c>
      <c r="HB358" s="18">
        <v>42.040680676200054</v>
      </c>
      <c r="HC358" s="18">
        <v>-178.92429818680012</v>
      </c>
      <c r="HD358" s="18">
        <v>1356.2406806762001</v>
      </c>
      <c r="HE358" s="18">
        <v>-277.79999999999995</v>
      </c>
      <c r="HF358" s="53">
        <v>1314.2</v>
      </c>
      <c r="HG358" s="53">
        <v>1196.7</v>
      </c>
      <c r="HH358" s="53">
        <v>317.8</v>
      </c>
      <c r="HI358" s="53" t="s">
        <v>265</v>
      </c>
      <c r="HJ358" s="53">
        <v>814.6</v>
      </c>
      <c r="HK358" s="53" t="s">
        <v>265</v>
      </c>
      <c r="HL358" s="53">
        <v>117.5</v>
      </c>
      <c r="HM358" s="53">
        <v>98.6</v>
      </c>
      <c r="HN358" s="53">
        <v>62.9</v>
      </c>
      <c r="HO358" s="53">
        <v>35.700000000000003</v>
      </c>
      <c r="HP358" s="55"/>
      <c r="HQ358" s="53" t="s">
        <v>267</v>
      </c>
      <c r="HR358" s="53">
        <v>7.7</v>
      </c>
      <c r="HS358" s="55"/>
      <c r="HT358" s="53">
        <v>10.9</v>
      </c>
      <c r="HU358" s="55"/>
      <c r="HV358" s="55"/>
      <c r="HW358" s="53">
        <v>305.10000000000002</v>
      </c>
      <c r="HX358" s="53" t="s">
        <v>266</v>
      </c>
      <c r="HY358" s="53">
        <v>305.10000000000002</v>
      </c>
      <c r="HZ358" s="24">
        <v>57</v>
      </c>
      <c r="IA358" s="53">
        <v>167.7</v>
      </c>
      <c r="IB358" s="53">
        <v>38.200000000000003</v>
      </c>
      <c r="IC358" s="53">
        <v>129.5</v>
      </c>
      <c r="ID358" s="53">
        <v>75.400000000000006</v>
      </c>
      <c r="IE358" s="53">
        <v>54.1</v>
      </c>
      <c r="IF358" s="55"/>
      <c r="IG358" s="55"/>
      <c r="IH358" s="18">
        <v>48.445</v>
      </c>
      <c r="II358" s="12">
        <v>11.478999999999999</v>
      </c>
      <c r="IJ358" s="18">
        <v>19.166</v>
      </c>
      <c r="IK358" s="53">
        <v>17.8</v>
      </c>
      <c r="IL358" s="12">
        <v>31.955000000000034</v>
      </c>
      <c r="IM358" s="55"/>
      <c r="IN358" s="53">
        <v>47.9</v>
      </c>
      <c r="IO358" s="53">
        <v>48.1</v>
      </c>
      <c r="IP358" s="53" t="s">
        <v>265</v>
      </c>
      <c r="IQ358" s="53">
        <v>47.5</v>
      </c>
      <c r="IR358" s="18">
        <v>7.8449999999999998</v>
      </c>
      <c r="IS358" s="55"/>
      <c r="IT358" s="53">
        <v>38.5</v>
      </c>
      <c r="IU358" s="53" t="s">
        <v>265</v>
      </c>
      <c r="IV358" s="53" t="s">
        <v>265</v>
      </c>
      <c r="IW358" s="53" t="s">
        <v>265</v>
      </c>
      <c r="IX358" s="53" t="s">
        <v>265</v>
      </c>
      <c r="IY358" s="48">
        <f t="shared" si="17"/>
        <v>47.89491687760826</v>
      </c>
      <c r="IZ358" s="48">
        <f>IY358-'NOPA Crush'!J358</f>
        <v>0.3849168776082621</v>
      </c>
      <c r="JB358" s="63">
        <f t="shared" si="15"/>
        <v>11.51535882876103</v>
      </c>
      <c r="JC358" s="64">
        <f>JB358-'NOPA Crush'!O358</f>
        <v>5.5358828761029599E-2</v>
      </c>
      <c r="JD358" s="65"/>
      <c r="JE358" s="67">
        <f t="shared" si="16"/>
        <v>3338.8</v>
      </c>
      <c r="JF358" s="68">
        <f>'NOPA Crush'!Q358/'Census Crush'!JE358</f>
        <v>0.80745896729363842</v>
      </c>
    </row>
    <row r="359" spans="1:266">
      <c r="A359" s="39">
        <v>39965</v>
      </c>
      <c r="B359" s="51">
        <v>4202.8999999999996</v>
      </c>
      <c r="C359" s="51">
        <v>2687.6</v>
      </c>
      <c r="D359" s="51">
        <v>158.1</v>
      </c>
      <c r="E359" s="51">
        <v>622.70000000000005</v>
      </c>
      <c r="F359" s="9">
        <v>15.454000000000001</v>
      </c>
      <c r="G359" s="51" t="s">
        <v>264</v>
      </c>
      <c r="H359" s="51" t="s">
        <v>264</v>
      </c>
      <c r="I359" s="51" t="s">
        <v>264</v>
      </c>
      <c r="J359" s="51" t="s">
        <v>264</v>
      </c>
      <c r="K359" s="51">
        <v>1604.3</v>
      </c>
      <c r="L359" s="51">
        <v>3530.3</v>
      </c>
      <c r="M359" s="51">
        <v>3237.5</v>
      </c>
      <c r="N359" s="51">
        <v>292.8</v>
      </c>
      <c r="O359" s="53">
        <v>58.7</v>
      </c>
      <c r="P359" s="51">
        <v>147.19999999999999</v>
      </c>
      <c r="Q359" s="9">
        <v>61.599999999999994</v>
      </c>
      <c r="R359" s="51">
        <v>85.6</v>
      </c>
      <c r="S359" s="51"/>
      <c r="T359" s="9">
        <v>12.159000000000001</v>
      </c>
      <c r="U359" s="51">
        <v>22</v>
      </c>
      <c r="V359" s="51">
        <v>14.4</v>
      </c>
      <c r="W359" s="51">
        <v>7.6</v>
      </c>
      <c r="X359" s="51" t="s">
        <v>264</v>
      </c>
      <c r="Y359" s="51" t="s">
        <v>265</v>
      </c>
      <c r="Z359" s="51">
        <v>130</v>
      </c>
      <c r="AA359" s="51" t="s">
        <v>265</v>
      </c>
      <c r="AB359" s="51" t="s">
        <v>265</v>
      </c>
      <c r="AC359" s="51" t="s">
        <v>264</v>
      </c>
      <c r="AD359" s="51">
        <v>38.1</v>
      </c>
      <c r="AE359" s="51">
        <v>38.700000000000003</v>
      </c>
      <c r="AF359" s="51">
        <v>133.19999999999999</v>
      </c>
      <c r="AG359" s="51">
        <v>98.9</v>
      </c>
      <c r="AH359" s="51">
        <v>34.4</v>
      </c>
      <c r="AI359" s="51">
        <v>189</v>
      </c>
      <c r="AJ359" s="9">
        <v>186</v>
      </c>
      <c r="AK359" s="22">
        <v>3</v>
      </c>
      <c r="AL359" s="51">
        <v>218</v>
      </c>
      <c r="AM359" s="51">
        <v>128.19999999999999</v>
      </c>
      <c r="AN359" s="51">
        <v>89.8</v>
      </c>
      <c r="AO359" s="51">
        <v>3082.2</v>
      </c>
      <c r="AP359" s="51">
        <v>385.9</v>
      </c>
      <c r="AQ359" s="51">
        <v>241</v>
      </c>
      <c r="AR359" s="51">
        <v>40.4</v>
      </c>
      <c r="AS359" s="51">
        <v>75.599999999999994</v>
      </c>
      <c r="AT359" s="51">
        <v>35</v>
      </c>
      <c r="AU359" s="51">
        <v>43.8</v>
      </c>
      <c r="AV359" s="51">
        <v>48.1</v>
      </c>
      <c r="AW359" s="9">
        <v>8.4060000000000006</v>
      </c>
      <c r="AX359" s="51" t="s">
        <v>264</v>
      </c>
      <c r="AY359" s="51" t="s">
        <v>264</v>
      </c>
      <c r="AZ359" s="51" t="s">
        <v>264</v>
      </c>
      <c r="BA359" s="51" t="s">
        <v>264</v>
      </c>
      <c r="BB359" s="51" t="s">
        <v>264</v>
      </c>
      <c r="BC359" s="55"/>
      <c r="BD359" s="53">
        <v>165.9</v>
      </c>
      <c r="BE359" s="53">
        <v>37.799999999999997</v>
      </c>
      <c r="BF359" s="53">
        <v>64.7</v>
      </c>
      <c r="BG359" s="53">
        <v>7.8</v>
      </c>
      <c r="BH359" s="53">
        <v>285.5</v>
      </c>
      <c r="BI359" s="53">
        <v>133.5</v>
      </c>
      <c r="BJ359" s="53">
        <v>94.1</v>
      </c>
      <c r="BK359" s="53">
        <v>227.6</v>
      </c>
      <c r="BL359" s="55"/>
      <c r="BM359" s="53">
        <v>513.1</v>
      </c>
      <c r="BN359" s="53">
        <v>135.5</v>
      </c>
      <c r="BO359" s="53">
        <v>109</v>
      </c>
      <c r="BP359" s="53">
        <v>47.2</v>
      </c>
      <c r="BQ359" s="53">
        <v>156.19999999999999</v>
      </c>
      <c r="BR359" s="55"/>
      <c r="BS359" s="53">
        <v>291.8</v>
      </c>
      <c r="BT359" s="53">
        <v>34.799999999999997</v>
      </c>
      <c r="BU359" s="53">
        <v>21.4</v>
      </c>
      <c r="BV359" s="51" t="s">
        <v>264</v>
      </c>
      <c r="BW359" s="51" t="s">
        <v>264</v>
      </c>
      <c r="BX359" s="51">
        <v>437.6</v>
      </c>
      <c r="BY359" s="51" t="s">
        <v>264</v>
      </c>
      <c r="BZ359" s="51" t="s">
        <v>264</v>
      </c>
      <c r="CA359" s="51">
        <v>63.5</v>
      </c>
      <c r="CB359" s="53">
        <v>121.1</v>
      </c>
      <c r="CC359" s="53">
        <v>21.6</v>
      </c>
      <c r="CD359" s="53">
        <v>137</v>
      </c>
      <c r="CE359" s="53">
        <v>17.3</v>
      </c>
      <c r="CF359" s="53">
        <v>103.3</v>
      </c>
      <c r="CG359" s="53">
        <v>139.19999999999999</v>
      </c>
      <c r="CH359" s="53">
        <v>5.9</v>
      </c>
      <c r="CI359" s="53">
        <v>27</v>
      </c>
      <c r="CJ359" s="53">
        <v>6.1</v>
      </c>
      <c r="CK359" s="53">
        <v>136.69999999999999</v>
      </c>
      <c r="CL359" s="53">
        <v>23.9</v>
      </c>
      <c r="CM359" s="55"/>
      <c r="CN359" s="53">
        <v>34.4</v>
      </c>
      <c r="CO359" s="53">
        <v>135.5</v>
      </c>
      <c r="CP359" s="53">
        <v>104.1</v>
      </c>
      <c r="CQ359" s="53">
        <v>31.4</v>
      </c>
      <c r="CR359" s="53" t="s">
        <v>264</v>
      </c>
      <c r="CS359" s="53">
        <v>60.8</v>
      </c>
      <c r="CT359" s="53" t="s">
        <v>265</v>
      </c>
      <c r="CU359" s="53" t="s">
        <v>265</v>
      </c>
      <c r="CV359" s="53">
        <v>304.5</v>
      </c>
      <c r="CW359" s="53" t="s">
        <v>265</v>
      </c>
      <c r="CX359" s="53" t="s">
        <v>265</v>
      </c>
      <c r="CY359" s="53" t="s">
        <v>265</v>
      </c>
      <c r="CZ359" s="53">
        <v>98.3</v>
      </c>
      <c r="DA359" s="53">
        <v>28.2</v>
      </c>
      <c r="DB359" s="53" t="s">
        <v>265</v>
      </c>
      <c r="DC359" s="53" t="s">
        <v>265</v>
      </c>
      <c r="DD359" s="55"/>
      <c r="DE359" s="55"/>
      <c r="DF359" s="55"/>
      <c r="DG359" s="55"/>
      <c r="DH359" s="55"/>
      <c r="DI359" s="53">
        <v>673.6</v>
      </c>
      <c r="DJ359" s="53">
        <v>509.5</v>
      </c>
      <c r="DK359" s="53">
        <v>974.5</v>
      </c>
      <c r="DL359" s="55"/>
      <c r="DM359" s="53">
        <v>425.4</v>
      </c>
      <c r="DN359" s="55"/>
      <c r="DO359" s="53">
        <v>232.7</v>
      </c>
      <c r="DP359" s="53">
        <v>239</v>
      </c>
      <c r="DQ359" s="55"/>
      <c r="DR359" s="55"/>
      <c r="DS359" s="53">
        <v>1148.3079999999995</v>
      </c>
      <c r="DT359" s="53">
        <v>4202.8999999999996</v>
      </c>
      <c r="DU359" s="53">
        <v>0.10800000000017462</v>
      </c>
      <c r="DV359" s="53">
        <v>0</v>
      </c>
      <c r="DW359" s="55"/>
      <c r="DX359" s="55"/>
      <c r="DY359" s="53"/>
      <c r="DZ359" s="53"/>
      <c r="EA359" s="53">
        <v>340.4</v>
      </c>
      <c r="EB359" s="53">
        <v>392.4</v>
      </c>
      <c r="EC359" s="53">
        <v>535.5</v>
      </c>
      <c r="ED359" s="53"/>
      <c r="EE359" s="53">
        <v>263.7</v>
      </c>
      <c r="EF359" s="53"/>
      <c r="EG359" s="53">
        <v>81.2</v>
      </c>
      <c r="EH359" s="53">
        <v>204</v>
      </c>
      <c r="EI359" s="55"/>
      <c r="EJ359" s="55"/>
      <c r="EK359" s="53">
        <v>870.255</v>
      </c>
      <c r="EL359" s="53">
        <v>2687.6</v>
      </c>
      <c r="EM359" s="55"/>
      <c r="EN359" s="55"/>
      <c r="EO359" s="53"/>
      <c r="EP359" s="53"/>
      <c r="EQ359" s="53">
        <v>264</v>
      </c>
      <c r="ER359" s="53">
        <v>198.9</v>
      </c>
      <c r="ES359" s="53">
        <v>368.5</v>
      </c>
      <c r="ET359" s="53"/>
      <c r="EU359" s="53">
        <v>167.3</v>
      </c>
      <c r="EV359" s="53"/>
      <c r="EW359" s="53">
        <v>86.3</v>
      </c>
      <c r="EX359" s="53">
        <v>91.3</v>
      </c>
      <c r="EY359" s="55"/>
      <c r="EZ359" s="55"/>
      <c r="FA359" s="53">
        <v>428.07249999999999</v>
      </c>
      <c r="FB359" s="53">
        <v>1604.3</v>
      </c>
      <c r="FC359" s="55"/>
      <c r="FD359" s="55"/>
      <c r="FE359" s="53"/>
      <c r="FF359" s="53"/>
      <c r="FG359" s="53">
        <v>527.29999999999995</v>
      </c>
      <c r="FH359" s="53">
        <v>413.7</v>
      </c>
      <c r="FI359" s="53">
        <v>765.6</v>
      </c>
      <c r="FJ359" s="53"/>
      <c r="FK359" s="53">
        <v>338.3</v>
      </c>
      <c r="FL359" s="53"/>
      <c r="FM359" s="53">
        <v>184.4</v>
      </c>
      <c r="FN359" s="53">
        <v>192.1</v>
      </c>
      <c r="FO359" s="55"/>
      <c r="FP359" s="55"/>
      <c r="FQ359" s="53">
        <v>908.29629999999941</v>
      </c>
      <c r="FR359" s="53">
        <v>3329.7</v>
      </c>
      <c r="FS359" s="55"/>
      <c r="FT359" s="55"/>
      <c r="FU359" s="53"/>
      <c r="FV359" s="53"/>
      <c r="FW359" s="53">
        <v>406.7</v>
      </c>
      <c r="FX359" s="53">
        <v>145.1</v>
      </c>
      <c r="FY359" s="53">
        <v>310.5</v>
      </c>
      <c r="FZ359" s="53"/>
      <c r="GA359" s="53">
        <v>69.400000000000006</v>
      </c>
      <c r="GB359" s="53"/>
      <c r="GC359" s="53" t="s">
        <v>265</v>
      </c>
      <c r="GD359" s="53" t="s">
        <v>265</v>
      </c>
      <c r="GE359" s="55"/>
      <c r="GF359" s="55"/>
      <c r="GG359" s="53">
        <v>472.61199999999997</v>
      </c>
      <c r="GH359" s="53">
        <v>1524</v>
      </c>
      <c r="GI359" s="55"/>
      <c r="GJ359" s="55"/>
      <c r="GK359" s="53"/>
      <c r="GL359" s="53"/>
      <c r="GM359" s="53">
        <v>100.5</v>
      </c>
      <c r="GN359" s="53">
        <v>88.6</v>
      </c>
      <c r="GO359" s="53">
        <v>86.3</v>
      </c>
      <c r="GP359" s="53"/>
      <c r="GQ359" s="53">
        <v>28.2</v>
      </c>
      <c r="GR359" s="53"/>
      <c r="GS359" s="53">
        <v>7.1</v>
      </c>
      <c r="GT359" s="53">
        <v>4.3</v>
      </c>
      <c r="GU359" s="55"/>
      <c r="GV359" s="55"/>
      <c r="GW359" s="53">
        <v>111.29100000000005</v>
      </c>
      <c r="GX359" s="53">
        <v>426.3</v>
      </c>
      <c r="GY359" s="19">
        <v>0.97990543735224567</v>
      </c>
      <c r="GZ359" s="53">
        <v>1160.5999999999999</v>
      </c>
      <c r="HA359" s="53">
        <v>1184.4000000000001</v>
      </c>
      <c r="HB359" s="18">
        <v>18.129697567600715</v>
      </c>
      <c r="HC359" s="18">
        <v>-215.70270081719991</v>
      </c>
      <c r="HD359" s="18">
        <v>1336.9296975676007</v>
      </c>
      <c r="HE359" s="18">
        <v>-267.10000000000014</v>
      </c>
      <c r="HF359" s="53">
        <v>1318.8</v>
      </c>
      <c r="HG359" s="53">
        <v>1175.9000000000001</v>
      </c>
      <c r="HH359" s="53">
        <v>311.5</v>
      </c>
      <c r="HI359" s="53" t="s">
        <v>265</v>
      </c>
      <c r="HJ359" s="53">
        <v>791</v>
      </c>
      <c r="HK359" s="53" t="s">
        <v>265</v>
      </c>
      <c r="HL359" s="53">
        <v>143</v>
      </c>
      <c r="HM359" s="53">
        <v>118.3</v>
      </c>
      <c r="HN359" s="53">
        <v>71</v>
      </c>
      <c r="HO359" s="53">
        <v>47.3</v>
      </c>
      <c r="HP359" s="55"/>
      <c r="HQ359" s="53" t="s">
        <v>267</v>
      </c>
      <c r="HR359" s="53">
        <v>10.5</v>
      </c>
      <c r="HS359" s="55"/>
      <c r="HT359" s="53">
        <v>13.8</v>
      </c>
      <c r="HU359" s="55"/>
      <c r="HV359" s="55"/>
      <c r="HW359" s="53">
        <v>318.89999999999998</v>
      </c>
      <c r="HX359" s="53" t="s">
        <v>266</v>
      </c>
      <c r="HY359" s="53">
        <v>318.89999999999998</v>
      </c>
      <c r="HZ359" s="53">
        <v>57.4</v>
      </c>
      <c r="IA359" s="53">
        <v>143.19999999999999</v>
      </c>
      <c r="IB359" s="53">
        <v>31.5</v>
      </c>
      <c r="IC359" s="53">
        <v>111.7</v>
      </c>
      <c r="ID359" s="53">
        <v>67.400000000000006</v>
      </c>
      <c r="IE359" s="53">
        <v>44.2</v>
      </c>
      <c r="IF359" s="55"/>
      <c r="IG359" s="55"/>
      <c r="IH359" s="18">
        <v>82.677000000000007</v>
      </c>
      <c r="II359" s="12">
        <v>12.455000000000009</v>
      </c>
      <c r="IJ359" s="18">
        <v>50.921999999999997</v>
      </c>
      <c r="IK359" s="53">
        <v>19.3</v>
      </c>
      <c r="IL359" s="12">
        <v>35.623000000000005</v>
      </c>
      <c r="IM359" s="55"/>
      <c r="IN359" s="53">
        <v>50.3</v>
      </c>
      <c r="IO359" s="53">
        <v>50.6</v>
      </c>
      <c r="IP359" s="53" t="s">
        <v>265</v>
      </c>
      <c r="IQ359" s="53">
        <v>55.9</v>
      </c>
      <c r="IR359" s="18">
        <v>8.92</v>
      </c>
      <c r="IS359" s="55"/>
      <c r="IT359" s="53">
        <v>45.9</v>
      </c>
      <c r="IU359" s="53" t="s">
        <v>265</v>
      </c>
      <c r="IV359" s="53" t="s">
        <v>265</v>
      </c>
      <c r="IW359" s="53" t="s">
        <v>265</v>
      </c>
      <c r="IX359" s="53" t="s">
        <v>265</v>
      </c>
      <c r="IY359" s="48">
        <f t="shared" si="17"/>
        <v>47.441528468438456</v>
      </c>
      <c r="IZ359" s="48">
        <f>IY359-'NOPA Crush'!J359</f>
        <v>0.16152846843845481</v>
      </c>
      <c r="JB359" s="63">
        <f t="shared" si="15"/>
        <v>11.451378809869375</v>
      </c>
      <c r="JC359" s="64">
        <f>JB359-'NOPA Crush'!O359</f>
        <v>-3.8621190130625038E-2</v>
      </c>
      <c r="JD359" s="65"/>
      <c r="JE359" s="67">
        <f t="shared" si="16"/>
        <v>3530.3</v>
      </c>
      <c r="JF359" s="68">
        <f>'NOPA Crush'!Q359/'Census Crush'!JE359</f>
        <v>0.82349403733393756</v>
      </c>
    </row>
    <row r="360" spans="1:266">
      <c r="A360" s="39">
        <v>39995</v>
      </c>
      <c r="B360" s="51">
        <v>3863.6</v>
      </c>
      <c r="C360" s="51">
        <v>2250.3000000000002</v>
      </c>
      <c r="D360" s="51">
        <v>123.2</v>
      </c>
      <c r="E360" s="51">
        <v>514.1</v>
      </c>
      <c r="F360" s="51">
        <v>12.8</v>
      </c>
      <c r="G360" s="51" t="s">
        <v>264</v>
      </c>
      <c r="H360" s="51" t="s">
        <v>264</v>
      </c>
      <c r="I360" s="51" t="s">
        <v>264</v>
      </c>
      <c r="J360" s="51" t="s">
        <v>264</v>
      </c>
      <c r="K360" s="51">
        <v>1469.2</v>
      </c>
      <c r="L360" s="51">
        <v>3448.9</v>
      </c>
      <c r="M360" s="51">
        <v>3148.7</v>
      </c>
      <c r="N360" s="51">
        <v>300.2</v>
      </c>
      <c r="O360" s="53">
        <v>39.6</v>
      </c>
      <c r="P360" s="51">
        <v>150.5</v>
      </c>
      <c r="Q360" s="51">
        <v>73.7</v>
      </c>
      <c r="R360" s="51">
        <v>76.8</v>
      </c>
      <c r="S360" s="51"/>
      <c r="T360" s="51">
        <v>9.4</v>
      </c>
      <c r="U360" s="51">
        <v>18.100000000000001</v>
      </c>
      <c r="V360" s="51">
        <v>13.7</v>
      </c>
      <c r="W360" s="51">
        <v>4.4000000000000004</v>
      </c>
      <c r="X360" s="51" t="s">
        <v>264</v>
      </c>
      <c r="Y360" s="51" t="s">
        <v>265</v>
      </c>
      <c r="Z360" s="51">
        <v>119.8</v>
      </c>
      <c r="AA360" s="51" t="s">
        <v>265</v>
      </c>
      <c r="AB360" s="51" t="s">
        <v>265</v>
      </c>
      <c r="AC360" s="51" t="s">
        <v>264</v>
      </c>
      <c r="AD360" s="51">
        <v>83.3</v>
      </c>
      <c r="AE360" s="51">
        <v>85.4</v>
      </c>
      <c r="AF360" s="51">
        <v>168.7</v>
      </c>
      <c r="AG360" s="51">
        <v>108.6</v>
      </c>
      <c r="AH360" s="51">
        <v>60</v>
      </c>
      <c r="AI360" s="51">
        <v>186</v>
      </c>
      <c r="AJ360" s="9">
        <v>183</v>
      </c>
      <c r="AK360" s="22">
        <v>3</v>
      </c>
      <c r="AL360" s="51">
        <v>193.9</v>
      </c>
      <c r="AM360" s="51">
        <v>113.5</v>
      </c>
      <c r="AN360" s="51">
        <v>80.400000000000006</v>
      </c>
      <c r="AO360" s="51">
        <v>2836.2</v>
      </c>
      <c r="AP360" s="51">
        <v>298.8</v>
      </c>
      <c r="AQ360" s="51">
        <v>230.5</v>
      </c>
      <c r="AR360" s="51">
        <v>29.6</v>
      </c>
      <c r="AS360" s="51">
        <v>56.5</v>
      </c>
      <c r="AT360" s="51">
        <v>29.4</v>
      </c>
      <c r="AU360" s="51">
        <v>35.9</v>
      </c>
      <c r="AV360" s="51">
        <v>42</v>
      </c>
      <c r="AW360" s="51">
        <v>6.2</v>
      </c>
      <c r="AX360" s="51" t="s">
        <v>264</v>
      </c>
      <c r="AY360" s="51" t="s">
        <v>264</v>
      </c>
      <c r="AZ360" s="51" t="s">
        <v>264</v>
      </c>
      <c r="BA360" s="51" t="s">
        <v>264</v>
      </c>
      <c r="BB360" s="51" t="s">
        <v>264</v>
      </c>
      <c r="BC360" s="55"/>
      <c r="BD360" s="53">
        <v>155.1</v>
      </c>
      <c r="BE360" s="53">
        <v>38</v>
      </c>
      <c r="BF360" s="53">
        <v>66.8</v>
      </c>
      <c r="BG360" s="53">
        <v>6.7</v>
      </c>
      <c r="BH360" s="53">
        <v>281.10000000000002</v>
      </c>
      <c r="BI360" s="53">
        <v>135.69999999999999</v>
      </c>
      <c r="BJ360" s="53">
        <v>102.2</v>
      </c>
      <c r="BK360" s="53">
        <v>237.8</v>
      </c>
      <c r="BL360" s="55"/>
      <c r="BM360" s="53">
        <v>519</v>
      </c>
      <c r="BN360" s="53">
        <v>156.30000000000001</v>
      </c>
      <c r="BO360" s="53">
        <v>117.6</v>
      </c>
      <c r="BP360" s="53">
        <v>60.3</v>
      </c>
      <c r="BQ360" s="53">
        <v>177.9</v>
      </c>
      <c r="BR360" s="55"/>
      <c r="BS360" s="53">
        <v>334.2</v>
      </c>
      <c r="BT360" s="53">
        <v>32.200000000000003</v>
      </c>
      <c r="BU360" s="53">
        <v>24</v>
      </c>
      <c r="BV360" s="51" t="s">
        <v>264</v>
      </c>
      <c r="BW360" s="51" t="s">
        <v>264</v>
      </c>
      <c r="BX360" s="51">
        <v>429</v>
      </c>
      <c r="BY360" s="51" t="s">
        <v>264</v>
      </c>
      <c r="BZ360" s="51" t="s">
        <v>264</v>
      </c>
      <c r="CA360" s="51">
        <v>63.9</v>
      </c>
      <c r="CB360" s="53">
        <v>128.80000000000001</v>
      </c>
      <c r="CC360" s="53">
        <v>28.2</v>
      </c>
      <c r="CD360" s="53">
        <v>142.4</v>
      </c>
      <c r="CE360" s="53">
        <v>19.3</v>
      </c>
      <c r="CF360" s="53">
        <v>93.7</v>
      </c>
      <c r="CG360" s="53">
        <v>127.1</v>
      </c>
      <c r="CH360" s="53">
        <v>4.2</v>
      </c>
      <c r="CI360" s="53">
        <v>33.4</v>
      </c>
      <c r="CJ360" s="53">
        <v>4.7</v>
      </c>
      <c r="CK360" s="53">
        <v>138.1</v>
      </c>
      <c r="CL360" s="53">
        <v>20.399999999999999</v>
      </c>
      <c r="CM360" s="55"/>
      <c r="CN360" s="53">
        <v>66.900000000000006</v>
      </c>
      <c r="CO360" s="53">
        <v>133.9</v>
      </c>
      <c r="CP360" s="53">
        <v>76.7</v>
      </c>
      <c r="CQ360" s="53">
        <v>57.2</v>
      </c>
      <c r="CR360" s="53" t="s">
        <v>264</v>
      </c>
      <c r="CS360" s="53">
        <v>61.5</v>
      </c>
      <c r="CT360" s="53" t="s">
        <v>265</v>
      </c>
      <c r="CU360" s="53" t="s">
        <v>265</v>
      </c>
      <c r="CV360" s="53">
        <v>254.8</v>
      </c>
      <c r="CW360" s="53" t="s">
        <v>265</v>
      </c>
      <c r="CX360" s="53" t="s">
        <v>265</v>
      </c>
      <c r="CY360" s="53" t="s">
        <v>265</v>
      </c>
      <c r="CZ360" s="53">
        <v>83.3</v>
      </c>
      <c r="DA360" s="53">
        <v>32</v>
      </c>
      <c r="DB360" s="53" t="s">
        <v>265</v>
      </c>
      <c r="DC360" s="53" t="s">
        <v>265</v>
      </c>
      <c r="DD360" s="55"/>
      <c r="DE360" s="55"/>
      <c r="DF360" s="55"/>
      <c r="DG360" s="55"/>
      <c r="DH360" s="55"/>
      <c r="DI360" s="53">
        <v>474.6</v>
      </c>
      <c r="DJ360" s="53">
        <v>481.7</v>
      </c>
      <c r="DK360" s="53">
        <v>850</v>
      </c>
      <c r="DL360" s="55"/>
      <c r="DM360" s="53">
        <v>436.8</v>
      </c>
      <c r="DN360" s="55"/>
      <c r="DO360" s="53">
        <v>220.3</v>
      </c>
      <c r="DP360" s="53">
        <v>227.1</v>
      </c>
      <c r="DQ360" s="55"/>
      <c r="DR360" s="55"/>
      <c r="DS360" s="53">
        <v>1173.0667199999998</v>
      </c>
      <c r="DT360" s="53">
        <v>3863.6</v>
      </c>
      <c r="DU360" s="53">
        <v>-3.3280000000104337E-2</v>
      </c>
      <c r="DV360" s="53">
        <v>0</v>
      </c>
      <c r="DW360" s="55"/>
      <c r="DX360" s="55"/>
      <c r="DY360" s="53"/>
      <c r="DZ360" s="53"/>
      <c r="EA360" s="53">
        <v>312.60000000000002</v>
      </c>
      <c r="EB360" s="53">
        <v>339.9</v>
      </c>
      <c r="EC360" s="53">
        <v>494.2</v>
      </c>
      <c r="ED360" s="53"/>
      <c r="EE360" s="53">
        <v>232.1</v>
      </c>
      <c r="EF360" s="53"/>
      <c r="EG360" s="53">
        <v>88.7</v>
      </c>
      <c r="EH360" s="53">
        <v>166.4</v>
      </c>
      <c r="EI360" s="55"/>
      <c r="EJ360" s="55"/>
      <c r="EK360" s="53">
        <v>616.56399999999985</v>
      </c>
      <c r="EL360" s="53">
        <v>2250.3000000000002</v>
      </c>
      <c r="EM360" s="55"/>
      <c r="EN360" s="55"/>
      <c r="EO360" s="53"/>
      <c r="EP360" s="53"/>
      <c r="EQ360" s="53">
        <v>183.5</v>
      </c>
      <c r="ER360" s="53">
        <v>184.2</v>
      </c>
      <c r="ES360" s="53">
        <v>323.7</v>
      </c>
      <c r="ET360" s="53"/>
      <c r="EU360" s="53">
        <v>162.6</v>
      </c>
      <c r="EV360" s="53"/>
      <c r="EW360" s="53">
        <v>84.5</v>
      </c>
      <c r="EX360" s="53">
        <v>86.8</v>
      </c>
      <c r="EY360" s="55"/>
      <c r="EZ360" s="55"/>
      <c r="FA360" s="53">
        <v>443.81231000000002</v>
      </c>
      <c r="FB360" s="53">
        <v>1469.2</v>
      </c>
      <c r="FC360" s="55"/>
      <c r="FD360" s="55"/>
      <c r="FE360" s="53"/>
      <c r="FF360" s="53"/>
      <c r="FG360" s="53">
        <v>377.9</v>
      </c>
      <c r="FH360" s="53">
        <v>387.4</v>
      </c>
      <c r="FI360" s="53">
        <v>666.3</v>
      </c>
      <c r="FJ360" s="53"/>
      <c r="FK360" s="53">
        <v>351.1</v>
      </c>
      <c r="FL360" s="53"/>
      <c r="FM360" s="53">
        <v>175.1</v>
      </c>
      <c r="FN360" s="53">
        <v>183.3</v>
      </c>
      <c r="FO360" s="55"/>
      <c r="FP360" s="55"/>
      <c r="FQ360" s="53">
        <v>932.00062999999977</v>
      </c>
      <c r="FR360" s="53">
        <v>3073.2</v>
      </c>
      <c r="FS360" s="55"/>
      <c r="FT360" s="55"/>
      <c r="FU360" s="53"/>
      <c r="FV360" s="53"/>
      <c r="FW360" s="53">
        <v>360.1</v>
      </c>
      <c r="FX360" s="53">
        <v>138.4</v>
      </c>
      <c r="FY360" s="53">
        <v>324.89999999999998</v>
      </c>
      <c r="FZ360" s="53"/>
      <c r="GA360" s="53">
        <v>54.6</v>
      </c>
      <c r="GB360" s="53"/>
      <c r="GC360" s="53" t="s">
        <v>265</v>
      </c>
      <c r="GD360" s="53" t="s">
        <v>265</v>
      </c>
      <c r="GE360" s="55"/>
      <c r="GF360" s="55"/>
      <c r="GG360" s="53">
        <v>471.51700000000011</v>
      </c>
      <c r="GH360" s="53">
        <v>1457.6</v>
      </c>
      <c r="GI360" s="55"/>
      <c r="GJ360" s="55"/>
      <c r="GK360" s="53"/>
      <c r="GL360" s="53"/>
      <c r="GM360" s="53">
        <v>68.099999999999994</v>
      </c>
      <c r="GN360" s="53">
        <v>62.1</v>
      </c>
      <c r="GO360" s="53">
        <v>62.7</v>
      </c>
      <c r="GP360" s="53"/>
      <c r="GQ360" s="53">
        <v>22.7</v>
      </c>
      <c r="GR360" s="53"/>
      <c r="GS360" s="53">
        <v>5.8</v>
      </c>
      <c r="GT360" s="53">
        <v>4.0999999999999996</v>
      </c>
      <c r="GU360" s="55"/>
      <c r="GV360" s="55"/>
      <c r="GW360" s="53">
        <v>102.90799999999999</v>
      </c>
      <c r="GX360" s="53">
        <v>328.4</v>
      </c>
      <c r="GY360" s="19">
        <v>0.97925407925407926</v>
      </c>
      <c r="GZ360" s="53">
        <v>1260.3</v>
      </c>
      <c r="HA360" s="53">
        <v>1287</v>
      </c>
      <c r="HB360" s="18">
        <v>-88.624326356800111</v>
      </c>
      <c r="HC360" s="18">
        <v>-302.89151772940068</v>
      </c>
      <c r="HD360" s="18">
        <v>1306.0756736431999</v>
      </c>
      <c r="HE360" s="18">
        <v>-261</v>
      </c>
      <c r="HF360" s="53">
        <v>1394.7</v>
      </c>
      <c r="HG360" s="53">
        <v>1204.3</v>
      </c>
      <c r="HH360" s="53">
        <v>328.1</v>
      </c>
      <c r="HI360" s="53" t="s">
        <v>265</v>
      </c>
      <c r="HJ360" s="53">
        <v>807.2</v>
      </c>
      <c r="HK360" s="53" t="s">
        <v>265</v>
      </c>
      <c r="HL360" s="53">
        <v>190.4</v>
      </c>
      <c r="HM360" s="53">
        <v>164.3</v>
      </c>
      <c r="HN360" s="53">
        <v>106.5</v>
      </c>
      <c r="HO360" s="53">
        <v>57.8</v>
      </c>
      <c r="HP360" s="55"/>
      <c r="HQ360" s="53" t="s">
        <v>267</v>
      </c>
      <c r="HR360" s="53" t="s">
        <v>267</v>
      </c>
      <c r="HS360" s="55"/>
      <c r="HT360" s="53">
        <v>16.7</v>
      </c>
      <c r="HU360" s="55"/>
      <c r="HV360" s="55"/>
      <c r="HW360" s="53">
        <v>320.3</v>
      </c>
      <c r="HX360" s="53" t="s">
        <v>266</v>
      </c>
      <c r="HY360" s="53">
        <v>320.3</v>
      </c>
      <c r="HZ360" s="53">
        <v>47.9</v>
      </c>
      <c r="IA360" s="53">
        <v>146.5</v>
      </c>
      <c r="IB360" s="53">
        <v>29.8</v>
      </c>
      <c r="IC360" s="53">
        <v>116.7</v>
      </c>
      <c r="ID360" s="53">
        <v>68</v>
      </c>
      <c r="IE360" s="53">
        <v>48.7</v>
      </c>
      <c r="IF360" s="55"/>
      <c r="IG360" s="55"/>
      <c r="IH360" s="12">
        <v>78.5</v>
      </c>
      <c r="II360" s="21">
        <v>15</v>
      </c>
      <c r="IJ360" s="21">
        <v>45</v>
      </c>
      <c r="IK360" s="53">
        <v>18.5</v>
      </c>
      <c r="IL360" s="12">
        <v>47.400000000000034</v>
      </c>
      <c r="IM360" s="55"/>
      <c r="IN360" s="53">
        <v>34.9</v>
      </c>
      <c r="IO360" s="53">
        <v>34.9</v>
      </c>
      <c r="IP360" s="18">
        <v>51.786999999999999</v>
      </c>
      <c r="IQ360" s="53">
        <v>51.8</v>
      </c>
      <c r="IR360" s="18">
        <v>9.0340000000000007</v>
      </c>
      <c r="IS360" s="55"/>
      <c r="IT360" s="53">
        <v>41.5</v>
      </c>
      <c r="IU360" s="53" t="s">
        <v>265</v>
      </c>
      <c r="IV360" s="18">
        <v>4.8000000000000001E-2</v>
      </c>
      <c r="IW360" s="53" t="s">
        <v>265</v>
      </c>
      <c r="IX360" s="53" t="s">
        <v>265</v>
      </c>
      <c r="IY360" s="48">
        <f t="shared" si="17"/>
        <v>47.624495289367431</v>
      </c>
      <c r="IZ360" s="48">
        <f>IY360-'NOPA Crush'!J360</f>
        <v>0.11449528936743292</v>
      </c>
      <c r="JB360" s="63">
        <f t="shared" si="15"/>
        <v>11.408013251889431</v>
      </c>
      <c r="JC360" s="64">
        <f>JB360-'NOPA Crush'!O360</f>
        <v>-0.12198674811056875</v>
      </c>
      <c r="JD360" s="65"/>
      <c r="JE360" s="67">
        <f t="shared" si="16"/>
        <v>3448.9</v>
      </c>
      <c r="JF360" s="68">
        <f>'NOPA Crush'!Q360/'Census Crush'!JE360</f>
        <v>0.81302357273333514</v>
      </c>
    </row>
    <row r="361" spans="1:266">
      <c r="A361" s="39">
        <v>40026</v>
      </c>
      <c r="B361" s="51">
        <v>3595</v>
      </c>
      <c r="C361" s="51">
        <v>1354.8</v>
      </c>
      <c r="D361" s="51">
        <v>107.1</v>
      </c>
      <c r="E361" s="51">
        <v>438.6</v>
      </c>
      <c r="F361" s="51">
        <v>14.4</v>
      </c>
      <c r="G361" s="51" t="s">
        <v>264</v>
      </c>
      <c r="H361" s="51" t="s">
        <v>264</v>
      </c>
      <c r="I361" s="51" t="s">
        <v>264</v>
      </c>
      <c r="J361" s="51" t="s">
        <v>264</v>
      </c>
      <c r="K361" s="51">
        <v>1369.4</v>
      </c>
      <c r="L361" s="51">
        <v>3134</v>
      </c>
      <c r="M361" s="51">
        <v>2863.9</v>
      </c>
      <c r="N361" s="51">
        <v>270.10000000000002</v>
      </c>
      <c r="O361" s="53">
        <v>34.5</v>
      </c>
      <c r="P361" s="51">
        <v>141.5</v>
      </c>
      <c r="Q361" s="51">
        <v>71</v>
      </c>
      <c r="R361" s="51">
        <v>70.5</v>
      </c>
      <c r="S361" s="51"/>
      <c r="T361" s="51">
        <v>10.9</v>
      </c>
      <c r="U361" s="51">
        <v>21.2</v>
      </c>
      <c r="V361" s="51">
        <v>17.3</v>
      </c>
      <c r="W361" s="51">
        <v>3.9</v>
      </c>
      <c r="X361" s="51" t="s">
        <v>264</v>
      </c>
      <c r="Y361" s="51" t="s">
        <v>265</v>
      </c>
      <c r="Z361" s="51">
        <v>95.1</v>
      </c>
      <c r="AA361" s="51" t="s">
        <v>265</v>
      </c>
      <c r="AB361" s="51" t="s">
        <v>265</v>
      </c>
      <c r="AC361" s="51" t="s">
        <v>264</v>
      </c>
      <c r="AD361" s="51">
        <v>74.2</v>
      </c>
      <c r="AE361" s="51">
        <v>73.8</v>
      </c>
      <c r="AF361" s="51">
        <v>192.8</v>
      </c>
      <c r="AG361" s="51">
        <v>135.5</v>
      </c>
      <c r="AH361" s="51">
        <v>57.3</v>
      </c>
      <c r="AI361" s="51">
        <v>201.4</v>
      </c>
      <c r="AJ361" s="9">
        <v>198.4</v>
      </c>
      <c r="AK361" s="22">
        <v>3</v>
      </c>
      <c r="AL361" s="51">
        <v>209</v>
      </c>
      <c r="AM361" s="51">
        <v>123.9</v>
      </c>
      <c r="AN361" s="51">
        <v>85.1</v>
      </c>
      <c r="AO361" s="51">
        <v>2630.7</v>
      </c>
      <c r="AP361" s="51">
        <v>283.10000000000002</v>
      </c>
      <c r="AQ361" s="51">
        <v>216</v>
      </c>
      <c r="AR361" s="51">
        <v>33.799999999999997</v>
      </c>
      <c r="AS361" s="51">
        <v>46.9</v>
      </c>
      <c r="AT361" s="51">
        <v>20.8</v>
      </c>
      <c r="AU361" s="51">
        <v>31.6</v>
      </c>
      <c r="AV361" s="51">
        <v>37.6</v>
      </c>
      <c r="AW361" s="51">
        <v>7.2</v>
      </c>
      <c r="AX361" s="51" t="s">
        <v>264</v>
      </c>
      <c r="AY361" s="51" t="s">
        <v>264</v>
      </c>
      <c r="AZ361" s="51" t="s">
        <v>264</v>
      </c>
      <c r="BA361" s="51" t="s">
        <v>264</v>
      </c>
      <c r="BB361" s="51" t="s">
        <v>264</v>
      </c>
      <c r="BC361" s="55"/>
      <c r="BD361" s="53">
        <v>127.1</v>
      </c>
      <c r="BE361" s="53">
        <v>35.6</v>
      </c>
      <c r="BF361" s="53">
        <v>63.4</v>
      </c>
      <c r="BG361" s="53">
        <v>7</v>
      </c>
      <c r="BH361" s="53">
        <v>269</v>
      </c>
      <c r="BI361" s="53">
        <v>118.1</v>
      </c>
      <c r="BJ361" s="53">
        <v>103.4</v>
      </c>
      <c r="BK361" s="53">
        <v>221.4</v>
      </c>
      <c r="BL361" s="55"/>
      <c r="BM361" s="53">
        <v>490.4</v>
      </c>
      <c r="BN361" s="53">
        <v>115.6</v>
      </c>
      <c r="BO361" s="53">
        <v>95.8</v>
      </c>
      <c r="BP361" s="53">
        <v>62.9</v>
      </c>
      <c r="BQ361" s="53">
        <v>158.69999999999999</v>
      </c>
      <c r="BR361" s="55"/>
      <c r="BS361" s="53">
        <v>274.3</v>
      </c>
      <c r="BT361" s="53">
        <v>25.2</v>
      </c>
      <c r="BU361" s="53">
        <v>23.9</v>
      </c>
      <c r="BV361" s="51" t="s">
        <v>264</v>
      </c>
      <c r="BW361" s="51" t="s">
        <v>264</v>
      </c>
      <c r="BX361" s="51">
        <v>412.1</v>
      </c>
      <c r="BY361" s="51" t="s">
        <v>264</v>
      </c>
      <c r="BZ361" s="51" t="s">
        <v>264</v>
      </c>
      <c r="CA361" s="51">
        <v>68</v>
      </c>
      <c r="CB361" s="53">
        <v>115.5</v>
      </c>
      <c r="CC361" s="53">
        <v>27.1</v>
      </c>
      <c r="CD361" s="53">
        <v>137.4</v>
      </c>
      <c r="CE361" s="53">
        <v>16.2</v>
      </c>
      <c r="CF361" s="53">
        <v>106.2</v>
      </c>
      <c r="CG361" s="53">
        <v>109.8</v>
      </c>
      <c r="CH361" s="53">
        <v>5.6</v>
      </c>
      <c r="CI361" s="53">
        <v>33.5</v>
      </c>
      <c r="CJ361" s="53">
        <v>6.4</v>
      </c>
      <c r="CK361" s="53">
        <v>131.9</v>
      </c>
      <c r="CL361" s="53">
        <v>20.9</v>
      </c>
      <c r="CM361" s="55"/>
      <c r="CN361" s="53">
        <v>65.400000000000006</v>
      </c>
      <c r="CO361" s="53">
        <v>103</v>
      </c>
      <c r="CP361" s="53">
        <v>68.2</v>
      </c>
      <c r="CQ361" s="53">
        <v>34.799999999999997</v>
      </c>
      <c r="CR361" s="53" t="s">
        <v>264</v>
      </c>
      <c r="CS361" s="53">
        <v>82.4</v>
      </c>
      <c r="CT361" s="53" t="s">
        <v>265</v>
      </c>
      <c r="CU361" s="53" t="s">
        <v>265</v>
      </c>
      <c r="CV361" s="53">
        <v>202.4</v>
      </c>
      <c r="CW361" s="53" t="s">
        <v>265</v>
      </c>
      <c r="CX361" s="53" t="s">
        <v>265</v>
      </c>
      <c r="CY361" s="53" t="s">
        <v>265</v>
      </c>
      <c r="CZ361" s="53">
        <v>77.5</v>
      </c>
      <c r="DA361" s="53">
        <v>35.4</v>
      </c>
      <c r="DB361" s="53" t="s">
        <v>265</v>
      </c>
      <c r="DC361" s="53" t="s">
        <v>265</v>
      </c>
      <c r="DD361" s="55"/>
      <c r="DE361" s="55"/>
      <c r="DF361" s="55"/>
      <c r="DG361" s="55"/>
      <c r="DH361" s="55"/>
      <c r="DI361" s="53">
        <v>440.4</v>
      </c>
      <c r="DJ361" s="53">
        <v>392.5</v>
      </c>
      <c r="DK361" s="53">
        <v>845.7</v>
      </c>
      <c r="DL361" s="55"/>
      <c r="DM361" s="53">
        <v>431.2</v>
      </c>
      <c r="DN361" s="55"/>
      <c r="DO361" s="53">
        <v>194.9</v>
      </c>
      <c r="DP361" s="53">
        <v>206.5</v>
      </c>
      <c r="DQ361" s="55"/>
      <c r="DR361" s="55"/>
      <c r="DS361" s="53">
        <v>1083.8062</v>
      </c>
      <c r="DT361" s="53">
        <v>3595</v>
      </c>
      <c r="DU361" s="53">
        <v>6.1999999998079147E-3</v>
      </c>
      <c r="DV361" s="53">
        <v>0</v>
      </c>
      <c r="DW361" s="55"/>
      <c r="DX361" s="55"/>
      <c r="DY361" s="53"/>
      <c r="DZ361" s="53"/>
      <c r="EA361" s="53">
        <v>196.5</v>
      </c>
      <c r="EB361" s="53">
        <v>189.2</v>
      </c>
      <c r="EC361" s="53">
        <v>265.3</v>
      </c>
      <c r="ED361" s="53"/>
      <c r="EE361" s="53">
        <v>138.19999999999999</v>
      </c>
      <c r="EF361" s="53"/>
      <c r="EG361" s="53" t="s">
        <v>265</v>
      </c>
      <c r="EH361" s="53" t="s">
        <v>265</v>
      </c>
      <c r="EI361" s="55"/>
      <c r="EJ361" s="55"/>
      <c r="EK361" s="53">
        <v>395.13499999999999</v>
      </c>
      <c r="EL361" s="53">
        <v>1354.8</v>
      </c>
      <c r="EM361" s="55"/>
      <c r="EN361" s="55"/>
      <c r="EO361" s="53"/>
      <c r="EP361" s="53"/>
      <c r="EQ361" s="53">
        <v>168.6</v>
      </c>
      <c r="ER361" s="53">
        <v>148.9</v>
      </c>
      <c r="ES361" s="53">
        <v>322.60000000000002</v>
      </c>
      <c r="ET361" s="53"/>
      <c r="EU361" s="53">
        <v>162.30000000000001</v>
      </c>
      <c r="EV361" s="53"/>
      <c r="EW361" s="53">
        <v>73.5</v>
      </c>
      <c r="EX361" s="53">
        <v>78.5</v>
      </c>
      <c r="EY361" s="55"/>
      <c r="EZ361" s="55"/>
      <c r="FA361" s="53">
        <v>415.00464999999997</v>
      </c>
      <c r="FB361" s="53">
        <v>1369.4</v>
      </c>
      <c r="FC361" s="55"/>
      <c r="FD361" s="55"/>
      <c r="FE361" s="53"/>
      <c r="FF361" s="53"/>
      <c r="FG361" s="53">
        <v>346.4</v>
      </c>
      <c r="FH361" s="53">
        <v>311.10000000000002</v>
      </c>
      <c r="FI361" s="53">
        <v>663.9</v>
      </c>
      <c r="FJ361" s="53"/>
      <c r="FK361" s="53">
        <v>343.2</v>
      </c>
      <c r="FL361" s="53"/>
      <c r="FM361" s="53">
        <v>155.6</v>
      </c>
      <c r="FN361" s="53">
        <v>167.3</v>
      </c>
      <c r="FO361" s="55"/>
      <c r="FP361" s="55"/>
      <c r="FQ361" s="53">
        <v>864.71899999999994</v>
      </c>
      <c r="FR361" s="53">
        <v>2852.1</v>
      </c>
      <c r="FS361" s="55"/>
      <c r="FT361" s="55"/>
      <c r="FU361" s="53"/>
      <c r="FV361" s="53"/>
      <c r="FW361" s="53">
        <v>280.5</v>
      </c>
      <c r="FX361" s="53">
        <v>136.69999999999999</v>
      </c>
      <c r="FY361" s="53">
        <v>297.60000000000002</v>
      </c>
      <c r="FZ361" s="53"/>
      <c r="GA361" s="53">
        <v>49.2</v>
      </c>
      <c r="GB361" s="53"/>
      <c r="GC361" s="53" t="s">
        <v>265</v>
      </c>
      <c r="GD361" s="53" t="s">
        <v>265</v>
      </c>
      <c r="GE361" s="55"/>
      <c r="GF361" s="55"/>
      <c r="GG361" s="53">
        <v>469.96900000000005</v>
      </c>
      <c r="GH361" s="53">
        <v>1333.5</v>
      </c>
      <c r="GI361" s="55"/>
      <c r="GJ361" s="55"/>
      <c r="GK361" s="53"/>
      <c r="GL361" s="53"/>
      <c r="GM361" s="53">
        <v>50.7</v>
      </c>
      <c r="GN361" s="53">
        <v>32.5</v>
      </c>
      <c r="GO361" s="53">
        <v>61.5</v>
      </c>
      <c r="GP361" s="53"/>
      <c r="GQ361" s="53">
        <v>32.6</v>
      </c>
      <c r="GR361" s="53"/>
      <c r="GS361" s="53">
        <v>6.6</v>
      </c>
      <c r="GT361" s="53">
        <v>6.5</v>
      </c>
      <c r="GU361" s="55"/>
      <c r="GV361" s="55"/>
      <c r="GW361" s="53">
        <v>126.47499999999999</v>
      </c>
      <c r="GX361" s="53">
        <v>316.89999999999998</v>
      </c>
      <c r="GY361" s="19">
        <v>0.97860405481208423</v>
      </c>
      <c r="GZ361" s="53">
        <v>1221.2</v>
      </c>
      <c r="HA361" s="53">
        <v>1247.9000000000001</v>
      </c>
      <c r="HB361" s="18">
        <v>-26.846775715000604</v>
      </c>
      <c r="HC361" s="18">
        <v>-166.12848038920083</v>
      </c>
      <c r="HD361" s="18">
        <v>1386.0532242849995</v>
      </c>
      <c r="HE361" s="18">
        <v>-287.39999999999986</v>
      </c>
      <c r="HF361" s="53">
        <v>1412.9</v>
      </c>
      <c r="HG361" s="53">
        <v>1213.2</v>
      </c>
      <c r="HH361" s="53">
        <v>355.3</v>
      </c>
      <c r="HI361" s="53" t="s">
        <v>265</v>
      </c>
      <c r="HJ361" s="53">
        <v>785.6</v>
      </c>
      <c r="HK361" s="53" t="s">
        <v>265</v>
      </c>
      <c r="HL361" s="53">
        <v>199.7</v>
      </c>
      <c r="HM361" s="53">
        <v>174.8</v>
      </c>
      <c r="HN361" s="53">
        <v>97.1</v>
      </c>
      <c r="HO361" s="53">
        <v>77.7</v>
      </c>
      <c r="HP361" s="55"/>
      <c r="HQ361" s="53" t="s">
        <v>267</v>
      </c>
      <c r="HR361" s="53" t="s">
        <v>267</v>
      </c>
      <c r="HS361" s="55"/>
      <c r="HT361" s="53">
        <v>15.5</v>
      </c>
      <c r="HU361" s="55"/>
      <c r="HV361" s="55"/>
      <c r="HW361" s="53">
        <v>298.7</v>
      </c>
      <c r="HX361" s="53" t="s">
        <v>266</v>
      </c>
      <c r="HY361" s="53">
        <v>298.7</v>
      </c>
      <c r="HZ361" s="53">
        <v>64.5</v>
      </c>
      <c r="IA361" s="53">
        <v>125.7</v>
      </c>
      <c r="IB361" s="53">
        <v>23.6</v>
      </c>
      <c r="IC361" s="53">
        <v>102.1</v>
      </c>
      <c r="ID361" s="53">
        <v>63.4</v>
      </c>
      <c r="IE361" s="53">
        <v>38.700000000000003</v>
      </c>
      <c r="IF361" s="55"/>
      <c r="IG361" s="55"/>
      <c r="IH361" s="18">
        <v>77.685000000000002</v>
      </c>
      <c r="II361" s="12">
        <v>14.896999999999998</v>
      </c>
      <c r="IJ361" s="18">
        <v>43.188000000000002</v>
      </c>
      <c r="IK361" s="53">
        <v>19.600000000000001</v>
      </c>
      <c r="IL361" s="12">
        <v>30.814999999999984</v>
      </c>
      <c r="IM361" s="55"/>
      <c r="IN361" s="53">
        <v>39.200000000000003</v>
      </c>
      <c r="IO361" s="53">
        <v>39.299999999999997</v>
      </c>
      <c r="IP361" s="18">
        <v>48.555</v>
      </c>
      <c r="IQ361" s="53">
        <v>48.6</v>
      </c>
      <c r="IR361" s="18">
        <v>9.298</v>
      </c>
      <c r="IS361" s="55"/>
      <c r="IT361" s="53">
        <v>38.1</v>
      </c>
      <c r="IU361" s="53" t="s">
        <v>265</v>
      </c>
      <c r="IV361" s="18">
        <v>7.5999999999999998E-2</v>
      </c>
      <c r="IW361" s="53" t="s">
        <v>265</v>
      </c>
      <c r="IX361" s="53" t="s">
        <v>265</v>
      </c>
      <c r="IY361" s="48">
        <f t="shared" si="17"/>
        <v>47.510987482614745</v>
      </c>
      <c r="IZ361" s="48">
        <f>IY361-'NOPA Crush'!J361</f>
        <v>9.0987482614742987E-2</v>
      </c>
      <c r="JB361" s="63">
        <f t="shared" si="15"/>
        <v>11.427538247566066</v>
      </c>
      <c r="JC361" s="64">
        <f>JB361-'NOPA Crush'!O361</f>
        <v>-0.10246175243393374</v>
      </c>
      <c r="JD361" s="65"/>
      <c r="JE361" s="67">
        <f t="shared" si="16"/>
        <v>3134</v>
      </c>
      <c r="JF361" s="68">
        <f>'NOPA Crush'!Q361/'Census Crush'!JE361</f>
        <v>0.80412635609444805</v>
      </c>
    </row>
    <row r="362" spans="1:266">
      <c r="A362" s="39">
        <v>40057</v>
      </c>
      <c r="B362" s="51">
        <v>3399.8</v>
      </c>
      <c r="C362" s="51">
        <v>946.1</v>
      </c>
      <c r="D362" s="51">
        <v>92.8</v>
      </c>
      <c r="E362" s="51">
        <v>393.8</v>
      </c>
      <c r="F362" s="51">
        <v>16.600000000000001</v>
      </c>
      <c r="G362" s="51" t="s">
        <v>264</v>
      </c>
      <c r="H362" s="51" t="s">
        <v>264</v>
      </c>
      <c r="I362" s="51" t="s">
        <v>264</v>
      </c>
      <c r="J362" s="51" t="s">
        <v>264</v>
      </c>
      <c r="K362" s="51">
        <v>1299.9000000000001</v>
      </c>
      <c r="L362" s="51">
        <v>2860.5</v>
      </c>
      <c r="M362" s="51">
        <v>2612.5</v>
      </c>
      <c r="N362" s="51">
        <v>248</v>
      </c>
      <c r="O362" s="53">
        <v>35.5</v>
      </c>
      <c r="P362" s="51">
        <v>121.1</v>
      </c>
      <c r="Q362" s="51">
        <v>64.5</v>
      </c>
      <c r="R362" s="51">
        <v>56.6</v>
      </c>
      <c r="S362" s="51"/>
      <c r="T362" s="51">
        <v>12.5</v>
      </c>
      <c r="U362" s="51">
        <v>22.9</v>
      </c>
      <c r="V362" s="51">
        <v>18.899999999999999</v>
      </c>
      <c r="W362" s="51">
        <v>4</v>
      </c>
      <c r="X362" s="51" t="s">
        <v>264</v>
      </c>
      <c r="Y362" s="51" t="s">
        <v>265</v>
      </c>
      <c r="Z362" s="51">
        <v>111.1</v>
      </c>
      <c r="AA362" s="51" t="s">
        <v>265</v>
      </c>
      <c r="AB362" s="51" t="s">
        <v>265</v>
      </c>
      <c r="AC362" s="51" t="s">
        <v>264</v>
      </c>
      <c r="AD362" s="51">
        <v>86</v>
      </c>
      <c r="AE362" s="51">
        <v>86.7</v>
      </c>
      <c r="AF362" s="51">
        <v>171.8</v>
      </c>
      <c r="AG362" s="51">
        <v>118.9</v>
      </c>
      <c r="AH362" s="51">
        <v>52.9</v>
      </c>
      <c r="AI362" s="51">
        <v>215.8</v>
      </c>
      <c r="AJ362" s="9">
        <v>212.8</v>
      </c>
      <c r="AK362" s="22">
        <v>3</v>
      </c>
      <c r="AL362" s="51">
        <v>285.8</v>
      </c>
      <c r="AM362" s="51">
        <v>212.2</v>
      </c>
      <c r="AN362" s="51">
        <v>73.599999999999994</v>
      </c>
      <c r="AO362" s="51">
        <v>2482.6999999999998</v>
      </c>
      <c r="AP362" s="51">
        <v>206.8</v>
      </c>
      <c r="AQ362" s="51">
        <v>200.9</v>
      </c>
      <c r="AR362" s="51">
        <v>27.9</v>
      </c>
      <c r="AS362" s="51">
        <v>48.9</v>
      </c>
      <c r="AT362" s="51">
        <v>17.3</v>
      </c>
      <c r="AU362" s="51">
        <v>35.4</v>
      </c>
      <c r="AV362" s="51">
        <v>29.1</v>
      </c>
      <c r="AW362" s="51">
        <v>8.3000000000000007</v>
      </c>
      <c r="AX362" s="51" t="s">
        <v>264</v>
      </c>
      <c r="AY362" s="51" t="s">
        <v>264</v>
      </c>
      <c r="AZ362" s="51" t="s">
        <v>264</v>
      </c>
      <c r="BA362" s="51" t="s">
        <v>264</v>
      </c>
      <c r="BB362" s="51" t="s">
        <v>264</v>
      </c>
      <c r="BC362" s="55"/>
      <c r="BD362" s="53">
        <v>176.9</v>
      </c>
      <c r="BE362" s="53">
        <v>47.5</v>
      </c>
      <c r="BF362" s="53">
        <v>64.400000000000006</v>
      </c>
      <c r="BG362" s="53">
        <v>7.3</v>
      </c>
      <c r="BH362" s="53">
        <v>291.5</v>
      </c>
      <c r="BI362" s="53">
        <v>128.6</v>
      </c>
      <c r="BJ362" s="53">
        <v>117.6</v>
      </c>
      <c r="BK362" s="53">
        <v>246.2</v>
      </c>
      <c r="BL362" s="55"/>
      <c r="BM362" s="53">
        <v>537.70000000000005</v>
      </c>
      <c r="BN362" s="53">
        <v>165.3</v>
      </c>
      <c r="BO362" s="53">
        <v>101.3</v>
      </c>
      <c r="BP362" s="53">
        <v>58.5</v>
      </c>
      <c r="BQ362" s="53">
        <v>159.69999999999999</v>
      </c>
      <c r="BR362" s="55"/>
      <c r="BS362" s="53">
        <v>325</v>
      </c>
      <c r="BT362" s="53">
        <v>31.2</v>
      </c>
      <c r="BU362" s="53">
        <v>30.3</v>
      </c>
      <c r="BV362" s="51" t="s">
        <v>264</v>
      </c>
      <c r="BW362" s="51" t="s">
        <v>264</v>
      </c>
      <c r="BX362" s="51">
        <v>440.6</v>
      </c>
      <c r="BY362" s="51" t="s">
        <v>264</v>
      </c>
      <c r="BZ362" s="51" t="s">
        <v>264</v>
      </c>
      <c r="CA362" s="51">
        <v>70.400000000000006</v>
      </c>
      <c r="CB362" s="53">
        <v>116.6</v>
      </c>
      <c r="CC362" s="53">
        <v>21</v>
      </c>
      <c r="CD362" s="53">
        <v>138.6</v>
      </c>
      <c r="CE362" s="53">
        <v>17.600000000000001</v>
      </c>
      <c r="CF362" s="53">
        <v>101.4</v>
      </c>
      <c r="CG362" s="53">
        <v>99.3</v>
      </c>
      <c r="CH362" s="53">
        <v>5.0999999999999996</v>
      </c>
      <c r="CI362" s="53">
        <v>34</v>
      </c>
      <c r="CJ362" s="53">
        <v>16.3</v>
      </c>
      <c r="CK362" s="53">
        <v>136.1</v>
      </c>
      <c r="CL362" s="53">
        <v>22</v>
      </c>
      <c r="CM362" s="55"/>
      <c r="CN362" s="53">
        <v>52.9</v>
      </c>
      <c r="CO362" s="53">
        <v>183</v>
      </c>
      <c r="CP362" s="53">
        <v>128</v>
      </c>
      <c r="CQ362" s="53">
        <v>55.1</v>
      </c>
      <c r="CR362" s="53" t="s">
        <v>264</v>
      </c>
      <c r="CS362" s="53">
        <v>40.299999999999997</v>
      </c>
      <c r="CT362" s="53" t="s">
        <v>265</v>
      </c>
      <c r="CU362" s="53" t="s">
        <v>265</v>
      </c>
      <c r="CV362" s="53">
        <v>285.7</v>
      </c>
      <c r="CW362" s="53" t="s">
        <v>265</v>
      </c>
      <c r="CX362" s="53" t="s">
        <v>265</v>
      </c>
      <c r="CY362" s="53" t="s">
        <v>265</v>
      </c>
      <c r="CZ362" s="53">
        <v>76.2</v>
      </c>
      <c r="DA362" s="53">
        <v>25.7</v>
      </c>
      <c r="DB362" s="53" t="s">
        <v>265</v>
      </c>
      <c r="DC362" s="53" t="s">
        <v>265</v>
      </c>
      <c r="DD362" s="55"/>
      <c r="DE362" s="55"/>
      <c r="DF362" s="55"/>
      <c r="DG362" s="55"/>
      <c r="DH362" s="55"/>
      <c r="DI362" s="53">
        <v>444.7</v>
      </c>
      <c r="DJ362" s="53">
        <v>458.4</v>
      </c>
      <c r="DK362" s="53">
        <v>760.3</v>
      </c>
      <c r="DL362" s="55"/>
      <c r="DM362" s="53">
        <v>395.7</v>
      </c>
      <c r="DN362" s="55"/>
      <c r="DO362" s="53">
        <v>122.9</v>
      </c>
      <c r="DP362" s="53">
        <v>192.9</v>
      </c>
      <c r="DQ362" s="55"/>
      <c r="DR362" s="55"/>
      <c r="DS362" s="53">
        <v>1024.9033999999997</v>
      </c>
      <c r="DT362" s="53">
        <v>3399.8</v>
      </c>
      <c r="DU362" s="53">
        <v>3.3999999996012775E-3</v>
      </c>
      <c r="DV362" s="53">
        <v>0</v>
      </c>
      <c r="DW362" s="55"/>
      <c r="DX362" s="55"/>
      <c r="DY362" s="53"/>
      <c r="DZ362" s="53"/>
      <c r="EA362" s="53">
        <v>136.1</v>
      </c>
      <c r="EB362" s="53">
        <v>94.7</v>
      </c>
      <c r="EC362" s="53">
        <v>263.60000000000002</v>
      </c>
      <c r="ED362" s="53"/>
      <c r="EE362" s="53">
        <v>128.6</v>
      </c>
      <c r="EF362" s="53"/>
      <c r="EG362" s="53" t="s">
        <v>265</v>
      </c>
      <c r="EH362" s="53" t="s">
        <v>265</v>
      </c>
      <c r="EI362" s="55"/>
      <c r="EJ362" s="55"/>
      <c r="EK362" s="53">
        <v>245</v>
      </c>
      <c r="EL362" s="53">
        <v>946.1</v>
      </c>
      <c r="EM362" s="55"/>
      <c r="EN362" s="55"/>
      <c r="EO362" s="53"/>
      <c r="EP362" s="53"/>
      <c r="EQ362" s="53">
        <v>170.1</v>
      </c>
      <c r="ER362" s="53">
        <v>178.5</v>
      </c>
      <c r="ES362" s="53">
        <v>289.2</v>
      </c>
      <c r="ET362" s="53"/>
      <c r="EU362" s="53">
        <v>150.19999999999999</v>
      </c>
      <c r="EV362" s="53"/>
      <c r="EW362" s="53">
        <v>46.3</v>
      </c>
      <c r="EX362" s="53">
        <v>74.3</v>
      </c>
      <c r="EY362" s="55"/>
      <c r="EZ362" s="55"/>
      <c r="FA362" s="53">
        <v>391.24939999999998</v>
      </c>
      <c r="FB362" s="53">
        <v>1299.9000000000001</v>
      </c>
      <c r="FC362" s="55"/>
      <c r="FD362" s="55"/>
      <c r="FE362" s="53"/>
      <c r="FF362" s="53"/>
      <c r="FG362" s="53">
        <v>360.1</v>
      </c>
      <c r="FH362" s="53">
        <v>366.7</v>
      </c>
      <c r="FI362" s="53">
        <v>591.20000000000005</v>
      </c>
      <c r="FJ362" s="53"/>
      <c r="FK362" s="53">
        <v>311.60000000000002</v>
      </c>
      <c r="FL362" s="53"/>
      <c r="FM362" s="53">
        <v>97.4</v>
      </c>
      <c r="FN362" s="53">
        <v>158.80000000000001</v>
      </c>
      <c r="FO362" s="55"/>
      <c r="FP362" s="55"/>
      <c r="FQ362" s="53">
        <v>803.19709999999986</v>
      </c>
      <c r="FR362" s="53">
        <v>2689</v>
      </c>
      <c r="FS362" s="55"/>
      <c r="FT362" s="55"/>
      <c r="FU362" s="53"/>
      <c r="FV362" s="53"/>
      <c r="FW362" s="53">
        <v>214.4</v>
      </c>
      <c r="FX362" s="53">
        <v>119.9</v>
      </c>
      <c r="FY362" s="53">
        <v>268.3</v>
      </c>
      <c r="FZ362" s="53"/>
      <c r="GA362" s="53">
        <v>40.799999999999997</v>
      </c>
      <c r="GB362" s="53"/>
      <c r="GC362" s="53" t="s">
        <v>265</v>
      </c>
      <c r="GD362" s="53" t="s">
        <v>265</v>
      </c>
      <c r="GE362" s="55"/>
      <c r="GF362" s="55"/>
      <c r="GG362" s="53">
        <v>443.26199999999994</v>
      </c>
      <c r="GH362" s="53">
        <v>1162.8</v>
      </c>
      <c r="GI362" s="55"/>
      <c r="GJ362" s="55"/>
      <c r="GK362" s="53"/>
      <c r="GL362" s="53"/>
      <c r="GM362" s="53">
        <v>29.6</v>
      </c>
      <c r="GN362" s="53">
        <v>19.399999999999999</v>
      </c>
      <c r="GO362" s="53">
        <v>62.3</v>
      </c>
      <c r="GP362" s="53"/>
      <c r="GQ362" s="53">
        <v>24.3</v>
      </c>
      <c r="GR362" s="53"/>
      <c r="GS362" s="53" t="s">
        <v>265</v>
      </c>
      <c r="GT362" s="53" t="s">
        <v>265</v>
      </c>
      <c r="GU362" s="55"/>
      <c r="GV362" s="55"/>
      <c r="GW362" s="53">
        <v>89.470999999999989</v>
      </c>
      <c r="GX362" s="53">
        <v>234.7</v>
      </c>
      <c r="GY362" s="19">
        <v>0.97836651512776307</v>
      </c>
      <c r="GZ362" s="53">
        <v>1248.2</v>
      </c>
      <c r="HA362" s="53">
        <v>1275.8</v>
      </c>
      <c r="HB362" s="18">
        <v>-14.93000726680043</v>
      </c>
      <c r="HC362" s="18">
        <v>-52.054384607000429</v>
      </c>
      <c r="HD362" s="18">
        <v>1417.2699927331996</v>
      </c>
      <c r="HE362" s="18">
        <v>-202.59999999999991</v>
      </c>
      <c r="HF362" s="53">
        <v>1432.2</v>
      </c>
      <c r="HG362" s="53">
        <v>1184.8</v>
      </c>
      <c r="HH362" s="53">
        <v>317.2</v>
      </c>
      <c r="HI362" s="53" t="s">
        <v>265</v>
      </c>
      <c r="HJ362" s="53">
        <v>791.1</v>
      </c>
      <c r="HK362" s="53" t="s">
        <v>265</v>
      </c>
      <c r="HL362" s="53">
        <v>247.3</v>
      </c>
      <c r="HM362" s="53">
        <v>223</v>
      </c>
      <c r="HN362" s="53">
        <v>122.5</v>
      </c>
      <c r="HO362" s="53">
        <v>100.5</v>
      </c>
      <c r="HP362" s="55"/>
      <c r="HQ362" s="53" t="s">
        <v>267</v>
      </c>
      <c r="HR362" s="53" t="s">
        <v>267</v>
      </c>
      <c r="HS362" s="55"/>
      <c r="HT362" s="53">
        <v>15</v>
      </c>
      <c r="HU362" s="55"/>
      <c r="HV362" s="55"/>
      <c r="HW362" s="53">
        <v>303.39999999999998</v>
      </c>
      <c r="HX362" s="53" t="s">
        <v>266</v>
      </c>
      <c r="HY362" s="53">
        <v>303.39999999999998</v>
      </c>
      <c r="HZ362" s="53">
        <v>67.2</v>
      </c>
      <c r="IA362" s="53">
        <v>145.80000000000001</v>
      </c>
      <c r="IB362" s="53">
        <v>32.5</v>
      </c>
      <c r="IC362" s="53">
        <v>113.2</v>
      </c>
      <c r="ID362" s="53">
        <v>71.5</v>
      </c>
      <c r="IE362" s="53">
        <v>41.7</v>
      </c>
      <c r="IF362" s="55"/>
      <c r="IG362" s="55"/>
      <c r="IH362" s="18">
        <v>56.651000000000003</v>
      </c>
      <c r="II362" s="12">
        <v>18.367000000000001</v>
      </c>
      <c r="IJ362" s="18">
        <v>21.484000000000002</v>
      </c>
      <c r="IK362" s="53">
        <v>16.8</v>
      </c>
      <c r="IL362" s="12">
        <v>33.748999999999974</v>
      </c>
      <c r="IM362" s="55"/>
      <c r="IN362" s="53">
        <v>37.5</v>
      </c>
      <c r="IO362" s="53">
        <v>37.5</v>
      </c>
      <c r="IP362" s="18">
        <v>51.09</v>
      </c>
      <c r="IQ362" s="53">
        <v>51</v>
      </c>
      <c r="IR362" s="53" t="s">
        <v>265</v>
      </c>
      <c r="IS362" s="55"/>
      <c r="IT362" s="53">
        <v>40</v>
      </c>
      <c r="IU362" s="53" t="s">
        <v>265</v>
      </c>
      <c r="IV362" s="18">
        <v>7.3999999999999996E-2</v>
      </c>
      <c r="IW362" s="53" t="s">
        <v>265</v>
      </c>
      <c r="IX362" s="53" t="s">
        <v>265</v>
      </c>
      <c r="IY362" s="48">
        <f t="shared" si="17"/>
        <v>47.360432966645092</v>
      </c>
      <c r="IZ362" s="48">
        <f>IY362-'NOPA Crush'!J362</f>
        <v>0.42043296664509455</v>
      </c>
      <c r="JB362" s="63">
        <f t="shared" si="15"/>
        <v>11.470380610624154</v>
      </c>
      <c r="JC362" s="64">
        <f>JB362-'NOPA Crush'!O362</f>
        <v>-7.9619389375846339E-2</v>
      </c>
      <c r="JD362" s="65"/>
      <c r="JE362" s="67">
        <f t="shared" si="16"/>
        <v>2860.5</v>
      </c>
      <c r="JF362" s="68">
        <f>'NOPA Crush'!Q362/'Census Crush'!JE362</f>
        <v>0.79075126726096834</v>
      </c>
    </row>
    <row r="363" spans="1:266">
      <c r="A363" s="39">
        <v>40087</v>
      </c>
      <c r="B363" s="51">
        <v>4891.5</v>
      </c>
      <c r="C363" s="51">
        <v>2976.8</v>
      </c>
      <c r="D363" s="51">
        <v>131.19999999999999</v>
      </c>
      <c r="E363" s="51">
        <v>501.3</v>
      </c>
      <c r="F363" s="51">
        <v>19.100000000000001</v>
      </c>
      <c r="G363" s="51" t="s">
        <v>264</v>
      </c>
      <c r="H363" s="51" t="s">
        <v>264</v>
      </c>
      <c r="I363" s="51" t="s">
        <v>264</v>
      </c>
      <c r="J363" s="51" t="s">
        <v>264</v>
      </c>
      <c r="K363" s="51">
        <v>1825.2</v>
      </c>
      <c r="L363" s="51">
        <v>2809.4</v>
      </c>
      <c r="M363" s="51">
        <v>2547.6999999999998</v>
      </c>
      <c r="N363" s="51">
        <v>261.7</v>
      </c>
      <c r="O363" s="53">
        <v>38.299999999999997</v>
      </c>
      <c r="P363" s="51">
        <v>99.3</v>
      </c>
      <c r="Q363" s="9">
        <v>50.8</v>
      </c>
      <c r="R363" s="51">
        <v>48.5</v>
      </c>
      <c r="S363" s="51"/>
      <c r="T363" s="51">
        <v>15.1</v>
      </c>
      <c r="U363" s="51">
        <v>31.8</v>
      </c>
      <c r="V363" s="51">
        <v>28</v>
      </c>
      <c r="W363" s="51">
        <v>3.8</v>
      </c>
      <c r="X363" s="51" t="s">
        <v>264</v>
      </c>
      <c r="Y363" s="51" t="s">
        <v>265</v>
      </c>
      <c r="Z363" s="51">
        <v>131.19999999999999</v>
      </c>
      <c r="AA363" s="9">
        <v>118.858</v>
      </c>
      <c r="AB363" s="9">
        <v>11.871</v>
      </c>
      <c r="AC363" s="9" t="s">
        <v>264</v>
      </c>
      <c r="AD363" s="9">
        <v>162.4</v>
      </c>
      <c r="AE363" s="9">
        <v>160.5</v>
      </c>
      <c r="AF363" s="51">
        <v>224.6</v>
      </c>
      <c r="AG363" s="51">
        <v>119.7</v>
      </c>
      <c r="AH363" s="51">
        <v>104.9</v>
      </c>
      <c r="AI363" s="51">
        <v>212.9</v>
      </c>
      <c r="AJ363" s="9">
        <v>209.9</v>
      </c>
      <c r="AK363" s="22">
        <v>3</v>
      </c>
      <c r="AL363" s="51">
        <v>218.9</v>
      </c>
      <c r="AM363" s="51">
        <v>135.4</v>
      </c>
      <c r="AN363" s="51">
        <v>83.5</v>
      </c>
      <c r="AO363" s="51">
        <v>3578.7</v>
      </c>
      <c r="AP363" s="51">
        <v>401</v>
      </c>
      <c r="AQ363" s="51">
        <v>267</v>
      </c>
      <c r="AR363" s="51">
        <v>44</v>
      </c>
      <c r="AS363" s="51">
        <v>60.9</v>
      </c>
      <c r="AT363" s="51">
        <v>14.4</v>
      </c>
      <c r="AU363" s="51">
        <v>40.700000000000003</v>
      </c>
      <c r="AV363" s="51">
        <v>25</v>
      </c>
      <c r="AW363" s="51">
        <v>9.6999999999999993</v>
      </c>
      <c r="AX363" s="51" t="s">
        <v>264</v>
      </c>
      <c r="AY363" s="51" t="s">
        <v>264</v>
      </c>
      <c r="AZ363" s="51" t="s">
        <v>264</v>
      </c>
      <c r="BA363" s="51" t="s">
        <v>264</v>
      </c>
      <c r="BB363" s="51" t="s">
        <v>264</v>
      </c>
      <c r="BC363" s="55"/>
      <c r="BD363" s="53">
        <v>163.4</v>
      </c>
      <c r="BE363" s="53">
        <v>43.4</v>
      </c>
      <c r="BF363" s="53">
        <v>67.3</v>
      </c>
      <c r="BG363" s="53">
        <v>8.3000000000000007</v>
      </c>
      <c r="BH363" s="53">
        <v>290.5</v>
      </c>
      <c r="BI363" s="53">
        <v>131.69999999999999</v>
      </c>
      <c r="BJ363" s="53">
        <v>109.3</v>
      </c>
      <c r="BK363" s="53">
        <v>241</v>
      </c>
      <c r="BL363" s="55"/>
      <c r="BM363" s="53">
        <v>531.4</v>
      </c>
      <c r="BN363" s="53">
        <v>182.1</v>
      </c>
      <c r="BO363" s="53">
        <v>102</v>
      </c>
      <c r="BP363" s="53">
        <v>66.900000000000006</v>
      </c>
      <c r="BQ363" s="53">
        <v>169</v>
      </c>
      <c r="BR363" s="55"/>
      <c r="BS363" s="53">
        <v>351</v>
      </c>
      <c r="BT363" s="53">
        <v>30.6</v>
      </c>
      <c r="BU363" s="53">
        <v>23.1</v>
      </c>
      <c r="BV363" s="51" t="s">
        <v>264</v>
      </c>
      <c r="BW363" s="51" t="s">
        <v>264</v>
      </c>
      <c r="BX363" s="51">
        <v>439.8</v>
      </c>
      <c r="BY363" s="51" t="s">
        <v>264</v>
      </c>
      <c r="BZ363" s="51" t="s">
        <v>264</v>
      </c>
      <c r="CA363" s="51">
        <v>77.3</v>
      </c>
      <c r="CB363" s="53">
        <v>119.8</v>
      </c>
      <c r="CC363" s="53">
        <v>23.2</v>
      </c>
      <c r="CD363" s="53">
        <v>149.4</v>
      </c>
      <c r="CE363" s="53">
        <v>22.7</v>
      </c>
      <c r="CF363" s="53">
        <v>105.5</v>
      </c>
      <c r="CG363" s="53">
        <v>86.9</v>
      </c>
      <c r="CH363" s="53">
        <v>7.2</v>
      </c>
      <c r="CI363" s="53">
        <v>34.200000000000003</v>
      </c>
      <c r="CJ363" s="53">
        <v>6.9</v>
      </c>
      <c r="CK363" s="53">
        <v>142.5</v>
      </c>
      <c r="CL363" s="53">
        <v>20.8</v>
      </c>
      <c r="CM363" s="55"/>
      <c r="CN363" s="53">
        <v>52.4</v>
      </c>
      <c r="CO363" s="53">
        <v>159.80000000000001</v>
      </c>
      <c r="CP363" s="53">
        <v>118.3</v>
      </c>
      <c r="CQ363" s="53">
        <v>41.5</v>
      </c>
      <c r="CR363" s="53" t="s">
        <v>264</v>
      </c>
      <c r="CS363" s="53">
        <v>53.8</v>
      </c>
      <c r="CT363" s="53" t="s">
        <v>265</v>
      </c>
      <c r="CU363" s="53" t="s">
        <v>265</v>
      </c>
      <c r="CV363" s="53">
        <v>235.7</v>
      </c>
      <c r="CW363" s="12">
        <v>19.286000000000001</v>
      </c>
      <c r="CX363" s="12">
        <v>216.27600000000001</v>
      </c>
      <c r="CY363" s="53" t="s">
        <v>265</v>
      </c>
      <c r="CZ363" s="53">
        <v>49.2</v>
      </c>
      <c r="DA363" s="53">
        <v>35.299999999999997</v>
      </c>
      <c r="DB363" s="53" t="s">
        <v>265</v>
      </c>
      <c r="DC363" s="53" t="s">
        <v>265</v>
      </c>
      <c r="DD363" s="55"/>
      <c r="DE363" s="55"/>
      <c r="DF363" s="55"/>
      <c r="DG363" s="55"/>
      <c r="DH363" s="55"/>
      <c r="DI363" s="53">
        <v>728.9</v>
      </c>
      <c r="DJ363" s="53">
        <v>681.3</v>
      </c>
      <c r="DK363" s="53">
        <v>1072.9000000000001</v>
      </c>
      <c r="DL363" s="55"/>
      <c r="DM363" s="53">
        <v>514.20000000000005</v>
      </c>
      <c r="DN363" s="55"/>
      <c r="DO363" s="53">
        <v>311.60000000000002</v>
      </c>
      <c r="DP363" s="53">
        <v>273.60000000000002</v>
      </c>
      <c r="DQ363" s="55"/>
      <c r="DR363" s="55"/>
      <c r="DS363" s="53">
        <v>1308.9783600000001</v>
      </c>
      <c r="DT363" s="53">
        <v>4891.5</v>
      </c>
      <c r="DU363" s="53">
        <v>-2.1639999999933934E-2</v>
      </c>
      <c r="DV363" s="53">
        <v>0</v>
      </c>
      <c r="DW363" s="55"/>
      <c r="DX363" s="55"/>
      <c r="DY363" s="53"/>
      <c r="DZ363" s="53"/>
      <c r="EA363" s="53">
        <v>401.8</v>
      </c>
      <c r="EB363" s="53">
        <v>711.9</v>
      </c>
      <c r="EC363" s="53">
        <v>480.9</v>
      </c>
      <c r="ED363" s="53"/>
      <c r="EE363" s="53">
        <v>277.60000000000002</v>
      </c>
      <c r="EF363" s="53"/>
      <c r="EG363" s="53">
        <v>114.4</v>
      </c>
      <c r="EH363" s="53">
        <v>223.5</v>
      </c>
      <c r="EI363" s="55"/>
      <c r="EJ363" s="55"/>
      <c r="EK363" s="53">
        <v>766.66200000000003</v>
      </c>
      <c r="EL363" s="53">
        <v>2976.8</v>
      </c>
      <c r="EM363" s="55"/>
      <c r="EN363" s="55"/>
      <c r="EO363" s="53"/>
      <c r="EP363" s="53"/>
      <c r="EQ363" s="53">
        <v>269.60000000000002</v>
      </c>
      <c r="ER363" s="53">
        <v>251</v>
      </c>
      <c r="ES363" s="53">
        <v>399.9</v>
      </c>
      <c r="ET363" s="53"/>
      <c r="EU363" s="53">
        <v>191.8</v>
      </c>
      <c r="EV363" s="53"/>
      <c r="EW363" s="53">
        <v>113.3</v>
      </c>
      <c r="EX363" s="53">
        <v>100</v>
      </c>
      <c r="EY363" s="55"/>
      <c r="EZ363" s="55"/>
      <c r="FA363" s="53">
        <v>499.67944</v>
      </c>
      <c r="FB363" s="53">
        <v>1825.2</v>
      </c>
      <c r="FC363" s="55"/>
      <c r="FD363" s="55"/>
      <c r="FE363" s="53"/>
      <c r="FF363" s="53"/>
      <c r="FG363" s="53">
        <v>582.79999999999995</v>
      </c>
      <c r="FH363" s="53">
        <v>537.9</v>
      </c>
      <c r="FI363" s="53">
        <v>835.8</v>
      </c>
      <c r="FJ363" s="53"/>
      <c r="FK363" s="53">
        <v>392.2</v>
      </c>
      <c r="FL363" s="53"/>
      <c r="FM363" s="53">
        <v>255.4</v>
      </c>
      <c r="FN363" s="53">
        <v>214.6</v>
      </c>
      <c r="FO363" s="55"/>
      <c r="FP363" s="55"/>
      <c r="FQ363" s="53">
        <v>1034.0035199999995</v>
      </c>
      <c r="FR363" s="53">
        <v>3852.7</v>
      </c>
      <c r="FS363" s="55"/>
      <c r="FT363" s="55"/>
      <c r="FU363" s="53"/>
      <c r="FV363" s="53"/>
      <c r="FW363" s="53">
        <v>232.9</v>
      </c>
      <c r="FX363" s="53">
        <v>116.5</v>
      </c>
      <c r="FY363" s="53">
        <v>273.60000000000002</v>
      </c>
      <c r="FZ363" s="53"/>
      <c r="GA363" s="53">
        <v>35.299999999999997</v>
      </c>
      <c r="GB363" s="53"/>
      <c r="GC363" s="53" t="s">
        <v>265</v>
      </c>
      <c r="GD363" s="53" t="s">
        <v>265</v>
      </c>
      <c r="GE363" s="55"/>
      <c r="GF363" s="55"/>
      <c r="GG363" s="53">
        <v>423.30300000000011</v>
      </c>
      <c r="GH363" s="53">
        <v>1150</v>
      </c>
      <c r="GI363" s="55"/>
      <c r="GJ363" s="55"/>
      <c r="GK363" s="53"/>
      <c r="GL363" s="53"/>
      <c r="GM363" s="53">
        <v>98</v>
      </c>
      <c r="GN363" s="53">
        <v>69.099999999999994</v>
      </c>
      <c r="GO363" s="53">
        <v>101.2</v>
      </c>
      <c r="GP363" s="53"/>
      <c r="GQ363" s="53">
        <v>33.1</v>
      </c>
      <c r="GR363" s="53"/>
      <c r="GS363" s="53">
        <v>14.7</v>
      </c>
      <c r="GT363" s="53">
        <v>6.9</v>
      </c>
      <c r="GU363" s="55"/>
      <c r="GV363" s="55"/>
      <c r="GW363" s="53">
        <v>123.15299999999995</v>
      </c>
      <c r="GX363" s="53">
        <v>446.2</v>
      </c>
      <c r="GY363" s="19">
        <v>0.97927751330159607</v>
      </c>
      <c r="GZ363" s="53">
        <v>1398.8</v>
      </c>
      <c r="HA363" s="53">
        <v>1428.4</v>
      </c>
      <c r="HB363" s="18">
        <v>-74.430230144801044</v>
      </c>
      <c r="HC363" s="18">
        <v>-131.10711189440099</v>
      </c>
      <c r="HD363" s="18">
        <v>1552.069769855199</v>
      </c>
      <c r="HE363" s="18">
        <v>-108.70000000000005</v>
      </c>
      <c r="HF363" s="53">
        <v>1626.5</v>
      </c>
      <c r="HG363" s="53">
        <v>1357.5</v>
      </c>
      <c r="HH363" s="53">
        <v>363.7</v>
      </c>
      <c r="HI363" s="53" t="s">
        <v>265</v>
      </c>
      <c r="HJ363" s="53">
        <v>915.9</v>
      </c>
      <c r="HK363" s="53" t="s">
        <v>265</v>
      </c>
      <c r="HL363" s="53">
        <v>269.10000000000002</v>
      </c>
      <c r="HM363" s="53">
        <v>246.7</v>
      </c>
      <c r="HN363" s="53">
        <v>132.4</v>
      </c>
      <c r="HO363" s="53">
        <v>114.4</v>
      </c>
      <c r="HP363" s="55"/>
      <c r="HQ363" s="53" t="s">
        <v>267</v>
      </c>
      <c r="HR363" s="53" t="s">
        <v>267</v>
      </c>
      <c r="HS363" s="55"/>
      <c r="HT363" s="53">
        <v>14.9</v>
      </c>
      <c r="HU363" s="55"/>
      <c r="HV363" s="55"/>
      <c r="HW363" s="53">
        <v>295.8</v>
      </c>
      <c r="HX363" s="53" t="s">
        <v>266</v>
      </c>
      <c r="HY363" s="53">
        <v>295.8</v>
      </c>
      <c r="HZ363" s="53">
        <v>64</v>
      </c>
      <c r="IA363" s="53">
        <v>138.6</v>
      </c>
      <c r="IB363" s="53">
        <v>25.4</v>
      </c>
      <c r="IC363" s="53">
        <v>113.1</v>
      </c>
      <c r="ID363" s="53">
        <v>69.5</v>
      </c>
      <c r="IE363" s="53">
        <v>43.7</v>
      </c>
      <c r="IF363" s="55"/>
      <c r="IG363" s="55"/>
      <c r="IH363" s="18">
        <v>52.512</v>
      </c>
      <c r="II363" s="21">
        <v>15</v>
      </c>
      <c r="IJ363" s="12">
        <v>16.411999999999999</v>
      </c>
      <c r="IK363" s="53">
        <v>21.1</v>
      </c>
      <c r="IL363" s="12">
        <v>40.688000000000017</v>
      </c>
      <c r="IM363" s="55"/>
      <c r="IN363" s="53">
        <v>32.6</v>
      </c>
      <c r="IO363" s="53">
        <v>32.6</v>
      </c>
      <c r="IP363" s="53" t="s">
        <v>265</v>
      </c>
      <c r="IQ363" s="53">
        <v>56.3</v>
      </c>
      <c r="IR363" s="53" t="s">
        <v>265</v>
      </c>
      <c r="IS363" s="55"/>
      <c r="IT363" s="53">
        <v>46</v>
      </c>
      <c r="IU363" s="53" t="s">
        <v>265</v>
      </c>
      <c r="IV363" s="53" t="s">
        <v>265</v>
      </c>
      <c r="IW363" s="53" t="s">
        <v>265</v>
      </c>
      <c r="IX363" s="53" t="s">
        <v>265</v>
      </c>
      <c r="IY363" s="48">
        <f t="shared" si="17"/>
        <v>47.172033118675245</v>
      </c>
      <c r="IZ363" s="48">
        <f>IY363-'NOPA Crush'!J363</f>
        <v>0.4020331186752415</v>
      </c>
      <c r="JB363" s="63">
        <f t="shared" si="15"/>
        <v>11.194112235510579</v>
      </c>
      <c r="JC363" s="64">
        <f>JB363-'NOPA Crush'!O363</f>
        <v>-3.588776448942177E-2</v>
      </c>
      <c r="JD363" s="65"/>
      <c r="JE363" s="67">
        <f t="shared" si="16"/>
        <v>2809.4</v>
      </c>
      <c r="JF363" s="68">
        <f>'NOPA Crush'!Q363/'Census Crush'!JE363</f>
        <v>0.81371965544244318</v>
      </c>
    </row>
    <row r="364" spans="1:266">
      <c r="A364" s="39">
        <v>40118</v>
      </c>
      <c r="B364" s="51">
        <v>5060.6000000000004</v>
      </c>
      <c r="C364" s="51">
        <v>3886.8</v>
      </c>
      <c r="D364" s="51">
        <v>169.2</v>
      </c>
      <c r="E364" s="51">
        <v>1188</v>
      </c>
      <c r="F364" s="51">
        <v>17.7</v>
      </c>
      <c r="G364" s="51" t="s">
        <v>264</v>
      </c>
      <c r="H364" s="51" t="s">
        <v>264</v>
      </c>
      <c r="I364" s="51" t="s">
        <v>264</v>
      </c>
      <c r="J364" s="51" t="s">
        <v>264</v>
      </c>
      <c r="K364" s="51">
        <v>1854</v>
      </c>
      <c r="L364" s="51">
        <v>2990.5</v>
      </c>
      <c r="M364" s="51">
        <v>2712</v>
      </c>
      <c r="N364" s="51">
        <v>278.5</v>
      </c>
      <c r="O364" s="53">
        <v>54.1</v>
      </c>
      <c r="P364" s="51">
        <v>88</v>
      </c>
      <c r="Q364" s="9">
        <v>38.9</v>
      </c>
      <c r="R364" s="51">
        <v>49.1</v>
      </c>
      <c r="S364" s="51"/>
      <c r="T364" s="51">
        <v>13.6</v>
      </c>
      <c r="U364" s="51">
        <v>26.6</v>
      </c>
      <c r="V364" s="51">
        <v>24.6</v>
      </c>
      <c r="W364" s="51">
        <v>2</v>
      </c>
      <c r="X364" s="51" t="s">
        <v>264</v>
      </c>
      <c r="Y364" s="51" t="s">
        <v>265</v>
      </c>
      <c r="Z364" s="51">
        <v>139.69999999999999</v>
      </c>
      <c r="AA364" s="9">
        <v>128.00700000000001</v>
      </c>
      <c r="AB364" s="9">
        <v>10.734999999999999</v>
      </c>
      <c r="AC364" s="9" t="s">
        <v>264</v>
      </c>
      <c r="AD364" s="9">
        <v>96</v>
      </c>
      <c r="AE364" s="9">
        <v>97.3</v>
      </c>
      <c r="AF364" s="51">
        <v>196.4</v>
      </c>
      <c r="AG364" s="51">
        <v>136.19999999999999</v>
      </c>
      <c r="AH364" s="51">
        <v>60.2</v>
      </c>
      <c r="AI364" s="51">
        <v>205.2</v>
      </c>
      <c r="AJ364" s="9">
        <v>202.2</v>
      </c>
      <c r="AK364" s="22">
        <v>3</v>
      </c>
      <c r="AL364" s="51">
        <v>212.8</v>
      </c>
      <c r="AM364" s="51">
        <v>124.1</v>
      </c>
      <c r="AN364" s="51">
        <v>88.7</v>
      </c>
      <c r="AO364" s="51">
        <v>3696.4</v>
      </c>
      <c r="AP364" s="51">
        <v>569.4</v>
      </c>
      <c r="AQ364" s="51">
        <v>280.2</v>
      </c>
      <c r="AR364" s="51">
        <v>58</v>
      </c>
      <c r="AS364" s="51">
        <v>73.400000000000006</v>
      </c>
      <c r="AT364" s="51">
        <v>18.600000000000001</v>
      </c>
      <c r="AU364" s="51">
        <v>47.6</v>
      </c>
      <c r="AV364" s="51">
        <v>24.3</v>
      </c>
      <c r="AW364" s="51">
        <v>8.6999999999999993</v>
      </c>
      <c r="AX364" s="51" t="s">
        <v>264</v>
      </c>
      <c r="AY364" s="51" t="s">
        <v>264</v>
      </c>
      <c r="AZ364" s="51" t="s">
        <v>264</v>
      </c>
      <c r="BA364" s="51" t="s">
        <v>264</v>
      </c>
      <c r="BB364" s="51" t="s">
        <v>264</v>
      </c>
      <c r="BC364" s="55"/>
      <c r="BD364" s="53">
        <v>137.19999999999999</v>
      </c>
      <c r="BE364" s="53">
        <v>36.6</v>
      </c>
      <c r="BF364" s="53">
        <v>60.3</v>
      </c>
      <c r="BG364" s="53">
        <v>10.4</v>
      </c>
      <c r="BH364" s="53">
        <v>255.3</v>
      </c>
      <c r="BI364" s="53">
        <v>124.6</v>
      </c>
      <c r="BJ364" s="53">
        <v>94</v>
      </c>
      <c r="BK364" s="53">
        <v>218.7</v>
      </c>
      <c r="BL364" s="55"/>
      <c r="BM364" s="53">
        <v>474</v>
      </c>
      <c r="BN364" s="53">
        <v>148.19999999999999</v>
      </c>
      <c r="BO364" s="53">
        <v>99.1</v>
      </c>
      <c r="BP364" s="53">
        <v>66.2</v>
      </c>
      <c r="BQ364" s="53">
        <v>165.3</v>
      </c>
      <c r="BR364" s="55"/>
      <c r="BS364" s="53">
        <v>313.60000000000002</v>
      </c>
      <c r="BT364" s="53">
        <v>26.6</v>
      </c>
      <c r="BU364" s="53">
        <v>19.5</v>
      </c>
      <c r="BV364" s="51" t="s">
        <v>264</v>
      </c>
      <c r="BW364" s="51" t="s">
        <v>264</v>
      </c>
      <c r="BX364" s="51">
        <v>398</v>
      </c>
      <c r="BY364" s="51" t="s">
        <v>264</v>
      </c>
      <c r="BZ364" s="51" t="s">
        <v>264</v>
      </c>
      <c r="CA364" s="51">
        <v>73</v>
      </c>
      <c r="CB364" s="53">
        <v>111</v>
      </c>
      <c r="CC364" s="53">
        <v>21.1</v>
      </c>
      <c r="CD364" s="53">
        <v>135.5</v>
      </c>
      <c r="CE364" s="53">
        <v>20.100000000000001</v>
      </c>
      <c r="CF364" s="53">
        <v>102.1</v>
      </c>
      <c r="CG364" s="53">
        <v>105.2</v>
      </c>
      <c r="CH364" s="53">
        <v>7.2</v>
      </c>
      <c r="CI364" s="53">
        <v>33.9</v>
      </c>
      <c r="CJ364" s="53">
        <v>5.6</v>
      </c>
      <c r="CK364" s="53">
        <v>117.4</v>
      </c>
      <c r="CL364" s="53">
        <v>20.5</v>
      </c>
      <c r="CM364" s="55"/>
      <c r="CN364" s="53">
        <v>63.5</v>
      </c>
      <c r="CO364" s="53">
        <v>155.4</v>
      </c>
      <c r="CP364" s="53">
        <v>107.6</v>
      </c>
      <c r="CQ364" s="53">
        <v>47.8</v>
      </c>
      <c r="CR364" s="53" t="s">
        <v>264</v>
      </c>
      <c r="CS364" s="53">
        <v>47</v>
      </c>
      <c r="CT364" s="53" t="s">
        <v>265</v>
      </c>
      <c r="CU364" s="53" t="s">
        <v>265</v>
      </c>
      <c r="CV364" s="53">
        <v>224.1</v>
      </c>
      <c r="CW364" s="53">
        <v>28.5</v>
      </c>
      <c r="CX364" s="53">
        <v>195.5</v>
      </c>
      <c r="CY364" s="53" t="s">
        <v>265</v>
      </c>
      <c r="CZ364" s="53">
        <v>63.7</v>
      </c>
      <c r="DA364" s="53">
        <v>34.200000000000003</v>
      </c>
      <c r="DB364" s="53" t="s">
        <v>265</v>
      </c>
      <c r="DC364" s="53" t="s">
        <v>265</v>
      </c>
      <c r="DD364" s="55"/>
      <c r="DE364" s="55"/>
      <c r="DF364" s="55"/>
      <c r="DG364" s="55"/>
      <c r="DH364" s="55"/>
      <c r="DI364" s="53">
        <v>784.2</v>
      </c>
      <c r="DJ364" s="53">
        <v>675.8</v>
      </c>
      <c r="DK364" s="53">
        <v>1058.5999999999999</v>
      </c>
      <c r="DL364" s="55"/>
      <c r="DM364" s="53">
        <v>493.1</v>
      </c>
      <c r="DN364" s="55"/>
      <c r="DO364" s="53">
        <v>350.2</v>
      </c>
      <c r="DP364" s="53">
        <v>279.7</v>
      </c>
      <c r="DQ364" s="55"/>
      <c r="DR364" s="55"/>
      <c r="DS364" s="53">
        <v>1418.8566499999997</v>
      </c>
      <c r="DT364" s="53">
        <v>5060.6000000000004</v>
      </c>
      <c r="DU364" s="53">
        <v>-0.1433500000011918</v>
      </c>
      <c r="DV364" s="53">
        <v>0</v>
      </c>
      <c r="DW364" s="55"/>
      <c r="DX364" s="55"/>
      <c r="DY364" s="53"/>
      <c r="DZ364" s="53"/>
      <c r="EA364" s="53">
        <v>597.5</v>
      </c>
      <c r="EB364" s="53">
        <v>840.8</v>
      </c>
      <c r="EC364" s="53">
        <v>525.6</v>
      </c>
      <c r="ED364" s="53"/>
      <c r="EE364" s="53">
        <v>219.2</v>
      </c>
      <c r="EF364" s="53"/>
      <c r="EG364" s="53" t="s">
        <v>265</v>
      </c>
      <c r="EH364" s="53" t="s">
        <v>265</v>
      </c>
      <c r="EI364" s="55"/>
      <c r="EJ364" s="55"/>
      <c r="EK364" s="53">
        <v>1244.9910000000004</v>
      </c>
      <c r="EL364" s="53">
        <v>3886.8</v>
      </c>
      <c r="EM364" s="55"/>
      <c r="EN364" s="55"/>
      <c r="EO364" s="53"/>
      <c r="EP364" s="53"/>
      <c r="EQ364" s="53">
        <v>284.5</v>
      </c>
      <c r="ER364" s="53">
        <v>241.8</v>
      </c>
      <c r="ES364" s="53">
        <v>388.5</v>
      </c>
      <c r="ET364" s="53"/>
      <c r="EU364" s="53">
        <v>186.2</v>
      </c>
      <c r="EV364" s="53"/>
      <c r="EW364" s="53">
        <v>126.2</v>
      </c>
      <c r="EX364" s="53">
        <v>100</v>
      </c>
      <c r="EY364" s="55"/>
      <c r="EZ364" s="55"/>
      <c r="FA364" s="53">
        <v>526.64174999999977</v>
      </c>
      <c r="FB364" s="53">
        <v>1854</v>
      </c>
      <c r="FC364" s="55"/>
      <c r="FD364" s="55"/>
      <c r="FE364" s="53"/>
      <c r="FF364" s="53"/>
      <c r="FG364" s="53">
        <v>621.79999999999995</v>
      </c>
      <c r="FH364" s="53">
        <v>535.4</v>
      </c>
      <c r="FI364" s="53">
        <v>823.4</v>
      </c>
      <c r="FJ364" s="53"/>
      <c r="FK364" s="53">
        <v>384.4</v>
      </c>
      <c r="FL364" s="53"/>
      <c r="FM364" s="53">
        <v>276.60000000000002</v>
      </c>
      <c r="FN364" s="53">
        <v>224</v>
      </c>
      <c r="FO364" s="55"/>
      <c r="FP364" s="55"/>
      <c r="FQ364" s="53">
        <v>1117.0673500000003</v>
      </c>
      <c r="FR364" s="53">
        <v>3982.5</v>
      </c>
      <c r="FS364" s="55"/>
      <c r="FT364" s="55"/>
      <c r="FU364" s="53"/>
      <c r="FV364" s="53"/>
      <c r="FW364" s="53">
        <v>258.89999999999998</v>
      </c>
      <c r="FX364" s="53">
        <v>124.5</v>
      </c>
      <c r="FY364" s="53">
        <v>277.89999999999998</v>
      </c>
      <c r="FZ364" s="53"/>
      <c r="GA364" s="53">
        <v>42.5</v>
      </c>
      <c r="GB364" s="53"/>
      <c r="GC364" s="53" t="s">
        <v>265</v>
      </c>
      <c r="GD364" s="53" t="s">
        <v>265</v>
      </c>
      <c r="GE364" s="55"/>
      <c r="GF364" s="55"/>
      <c r="GG364" s="53">
        <v>435.39299999999992</v>
      </c>
      <c r="GH364" s="53">
        <v>1203</v>
      </c>
      <c r="GI364" s="55"/>
      <c r="GJ364" s="55"/>
      <c r="GK364" s="53"/>
      <c r="GL364" s="53"/>
      <c r="GM364" s="53">
        <v>158.80000000000001</v>
      </c>
      <c r="GN364" s="53">
        <v>77</v>
      </c>
      <c r="GO364" s="53">
        <v>180.1</v>
      </c>
      <c r="GP364" s="53"/>
      <c r="GQ364" s="53">
        <v>35.9</v>
      </c>
      <c r="GR364" s="53"/>
      <c r="GS364" s="53">
        <v>17</v>
      </c>
      <c r="GT364" s="53">
        <v>4.5999999999999996</v>
      </c>
      <c r="GU364" s="55"/>
      <c r="GV364" s="55"/>
      <c r="GW364" s="53">
        <v>153.935</v>
      </c>
      <c r="GX364" s="53">
        <v>627.4</v>
      </c>
      <c r="GY364" s="19">
        <v>0.97802279117951751</v>
      </c>
      <c r="GZ364" s="53">
        <v>1321.7</v>
      </c>
      <c r="HA364" s="53">
        <v>1351.4</v>
      </c>
      <c r="HB364" s="18">
        <v>-54.231852333000916</v>
      </c>
      <c r="HC364" s="18">
        <v>44.666845176198876</v>
      </c>
      <c r="HD364" s="18">
        <v>1439.868147666999</v>
      </c>
      <c r="HE364" s="18">
        <v>-68.300000000000182</v>
      </c>
      <c r="HF364" s="53">
        <v>1494.1</v>
      </c>
      <c r="HG364" s="53">
        <v>1235.5</v>
      </c>
      <c r="HH364" s="53">
        <v>312.60000000000002</v>
      </c>
      <c r="HI364" s="53" t="s">
        <v>265</v>
      </c>
      <c r="HJ364" s="53">
        <v>849.3</v>
      </c>
      <c r="HK364" s="53" t="s">
        <v>265</v>
      </c>
      <c r="HL364" s="53">
        <v>258.7</v>
      </c>
      <c r="HM364" s="53">
        <v>239.4</v>
      </c>
      <c r="HN364" s="53">
        <v>131.19999999999999</v>
      </c>
      <c r="HO364" s="53">
        <v>108.2</v>
      </c>
      <c r="HP364" s="55"/>
      <c r="HQ364" s="53" t="s">
        <v>267</v>
      </c>
      <c r="HR364" s="53" t="s">
        <v>267</v>
      </c>
      <c r="HS364" s="55"/>
      <c r="HT364" s="53">
        <v>12.3</v>
      </c>
      <c r="HU364" s="55"/>
      <c r="HV364" s="55"/>
      <c r="HW364" s="53">
        <v>299.8</v>
      </c>
      <c r="HX364" s="53" t="s">
        <v>266</v>
      </c>
      <c r="HY364" s="53">
        <v>299.8</v>
      </c>
      <c r="HZ364" s="53">
        <v>51.9</v>
      </c>
      <c r="IA364" s="53">
        <v>141.4</v>
      </c>
      <c r="IB364" s="53">
        <v>26.7</v>
      </c>
      <c r="IC364" s="53">
        <v>114.7</v>
      </c>
      <c r="ID364" s="53">
        <v>70.7</v>
      </c>
      <c r="IE364" s="53">
        <v>44</v>
      </c>
      <c r="IF364" s="55"/>
      <c r="IG364" s="55"/>
      <c r="IH364" s="18">
        <v>71.97</v>
      </c>
      <c r="II364" s="21">
        <v>20</v>
      </c>
      <c r="IJ364" s="12">
        <v>26.57</v>
      </c>
      <c r="IK364" s="53">
        <v>25.4</v>
      </c>
      <c r="IL364" s="12">
        <v>34.53</v>
      </c>
      <c r="IM364" s="55"/>
      <c r="IN364" s="53">
        <v>46.2</v>
      </c>
      <c r="IO364" s="53">
        <v>46.3</v>
      </c>
      <c r="IP364" s="53" t="s">
        <v>265</v>
      </c>
      <c r="IQ364" s="53">
        <v>51.4</v>
      </c>
      <c r="IR364" s="53" t="s">
        <v>265</v>
      </c>
      <c r="IS364" s="55"/>
      <c r="IT364" s="53">
        <v>41.1</v>
      </c>
      <c r="IU364" s="53" t="s">
        <v>265</v>
      </c>
      <c r="IV364" s="53" t="s">
        <v>265</v>
      </c>
      <c r="IW364" s="53" t="s">
        <v>265</v>
      </c>
      <c r="IX364" s="53" t="s">
        <v>265</v>
      </c>
      <c r="IY364" s="48">
        <f t="shared" si="17"/>
        <v>47.147769039244359</v>
      </c>
      <c r="IZ364" s="48">
        <f>IY364-'NOPA Crush'!J364</f>
        <v>7.7769039244358851E-2</v>
      </c>
      <c r="JB364" s="63">
        <f t="shared" si="15"/>
        <v>10.990791605738449</v>
      </c>
      <c r="JC364" s="64">
        <f>JB364-'NOPA Crush'!O364</f>
        <v>-4.920839426154977E-2</v>
      </c>
      <c r="JD364" s="65"/>
      <c r="JE364" s="67">
        <f t="shared" si="16"/>
        <v>2990.5</v>
      </c>
      <c r="JF364" s="68">
        <f>'NOPA Crush'!Q364/'Census Crush'!JE364</f>
        <v>0.80617354957364995</v>
      </c>
    </row>
    <row r="365" spans="1:266">
      <c r="A365" s="39">
        <v>40148</v>
      </c>
      <c r="B365" s="51">
        <v>5194.1000000000004</v>
      </c>
      <c r="C365" s="51">
        <v>3238.9</v>
      </c>
      <c r="D365" s="51">
        <v>189.7</v>
      </c>
      <c r="E365" s="51">
        <v>1430.5</v>
      </c>
      <c r="F365" s="51">
        <v>14.7</v>
      </c>
      <c r="G365" s="51" t="s">
        <v>264</v>
      </c>
      <c r="H365" s="51" t="s">
        <v>264</v>
      </c>
      <c r="I365" s="51" t="s">
        <v>264</v>
      </c>
      <c r="J365" s="51" t="s">
        <v>264</v>
      </c>
      <c r="K365" s="51">
        <v>1898.3</v>
      </c>
      <c r="L365" s="51">
        <v>3150.5</v>
      </c>
      <c r="M365" s="51">
        <v>2874.7</v>
      </c>
      <c r="N365" s="51">
        <v>275.8</v>
      </c>
      <c r="O365" s="53">
        <v>59.1</v>
      </c>
      <c r="P365" s="51">
        <v>114.4</v>
      </c>
      <c r="Q365" s="51">
        <v>56.1</v>
      </c>
      <c r="R365" s="51">
        <v>58.3</v>
      </c>
      <c r="S365" s="51"/>
      <c r="T365" s="51">
        <v>11.5</v>
      </c>
      <c r="U365" s="51">
        <v>20.399999999999999</v>
      </c>
      <c r="V365" s="51">
        <v>18.100000000000001</v>
      </c>
      <c r="W365" s="51">
        <v>2.2999999999999998</v>
      </c>
      <c r="X365" s="51" t="s">
        <v>264</v>
      </c>
      <c r="Y365" s="51" t="s">
        <v>265</v>
      </c>
      <c r="Z365" s="51">
        <v>161.4</v>
      </c>
      <c r="AA365" s="9">
        <v>151.62299999999999</v>
      </c>
      <c r="AB365" s="9">
        <v>9.3249999999999993</v>
      </c>
      <c r="AC365" s="9" t="s">
        <v>264</v>
      </c>
      <c r="AD365" s="9">
        <v>96.3</v>
      </c>
      <c r="AE365" s="9">
        <v>97.4</v>
      </c>
      <c r="AF365" s="51">
        <v>152.30000000000001</v>
      </c>
      <c r="AG365" s="51">
        <v>107.4</v>
      </c>
      <c r="AH365" s="51">
        <v>44.9</v>
      </c>
      <c r="AI365" s="51">
        <v>203.2</v>
      </c>
      <c r="AJ365" s="9">
        <v>200.2</v>
      </c>
      <c r="AK365" s="22">
        <v>3</v>
      </c>
      <c r="AL365" s="51">
        <v>209.1</v>
      </c>
      <c r="AM365" s="51">
        <v>133.1</v>
      </c>
      <c r="AN365" s="51">
        <v>76</v>
      </c>
      <c r="AO365" s="51">
        <v>3785</v>
      </c>
      <c r="AP365" s="51">
        <v>533.6</v>
      </c>
      <c r="AQ365" s="51">
        <v>291.10000000000002</v>
      </c>
      <c r="AR365" s="51">
        <v>35.200000000000003</v>
      </c>
      <c r="AS365" s="51">
        <v>82.1</v>
      </c>
      <c r="AT365" s="51">
        <v>12.3</v>
      </c>
      <c r="AU365" s="51">
        <v>58.9</v>
      </c>
      <c r="AV365" s="51">
        <v>25.2</v>
      </c>
      <c r="AW365" s="51">
        <v>7.5</v>
      </c>
      <c r="AX365" s="51" t="s">
        <v>264</v>
      </c>
      <c r="AY365" s="51" t="s">
        <v>264</v>
      </c>
      <c r="AZ365" s="51" t="s">
        <v>264</v>
      </c>
      <c r="BA365" s="51" t="s">
        <v>264</v>
      </c>
      <c r="BB365" s="51" t="s">
        <v>264</v>
      </c>
      <c r="BC365" s="55"/>
      <c r="BD365" s="53">
        <v>151.6</v>
      </c>
      <c r="BE365" s="53">
        <v>30.7</v>
      </c>
      <c r="BF365" s="53">
        <v>64.900000000000006</v>
      </c>
      <c r="BG365" s="53">
        <v>7.9</v>
      </c>
      <c r="BH365" s="53">
        <v>278.7</v>
      </c>
      <c r="BI365" s="53">
        <v>123.1</v>
      </c>
      <c r="BJ365" s="53">
        <v>103.9</v>
      </c>
      <c r="BK365" s="53">
        <v>227.1</v>
      </c>
      <c r="BL365" s="55"/>
      <c r="BM365" s="53">
        <v>505.8</v>
      </c>
      <c r="BN365" s="53">
        <v>186.8</v>
      </c>
      <c r="BO365" s="53">
        <v>95.1</v>
      </c>
      <c r="BP365" s="53">
        <v>57.4</v>
      </c>
      <c r="BQ365" s="53">
        <v>152.5</v>
      </c>
      <c r="BR365" s="55"/>
      <c r="BS365" s="53">
        <v>339.3</v>
      </c>
      <c r="BT365" s="53">
        <v>29.6</v>
      </c>
      <c r="BU365" s="53">
        <v>17.5</v>
      </c>
      <c r="BV365" s="51" t="s">
        <v>264</v>
      </c>
      <c r="BW365" s="51" t="s">
        <v>264</v>
      </c>
      <c r="BX365" s="51">
        <v>429</v>
      </c>
      <c r="BY365" s="51" t="s">
        <v>264</v>
      </c>
      <c r="BZ365" s="51" t="s">
        <v>264</v>
      </c>
      <c r="CA365" s="51">
        <v>67.7</v>
      </c>
      <c r="CB365" s="53">
        <v>115.4</v>
      </c>
      <c r="CC365" s="53">
        <v>19.3</v>
      </c>
      <c r="CD365" s="53">
        <v>139.1</v>
      </c>
      <c r="CE365" s="53">
        <v>18.899999999999999</v>
      </c>
      <c r="CF365" s="53">
        <v>102.8</v>
      </c>
      <c r="CG365" s="53">
        <v>88.2</v>
      </c>
      <c r="CH365" s="53">
        <v>6.7</v>
      </c>
      <c r="CI365" s="53">
        <v>32.9</v>
      </c>
      <c r="CJ365" s="53">
        <v>6.9</v>
      </c>
      <c r="CK365" s="53">
        <v>132.19999999999999</v>
      </c>
      <c r="CL365" s="53">
        <v>21.5</v>
      </c>
      <c r="CM365" s="55"/>
      <c r="CN365" s="53">
        <v>63.3</v>
      </c>
      <c r="CO365" s="53">
        <v>220.9</v>
      </c>
      <c r="CP365" s="53">
        <v>167.1</v>
      </c>
      <c r="CQ365" s="53">
        <v>53.8</v>
      </c>
      <c r="CR365" s="53" t="s">
        <v>264</v>
      </c>
      <c r="CS365" s="53">
        <v>53.8</v>
      </c>
      <c r="CT365" s="53" t="s">
        <v>265</v>
      </c>
      <c r="CU365" s="53" t="s">
        <v>265</v>
      </c>
      <c r="CV365" s="53">
        <v>240.7</v>
      </c>
      <c r="CW365" s="53" t="s">
        <v>265</v>
      </c>
      <c r="CX365" s="53" t="s">
        <v>265</v>
      </c>
      <c r="CY365" s="53" t="s">
        <v>265</v>
      </c>
      <c r="CZ365" s="53">
        <v>50.1</v>
      </c>
      <c r="DA365" s="53">
        <v>26.5</v>
      </c>
      <c r="DB365" s="53" t="s">
        <v>265</v>
      </c>
      <c r="DC365" s="53" t="s">
        <v>265</v>
      </c>
      <c r="DD365" s="55"/>
      <c r="DE365" s="55"/>
      <c r="DF365" s="55"/>
      <c r="DG365" s="55"/>
      <c r="DH365" s="55"/>
      <c r="DI365" s="53">
        <v>806.8</v>
      </c>
      <c r="DJ365" s="53">
        <v>682.5</v>
      </c>
      <c r="DK365" s="53">
        <v>1050.5</v>
      </c>
      <c r="DL365" s="55"/>
      <c r="DM365" s="53">
        <v>515.79999999999995</v>
      </c>
      <c r="DN365" s="55"/>
      <c r="DO365" s="53">
        <v>365.6</v>
      </c>
      <c r="DP365" s="53">
        <v>285.60000000000002</v>
      </c>
      <c r="DQ365" s="55"/>
      <c r="DR365" s="55"/>
      <c r="DS365" s="53">
        <v>1487.3729499999997</v>
      </c>
      <c r="DT365" s="53">
        <v>5194.1000000000004</v>
      </c>
      <c r="DU365" s="53">
        <v>7.2949999999764259E-2</v>
      </c>
      <c r="DV365" s="53">
        <v>0</v>
      </c>
      <c r="DW365" s="55"/>
      <c r="DX365" s="55"/>
      <c r="DY365" s="53"/>
      <c r="DZ365" s="53"/>
      <c r="EA365" s="53">
        <v>423.7</v>
      </c>
      <c r="EB365" s="53">
        <v>677.4</v>
      </c>
      <c r="EC365" s="53">
        <v>400.5</v>
      </c>
      <c r="ED365" s="53"/>
      <c r="EE365" s="53">
        <v>171</v>
      </c>
      <c r="EF365" s="53"/>
      <c r="EG365" s="53" t="s">
        <v>265</v>
      </c>
      <c r="EH365" s="53" t="s">
        <v>265</v>
      </c>
      <c r="EI365" s="55"/>
      <c r="EJ365" s="55"/>
      <c r="EK365" s="53">
        <v>1170.9309999999991</v>
      </c>
      <c r="EL365" s="53">
        <v>3238.9</v>
      </c>
      <c r="EM365" s="55"/>
      <c r="EN365" s="55"/>
      <c r="EO365" s="53"/>
      <c r="EP365" s="53"/>
      <c r="EQ365" s="53">
        <v>292.39999999999998</v>
      </c>
      <c r="ER365" s="53">
        <v>246</v>
      </c>
      <c r="ES365" s="53">
        <v>386.5</v>
      </c>
      <c r="ET365" s="53"/>
      <c r="EU365" s="53">
        <v>193.9</v>
      </c>
      <c r="EV365" s="53"/>
      <c r="EW365" s="53">
        <v>128.4</v>
      </c>
      <c r="EX365" s="53">
        <v>101.7</v>
      </c>
      <c r="EY365" s="55"/>
      <c r="EZ365" s="55"/>
      <c r="FA365" s="53">
        <v>549.44569999999976</v>
      </c>
      <c r="FB365" s="53">
        <v>1898.3</v>
      </c>
      <c r="FC365" s="55"/>
      <c r="FD365" s="55"/>
      <c r="FE365" s="53"/>
      <c r="FF365" s="53"/>
      <c r="FG365" s="53">
        <v>634.5</v>
      </c>
      <c r="FH365" s="53">
        <v>541.1</v>
      </c>
      <c r="FI365" s="53">
        <v>819.1</v>
      </c>
      <c r="FJ365" s="53"/>
      <c r="FK365" s="53">
        <v>399.7</v>
      </c>
      <c r="FL365" s="53"/>
      <c r="FM365" s="53">
        <v>290.7</v>
      </c>
      <c r="FN365" s="53">
        <v>228.9</v>
      </c>
      <c r="FO365" s="55"/>
      <c r="FP365" s="55"/>
      <c r="FQ365" s="53">
        <v>1169.0539499999998</v>
      </c>
      <c r="FR365" s="53">
        <v>4083</v>
      </c>
      <c r="FS365" s="55"/>
      <c r="FT365" s="55"/>
      <c r="FU365" s="53"/>
      <c r="FV365" s="53"/>
      <c r="FW365" s="53">
        <v>280.3</v>
      </c>
      <c r="FX365" s="53">
        <v>139.6</v>
      </c>
      <c r="FY365" s="53">
        <v>300.5</v>
      </c>
      <c r="FZ365" s="53"/>
      <c r="GA365" s="53">
        <v>57.7</v>
      </c>
      <c r="GB365" s="53"/>
      <c r="GC365" s="53" t="s">
        <v>265</v>
      </c>
      <c r="GD365" s="53" t="s">
        <v>265</v>
      </c>
      <c r="GE365" s="55"/>
      <c r="GF365" s="55"/>
      <c r="GG365" s="53">
        <v>484.80900000000008</v>
      </c>
      <c r="GH365" s="53">
        <v>1333.9</v>
      </c>
      <c r="GI365" s="55"/>
      <c r="GJ365" s="55"/>
      <c r="GK365" s="53"/>
      <c r="GL365" s="53"/>
      <c r="GM365" s="53">
        <v>171.1</v>
      </c>
      <c r="GN365" s="53">
        <v>77.900000000000006</v>
      </c>
      <c r="GO365" s="53">
        <v>140.5</v>
      </c>
      <c r="GP365" s="53"/>
      <c r="GQ365" s="53">
        <v>27.3</v>
      </c>
      <c r="GR365" s="53"/>
      <c r="GS365" s="53">
        <v>10.1</v>
      </c>
      <c r="GT365" s="53">
        <v>3.3</v>
      </c>
      <c r="GU365" s="55"/>
      <c r="GV365" s="55"/>
      <c r="GW365" s="53">
        <v>138.65600000000006</v>
      </c>
      <c r="GX365" s="53">
        <v>568.79999999999995</v>
      </c>
      <c r="GY365" s="19">
        <v>0.97872511886533964</v>
      </c>
      <c r="GZ365" s="53">
        <v>1214.5</v>
      </c>
      <c r="HA365" s="53">
        <v>1240.9000000000001</v>
      </c>
      <c r="HB365" s="18">
        <v>-46.420623771999999</v>
      </c>
      <c r="HC365" s="18">
        <v>-16.179169191400433</v>
      </c>
      <c r="HD365" s="18">
        <v>1355.079376228</v>
      </c>
      <c r="HE365" s="18">
        <v>-2.9000000000000909</v>
      </c>
      <c r="HF365" s="53">
        <v>1401.5</v>
      </c>
      <c r="HG365" s="53">
        <v>1147</v>
      </c>
      <c r="HH365" s="53">
        <v>281.89999999999998</v>
      </c>
      <c r="HI365" s="53" t="s">
        <v>265</v>
      </c>
      <c r="HJ365" s="53">
        <v>783.4</v>
      </c>
      <c r="HK365" s="53" t="s">
        <v>265</v>
      </c>
      <c r="HL365" s="53">
        <v>254.5</v>
      </c>
      <c r="HM365" s="53">
        <v>237</v>
      </c>
      <c r="HN365" s="53">
        <v>129.80000000000001</v>
      </c>
      <c r="HO365" s="53">
        <v>107.2</v>
      </c>
      <c r="HP365" s="55"/>
      <c r="HQ365" s="53" t="s">
        <v>267</v>
      </c>
      <c r="HR365" s="53" t="s">
        <v>267</v>
      </c>
      <c r="HS365" s="55"/>
      <c r="HT365" s="53">
        <v>12.5</v>
      </c>
      <c r="HU365" s="55"/>
      <c r="HV365" s="55"/>
      <c r="HW365" s="53">
        <v>314.2</v>
      </c>
      <c r="HX365" s="53" t="s">
        <v>266</v>
      </c>
      <c r="HY365" s="53">
        <v>314.2</v>
      </c>
      <c r="HZ365" s="53">
        <v>50.5</v>
      </c>
      <c r="IA365" s="53">
        <v>154.80000000000001</v>
      </c>
      <c r="IB365" s="53">
        <v>29.9</v>
      </c>
      <c r="IC365" s="53">
        <v>124.9</v>
      </c>
      <c r="ID365" s="53">
        <v>66.8</v>
      </c>
      <c r="IE365" s="53">
        <v>58</v>
      </c>
      <c r="IF365" s="55"/>
      <c r="IG365" s="55"/>
      <c r="IH365" s="18">
        <v>69.111000000000004</v>
      </c>
      <c r="II365" s="21">
        <v>17.5</v>
      </c>
      <c r="IJ365" s="12">
        <v>25.611000000000004</v>
      </c>
      <c r="IK365" s="53">
        <v>26</v>
      </c>
      <c r="IL365" s="12">
        <v>39.788999999999973</v>
      </c>
      <c r="IM365" s="55"/>
      <c r="IN365" s="53">
        <v>51.6</v>
      </c>
      <c r="IO365" s="53">
        <v>51.6</v>
      </c>
      <c r="IP365" s="53" t="s">
        <v>265</v>
      </c>
      <c r="IQ365" s="53">
        <v>50</v>
      </c>
      <c r="IR365" s="18">
        <v>8.3480000000000008</v>
      </c>
      <c r="IS365" s="55"/>
      <c r="IT365" s="53">
        <v>40.4</v>
      </c>
      <c r="IU365" s="53" t="s">
        <v>265</v>
      </c>
      <c r="IV365" s="53" t="s">
        <v>265</v>
      </c>
      <c r="IW365" s="53" t="s">
        <v>265</v>
      </c>
      <c r="IX365" s="53" t="s">
        <v>265</v>
      </c>
      <c r="IY365" s="48">
        <f t="shared" si="17"/>
        <v>47.085346835832958</v>
      </c>
      <c r="IZ365" s="48">
        <f>IY365-'NOPA Crush'!J365</f>
        <v>6.5346835832954753E-2</v>
      </c>
      <c r="JB365" s="63">
        <f t="shared" si="15"/>
        <v>10.964170886197801</v>
      </c>
      <c r="JC365" s="64">
        <f>JB365-'NOPA Crush'!O365</f>
        <v>-7.5829113802198478E-2</v>
      </c>
      <c r="JD365" s="65"/>
      <c r="JE365" s="67">
        <f t="shared" si="16"/>
        <v>3150.5</v>
      </c>
      <c r="JF365" s="68">
        <f>'NOPA Crush'!Q365/'Census Crush'!JE365</f>
        <v>0.82348611331534682</v>
      </c>
    </row>
    <row r="366" spans="1:266">
      <c r="A366" s="39">
        <v>40179</v>
      </c>
      <c r="B366" s="51">
        <v>5016.4272000000001</v>
      </c>
      <c r="C366" s="51">
        <v>3041.5610000000001</v>
      </c>
      <c r="D366" s="51">
        <v>202.38514999999998</v>
      </c>
      <c r="E366" s="51">
        <v>1403.9590000000001</v>
      </c>
      <c r="F366" s="51">
        <v>19.729950000000002</v>
      </c>
      <c r="G366" s="51" t="s">
        <v>264</v>
      </c>
      <c r="H366" s="51" t="s">
        <v>264</v>
      </c>
      <c r="I366" s="51" t="s">
        <v>264</v>
      </c>
      <c r="J366" s="51" t="s">
        <v>264</v>
      </c>
      <c r="K366" s="51">
        <v>1844.85574</v>
      </c>
      <c r="L366" s="51">
        <v>3221.69</v>
      </c>
      <c r="M366" s="51">
        <v>2936.5320000000002</v>
      </c>
      <c r="N366" s="51">
        <v>285.15800000000002</v>
      </c>
      <c r="O366" s="53">
        <v>59.8782</v>
      </c>
      <c r="P366" s="51">
        <v>112.3</v>
      </c>
      <c r="Q366" s="9">
        <v>60.8</v>
      </c>
      <c r="R366" s="51">
        <v>51.5</v>
      </c>
      <c r="S366" s="51"/>
      <c r="T366" s="51">
        <v>16.0061</v>
      </c>
      <c r="U366" s="51">
        <v>21.725000000000001</v>
      </c>
      <c r="V366" s="9">
        <v>14.738</v>
      </c>
      <c r="W366" s="9">
        <v>4.8419999999999996</v>
      </c>
      <c r="X366" s="51" t="s">
        <v>264</v>
      </c>
      <c r="Y366" s="51" t="e">
        <v>#VALUE!</v>
      </c>
      <c r="Z366" s="51">
        <v>171.95</v>
      </c>
      <c r="AA366" s="51">
        <v>163.261</v>
      </c>
      <c r="AB366" s="51">
        <v>8.6890000000000001</v>
      </c>
      <c r="AC366" s="51" t="s">
        <v>264</v>
      </c>
      <c r="AD366" s="51">
        <v>75.250100000000003</v>
      </c>
      <c r="AE366" s="51">
        <v>76.923000000000002</v>
      </c>
      <c r="AF366" s="51">
        <v>171.482</v>
      </c>
      <c r="AG366" s="51">
        <v>122.89700000000001</v>
      </c>
      <c r="AH366" s="51">
        <v>48.585000000000001</v>
      </c>
      <c r="AI366" s="51">
        <v>197.93600000000001</v>
      </c>
      <c r="AJ366" s="9">
        <v>194.93600000000001</v>
      </c>
      <c r="AK366" s="22">
        <v>3</v>
      </c>
      <c r="AL366" s="51">
        <v>189.358</v>
      </c>
      <c r="AM366" s="51">
        <v>122.01300000000001</v>
      </c>
      <c r="AN366" s="51">
        <v>67.344999999999999</v>
      </c>
      <c r="AO366" s="51">
        <v>3656.4329599999996</v>
      </c>
      <c r="AP366" s="51">
        <v>585.82000000000005</v>
      </c>
      <c r="AQ366" s="51">
        <v>276.80068999999997</v>
      </c>
      <c r="AR366" s="51">
        <v>44.61</v>
      </c>
      <c r="AS366" s="51">
        <v>92.203649999999996</v>
      </c>
      <c r="AT366" s="51">
        <v>20.155000000000001</v>
      </c>
      <c r="AU366" s="51">
        <v>62.333849999999998</v>
      </c>
      <c r="AV366" s="51">
        <v>34.823</v>
      </c>
      <c r="AW366" s="51">
        <v>10.045399999999999</v>
      </c>
      <c r="AX366" s="51" t="s">
        <v>264</v>
      </c>
      <c r="AY366" s="51" t="s">
        <v>264</v>
      </c>
      <c r="AZ366" s="51" t="s">
        <v>264</v>
      </c>
      <c r="BA366" s="51" t="s">
        <v>264</v>
      </c>
      <c r="BB366" s="51" t="s">
        <v>264</v>
      </c>
      <c r="BC366" s="55"/>
      <c r="BD366" s="53">
        <v>151.04229999999998</v>
      </c>
      <c r="BE366" s="53">
        <v>43.113</v>
      </c>
      <c r="BF366" s="53">
        <v>60.818539999999999</v>
      </c>
      <c r="BG366" s="53">
        <v>8.4120000000000008</v>
      </c>
      <c r="BH366" s="53">
        <v>276.32895000000002</v>
      </c>
      <c r="BI366" s="53">
        <v>110.39785000000001</v>
      </c>
      <c r="BJ366" s="53">
        <v>108.66800000000001</v>
      </c>
      <c r="BK366" s="53">
        <v>219.06585000000001</v>
      </c>
      <c r="BL366" s="55"/>
      <c r="BM366" s="53">
        <v>495.39480000000003</v>
      </c>
      <c r="BN366" s="53">
        <v>182.51300000000001</v>
      </c>
      <c r="BO366" s="53">
        <v>97.36</v>
      </c>
      <c r="BP366" s="53">
        <v>51.814</v>
      </c>
      <c r="BQ366" s="53">
        <v>149.17400000000001</v>
      </c>
      <c r="BR366" s="55"/>
      <c r="BS366" s="53">
        <v>331.68700000000001</v>
      </c>
      <c r="BT366" s="53">
        <v>25.496759999999998</v>
      </c>
      <c r="BU366" s="53">
        <v>14.691000000000001</v>
      </c>
      <c r="BV366" s="51" t="s">
        <v>264</v>
      </c>
      <c r="BW366" s="51" t="s">
        <v>264</v>
      </c>
      <c r="BX366" s="51">
        <v>412.57053999999999</v>
      </c>
      <c r="BY366" s="51" t="s">
        <v>264</v>
      </c>
      <c r="BZ366" s="51" t="s">
        <v>264</v>
      </c>
      <c r="CA366" s="51">
        <v>74.831999999999994</v>
      </c>
      <c r="CB366" s="53">
        <v>111.13759</v>
      </c>
      <c r="CC366" s="53">
        <v>22.059000000000001</v>
      </c>
      <c r="CD366" s="53">
        <v>139.09010999999998</v>
      </c>
      <c r="CE366" s="53">
        <v>20.949000000000002</v>
      </c>
      <c r="CF366" s="53">
        <v>105.84339999999999</v>
      </c>
      <c r="CG366" s="53">
        <v>109.875</v>
      </c>
      <c r="CH366" s="53">
        <v>5.5940000000000003</v>
      </c>
      <c r="CI366" s="53">
        <v>28.79185</v>
      </c>
      <c r="CJ366" s="53">
        <v>7.02</v>
      </c>
      <c r="CK366" s="53">
        <v>132.03460000000001</v>
      </c>
      <c r="CL366" s="53">
        <v>21.367999999999999</v>
      </c>
      <c r="CM366" s="55"/>
      <c r="CN366" s="53">
        <v>70.159149999999997</v>
      </c>
      <c r="CO366" s="53">
        <v>204.976</v>
      </c>
      <c r="CP366" s="53">
        <v>137.31299999999999</v>
      </c>
      <c r="CQ366" s="53">
        <v>67.662999999999997</v>
      </c>
      <c r="CR366" s="53" t="s">
        <v>264</v>
      </c>
      <c r="CS366" s="53">
        <v>33.337000000000003</v>
      </c>
      <c r="CT366" s="53" t="s">
        <v>265</v>
      </c>
      <c r="CU366" s="53" t="s">
        <v>265</v>
      </c>
      <c r="CV366" s="53">
        <v>269.89400000000001</v>
      </c>
      <c r="CW366" s="53" t="s">
        <v>265</v>
      </c>
      <c r="CX366" s="53" t="s">
        <v>265</v>
      </c>
      <c r="CY366" s="53" t="s">
        <v>265</v>
      </c>
      <c r="CZ366" s="53">
        <v>96.332999999999998</v>
      </c>
      <c r="DA366" s="53">
        <v>32.251999999999995</v>
      </c>
      <c r="DB366" s="53" t="s">
        <v>265</v>
      </c>
      <c r="DC366" s="53" t="s">
        <v>265</v>
      </c>
      <c r="DD366" s="55"/>
      <c r="DE366" s="55"/>
      <c r="DF366" s="55"/>
      <c r="DG366" s="55"/>
      <c r="DH366" s="55"/>
      <c r="DI366" s="53">
        <v>767.14599999999996</v>
      </c>
      <c r="DJ366" s="53">
        <v>686.21559999999999</v>
      </c>
      <c r="DK366" s="53">
        <v>1010.174</v>
      </c>
      <c r="DL366" s="55"/>
      <c r="DM366" s="53">
        <v>488.10300000000001</v>
      </c>
      <c r="DN366" s="55"/>
      <c r="DO366" s="53">
        <v>349.95600000000002</v>
      </c>
      <c r="DP366" s="53">
        <v>273.197</v>
      </c>
      <c r="DQ366" s="55"/>
      <c r="DR366" s="55"/>
      <c r="DS366" s="53">
        <v>1441.6356000000001</v>
      </c>
      <c r="DT366" s="53">
        <v>5016.4272000000001</v>
      </c>
      <c r="DU366" s="53">
        <v>0</v>
      </c>
      <c r="DV366" s="53">
        <v>0</v>
      </c>
      <c r="DW366" s="55"/>
      <c r="DX366" s="55"/>
      <c r="DY366" s="53"/>
      <c r="DZ366" s="53"/>
      <c r="EA366" s="53">
        <v>448.32</v>
      </c>
      <c r="EB366" s="53">
        <v>593.29600000000005</v>
      </c>
      <c r="EC366" s="53">
        <v>365.97300000000001</v>
      </c>
      <c r="ED366" s="53"/>
      <c r="EE366" s="53">
        <v>159.23400000000001</v>
      </c>
      <c r="EF366" s="53"/>
      <c r="EG366" s="53" t="s">
        <v>265</v>
      </c>
      <c r="EH366" s="53" t="s">
        <v>265</v>
      </c>
      <c r="EI366" s="55"/>
      <c r="EJ366" s="55"/>
      <c r="EK366" s="53">
        <v>1109.6590000000001</v>
      </c>
      <c r="EL366" s="53">
        <v>3041.5610000000001</v>
      </c>
      <c r="EM366" s="55"/>
      <c r="EN366" s="55"/>
      <c r="EO366" s="53"/>
      <c r="EP366" s="53"/>
      <c r="EQ366" s="53">
        <v>279.84100000000001</v>
      </c>
      <c r="ER366" s="53">
        <v>246.5001</v>
      </c>
      <c r="ES366" s="53">
        <v>372.733</v>
      </c>
      <c r="ET366" s="53"/>
      <c r="EU366" s="53">
        <v>186.25</v>
      </c>
      <c r="EV366" s="53"/>
      <c r="EW366" s="53">
        <v>126.413</v>
      </c>
      <c r="EX366" s="53">
        <v>98.326999999999998</v>
      </c>
      <c r="EY366" s="55"/>
      <c r="EZ366" s="55"/>
      <c r="FA366" s="53">
        <v>534.79164000000014</v>
      </c>
      <c r="FB366" s="53">
        <v>1844.85574</v>
      </c>
      <c r="FC366" s="55"/>
      <c r="FD366" s="55"/>
      <c r="FE366" s="53"/>
      <c r="FF366" s="53"/>
      <c r="FG366" s="53">
        <v>601.64599999999996</v>
      </c>
      <c r="FH366" s="53">
        <v>541.99125000000004</v>
      </c>
      <c r="FI366" s="53">
        <v>786.54600000000005</v>
      </c>
      <c r="FJ366" s="53"/>
      <c r="FK366" s="53">
        <v>378.20299999999997</v>
      </c>
      <c r="FL366" s="53"/>
      <c r="FM366" s="53">
        <v>278.16199999999998</v>
      </c>
      <c r="FN366" s="53">
        <v>218.34700000000001</v>
      </c>
      <c r="FO366" s="55"/>
      <c r="FP366" s="55"/>
      <c r="FQ366" s="53">
        <v>1136.5999999999999</v>
      </c>
      <c r="FR366" s="53">
        <v>3941.4</v>
      </c>
      <c r="FS366" s="55"/>
      <c r="FT366" s="55"/>
      <c r="FU366" s="53"/>
      <c r="FV366" s="53"/>
      <c r="FW366" s="53">
        <v>358.065</v>
      </c>
      <c r="FX366" s="53">
        <v>169.768</v>
      </c>
      <c r="FY366" s="53">
        <v>328.67200000000003</v>
      </c>
      <c r="FZ366" s="53"/>
      <c r="GA366" s="53">
        <v>87.986999999999995</v>
      </c>
      <c r="GB366" s="53"/>
      <c r="GC366" s="53" t="s">
        <v>265</v>
      </c>
      <c r="GD366" s="53" t="s">
        <v>265</v>
      </c>
      <c r="GE366" s="55"/>
      <c r="GF366" s="55"/>
      <c r="GG366" s="53">
        <v>451.11099999999993</v>
      </c>
      <c r="GH366" s="53">
        <v>1500.383</v>
      </c>
      <c r="GI366" s="55"/>
      <c r="GJ366" s="55"/>
      <c r="GK366" s="53"/>
      <c r="GL366" s="53"/>
      <c r="GM366" s="53">
        <v>171.83</v>
      </c>
      <c r="GN366" s="53">
        <v>85.822000000000003</v>
      </c>
      <c r="GO366" s="53">
        <v>142.69</v>
      </c>
      <c r="GP366" s="53"/>
      <c r="GQ366" s="53">
        <v>48.735999999999997</v>
      </c>
      <c r="GR366" s="53"/>
      <c r="GS366" s="53">
        <v>23.449000000000002</v>
      </c>
      <c r="GT366" s="53">
        <v>4.91</v>
      </c>
      <c r="GU366" s="55"/>
      <c r="GV366" s="55"/>
      <c r="GW366" s="53">
        <v>152.99299999999991</v>
      </c>
      <c r="GX366" s="53">
        <v>630.42999999999995</v>
      </c>
      <c r="GY366" s="19">
        <v>0.98296048277015824</v>
      </c>
      <c r="GZ366" s="53">
        <v>1175.7325000000001</v>
      </c>
      <c r="HA366" s="53">
        <v>1196.1136999999999</v>
      </c>
      <c r="HB366" s="18">
        <v>4.8645360345999507</v>
      </c>
      <c r="HC366" s="18">
        <v>104.26501609520028</v>
      </c>
      <c r="HD366" s="18">
        <v>1269.4340760345999</v>
      </c>
      <c r="HE366" s="18">
        <v>-18.030459999999948</v>
      </c>
      <c r="HF366" s="53">
        <v>1264.56954</v>
      </c>
      <c r="HG366" s="53">
        <v>1148.33348</v>
      </c>
      <c r="HH366" s="53">
        <v>303.13733000000002</v>
      </c>
      <c r="HI366" s="53" t="s">
        <v>265</v>
      </c>
      <c r="HJ366" s="53">
        <v>777.66813999999999</v>
      </c>
      <c r="HK366" s="53" t="s">
        <v>265</v>
      </c>
      <c r="HL366" s="53">
        <v>116.23605999999999</v>
      </c>
      <c r="HM366" s="53">
        <v>93.712999999999994</v>
      </c>
      <c r="HN366" s="53">
        <v>53.093000000000004</v>
      </c>
      <c r="HO366" s="53">
        <v>40.619999999999997</v>
      </c>
      <c r="HP366" s="55"/>
      <c r="HQ366" s="53" t="s">
        <v>267</v>
      </c>
      <c r="HR366" s="53" t="s">
        <v>267</v>
      </c>
      <c r="HS366" s="55"/>
      <c r="HT366" s="53">
        <v>12.320959999999999</v>
      </c>
      <c r="HU366" s="55"/>
      <c r="HV366" s="55"/>
      <c r="HW366" s="53">
        <v>256.1345</v>
      </c>
      <c r="HX366" s="53" t="s">
        <v>266</v>
      </c>
      <c r="HY366" s="53">
        <v>256.1345</v>
      </c>
      <c r="HZ366" s="53">
        <v>54.109000000000002</v>
      </c>
      <c r="IA366" s="53">
        <v>141.58250000000001</v>
      </c>
      <c r="IB366" s="53">
        <v>32.5974</v>
      </c>
      <c r="IC366" s="53">
        <v>108.98509999999999</v>
      </c>
      <c r="ID366" s="53">
        <v>60.611499999999999</v>
      </c>
      <c r="IE366" s="53">
        <v>48.373599999999996</v>
      </c>
      <c r="IF366" s="55"/>
      <c r="IG366" s="55"/>
      <c r="IH366" s="53">
        <v>31.894000000000002</v>
      </c>
      <c r="II366" s="21">
        <v>10</v>
      </c>
      <c r="IJ366" s="12">
        <v>9.0010000000000012</v>
      </c>
      <c r="IK366" s="53">
        <v>12.893000000000001</v>
      </c>
      <c r="IL366" s="12">
        <v>28.548999999999982</v>
      </c>
      <c r="IM366" s="55"/>
      <c r="IN366" s="53">
        <v>44.945949999999996</v>
      </c>
      <c r="IO366" s="53">
        <v>44.972949999999997</v>
      </c>
      <c r="IP366" s="53" t="s">
        <v>265</v>
      </c>
      <c r="IQ366" s="18">
        <v>53.981999999999999</v>
      </c>
      <c r="IR366" s="53">
        <v>8.2462</v>
      </c>
      <c r="IS366" s="55"/>
      <c r="IT366" s="53">
        <v>45.110550000000003</v>
      </c>
      <c r="IU366" s="53" t="s">
        <v>265</v>
      </c>
      <c r="IV366" s="53" t="s">
        <v>265</v>
      </c>
      <c r="IW366" s="53" t="s">
        <v>265</v>
      </c>
      <c r="IX366" s="53" t="s">
        <v>265</v>
      </c>
      <c r="IY366" s="48">
        <f t="shared" si="17"/>
        <v>47.044242763056545</v>
      </c>
      <c r="IZ366" s="48">
        <f>IY366-'NOPA Crush'!J366</f>
        <v>7.4242763056545868E-2</v>
      </c>
      <c r="JB366" s="63">
        <f t="shared" si="15"/>
        <v>11.032886553202646</v>
      </c>
      <c r="JC366" s="64">
        <f>JB366-'NOPA Crush'!O366</f>
        <v>-7.7113446797353546E-2</v>
      </c>
      <c r="JD366" s="65"/>
      <c r="JE366" s="67">
        <f t="shared" si="16"/>
        <v>3221.69</v>
      </c>
      <c r="JF366" s="68">
        <f>'NOPA Crush'!Q366/'Census Crush'!JE366</f>
        <v>0.83643150023745294</v>
      </c>
    </row>
    <row r="367" spans="1:266">
      <c r="A367" s="39">
        <v>40210</v>
      </c>
      <c r="B367" s="51">
        <v>4615.692</v>
      </c>
      <c r="C367" s="51">
        <v>2857.6680000000001</v>
      </c>
      <c r="D367" s="51">
        <v>184.566</v>
      </c>
      <c r="E367" s="51">
        <v>1259.7739999999999</v>
      </c>
      <c r="F367" s="51">
        <v>14.262</v>
      </c>
      <c r="G367" s="51" t="s">
        <v>264</v>
      </c>
      <c r="H367" s="51" t="s">
        <v>264</v>
      </c>
      <c r="I367" s="51" t="s">
        <v>264</v>
      </c>
      <c r="J367" s="51" t="s">
        <v>264</v>
      </c>
      <c r="K367" s="51">
        <v>1690.098</v>
      </c>
      <c r="L367" s="51">
        <v>3295.694</v>
      </c>
      <c r="M367" s="51">
        <v>2994.4360000000001</v>
      </c>
      <c r="N367" s="51">
        <v>301.25799999999998</v>
      </c>
      <c r="O367" s="53">
        <v>55.936</v>
      </c>
      <c r="P367" s="51">
        <v>123.242</v>
      </c>
      <c r="Q367" s="51">
        <v>68.173000000000002</v>
      </c>
      <c r="R367" s="51">
        <v>55.069000000000003</v>
      </c>
      <c r="S367" s="51"/>
      <c r="T367" s="9">
        <v>10.677</v>
      </c>
      <c r="U367" s="51">
        <v>23.43</v>
      </c>
      <c r="V367" s="9">
        <v>16.292999999999999</v>
      </c>
      <c r="W367" s="9">
        <v>7.1370000000000005</v>
      </c>
      <c r="X367" s="51" t="s">
        <v>264</v>
      </c>
      <c r="Y367" s="51" t="e">
        <v>#VALUE!</v>
      </c>
      <c r="Z367" s="51">
        <v>130.358</v>
      </c>
      <c r="AA367" s="51">
        <v>125.816</v>
      </c>
      <c r="AB367" s="51">
        <v>4.5419999999999998</v>
      </c>
      <c r="AC367" s="51" t="s">
        <v>264</v>
      </c>
      <c r="AD367" s="51">
        <v>74.666200000000003</v>
      </c>
      <c r="AE367" s="51">
        <v>75.407600000000002</v>
      </c>
      <c r="AF367" s="51">
        <v>174.49199999999999</v>
      </c>
      <c r="AG367" s="51">
        <v>126.143</v>
      </c>
      <c r="AH367" s="51">
        <v>48.348999999999997</v>
      </c>
      <c r="AI367" s="51">
        <v>188.13800000000001</v>
      </c>
      <c r="AJ367" s="9">
        <v>185.13800000000001</v>
      </c>
      <c r="AK367" s="22">
        <v>3</v>
      </c>
      <c r="AL367" s="51">
        <v>168.11099999999999</v>
      </c>
      <c r="AM367" s="51">
        <v>105.578</v>
      </c>
      <c r="AN367" s="51">
        <v>62.533000000000001</v>
      </c>
      <c r="AO367" s="51">
        <v>3375.2139999999999</v>
      </c>
      <c r="AP367" s="51">
        <v>654.22400000000005</v>
      </c>
      <c r="AQ367" s="51">
        <v>260.29500000000002</v>
      </c>
      <c r="AR367" s="51">
        <v>48.143999999999998</v>
      </c>
      <c r="AS367" s="51">
        <v>81.042000000000002</v>
      </c>
      <c r="AT367" s="51">
        <v>27.181000000000001</v>
      </c>
      <c r="AU367" s="51">
        <v>52.13</v>
      </c>
      <c r="AV367" s="51">
        <v>35.055999999999997</v>
      </c>
      <c r="AW367" s="51">
        <v>7.3559999999999999</v>
      </c>
      <c r="AX367" s="51" t="s">
        <v>264</v>
      </c>
      <c r="AY367" s="51" t="s">
        <v>264</v>
      </c>
      <c r="AZ367" s="51" t="s">
        <v>264</v>
      </c>
      <c r="BA367" s="51" t="s">
        <v>264</v>
      </c>
      <c r="BB367" s="51" t="s">
        <v>264</v>
      </c>
      <c r="BC367" s="55"/>
      <c r="BD367" s="53">
        <v>140.84820000000002</v>
      </c>
      <c r="BE367" s="53">
        <v>39.567</v>
      </c>
      <c r="BF367" s="53">
        <v>59.196599999999997</v>
      </c>
      <c r="BG367" s="53">
        <v>9.1969999999999992</v>
      </c>
      <c r="BH367" s="53">
        <v>254.87920000000003</v>
      </c>
      <c r="BI367" s="53">
        <v>104.12360000000001</v>
      </c>
      <c r="BJ367" s="53">
        <v>93.738600000000005</v>
      </c>
      <c r="BK367" s="53">
        <v>197.86220000000003</v>
      </c>
      <c r="BL367" s="55"/>
      <c r="BM367" s="53">
        <v>452.74140000000006</v>
      </c>
      <c r="BN367" s="53">
        <v>154.482</v>
      </c>
      <c r="BO367" s="53">
        <v>89.253</v>
      </c>
      <c r="BP367" s="53">
        <v>55.892000000000003</v>
      </c>
      <c r="BQ367" s="53">
        <v>145.14500000000001</v>
      </c>
      <c r="BR367" s="55"/>
      <c r="BS367" s="53">
        <v>299.62700000000001</v>
      </c>
      <c r="BT367" s="53">
        <v>30.489799999999999</v>
      </c>
      <c r="BU367" s="53">
        <v>24.923999999999999</v>
      </c>
      <c r="BV367" s="51" t="s">
        <v>264</v>
      </c>
      <c r="BW367" s="51" t="s">
        <v>264</v>
      </c>
      <c r="BX367" s="51">
        <v>384.68559999999997</v>
      </c>
      <c r="BY367" s="51" t="s">
        <v>264</v>
      </c>
      <c r="BZ367" s="51" t="s">
        <v>264</v>
      </c>
      <c r="CA367" s="51">
        <v>69.531999999999996</v>
      </c>
      <c r="CB367" s="53">
        <v>101.089</v>
      </c>
      <c r="CC367" s="53">
        <v>19.161999999999999</v>
      </c>
      <c r="CD367" s="53">
        <v>127.4808</v>
      </c>
      <c r="CE367" s="53">
        <v>17.798999999999999</v>
      </c>
      <c r="CF367" s="53">
        <v>104.551</v>
      </c>
      <c r="CG367" s="53">
        <v>85.87</v>
      </c>
      <c r="CH367" s="53">
        <v>6.25</v>
      </c>
      <c r="CI367" s="53">
        <v>28.220400000000001</v>
      </c>
      <c r="CJ367" s="53">
        <v>8.4339999999999993</v>
      </c>
      <c r="CK367" s="53">
        <v>125.2448</v>
      </c>
      <c r="CL367" s="53">
        <v>20.353999999999999</v>
      </c>
      <c r="CM367" s="55"/>
      <c r="CN367" s="53">
        <v>68.478999999999999</v>
      </c>
      <c r="CO367" s="53">
        <v>171.23</v>
      </c>
      <c r="CP367" s="53">
        <v>129.179</v>
      </c>
      <c r="CQ367" s="53">
        <v>42.051000000000002</v>
      </c>
      <c r="CR367" s="53" t="s">
        <v>264</v>
      </c>
      <c r="CS367" s="53">
        <v>46.436999999999998</v>
      </c>
      <c r="CT367" s="53" t="s">
        <v>265</v>
      </c>
      <c r="CU367" s="53" t="s">
        <v>265</v>
      </c>
      <c r="CV367" s="53">
        <v>301.10599999999999</v>
      </c>
      <c r="CW367" s="53" t="s">
        <v>265</v>
      </c>
      <c r="CX367" s="53" t="s">
        <v>265</v>
      </c>
      <c r="CY367" s="53" t="s">
        <v>265</v>
      </c>
      <c r="CZ367" s="53">
        <v>72.430000000000007</v>
      </c>
      <c r="DA367" s="53">
        <v>25.375</v>
      </c>
      <c r="DB367" s="53" t="s">
        <v>265</v>
      </c>
      <c r="DC367" s="53" t="s">
        <v>265</v>
      </c>
      <c r="DD367" s="55"/>
      <c r="DE367" s="55"/>
      <c r="DF367" s="55"/>
      <c r="DG367" s="55"/>
      <c r="DH367" s="55"/>
      <c r="DI367" s="53">
        <v>730.745</v>
      </c>
      <c r="DJ367" s="53">
        <v>616.88800000000003</v>
      </c>
      <c r="DK367" s="53">
        <v>920.80799999999999</v>
      </c>
      <c r="DL367" s="55"/>
      <c r="DM367" s="53">
        <v>468.089</v>
      </c>
      <c r="DN367" s="55"/>
      <c r="DO367" s="53">
        <v>313.61</v>
      </c>
      <c r="DP367" s="53">
        <v>247.322</v>
      </c>
      <c r="DQ367" s="55"/>
      <c r="DR367" s="55"/>
      <c r="DS367" s="53">
        <v>1318.23</v>
      </c>
      <c r="DT367" s="53">
        <v>4615.692</v>
      </c>
      <c r="DU367" s="53">
        <v>0</v>
      </c>
      <c r="DV367" s="53">
        <v>0</v>
      </c>
      <c r="DW367" s="55"/>
      <c r="DX367" s="55"/>
      <c r="DY367" s="53"/>
      <c r="DZ367" s="53"/>
      <c r="EA367" s="53">
        <v>373.17500000000001</v>
      </c>
      <c r="EB367" s="53">
        <v>507.899</v>
      </c>
      <c r="EC367" s="53">
        <v>447.71199999999999</v>
      </c>
      <c r="ED367" s="53"/>
      <c r="EE367" s="53">
        <v>169.42099999999999</v>
      </c>
      <c r="EF367" s="53"/>
      <c r="EG367" s="53">
        <v>114.206</v>
      </c>
      <c r="EH367" s="53">
        <v>222.411</v>
      </c>
      <c r="EI367" s="55"/>
      <c r="EJ367" s="55"/>
      <c r="EK367" s="53">
        <v>1022.8440000000001</v>
      </c>
      <c r="EL367" s="53">
        <v>2857.6680000000001</v>
      </c>
      <c r="EM367" s="55"/>
      <c r="EN367" s="55"/>
      <c r="EO367" s="53"/>
      <c r="EP367" s="53"/>
      <c r="EQ367" s="53">
        <v>265.16500000000002</v>
      </c>
      <c r="ER367" s="53">
        <v>223.29499999999999</v>
      </c>
      <c r="ES367" s="53">
        <v>338.03500000000003</v>
      </c>
      <c r="ET367" s="53"/>
      <c r="EU367" s="53">
        <v>172.32300000000001</v>
      </c>
      <c r="EV367" s="53"/>
      <c r="EW367" s="53">
        <v>111.717</v>
      </c>
      <c r="EX367" s="53">
        <v>89.644999999999996</v>
      </c>
      <c r="EY367" s="55"/>
      <c r="EZ367" s="55"/>
      <c r="FA367" s="53">
        <v>489.91799999999989</v>
      </c>
      <c r="FB367" s="53">
        <v>1690.098</v>
      </c>
      <c r="FC367" s="55"/>
      <c r="FD367" s="55"/>
      <c r="FE367" s="53"/>
      <c r="FF367" s="53"/>
      <c r="FG367" s="53">
        <v>573.10199999999998</v>
      </c>
      <c r="FH367" s="53">
        <v>489.71800000000002</v>
      </c>
      <c r="FI367" s="53">
        <v>722.14200000000005</v>
      </c>
      <c r="FJ367" s="53"/>
      <c r="FK367" s="53">
        <v>363.49900000000002</v>
      </c>
      <c r="FL367" s="53"/>
      <c r="FM367" s="53">
        <v>251.72399999999999</v>
      </c>
      <c r="FN367" s="53">
        <v>199.916</v>
      </c>
      <c r="FO367" s="55"/>
      <c r="FP367" s="55"/>
      <c r="FQ367" s="53">
        <v>1043.74</v>
      </c>
      <c r="FR367" s="53">
        <v>3643.8409999999999</v>
      </c>
      <c r="FS367" s="55"/>
      <c r="FT367" s="55"/>
      <c r="FU367" s="53"/>
      <c r="FV367" s="53"/>
      <c r="FW367" s="53">
        <v>390.31700000000001</v>
      </c>
      <c r="FX367" s="53">
        <v>153.167</v>
      </c>
      <c r="FY367" s="53">
        <v>317.39499999999998</v>
      </c>
      <c r="FZ367" s="53"/>
      <c r="GA367" s="53">
        <v>93.44</v>
      </c>
      <c r="GB367" s="53"/>
      <c r="GC367" s="53" t="s">
        <v>265</v>
      </c>
      <c r="GD367" s="53" t="s">
        <v>265</v>
      </c>
      <c r="GE367" s="55"/>
      <c r="GF367" s="55"/>
      <c r="GG367" s="53">
        <v>458.13700000000011</v>
      </c>
      <c r="GH367" s="53">
        <v>1532.7360000000001</v>
      </c>
      <c r="GI367" s="55"/>
      <c r="GJ367" s="55"/>
      <c r="GK367" s="53"/>
      <c r="GL367" s="53"/>
      <c r="GM367" s="53">
        <v>172.572</v>
      </c>
      <c r="GN367" s="53">
        <v>113.83499999999999</v>
      </c>
      <c r="GO367" s="53">
        <v>132.50399999999999</v>
      </c>
      <c r="GP367" s="53"/>
      <c r="GQ367" s="53">
        <v>53.283000000000001</v>
      </c>
      <c r="GR367" s="53"/>
      <c r="GS367" s="53">
        <v>21.908000000000001</v>
      </c>
      <c r="GT367" s="53">
        <v>6.8310000000000004</v>
      </c>
      <c r="GU367" s="55"/>
      <c r="GV367" s="55"/>
      <c r="GW367" s="53">
        <v>201.435</v>
      </c>
      <c r="GX367" s="53">
        <v>702.3</v>
      </c>
      <c r="GY367" s="19">
        <v>0.98125932493506773</v>
      </c>
      <c r="GZ367" s="53">
        <v>1154.1058</v>
      </c>
      <c r="HA367" s="53">
        <v>1176.1476</v>
      </c>
      <c r="HB367" s="18">
        <v>-40.153874906199462</v>
      </c>
      <c r="HC367" s="18">
        <v>-34.914004447799016</v>
      </c>
      <c r="HD367" s="18">
        <v>1226.7531250938005</v>
      </c>
      <c r="HE367" s="18">
        <v>-59.692999999999984</v>
      </c>
      <c r="HF367" s="53">
        <v>1266.9069999999999</v>
      </c>
      <c r="HG367" s="53">
        <v>1134.904</v>
      </c>
      <c r="HH367" s="53">
        <v>256.61239999999998</v>
      </c>
      <c r="HI367" s="53" t="s">
        <v>265</v>
      </c>
      <c r="HJ367" s="53">
        <v>814.33819999999992</v>
      </c>
      <c r="HK367" s="53" t="s">
        <v>265</v>
      </c>
      <c r="HL367" s="53">
        <v>132.00299999999999</v>
      </c>
      <c r="HM367" s="53">
        <v>109.518</v>
      </c>
      <c r="HN367" s="53">
        <v>50.652999999999999</v>
      </c>
      <c r="HO367" s="53">
        <v>58.865000000000002</v>
      </c>
      <c r="HP367" s="55"/>
      <c r="HQ367" s="53" t="s">
        <v>267</v>
      </c>
      <c r="HR367" s="53" t="s">
        <v>267</v>
      </c>
      <c r="HS367" s="55"/>
      <c r="HT367" s="53">
        <v>13.162000000000001</v>
      </c>
      <c r="HU367" s="55"/>
      <c r="HV367" s="55"/>
      <c r="HW367" s="53">
        <v>263.56859999999995</v>
      </c>
      <c r="HX367" s="53" t="s">
        <v>266</v>
      </c>
      <c r="HY367" s="53">
        <v>263.56859999999995</v>
      </c>
      <c r="HZ367" s="53">
        <v>61.069000000000003</v>
      </c>
      <c r="IA367" s="53">
        <v>137.0026</v>
      </c>
      <c r="IB367" s="53">
        <v>27.643999999999998</v>
      </c>
      <c r="IC367" s="53">
        <v>109.3586</v>
      </c>
      <c r="ID367" s="53">
        <v>63.736800000000002</v>
      </c>
      <c r="IE367" s="53">
        <v>45.6218</v>
      </c>
      <c r="IF367" s="55"/>
      <c r="IG367" s="55"/>
      <c r="IH367" s="53">
        <v>34.768000000000001</v>
      </c>
      <c r="II367" s="21">
        <v>12.5</v>
      </c>
      <c r="IJ367" s="12">
        <v>9.418000000000001</v>
      </c>
      <c r="IK367" s="53">
        <v>12.85</v>
      </c>
      <c r="IL367" s="12">
        <v>30.728999999999928</v>
      </c>
      <c r="IM367" s="55"/>
      <c r="IN367" s="53">
        <v>41.372999999999998</v>
      </c>
      <c r="IO367" s="53">
        <v>41.396000000000001</v>
      </c>
      <c r="IP367" s="53" t="s">
        <v>265</v>
      </c>
      <c r="IQ367" s="18">
        <v>51.091000000000001</v>
      </c>
      <c r="IR367" s="53">
        <v>8.8179999999999996</v>
      </c>
      <c r="IS367" s="55"/>
      <c r="IT367" s="53">
        <v>41.282199999999996</v>
      </c>
      <c r="IU367" s="53" t="s">
        <v>265</v>
      </c>
      <c r="IV367" s="53" t="s">
        <v>265</v>
      </c>
      <c r="IW367" s="53" t="s">
        <v>265</v>
      </c>
      <c r="IX367" s="53" t="s">
        <v>265</v>
      </c>
      <c r="IY367" s="48">
        <f t="shared" si="17"/>
        <v>47.258469585925575</v>
      </c>
      <c r="IZ367" s="48">
        <f>IY367-'NOPA Crush'!J367</f>
        <v>3.84695859255757E-2</v>
      </c>
      <c r="JB367" s="63">
        <f t="shared" si="15"/>
        <v>10.984905405300006</v>
      </c>
      <c r="JC367" s="64">
        <f>JB367-'NOPA Crush'!O367</f>
        <v>-0.12509459469999307</v>
      </c>
      <c r="JD367" s="65"/>
      <c r="JE367" s="67">
        <f t="shared" si="16"/>
        <v>3295.694</v>
      </c>
      <c r="JF367" s="68">
        <f>'NOPA Crush'!Q367/'Census Crush'!JE367</f>
        <v>0.86536098314952792</v>
      </c>
    </row>
    <row r="368" spans="1:266">
      <c r="A368" s="39">
        <v>40238</v>
      </c>
      <c r="B368" s="51">
        <v>4681.6547799999998</v>
      </c>
      <c r="C368" s="51">
        <v>2898.8029999999999</v>
      </c>
      <c r="D368" s="51">
        <v>187.315</v>
      </c>
      <c r="E368" s="51">
        <v>1094.569</v>
      </c>
      <c r="F368" s="51">
        <v>15.076000000000001</v>
      </c>
      <c r="G368" s="51" t="s">
        <v>264</v>
      </c>
      <c r="H368" s="51" t="s">
        <v>264</v>
      </c>
      <c r="I368" s="51" t="s">
        <v>264</v>
      </c>
      <c r="J368" s="51" t="s">
        <v>264</v>
      </c>
      <c r="K368" s="51">
        <v>1727.70571</v>
      </c>
      <c r="L368" s="51">
        <v>3317.6469999999999</v>
      </c>
      <c r="M368" s="51">
        <v>3048.1579999999999</v>
      </c>
      <c r="N368" s="51">
        <v>269.48899999999998</v>
      </c>
      <c r="O368" s="53">
        <v>60.148000000000003</v>
      </c>
      <c r="P368" s="51">
        <v>139.49199999999999</v>
      </c>
      <c r="Q368" s="51">
        <v>85.116</v>
      </c>
      <c r="R368" s="51">
        <v>54.375999999999998</v>
      </c>
      <c r="S368" s="51"/>
      <c r="T368" s="51">
        <v>12.0976</v>
      </c>
      <c r="U368" s="51">
        <v>25.460999999999999</v>
      </c>
      <c r="V368" s="51" t="e">
        <v>#VALUE!</v>
      </c>
      <c r="W368" s="51" t="e">
        <v>#VALUE!</v>
      </c>
      <c r="X368" s="51" t="s">
        <v>264</v>
      </c>
      <c r="Y368" s="51" t="e">
        <v>#VALUE!</v>
      </c>
      <c r="Z368" s="51">
        <v>123.511</v>
      </c>
      <c r="AA368" s="51">
        <v>120.33</v>
      </c>
      <c r="AB368" s="51">
        <v>3.181</v>
      </c>
      <c r="AC368" s="51" t="s">
        <v>264</v>
      </c>
      <c r="AD368" s="51">
        <v>66.264169999999993</v>
      </c>
      <c r="AE368" s="51">
        <v>67.127899999999997</v>
      </c>
      <c r="AF368" s="51">
        <v>216.518</v>
      </c>
      <c r="AG368" s="51">
        <v>166.899</v>
      </c>
      <c r="AH368" s="51">
        <v>49.619</v>
      </c>
      <c r="AI368" s="51">
        <v>212.43</v>
      </c>
      <c r="AJ368" s="9">
        <v>209.43</v>
      </c>
      <c r="AK368" s="22">
        <v>3</v>
      </c>
      <c r="AL368" s="51">
        <v>190.33300000000003</v>
      </c>
      <c r="AM368" s="51">
        <v>135.15100000000001</v>
      </c>
      <c r="AN368" s="51">
        <v>55.182000000000002</v>
      </c>
      <c r="AO368" s="51">
        <v>3415.2643800000001</v>
      </c>
      <c r="AP368" s="51">
        <v>328.14400000000001</v>
      </c>
      <c r="AQ368" s="51">
        <v>264.84859</v>
      </c>
      <c r="AR368" s="51">
        <v>33.643000000000001</v>
      </c>
      <c r="AS368" s="51">
        <v>78.867000000000004</v>
      </c>
      <c r="AT368" s="51">
        <v>34.639000000000003</v>
      </c>
      <c r="AU368" s="51">
        <v>61.655999999999999</v>
      </c>
      <c r="AV368" s="51">
        <v>33.183</v>
      </c>
      <c r="AW368" s="51">
        <v>8.2330000000000005</v>
      </c>
      <c r="AX368" s="51" t="s">
        <v>264</v>
      </c>
      <c r="AY368" s="51" t="s">
        <v>264</v>
      </c>
      <c r="AZ368" s="51" t="s">
        <v>264</v>
      </c>
      <c r="BA368" s="51" t="s">
        <v>264</v>
      </c>
      <c r="BB368" s="51" t="s">
        <v>264</v>
      </c>
      <c r="BC368" s="55"/>
      <c r="BD368" s="53">
        <v>145.44483</v>
      </c>
      <c r="BE368" s="53">
        <v>36.753999999999998</v>
      </c>
      <c r="BF368" s="53">
        <v>66.375910000000005</v>
      </c>
      <c r="BG368" s="53">
        <v>7.9859999999999998</v>
      </c>
      <c r="BH368" s="53">
        <v>298.00405999999998</v>
      </c>
      <c r="BI368" s="53">
        <v>112.79988</v>
      </c>
      <c r="BJ368" s="53">
        <v>112.61749</v>
      </c>
      <c r="BK368" s="53">
        <v>225.41737000000001</v>
      </c>
      <c r="BL368" s="55"/>
      <c r="BM368" s="53">
        <v>523.42142999999999</v>
      </c>
      <c r="BN368" s="53">
        <v>176.28</v>
      </c>
      <c r="BO368" s="53">
        <v>106.655</v>
      </c>
      <c r="BP368" s="53">
        <v>62.994999999999997</v>
      </c>
      <c r="BQ368" s="53">
        <v>169.65</v>
      </c>
      <c r="BR368" s="55"/>
      <c r="BS368" s="53">
        <v>345.93</v>
      </c>
      <c r="BT368" s="53">
        <v>30.18093</v>
      </c>
      <c r="BU368" s="53">
        <v>31.66</v>
      </c>
      <c r="BV368" s="51" t="s">
        <v>264</v>
      </c>
      <c r="BW368" s="51" t="s">
        <v>264</v>
      </c>
      <c r="BX368" s="51">
        <v>442.70679999999999</v>
      </c>
      <c r="BY368" s="51" t="s">
        <v>264</v>
      </c>
      <c r="BZ368" s="51" t="s">
        <v>264</v>
      </c>
      <c r="CA368" s="51">
        <v>62.701999999999998</v>
      </c>
      <c r="CB368" s="53">
        <v>118.79325</v>
      </c>
      <c r="CC368" s="53">
        <v>24.673999999999999</v>
      </c>
      <c r="CD368" s="53">
        <v>140.37764000000001</v>
      </c>
      <c r="CE368" s="53">
        <v>15.252000000000001</v>
      </c>
      <c r="CF368" s="53">
        <v>115.73250999999999</v>
      </c>
      <c r="CG368" s="53">
        <v>127.765</v>
      </c>
      <c r="CH368" s="53">
        <v>5.899</v>
      </c>
      <c r="CI368" s="53">
        <v>32.113500000000002</v>
      </c>
      <c r="CJ368" s="53">
        <v>5.9349999999999996</v>
      </c>
      <c r="CK368" s="53">
        <v>139.99988000000002</v>
      </c>
      <c r="CL368" s="53">
        <v>26.26</v>
      </c>
      <c r="CM368" s="55"/>
      <c r="CN368" s="53">
        <v>74.290080000000003</v>
      </c>
      <c r="CO368" s="53">
        <v>137.73400000000001</v>
      </c>
      <c r="CP368" s="53">
        <v>101.15600000000001</v>
      </c>
      <c r="CQ368" s="53">
        <v>36.578000000000003</v>
      </c>
      <c r="CR368" s="53" t="s">
        <v>264</v>
      </c>
      <c r="CS368" s="53">
        <v>39.613</v>
      </c>
      <c r="CT368" s="53" t="s">
        <v>265</v>
      </c>
      <c r="CU368" s="53" t="s">
        <v>265</v>
      </c>
      <c r="CV368" s="53">
        <v>227.221</v>
      </c>
      <c r="CW368" s="53" t="s">
        <v>265</v>
      </c>
      <c r="CX368" s="53" t="s">
        <v>265</v>
      </c>
      <c r="CY368" s="53">
        <v>21.369759999999999</v>
      </c>
      <c r="CZ368" s="53">
        <v>72.923999999999992</v>
      </c>
      <c r="DA368" s="53">
        <v>24.668999999999997</v>
      </c>
      <c r="DB368" s="53" t="s">
        <v>265</v>
      </c>
      <c r="DC368" s="53" t="s">
        <v>265</v>
      </c>
      <c r="DD368" s="55"/>
      <c r="DE368" s="55"/>
      <c r="DF368" s="55"/>
      <c r="DG368" s="55"/>
      <c r="DH368" s="55"/>
      <c r="DI368" s="53">
        <v>615.56700000000001</v>
      </c>
      <c r="DJ368" s="53">
        <v>617.54347999999993</v>
      </c>
      <c r="DK368" s="53">
        <v>987.00400000000002</v>
      </c>
      <c r="DL368" s="55"/>
      <c r="DM368" s="53">
        <v>488.72399999999999</v>
      </c>
      <c r="DN368" s="55"/>
      <c r="DO368" s="53">
        <v>293.12299999999999</v>
      </c>
      <c r="DP368" s="53">
        <v>262.59500000000003</v>
      </c>
      <c r="DQ368" s="55"/>
      <c r="DR368" s="55"/>
      <c r="DS368" s="53">
        <v>1417.0983000000001</v>
      </c>
      <c r="DT368" s="53">
        <v>4681.6547799999998</v>
      </c>
      <c r="DU368" s="53">
        <v>0</v>
      </c>
      <c r="DV368" s="53">
        <v>0</v>
      </c>
      <c r="DW368" s="55"/>
      <c r="DX368" s="55"/>
      <c r="DY368" s="53"/>
      <c r="DZ368" s="53"/>
      <c r="EA368" s="53">
        <v>320.28300000000002</v>
      </c>
      <c r="EB368" s="53">
        <v>440.505</v>
      </c>
      <c r="EC368" s="53">
        <v>546.54300000000001</v>
      </c>
      <c r="ED368" s="53"/>
      <c r="EE368" s="53">
        <v>168.76</v>
      </c>
      <c r="EF368" s="53"/>
      <c r="EG368" s="53">
        <v>109.79900000000001</v>
      </c>
      <c r="EH368" s="53">
        <v>227.72300000000001</v>
      </c>
      <c r="EI368" s="55"/>
      <c r="EJ368" s="55"/>
      <c r="EK368" s="53">
        <v>1085.19</v>
      </c>
      <c r="EL368" s="53">
        <v>2898.8029999999999</v>
      </c>
      <c r="EM368" s="55"/>
      <c r="EN368" s="55"/>
      <c r="EO368" s="53"/>
      <c r="EP368" s="53"/>
      <c r="EQ368" s="53">
        <v>222.18700000000001</v>
      </c>
      <c r="ER368" s="53">
        <v>224.41935999999998</v>
      </c>
      <c r="ES368" s="53">
        <v>366.63499999999999</v>
      </c>
      <c r="ET368" s="53"/>
      <c r="EU368" s="53">
        <v>185.97200000000001</v>
      </c>
      <c r="EV368" s="53"/>
      <c r="EW368" s="53">
        <v>105.77800000000001</v>
      </c>
      <c r="EX368" s="53">
        <v>96.334000000000003</v>
      </c>
      <c r="EY368" s="55"/>
      <c r="EZ368" s="55"/>
      <c r="FA368" s="53">
        <v>526.38034999999991</v>
      </c>
      <c r="FB368" s="53">
        <v>1727.70571</v>
      </c>
      <c r="FC368" s="55"/>
      <c r="FD368" s="55"/>
      <c r="FE368" s="53"/>
      <c r="FF368" s="53"/>
      <c r="FG368" s="53">
        <v>481.56900000000002</v>
      </c>
      <c r="FH368" s="53">
        <v>487.12932000000001</v>
      </c>
      <c r="FI368" s="53">
        <v>769.17899999999997</v>
      </c>
      <c r="FJ368" s="53"/>
      <c r="FK368" s="53">
        <v>382.70699999999999</v>
      </c>
      <c r="FL368" s="53"/>
      <c r="FM368" s="53">
        <v>234.64599999999999</v>
      </c>
      <c r="FN368" s="53">
        <v>210.904</v>
      </c>
      <c r="FO368" s="55"/>
      <c r="FP368" s="55"/>
      <c r="FQ368" s="53">
        <v>1120.6456500000002</v>
      </c>
      <c r="FR368" s="53">
        <v>3686.77997</v>
      </c>
      <c r="FS368" s="55"/>
      <c r="FT368" s="55"/>
      <c r="FU368" s="53"/>
      <c r="FV368" s="53"/>
      <c r="FW368" s="53">
        <v>404.48700000000002</v>
      </c>
      <c r="FX368" s="53">
        <v>164.52699999999999</v>
      </c>
      <c r="FY368" s="53">
        <v>310.34100000000001</v>
      </c>
      <c r="FZ368" s="53"/>
      <c r="GA368" s="53">
        <v>113.24299999999999</v>
      </c>
      <c r="GB368" s="53"/>
      <c r="GC368" s="53" t="s">
        <v>265</v>
      </c>
      <c r="GD368" s="53" t="s">
        <v>265</v>
      </c>
      <c r="GE368" s="55"/>
      <c r="GF368" s="55"/>
      <c r="GG368" s="53">
        <v>476.03500000000003</v>
      </c>
      <c r="GH368" s="53">
        <v>1592.7090000000001</v>
      </c>
      <c r="GI368" s="55"/>
      <c r="GJ368" s="55"/>
      <c r="GK368" s="53"/>
      <c r="GL368" s="53"/>
      <c r="GM368" s="53">
        <v>68.453999999999994</v>
      </c>
      <c r="GN368" s="53">
        <v>70.796000000000006</v>
      </c>
      <c r="GO368" s="53">
        <v>89.903000000000006</v>
      </c>
      <c r="GP368" s="53"/>
      <c r="GQ368" s="53">
        <v>37.771999999999998</v>
      </c>
      <c r="GR368" s="53"/>
      <c r="GS368" s="53" t="s">
        <v>265</v>
      </c>
      <c r="GT368" s="53" t="s">
        <v>265</v>
      </c>
      <c r="GU368" s="55"/>
      <c r="GV368" s="55"/>
      <c r="GW368" s="53">
        <v>74.912000000000006</v>
      </c>
      <c r="GX368" s="53">
        <v>361.72500000000002</v>
      </c>
      <c r="GY368" s="19">
        <v>0.98202612800577793</v>
      </c>
      <c r="GZ368" s="53">
        <v>1272.7097900000001</v>
      </c>
      <c r="HA368" s="53">
        <v>1296.0039999999999</v>
      </c>
      <c r="HB368" s="18">
        <v>-74.246986971600336</v>
      </c>
      <c r="HC368" s="18">
        <v>-105.07382868500144</v>
      </c>
      <c r="HD368" s="18">
        <v>1311.4168230283994</v>
      </c>
      <c r="HE368" s="18">
        <v>33.563809999999876</v>
      </c>
      <c r="HF368" s="53">
        <v>1385.6638099999998</v>
      </c>
      <c r="HG368" s="53">
        <v>1228.9091299999998</v>
      </c>
      <c r="HH368" s="53">
        <v>320.79818999999998</v>
      </c>
      <c r="HI368" s="53" t="s">
        <v>265</v>
      </c>
      <c r="HJ368" s="53">
        <v>837.01855</v>
      </c>
      <c r="HK368" s="12">
        <v>1.496</v>
      </c>
      <c r="HL368" s="53">
        <v>156.75468000000001</v>
      </c>
      <c r="HM368" s="53">
        <v>133.73599999999999</v>
      </c>
      <c r="HN368" s="53">
        <v>50.926000000000002</v>
      </c>
      <c r="HO368" s="53">
        <v>82.81</v>
      </c>
      <c r="HP368" s="55"/>
      <c r="HQ368" s="53" t="s">
        <v>267</v>
      </c>
      <c r="HR368" s="53" t="s">
        <v>267</v>
      </c>
      <c r="HS368" s="55"/>
      <c r="HT368" s="53">
        <v>12.74784</v>
      </c>
      <c r="HU368" s="55"/>
      <c r="HV368" s="55"/>
      <c r="HW368" s="53">
        <v>302.42885000000001</v>
      </c>
      <c r="HX368" s="53" t="s">
        <v>266</v>
      </c>
      <c r="HY368" s="53">
        <v>302.42885000000001</v>
      </c>
      <c r="HZ368" s="53">
        <v>67.406000000000006</v>
      </c>
      <c r="IA368" s="53">
        <v>147.39085</v>
      </c>
      <c r="IB368" s="53">
        <v>30.635980000000004</v>
      </c>
      <c r="IC368" s="53">
        <v>116.75487</v>
      </c>
      <c r="ID368" s="53">
        <v>68.809619999999995</v>
      </c>
      <c r="IE368" s="53">
        <v>47.945250000000001</v>
      </c>
      <c r="IF368" s="55"/>
      <c r="IG368" s="55"/>
      <c r="IH368" s="53">
        <v>53.201000000000008</v>
      </c>
      <c r="II368" s="21">
        <v>17.5</v>
      </c>
      <c r="IJ368" s="12">
        <v>16.465000000000007</v>
      </c>
      <c r="IK368" s="53">
        <v>19.236000000000001</v>
      </c>
      <c r="IL368" s="12">
        <v>34.430999999999997</v>
      </c>
      <c r="IM368" s="55"/>
      <c r="IN368" s="53">
        <v>43.93712</v>
      </c>
      <c r="IO368" s="53">
        <v>43.941120000000005</v>
      </c>
      <c r="IP368" s="53" t="s">
        <v>265</v>
      </c>
      <c r="IQ368" s="18">
        <v>53.061</v>
      </c>
      <c r="IR368" s="53">
        <v>6.54495</v>
      </c>
      <c r="IS368" s="55"/>
      <c r="IT368" s="53">
        <v>45.908999999999999</v>
      </c>
      <c r="IU368" s="53" t="s">
        <v>265</v>
      </c>
      <c r="IV368" s="53" t="s">
        <v>265</v>
      </c>
      <c r="IW368" s="53" t="s">
        <v>265</v>
      </c>
      <c r="IX368" s="53" t="s">
        <v>265</v>
      </c>
      <c r="IY368" s="48">
        <f t="shared" si="17"/>
        <v>47.164258916160414</v>
      </c>
      <c r="IZ368" s="48">
        <f>IY368-'NOPA Crush'!J368</f>
        <v>0.1242589161604144</v>
      </c>
      <c r="JB368" s="63">
        <f t="shared" si="15"/>
        <v>11.071122014682167</v>
      </c>
      <c r="JC368" s="64">
        <f>JB368-'NOPA Crush'!O368</f>
        <v>-7.8877985317832966E-2</v>
      </c>
      <c r="JD368" s="65"/>
      <c r="JE368" s="67">
        <f t="shared" si="16"/>
        <v>3317.6469999999999</v>
      </c>
      <c r="JF368" s="68">
        <f>'NOPA Crush'!Q368/'Census Crush'!JE368</f>
        <v>0.82538980186861344</v>
      </c>
    </row>
    <row r="369" spans="1:267">
      <c r="A369" s="39">
        <v>40269</v>
      </c>
      <c r="B369" s="51">
        <v>4093.7849200000001</v>
      </c>
      <c r="C369" s="51">
        <v>2423.172</v>
      </c>
      <c r="D369" s="51">
        <v>180.00720000000001</v>
      </c>
      <c r="E369" s="51">
        <v>906.12400000000002</v>
      </c>
      <c r="F369" s="51">
        <v>12.6</v>
      </c>
      <c r="G369" s="51" t="s">
        <v>264</v>
      </c>
      <c r="H369" s="51" t="s">
        <v>264</v>
      </c>
      <c r="I369" s="51" t="s">
        <v>264</v>
      </c>
      <c r="J369" s="51" t="s">
        <v>264</v>
      </c>
      <c r="K369" s="51">
        <v>1518.1203</v>
      </c>
      <c r="L369" s="51">
        <v>3414.7929999999997</v>
      </c>
      <c r="M369" s="51">
        <v>3151.8119999999999</v>
      </c>
      <c r="N369" s="51">
        <v>262.98099999999999</v>
      </c>
      <c r="O369" s="53">
        <v>51.495699999999999</v>
      </c>
      <c r="P369" s="51">
        <v>135.666</v>
      </c>
      <c r="Q369" s="51">
        <v>87.968000000000004</v>
      </c>
      <c r="R369" s="51">
        <v>47.698</v>
      </c>
      <c r="S369" s="51"/>
      <c r="T369" s="51">
        <v>10.0092</v>
      </c>
      <c r="U369" s="51">
        <v>20.942</v>
      </c>
      <c r="V369" s="51" t="e">
        <v>#VALUE!</v>
      </c>
      <c r="W369" s="51" t="e">
        <v>#VALUE!</v>
      </c>
      <c r="X369" s="51" t="s">
        <v>264</v>
      </c>
      <c r="Y369" s="51" t="e">
        <v>#VALUE!</v>
      </c>
      <c r="Z369" s="51">
        <v>122.111</v>
      </c>
      <c r="AA369" s="51">
        <v>119.209</v>
      </c>
      <c r="AB369" s="51">
        <v>2.9020000000000001</v>
      </c>
      <c r="AC369" s="51" t="s">
        <v>264</v>
      </c>
      <c r="AD369" s="51">
        <v>96.5946</v>
      </c>
      <c r="AE369" s="51">
        <v>98.977100000000007</v>
      </c>
      <c r="AF369" s="51">
        <v>246.43</v>
      </c>
      <c r="AG369" s="51">
        <v>173.62200000000001</v>
      </c>
      <c r="AH369" s="51">
        <v>72.808000000000007</v>
      </c>
      <c r="AI369" s="51">
        <v>214.7</v>
      </c>
      <c r="AJ369" s="9">
        <v>211.7</v>
      </c>
      <c r="AK369" s="22">
        <v>3</v>
      </c>
      <c r="AL369" s="51">
        <v>173.87299999999999</v>
      </c>
      <c r="AM369" s="51">
        <v>108.152</v>
      </c>
      <c r="AN369" s="51">
        <v>65.721000000000004</v>
      </c>
      <c r="AO369" s="51">
        <v>2981.5117599999994</v>
      </c>
      <c r="AP369" s="51">
        <v>265.07600000000002</v>
      </c>
      <c r="AQ369" s="51">
        <v>230.30494000000002</v>
      </c>
      <c r="AR369" s="51">
        <v>30.959</v>
      </c>
      <c r="AS369" s="51">
        <v>76.767099999999999</v>
      </c>
      <c r="AT369" s="51">
        <v>47.843000000000004</v>
      </c>
      <c r="AU369" s="51">
        <v>55.3093</v>
      </c>
      <c r="AV369" s="51">
        <v>33.250999999999998</v>
      </c>
      <c r="AW369" s="51">
        <v>6.7958999999999996</v>
      </c>
      <c r="AX369" s="51" t="s">
        <v>264</v>
      </c>
      <c r="AY369" s="51" t="s">
        <v>264</v>
      </c>
      <c r="AZ369" s="51" t="s">
        <v>264</v>
      </c>
      <c r="BA369" s="51" t="s">
        <v>264</v>
      </c>
      <c r="BB369" s="51" t="s">
        <v>264</v>
      </c>
      <c r="BC369" s="55"/>
      <c r="BD369" s="53">
        <v>134.72062</v>
      </c>
      <c r="BE369" s="53">
        <v>35.756999999999998</v>
      </c>
      <c r="BF369" s="53">
        <v>67.268919999999994</v>
      </c>
      <c r="BG369" s="53">
        <v>8.7739999999999991</v>
      </c>
      <c r="BH369" s="53">
        <v>264.95400000000001</v>
      </c>
      <c r="BI369" s="53">
        <v>121.86678000000001</v>
      </c>
      <c r="BJ369" s="53">
        <v>115.9234</v>
      </c>
      <c r="BK369" s="53">
        <v>237.79018000000002</v>
      </c>
      <c r="BL369" s="55"/>
      <c r="BM369" s="53">
        <v>502.74418000000003</v>
      </c>
      <c r="BN369" s="53">
        <v>170.19499999999999</v>
      </c>
      <c r="BO369" s="53">
        <v>149.59399999999999</v>
      </c>
      <c r="BP369" s="53">
        <v>64.813999999999993</v>
      </c>
      <c r="BQ369" s="53">
        <v>214.40799999999999</v>
      </c>
      <c r="BR369" s="55"/>
      <c r="BS369" s="53">
        <v>384.60299999999995</v>
      </c>
      <c r="BT369" s="53">
        <v>26.069500000000001</v>
      </c>
      <c r="BU369" s="53">
        <v>35.337000000000003</v>
      </c>
      <c r="BV369" s="51" t="s">
        <v>264</v>
      </c>
      <c r="BW369" s="51" t="s">
        <v>264</v>
      </c>
      <c r="BX369" s="51">
        <v>413.94844000000001</v>
      </c>
      <c r="BY369" s="51" t="s">
        <v>264</v>
      </c>
      <c r="BZ369" s="51" t="s">
        <v>264</v>
      </c>
      <c r="CA369" s="51">
        <v>60.723999999999997</v>
      </c>
      <c r="CB369" s="53">
        <v>117.26074</v>
      </c>
      <c r="CC369" s="53">
        <v>26.462</v>
      </c>
      <c r="CD369" s="53">
        <v>150.50912</v>
      </c>
      <c r="CE369" s="53">
        <v>18.37</v>
      </c>
      <c r="CF369" s="53">
        <v>116.8407</v>
      </c>
      <c r="CG369" s="53">
        <v>109.22799999999999</v>
      </c>
      <c r="CH369" s="53">
        <v>6.0629999999999997</v>
      </c>
      <c r="CI369" s="53">
        <v>28.199300000000001</v>
      </c>
      <c r="CJ369" s="53">
        <v>5.1269999999999998</v>
      </c>
      <c r="CK369" s="53">
        <v>135.18270000000001</v>
      </c>
      <c r="CL369" s="53">
        <v>24.745999999999999</v>
      </c>
      <c r="CM369" s="55"/>
      <c r="CN369" s="53">
        <v>64.938999999999993</v>
      </c>
      <c r="CO369" s="53">
        <v>119.791</v>
      </c>
      <c r="CP369" s="53">
        <v>108.837</v>
      </c>
      <c r="CQ369" s="53">
        <v>10.954000000000001</v>
      </c>
      <c r="CR369" s="53" t="s">
        <v>264</v>
      </c>
      <c r="CS369" s="53">
        <v>40.828000000000003</v>
      </c>
      <c r="CT369" s="53" t="s">
        <v>265</v>
      </c>
      <c r="CU369" s="53" t="s">
        <v>265</v>
      </c>
      <c r="CV369" s="53">
        <v>233.33799999999999</v>
      </c>
      <c r="CW369" s="53" t="s">
        <v>265</v>
      </c>
      <c r="CX369" s="53" t="s">
        <v>265</v>
      </c>
      <c r="CY369" s="53" t="s">
        <v>265</v>
      </c>
      <c r="CZ369" s="53">
        <v>53.598999999999997</v>
      </c>
      <c r="DA369" s="53">
        <v>33.979999999999997</v>
      </c>
      <c r="DB369" s="53" t="s">
        <v>265</v>
      </c>
      <c r="DC369" s="53" t="s">
        <v>265</v>
      </c>
      <c r="DD369" s="55"/>
      <c r="DE369" s="55"/>
      <c r="DF369" s="55"/>
      <c r="DG369" s="55"/>
      <c r="DH369" s="55"/>
      <c r="DI369" s="53">
        <v>519.005</v>
      </c>
      <c r="DJ369" s="53">
        <v>556.99080000000004</v>
      </c>
      <c r="DK369" s="53">
        <v>913.04499999999996</v>
      </c>
      <c r="DL369" s="55"/>
      <c r="DM369" s="53">
        <v>436.67899999999997</v>
      </c>
      <c r="DN369" s="55"/>
      <c r="DO369" s="53">
        <v>226.887</v>
      </c>
      <c r="DP369" s="53">
        <v>207.22499999999999</v>
      </c>
      <c r="DQ369" s="55"/>
      <c r="DR369" s="55"/>
      <c r="DS369" s="53">
        <v>1233.9531199999999</v>
      </c>
      <c r="DT369" s="53">
        <v>4093.7849200000001</v>
      </c>
      <c r="DU369" s="53">
        <v>0</v>
      </c>
      <c r="DV369" s="53">
        <v>0</v>
      </c>
      <c r="DW369" s="55"/>
      <c r="DX369" s="55"/>
      <c r="DY369" s="53"/>
      <c r="DZ369" s="53"/>
      <c r="EA369" s="53">
        <v>248.34700000000001</v>
      </c>
      <c r="EB369" s="53">
        <v>298.72000000000003</v>
      </c>
      <c r="EC369" s="53">
        <v>443.22</v>
      </c>
      <c r="ED369" s="53"/>
      <c r="EE369" s="53">
        <v>157.43700000000001</v>
      </c>
      <c r="EF369" s="53"/>
      <c r="EG369" s="53">
        <v>96.88</v>
      </c>
      <c r="EH369" s="53">
        <v>170.67400000000001</v>
      </c>
      <c r="EI369" s="55"/>
      <c r="EJ369" s="55"/>
      <c r="EK369" s="53">
        <v>1007.8939999999998</v>
      </c>
      <c r="EL369" s="53">
        <v>2423.172</v>
      </c>
      <c r="EM369" s="55"/>
      <c r="EN369" s="55"/>
      <c r="EO369" s="53"/>
      <c r="EP369" s="53"/>
      <c r="EQ369" s="53">
        <v>189.49700000000001</v>
      </c>
      <c r="ER369" s="53">
        <v>202.54249999999999</v>
      </c>
      <c r="ES369" s="53">
        <v>339.43799999999999</v>
      </c>
      <c r="ET369" s="53"/>
      <c r="EU369" s="53">
        <v>165.179</v>
      </c>
      <c r="EV369" s="53"/>
      <c r="EW369" s="53">
        <v>83.331999999999994</v>
      </c>
      <c r="EX369" s="53">
        <v>76.021000000000001</v>
      </c>
      <c r="EY369" s="55"/>
      <c r="EZ369" s="55"/>
      <c r="FA369" s="53">
        <v>462.11079999999998</v>
      </c>
      <c r="FB369" s="53">
        <v>1518.1203</v>
      </c>
      <c r="FC369" s="55"/>
      <c r="FD369" s="55"/>
      <c r="FE369" s="53"/>
      <c r="FF369" s="53"/>
      <c r="FG369" s="53">
        <v>405.15</v>
      </c>
      <c r="FH369" s="53">
        <v>439.93290000000002</v>
      </c>
      <c r="FI369" s="53">
        <v>713.76700000000005</v>
      </c>
      <c r="FJ369" s="53"/>
      <c r="FK369" s="53">
        <v>343.05200000000002</v>
      </c>
      <c r="FL369" s="53"/>
      <c r="FM369" s="53">
        <v>180.91300000000001</v>
      </c>
      <c r="FN369" s="53">
        <v>166.14</v>
      </c>
      <c r="FO369" s="55"/>
      <c r="FP369" s="55"/>
      <c r="FQ369" s="53">
        <v>971.20680000000027</v>
      </c>
      <c r="FR369" s="53">
        <v>3220.1</v>
      </c>
      <c r="FS369" s="55"/>
      <c r="FT369" s="55"/>
      <c r="FU369" s="53"/>
      <c r="FV369" s="53"/>
      <c r="FW369" s="53">
        <v>423.697</v>
      </c>
      <c r="FX369" s="53">
        <v>177.92699999999999</v>
      </c>
      <c r="FY369" s="53">
        <v>264.22399999999999</v>
      </c>
      <c r="FZ369" s="53"/>
      <c r="GA369" s="53">
        <v>128.95699999999999</v>
      </c>
      <c r="GB369" s="53"/>
      <c r="GC369" s="53" t="s">
        <v>265</v>
      </c>
      <c r="GD369" s="53" t="s">
        <v>265</v>
      </c>
      <c r="GE369" s="55"/>
      <c r="GF369" s="55"/>
      <c r="GG369" s="53">
        <v>449.00300000000016</v>
      </c>
      <c r="GH369" s="53">
        <v>1554.9280000000001</v>
      </c>
      <c r="GI369" s="55"/>
      <c r="GJ369" s="55"/>
      <c r="GK369" s="53"/>
      <c r="GL369" s="53"/>
      <c r="GM369" s="53">
        <v>56.481999999999999</v>
      </c>
      <c r="GN369" s="53">
        <v>67.242999999999995</v>
      </c>
      <c r="GO369" s="53">
        <v>39.499000000000002</v>
      </c>
      <c r="GP369" s="53"/>
      <c r="GQ369" s="53">
        <v>21.664999999999999</v>
      </c>
      <c r="GR369" s="53"/>
      <c r="GS369" s="53" t="s">
        <v>265</v>
      </c>
      <c r="GT369" s="53" t="s">
        <v>265</v>
      </c>
      <c r="GU369" s="55"/>
      <c r="GV369" s="55"/>
      <c r="GW369" s="53">
        <v>97.286000000000044</v>
      </c>
      <c r="GX369" s="53">
        <v>296.03500000000003</v>
      </c>
      <c r="GY369" s="19">
        <v>0.98311209355289664</v>
      </c>
      <c r="GZ369" s="53">
        <v>1148.1250400000001</v>
      </c>
      <c r="HA369" s="53">
        <v>1167.84754</v>
      </c>
      <c r="HB369" s="18">
        <v>41.352933313599578</v>
      </c>
      <c r="HC369" s="18">
        <v>118.79027342059953</v>
      </c>
      <c r="HD369" s="18">
        <v>1286.7763133135995</v>
      </c>
      <c r="HE369" s="18">
        <v>-70.476620000000139</v>
      </c>
      <c r="HF369" s="53">
        <v>1245.42338</v>
      </c>
      <c r="HG369" s="53">
        <v>1098.8571199999999</v>
      </c>
      <c r="HH369" s="53">
        <v>309.86975999999999</v>
      </c>
      <c r="HI369" s="53" t="s">
        <v>265</v>
      </c>
      <c r="HJ369" s="53">
        <v>730.01616000000001</v>
      </c>
      <c r="HK369" s="53" t="s">
        <v>265</v>
      </c>
      <c r="HL369" s="53">
        <v>146.56626</v>
      </c>
      <c r="HM369" s="53">
        <v>123.179</v>
      </c>
      <c r="HN369" s="53">
        <v>63.005000000000003</v>
      </c>
      <c r="HO369" s="53">
        <v>60.173999999999999</v>
      </c>
      <c r="HP369" s="55"/>
      <c r="HQ369" s="53" t="s">
        <v>267</v>
      </c>
      <c r="HR369" s="53" t="s">
        <v>267</v>
      </c>
      <c r="HS369" s="55"/>
      <c r="HT369" s="53">
        <v>12.2605</v>
      </c>
      <c r="HU369" s="55"/>
      <c r="HV369" s="55"/>
      <c r="HW369" s="53">
        <v>311.32370000000003</v>
      </c>
      <c r="HX369" s="53" t="s">
        <v>266</v>
      </c>
      <c r="HY369" s="53">
        <v>311.32370000000003</v>
      </c>
      <c r="HZ369" s="53">
        <v>73.561000000000007</v>
      </c>
      <c r="IA369" s="53">
        <v>144.4417</v>
      </c>
      <c r="IB369" s="53">
        <v>29.553099999999997</v>
      </c>
      <c r="IC369" s="53">
        <v>114.8886</v>
      </c>
      <c r="ID369" s="53">
        <v>71.460599999999999</v>
      </c>
      <c r="IE369" s="53">
        <v>43.427999999999997</v>
      </c>
      <c r="IF369" s="55"/>
      <c r="IG369" s="55"/>
      <c r="IH369" s="53">
        <v>60.914999999999999</v>
      </c>
      <c r="II369" s="21">
        <v>12.5</v>
      </c>
      <c r="IJ369" s="12">
        <v>32.683</v>
      </c>
      <c r="IK369" s="53">
        <v>15.731999999999999</v>
      </c>
      <c r="IL369" s="12">
        <v>32.406000000000027</v>
      </c>
      <c r="IM369" s="55"/>
      <c r="IN369" s="53">
        <v>38.494</v>
      </c>
      <c r="IO369" s="53">
        <v>38.515999999999998</v>
      </c>
      <c r="IP369" s="53" t="s">
        <v>265</v>
      </c>
      <c r="IQ369" s="18">
        <v>54.767000000000003</v>
      </c>
      <c r="IR369" s="53">
        <v>9.64</v>
      </c>
      <c r="IS369" s="55"/>
      <c r="IT369" s="53">
        <v>44.516199999999998</v>
      </c>
      <c r="IU369" s="53" t="s">
        <v>265</v>
      </c>
      <c r="IV369" s="53" t="s">
        <v>265</v>
      </c>
      <c r="IW369" s="53" t="s">
        <v>265</v>
      </c>
      <c r="IX369" s="53" t="s">
        <v>265</v>
      </c>
      <c r="IY369" s="48">
        <f t="shared" si="17"/>
        <v>47.073553146021155</v>
      </c>
      <c r="IZ369" s="48">
        <f>IY369-'NOPA Crush'!J369</f>
        <v>0.19355314602115214</v>
      </c>
      <c r="JB369" s="63">
        <f t="shared" si="15"/>
        <v>11.125061499322735</v>
      </c>
      <c r="JC369" s="64">
        <f>JB369-'NOPA Crush'!O369</f>
        <v>-6.8395784744105015E-2</v>
      </c>
      <c r="JD369" s="65"/>
      <c r="JE369" s="67">
        <f t="shared" si="16"/>
        <v>3414.7929999999997</v>
      </c>
      <c r="JF369" s="68">
        <f>'NOPA Crush'!Q369/'Census Crush'!JE369</f>
        <v>0.8233316045804242</v>
      </c>
    </row>
    <row r="370" spans="1:267">
      <c r="A370" s="39">
        <v>40299</v>
      </c>
      <c r="B370" s="51">
        <v>3988.61645</v>
      </c>
      <c r="C370" s="51">
        <v>1880.0350000000001</v>
      </c>
      <c r="D370" s="51">
        <v>191.28048000000001</v>
      </c>
      <c r="E370" s="51">
        <v>688.69600000000003</v>
      </c>
      <c r="F370" s="51">
        <v>17.508050000000001</v>
      </c>
      <c r="G370" s="51" t="s">
        <v>264</v>
      </c>
      <c r="H370" s="51" t="s">
        <v>264</v>
      </c>
      <c r="I370" s="51" t="s">
        <v>264</v>
      </c>
      <c r="J370" s="51" t="s">
        <v>264</v>
      </c>
      <c r="K370" s="51">
        <v>1481.5648500000002</v>
      </c>
      <c r="L370" s="51">
        <v>3521.9170000000004</v>
      </c>
      <c r="M370" s="51">
        <v>3237.0120000000002</v>
      </c>
      <c r="N370" s="51">
        <v>284.90499999999997</v>
      </c>
      <c r="O370" s="53">
        <v>59.805839999999996</v>
      </c>
      <c r="P370" s="51">
        <v>137.465</v>
      </c>
      <c r="Q370" s="51">
        <v>82.951999999999998</v>
      </c>
      <c r="R370" s="51">
        <v>54.512999999999998</v>
      </c>
      <c r="S370" s="51"/>
      <c r="T370" s="51">
        <v>13.763450000000001</v>
      </c>
      <c r="U370" s="51">
        <v>15.695</v>
      </c>
      <c r="V370" s="51" t="e">
        <v>#VALUE!</v>
      </c>
      <c r="W370" s="51" t="e">
        <v>#VALUE!</v>
      </c>
      <c r="X370" s="51" t="s">
        <v>264</v>
      </c>
      <c r="Y370" s="51" t="e">
        <v>#VALUE!</v>
      </c>
      <c r="Z370" s="51">
        <v>155.16199999999998</v>
      </c>
      <c r="AA370" s="51">
        <v>149.37899999999999</v>
      </c>
      <c r="AB370" s="51">
        <v>5.7830000000000004</v>
      </c>
      <c r="AC370" s="51" t="s">
        <v>264</v>
      </c>
      <c r="AD370" s="51">
        <v>112.28384</v>
      </c>
      <c r="AE370" s="51">
        <v>115.26739999999999</v>
      </c>
      <c r="AF370" s="51">
        <v>205.84199999999998</v>
      </c>
      <c r="AG370" s="51">
        <v>143.91</v>
      </c>
      <c r="AH370" s="51">
        <v>61.932000000000002</v>
      </c>
      <c r="AI370" s="51">
        <v>205.41900000000001</v>
      </c>
      <c r="AJ370" s="9">
        <v>202.41900000000001</v>
      </c>
      <c r="AK370" s="22">
        <v>3</v>
      </c>
      <c r="AL370" s="51">
        <v>115.429</v>
      </c>
      <c r="AM370" s="51">
        <v>86.305999999999997</v>
      </c>
      <c r="AN370" s="51">
        <v>29.123000000000001</v>
      </c>
      <c r="AO370" s="51">
        <v>2921.0122000000001</v>
      </c>
      <c r="AP370" s="51">
        <v>423.87099999999998</v>
      </c>
      <c r="AQ370" s="51">
        <v>223.45025000000001</v>
      </c>
      <c r="AR370" s="51">
        <v>43.805999999999997</v>
      </c>
      <c r="AS370" s="51">
        <v>87.226759999999999</v>
      </c>
      <c r="AT370" s="51">
        <v>85.825000000000003</v>
      </c>
      <c r="AU370" s="51">
        <v>52.010919999999999</v>
      </c>
      <c r="AV370" s="51">
        <v>37.140999999999998</v>
      </c>
      <c r="AW370" s="51">
        <v>9.3375499999999985</v>
      </c>
      <c r="AX370" s="51" t="s">
        <v>264</v>
      </c>
      <c r="AY370" s="51" t="s">
        <v>264</v>
      </c>
      <c r="AZ370" s="51" t="s">
        <v>264</v>
      </c>
      <c r="BA370" s="51" t="s">
        <v>264</v>
      </c>
      <c r="BB370" s="51" t="s">
        <v>264</v>
      </c>
      <c r="BC370" s="55"/>
      <c r="BD370" s="53">
        <v>148.64167999999998</v>
      </c>
      <c r="BE370" s="53">
        <v>34.298999999999999</v>
      </c>
      <c r="BF370" s="53">
        <v>66.389350000000007</v>
      </c>
      <c r="BG370" s="53">
        <v>8.4689999999999994</v>
      </c>
      <c r="BH370" s="53">
        <v>269.39284000000004</v>
      </c>
      <c r="BI370" s="53">
        <v>117.65703999999999</v>
      </c>
      <c r="BJ370" s="53">
        <v>96.414100000000005</v>
      </c>
      <c r="BK370" s="53">
        <v>214.07114000000001</v>
      </c>
      <c r="BL370" s="55"/>
      <c r="BM370" s="53">
        <v>483.46398000000005</v>
      </c>
      <c r="BN370" s="53">
        <v>141.54300000000001</v>
      </c>
      <c r="BO370" s="53">
        <v>105.345</v>
      </c>
      <c r="BP370" s="53">
        <v>69.629000000000005</v>
      </c>
      <c r="BQ370" s="53">
        <v>174.97399999999999</v>
      </c>
      <c r="BR370" s="55"/>
      <c r="BS370" s="53">
        <v>316.517</v>
      </c>
      <c r="BT370" s="53">
        <v>31.37603</v>
      </c>
      <c r="BU370" s="53">
        <v>23.788</v>
      </c>
      <c r="BV370" s="51" t="s">
        <v>264</v>
      </c>
      <c r="BW370" s="51" t="s">
        <v>264</v>
      </c>
      <c r="BX370" s="51">
        <v>407.52603000000005</v>
      </c>
      <c r="BY370" s="51" t="s">
        <v>264</v>
      </c>
      <c r="BZ370" s="51" t="s">
        <v>264</v>
      </c>
      <c r="CA370" s="51">
        <v>60.981999999999999</v>
      </c>
      <c r="CB370" s="53">
        <v>118.38805000000001</v>
      </c>
      <c r="CC370" s="53">
        <v>29.337</v>
      </c>
      <c r="CD370" s="53">
        <v>117.90579</v>
      </c>
      <c r="CE370" s="53">
        <v>15.089</v>
      </c>
      <c r="CF370" s="53">
        <v>118.94914999999999</v>
      </c>
      <c r="CG370" s="53">
        <v>114.571</v>
      </c>
      <c r="CH370" s="53">
        <v>6.4290000000000003</v>
      </c>
      <c r="CI370" s="53">
        <v>27.699080000000002</v>
      </c>
      <c r="CJ370" s="53" t="s">
        <v>265</v>
      </c>
      <c r="CK370" s="53">
        <v>142.61881</v>
      </c>
      <c r="CL370" s="53">
        <v>24.576000000000001</v>
      </c>
      <c r="CM370" s="55"/>
      <c r="CN370" s="53">
        <v>74.756</v>
      </c>
      <c r="CO370" s="53">
        <v>120.61099999999999</v>
      </c>
      <c r="CP370" s="53">
        <v>89.22</v>
      </c>
      <c r="CQ370" s="53">
        <v>31.390999999999998</v>
      </c>
      <c r="CR370" s="53" t="s">
        <v>264</v>
      </c>
      <c r="CS370" s="53">
        <v>36.963999999999999</v>
      </c>
      <c r="CT370" s="53" t="s">
        <v>265</v>
      </c>
      <c r="CU370" s="53" t="s">
        <v>265</v>
      </c>
      <c r="CV370" s="53">
        <v>187.97899999999998</v>
      </c>
      <c r="CW370" s="53" t="s">
        <v>265</v>
      </c>
      <c r="CX370" s="53" t="s">
        <v>265</v>
      </c>
      <c r="CY370" s="53" t="s">
        <v>265</v>
      </c>
      <c r="CZ370" s="53">
        <v>47.698999999999998</v>
      </c>
      <c r="DA370" s="53">
        <v>31.177</v>
      </c>
      <c r="DB370" s="53" t="s">
        <v>265</v>
      </c>
      <c r="DC370" s="53" t="s">
        <v>265</v>
      </c>
      <c r="DD370" s="55"/>
      <c r="DE370" s="55"/>
      <c r="DF370" s="55"/>
      <c r="DG370" s="55"/>
      <c r="DH370" s="55"/>
      <c r="DI370" s="53">
        <v>529.43499999999995</v>
      </c>
      <c r="DJ370" s="53">
        <v>509.93534999999997</v>
      </c>
      <c r="DK370" s="53">
        <v>852.91399999999999</v>
      </c>
      <c r="DL370" s="55"/>
      <c r="DM370" s="53">
        <v>409.18299999999999</v>
      </c>
      <c r="DN370" s="55"/>
      <c r="DO370" s="53">
        <v>229.012</v>
      </c>
      <c r="DP370" s="53">
        <v>209.1</v>
      </c>
      <c r="DQ370" s="55"/>
      <c r="DR370" s="55"/>
      <c r="DS370" s="53">
        <v>1249.0371000000007</v>
      </c>
      <c r="DT370" s="53">
        <v>3988.61645</v>
      </c>
      <c r="DU370" s="53">
        <v>0</v>
      </c>
      <c r="DV370" s="53">
        <v>0</v>
      </c>
      <c r="DW370" s="55"/>
      <c r="DX370" s="55"/>
      <c r="DY370" s="53"/>
      <c r="DZ370" s="53"/>
      <c r="EA370" s="53">
        <v>202.108</v>
      </c>
      <c r="EB370" s="53">
        <v>214.82499999999999</v>
      </c>
      <c r="EC370" s="53">
        <v>388.12299999999999</v>
      </c>
      <c r="ED370" s="53"/>
      <c r="EE370" s="53">
        <v>128.65199999999999</v>
      </c>
      <c r="EF370" s="53"/>
      <c r="EG370" s="53">
        <v>51.597999999999999</v>
      </c>
      <c r="EH370" s="53">
        <v>109.32599999999999</v>
      </c>
      <c r="EI370" s="55"/>
      <c r="EJ370" s="55"/>
      <c r="EK370" s="53">
        <v>785.40300000000002</v>
      </c>
      <c r="EL370" s="53">
        <v>1880.0350000000001</v>
      </c>
      <c r="EM370" s="55"/>
      <c r="EN370" s="55"/>
      <c r="EO370" s="53"/>
      <c r="EP370" s="53"/>
      <c r="EQ370" s="53">
        <v>197.126</v>
      </c>
      <c r="ER370" s="53">
        <v>186.60785000000001</v>
      </c>
      <c r="ES370" s="53">
        <v>319.30799999999999</v>
      </c>
      <c r="ET370" s="53"/>
      <c r="EU370" s="53">
        <v>154.43100000000001</v>
      </c>
      <c r="EV370" s="53"/>
      <c r="EW370" s="53">
        <v>84.885000000000005</v>
      </c>
      <c r="EX370" s="53">
        <v>76.051000000000002</v>
      </c>
      <c r="EY370" s="55"/>
      <c r="EZ370" s="55"/>
      <c r="FA370" s="53">
        <v>463.15600000000012</v>
      </c>
      <c r="FB370" s="53">
        <v>1481.5648500000002</v>
      </c>
      <c r="FC370" s="55"/>
      <c r="FD370" s="55"/>
      <c r="FE370" s="53"/>
      <c r="FF370" s="53"/>
      <c r="FG370" s="53">
        <v>426.55399999999997</v>
      </c>
      <c r="FH370" s="53">
        <v>399.30215000000004</v>
      </c>
      <c r="FI370" s="53">
        <v>663.26499999999999</v>
      </c>
      <c r="FJ370" s="53"/>
      <c r="FK370" s="53">
        <v>321.44799999999998</v>
      </c>
      <c r="FL370" s="53"/>
      <c r="FM370" s="53">
        <v>183.85400000000001</v>
      </c>
      <c r="FN370" s="53">
        <v>167.238</v>
      </c>
      <c r="FO370" s="55"/>
      <c r="FP370" s="55"/>
      <c r="FQ370" s="53">
        <v>990.86630000000014</v>
      </c>
      <c r="FR370" s="53">
        <v>3152.6</v>
      </c>
      <c r="FS370" s="55"/>
      <c r="FT370" s="55"/>
      <c r="FU370" s="53"/>
      <c r="FV370" s="53"/>
      <c r="FW370" s="53">
        <v>442.59399999999999</v>
      </c>
      <c r="FX370" s="53">
        <v>171.38300000000001</v>
      </c>
      <c r="FY370" s="53">
        <v>264.19799999999998</v>
      </c>
      <c r="FZ370" s="53"/>
      <c r="GA370" s="53">
        <v>127.354</v>
      </c>
      <c r="GB370" s="53"/>
      <c r="GC370" s="53" t="s">
        <v>265</v>
      </c>
      <c r="GD370" s="53" t="s">
        <v>265</v>
      </c>
      <c r="GE370" s="55"/>
      <c r="GF370" s="55"/>
      <c r="GG370" s="53">
        <v>470.52199999999982</v>
      </c>
      <c r="GH370" s="53">
        <v>1599.646</v>
      </c>
      <c r="GI370" s="55"/>
      <c r="GJ370" s="55"/>
      <c r="GK370" s="53"/>
      <c r="GL370" s="53"/>
      <c r="GM370" s="53">
        <v>85.566999999999993</v>
      </c>
      <c r="GN370" s="53">
        <v>80.424000000000007</v>
      </c>
      <c r="GO370" s="53">
        <v>84.593000000000004</v>
      </c>
      <c r="GP370" s="53"/>
      <c r="GQ370" s="53">
        <v>52.774000000000001</v>
      </c>
      <c r="GR370" s="53"/>
      <c r="GS370" s="53">
        <v>14.904999999999999</v>
      </c>
      <c r="GT370" s="53">
        <v>6.1589999999999998</v>
      </c>
      <c r="GU370" s="55"/>
      <c r="GV370" s="55"/>
      <c r="GW370" s="53">
        <v>143.255</v>
      </c>
      <c r="GX370" s="53">
        <v>467.67700000000002</v>
      </c>
      <c r="GY370" s="19">
        <v>0.98293533647157194</v>
      </c>
      <c r="GZ370" s="53">
        <v>1162.76775</v>
      </c>
      <c r="HA370" s="53">
        <v>1182.9544699999999</v>
      </c>
      <c r="HB370" s="18">
        <v>54.865183569999999</v>
      </c>
      <c r="HC370" s="18">
        <v>-54.695657106200088</v>
      </c>
      <c r="HD370" s="18">
        <v>1301.54502357</v>
      </c>
      <c r="HE370" s="18">
        <v>-67.520160000000033</v>
      </c>
      <c r="HF370" s="53">
        <v>1246.67984</v>
      </c>
      <c r="HG370" s="53">
        <v>1111.8336400000001</v>
      </c>
      <c r="HH370" s="53">
        <v>286.72128000000004</v>
      </c>
      <c r="HI370" s="53" t="s">
        <v>265</v>
      </c>
      <c r="HJ370" s="53">
        <v>771.25588000000005</v>
      </c>
      <c r="HK370" s="53" t="s">
        <v>265</v>
      </c>
      <c r="HL370" s="53">
        <v>134.84620000000001</v>
      </c>
      <c r="HM370" s="53">
        <v>106.503</v>
      </c>
      <c r="HN370" s="53">
        <v>53.19</v>
      </c>
      <c r="HO370" s="53">
        <v>53.313000000000002</v>
      </c>
      <c r="HP370" s="55"/>
      <c r="HQ370" s="53" t="s">
        <v>267</v>
      </c>
      <c r="HR370" s="53" t="s">
        <v>267</v>
      </c>
      <c r="HS370" s="55"/>
      <c r="HT370" s="53">
        <v>13.9611</v>
      </c>
      <c r="HU370" s="55"/>
      <c r="HV370" s="55"/>
      <c r="HW370" s="53">
        <v>299.87824999999998</v>
      </c>
      <c r="HX370" s="53" t="s">
        <v>266</v>
      </c>
      <c r="HY370" s="53">
        <v>299.87824999999998</v>
      </c>
      <c r="HZ370" s="53">
        <v>73.531999999999996</v>
      </c>
      <c r="IA370" s="53">
        <v>140.19024999999999</v>
      </c>
      <c r="IB370" s="53">
        <v>28.785119999999999</v>
      </c>
      <c r="IC370" s="53">
        <v>111.40512999999999</v>
      </c>
      <c r="ID370" s="53">
        <v>64.221289999999996</v>
      </c>
      <c r="IE370" s="53">
        <v>47.183839999999996</v>
      </c>
      <c r="IF370" s="55"/>
      <c r="IG370" s="55"/>
      <c r="IH370" s="53">
        <v>56.244999999999997</v>
      </c>
      <c r="II370" s="21">
        <v>17.5</v>
      </c>
      <c r="IJ370" s="12">
        <v>28.333999999999996</v>
      </c>
      <c r="IK370" s="53">
        <v>10.411</v>
      </c>
      <c r="IL370" s="12">
        <v>29.911000000000008</v>
      </c>
      <c r="IM370" s="55"/>
      <c r="IN370" s="53">
        <v>42.656999999999996</v>
      </c>
      <c r="IO370" s="53">
        <v>42.679000000000002</v>
      </c>
      <c r="IP370" s="53" t="s">
        <v>265</v>
      </c>
      <c r="IQ370" s="18">
        <v>48.993000000000002</v>
      </c>
      <c r="IR370" s="53">
        <v>9.0885599999999993</v>
      </c>
      <c r="IS370" s="55"/>
      <c r="IT370" s="53">
        <v>39.39152</v>
      </c>
      <c r="IU370" s="53" t="s">
        <v>265</v>
      </c>
      <c r="IV370" s="53" t="s">
        <v>265</v>
      </c>
      <c r="IW370" s="53" t="s">
        <v>265</v>
      </c>
      <c r="IX370" s="53" t="s">
        <v>265</v>
      </c>
      <c r="IY370" s="48">
        <f t="shared" si="17"/>
        <v>47.30155164455585</v>
      </c>
      <c r="IZ370" s="48">
        <f>IY370-'NOPA Crush'!J370</f>
        <v>0.12155164455585066</v>
      </c>
      <c r="JB370" s="63">
        <f t="shared" si="15"/>
        <v>11.143449378292567</v>
      </c>
      <c r="JC370" s="64">
        <f>JB370-'NOPA Crush'!O370</f>
        <v>-4.6550621707432072E-2</v>
      </c>
      <c r="JD370" s="65"/>
      <c r="JE370" s="67">
        <f t="shared" si="16"/>
        <v>3521.9170000000004</v>
      </c>
      <c r="JF370" s="68">
        <f>'NOPA Crush'!Q370/'Census Crush'!JE370</f>
        <v>0.82499559188930327</v>
      </c>
    </row>
    <row r="371" spans="1:267">
      <c r="A371" s="39">
        <v>40330</v>
      </c>
      <c r="B371" s="51">
        <v>3884.2987599999997</v>
      </c>
      <c r="C371" s="51">
        <v>1979.855</v>
      </c>
      <c r="D371" s="51">
        <v>141.20699999999999</v>
      </c>
      <c r="E371" s="51">
        <v>502.56299999999999</v>
      </c>
      <c r="F371" s="51">
        <v>10.39608</v>
      </c>
      <c r="G371" s="51" t="s">
        <v>264</v>
      </c>
      <c r="H371" s="51" t="s">
        <v>264</v>
      </c>
      <c r="I371" s="51" t="s">
        <v>264</v>
      </c>
      <c r="J371" s="51" t="s">
        <v>264</v>
      </c>
      <c r="K371" s="51">
        <v>1442.2388999999998</v>
      </c>
      <c r="L371" s="51">
        <v>3597.482</v>
      </c>
      <c r="M371" s="51">
        <v>3297.846</v>
      </c>
      <c r="N371" s="51">
        <v>299.63600000000002</v>
      </c>
      <c r="O371" s="53">
        <v>41.067599999999999</v>
      </c>
      <c r="P371" s="51">
        <v>128.1</v>
      </c>
      <c r="Q371" s="9">
        <v>74.144999999999996</v>
      </c>
      <c r="R371" s="51">
        <v>53.954999999999998</v>
      </c>
      <c r="S371" s="51"/>
      <c r="T371" s="51">
        <v>7.8336800000000002</v>
      </c>
      <c r="U371" s="51">
        <v>17.681000000000001</v>
      </c>
      <c r="V371" s="51" t="e">
        <v>#VALUE!</v>
      </c>
      <c r="W371" s="51" t="e">
        <v>#VALUE!</v>
      </c>
      <c r="X371" s="51" t="s">
        <v>264</v>
      </c>
      <c r="Y371" s="51" t="e">
        <v>#VALUE!</v>
      </c>
      <c r="Z371" s="51">
        <v>121.568</v>
      </c>
      <c r="AA371" s="51">
        <v>113.553</v>
      </c>
      <c r="AB371" s="51">
        <v>8.0150000000000006</v>
      </c>
      <c r="AC371" s="51" t="s">
        <v>264</v>
      </c>
      <c r="AD371" s="51">
        <v>69.764099999999999</v>
      </c>
      <c r="AE371" s="51">
        <v>71.741</v>
      </c>
      <c r="AF371" s="51">
        <v>189.672</v>
      </c>
      <c r="AG371" s="51">
        <v>142.91499999999999</v>
      </c>
      <c r="AH371" s="51">
        <v>46.756999999999998</v>
      </c>
      <c r="AI371" s="51">
        <v>214.69300000000001</v>
      </c>
      <c r="AJ371" s="9">
        <v>211.69300000000001</v>
      </c>
      <c r="AK371" s="22">
        <v>3</v>
      </c>
      <c r="AL371" s="51">
        <v>121.009</v>
      </c>
      <c r="AM371" s="51">
        <v>94.337000000000003</v>
      </c>
      <c r="AN371" s="51">
        <v>26.672000000000001</v>
      </c>
      <c r="AO371" s="51">
        <v>2839.7876400000005</v>
      </c>
      <c r="AP371" s="51">
        <v>307.60300000000001</v>
      </c>
      <c r="AQ371" s="51">
        <v>216.92932000000002</v>
      </c>
      <c r="AR371" s="51">
        <v>36.012999999999998</v>
      </c>
      <c r="AS371" s="51">
        <v>59.8598</v>
      </c>
      <c r="AT371" s="51">
        <v>81.834999999999994</v>
      </c>
      <c r="AU371" s="51">
        <v>44.958599999999997</v>
      </c>
      <c r="AV371" s="51">
        <v>40.475000000000001</v>
      </c>
      <c r="AW371" s="51">
        <v>5.2094799999999992</v>
      </c>
      <c r="AX371" s="51" t="s">
        <v>264</v>
      </c>
      <c r="AY371" s="51" t="s">
        <v>264</v>
      </c>
      <c r="AZ371" s="51" t="s">
        <v>264</v>
      </c>
      <c r="BA371" s="51" t="s">
        <v>264</v>
      </c>
      <c r="BB371" s="51" t="s">
        <v>264</v>
      </c>
      <c r="BC371" s="55"/>
      <c r="BD371" s="53">
        <v>156.59376</v>
      </c>
      <c r="BE371" s="53">
        <v>31.89</v>
      </c>
      <c r="BF371" s="53">
        <v>66.110740000000007</v>
      </c>
      <c r="BG371" s="53">
        <v>8.9149999999999991</v>
      </c>
      <c r="BH371" s="53">
        <v>281.19918000000001</v>
      </c>
      <c r="BI371" s="53">
        <v>132.54561999999999</v>
      </c>
      <c r="BJ371" s="53">
        <v>108.15302</v>
      </c>
      <c r="BK371" s="53">
        <v>240.69863999999998</v>
      </c>
      <c r="BL371" s="55"/>
      <c r="BM371" s="53">
        <v>521.89782000000002</v>
      </c>
      <c r="BN371" s="53">
        <v>167.19499999999999</v>
      </c>
      <c r="BO371" s="53">
        <v>161.143</v>
      </c>
      <c r="BP371" s="53">
        <v>78.218999999999994</v>
      </c>
      <c r="BQ371" s="53">
        <v>239.36199999999999</v>
      </c>
      <c r="BR371" s="55"/>
      <c r="BS371" s="53">
        <v>406.55700000000002</v>
      </c>
      <c r="BT371" s="53">
        <v>24.189679999999999</v>
      </c>
      <c r="BU371" s="53">
        <v>28.452000000000002</v>
      </c>
      <c r="BV371" s="51" t="s">
        <v>264</v>
      </c>
      <c r="BW371" s="51" t="s">
        <v>264</v>
      </c>
      <c r="BX371" s="51">
        <v>411.78828000000004</v>
      </c>
      <c r="BY371" s="51" t="s">
        <v>264</v>
      </c>
      <c r="BZ371" s="51" t="s">
        <v>264</v>
      </c>
      <c r="CA371" s="51">
        <v>62.085000000000001</v>
      </c>
      <c r="CB371" s="53">
        <v>124.04114</v>
      </c>
      <c r="CC371" s="53">
        <v>27.254000000000001</v>
      </c>
      <c r="CD371" s="53">
        <v>130.73656</v>
      </c>
      <c r="CE371" s="53">
        <v>22.141999999999999</v>
      </c>
      <c r="CF371" s="53">
        <v>119.73164</v>
      </c>
      <c r="CG371" s="53">
        <v>112.593</v>
      </c>
      <c r="CH371" s="53">
        <v>5.4119999999999999</v>
      </c>
      <c r="CI371" s="53">
        <v>30.608799999999999</v>
      </c>
      <c r="CJ371" s="53" t="s">
        <v>265</v>
      </c>
      <c r="CK371" s="53">
        <v>137.73457999999999</v>
      </c>
      <c r="CL371" s="53">
        <v>23.257999999999999</v>
      </c>
      <c r="CM371" s="55"/>
      <c r="CN371" s="53">
        <v>72.210999999999999</v>
      </c>
      <c r="CO371" s="53">
        <v>172.52300000000002</v>
      </c>
      <c r="CP371" s="53">
        <v>138.09700000000001</v>
      </c>
      <c r="CQ371" s="53">
        <v>34.426000000000002</v>
      </c>
      <c r="CR371" s="53" t="s">
        <v>264</v>
      </c>
      <c r="CS371" s="53">
        <v>39.198999999999998</v>
      </c>
      <c r="CT371" s="53" t="s">
        <v>265</v>
      </c>
      <c r="CU371" s="53" t="s">
        <v>265</v>
      </c>
      <c r="CV371" s="53">
        <v>223.17</v>
      </c>
      <c r="CW371" s="53" t="s">
        <v>265</v>
      </c>
      <c r="CX371" s="53" t="s">
        <v>265</v>
      </c>
      <c r="CY371" s="53" t="s">
        <v>265</v>
      </c>
      <c r="CZ371" s="53">
        <v>43.243000000000002</v>
      </c>
      <c r="DA371" s="53">
        <v>34.008000000000003</v>
      </c>
      <c r="DB371" s="53" t="s">
        <v>265</v>
      </c>
      <c r="DC371" s="53" t="s">
        <v>265</v>
      </c>
      <c r="DD371" s="55"/>
      <c r="DE371" s="55"/>
      <c r="DF371" s="55"/>
      <c r="DG371" s="55"/>
      <c r="DH371" s="55"/>
      <c r="DI371" s="53">
        <v>470.50299999999999</v>
      </c>
      <c r="DJ371" s="53">
        <v>496.84096</v>
      </c>
      <c r="DK371" s="53">
        <v>899.52</v>
      </c>
      <c r="DL371" s="55"/>
      <c r="DM371" s="53">
        <v>414.70800000000003</v>
      </c>
      <c r="DN371" s="55"/>
      <c r="DO371" s="53">
        <v>173.52699999999999</v>
      </c>
      <c r="DP371" s="53">
        <v>221.197</v>
      </c>
      <c r="DQ371" s="55"/>
      <c r="DR371" s="55"/>
      <c r="DS371" s="53">
        <v>1208.0027999999993</v>
      </c>
      <c r="DT371" s="53">
        <v>3884.2987599999997</v>
      </c>
      <c r="DU371" s="53">
        <v>0</v>
      </c>
      <c r="DV371" s="53">
        <v>0</v>
      </c>
      <c r="DW371" s="55"/>
      <c r="DX371" s="55"/>
      <c r="DY371" s="53"/>
      <c r="DZ371" s="53"/>
      <c r="EA371" s="53">
        <v>232.804</v>
      </c>
      <c r="EB371" s="53">
        <v>225.02099999999999</v>
      </c>
      <c r="EC371" s="53">
        <v>410.94499999999999</v>
      </c>
      <c r="ED371" s="53"/>
      <c r="EE371" s="53">
        <v>162.66300000000001</v>
      </c>
      <c r="EF371" s="53"/>
      <c r="EG371" s="53">
        <v>120.955</v>
      </c>
      <c r="EH371" s="53">
        <v>115.699</v>
      </c>
      <c r="EI371" s="55"/>
      <c r="EJ371" s="55"/>
      <c r="EK371" s="53">
        <v>711.76800000000003</v>
      </c>
      <c r="EL371" s="53">
        <v>1979.855</v>
      </c>
      <c r="EM371" s="55"/>
      <c r="EN371" s="55"/>
      <c r="EO371" s="53"/>
      <c r="EP371" s="53"/>
      <c r="EQ371" s="53">
        <v>175.85599999999999</v>
      </c>
      <c r="ER371" s="53">
        <v>183.54859999999999</v>
      </c>
      <c r="ES371" s="53">
        <v>334.87299999999999</v>
      </c>
      <c r="ET371" s="53"/>
      <c r="EU371" s="53">
        <v>158.291</v>
      </c>
      <c r="EV371" s="53"/>
      <c r="EW371" s="53">
        <v>63.402999999999999</v>
      </c>
      <c r="EX371" s="53">
        <v>80.841999999999999</v>
      </c>
      <c r="EY371" s="55"/>
      <c r="EZ371" s="55"/>
      <c r="FA371" s="53">
        <v>445.42529999999977</v>
      </c>
      <c r="FB371" s="53">
        <v>1442.2388999999998</v>
      </c>
      <c r="FC371" s="55"/>
      <c r="FD371" s="55"/>
      <c r="FE371" s="53"/>
      <c r="FF371" s="53"/>
      <c r="FG371" s="53">
        <v>373.41199999999998</v>
      </c>
      <c r="FH371" s="53">
        <v>400.89635999999996</v>
      </c>
      <c r="FI371" s="53">
        <v>701.95699999999999</v>
      </c>
      <c r="FJ371" s="53"/>
      <c r="FK371" s="53">
        <v>322.40100000000001</v>
      </c>
      <c r="FL371" s="53"/>
      <c r="FM371" s="53">
        <v>137.59800000000001</v>
      </c>
      <c r="FN371" s="53">
        <v>177.76300000000001</v>
      </c>
      <c r="FO371" s="55"/>
      <c r="FP371" s="55"/>
      <c r="FQ371" s="53">
        <v>951.33360000000005</v>
      </c>
      <c r="FR371" s="53">
        <v>3065.3</v>
      </c>
      <c r="FS371" s="55"/>
      <c r="FT371" s="55"/>
      <c r="FU371" s="53"/>
      <c r="FV371" s="53"/>
      <c r="FW371" s="53">
        <v>405.55200000000002</v>
      </c>
      <c r="FX371" s="53">
        <v>158.20400000000001</v>
      </c>
      <c r="FY371" s="53">
        <v>275.47800000000001</v>
      </c>
      <c r="FZ371" s="53"/>
      <c r="GA371" s="53">
        <v>107.877</v>
      </c>
      <c r="GB371" s="53"/>
      <c r="GC371" s="53" t="s">
        <v>265</v>
      </c>
      <c r="GD371" s="53" t="s">
        <v>265</v>
      </c>
      <c r="GE371" s="55"/>
      <c r="GF371" s="55"/>
      <c r="GG371" s="53">
        <v>492.24</v>
      </c>
      <c r="GH371" s="53">
        <v>1566.79</v>
      </c>
      <c r="GI371" s="55"/>
      <c r="GJ371" s="55"/>
      <c r="GK371" s="53"/>
      <c r="GL371" s="53"/>
      <c r="GM371" s="53">
        <v>49.502000000000002</v>
      </c>
      <c r="GN371" s="53">
        <v>62.03</v>
      </c>
      <c r="GO371" s="53">
        <v>86.123999999999995</v>
      </c>
      <c r="GP371" s="53"/>
      <c r="GQ371" s="53">
        <v>22.931999999999999</v>
      </c>
      <c r="GR371" s="53"/>
      <c r="GS371" s="53">
        <v>6.8140000000000001</v>
      </c>
      <c r="GT371" s="53">
        <v>5.383</v>
      </c>
      <c r="GU371" s="55"/>
      <c r="GV371" s="55"/>
      <c r="GW371" s="53">
        <v>110.83099999999997</v>
      </c>
      <c r="GX371" s="53">
        <v>343.61599999999999</v>
      </c>
      <c r="GY371" s="19">
        <v>0.98292578890278959</v>
      </c>
      <c r="GZ371" s="53">
        <v>1134.4380000000001</v>
      </c>
      <c r="HA371" s="53">
        <v>1154.1441</v>
      </c>
      <c r="HB371" s="18">
        <v>-21.743203830000311</v>
      </c>
      <c r="HC371" s="18">
        <v>-90.99192139760089</v>
      </c>
      <c r="HD371" s="18">
        <v>1245.9377761699998</v>
      </c>
      <c r="HE371" s="18">
        <v>-51.119019999999864</v>
      </c>
      <c r="HF371" s="53">
        <v>1267.6809800000001</v>
      </c>
      <c r="HG371" s="53">
        <v>1140.6283000000001</v>
      </c>
      <c r="HH371" s="53">
        <v>290.24759999999998</v>
      </c>
      <c r="HI371" s="53" t="s">
        <v>265</v>
      </c>
      <c r="HJ371" s="53">
        <v>786.81290000000001</v>
      </c>
      <c r="HK371" s="53" t="s">
        <v>265</v>
      </c>
      <c r="HL371" s="53">
        <v>127.05268000000001</v>
      </c>
      <c r="HM371" s="53">
        <v>94.804000000000002</v>
      </c>
      <c r="HN371" s="53">
        <v>52.234999999999999</v>
      </c>
      <c r="HO371" s="53">
        <v>42.569000000000003</v>
      </c>
      <c r="HP371" s="55"/>
      <c r="HQ371" s="53" t="s">
        <v>267</v>
      </c>
      <c r="HR371" s="53" t="s">
        <v>267</v>
      </c>
      <c r="HS371" s="55"/>
      <c r="HT371" s="53">
        <v>17.303919999999998</v>
      </c>
      <c r="HU371" s="55"/>
      <c r="HV371" s="55"/>
      <c r="HW371" s="53">
        <v>294.19906000000003</v>
      </c>
      <c r="HX371" s="53" t="s">
        <v>266</v>
      </c>
      <c r="HY371" s="53">
        <v>294.19906000000003</v>
      </c>
      <c r="HZ371" s="53">
        <v>62.673999999999999</v>
      </c>
      <c r="IA371" s="53">
        <v>145.45406</v>
      </c>
      <c r="IB371" s="53">
        <v>31.27552</v>
      </c>
      <c r="IC371" s="53">
        <v>114.17854</v>
      </c>
      <c r="ID371" s="53">
        <v>70.261939999999996</v>
      </c>
      <c r="IE371" s="53">
        <v>43.916599999999995</v>
      </c>
      <c r="IF371" s="55"/>
      <c r="IG371" s="55"/>
      <c r="IH371" s="53">
        <v>52.519000000000005</v>
      </c>
      <c r="II371" s="21">
        <v>12.5</v>
      </c>
      <c r="IJ371" s="12">
        <v>26.664000000000005</v>
      </c>
      <c r="IK371" s="53">
        <v>13.355</v>
      </c>
      <c r="IL371" s="12">
        <v>33.552000000000021</v>
      </c>
      <c r="IM371" s="55"/>
      <c r="IN371" s="53">
        <v>39.526000000000003</v>
      </c>
      <c r="IO371" s="53">
        <v>39.545999999999999</v>
      </c>
      <c r="IP371" s="53" t="s">
        <v>265</v>
      </c>
      <c r="IQ371" s="18">
        <v>51.542000000000002</v>
      </c>
      <c r="IR371" s="53">
        <v>10.677</v>
      </c>
      <c r="IS371" s="55"/>
      <c r="IT371" s="53">
        <v>40.573300000000003</v>
      </c>
      <c r="IU371" s="53" t="s">
        <v>265</v>
      </c>
      <c r="IV371" s="53" t="s">
        <v>265</v>
      </c>
      <c r="IW371" s="53" t="s">
        <v>265</v>
      </c>
      <c r="IX371" s="53" t="s">
        <v>265</v>
      </c>
      <c r="IY371" s="48">
        <f t="shared" si="17"/>
        <v>47.21650648726105</v>
      </c>
      <c r="IZ371" s="48">
        <f>IY371-'NOPA Crush'!J371</f>
        <v>0.1865064872610489</v>
      </c>
      <c r="JB371" s="63">
        <f t="shared" si="15"/>
        <v>11.138990503397839</v>
      </c>
      <c r="JC371" s="64">
        <f>JB371-'NOPA Crush'!O371</f>
        <v>-6.1009496602160596E-2</v>
      </c>
      <c r="JD371" s="65"/>
      <c r="JE371" s="67">
        <f t="shared" si="16"/>
        <v>3597.482</v>
      </c>
      <c r="JF371" s="68">
        <f>'NOPA Crush'!Q371/'Census Crush'!JE371</f>
        <v>0.84394640473531202</v>
      </c>
    </row>
    <row r="372" spans="1:267">
      <c r="A372" s="39">
        <v>40360</v>
      </c>
      <c r="B372" s="51">
        <v>3880.9219399999997</v>
      </c>
      <c r="C372" s="51">
        <v>1906.47</v>
      </c>
      <c r="D372" s="51">
        <v>123.98310000000001</v>
      </c>
      <c r="E372" s="51">
        <v>341.601</v>
      </c>
      <c r="F372" s="51">
        <v>16.1248</v>
      </c>
      <c r="G372" s="51" t="s">
        <v>264</v>
      </c>
      <c r="H372" s="51" t="s">
        <v>264</v>
      </c>
      <c r="I372" s="51" t="s">
        <v>264</v>
      </c>
      <c r="J372" s="51" t="s">
        <v>264</v>
      </c>
      <c r="K372" s="51">
        <v>1440.45102</v>
      </c>
      <c r="L372" s="51">
        <v>3594.0680000000002</v>
      </c>
      <c r="M372" s="51">
        <v>3312.471</v>
      </c>
      <c r="N372" s="51">
        <v>281.59699999999998</v>
      </c>
      <c r="O372" s="53">
        <v>36.6008</v>
      </c>
      <c r="P372" s="51">
        <v>103.73</v>
      </c>
      <c r="Q372" s="51">
        <v>64.847999999999999</v>
      </c>
      <c r="R372" s="51">
        <v>38.881999999999998</v>
      </c>
      <c r="S372" s="51"/>
      <c r="T372" s="51">
        <v>12.3371</v>
      </c>
      <c r="U372" s="51">
        <v>21.658999999999999</v>
      </c>
      <c r="V372" s="51" t="e">
        <v>#VALUE!</v>
      </c>
      <c r="W372" s="51" t="e">
        <v>#VALUE!</v>
      </c>
      <c r="X372" s="51" t="s">
        <v>264</v>
      </c>
      <c r="Y372" s="51" t="e">
        <v>#VALUE!</v>
      </c>
      <c r="Z372" s="51">
        <v>110.21899999999999</v>
      </c>
      <c r="AA372" s="51">
        <v>106.32299999999999</v>
      </c>
      <c r="AB372" s="51">
        <v>3.8959999999999999</v>
      </c>
      <c r="AC372" s="51" t="s">
        <v>264</v>
      </c>
      <c r="AD372" s="51">
        <v>79.732500000000002</v>
      </c>
      <c r="AE372" s="51">
        <v>81.512799999999999</v>
      </c>
      <c r="AF372" s="51">
        <v>183.81200000000001</v>
      </c>
      <c r="AG372" s="51">
        <v>134.59700000000001</v>
      </c>
      <c r="AH372" s="51">
        <v>49.215000000000003</v>
      </c>
      <c r="AI372" s="51">
        <v>216.84700000000001</v>
      </c>
      <c r="AJ372" s="9">
        <v>213.84700000000001</v>
      </c>
      <c r="AK372" s="22">
        <v>3</v>
      </c>
      <c r="AL372" s="51">
        <v>122.16800000000001</v>
      </c>
      <c r="AM372" s="51">
        <v>93.998000000000005</v>
      </c>
      <c r="AN372" s="51">
        <v>28.17</v>
      </c>
      <c r="AO372" s="51">
        <v>2837.9371600000004</v>
      </c>
      <c r="AP372" s="51">
        <v>386.50200000000001</v>
      </c>
      <c r="AQ372" s="51">
        <v>218.17026000000001</v>
      </c>
      <c r="AR372" s="51">
        <v>38.512</v>
      </c>
      <c r="AS372" s="51">
        <v>52.9818</v>
      </c>
      <c r="AT372" s="51">
        <v>71.427000000000007</v>
      </c>
      <c r="AU372" s="51">
        <v>40.622999999999998</v>
      </c>
      <c r="AV372" s="51">
        <v>36.231000000000002</v>
      </c>
      <c r="AW372" s="51">
        <v>8.2445000000000004</v>
      </c>
      <c r="AX372" s="51" t="s">
        <v>264</v>
      </c>
      <c r="AY372" s="51" t="s">
        <v>264</v>
      </c>
      <c r="AZ372" s="51" t="s">
        <v>264</v>
      </c>
      <c r="BA372" s="51" t="s">
        <v>264</v>
      </c>
      <c r="BB372" s="51" t="s">
        <v>264</v>
      </c>
      <c r="BC372" s="55"/>
      <c r="BD372" s="53">
        <v>163.36082000000002</v>
      </c>
      <c r="BE372" s="53">
        <v>35.140999999999998</v>
      </c>
      <c r="BF372" s="53">
        <v>68.501679999999993</v>
      </c>
      <c r="BG372" s="53">
        <v>11.718</v>
      </c>
      <c r="BH372" s="53">
        <v>272.70191999999997</v>
      </c>
      <c r="BI372" s="53">
        <v>128.44968</v>
      </c>
      <c r="BJ372" s="53">
        <v>111.3717</v>
      </c>
      <c r="BK372" s="53">
        <v>239.82138</v>
      </c>
      <c r="BL372" s="55"/>
      <c r="BM372" s="53">
        <v>512.52329999999995</v>
      </c>
      <c r="BN372" s="53">
        <v>152.703</v>
      </c>
      <c r="BO372" s="53">
        <v>179.57900000000001</v>
      </c>
      <c r="BP372" s="53">
        <v>68.704999999999998</v>
      </c>
      <c r="BQ372" s="53">
        <v>248.28399999999999</v>
      </c>
      <c r="BR372" s="55"/>
      <c r="BS372" s="53">
        <v>400.98699999999997</v>
      </c>
      <c r="BT372" s="53">
        <v>22.455299999999998</v>
      </c>
      <c r="BU372" s="53">
        <v>26.201000000000001</v>
      </c>
      <c r="BV372" s="51" t="s">
        <v>264</v>
      </c>
      <c r="BW372" s="51" t="s">
        <v>264</v>
      </c>
      <c r="BX372" s="51">
        <v>404.98271999999997</v>
      </c>
      <c r="BY372" s="51" t="s">
        <v>264</v>
      </c>
      <c r="BZ372" s="51" t="s">
        <v>264</v>
      </c>
      <c r="CA372" s="51">
        <v>74.936999999999998</v>
      </c>
      <c r="CB372" s="53">
        <v>124.49252</v>
      </c>
      <c r="CC372" s="53">
        <v>23.119</v>
      </c>
      <c r="CD372" s="53">
        <v>126.83004</v>
      </c>
      <c r="CE372" s="53">
        <v>24.053999999999998</v>
      </c>
      <c r="CF372" s="53">
        <v>113.13489999999999</v>
      </c>
      <c r="CG372" s="53">
        <v>112.932</v>
      </c>
      <c r="CH372" s="53">
        <v>5.0910000000000002</v>
      </c>
      <c r="CI372" s="53">
        <v>33.221299999999999</v>
      </c>
      <c r="CJ372" s="53" t="s">
        <v>265</v>
      </c>
      <c r="CK372" s="53">
        <v>142.27411999999998</v>
      </c>
      <c r="CL372" s="53">
        <v>22.597000000000001</v>
      </c>
      <c r="CM372" s="55"/>
      <c r="CN372" s="53">
        <v>72.290999999999997</v>
      </c>
      <c r="CO372" s="53">
        <v>179.71300000000002</v>
      </c>
      <c r="CP372" s="53">
        <v>142.01400000000001</v>
      </c>
      <c r="CQ372" s="53">
        <v>37.698999999999998</v>
      </c>
      <c r="CR372" s="53" t="s">
        <v>264</v>
      </c>
      <c r="CS372" s="53">
        <v>40.405999999999999</v>
      </c>
      <c r="CT372" s="53">
        <v>31.192</v>
      </c>
      <c r="CU372" s="53">
        <v>9.2140000000000004</v>
      </c>
      <c r="CV372" s="53">
        <v>357.54599999999999</v>
      </c>
      <c r="CW372" s="53" t="s">
        <v>265</v>
      </c>
      <c r="CX372" s="53" t="s">
        <v>265</v>
      </c>
      <c r="CY372" s="53" t="s">
        <v>265</v>
      </c>
      <c r="CZ372" s="53">
        <v>75.78</v>
      </c>
      <c r="DA372" s="53">
        <v>22.417000000000002</v>
      </c>
      <c r="DB372" s="53" t="s">
        <v>265</v>
      </c>
      <c r="DC372" s="53" t="s">
        <v>265</v>
      </c>
      <c r="DD372" s="55"/>
      <c r="DE372" s="55"/>
      <c r="DF372" s="55"/>
      <c r="DG372" s="55"/>
      <c r="DH372" s="55"/>
      <c r="DI372" s="53">
        <v>547.91600000000005</v>
      </c>
      <c r="DJ372" s="53">
        <v>455.75190000000003</v>
      </c>
      <c r="DK372" s="53">
        <v>816.76800000000003</v>
      </c>
      <c r="DL372" s="55"/>
      <c r="DM372" s="53">
        <v>473.34300000000002</v>
      </c>
      <c r="DN372" s="55"/>
      <c r="DO372" s="53">
        <v>237</v>
      </c>
      <c r="DP372" s="53">
        <v>216.78</v>
      </c>
      <c r="DQ372" s="55"/>
      <c r="DR372" s="55"/>
      <c r="DS372" s="53">
        <v>1133.3490399999994</v>
      </c>
      <c r="DT372" s="53">
        <v>3880.9219399999997</v>
      </c>
      <c r="DU372" s="53">
        <v>-1.3999999999668944E-2</v>
      </c>
      <c r="DV372" s="53">
        <v>0</v>
      </c>
      <c r="DW372" s="55"/>
      <c r="DX372" s="55"/>
      <c r="DY372" s="53"/>
      <c r="DZ372" s="53"/>
      <c r="EA372" s="53">
        <v>270.92399999999998</v>
      </c>
      <c r="EB372" s="53">
        <v>253.983</v>
      </c>
      <c r="EC372" s="53">
        <v>443.76299999999998</v>
      </c>
      <c r="ED372" s="53"/>
      <c r="EE372" s="53">
        <v>139.82400000000001</v>
      </c>
      <c r="EF372" s="53"/>
      <c r="EG372" s="53">
        <v>118.816</v>
      </c>
      <c r="EH372" s="53">
        <v>88.897999999999996</v>
      </c>
      <c r="EI372" s="55"/>
      <c r="EJ372" s="55"/>
      <c r="EK372" s="53">
        <v>590.26200000000006</v>
      </c>
      <c r="EL372" s="53">
        <v>1906.47</v>
      </c>
      <c r="EM372" s="55"/>
      <c r="EN372" s="55"/>
      <c r="EO372" s="53"/>
      <c r="EP372" s="53"/>
      <c r="EQ372" s="53">
        <v>200.09700000000001</v>
      </c>
      <c r="ER372" s="53">
        <v>169.37610000000001</v>
      </c>
      <c r="ES372" s="53">
        <v>304.17</v>
      </c>
      <c r="ET372" s="53"/>
      <c r="EU372" s="53">
        <v>179.768</v>
      </c>
      <c r="EV372" s="53"/>
      <c r="EW372" s="18">
        <v>86.245000000000005</v>
      </c>
      <c r="EX372" s="18">
        <v>78.908000000000001</v>
      </c>
      <c r="EY372" s="55"/>
      <c r="EZ372" s="55"/>
      <c r="FA372" s="53">
        <v>421.88691999999992</v>
      </c>
      <c r="FB372" s="53">
        <v>1440.45102</v>
      </c>
      <c r="FC372" s="55"/>
      <c r="FD372" s="55"/>
      <c r="FE372" s="53"/>
      <c r="FF372" s="53"/>
      <c r="FG372" s="53">
        <v>428.30799999999999</v>
      </c>
      <c r="FH372" s="53">
        <v>363.32470000000001</v>
      </c>
      <c r="FI372" s="53">
        <v>637.39099999999996</v>
      </c>
      <c r="FJ372" s="53"/>
      <c r="FK372" s="53">
        <v>370.548</v>
      </c>
      <c r="FL372" s="53"/>
      <c r="FM372" s="18">
        <v>188.548</v>
      </c>
      <c r="FN372" s="18">
        <v>173.00399999999999</v>
      </c>
      <c r="FO372" s="55"/>
      <c r="FP372" s="55"/>
      <c r="FQ372" s="53">
        <v>902.40071999999952</v>
      </c>
      <c r="FR372" s="53">
        <v>3063.5244199999997</v>
      </c>
      <c r="FS372" s="55"/>
      <c r="FT372" s="55"/>
      <c r="FU372" s="53"/>
      <c r="FV372" s="53"/>
      <c r="FW372" s="53">
        <v>407.64600000000002</v>
      </c>
      <c r="FX372" s="53">
        <v>144.39400000000001</v>
      </c>
      <c r="FY372" s="53">
        <v>306.73500000000001</v>
      </c>
      <c r="FZ372" s="53"/>
      <c r="GA372" s="53">
        <v>123.16200000000001</v>
      </c>
      <c r="GB372" s="53"/>
      <c r="GC372" s="53" t="s">
        <v>265</v>
      </c>
      <c r="GD372" s="53" t="s">
        <v>265</v>
      </c>
      <c r="GE372" s="55"/>
      <c r="GF372" s="55"/>
      <c r="GG372" s="53">
        <v>502.09400000000011</v>
      </c>
      <c r="GH372" s="53">
        <v>1621.8710000000001</v>
      </c>
      <c r="GI372" s="55"/>
      <c r="GJ372" s="55"/>
      <c r="GK372" s="53"/>
      <c r="GL372" s="53"/>
      <c r="GM372" s="53">
        <v>65.885999999999996</v>
      </c>
      <c r="GN372" s="53">
        <v>46.831000000000003</v>
      </c>
      <c r="GO372" s="53">
        <v>134.41</v>
      </c>
      <c r="GP372" s="53"/>
      <c r="GQ372" s="53">
        <v>36.47</v>
      </c>
      <c r="GR372" s="53"/>
      <c r="GS372" s="53">
        <v>12.164999999999999</v>
      </c>
      <c r="GT372" s="53">
        <v>6.1879999999999997</v>
      </c>
      <c r="GU372" s="55"/>
      <c r="GV372" s="55"/>
      <c r="GW372" s="53">
        <v>123.06400000000004</v>
      </c>
      <c r="GX372" s="53">
        <v>425.01400000000001</v>
      </c>
      <c r="GY372" s="19">
        <v>0.98296057552873395</v>
      </c>
      <c r="GZ372" s="53">
        <v>1173.8180199999999</v>
      </c>
      <c r="HA372" s="53">
        <v>1194.1659199999999</v>
      </c>
      <c r="HB372" s="18">
        <v>3.3221851298005731</v>
      </c>
      <c r="HC372" s="18">
        <v>-30.564628513399384</v>
      </c>
      <c r="HD372" s="18">
        <v>1275.5110451298006</v>
      </c>
      <c r="HE372" s="18">
        <v>-122.51114000000007</v>
      </c>
      <c r="HF372" s="53">
        <v>1272.18886</v>
      </c>
      <c r="HG372" s="53">
        <v>1140.2533599999999</v>
      </c>
      <c r="HH372" s="53">
        <v>291.12630000000001</v>
      </c>
      <c r="HI372" s="53" t="s">
        <v>265</v>
      </c>
      <c r="HJ372" s="53">
        <v>792.82011999999997</v>
      </c>
      <c r="HK372" s="53" t="s">
        <v>265</v>
      </c>
      <c r="HL372" s="53">
        <v>131.93549999999999</v>
      </c>
      <c r="HM372" s="53">
        <v>103.575</v>
      </c>
      <c r="HN372" s="53">
        <v>48.776000000000003</v>
      </c>
      <c r="HO372" s="53">
        <v>54.798999999999999</v>
      </c>
      <c r="HP372" s="55"/>
      <c r="HQ372" s="53" t="s">
        <v>267</v>
      </c>
      <c r="HR372" s="53" t="s">
        <v>267</v>
      </c>
      <c r="HS372" s="55"/>
      <c r="HT372" s="53">
        <v>16.3263</v>
      </c>
      <c r="HU372" s="55"/>
      <c r="HV372" s="55"/>
      <c r="HW372" s="53">
        <v>301.50504000000001</v>
      </c>
      <c r="HX372" s="53" t="s">
        <v>266</v>
      </c>
      <c r="HY372" s="53">
        <v>301.50504000000001</v>
      </c>
      <c r="HZ372" s="53">
        <v>66.799000000000007</v>
      </c>
      <c r="IA372" s="53">
        <v>147.92203999999998</v>
      </c>
      <c r="IB372" s="53">
        <v>30.186439999999997</v>
      </c>
      <c r="IC372" s="53">
        <v>117.73559999999999</v>
      </c>
      <c r="ID372" s="53">
        <v>67.309699999999992</v>
      </c>
      <c r="IE372" s="53">
        <v>50.425899999999999</v>
      </c>
      <c r="IF372" s="55"/>
      <c r="IG372" s="55"/>
      <c r="IH372" s="53">
        <v>56.765000000000001</v>
      </c>
      <c r="II372" s="21">
        <v>8.0750000000000028</v>
      </c>
      <c r="IJ372" s="53">
        <v>38.69</v>
      </c>
      <c r="IK372" s="21">
        <v>10</v>
      </c>
      <c r="IL372" s="12">
        <v>30.01900000000002</v>
      </c>
      <c r="IM372" s="55"/>
      <c r="IN372" s="53" t="s">
        <v>265</v>
      </c>
      <c r="IO372" s="53" t="s">
        <v>265</v>
      </c>
      <c r="IP372" s="53" t="s">
        <v>265</v>
      </c>
      <c r="IQ372" s="18">
        <v>56.744999999999997</v>
      </c>
      <c r="IR372" s="53">
        <v>9.7217000000000002</v>
      </c>
      <c r="IS372" s="55"/>
      <c r="IT372" s="53">
        <v>47.029600000000002</v>
      </c>
      <c r="IU372" s="53" t="s">
        <v>265</v>
      </c>
      <c r="IV372" s="53" t="s">
        <v>265</v>
      </c>
      <c r="IW372" s="53" t="s">
        <v>265</v>
      </c>
      <c r="IX372" s="53" t="s">
        <v>265</v>
      </c>
      <c r="IY372" s="48">
        <f t="shared" si="17"/>
        <v>47.248166295248915</v>
      </c>
      <c r="IZ372" s="48">
        <f>IY372-'NOPA Crush'!J372</f>
        <v>4.8166295248911695E-2</v>
      </c>
      <c r="JB372" s="63">
        <f t="shared" si="15"/>
        <v>11.134862094134263</v>
      </c>
      <c r="JC372" s="64">
        <f>JB372-'NOPA Crush'!O372</f>
        <v>-6.5137905865736201E-2</v>
      </c>
      <c r="JD372" s="65"/>
      <c r="JE372" s="67">
        <f t="shared" si="16"/>
        <v>3594.0680000000002</v>
      </c>
      <c r="JF372" s="68">
        <f>'NOPA Crush'!Q372/'Census Crush'!JE372</f>
        <v>0.84199742464527649</v>
      </c>
    </row>
    <row r="373" spans="1:267">
      <c r="A373" s="39">
        <v>40391</v>
      </c>
      <c r="B373" s="51">
        <v>3843.1950000000002</v>
      </c>
      <c r="C373" s="51">
        <v>1245.182</v>
      </c>
      <c r="D373" s="51">
        <v>151.03764000000001</v>
      </c>
      <c r="E373" s="51">
        <v>229.14500000000001</v>
      </c>
      <c r="F373" s="51">
        <v>17.280999999999999</v>
      </c>
      <c r="G373" s="51" t="s">
        <v>264</v>
      </c>
      <c r="H373" s="51" t="s">
        <v>264</v>
      </c>
      <c r="I373" s="51" t="s">
        <v>264</v>
      </c>
      <c r="J373" s="51" t="s">
        <v>264</v>
      </c>
      <c r="K373" s="51">
        <v>1418.4478000000001</v>
      </c>
      <c r="L373" s="51">
        <v>3337.84</v>
      </c>
      <c r="M373" s="51">
        <v>3081.4250000000002</v>
      </c>
      <c r="N373" s="51">
        <v>256.41500000000002</v>
      </c>
      <c r="O373" s="53">
        <v>47.954039999999999</v>
      </c>
      <c r="P373" s="51">
        <v>86.091999999999999</v>
      </c>
      <c r="Q373" s="51">
        <v>49.418999999999997</v>
      </c>
      <c r="R373" s="51">
        <v>36.673000000000002</v>
      </c>
      <c r="S373" s="51"/>
      <c r="T373" s="51">
        <v>12.791399999999999</v>
      </c>
      <c r="U373" s="51">
        <v>17.401</v>
      </c>
      <c r="V373" s="51" t="e">
        <v>#VALUE!</v>
      </c>
      <c r="W373" s="51" t="e">
        <v>#VALUE!</v>
      </c>
      <c r="X373" s="51" t="s">
        <v>264</v>
      </c>
      <c r="Y373" s="51" t="e">
        <v>#VALUE!</v>
      </c>
      <c r="Z373" s="51">
        <v>70.384</v>
      </c>
      <c r="AA373" s="51">
        <v>66.891999999999996</v>
      </c>
      <c r="AB373" s="51">
        <v>3.492</v>
      </c>
      <c r="AC373" s="51" t="s">
        <v>264</v>
      </c>
      <c r="AD373" s="51">
        <v>102.87468</v>
      </c>
      <c r="AE373" s="51">
        <v>105.14868</v>
      </c>
      <c r="AF373" s="51">
        <v>190.58299999999997</v>
      </c>
      <c r="AG373" s="51">
        <v>137.75899999999999</v>
      </c>
      <c r="AH373" s="51">
        <v>52.823999999999998</v>
      </c>
      <c r="AI373" s="51">
        <v>213.55799999999999</v>
      </c>
      <c r="AJ373" s="9">
        <v>210.55799999999999</v>
      </c>
      <c r="AK373" s="22">
        <v>3</v>
      </c>
      <c r="AL373" s="51">
        <v>146.136</v>
      </c>
      <c r="AM373" s="51">
        <v>104.589</v>
      </c>
      <c r="AN373" s="51">
        <v>41.546999999999997</v>
      </c>
      <c r="AO373" s="51">
        <v>2806.1809000000003</v>
      </c>
      <c r="AP373" s="51">
        <v>241.28800000000001</v>
      </c>
      <c r="AQ373" s="51">
        <v>224.40899999999999</v>
      </c>
      <c r="AR373" s="51">
        <v>31.224</v>
      </c>
      <c r="AS373" s="51">
        <v>63.169879999999999</v>
      </c>
      <c r="AT373" s="51">
        <v>61.05</v>
      </c>
      <c r="AU373" s="51">
        <v>51.033999999999999</v>
      </c>
      <c r="AV373" s="51">
        <v>37.167999999999999</v>
      </c>
      <c r="AW373" s="51">
        <v>8.82</v>
      </c>
      <c r="AX373" s="51" t="s">
        <v>264</v>
      </c>
      <c r="AY373" s="51" t="s">
        <v>264</v>
      </c>
      <c r="AZ373" s="51" t="s">
        <v>264</v>
      </c>
      <c r="BA373" s="51" t="s">
        <v>264</v>
      </c>
      <c r="BB373" s="51" t="s">
        <v>264</v>
      </c>
      <c r="BC373" s="55"/>
      <c r="BD373" s="53">
        <v>169.0205</v>
      </c>
      <c r="BE373" s="53">
        <v>30.698</v>
      </c>
      <c r="BF373" s="53">
        <v>65.526399999999995</v>
      </c>
      <c r="BG373" s="53">
        <v>10.833</v>
      </c>
      <c r="BH373" s="53">
        <v>272.22626000000002</v>
      </c>
      <c r="BI373" s="53">
        <v>111.53128</v>
      </c>
      <c r="BJ373" s="53">
        <v>115.26674</v>
      </c>
      <c r="BK373" s="53">
        <v>226.79802000000001</v>
      </c>
      <c r="BL373" s="55"/>
      <c r="BM373" s="53">
        <v>499.02428000000003</v>
      </c>
      <c r="BN373" s="53">
        <v>172.85900000000001</v>
      </c>
      <c r="BO373" s="53">
        <v>105.994</v>
      </c>
      <c r="BP373" s="53">
        <v>76.063000000000002</v>
      </c>
      <c r="BQ373" s="53">
        <v>182.05700000000002</v>
      </c>
      <c r="BR373" s="55"/>
      <c r="BS373" s="53">
        <v>354.91600000000005</v>
      </c>
      <c r="BT373" s="53">
        <v>21.2027</v>
      </c>
      <c r="BU373" s="53">
        <v>22.178000000000001</v>
      </c>
      <c r="BV373" s="51" t="s">
        <v>264</v>
      </c>
      <c r="BW373" s="51" t="s">
        <v>264</v>
      </c>
      <c r="BX373" s="51">
        <v>418.39765999999997</v>
      </c>
      <c r="BY373" s="51" t="s">
        <v>264</v>
      </c>
      <c r="BZ373" s="51" t="s">
        <v>264</v>
      </c>
      <c r="CA373" s="51">
        <v>74.619</v>
      </c>
      <c r="CB373" s="53">
        <v>127.30052000000001</v>
      </c>
      <c r="CC373" s="53">
        <v>24.045999999999999</v>
      </c>
      <c r="CD373" s="53">
        <v>131.84546</v>
      </c>
      <c r="CE373" s="53">
        <v>24.158999999999999</v>
      </c>
      <c r="CF373" s="53">
        <v>107.24769999999999</v>
      </c>
      <c r="CG373" s="53">
        <v>102.63</v>
      </c>
      <c r="CH373" s="53">
        <v>6.58</v>
      </c>
      <c r="CI373" s="53">
        <v>33.055999999999997</v>
      </c>
      <c r="CJ373" s="53">
        <v>5.3</v>
      </c>
      <c r="CK373" s="53">
        <v>136.40621999999999</v>
      </c>
      <c r="CL373" s="53">
        <v>23.779</v>
      </c>
      <c r="CM373" s="55"/>
      <c r="CN373" s="53">
        <v>75.566100000000006</v>
      </c>
      <c r="CO373" s="53">
        <v>197.44200000000001</v>
      </c>
      <c r="CP373" s="53">
        <v>156.59200000000001</v>
      </c>
      <c r="CQ373" s="53">
        <v>40.85</v>
      </c>
      <c r="CR373" s="53" t="s">
        <v>264</v>
      </c>
      <c r="CS373" s="53">
        <v>44.734999999999999</v>
      </c>
      <c r="CT373" s="53">
        <v>34.287999999999997</v>
      </c>
      <c r="CU373" s="53">
        <v>10.446999999999999</v>
      </c>
      <c r="CV373" s="53">
        <v>382.71799999999996</v>
      </c>
      <c r="CW373" s="53" t="s">
        <v>265</v>
      </c>
      <c r="CX373" s="53" t="s">
        <v>265</v>
      </c>
      <c r="CY373" s="53" t="s">
        <v>265</v>
      </c>
      <c r="CZ373" s="53">
        <v>74.284999999999997</v>
      </c>
      <c r="DA373" s="53">
        <v>17.651</v>
      </c>
      <c r="DB373" s="53" t="s">
        <v>265</v>
      </c>
      <c r="DC373" s="53" t="s">
        <v>265</v>
      </c>
      <c r="DD373" s="55"/>
      <c r="DE373" s="55"/>
      <c r="DF373" s="55"/>
      <c r="DG373" s="55"/>
      <c r="DH373" s="55"/>
      <c r="DI373" s="53">
        <v>547.49900000000002</v>
      </c>
      <c r="DJ373" s="53">
        <v>450.7414</v>
      </c>
      <c r="DK373" s="53">
        <v>868.46699999999998</v>
      </c>
      <c r="DL373" s="55"/>
      <c r="DM373" s="53">
        <v>476.32100000000003</v>
      </c>
      <c r="DN373" s="55"/>
      <c r="DO373" s="53" t="s">
        <v>265</v>
      </c>
      <c r="DP373" s="53" t="s">
        <v>265</v>
      </c>
      <c r="DQ373" s="55"/>
      <c r="DR373" s="55"/>
      <c r="DS373" s="53">
        <v>1087.0675999999999</v>
      </c>
      <c r="DT373" s="53">
        <v>3843.1950000000002</v>
      </c>
      <c r="DU373" s="53">
        <v>-413.09900000000016</v>
      </c>
      <c r="DV373" s="53">
        <v>0</v>
      </c>
      <c r="DW373" s="55"/>
      <c r="DX373" s="55"/>
      <c r="DY373" s="53"/>
      <c r="DZ373" s="53"/>
      <c r="EA373" s="53">
        <v>170.97800000000001</v>
      </c>
      <c r="EB373" s="53">
        <v>157.97200000000001</v>
      </c>
      <c r="EC373" s="53">
        <v>312.65100000000001</v>
      </c>
      <c r="ED373" s="53"/>
      <c r="EE373" s="53">
        <v>90.393000000000001</v>
      </c>
      <c r="EF373" s="53"/>
      <c r="EG373" s="53" t="s">
        <v>265</v>
      </c>
      <c r="EH373" s="53" t="s">
        <v>265</v>
      </c>
      <c r="EI373" s="55"/>
      <c r="EJ373" s="55"/>
      <c r="EK373" s="53">
        <v>396.98099999999988</v>
      </c>
      <c r="EL373" s="53">
        <v>1245.182</v>
      </c>
      <c r="EM373" s="55"/>
      <c r="EN373" s="55"/>
      <c r="EO373" s="53"/>
      <c r="EP373" s="53"/>
      <c r="EQ373" s="53">
        <v>199.54499999999999</v>
      </c>
      <c r="ER373" s="53">
        <v>166.23740000000001</v>
      </c>
      <c r="ES373" s="53">
        <v>313.27800000000002</v>
      </c>
      <c r="ET373" s="53"/>
      <c r="EU373" s="53">
        <v>181.57300000000001</v>
      </c>
      <c r="EV373" s="53"/>
      <c r="EW373" s="53" t="s">
        <v>265</v>
      </c>
      <c r="EX373" s="53" t="s">
        <v>265</v>
      </c>
      <c r="EY373" s="55"/>
      <c r="EZ373" s="55"/>
      <c r="FA373" s="53">
        <v>406.27740000000006</v>
      </c>
      <c r="FB373" s="53">
        <v>1418.4478000000001</v>
      </c>
      <c r="FC373" s="55"/>
      <c r="FD373" s="55"/>
      <c r="FE373" s="53"/>
      <c r="FF373" s="53"/>
      <c r="FG373" s="53">
        <v>433.42200000000003</v>
      </c>
      <c r="FH373" s="53">
        <v>360.85490000000004</v>
      </c>
      <c r="FI373" s="53">
        <v>679.98299999999995</v>
      </c>
      <c r="FJ373" s="53"/>
      <c r="FK373" s="53">
        <v>370.71699999999998</v>
      </c>
      <c r="FL373" s="53"/>
      <c r="FM373" s="53" t="s">
        <v>265</v>
      </c>
      <c r="FN373" s="53" t="s">
        <v>265</v>
      </c>
      <c r="FO373" s="55"/>
      <c r="FP373" s="55"/>
      <c r="FQ373" s="53">
        <v>865.0590000000002</v>
      </c>
      <c r="FR373" s="53">
        <v>3037.9288999999999</v>
      </c>
      <c r="FS373" s="55"/>
      <c r="FT373" s="55"/>
      <c r="FU373" s="53"/>
      <c r="FV373" s="53"/>
      <c r="FW373" s="53">
        <v>347.55</v>
      </c>
      <c r="FX373" s="53">
        <v>145.40199999999999</v>
      </c>
      <c r="FY373" s="53">
        <v>308.26499999999999</v>
      </c>
      <c r="FZ373" s="53"/>
      <c r="GA373" s="53">
        <v>111.711</v>
      </c>
      <c r="GB373" s="53"/>
      <c r="GC373" s="53" t="s">
        <v>265</v>
      </c>
      <c r="GD373" s="53" t="s">
        <v>265</v>
      </c>
      <c r="GE373" s="55"/>
      <c r="GF373" s="55"/>
      <c r="GG373" s="53">
        <v>474.04199999999997</v>
      </c>
      <c r="GH373" s="53">
        <v>1514.944</v>
      </c>
      <c r="GI373" s="55"/>
      <c r="GJ373" s="55"/>
      <c r="GK373" s="53"/>
      <c r="GL373" s="53"/>
      <c r="GM373" s="53">
        <v>53.39</v>
      </c>
      <c r="GN373" s="53">
        <v>24.225000000000001</v>
      </c>
      <c r="GO373" s="53">
        <v>63.363999999999997</v>
      </c>
      <c r="GP373" s="53"/>
      <c r="GQ373" s="53">
        <v>23.372</v>
      </c>
      <c r="GR373" s="53"/>
      <c r="GS373" s="53">
        <v>8.3290000000000006</v>
      </c>
      <c r="GT373" s="53">
        <v>4.8070000000000004</v>
      </c>
      <c r="GU373" s="55"/>
      <c r="GV373" s="55"/>
      <c r="GW373" s="53">
        <v>95.025000000000006</v>
      </c>
      <c r="GX373" s="53">
        <v>272.512</v>
      </c>
      <c r="GY373" s="19">
        <v>0.97709645519937194</v>
      </c>
      <c r="GZ373" s="53">
        <v>1169.9878999999999</v>
      </c>
      <c r="HA373" s="53">
        <v>1197.4128999999998</v>
      </c>
      <c r="HB373" s="18">
        <v>9.1100664683995092</v>
      </c>
      <c r="HC373" s="18">
        <v>-71.497577816599915</v>
      </c>
      <c r="HD373" s="18">
        <v>1314.5556464683996</v>
      </c>
      <c r="HE373" s="18">
        <v>-107.45442000000003</v>
      </c>
      <c r="HF373" s="53">
        <v>1305.4455800000001</v>
      </c>
      <c r="HG373" s="53">
        <v>1178.45598</v>
      </c>
      <c r="HH373" s="53">
        <v>317.98023999999998</v>
      </c>
      <c r="HI373" s="53" t="s">
        <v>265</v>
      </c>
      <c r="HJ373" s="53">
        <v>796.90069999999992</v>
      </c>
      <c r="HK373" s="53" t="s">
        <v>265</v>
      </c>
      <c r="HL373" s="53">
        <v>126.9896</v>
      </c>
      <c r="HM373" s="53">
        <v>95.754999999999995</v>
      </c>
      <c r="HN373" s="53">
        <v>41.191000000000003</v>
      </c>
      <c r="HO373" s="53">
        <v>54.564</v>
      </c>
      <c r="HP373" s="55"/>
      <c r="HQ373" s="53" t="s">
        <v>267</v>
      </c>
      <c r="HR373" s="53" t="s">
        <v>267</v>
      </c>
      <c r="HS373" s="55"/>
      <c r="HT373" s="53">
        <v>17.168599999999998</v>
      </c>
      <c r="HU373" s="55"/>
      <c r="HV373" s="55"/>
      <c r="HW373" s="53">
        <v>269.66984000000002</v>
      </c>
      <c r="HX373" s="53" t="s">
        <v>266</v>
      </c>
      <c r="HY373" s="53">
        <v>269.66984000000002</v>
      </c>
      <c r="HZ373" s="53">
        <v>62.734000000000002</v>
      </c>
      <c r="IA373" s="53">
        <v>135.72984</v>
      </c>
      <c r="IB373" s="53">
        <v>22.221700000000002</v>
      </c>
      <c r="IC373" s="53">
        <v>113.50814</v>
      </c>
      <c r="ID373" s="53">
        <v>70.123419999999996</v>
      </c>
      <c r="IE373" s="53">
        <v>43.384720000000002</v>
      </c>
      <c r="IF373" s="55"/>
      <c r="IG373" s="55"/>
      <c r="IH373" s="53">
        <v>42.377000000000002</v>
      </c>
      <c r="II373" s="21">
        <v>10.152000000000001</v>
      </c>
      <c r="IJ373" s="53">
        <v>24.725000000000001</v>
      </c>
      <c r="IK373" s="21">
        <v>7.5</v>
      </c>
      <c r="IL373" s="12">
        <v>28.829000000000015</v>
      </c>
      <c r="IM373" s="55"/>
      <c r="IN373" s="53">
        <v>45.62</v>
      </c>
      <c r="IO373" s="53">
        <v>45.640999999999998</v>
      </c>
      <c r="IP373" s="53" t="s">
        <v>265</v>
      </c>
      <c r="IQ373" s="18">
        <v>61.421999999999997</v>
      </c>
      <c r="IR373" s="53">
        <v>12.43544</v>
      </c>
      <c r="IS373" s="55"/>
      <c r="IT373" s="53">
        <v>48.295000000000002</v>
      </c>
      <c r="IU373" s="53" t="s">
        <v>265</v>
      </c>
      <c r="IV373" s="53" t="s">
        <v>265</v>
      </c>
      <c r="IW373" s="18">
        <v>0</v>
      </c>
      <c r="IX373" s="53" t="s">
        <v>265</v>
      </c>
      <c r="IY373" s="48">
        <f t="shared" si="17"/>
        <v>47.313600793090124</v>
      </c>
      <c r="IZ373" s="48">
        <f>IY373-'NOPA Crush'!J373</f>
        <v>8.3600793090127468E-2</v>
      </c>
      <c r="JA373" s="66">
        <f t="shared" ref="JA373:JA383" si="19">AVERAGE(IZ373,IZ361,IZ349,IZ337,IZ325,IZ313,IZ301,IZ289,IZ277,IZ265)</f>
        <v>0.12730767792501324</v>
      </c>
      <c r="JB373" s="63">
        <f t="shared" ref="JB373:JB384" si="20">K373/(B373/30)</f>
        <v>11.072410845663569</v>
      </c>
      <c r="JC373" s="64">
        <f>JB373-'NOPA Crush'!O373</f>
        <v>-0.13758915433643182</v>
      </c>
      <c r="JD373" s="66">
        <f t="shared" ref="JD373:JD383" si="21">AVERAGE(JC373,JC361,JC349,JC337,JC325,JC313,JC301,JC289,JC277,JC265)</f>
        <v>-6.640682896955355E-2</v>
      </c>
      <c r="JE373" s="67">
        <f t="shared" si="16"/>
        <v>3337.84</v>
      </c>
      <c r="JF373" s="68">
        <f>'NOPA Crush'!Q373/'Census Crush'!JE373</f>
        <v>0.84434694293315438</v>
      </c>
      <c r="JG373" s="68">
        <f t="shared" ref="JG373:JG383" si="22">AVERAGE(JF373,JF361,JF349,JF337,JF325,JF313,JF301,JF289,JF277,JF265)</f>
        <v>0.81235490517003084</v>
      </c>
    </row>
    <row r="374" spans="1:267">
      <c r="A374" s="39">
        <v>40422</v>
      </c>
      <c r="B374" s="51">
        <v>3910.8753999999999</v>
      </c>
      <c r="C374" s="51">
        <v>2349.0920000000001</v>
      </c>
      <c r="D374" s="51">
        <v>143.9487</v>
      </c>
      <c r="E374" s="51">
        <v>387.89699999999999</v>
      </c>
      <c r="F374" s="51">
        <v>17.071200000000001</v>
      </c>
      <c r="G374" s="51" t="s">
        <v>264</v>
      </c>
      <c r="H374" s="51" t="s">
        <v>264</v>
      </c>
      <c r="I374" s="51" t="s">
        <v>264</v>
      </c>
      <c r="J374" s="51" t="s">
        <v>264</v>
      </c>
      <c r="K374" s="51">
        <v>1474.4171999999999</v>
      </c>
      <c r="L374" s="51">
        <v>3405.78</v>
      </c>
      <c r="M374" s="51">
        <v>3127.2629999999999</v>
      </c>
      <c r="N374" s="51">
        <v>278.517</v>
      </c>
      <c r="O374" s="53">
        <v>52.875</v>
      </c>
      <c r="P374" s="51">
        <v>92.539000000000001</v>
      </c>
      <c r="Q374" s="51" t="e">
        <v>#VALUE!</v>
      </c>
      <c r="R374" s="51" t="e">
        <v>#VALUE!</v>
      </c>
      <c r="S374" s="51"/>
      <c r="T374" s="51">
        <v>13.947239999999999</v>
      </c>
      <c r="U374" s="51">
        <v>17.527999999999999</v>
      </c>
      <c r="V374" s="51" t="e">
        <v>#VALUE!</v>
      </c>
      <c r="W374" s="51" t="e">
        <v>#VALUE!</v>
      </c>
      <c r="X374" s="51" t="s">
        <v>264</v>
      </c>
      <c r="Y374" s="51" t="e">
        <v>#VALUE!</v>
      </c>
      <c r="Z374" s="51">
        <v>83.447000000000003</v>
      </c>
      <c r="AA374" s="51">
        <v>78.81</v>
      </c>
      <c r="AB374" s="51">
        <v>4.6369999999999996</v>
      </c>
      <c r="AC374" s="51" t="s">
        <v>264</v>
      </c>
      <c r="AD374" s="51">
        <v>93.059600000000003</v>
      </c>
      <c r="AE374" s="51">
        <v>95.309600000000003</v>
      </c>
      <c r="AF374" s="51">
        <v>193.732</v>
      </c>
      <c r="AG374" s="51">
        <v>124.46299999999999</v>
      </c>
      <c r="AH374" s="51">
        <v>69.269000000000005</v>
      </c>
      <c r="AI374" s="51">
        <v>200.119</v>
      </c>
      <c r="AJ374" s="9">
        <v>197.119</v>
      </c>
      <c r="AK374" s="22">
        <v>3</v>
      </c>
      <c r="AL374" s="51">
        <v>138.82399999999998</v>
      </c>
      <c r="AM374" s="51">
        <v>93.82</v>
      </c>
      <c r="AN374" s="51">
        <v>45.003999999999998</v>
      </c>
      <c r="AO374" s="51">
        <v>2836.0385000000001</v>
      </c>
      <c r="AP374" s="51">
        <v>273.08499999999998</v>
      </c>
      <c r="AQ374" s="51">
        <v>223.6447</v>
      </c>
      <c r="AR374" s="51">
        <v>28.469000000000001</v>
      </c>
      <c r="AS374" s="51">
        <v>74.850899999999996</v>
      </c>
      <c r="AT374" s="51">
        <v>54.232999999999997</v>
      </c>
      <c r="AU374" s="51">
        <v>50.489100000000001</v>
      </c>
      <c r="AV374" s="51">
        <v>30.614000000000001</v>
      </c>
      <c r="AW374" s="51">
        <v>8.648200000000001</v>
      </c>
      <c r="AX374" s="51" t="s">
        <v>264</v>
      </c>
      <c r="AY374" s="51" t="s">
        <v>264</v>
      </c>
      <c r="AZ374" s="51" t="s">
        <v>264</v>
      </c>
      <c r="BA374" s="51" t="s">
        <v>264</v>
      </c>
      <c r="BB374" s="51" t="s">
        <v>264</v>
      </c>
      <c r="BC374" s="55"/>
      <c r="BD374" s="53">
        <v>159.28098</v>
      </c>
      <c r="BE374" s="53">
        <v>32.637999999999998</v>
      </c>
      <c r="BF374" s="53">
        <v>68.632320000000007</v>
      </c>
      <c r="BG374" s="53">
        <v>10.647</v>
      </c>
      <c r="BH374" s="53">
        <v>271.25552000000005</v>
      </c>
      <c r="BI374" s="53">
        <v>115.54848</v>
      </c>
      <c r="BJ374" s="53">
        <v>111.79478</v>
      </c>
      <c r="BK374" s="53">
        <v>227.34325999999999</v>
      </c>
      <c r="BL374" s="55"/>
      <c r="BM374" s="53">
        <v>498.59878000000003</v>
      </c>
      <c r="BN374" s="53">
        <v>158.654</v>
      </c>
      <c r="BO374" s="53">
        <v>117.458</v>
      </c>
      <c r="BP374" s="53">
        <v>73.947999999999993</v>
      </c>
      <c r="BQ374" s="53">
        <v>191.40600000000001</v>
      </c>
      <c r="BR374" s="55"/>
      <c r="BS374" s="53">
        <v>350.06</v>
      </c>
      <c r="BT374" s="53">
        <v>21.604400000000002</v>
      </c>
      <c r="BU374" s="53">
        <v>21.734999999999999</v>
      </c>
      <c r="BV374" s="51" t="s">
        <v>264</v>
      </c>
      <c r="BW374" s="51" t="s">
        <v>264</v>
      </c>
      <c r="BX374" s="51">
        <v>426.88026000000002</v>
      </c>
      <c r="BY374" s="51" t="s">
        <v>264</v>
      </c>
      <c r="BZ374" s="51" t="s">
        <v>264</v>
      </c>
      <c r="CA374" s="51">
        <v>79.603999999999999</v>
      </c>
      <c r="CB374" s="53">
        <v>125.66916000000001</v>
      </c>
      <c r="CC374" s="53">
        <v>21.004000000000001</v>
      </c>
      <c r="CD374" s="53">
        <v>127.50108</v>
      </c>
      <c r="CE374" s="53">
        <v>24.382999999999999</v>
      </c>
      <c r="CF374" s="53">
        <v>112.13284</v>
      </c>
      <c r="CG374" s="53">
        <v>113.976</v>
      </c>
      <c r="CH374" s="53">
        <v>6.774</v>
      </c>
      <c r="CI374" s="53">
        <v>32.630200000000002</v>
      </c>
      <c r="CJ374" s="53">
        <v>5.8579999999999997</v>
      </c>
      <c r="CK374" s="53">
        <v>147.02802</v>
      </c>
      <c r="CL374" s="53">
        <v>23.294</v>
      </c>
      <c r="CM374" s="55"/>
      <c r="CN374" s="53">
        <v>69.688999999999993</v>
      </c>
      <c r="CO374" s="53">
        <v>185.96899999999999</v>
      </c>
      <c r="CP374" s="53">
        <v>144.334</v>
      </c>
      <c r="CQ374" s="53">
        <v>41.634999999999998</v>
      </c>
      <c r="CR374" s="53" t="s">
        <v>264</v>
      </c>
      <c r="CS374" s="53">
        <v>37.506</v>
      </c>
      <c r="CT374" s="53">
        <v>26.922000000000001</v>
      </c>
      <c r="CU374" s="53">
        <v>10.584</v>
      </c>
      <c r="CV374" s="53">
        <v>332.22</v>
      </c>
      <c r="CW374" s="53" t="s">
        <v>265</v>
      </c>
      <c r="CX374" s="53" t="s">
        <v>265</v>
      </c>
      <c r="CY374" s="53">
        <v>26.52</v>
      </c>
      <c r="CZ374" s="53">
        <v>73.969000000000008</v>
      </c>
      <c r="DA374" s="53">
        <v>20.646000000000001</v>
      </c>
      <c r="DB374" s="53" t="s">
        <v>265</v>
      </c>
      <c r="DC374" s="53" t="s">
        <v>265</v>
      </c>
      <c r="DD374" s="55"/>
      <c r="DE374" s="55"/>
      <c r="DF374" s="55"/>
      <c r="DG374" s="55"/>
      <c r="DH374" s="55"/>
      <c r="DI374" s="53">
        <v>443.45299999999997</v>
      </c>
      <c r="DJ374" s="53">
        <v>607.9905</v>
      </c>
      <c r="DK374" s="53">
        <v>896.00300000000004</v>
      </c>
      <c r="DL374" s="55"/>
      <c r="DM374" s="53">
        <v>427.76600000000002</v>
      </c>
      <c r="DN374" s="55"/>
      <c r="DO374" s="18">
        <v>146.99199999999999</v>
      </c>
      <c r="DP374" s="18">
        <v>222.82499999999999</v>
      </c>
      <c r="DQ374" s="55"/>
      <c r="DR374" s="55"/>
      <c r="DS374" s="53">
        <v>1165.8458999999998</v>
      </c>
      <c r="DT374" s="53">
        <v>3910.8753999999999</v>
      </c>
      <c r="DU374" s="53">
        <v>0</v>
      </c>
      <c r="DV374" s="53">
        <v>0</v>
      </c>
      <c r="DW374" s="55"/>
      <c r="DX374" s="55"/>
      <c r="DY374" s="53"/>
      <c r="DZ374" s="53"/>
      <c r="EA374" s="53">
        <v>241.905</v>
      </c>
      <c r="EB374" s="53">
        <v>833.58399999999995</v>
      </c>
      <c r="EC374" s="53">
        <v>313.61900000000003</v>
      </c>
      <c r="ED374" s="53"/>
      <c r="EE374" s="53">
        <v>102.545</v>
      </c>
      <c r="EF374" s="53"/>
      <c r="EG374" s="53">
        <v>29.933</v>
      </c>
      <c r="EH374" s="53">
        <v>236.934</v>
      </c>
      <c r="EI374" s="55"/>
      <c r="EJ374" s="55"/>
      <c r="EK374" s="53">
        <v>590.57200000000012</v>
      </c>
      <c r="EL374" s="53">
        <v>2349.0920000000001</v>
      </c>
      <c r="EM374" s="55"/>
      <c r="EN374" s="55"/>
      <c r="EO374" s="53"/>
      <c r="EP374" s="53"/>
      <c r="EQ374" s="53">
        <v>168.30699999999999</v>
      </c>
      <c r="ER374" s="53">
        <v>233.51739999999998</v>
      </c>
      <c r="ES374" s="53">
        <v>330.90800000000002</v>
      </c>
      <c r="ET374" s="53"/>
      <c r="EU374" s="53">
        <v>162.654</v>
      </c>
      <c r="EV374" s="53"/>
      <c r="EW374" s="53">
        <v>53.073999999999998</v>
      </c>
      <c r="EX374" s="53">
        <v>84.673000000000002</v>
      </c>
      <c r="EY374" s="55"/>
      <c r="EZ374" s="55"/>
      <c r="FA374" s="53">
        <v>441.28379999999993</v>
      </c>
      <c r="FB374" s="53">
        <v>1474.4171999999999</v>
      </c>
      <c r="FC374" s="55"/>
      <c r="FD374" s="55"/>
      <c r="FE374" s="53"/>
      <c r="FF374" s="53"/>
      <c r="FG374" s="53">
        <v>349.14400000000001</v>
      </c>
      <c r="FH374" s="53">
        <v>477.73050000000001</v>
      </c>
      <c r="FI374" s="53">
        <v>693.77499999999998</v>
      </c>
      <c r="FJ374" s="53"/>
      <c r="FK374" s="53">
        <v>334.76100000000002</v>
      </c>
      <c r="FL374" s="53"/>
      <c r="FM374" s="53">
        <v>117.139</v>
      </c>
      <c r="FN374" s="53">
        <v>179.74199999999999</v>
      </c>
      <c r="FO374" s="55"/>
      <c r="FP374" s="55"/>
      <c r="FQ374" s="53">
        <v>915.38069999999971</v>
      </c>
      <c r="FR374" s="53">
        <v>3067.6</v>
      </c>
      <c r="FS374" s="55"/>
      <c r="FT374" s="55"/>
      <c r="FU374" s="53"/>
      <c r="FV374" s="53"/>
      <c r="FW374" s="53">
        <v>389.17700000000002</v>
      </c>
      <c r="FX374" s="53">
        <v>142.70400000000001</v>
      </c>
      <c r="FY374" s="53">
        <v>283.12200000000001</v>
      </c>
      <c r="FZ374" s="53"/>
      <c r="GA374" s="53">
        <v>107.851</v>
      </c>
      <c r="GB374" s="53"/>
      <c r="GC374" s="53" t="s">
        <v>265</v>
      </c>
      <c r="GD374" s="53" t="s">
        <v>265</v>
      </c>
      <c r="GE374" s="55"/>
      <c r="GF374" s="55"/>
      <c r="GG374" s="53">
        <v>477.42800000000005</v>
      </c>
      <c r="GH374" s="53">
        <v>1531.423</v>
      </c>
      <c r="GI374" s="55"/>
      <c r="GJ374" s="55"/>
      <c r="GK374" s="53"/>
      <c r="GL374" s="53"/>
      <c r="GM374" s="53">
        <v>60.283000000000001</v>
      </c>
      <c r="GN374" s="53">
        <v>49.661000000000001</v>
      </c>
      <c r="GO374" s="53">
        <v>69.802999999999997</v>
      </c>
      <c r="GP374" s="53"/>
      <c r="GQ374" s="53">
        <v>19.834</v>
      </c>
      <c r="GR374" s="53"/>
      <c r="GS374" s="53">
        <v>3.6179999999999999</v>
      </c>
      <c r="GT374" s="53">
        <v>4.1050000000000004</v>
      </c>
      <c r="GU374" s="55"/>
      <c r="GV374" s="55"/>
      <c r="GW374" s="53">
        <v>94.25</v>
      </c>
      <c r="GX374" s="53">
        <v>301.55399999999997</v>
      </c>
      <c r="GY374" s="19">
        <v>0.98384415253942736</v>
      </c>
      <c r="GZ374" s="53">
        <v>1200.1112000000001</v>
      </c>
      <c r="HA374" s="53">
        <v>1219.8183999999999</v>
      </c>
      <c r="HB374" s="18">
        <v>-63.7463562567998</v>
      </c>
      <c r="HC374" s="18">
        <v>-179.1474289899993</v>
      </c>
      <c r="HD374" s="18">
        <v>1238.1225637432003</v>
      </c>
      <c r="HE374" s="18">
        <v>-130.33107999999993</v>
      </c>
      <c r="HF374" s="53">
        <v>1301.8689200000001</v>
      </c>
      <c r="HG374" s="53">
        <v>1177.1736000000001</v>
      </c>
      <c r="HH374" s="53">
        <v>318.71969999999999</v>
      </c>
      <c r="HI374" s="53" t="s">
        <v>265</v>
      </c>
      <c r="HJ374" s="53">
        <v>793.53369999999995</v>
      </c>
      <c r="HK374" s="53" t="s">
        <v>265</v>
      </c>
      <c r="HL374" s="53">
        <v>124.69532000000001</v>
      </c>
      <c r="HM374" s="53">
        <v>96.341000000000008</v>
      </c>
      <c r="HN374" s="53">
        <v>45.085000000000001</v>
      </c>
      <c r="HO374" s="53">
        <v>51.256</v>
      </c>
      <c r="HP374" s="55"/>
      <c r="HQ374" s="53" t="s">
        <v>267</v>
      </c>
      <c r="HR374" s="53" t="s">
        <v>267</v>
      </c>
      <c r="HS374" s="55"/>
      <c r="HT374" s="53">
        <v>16.551560000000002</v>
      </c>
      <c r="HU374" s="55"/>
      <c r="HV374" s="55"/>
      <c r="HW374" s="53">
        <v>288.57584000000003</v>
      </c>
      <c r="HX374" s="53" t="s">
        <v>266</v>
      </c>
      <c r="HY374" s="53">
        <v>288.57584000000003</v>
      </c>
      <c r="HZ374" s="53">
        <v>69.805999999999997</v>
      </c>
      <c r="IA374" s="53">
        <v>143.63784000000001</v>
      </c>
      <c r="IB374" s="53">
        <v>27.477319999999999</v>
      </c>
      <c r="IC374" s="53">
        <v>116.16052000000001</v>
      </c>
      <c r="ID374" s="53">
        <v>66.958539999999999</v>
      </c>
      <c r="IE374" s="53">
        <v>49.201980000000006</v>
      </c>
      <c r="IF374" s="55"/>
      <c r="IG374" s="55"/>
      <c r="IH374" s="53">
        <v>43.215000000000003</v>
      </c>
      <c r="II374" s="21">
        <v>13.249000000000002</v>
      </c>
      <c r="IJ374" s="53">
        <v>17.466000000000001</v>
      </c>
      <c r="IK374" s="21">
        <v>12.5</v>
      </c>
      <c r="IL374" s="12">
        <v>31.91700000000003</v>
      </c>
      <c r="IM374" s="55"/>
      <c r="IN374" s="53">
        <v>47.337000000000003</v>
      </c>
      <c r="IO374" s="53">
        <v>47.359000000000002</v>
      </c>
      <c r="IP374" s="53" t="s">
        <v>265</v>
      </c>
      <c r="IQ374" s="18">
        <v>51.776000000000003</v>
      </c>
      <c r="IR374" s="53">
        <v>12.4931</v>
      </c>
      <c r="IS374" s="55"/>
      <c r="IT374" s="53">
        <v>38.831000000000003</v>
      </c>
      <c r="IU374" s="53" t="s">
        <v>265</v>
      </c>
      <c r="IV374" s="53" t="s">
        <v>265</v>
      </c>
      <c r="IW374" s="18">
        <v>0</v>
      </c>
      <c r="IX374" s="53" t="s">
        <v>265</v>
      </c>
      <c r="IY374" s="48">
        <f t="shared" si="17"/>
        <v>46.941150822652133</v>
      </c>
      <c r="IZ374" s="48">
        <f>IY374-'NOPA Crush'!J374</f>
        <v>0.12115082265213317</v>
      </c>
      <c r="JA374" s="66">
        <f t="shared" si="19"/>
        <v>0.11109300835743738</v>
      </c>
      <c r="JB374" s="63">
        <f t="shared" si="20"/>
        <v>11.310131741860145</v>
      </c>
      <c r="JC374" s="64">
        <f>JB374-'NOPA Crush'!O374</f>
        <v>-0.11986825813985469</v>
      </c>
      <c r="JD374" s="66">
        <f t="shared" si="21"/>
        <v>-5.213693919100084E-2</v>
      </c>
      <c r="JE374" s="67">
        <f t="shared" si="16"/>
        <v>3405.78</v>
      </c>
      <c r="JF374" s="68">
        <f>'NOPA Crush'!Q374/'Census Crush'!JE374</f>
        <v>0.81190182571980574</v>
      </c>
      <c r="JG374" s="68">
        <f t="shared" si="22"/>
        <v>0.79787781749852482</v>
      </c>
    </row>
    <row r="375" spans="1:267">
      <c r="A375" s="39">
        <v>40452</v>
      </c>
      <c r="B375" s="51">
        <v>4716.3935899999997</v>
      </c>
      <c r="C375" s="51">
        <v>4512.759</v>
      </c>
      <c r="D375" s="51">
        <v>172.77120000000002</v>
      </c>
      <c r="E375" s="51">
        <v>1109.0260000000001</v>
      </c>
      <c r="F375" s="9">
        <v>22.753</v>
      </c>
      <c r="G375" s="51" t="s">
        <v>264</v>
      </c>
      <c r="H375" s="51" t="s">
        <v>264</v>
      </c>
      <c r="I375" s="51" t="s">
        <v>264</v>
      </c>
      <c r="J375" s="51" t="s">
        <v>264</v>
      </c>
      <c r="K375" s="51">
        <v>1790.5433899999998</v>
      </c>
      <c r="L375" s="51">
        <v>3284.9630000000002</v>
      </c>
      <c r="M375" s="51">
        <v>3010.6550000000002</v>
      </c>
      <c r="N375" s="51">
        <v>274.30799999999999</v>
      </c>
      <c r="O375" s="53">
        <v>54.281999999999996</v>
      </c>
      <c r="P375" s="51">
        <v>81.265000000000001</v>
      </c>
      <c r="Q375" s="51" t="e">
        <v>#VALUE!</v>
      </c>
      <c r="R375" s="51" t="e">
        <v>#VALUE!</v>
      </c>
      <c r="S375" s="51"/>
      <c r="T375" s="51" t="s">
        <v>265</v>
      </c>
      <c r="U375" s="51">
        <v>18.274000000000001</v>
      </c>
      <c r="V375" s="51" t="e">
        <v>#VALUE!</v>
      </c>
      <c r="W375" s="51" t="e">
        <v>#VALUE!</v>
      </c>
      <c r="X375" s="51" t="s">
        <v>264</v>
      </c>
      <c r="Y375" s="51" t="e">
        <v>#VALUE!</v>
      </c>
      <c r="Z375" s="51">
        <v>93.665999999999997</v>
      </c>
      <c r="AA375" s="51">
        <v>90.664000000000001</v>
      </c>
      <c r="AB375" s="51">
        <v>3.0019999999999998</v>
      </c>
      <c r="AC375" s="51" t="s">
        <v>264</v>
      </c>
      <c r="AD375" s="51">
        <v>94.392399999999995</v>
      </c>
      <c r="AE375" s="51">
        <v>95.460899999999995</v>
      </c>
      <c r="AF375" s="51">
        <v>218.19499999999999</v>
      </c>
      <c r="AG375" s="51">
        <v>157.56899999999999</v>
      </c>
      <c r="AH375" s="51">
        <v>60.625999999999998</v>
      </c>
      <c r="AI375" s="51">
        <v>205.148</v>
      </c>
      <c r="AJ375" s="9">
        <v>202.148</v>
      </c>
      <c r="AK375" s="22">
        <v>3</v>
      </c>
      <c r="AL375" s="51">
        <v>127.72800000000001</v>
      </c>
      <c r="AM375" s="51">
        <v>95.503</v>
      </c>
      <c r="AN375" s="51">
        <v>32.225000000000001</v>
      </c>
      <c r="AO375" s="51">
        <v>3475.8027299999999</v>
      </c>
      <c r="AP375" s="51">
        <v>471.80599999999998</v>
      </c>
      <c r="AQ375" s="51">
        <v>262.26736999999997</v>
      </c>
      <c r="AR375" s="51">
        <v>44.725000000000001</v>
      </c>
      <c r="AS375" s="51">
        <v>82.246899999999997</v>
      </c>
      <c r="AT375" s="51">
        <v>48.228999999999999</v>
      </c>
      <c r="AU375" s="51">
        <v>49.516199999999998</v>
      </c>
      <c r="AV375" s="51">
        <v>25.215</v>
      </c>
      <c r="AW375" s="51" t="s">
        <v>267</v>
      </c>
      <c r="AX375" s="51" t="s">
        <v>264</v>
      </c>
      <c r="AY375" s="51" t="s">
        <v>264</v>
      </c>
      <c r="AZ375" s="51" t="s">
        <v>264</v>
      </c>
      <c r="BA375" s="51" t="s">
        <v>264</v>
      </c>
      <c r="BB375" s="51" t="s">
        <v>264</v>
      </c>
      <c r="BC375" s="55"/>
      <c r="BD375" s="53">
        <v>162.97964999999999</v>
      </c>
      <c r="BE375" s="53">
        <v>32.624000000000002</v>
      </c>
      <c r="BF375" s="53">
        <v>68.75806</v>
      </c>
      <c r="BG375" s="53">
        <v>8.4659999999999993</v>
      </c>
      <c r="BH375" s="53">
        <v>277.43723999999997</v>
      </c>
      <c r="BI375" s="53">
        <v>109.57245</v>
      </c>
      <c r="BJ375" s="53">
        <v>116.57292</v>
      </c>
      <c r="BK375" s="53">
        <v>226.14537000000001</v>
      </c>
      <c r="BL375" s="55"/>
      <c r="BM375" s="53">
        <v>503.58260999999999</v>
      </c>
      <c r="BN375" s="53">
        <v>168.93899999999999</v>
      </c>
      <c r="BO375" s="53">
        <v>108.68600000000001</v>
      </c>
      <c r="BP375" s="53">
        <v>80.456000000000003</v>
      </c>
      <c r="BQ375" s="53">
        <v>189.142</v>
      </c>
      <c r="BR375" s="55"/>
      <c r="BS375" s="53">
        <v>358.08100000000002</v>
      </c>
      <c r="BT375" s="53">
        <v>25.015220000000003</v>
      </c>
      <c r="BU375" s="53">
        <v>23.628</v>
      </c>
      <c r="BV375" s="51" t="s">
        <v>264</v>
      </c>
      <c r="BW375" s="51" t="s">
        <v>264</v>
      </c>
      <c r="BX375" s="51">
        <v>426.06261999999998</v>
      </c>
      <c r="BY375" s="51" t="s">
        <v>264</v>
      </c>
      <c r="BZ375" s="51" t="s">
        <v>264</v>
      </c>
      <c r="CA375" s="51">
        <v>69.944000000000003</v>
      </c>
      <c r="CB375" s="53">
        <v>113.85185</v>
      </c>
      <c r="CC375" s="53">
        <v>23.811</v>
      </c>
      <c r="CD375" s="53">
        <v>142.39064000000002</v>
      </c>
      <c r="CE375" s="53">
        <v>29.673999999999999</v>
      </c>
      <c r="CF375" s="53">
        <v>113.90855000000001</v>
      </c>
      <c r="CG375" s="53">
        <v>112.324</v>
      </c>
      <c r="CH375" s="53">
        <v>6.0860000000000003</v>
      </c>
      <c r="CI375" s="53">
        <v>29.097049999999999</v>
      </c>
      <c r="CJ375" s="53">
        <v>6.78</v>
      </c>
      <c r="CK375" s="53">
        <v>152.54722000000001</v>
      </c>
      <c r="CL375" s="53">
        <v>23.068999999999999</v>
      </c>
      <c r="CM375" s="55"/>
      <c r="CN375" s="53">
        <v>62.655000000000001</v>
      </c>
      <c r="CO375" s="53">
        <v>166.96799999999999</v>
      </c>
      <c r="CP375" s="53">
        <v>126.46899999999999</v>
      </c>
      <c r="CQ375" s="53">
        <v>40.499000000000002</v>
      </c>
      <c r="CR375" s="53" t="s">
        <v>264</v>
      </c>
      <c r="CS375" s="53">
        <v>63.828000000000003</v>
      </c>
      <c r="CT375" s="53">
        <v>49.459000000000003</v>
      </c>
      <c r="CU375" s="53">
        <v>14.369</v>
      </c>
      <c r="CV375" s="53">
        <v>292.76499999999999</v>
      </c>
      <c r="CW375" s="53" t="s">
        <v>265</v>
      </c>
      <c r="CX375" s="53" t="s">
        <v>265</v>
      </c>
      <c r="CY375" s="53">
        <v>25.481000000000002</v>
      </c>
      <c r="CZ375" s="53">
        <v>77.571999999999989</v>
      </c>
      <c r="DA375" s="53">
        <v>35.835000000000001</v>
      </c>
      <c r="DB375" s="53" t="s">
        <v>265</v>
      </c>
      <c r="DC375" s="53" t="s">
        <v>265</v>
      </c>
      <c r="DD375" s="55"/>
      <c r="DE375" s="55"/>
      <c r="DF375" s="55"/>
      <c r="DG375" s="55"/>
      <c r="DH375" s="55"/>
      <c r="DI375" s="53">
        <v>588.13400000000001</v>
      </c>
      <c r="DJ375" s="53">
        <v>579.71894999999995</v>
      </c>
      <c r="DK375" s="53">
        <v>1103.2149999999999</v>
      </c>
      <c r="DL375" s="55"/>
      <c r="DM375" s="53">
        <v>525.399</v>
      </c>
      <c r="DN375" s="55"/>
      <c r="DO375" s="53">
        <v>301.77999999999997</v>
      </c>
      <c r="DP375" s="53">
        <v>283.20600000000002</v>
      </c>
      <c r="DQ375" s="55"/>
      <c r="DR375" s="55"/>
      <c r="DS375" s="53">
        <v>1334.9406400000003</v>
      </c>
      <c r="DT375" s="53">
        <v>4716.3935899999997</v>
      </c>
      <c r="DU375" s="53">
        <v>0</v>
      </c>
      <c r="DV375" s="53">
        <v>0</v>
      </c>
      <c r="DW375" s="55"/>
      <c r="DX375" s="55"/>
      <c r="DY375" s="53"/>
      <c r="DZ375" s="53"/>
      <c r="EA375" s="53">
        <v>584.19100000000003</v>
      </c>
      <c r="EB375" s="53">
        <v>907.68399999999997</v>
      </c>
      <c r="EC375" s="53">
        <v>799.67499999999995</v>
      </c>
      <c r="ED375" s="53"/>
      <c r="EE375" s="53">
        <v>326.44900000000001</v>
      </c>
      <c r="EF375" s="53"/>
      <c r="EG375" s="53" t="s">
        <v>265</v>
      </c>
      <c r="EH375" s="53" t="s">
        <v>265</v>
      </c>
      <c r="EI375" s="55"/>
      <c r="EJ375" s="55"/>
      <c r="EK375" s="53">
        <v>1397.9209999999998</v>
      </c>
      <c r="EL375" s="53">
        <v>4512.759</v>
      </c>
      <c r="EM375" s="55"/>
      <c r="EN375" s="55"/>
      <c r="EO375" s="53"/>
      <c r="EP375" s="53"/>
      <c r="EQ375" s="53">
        <v>221.642</v>
      </c>
      <c r="ER375" s="53">
        <v>220.96835000000002</v>
      </c>
      <c r="ES375" s="53">
        <v>417.31200000000001</v>
      </c>
      <c r="ET375" s="53"/>
      <c r="EU375" s="53">
        <v>205.5</v>
      </c>
      <c r="EV375" s="53"/>
      <c r="EW375" s="53">
        <v>115.38500000000001</v>
      </c>
      <c r="EX375" s="53">
        <v>106.28</v>
      </c>
      <c r="EY375" s="55"/>
      <c r="EZ375" s="55"/>
      <c r="FA375" s="53">
        <v>503.45603999999969</v>
      </c>
      <c r="FB375" s="53">
        <v>1790.5433899999998</v>
      </c>
      <c r="FC375" s="55"/>
      <c r="FD375" s="55"/>
      <c r="FE375" s="53"/>
      <c r="FF375" s="53"/>
      <c r="FG375" s="53">
        <v>463.54300000000001</v>
      </c>
      <c r="FH375" s="53">
        <v>464.63709999999998</v>
      </c>
      <c r="FI375" s="53">
        <v>872.14400000000001</v>
      </c>
      <c r="FJ375" s="53"/>
      <c r="FK375" s="53">
        <v>420.27699999999999</v>
      </c>
      <c r="FL375" s="53"/>
      <c r="FM375" s="53">
        <v>240.39599999999999</v>
      </c>
      <c r="FN375" s="53">
        <v>227.47800000000001</v>
      </c>
      <c r="FO375" s="55"/>
      <c r="FP375" s="55"/>
      <c r="FQ375" s="53">
        <v>1057.8699999999999</v>
      </c>
      <c r="FR375" s="53">
        <v>3746.4</v>
      </c>
      <c r="FS375" s="55"/>
      <c r="FT375" s="55"/>
      <c r="FU375" s="53"/>
      <c r="FV375" s="53"/>
      <c r="FW375" s="53">
        <v>279.38799999999998</v>
      </c>
      <c r="FX375" s="53">
        <v>152</v>
      </c>
      <c r="FY375" s="53">
        <v>309.69</v>
      </c>
      <c r="FZ375" s="53"/>
      <c r="GA375" s="53">
        <v>101.20099999999999</v>
      </c>
      <c r="GB375" s="53"/>
      <c r="GC375" s="53" t="s">
        <v>265</v>
      </c>
      <c r="GD375" s="53" t="s">
        <v>265</v>
      </c>
      <c r="GE375" s="55"/>
      <c r="GF375" s="55"/>
      <c r="GG375" s="53">
        <v>533.654</v>
      </c>
      <c r="GH375" s="53">
        <v>1498.415</v>
      </c>
      <c r="GI375" s="55"/>
      <c r="GJ375" s="55"/>
      <c r="GK375" s="53"/>
      <c r="GL375" s="53"/>
      <c r="GM375" s="53">
        <v>113.024</v>
      </c>
      <c r="GN375" s="53">
        <v>77.296999999999997</v>
      </c>
      <c r="GO375" s="53">
        <v>96.933999999999997</v>
      </c>
      <c r="GP375" s="53"/>
      <c r="GQ375" s="53">
        <v>44.167999999999999</v>
      </c>
      <c r="GR375" s="53"/>
      <c r="GS375" s="53">
        <v>23.321999999999999</v>
      </c>
      <c r="GT375" s="53">
        <v>5.1139999999999999</v>
      </c>
      <c r="GU375" s="55"/>
      <c r="GV375" s="55"/>
      <c r="GW375" s="53">
        <v>156.67199999999991</v>
      </c>
      <c r="GX375" s="53">
        <v>516.53099999999995</v>
      </c>
      <c r="GY375" s="19">
        <v>0.98251586561962334</v>
      </c>
      <c r="GZ375" s="53">
        <v>1296.68451</v>
      </c>
      <c r="HA375" s="53">
        <v>1319.75936</v>
      </c>
      <c r="HB375" s="18">
        <v>105.16273409459927</v>
      </c>
      <c r="HC375" s="18">
        <v>-72.783765760599636</v>
      </c>
      <c r="HD375" s="18">
        <v>1479.2860040945993</v>
      </c>
      <c r="HE375" s="18">
        <v>-252.37672999999995</v>
      </c>
      <c r="HF375" s="53">
        <v>1374.12327</v>
      </c>
      <c r="HG375" s="53">
        <v>1246.30287</v>
      </c>
      <c r="HH375" s="53">
        <v>343.62885999999997</v>
      </c>
      <c r="HI375" s="53" t="s">
        <v>265</v>
      </c>
      <c r="HJ375" s="53">
        <v>833.89990999999998</v>
      </c>
      <c r="HK375" s="53" t="s">
        <v>265</v>
      </c>
      <c r="HL375" s="53">
        <v>127.82040000000001</v>
      </c>
      <c r="HM375" s="53">
        <v>102.262</v>
      </c>
      <c r="HN375" s="53">
        <v>44.372999999999998</v>
      </c>
      <c r="HO375" s="53">
        <v>57.889000000000003</v>
      </c>
      <c r="HP375" s="55"/>
      <c r="HQ375" s="53" t="s">
        <v>267</v>
      </c>
      <c r="HR375" s="53" t="s">
        <v>267</v>
      </c>
      <c r="HS375" s="55"/>
      <c r="HT375" s="53">
        <v>14.586399999999999</v>
      </c>
      <c r="HU375" s="55"/>
      <c r="HV375" s="55"/>
      <c r="HW375" s="53">
        <v>251.06515999999999</v>
      </c>
      <c r="HX375" s="53" t="s">
        <v>266</v>
      </c>
      <c r="HY375" s="53">
        <v>251.06515999999999</v>
      </c>
      <c r="HZ375" s="53">
        <v>58.982999999999997</v>
      </c>
      <c r="IA375" s="53">
        <v>129.50716</v>
      </c>
      <c r="IB375" s="53">
        <v>23.355700000000002</v>
      </c>
      <c r="IC375" s="53">
        <v>106.15145999999999</v>
      </c>
      <c r="ID375" s="53">
        <v>69.667339999999996</v>
      </c>
      <c r="IE375" s="53">
        <v>36.484119999999997</v>
      </c>
      <c r="IF375" s="55"/>
      <c r="IG375" s="55"/>
      <c r="IH375" s="53">
        <v>31.031999999999996</v>
      </c>
      <c r="II375" s="21">
        <v>11.242999999999995</v>
      </c>
      <c r="IJ375" s="53">
        <v>14.789</v>
      </c>
      <c r="IK375" s="21">
        <v>5</v>
      </c>
      <c r="IL375" s="12">
        <v>31.542999999999992</v>
      </c>
      <c r="IM375" s="55"/>
      <c r="IN375" s="53">
        <v>38.725999999999999</v>
      </c>
      <c r="IO375" s="53">
        <v>38.744</v>
      </c>
      <c r="IP375" s="53" t="s">
        <v>265</v>
      </c>
      <c r="IQ375" s="18">
        <v>54.366</v>
      </c>
      <c r="IR375" s="53" t="s">
        <v>265</v>
      </c>
      <c r="IS375" s="55"/>
      <c r="IT375" s="53" t="s">
        <v>265</v>
      </c>
      <c r="IU375" s="53" t="s">
        <v>265</v>
      </c>
      <c r="IV375" s="53" t="s">
        <v>265</v>
      </c>
      <c r="IW375" s="53" t="s">
        <v>265</v>
      </c>
      <c r="IX375" s="53" t="s">
        <v>265</v>
      </c>
      <c r="IY375" s="48">
        <f t="shared" si="17"/>
        <v>47.554174968675596</v>
      </c>
      <c r="IZ375" s="48">
        <f>IY375-'NOPA Crush'!J375</f>
        <v>0.15417496867559777</v>
      </c>
      <c r="JA375" s="66">
        <f t="shared" si="19"/>
        <v>0.12723557020333304</v>
      </c>
      <c r="JB375" s="63">
        <f t="shared" si="20"/>
        <v>11.389274596143279</v>
      </c>
      <c r="JC375" s="64">
        <f>JB375-'NOPA Crush'!O375</f>
        <v>-6.0725403856720206E-2</v>
      </c>
      <c r="JD375" s="66">
        <f t="shared" si="21"/>
        <v>-7.1421073264676241E-2</v>
      </c>
      <c r="JE375" s="67">
        <f t="shared" si="16"/>
        <v>3284.9630000000002</v>
      </c>
      <c r="JF375" s="68">
        <f>'NOPA Crush'!Q375/'Census Crush'!JE375</f>
        <v>0.8588419412943159</v>
      </c>
      <c r="JG375" s="68">
        <f t="shared" si="22"/>
        <v>0.80596104480330055</v>
      </c>
    </row>
    <row r="376" spans="1:267">
      <c r="A376" s="39">
        <v>40483</v>
      </c>
      <c r="B376" s="51">
        <v>4651.7510000000002</v>
      </c>
      <c r="C376" s="51">
        <v>3689.877</v>
      </c>
      <c r="D376" s="51">
        <v>245.71788000000001</v>
      </c>
      <c r="E376" s="51">
        <v>1666.7449999999999</v>
      </c>
      <c r="F376" s="51">
        <v>19.824000000000002</v>
      </c>
      <c r="G376" s="51" t="s">
        <v>264</v>
      </c>
      <c r="H376" s="51" t="s">
        <v>264</v>
      </c>
      <c r="I376" s="51" t="s">
        <v>264</v>
      </c>
      <c r="J376" s="51" t="s">
        <v>264</v>
      </c>
      <c r="K376" s="51">
        <v>1771.2012</v>
      </c>
      <c r="L376" s="51">
        <v>3349.4740000000002</v>
      </c>
      <c r="M376" s="51">
        <v>3049.2950000000001</v>
      </c>
      <c r="N376" s="51">
        <v>300.17899999999997</v>
      </c>
      <c r="O376" s="53">
        <v>79.131320000000002</v>
      </c>
      <c r="P376" s="51">
        <v>91.364999999999995</v>
      </c>
      <c r="Q376" s="51" t="e">
        <v>#VALUE!</v>
      </c>
      <c r="R376" s="51" t="e">
        <v>#VALUE!</v>
      </c>
      <c r="S376" s="51"/>
      <c r="T376" s="51">
        <v>15.676600000000001</v>
      </c>
      <c r="U376" s="51">
        <v>6.0779999999999994</v>
      </c>
      <c r="V376" s="51" t="e">
        <v>#VALUE!</v>
      </c>
      <c r="W376" s="51" t="e">
        <v>#VALUE!</v>
      </c>
      <c r="X376" s="51" t="s">
        <v>264</v>
      </c>
      <c r="Y376" s="51" t="e">
        <v>#VALUE!</v>
      </c>
      <c r="Z376" s="51">
        <v>125.12100000000001</v>
      </c>
      <c r="AA376" s="51">
        <v>119.05200000000001</v>
      </c>
      <c r="AB376" s="51">
        <v>6.069</v>
      </c>
      <c r="AC376" s="51" t="s">
        <v>264</v>
      </c>
      <c r="AD376" s="51">
        <v>83.40316</v>
      </c>
      <c r="AE376" s="51">
        <v>84.781840000000003</v>
      </c>
      <c r="AF376" s="51">
        <v>201.09799999999998</v>
      </c>
      <c r="AG376" s="51">
        <v>155.68299999999999</v>
      </c>
      <c r="AH376" s="51">
        <v>45.414999999999999</v>
      </c>
      <c r="AI376" s="51">
        <v>211.18299999999999</v>
      </c>
      <c r="AJ376" s="9">
        <v>208.18299999999999</v>
      </c>
      <c r="AK376" s="22">
        <v>3</v>
      </c>
      <c r="AL376" s="51">
        <v>133.41899999999998</v>
      </c>
      <c r="AM376" s="51">
        <v>89.174999999999997</v>
      </c>
      <c r="AN376" s="51">
        <v>44.244</v>
      </c>
      <c r="AO376" s="51">
        <v>3447.6492999999996</v>
      </c>
      <c r="AP376" s="51">
        <v>445.03699999999998</v>
      </c>
      <c r="AQ376" s="51">
        <v>272.39979999999997</v>
      </c>
      <c r="AR376" s="51">
        <v>39.325000000000003</v>
      </c>
      <c r="AS376" s="51">
        <v>103.75332</v>
      </c>
      <c r="AT376" s="51">
        <v>46.281999999999996</v>
      </c>
      <c r="AU376" s="51">
        <v>69.637360000000001</v>
      </c>
      <c r="AV376" s="51">
        <v>24.234000000000002</v>
      </c>
      <c r="AW376" s="51">
        <v>10.3301</v>
      </c>
      <c r="AX376" s="51" t="s">
        <v>264</v>
      </c>
      <c r="AY376" s="51" t="s">
        <v>264</v>
      </c>
      <c r="AZ376" s="51" t="s">
        <v>264</v>
      </c>
      <c r="BA376" s="51" t="s">
        <v>264</v>
      </c>
      <c r="BB376" s="51" t="s">
        <v>264</v>
      </c>
      <c r="BC376" s="55"/>
      <c r="BD376" s="53">
        <v>160.87720000000002</v>
      </c>
      <c r="BE376" s="53">
        <v>40.729999999999997</v>
      </c>
      <c r="BF376" s="53">
        <v>66.022199999999998</v>
      </c>
      <c r="BG376" s="53">
        <v>8.2159999999999993</v>
      </c>
      <c r="BH376" s="53">
        <v>274.94317999999998</v>
      </c>
      <c r="BI376" s="53">
        <v>118.87002000000001</v>
      </c>
      <c r="BJ376" s="53">
        <v>108.22875999999999</v>
      </c>
      <c r="BK376" s="53">
        <v>227.09878</v>
      </c>
      <c r="BL376" s="55"/>
      <c r="BM376" s="53">
        <v>502.04196000000002</v>
      </c>
      <c r="BN376" s="53">
        <v>158.88800000000001</v>
      </c>
      <c r="BO376" s="53">
        <v>98.01</v>
      </c>
      <c r="BP376" s="53">
        <v>79.641000000000005</v>
      </c>
      <c r="BQ376" s="53">
        <v>177.65100000000001</v>
      </c>
      <c r="BR376" s="55"/>
      <c r="BS376" s="53">
        <v>336.53899999999999</v>
      </c>
      <c r="BT376" s="53">
        <v>27.065999999999999</v>
      </c>
      <c r="BU376" s="53">
        <v>23.361000000000001</v>
      </c>
      <c r="BV376" s="51" t="s">
        <v>264</v>
      </c>
      <c r="BW376" s="51" t="s">
        <v>264</v>
      </c>
      <c r="BX376" s="51">
        <v>419.79765999999995</v>
      </c>
      <c r="BY376" s="51" t="s">
        <v>264</v>
      </c>
      <c r="BZ376" s="51" t="s">
        <v>264</v>
      </c>
      <c r="CA376" s="51">
        <v>77.200999999999993</v>
      </c>
      <c r="CB376" s="53">
        <v>115.84833999999999</v>
      </c>
      <c r="CC376" s="53">
        <v>23.777000000000001</v>
      </c>
      <c r="CD376" s="53">
        <v>139.41228000000001</v>
      </c>
      <c r="CE376" s="53">
        <v>27.068999999999999</v>
      </c>
      <c r="CF376" s="53">
        <v>110.32610000000001</v>
      </c>
      <c r="CG376" s="53">
        <v>89.783000000000001</v>
      </c>
      <c r="CH376" s="53">
        <v>4.3559999999999999</v>
      </c>
      <c r="CI376" s="53">
        <v>25.497959999999999</v>
      </c>
      <c r="CJ376" s="53">
        <v>4.2489999999999997</v>
      </c>
      <c r="CK376" s="53">
        <v>134.88807999999997</v>
      </c>
      <c r="CL376" s="53">
        <v>20.834</v>
      </c>
      <c r="CM376" s="55"/>
      <c r="CN376" s="53">
        <v>70.575000000000003</v>
      </c>
      <c r="CO376" s="53">
        <v>167.66800000000001</v>
      </c>
      <c r="CP376" s="53">
        <v>128.46100000000001</v>
      </c>
      <c r="CQ376" s="53">
        <v>39.207000000000001</v>
      </c>
      <c r="CR376" s="53" t="s">
        <v>264</v>
      </c>
      <c r="CS376" s="53">
        <v>55.378</v>
      </c>
      <c r="CT376" s="53">
        <v>39.802</v>
      </c>
      <c r="CU376" s="53">
        <v>15.576000000000001</v>
      </c>
      <c r="CV376" s="53">
        <v>244.34800000000001</v>
      </c>
      <c r="CW376" s="53" t="s">
        <v>265</v>
      </c>
      <c r="CX376" s="53" t="s">
        <v>265</v>
      </c>
      <c r="CY376" s="53">
        <v>22.209</v>
      </c>
      <c r="CZ376" s="53">
        <v>86.259</v>
      </c>
      <c r="DA376" s="53">
        <v>21.998999999999999</v>
      </c>
      <c r="DB376" s="53" t="s">
        <v>265</v>
      </c>
      <c r="DC376" s="53" t="s">
        <v>265</v>
      </c>
      <c r="DD376" s="55"/>
      <c r="DE376" s="55"/>
      <c r="DF376" s="55"/>
      <c r="DG376" s="55"/>
      <c r="DH376" s="55"/>
      <c r="DI376" s="53">
        <v>596.19000000000005</v>
      </c>
      <c r="DJ376" s="53">
        <v>653.70510000000002</v>
      </c>
      <c r="DK376" s="53">
        <v>1006.792</v>
      </c>
      <c r="DL376" s="55"/>
      <c r="DM376" s="53">
        <v>471.553</v>
      </c>
      <c r="DN376" s="55"/>
      <c r="DO376" s="53">
        <v>296.154</v>
      </c>
      <c r="DP376" s="53">
        <v>268.65199999999999</v>
      </c>
      <c r="DQ376" s="55"/>
      <c r="DR376" s="55"/>
      <c r="DS376" s="53">
        <v>1358.7049000000002</v>
      </c>
      <c r="DT376" s="53">
        <v>4651.7510000000002</v>
      </c>
      <c r="DU376" s="53">
        <v>0</v>
      </c>
      <c r="DV376" s="53">
        <v>0</v>
      </c>
      <c r="DW376" s="55"/>
      <c r="DX376" s="55"/>
      <c r="DY376" s="53"/>
      <c r="DZ376" s="53"/>
      <c r="EA376" s="53">
        <v>475.03300000000002</v>
      </c>
      <c r="EB376" s="53">
        <v>638.67499999999995</v>
      </c>
      <c r="EC376" s="53">
        <v>641.60199999999998</v>
      </c>
      <c r="ED376" s="53"/>
      <c r="EE376" s="53">
        <v>250.51599999999999</v>
      </c>
      <c r="EF376" s="53"/>
      <c r="EG376" s="53" t="s">
        <v>265</v>
      </c>
      <c r="EH376" s="53" t="s">
        <v>265</v>
      </c>
      <c r="EI376" s="55"/>
      <c r="EJ376" s="55"/>
      <c r="EK376" s="53">
        <v>1321.943</v>
      </c>
      <c r="EL376" s="53">
        <v>3689.877</v>
      </c>
      <c r="EM376" s="55"/>
      <c r="EN376" s="55"/>
      <c r="EO376" s="53"/>
      <c r="EP376" s="53"/>
      <c r="EQ376" s="53">
        <v>229.63499999999999</v>
      </c>
      <c r="ER376" s="53">
        <v>249.81639999999999</v>
      </c>
      <c r="ES376" s="53">
        <v>383.9</v>
      </c>
      <c r="ET376" s="53"/>
      <c r="EU376" s="53">
        <v>185.89599999999999</v>
      </c>
      <c r="EV376" s="53"/>
      <c r="EW376" s="53">
        <v>110.79600000000001</v>
      </c>
      <c r="EX376" s="53">
        <v>99.32</v>
      </c>
      <c r="EY376" s="55"/>
      <c r="EZ376" s="55"/>
      <c r="FA376" s="53">
        <v>511.83780000000007</v>
      </c>
      <c r="FB376" s="53">
        <v>1771.2012</v>
      </c>
      <c r="FC376" s="55"/>
      <c r="FD376" s="55"/>
      <c r="FE376" s="53"/>
      <c r="FF376" s="53"/>
      <c r="FG376" s="53">
        <v>472.36799999999999</v>
      </c>
      <c r="FH376" s="53">
        <v>523.64800000000002</v>
      </c>
      <c r="FI376" s="53">
        <v>811.32100000000003</v>
      </c>
      <c r="FJ376" s="53"/>
      <c r="FK376" s="53">
        <v>376.61900000000003</v>
      </c>
      <c r="FL376" s="53"/>
      <c r="FM376" s="53">
        <v>240.40799999999999</v>
      </c>
      <c r="FN376" s="53">
        <v>217.172</v>
      </c>
      <c r="FO376" s="55"/>
      <c r="FP376" s="55"/>
      <c r="FQ376" s="53">
        <v>1087.8081000000002</v>
      </c>
      <c r="FR376" s="53">
        <v>3729.3441000000003</v>
      </c>
      <c r="FS376" s="55"/>
      <c r="FT376" s="55"/>
      <c r="FU376" s="53"/>
      <c r="FV376" s="53"/>
      <c r="FW376" s="53">
        <v>299.904</v>
      </c>
      <c r="FX376" s="53">
        <v>158.239</v>
      </c>
      <c r="FY376" s="53">
        <v>290.42500000000001</v>
      </c>
      <c r="FZ376" s="53"/>
      <c r="GA376" s="53">
        <v>109.376</v>
      </c>
      <c r="GB376" s="53"/>
      <c r="GC376" s="53" t="s">
        <v>265</v>
      </c>
      <c r="GD376" s="53" t="s">
        <v>265</v>
      </c>
      <c r="GE376" s="55"/>
      <c r="GF376" s="55"/>
      <c r="GG376" s="53">
        <v>511.67099999999994</v>
      </c>
      <c r="GH376" s="53">
        <v>1485.8489999999999</v>
      </c>
      <c r="GI376" s="55"/>
      <c r="GJ376" s="55"/>
      <c r="GK376" s="53"/>
      <c r="GL376" s="53"/>
      <c r="GM376" s="53">
        <v>109.35299999999999</v>
      </c>
      <c r="GN376" s="53">
        <v>68.027000000000001</v>
      </c>
      <c r="GO376" s="53">
        <v>118.271</v>
      </c>
      <c r="GP376" s="53"/>
      <c r="GQ376" s="53">
        <v>37.648000000000003</v>
      </c>
      <c r="GR376" s="53"/>
      <c r="GS376" s="53">
        <v>13.849</v>
      </c>
      <c r="GT376" s="53">
        <v>4.4850000000000003</v>
      </c>
      <c r="GU376" s="55"/>
      <c r="GV376" s="55"/>
      <c r="GW376" s="53">
        <v>132.72900000000001</v>
      </c>
      <c r="GX376" s="53">
        <v>484.36200000000002</v>
      </c>
      <c r="GY376" s="19">
        <v>0.98284230790136917</v>
      </c>
      <c r="GZ376" s="53">
        <v>1234.9711399999999</v>
      </c>
      <c r="HA376" s="53">
        <v>1256.5303000000001</v>
      </c>
      <c r="HB376" s="18">
        <v>-48.409849637400384</v>
      </c>
      <c r="HC376" s="18">
        <v>-160.85631730439945</v>
      </c>
      <c r="HD376" s="18">
        <v>1279.0118303625995</v>
      </c>
      <c r="HE376" s="18">
        <v>-166.67831999999999</v>
      </c>
      <c r="HF376" s="53">
        <v>1327.4216799999999</v>
      </c>
      <c r="HG376" s="53">
        <v>1233.81258</v>
      </c>
      <c r="HH376" s="53">
        <v>321.77085999999997</v>
      </c>
      <c r="HI376" s="53" t="s">
        <v>265</v>
      </c>
      <c r="HJ376" s="53">
        <v>842.27836000000002</v>
      </c>
      <c r="HK376" s="53" t="s">
        <v>265</v>
      </c>
      <c r="HL376" s="53">
        <v>93.609099999999984</v>
      </c>
      <c r="HM376" s="53">
        <v>70.454999999999998</v>
      </c>
      <c r="HN376" s="53">
        <v>37.165999999999997</v>
      </c>
      <c r="HO376" s="53">
        <v>33.289000000000001</v>
      </c>
      <c r="HP376" s="55"/>
      <c r="HQ376" s="53" t="s">
        <v>267</v>
      </c>
      <c r="HR376" s="53" t="s">
        <v>267</v>
      </c>
      <c r="HS376" s="55"/>
      <c r="HT376" s="53">
        <v>14.296899999999999</v>
      </c>
      <c r="HU376" s="55"/>
      <c r="HV376" s="55"/>
      <c r="HW376" s="53">
        <v>246.43017999999998</v>
      </c>
      <c r="HX376" s="53" t="s">
        <v>266</v>
      </c>
      <c r="HY376" s="53">
        <v>246.43017999999998</v>
      </c>
      <c r="HZ376" s="53">
        <v>62.287999999999997</v>
      </c>
      <c r="IA376" s="53">
        <v>125.95117999999999</v>
      </c>
      <c r="IB376" s="53">
        <v>19.145299999999999</v>
      </c>
      <c r="IC376" s="53">
        <v>106.80588</v>
      </c>
      <c r="ID376" s="53">
        <v>69.276160000000004</v>
      </c>
      <c r="IE376" s="53">
        <v>37.529720000000005</v>
      </c>
      <c r="IF376" s="55"/>
      <c r="IG376" s="55"/>
      <c r="IH376" s="53">
        <v>22.826999999999998</v>
      </c>
      <c r="II376" s="21">
        <v>7.3099999999999987</v>
      </c>
      <c r="IJ376" s="53">
        <v>10.516999999999999</v>
      </c>
      <c r="IK376" s="21">
        <v>5</v>
      </c>
      <c r="IL376" s="12">
        <v>35.364000000000004</v>
      </c>
      <c r="IM376" s="55"/>
      <c r="IN376" s="53">
        <v>60.082999999999998</v>
      </c>
      <c r="IO376" s="53">
        <v>60.109000000000002</v>
      </c>
      <c r="IP376" s="53" t="s">
        <v>265</v>
      </c>
      <c r="IQ376" s="18">
        <v>60.959000000000003</v>
      </c>
      <c r="IR376" s="53" t="s">
        <v>265</v>
      </c>
      <c r="IS376" s="55"/>
      <c r="IT376" s="53" t="s">
        <v>265</v>
      </c>
      <c r="IU376" s="53" t="s">
        <v>265</v>
      </c>
      <c r="IV376" s="53" t="s">
        <v>265</v>
      </c>
      <c r="IW376" s="53" t="s">
        <v>265</v>
      </c>
      <c r="IX376" s="53" t="s">
        <v>265</v>
      </c>
      <c r="IY376" s="48">
        <f t="shared" si="17"/>
        <v>47.982565274882504</v>
      </c>
      <c r="IZ376" s="48">
        <f>IY376-'NOPA Crush'!J376</f>
        <v>0.11256527488250612</v>
      </c>
      <c r="JA376" s="66">
        <f t="shared" si="19"/>
        <v>9.9868573488180346E-2</v>
      </c>
      <c r="JB376" s="63">
        <f t="shared" si="20"/>
        <v>11.422803155198977</v>
      </c>
      <c r="JC376" s="64">
        <f>JB376-'NOPA Crush'!O376</f>
        <v>-5.7196844801023161E-2</v>
      </c>
      <c r="JD376" s="66">
        <f t="shared" si="21"/>
        <v>-5.3397416622525284E-2</v>
      </c>
      <c r="JE376" s="67">
        <f t="shared" si="16"/>
        <v>3349.4740000000002</v>
      </c>
      <c r="JF376" s="68">
        <f>'NOPA Crush'!Q376/'Census Crush'!JE376</f>
        <v>0.84506104540593541</v>
      </c>
      <c r="JG376" s="68">
        <f t="shared" si="22"/>
        <v>0.81095782755310997</v>
      </c>
    </row>
    <row r="377" spans="1:267">
      <c r="A377" s="39">
        <v>40513</v>
      </c>
      <c r="B377" s="51">
        <v>4570.4018499999993</v>
      </c>
      <c r="C377" s="51">
        <v>3866.09</v>
      </c>
      <c r="D377" s="51">
        <v>251.31565000000001</v>
      </c>
      <c r="E377" s="51">
        <v>1976.1310000000001</v>
      </c>
      <c r="F377" s="51">
        <v>20.460999999999999</v>
      </c>
      <c r="G377" s="51" t="s">
        <v>264</v>
      </c>
      <c r="H377" s="51" t="s">
        <v>264</v>
      </c>
      <c r="I377" s="51" t="s">
        <v>264</v>
      </c>
      <c r="J377" s="51" t="s">
        <v>264</v>
      </c>
      <c r="K377" s="51">
        <v>1731.5061499999999</v>
      </c>
      <c r="L377" s="51">
        <v>3531.9409999999998</v>
      </c>
      <c r="M377" s="51">
        <v>3220.826</v>
      </c>
      <c r="N377" s="51">
        <v>311.11500000000001</v>
      </c>
      <c r="O377" s="53">
        <v>79.822050000000004</v>
      </c>
      <c r="P377" s="51">
        <v>119.05</v>
      </c>
      <c r="Q377" s="51" t="e">
        <v>#VALUE!</v>
      </c>
      <c r="R377" s="51" t="e">
        <v>#VALUE!</v>
      </c>
      <c r="S377" s="51"/>
      <c r="T377" s="51">
        <v>15.763999999999999</v>
      </c>
      <c r="U377" s="51">
        <v>10.516</v>
      </c>
      <c r="V377" s="51" t="e">
        <v>#VALUE!</v>
      </c>
      <c r="W377" s="51" t="e">
        <v>#VALUE!</v>
      </c>
      <c r="X377" s="51" t="s">
        <v>264</v>
      </c>
      <c r="Y377" s="51" t="e">
        <v>#VALUE!</v>
      </c>
      <c r="Z377" s="51">
        <v>123.295</v>
      </c>
      <c r="AA377" s="51">
        <v>117.771</v>
      </c>
      <c r="AB377" s="51">
        <v>5.524</v>
      </c>
      <c r="AC377" s="51" t="s">
        <v>264</v>
      </c>
      <c r="AD377" s="51">
        <v>74.907449999999997</v>
      </c>
      <c r="AE377" s="51">
        <v>75.815550000000002</v>
      </c>
      <c r="AF377" s="51">
        <v>171.13800000000001</v>
      </c>
      <c r="AG377" s="51">
        <v>123.706</v>
      </c>
      <c r="AH377" s="51">
        <v>47.432000000000002</v>
      </c>
      <c r="AI377" s="51">
        <v>198.874</v>
      </c>
      <c r="AJ377" s="9">
        <v>195.874</v>
      </c>
      <c r="AK377" s="22">
        <v>3</v>
      </c>
      <c r="AL377" s="51">
        <v>135.655</v>
      </c>
      <c r="AM377" s="51">
        <v>97.516000000000005</v>
      </c>
      <c r="AN377" s="51">
        <v>38.139000000000003</v>
      </c>
      <c r="AO377" s="51">
        <v>3397.7633499999997</v>
      </c>
      <c r="AP377" s="51">
        <v>473.178</v>
      </c>
      <c r="AQ377" s="51">
        <v>277.78050000000002</v>
      </c>
      <c r="AR377" s="51">
        <v>37.520000000000003</v>
      </c>
      <c r="AS377" s="51">
        <v>111.97735</v>
      </c>
      <c r="AT377" s="51">
        <v>35.216000000000001</v>
      </c>
      <c r="AU377" s="51">
        <v>68.600999999999999</v>
      </c>
      <c r="AV377" s="51">
        <v>25.262</v>
      </c>
      <c r="AW377" s="51">
        <v>10.831</v>
      </c>
      <c r="AX377" s="51" t="s">
        <v>264</v>
      </c>
      <c r="AY377" s="51" t="s">
        <v>264</v>
      </c>
      <c r="AZ377" s="51" t="s">
        <v>264</v>
      </c>
      <c r="BA377" s="51" t="s">
        <v>264</v>
      </c>
      <c r="BB377" s="51" t="s">
        <v>264</v>
      </c>
      <c r="BC377" s="55"/>
      <c r="BD377" s="53">
        <v>166.53554</v>
      </c>
      <c r="BE377" s="53">
        <v>37.601999999999997</v>
      </c>
      <c r="BF377" s="53">
        <v>66.119910000000004</v>
      </c>
      <c r="BG377" s="53">
        <v>7.5209999999999999</v>
      </c>
      <c r="BH377" s="53">
        <v>285.65692999999999</v>
      </c>
      <c r="BI377" s="53">
        <v>120.20003</v>
      </c>
      <c r="BJ377" s="53">
        <v>120.61141000000001</v>
      </c>
      <c r="BK377" s="53">
        <v>240.81144</v>
      </c>
      <c r="BL377" s="55"/>
      <c r="BM377" s="53">
        <v>526.46837000000005</v>
      </c>
      <c r="BN377" s="53">
        <v>188.70099999999999</v>
      </c>
      <c r="BO377" s="53">
        <v>87.427999999999997</v>
      </c>
      <c r="BP377" s="53">
        <v>57.639000000000003</v>
      </c>
      <c r="BQ377" s="53">
        <v>145.06700000000001</v>
      </c>
      <c r="BR377" s="55"/>
      <c r="BS377" s="53">
        <v>333.76800000000003</v>
      </c>
      <c r="BT377" s="53">
        <v>26.952720000000003</v>
      </c>
      <c r="BU377" s="53">
        <v>25.605</v>
      </c>
      <c r="BV377" s="51" t="s">
        <v>264</v>
      </c>
      <c r="BW377" s="51" t="s">
        <v>264</v>
      </c>
      <c r="BX377" s="51">
        <v>437.76258000000001</v>
      </c>
      <c r="BY377" s="51" t="s">
        <v>264</v>
      </c>
      <c r="BZ377" s="51" t="s">
        <v>264</v>
      </c>
      <c r="CA377" s="51">
        <v>71.116</v>
      </c>
      <c r="CB377" s="53">
        <v>119.75515</v>
      </c>
      <c r="CC377" s="53">
        <v>24.631</v>
      </c>
      <c r="CD377" s="53">
        <v>146.73367999999999</v>
      </c>
      <c r="CE377" s="53">
        <v>22.152999999999999</v>
      </c>
      <c r="CF377" s="53">
        <v>105.59244</v>
      </c>
      <c r="CG377" s="53">
        <v>87.361000000000004</v>
      </c>
      <c r="CH377" s="53">
        <v>5.8440000000000003</v>
      </c>
      <c r="CI377" s="53">
        <v>26.259450000000001</v>
      </c>
      <c r="CJ377" s="53">
        <v>6.4809999999999999</v>
      </c>
      <c r="CK377" s="53">
        <v>141.24985999999998</v>
      </c>
      <c r="CL377" s="53">
        <v>21.876000000000001</v>
      </c>
      <c r="CM377" s="55"/>
      <c r="CN377" s="53">
        <v>67.956000000000003</v>
      </c>
      <c r="CO377" s="53">
        <v>172.41499999999999</v>
      </c>
      <c r="CP377" s="53">
        <v>131.81</v>
      </c>
      <c r="CQ377" s="53">
        <v>40.604999999999997</v>
      </c>
      <c r="CR377" s="53" t="s">
        <v>264</v>
      </c>
      <c r="CS377" s="53">
        <v>63.837000000000003</v>
      </c>
      <c r="CT377" s="53">
        <v>50.600999999999999</v>
      </c>
      <c r="CU377" s="53">
        <v>13.236000000000001</v>
      </c>
      <c r="CV377" s="53">
        <v>256.46899999999999</v>
      </c>
      <c r="CW377" s="53">
        <v>41.6</v>
      </c>
      <c r="CX377" s="53">
        <v>214.9</v>
      </c>
      <c r="CY377" s="53">
        <v>18.169</v>
      </c>
      <c r="CZ377" s="53">
        <v>86.334000000000003</v>
      </c>
      <c r="DA377" s="53">
        <v>18.45</v>
      </c>
      <c r="DB377" s="53" t="s">
        <v>265</v>
      </c>
      <c r="DC377" s="53" t="s">
        <v>265</v>
      </c>
      <c r="DD377" s="55"/>
      <c r="DE377" s="55"/>
      <c r="DF377" s="55"/>
      <c r="DG377" s="55"/>
      <c r="DH377" s="55"/>
      <c r="DI377" s="53">
        <v>550.02800000000002</v>
      </c>
      <c r="DJ377" s="53">
        <v>632.25</v>
      </c>
      <c r="DK377" s="53">
        <v>1011.7430000000001</v>
      </c>
      <c r="DL377" s="55"/>
      <c r="DM377" s="53">
        <v>480.416</v>
      </c>
      <c r="DN377" s="55"/>
      <c r="DO377" s="53">
        <v>291.52699999999999</v>
      </c>
      <c r="DP377" s="53">
        <v>242.46899999999999</v>
      </c>
      <c r="DQ377" s="55"/>
      <c r="DR377" s="55"/>
      <c r="DS377" s="53">
        <v>1361.9688499999991</v>
      </c>
      <c r="DT377" s="53">
        <v>4570.4018499999993</v>
      </c>
      <c r="DU377" s="53">
        <v>0</v>
      </c>
      <c r="DV377" s="53">
        <v>0</v>
      </c>
      <c r="DW377" s="55"/>
      <c r="DX377" s="55"/>
      <c r="DY377" s="53"/>
      <c r="DZ377" s="53"/>
      <c r="EA377" s="53">
        <v>506.584</v>
      </c>
      <c r="EB377" s="53">
        <v>664.60699999999997</v>
      </c>
      <c r="EC377" s="53">
        <v>718.26900000000001</v>
      </c>
      <c r="ED377" s="53"/>
      <c r="EE377" s="53">
        <v>259.74200000000002</v>
      </c>
      <c r="EF377" s="53"/>
      <c r="EG377" s="53" t="s">
        <v>265</v>
      </c>
      <c r="EH377" s="53" t="s">
        <v>265</v>
      </c>
      <c r="EI377" s="55"/>
      <c r="EJ377" s="55"/>
      <c r="EK377" s="53">
        <v>1347.3480000000004</v>
      </c>
      <c r="EL377" s="53">
        <v>3866.09</v>
      </c>
      <c r="EM377" s="55"/>
      <c r="EN377" s="55"/>
      <c r="EO377" s="53"/>
      <c r="EP377" s="53"/>
      <c r="EQ377" s="53">
        <v>211.065</v>
      </c>
      <c r="ER377" s="53">
        <v>239.51300000000001</v>
      </c>
      <c r="ES377" s="53">
        <v>382.202</v>
      </c>
      <c r="ET377" s="53"/>
      <c r="EU377" s="53">
        <v>186.59100000000001</v>
      </c>
      <c r="EV377" s="53"/>
      <c r="EW377" s="53">
        <v>110.694</v>
      </c>
      <c r="EX377" s="53">
        <v>89.850999999999999</v>
      </c>
      <c r="EY377" s="55"/>
      <c r="EZ377" s="55"/>
      <c r="FA377" s="53">
        <v>511.59014999999999</v>
      </c>
      <c r="FB377" s="53">
        <v>1731.5061499999999</v>
      </c>
      <c r="FC377" s="55"/>
      <c r="FD377" s="55"/>
      <c r="FE377" s="53"/>
      <c r="FF377" s="53"/>
      <c r="FG377" s="53">
        <v>441.48200000000003</v>
      </c>
      <c r="FH377" s="53">
        <v>511.17884999999995</v>
      </c>
      <c r="FI377" s="53">
        <v>810.96799999999996</v>
      </c>
      <c r="FJ377" s="53"/>
      <c r="FK377" s="53">
        <v>383.62700000000001</v>
      </c>
      <c r="FL377" s="53"/>
      <c r="FM377" s="53">
        <v>236.15700000000001</v>
      </c>
      <c r="FN377" s="53">
        <v>197.68700000000001</v>
      </c>
      <c r="FO377" s="55"/>
      <c r="FP377" s="55"/>
      <c r="FQ377" s="53">
        <v>1103.2</v>
      </c>
      <c r="FR377" s="53">
        <v>3684.3</v>
      </c>
      <c r="FS377" s="55"/>
      <c r="FT377" s="55"/>
      <c r="FU377" s="53"/>
      <c r="FV377" s="53"/>
      <c r="FW377" s="53">
        <v>320.447</v>
      </c>
      <c r="FX377" s="53">
        <v>160.833</v>
      </c>
      <c r="FY377" s="53">
        <v>286.303</v>
      </c>
      <c r="FZ377" s="53"/>
      <c r="GA377" s="53">
        <v>129.92400000000001</v>
      </c>
      <c r="GB377" s="53"/>
      <c r="GC377" s="53" t="s">
        <v>265</v>
      </c>
      <c r="GD377" s="53" t="s">
        <v>265</v>
      </c>
      <c r="GE377" s="55"/>
      <c r="GF377" s="55"/>
      <c r="GG377" s="53">
        <v>551.35799999999983</v>
      </c>
      <c r="GH377" s="53">
        <v>1576.02</v>
      </c>
      <c r="GI377" s="55"/>
      <c r="GJ377" s="55"/>
      <c r="GK377" s="53"/>
      <c r="GL377" s="53"/>
      <c r="GM377" s="53">
        <v>92.266999999999996</v>
      </c>
      <c r="GN377" s="53">
        <v>117.66200000000001</v>
      </c>
      <c r="GO377" s="53">
        <v>100.871</v>
      </c>
      <c r="GP377" s="53"/>
      <c r="GQ377" s="53">
        <v>30.721</v>
      </c>
      <c r="GR377" s="53"/>
      <c r="GS377" s="53">
        <v>19.161999999999999</v>
      </c>
      <c r="GT377" s="53">
        <v>3.073</v>
      </c>
      <c r="GU377" s="55"/>
      <c r="GV377" s="55"/>
      <c r="GW377" s="53">
        <v>146.94200000000001</v>
      </c>
      <c r="GX377" s="53">
        <v>510.69799999999998</v>
      </c>
      <c r="GY377" s="19">
        <v>0.98511711054388318</v>
      </c>
      <c r="GZ377" s="53">
        <v>1131.1655000000001</v>
      </c>
      <c r="HA377" s="53">
        <v>1148.25485</v>
      </c>
      <c r="HB377" s="18">
        <v>-61.849465145399563</v>
      </c>
      <c r="HC377" s="18">
        <v>-192.74349137339959</v>
      </c>
      <c r="HD377" s="18">
        <v>1162.3358848546004</v>
      </c>
      <c r="HE377" s="18">
        <v>-177.31465000000003</v>
      </c>
      <c r="HF377" s="53">
        <v>1224.18535</v>
      </c>
      <c r="HG377" s="53">
        <v>1148.01055</v>
      </c>
      <c r="HH377" s="53">
        <v>309.22765000000004</v>
      </c>
      <c r="HI377" s="53" t="s">
        <v>265</v>
      </c>
      <c r="HJ377" s="53">
        <v>764.63424999999995</v>
      </c>
      <c r="HK377" s="53" t="s">
        <v>265</v>
      </c>
      <c r="HL377" s="53">
        <v>76.174800000000005</v>
      </c>
      <c r="HM377" s="53">
        <v>53.884</v>
      </c>
      <c r="HN377" s="53">
        <v>26.588999999999999</v>
      </c>
      <c r="HO377" s="53">
        <v>27.295000000000002</v>
      </c>
      <c r="HP377" s="55"/>
      <c r="HQ377" s="53" t="s">
        <v>267</v>
      </c>
      <c r="HR377" s="53" t="s">
        <v>267</v>
      </c>
      <c r="HS377" s="55"/>
      <c r="HT377" s="53">
        <v>13.948799999999999</v>
      </c>
      <c r="HU377" s="55"/>
      <c r="HV377" s="55"/>
      <c r="HW377" s="53">
        <v>256.72383000000002</v>
      </c>
      <c r="HX377" s="53" t="s">
        <v>266</v>
      </c>
      <c r="HY377" s="53">
        <v>256.72383000000002</v>
      </c>
      <c r="HZ377" s="53">
        <v>58.359000000000002</v>
      </c>
      <c r="IA377" s="53">
        <v>126.23083000000001</v>
      </c>
      <c r="IB377" s="53">
        <v>28.82151</v>
      </c>
      <c r="IC377" s="53">
        <v>97.409320000000008</v>
      </c>
      <c r="ID377" s="53">
        <v>66.898820000000001</v>
      </c>
      <c r="IE377" s="53">
        <v>30.5105</v>
      </c>
      <c r="IF377" s="55"/>
      <c r="IG377" s="55"/>
      <c r="IH377" s="53">
        <v>43.734999999999999</v>
      </c>
      <c r="II377" s="21">
        <v>13.910999999999998</v>
      </c>
      <c r="IJ377" s="53">
        <v>22.324000000000002</v>
      </c>
      <c r="IK377" s="21">
        <v>7.5</v>
      </c>
      <c r="IL377" s="12">
        <v>28.399000000000001</v>
      </c>
      <c r="IM377" s="55"/>
      <c r="IN377" s="53">
        <v>59.015999999999998</v>
      </c>
      <c r="IO377" s="53">
        <v>59.040999999999997</v>
      </c>
      <c r="IP377" s="53" t="s">
        <v>265</v>
      </c>
      <c r="IQ377" s="18">
        <v>50.796999999999997</v>
      </c>
      <c r="IR377" s="53" t="s">
        <v>265</v>
      </c>
      <c r="IS377" s="55"/>
      <c r="IT377" s="53" t="s">
        <v>265</v>
      </c>
      <c r="IU377" s="53" t="s">
        <v>265</v>
      </c>
      <c r="IV377" s="53" t="s">
        <v>265</v>
      </c>
      <c r="IW377" s="53" t="s">
        <v>265</v>
      </c>
      <c r="IX377" s="53" t="s">
        <v>265</v>
      </c>
      <c r="IY377" s="48">
        <f t="shared" si="17"/>
        <v>48.252350282940654</v>
      </c>
      <c r="IZ377" s="48">
        <f>IY377-'NOPA Crush'!J377</f>
        <v>2.2350282940656996E-2</v>
      </c>
      <c r="JA377" s="66">
        <f t="shared" si="19"/>
        <v>0.12659839168213977</v>
      </c>
      <c r="JB377" s="63">
        <f t="shared" si="20"/>
        <v>11.365561761270511</v>
      </c>
      <c r="JC377" s="64">
        <f>JB377-'NOPA Crush'!O377</f>
        <v>-0.16443823872948826</v>
      </c>
      <c r="JD377" s="66">
        <f t="shared" si="21"/>
        <v>-8.5372929846987938E-2</v>
      </c>
      <c r="JE377" s="67">
        <f t="shared" si="16"/>
        <v>3531.9409999999998</v>
      </c>
      <c r="JF377" s="68">
        <f>'NOPA Crush'!Q377/'Census Crush'!JE377</f>
        <v>0.85514084182040417</v>
      </c>
      <c r="JG377" s="68">
        <f t="shared" si="22"/>
        <v>0.81429471342691051</v>
      </c>
    </row>
    <row r="378" spans="1:267">
      <c r="A378" s="39">
        <v>40544</v>
      </c>
      <c r="B378" s="51">
        <v>4475.0429999999997</v>
      </c>
      <c r="C378" s="51">
        <v>3623.2130000000002</v>
      </c>
      <c r="D378" s="51">
        <v>249.00299999999999</v>
      </c>
      <c r="E378" s="51">
        <v>1785.8030000000001</v>
      </c>
      <c r="F378" s="51">
        <v>21.218</v>
      </c>
      <c r="G378" s="51" t="s">
        <v>264</v>
      </c>
      <c r="H378" s="51" t="s">
        <v>264</v>
      </c>
      <c r="I378" s="51" t="s">
        <v>264</v>
      </c>
      <c r="J378" s="51" t="s">
        <v>264</v>
      </c>
      <c r="K378" s="51">
        <v>1722.94</v>
      </c>
      <c r="L378" s="51">
        <v>3415.395</v>
      </c>
      <c r="M378" s="51">
        <v>3078.6909999999998</v>
      </c>
      <c r="N378" s="51">
        <v>336.70400000000001</v>
      </c>
      <c r="O378" s="53">
        <v>79.28</v>
      </c>
      <c r="P378" s="51">
        <v>139.602</v>
      </c>
      <c r="Q378" s="51" t="e">
        <v>#VALUE!</v>
      </c>
      <c r="R378" s="51" t="e">
        <v>#VALUE!</v>
      </c>
      <c r="S378" s="51"/>
      <c r="T378" s="51">
        <v>16.873000000000001</v>
      </c>
      <c r="U378" s="51">
        <v>8.3670000000000009</v>
      </c>
      <c r="V378" s="51" t="e">
        <v>#VALUE!</v>
      </c>
      <c r="W378" s="51" t="e">
        <v>#VALUE!</v>
      </c>
      <c r="X378" s="51" t="s">
        <v>264</v>
      </c>
      <c r="Y378" s="51" t="e">
        <v>#VALUE!</v>
      </c>
      <c r="Z378" s="51">
        <v>107.682</v>
      </c>
      <c r="AA378" s="51" t="e">
        <v>#VALUE!</v>
      </c>
      <c r="AB378" s="51" t="e">
        <v>#VALUE!</v>
      </c>
      <c r="AC378" s="51" t="s">
        <v>264</v>
      </c>
      <c r="AD378" s="51">
        <v>90.447000000000003</v>
      </c>
      <c r="AE378" s="51">
        <v>92.838999999999999</v>
      </c>
      <c r="AF378" s="51">
        <v>238.85400000000001</v>
      </c>
      <c r="AG378" s="51">
        <v>192.01900000000001</v>
      </c>
      <c r="AH378" s="51">
        <v>46.835000000000001</v>
      </c>
      <c r="AI378" s="51">
        <v>220.86699999999999</v>
      </c>
      <c r="AJ378" s="9">
        <v>217.86699999999999</v>
      </c>
      <c r="AK378" s="22">
        <v>3</v>
      </c>
      <c r="AL378" s="51">
        <v>128.91499999999999</v>
      </c>
      <c r="AM378" s="51">
        <v>101.071</v>
      </c>
      <c r="AN378" s="51">
        <v>27.844000000000001</v>
      </c>
      <c r="AO378" s="51">
        <v>3298.36</v>
      </c>
      <c r="AP378" s="51">
        <v>408.20800000000003</v>
      </c>
      <c r="AQ378" s="51">
        <v>271.09899999999999</v>
      </c>
      <c r="AR378" s="51">
        <v>40.892000000000003</v>
      </c>
      <c r="AS378" s="51">
        <v>107.67100000000001</v>
      </c>
      <c r="AT378" s="51">
        <v>27.026</v>
      </c>
      <c r="AU378" s="51">
        <v>65.662999999999997</v>
      </c>
      <c r="AV378" s="51">
        <v>24.9</v>
      </c>
      <c r="AW378" s="51">
        <v>10.992000000000001</v>
      </c>
      <c r="AX378" s="51" t="e">
        <v>#VALUE!</v>
      </c>
      <c r="AY378" s="51" t="s">
        <v>264</v>
      </c>
      <c r="AZ378" s="51" t="s">
        <v>264</v>
      </c>
      <c r="BA378" s="51" t="s">
        <v>264</v>
      </c>
      <c r="BB378" s="51" t="s">
        <v>264</v>
      </c>
      <c r="BC378" s="55"/>
      <c r="BD378" s="53">
        <v>153.53899999999999</v>
      </c>
      <c r="BE378" s="53">
        <v>21.780999999999999</v>
      </c>
      <c r="BF378" s="53">
        <v>66.114000000000004</v>
      </c>
      <c r="BG378" s="53">
        <v>8.2720000000000002</v>
      </c>
      <c r="BH378" s="53">
        <v>264.279</v>
      </c>
      <c r="BI378" s="53">
        <v>107.93</v>
      </c>
      <c r="BJ378" s="53">
        <v>106.545</v>
      </c>
      <c r="BK378" s="53">
        <v>214.47499999999999</v>
      </c>
      <c r="BL378" s="55"/>
      <c r="BM378" s="53">
        <v>478.75400000000002</v>
      </c>
      <c r="BN378" s="53">
        <v>159.14699999999999</v>
      </c>
      <c r="BO378" s="53">
        <v>91.793999999999997</v>
      </c>
      <c r="BP378" s="53">
        <v>49.804000000000002</v>
      </c>
      <c r="BQ378" s="53">
        <v>141.59800000000001</v>
      </c>
      <c r="BR378" s="55"/>
      <c r="BS378" s="53">
        <v>300.745</v>
      </c>
      <c r="BT378" s="53">
        <v>21.408999999999999</v>
      </c>
      <c r="BU378" s="53">
        <v>20.513999999999999</v>
      </c>
      <c r="BV378" s="51" t="s">
        <v>264</v>
      </c>
      <c r="BW378" s="51" t="s">
        <v>264</v>
      </c>
      <c r="BX378" s="51">
        <v>447.70100000000002</v>
      </c>
      <c r="BY378" s="51" t="s">
        <v>264</v>
      </c>
      <c r="BZ378" s="51" t="s">
        <v>264</v>
      </c>
      <c r="CA378" s="51">
        <v>65.38</v>
      </c>
      <c r="CB378" s="53">
        <v>115.093</v>
      </c>
      <c r="CC378" s="53">
        <v>20.204000000000001</v>
      </c>
      <c r="CD378" s="53">
        <v>146.34399999999999</v>
      </c>
      <c r="CE378" s="53">
        <v>16.995000000000001</v>
      </c>
      <c r="CF378" s="53">
        <v>113.831</v>
      </c>
      <c r="CG378" s="53">
        <v>87.706000000000003</v>
      </c>
      <c r="CH378" s="53">
        <v>5.54</v>
      </c>
      <c r="CI378" s="53">
        <v>28.256</v>
      </c>
      <c r="CJ378" s="53">
        <v>7.6520000000000001</v>
      </c>
      <c r="CK378" s="53">
        <v>129.28899999999999</v>
      </c>
      <c r="CL378" s="53">
        <v>17.702999999999999</v>
      </c>
      <c r="CM378" s="55"/>
      <c r="CN378" s="53" t="e">
        <v>#VALUE!</v>
      </c>
      <c r="CO378" s="53">
        <v>150.16499999999999</v>
      </c>
      <c r="CP378" s="53">
        <v>128.78200000000001</v>
      </c>
      <c r="CQ378" s="53">
        <v>21.382999999999999</v>
      </c>
      <c r="CR378" s="53" t="s">
        <v>264</v>
      </c>
      <c r="CS378" s="53">
        <v>53.503999999999998</v>
      </c>
      <c r="CT378" s="53">
        <v>46.314999999999998</v>
      </c>
      <c r="CU378" s="53">
        <v>7.1890000000000001</v>
      </c>
      <c r="CV378" s="53">
        <v>245.84</v>
      </c>
      <c r="CW378" s="53">
        <v>47.85</v>
      </c>
      <c r="CX378" s="53">
        <v>197.99</v>
      </c>
      <c r="CY378" s="53">
        <v>18.707999999999998</v>
      </c>
      <c r="CZ378" s="53">
        <v>100.461</v>
      </c>
      <c r="DA378" s="53">
        <v>24.852</v>
      </c>
      <c r="DB378" s="53" t="e">
        <v>#VALUE!</v>
      </c>
      <c r="DC378" s="53" t="e">
        <v>#VALUE!</v>
      </c>
      <c r="DD378" s="55"/>
      <c r="DE378" s="55"/>
      <c r="DF378" s="55"/>
      <c r="DG378" s="55"/>
      <c r="DH378" s="55"/>
      <c r="DI378" s="53">
        <v>599.02200000000005</v>
      </c>
      <c r="DJ378" s="53">
        <v>629.38699999999994</v>
      </c>
      <c r="DK378" s="53">
        <v>1001.913</v>
      </c>
      <c r="DL378" s="55"/>
      <c r="DM378" s="53">
        <v>438.197</v>
      </c>
      <c r="DN378" s="55"/>
      <c r="DO378" s="53">
        <v>284.69099999999997</v>
      </c>
      <c r="DP378" s="53">
        <v>226.89599999999999</v>
      </c>
      <c r="DQ378" s="55"/>
      <c r="DR378" s="55"/>
      <c r="DS378" s="53">
        <v>1294.9369999999999</v>
      </c>
      <c r="DT378" s="53">
        <v>4475.0429999999997</v>
      </c>
      <c r="DU378" s="53">
        <v>0</v>
      </c>
      <c r="DV378" s="53">
        <v>0</v>
      </c>
      <c r="DW378" s="55"/>
      <c r="DX378" s="55"/>
      <c r="DY378" s="53"/>
      <c r="DZ378" s="53"/>
      <c r="EA378" s="53">
        <v>551.56899999999996</v>
      </c>
      <c r="EB378" s="53">
        <v>525.149</v>
      </c>
      <c r="EC378" s="53">
        <v>641.92600000000004</v>
      </c>
      <c r="ED378" s="53"/>
      <c r="EE378" s="53">
        <v>265.27300000000002</v>
      </c>
      <c r="EF378" s="53"/>
      <c r="EG378" s="53">
        <v>116.40600000000001</v>
      </c>
      <c r="EH378" s="53">
        <v>250.30500000000001</v>
      </c>
      <c r="EI378" s="55"/>
      <c r="EJ378" s="55"/>
      <c r="EK378" s="53">
        <v>1272.585</v>
      </c>
      <c r="EL378" s="53">
        <v>3623.2130000000002</v>
      </c>
      <c r="EM378" s="55"/>
      <c r="EN378" s="55"/>
      <c r="EO378" s="53"/>
      <c r="EP378" s="53"/>
      <c r="EQ378" s="53">
        <v>230.11</v>
      </c>
      <c r="ER378" s="53">
        <v>244.142</v>
      </c>
      <c r="ES378" s="53">
        <v>380.61500000000001</v>
      </c>
      <c r="ET378" s="53"/>
      <c r="EU378" s="53">
        <v>183.733</v>
      </c>
      <c r="EV378" s="53"/>
      <c r="EW378" s="53">
        <v>108.637</v>
      </c>
      <c r="EX378" s="53">
        <v>84.778000000000006</v>
      </c>
      <c r="EY378" s="55"/>
      <c r="EZ378" s="55"/>
      <c r="FA378" s="53">
        <v>490.92500000000001</v>
      </c>
      <c r="FB378" s="53">
        <v>1722.94</v>
      </c>
      <c r="FC378" s="55"/>
      <c r="FD378" s="55"/>
      <c r="FE378" s="53"/>
      <c r="FF378" s="53"/>
      <c r="FG378" s="53">
        <v>468.78199999999998</v>
      </c>
      <c r="FH378" s="53">
        <v>505.91</v>
      </c>
      <c r="FI378" s="53">
        <v>804.56600000000003</v>
      </c>
      <c r="FJ378" s="53"/>
      <c r="FK378" s="53">
        <v>349.34199999999998</v>
      </c>
      <c r="FL378" s="53"/>
      <c r="FM378" s="53">
        <v>230.048</v>
      </c>
      <c r="FN378" s="53">
        <v>185.75200000000001</v>
      </c>
      <c r="FO378" s="55"/>
      <c r="FP378" s="55"/>
      <c r="FQ378" s="53">
        <v>1034.0340000000001</v>
      </c>
      <c r="FR378" s="53">
        <v>3578.4340000000002</v>
      </c>
      <c r="FS378" s="55"/>
      <c r="FT378" s="55"/>
      <c r="FU378" s="53"/>
      <c r="FV378" s="53"/>
      <c r="FW378" s="53">
        <v>312.76799999999997</v>
      </c>
      <c r="FX378" s="53">
        <v>133.054</v>
      </c>
      <c r="FY378" s="53">
        <v>267.58300000000003</v>
      </c>
      <c r="FZ378" s="53"/>
      <c r="GA378" s="53">
        <v>134.51900000000001</v>
      </c>
      <c r="GB378" s="53"/>
      <c r="GC378" s="53" t="e">
        <v>#VALUE!</v>
      </c>
      <c r="GD378" s="53" t="e">
        <v>#VALUE!</v>
      </c>
      <c r="GE378" s="55"/>
      <c r="GF378" s="55"/>
      <c r="GG378" s="53">
        <v>527.01</v>
      </c>
      <c r="GH378" s="53">
        <v>1498.675</v>
      </c>
      <c r="GI378" s="55"/>
      <c r="GJ378" s="55"/>
      <c r="GK378" s="53"/>
      <c r="GL378" s="53"/>
      <c r="GM378" s="53">
        <v>103.26600000000001</v>
      </c>
      <c r="GN378" s="53">
        <v>68.647999999999996</v>
      </c>
      <c r="GO378" s="53">
        <v>92.539000000000001</v>
      </c>
      <c r="GP378" s="53"/>
      <c r="GQ378" s="53">
        <v>38.636000000000003</v>
      </c>
      <c r="GR378" s="53"/>
      <c r="GS378" s="53">
        <v>15.597</v>
      </c>
      <c r="GT378" s="53">
        <v>3.0230000000000001</v>
      </c>
      <c r="GU378" s="55"/>
      <c r="GV378" s="55"/>
      <c r="GW378" s="53">
        <v>127.39100000000001</v>
      </c>
      <c r="GX378" s="53">
        <v>449.1</v>
      </c>
      <c r="GY378" s="19">
        <v>0.97971324739498489</v>
      </c>
      <c r="GZ378" s="53">
        <v>1157.8789999999999</v>
      </c>
      <c r="HA378" s="53">
        <v>1181.855</v>
      </c>
      <c r="HB378" s="18">
        <v>168.11702155959961</v>
      </c>
      <c r="HC378" s="18">
        <v>121.23894552499951</v>
      </c>
      <c r="HD378" s="18">
        <v>1390.6730215595994</v>
      </c>
      <c r="HE378" s="18">
        <v>-42.013540000000148</v>
      </c>
      <c r="HF378" s="53">
        <v>1222.5559999999998</v>
      </c>
      <c r="HG378" s="53">
        <v>1091.6289999999999</v>
      </c>
      <c r="HH378" s="53">
        <v>295.07499999999999</v>
      </c>
      <c r="HI378" s="53" t="e">
        <v>#VALUE!</v>
      </c>
      <c r="HJ378" s="53">
        <v>739.85799999999995</v>
      </c>
      <c r="HK378" s="53" t="e">
        <v>#VALUE!</v>
      </c>
      <c r="HL378" s="53">
        <v>130.92699999999999</v>
      </c>
      <c r="HM378" s="53">
        <v>110.42100000000001</v>
      </c>
      <c r="HN378" s="53">
        <v>52.673000000000002</v>
      </c>
      <c r="HO378" s="53">
        <v>57.747999999999998</v>
      </c>
      <c r="HP378" s="53" t="e">
        <v>#VALUE!</v>
      </c>
      <c r="HQ378" s="53" t="e">
        <v>#VALUE!</v>
      </c>
      <c r="HR378" s="53" t="e">
        <v>#VALUE!</v>
      </c>
      <c r="HS378" s="53" t="e">
        <v>#VALUE!</v>
      </c>
      <c r="HT378" s="53">
        <v>4.7729999999999997</v>
      </c>
      <c r="HU378" s="55"/>
      <c r="HV378" s="55"/>
      <c r="HW378" s="55"/>
      <c r="HX378" s="55"/>
      <c r="HY378" s="53">
        <v>261.62799999999999</v>
      </c>
      <c r="HZ378" s="24">
        <v>62.5</v>
      </c>
      <c r="IA378" s="53">
        <v>125.172</v>
      </c>
      <c r="IB378" s="53">
        <v>31.297000000000001</v>
      </c>
      <c r="IC378" s="53">
        <v>93.873999999999995</v>
      </c>
      <c r="ID378" s="53">
        <v>67.272999999999996</v>
      </c>
      <c r="IE378" s="53">
        <v>26.600999999999999</v>
      </c>
      <c r="IF378" s="53" t="e">
        <v>#VALUE!</v>
      </c>
      <c r="IG378" s="53" t="e">
        <v>#VALUE!</v>
      </c>
      <c r="IH378" s="53">
        <v>43.837000000000003</v>
      </c>
      <c r="II378" s="21">
        <v>14.411000000000005</v>
      </c>
      <c r="IJ378" s="53">
        <v>16.925999999999998</v>
      </c>
      <c r="IK378" s="21">
        <v>12.5</v>
      </c>
      <c r="IL378" s="12">
        <v>30.118999999999986</v>
      </c>
      <c r="IM378" s="55"/>
      <c r="IN378" s="53">
        <v>56.597000000000001</v>
      </c>
      <c r="IO378" s="53">
        <v>56.62</v>
      </c>
      <c r="IP378" s="53" t="e">
        <v>#VALUE!</v>
      </c>
      <c r="IQ378" s="53">
        <v>49.935000000000002</v>
      </c>
      <c r="IR378" s="53" t="e">
        <v>#VALUE!</v>
      </c>
      <c r="IS378" s="53" t="e">
        <v>#VALUE!</v>
      </c>
      <c r="IT378" s="53" t="e">
        <v>#VALUE!</v>
      </c>
      <c r="IU378" s="53" t="e">
        <v>#VALUE!</v>
      </c>
      <c r="IV378" s="53" t="e">
        <v>#VALUE!</v>
      </c>
      <c r="IW378" s="53" t="e">
        <v>#VALUE!</v>
      </c>
      <c r="IX378" s="60"/>
      <c r="IY378" s="48">
        <f t="shared" si="17"/>
        <v>47.858208289842139</v>
      </c>
      <c r="IZ378" s="48">
        <f>IY378-'NOPA Crush'!J378</f>
        <v>8.2082898421376171E-3</v>
      </c>
      <c r="JA378" s="66">
        <f t="shared" si="19"/>
        <v>8.6067296445090591E-2</v>
      </c>
      <c r="JB378" s="63">
        <f t="shared" si="20"/>
        <v>11.550324767829048</v>
      </c>
      <c r="JC378" s="64">
        <f>JB378-'NOPA Crush'!O378</f>
        <v>3.2476782904744539E-4</v>
      </c>
      <c r="JD378" s="66">
        <f t="shared" si="21"/>
        <v>-7.6064860573676896E-2</v>
      </c>
      <c r="JE378" s="67">
        <f t="shared" si="16"/>
        <v>3415.395</v>
      </c>
      <c r="JF378" s="68">
        <f>'NOPA Crush'!Q378/'Census Crush'!JE378</f>
        <v>0.90718789481158113</v>
      </c>
      <c r="JG378" s="68">
        <f t="shared" si="22"/>
        <v>0.80304406047649057</v>
      </c>
    </row>
    <row r="379" spans="1:267">
      <c r="A379" s="39">
        <v>40575</v>
      </c>
      <c r="B379" s="51">
        <v>3882.4050000000002</v>
      </c>
      <c r="C379" s="51">
        <v>3323.2890000000002</v>
      </c>
      <c r="D379" s="51">
        <v>229.39099999999999</v>
      </c>
      <c r="E379" s="51">
        <v>1721.761</v>
      </c>
      <c r="F379" s="51">
        <v>19.231999999999999</v>
      </c>
      <c r="G379" s="51" t="s">
        <v>264</v>
      </c>
      <c r="H379" s="51" t="s">
        <v>264</v>
      </c>
      <c r="I379" s="51" t="s">
        <v>264</v>
      </c>
      <c r="J379" s="51" t="s">
        <v>264</v>
      </c>
      <c r="K379" s="51">
        <v>1500.03</v>
      </c>
      <c r="L379" s="51">
        <v>3375.4670000000001</v>
      </c>
      <c r="M379" s="51">
        <v>3075.0619999999999</v>
      </c>
      <c r="N379" s="51">
        <v>300.40499999999997</v>
      </c>
      <c r="O379" s="53">
        <v>71.382000000000005</v>
      </c>
      <c r="P379" s="51">
        <v>152.11799999999999</v>
      </c>
      <c r="Q379" s="51" t="e">
        <v>#VALUE!</v>
      </c>
      <c r="R379" s="51" t="e">
        <v>#VALUE!</v>
      </c>
      <c r="S379" s="51"/>
      <c r="T379" s="51">
        <v>15.256</v>
      </c>
      <c r="U379" s="51">
        <v>16.733000000000001</v>
      </c>
      <c r="V379" s="51" t="e">
        <v>#VALUE!</v>
      </c>
      <c r="W379" s="51" t="e">
        <v>#VALUE!</v>
      </c>
      <c r="X379" s="51" t="s">
        <v>264</v>
      </c>
      <c r="Y379" s="51" t="e">
        <v>#VALUE!</v>
      </c>
      <c r="Z379" s="51">
        <v>121.895</v>
      </c>
      <c r="AA379" s="51" t="e">
        <v>#VALUE!</v>
      </c>
      <c r="AB379" s="51" t="e">
        <v>#VALUE!</v>
      </c>
      <c r="AC379" s="51" t="s">
        <v>264</v>
      </c>
      <c r="AD379" s="51">
        <v>110.869</v>
      </c>
      <c r="AE379" s="51">
        <v>113.56699999999999</v>
      </c>
      <c r="AF379" s="51">
        <v>215.001</v>
      </c>
      <c r="AG379" s="51">
        <v>160.80199999999999</v>
      </c>
      <c r="AH379" s="51">
        <v>54.198999999999998</v>
      </c>
      <c r="AI379" s="51">
        <v>199.43700000000001</v>
      </c>
      <c r="AJ379" s="9">
        <v>196.43700000000001</v>
      </c>
      <c r="AK379" s="22">
        <v>3</v>
      </c>
      <c r="AL379" s="51">
        <v>144.017</v>
      </c>
      <c r="AM379" s="9">
        <v>110.721</v>
      </c>
      <c r="AN379" s="25">
        <v>33.295999999999999</v>
      </c>
      <c r="AO379" s="51">
        <v>2889.2109999999998</v>
      </c>
      <c r="AP379" s="51">
        <v>428.60899999999998</v>
      </c>
      <c r="AQ379" s="51">
        <v>236.93899999999999</v>
      </c>
      <c r="AR379" s="51">
        <v>37.978999999999999</v>
      </c>
      <c r="AS379" s="51">
        <v>103.994</v>
      </c>
      <c r="AT379" s="51">
        <v>24.704999999999998</v>
      </c>
      <c r="AU379" s="51">
        <v>65.471999999999994</v>
      </c>
      <c r="AV379" s="51">
        <v>30.75</v>
      </c>
      <c r="AW379" s="51">
        <v>9.9309999999999992</v>
      </c>
      <c r="AX379" s="51" t="e">
        <v>#VALUE!</v>
      </c>
      <c r="AY379" s="51" t="s">
        <v>264</v>
      </c>
      <c r="AZ379" s="51" t="s">
        <v>264</v>
      </c>
      <c r="BA379" s="51" t="s">
        <v>264</v>
      </c>
      <c r="BB379" s="51" t="s">
        <v>264</v>
      </c>
      <c r="BC379" s="55"/>
      <c r="BD379" s="53">
        <v>150.601</v>
      </c>
      <c r="BE379" s="53">
        <v>31.321999999999999</v>
      </c>
      <c r="BF379" s="53">
        <v>60.448</v>
      </c>
      <c r="BG379" s="53">
        <v>6.2359999999999998</v>
      </c>
      <c r="BH379" s="53">
        <v>260.81200000000001</v>
      </c>
      <c r="BI379" s="53">
        <v>100.881</v>
      </c>
      <c r="BJ379" s="53">
        <v>106.97799999999999</v>
      </c>
      <c r="BK379" s="53">
        <v>207.85900000000001</v>
      </c>
      <c r="BL379" s="55"/>
      <c r="BM379" s="53">
        <v>468.67099999999999</v>
      </c>
      <c r="BN379" s="53">
        <v>192.82400000000001</v>
      </c>
      <c r="BO379" s="53">
        <v>78.959999999999994</v>
      </c>
      <c r="BP379" s="53">
        <v>62.225000000000001</v>
      </c>
      <c r="BQ379" s="53">
        <v>141.185</v>
      </c>
      <c r="BR379" s="55"/>
      <c r="BS379" s="53">
        <v>334.00900000000001</v>
      </c>
      <c r="BT379" s="53">
        <v>19.434999999999999</v>
      </c>
      <c r="BU379" s="53">
        <v>25.331</v>
      </c>
      <c r="BV379" s="51" t="s">
        <v>264</v>
      </c>
      <c r="BW379" s="51" t="s">
        <v>264</v>
      </c>
      <c r="BX379" s="51">
        <v>388.23599999999999</v>
      </c>
      <c r="BY379" s="51" t="s">
        <v>264</v>
      </c>
      <c r="BZ379" s="51" t="s">
        <v>264</v>
      </c>
      <c r="CA379" s="51">
        <v>59.569000000000003</v>
      </c>
      <c r="CB379" s="53">
        <v>106.32</v>
      </c>
      <c r="CC379" s="53">
        <v>19.001999999999999</v>
      </c>
      <c r="CD379" s="53">
        <v>134.71799999999999</v>
      </c>
      <c r="CE379" s="53">
        <v>13.002000000000001</v>
      </c>
      <c r="CF379" s="53">
        <v>105.902</v>
      </c>
      <c r="CG379" s="53">
        <v>93.364000000000004</v>
      </c>
      <c r="CH379" s="53">
        <v>5.016</v>
      </c>
      <c r="CI379" s="53">
        <v>25.14</v>
      </c>
      <c r="CJ379" s="53">
        <v>6.3090000000000002</v>
      </c>
      <c r="CK379" s="53">
        <v>117.32599999999999</v>
      </c>
      <c r="CL379" s="53">
        <v>15.022</v>
      </c>
      <c r="CM379" s="55"/>
      <c r="CN379" s="53" t="e">
        <v>#VALUE!</v>
      </c>
      <c r="CO379" s="53">
        <v>162.66900000000001</v>
      </c>
      <c r="CP379" s="53">
        <v>120.49</v>
      </c>
      <c r="CQ379" s="53">
        <v>42.179000000000002</v>
      </c>
      <c r="CR379" s="53" t="s">
        <v>264</v>
      </c>
      <c r="CS379" s="53">
        <v>47.146000000000001</v>
      </c>
      <c r="CT379" s="53">
        <v>42.502000000000002</v>
      </c>
      <c r="CU379" s="53">
        <v>4.6440000000000001</v>
      </c>
      <c r="CV379" s="53">
        <v>254.68100000000001</v>
      </c>
      <c r="CW379" s="53">
        <v>51.701999999999998</v>
      </c>
      <c r="CX379" s="53">
        <v>202.97900000000001</v>
      </c>
      <c r="CY379" s="53">
        <v>21.215</v>
      </c>
      <c r="CZ379" s="53">
        <v>93.659000000000006</v>
      </c>
      <c r="DA379" s="53">
        <v>19.385999999999999</v>
      </c>
      <c r="DB379" s="53" t="e">
        <v>#VALUE!</v>
      </c>
      <c r="DC379" s="53" t="e">
        <v>#VALUE!</v>
      </c>
      <c r="DD379" s="55"/>
      <c r="DE379" s="55"/>
      <c r="DF379" s="55"/>
      <c r="DG379" s="55"/>
      <c r="DH379" s="55"/>
      <c r="DI379" s="53">
        <v>505.65199999999999</v>
      </c>
      <c r="DJ379" s="53">
        <v>544.09299999999996</v>
      </c>
      <c r="DK379" s="53">
        <v>866.83500000000004</v>
      </c>
      <c r="DL379" s="55"/>
      <c r="DM379" s="53">
        <v>408.69600000000003</v>
      </c>
      <c r="DN379" s="55"/>
      <c r="DO379" s="53">
        <v>243.203</v>
      </c>
      <c r="DP379" s="53">
        <v>208.78399999999999</v>
      </c>
      <c r="DQ379" s="55"/>
      <c r="DR379" s="55"/>
      <c r="DS379" s="53">
        <v>1105.1420000000001</v>
      </c>
      <c r="DT379" s="53">
        <v>3882.4050000000002</v>
      </c>
      <c r="DU379" s="53">
        <v>0</v>
      </c>
      <c r="DV379" s="53">
        <v>0</v>
      </c>
      <c r="DW379" s="55"/>
      <c r="DX379" s="55"/>
      <c r="DY379" s="53"/>
      <c r="DZ379" s="53"/>
      <c r="EA379" s="53">
        <v>441.69299999999998</v>
      </c>
      <c r="EB379" s="53">
        <v>485.74299999999999</v>
      </c>
      <c r="EC379" s="53">
        <v>635.35699999999997</v>
      </c>
      <c r="ED379" s="53"/>
      <c r="EE379" s="53">
        <v>276.89499999999998</v>
      </c>
      <c r="EF379" s="53"/>
      <c r="EG379" s="53">
        <v>99.094999999999999</v>
      </c>
      <c r="EH379" s="53">
        <v>169.98699999999999</v>
      </c>
      <c r="EI379" s="55"/>
      <c r="EJ379" s="55"/>
      <c r="EK379" s="53">
        <v>1214.519</v>
      </c>
      <c r="EL379" s="53">
        <v>3323.2890000000002</v>
      </c>
      <c r="EM379" s="55"/>
      <c r="EN379" s="55"/>
      <c r="EO379" s="53"/>
      <c r="EP379" s="53"/>
      <c r="EQ379" s="53">
        <v>198.10599999999999</v>
      </c>
      <c r="ER379" s="53">
        <v>213.393</v>
      </c>
      <c r="ES379" s="53">
        <v>333.01900000000001</v>
      </c>
      <c r="ET379" s="53"/>
      <c r="EU379" s="53">
        <v>161.155</v>
      </c>
      <c r="EV379" s="53"/>
      <c r="EW379" s="53">
        <v>92.93</v>
      </c>
      <c r="EX379" s="53">
        <v>78.266999999999996</v>
      </c>
      <c r="EY379" s="55"/>
      <c r="EZ379" s="55"/>
      <c r="FA379" s="53">
        <v>423.16</v>
      </c>
      <c r="FB379" s="53">
        <v>1500.03</v>
      </c>
      <c r="FC379" s="55"/>
      <c r="FD379" s="55"/>
      <c r="FE379" s="53"/>
      <c r="FF379" s="53"/>
      <c r="FG379" s="53">
        <v>406.73399999999998</v>
      </c>
      <c r="FH379" s="53">
        <v>444.77699999999999</v>
      </c>
      <c r="FI379" s="53">
        <v>692.87300000000005</v>
      </c>
      <c r="FJ379" s="53"/>
      <c r="FK379" s="53">
        <v>329.67899999999997</v>
      </c>
      <c r="FL379" s="53"/>
      <c r="FM379" s="53">
        <v>196.80099999999999</v>
      </c>
      <c r="FN379" s="53">
        <v>169.91300000000001</v>
      </c>
      <c r="FO379" s="55"/>
      <c r="FP379" s="55"/>
      <c r="FQ379" s="53">
        <v>893.31600000000003</v>
      </c>
      <c r="FR379" s="53">
        <v>3134.0929999999998</v>
      </c>
      <c r="FS379" s="55"/>
      <c r="FT379" s="55"/>
      <c r="FU379" s="53"/>
      <c r="FV379" s="53"/>
      <c r="FW379" s="53">
        <v>306.14299999999997</v>
      </c>
      <c r="FX379" s="53">
        <v>158.50700000000001</v>
      </c>
      <c r="FY379" s="53">
        <v>267.37</v>
      </c>
      <c r="FZ379" s="53"/>
      <c r="GA379" s="53">
        <v>145.321</v>
      </c>
      <c r="GB379" s="53"/>
      <c r="GC379" s="53" t="e">
        <v>#VALUE!</v>
      </c>
      <c r="GD379" s="53" t="e">
        <v>#VALUE!</v>
      </c>
      <c r="GE379" s="55"/>
      <c r="GF379" s="55"/>
      <c r="GG379" s="53">
        <v>548.21500000000003</v>
      </c>
      <c r="GH379" s="53">
        <v>1563.847</v>
      </c>
      <c r="GI379" s="55"/>
      <c r="GJ379" s="55"/>
      <c r="GK379" s="53"/>
      <c r="GL379" s="53"/>
      <c r="GM379" s="53">
        <v>100.497</v>
      </c>
      <c r="GN379" s="53">
        <v>103.354</v>
      </c>
      <c r="GO379" s="53">
        <v>98.754999999999995</v>
      </c>
      <c r="GP379" s="53"/>
      <c r="GQ379" s="53">
        <v>40.341000000000001</v>
      </c>
      <c r="GR379" s="53"/>
      <c r="GS379" s="53">
        <v>15.821999999999999</v>
      </c>
      <c r="GT379" s="53">
        <v>7.9009999999999998</v>
      </c>
      <c r="GU379" s="55"/>
      <c r="GV379" s="55"/>
      <c r="GW379" s="53">
        <v>99.918000000000006</v>
      </c>
      <c r="GX379" s="53">
        <v>466.58800000000002</v>
      </c>
      <c r="GY379" s="19">
        <v>0.98211926881082245</v>
      </c>
      <c r="GZ379" s="53">
        <v>1085.5050000000001</v>
      </c>
      <c r="HA379" s="53">
        <v>1105.268</v>
      </c>
      <c r="HB379" s="18">
        <v>66.923695669400786</v>
      </c>
      <c r="HC379" s="18">
        <v>30.236570575600126</v>
      </c>
      <c r="HD379" s="18">
        <v>1256.9896956694006</v>
      </c>
      <c r="HE379" s="18">
        <v>-76.841000000000122</v>
      </c>
      <c r="HF379" s="53">
        <v>1190.0659999999998</v>
      </c>
      <c r="HG379" s="53">
        <v>1054.4259999999999</v>
      </c>
      <c r="HH379" s="53">
        <v>261.50900000000001</v>
      </c>
      <c r="HI379" s="53" t="e">
        <v>#VALUE!</v>
      </c>
      <c r="HJ379" s="53">
        <v>735.70699999999999</v>
      </c>
      <c r="HK379" s="53" t="e">
        <v>#VALUE!</v>
      </c>
      <c r="HL379" s="53">
        <v>135.63999999999999</v>
      </c>
      <c r="HM379" s="53">
        <v>112.64700000000001</v>
      </c>
      <c r="HN379" s="53">
        <v>58.018000000000001</v>
      </c>
      <c r="HO379" s="53">
        <v>54.628999999999998</v>
      </c>
      <c r="HP379" s="53" t="e">
        <v>#VALUE!</v>
      </c>
      <c r="HQ379" s="53" t="e">
        <v>#VALUE!</v>
      </c>
      <c r="HR379" s="53" t="e">
        <v>#VALUE!</v>
      </c>
      <c r="HS379" s="53" t="e">
        <v>#VALUE!</v>
      </c>
      <c r="HT379" s="53">
        <v>5.4119999999999999</v>
      </c>
      <c r="HU379" s="55"/>
      <c r="HV379" s="55"/>
      <c r="HW379" s="55"/>
      <c r="HX379" s="55"/>
      <c r="HY379" s="53">
        <v>261.49799999999999</v>
      </c>
      <c r="HZ379" s="24">
        <v>60</v>
      </c>
      <c r="IA379" s="53">
        <v>118.70699999999999</v>
      </c>
      <c r="IB379" s="53">
        <v>28.164000000000001</v>
      </c>
      <c r="IC379" s="53">
        <v>90.540999999999997</v>
      </c>
      <c r="ID379" s="53">
        <v>64.691999999999993</v>
      </c>
      <c r="IE379" s="53">
        <v>25.849</v>
      </c>
      <c r="IF379" s="53" t="e">
        <v>#VALUE!</v>
      </c>
      <c r="IG379" s="53" t="e">
        <v>#VALUE!</v>
      </c>
      <c r="IH379" s="53">
        <v>52.787999999999997</v>
      </c>
      <c r="II379" s="21">
        <v>14.621999999999996</v>
      </c>
      <c r="IJ379" s="53">
        <v>25.666</v>
      </c>
      <c r="IK379" s="21">
        <v>12.5</v>
      </c>
      <c r="IL379" s="12">
        <v>30.003</v>
      </c>
      <c r="IM379" s="55"/>
      <c r="IN379" s="53">
        <v>51.607999999999997</v>
      </c>
      <c r="IO379" s="53">
        <v>51.627000000000002</v>
      </c>
      <c r="IP379" s="53" t="e">
        <v>#VALUE!</v>
      </c>
      <c r="IQ379" s="53">
        <v>52.994</v>
      </c>
      <c r="IR379" s="53" t="e">
        <v>#VALUE!</v>
      </c>
      <c r="IS379" s="53" t="e">
        <v>#VALUE!</v>
      </c>
      <c r="IT379" s="53" t="e">
        <v>#VALUE!</v>
      </c>
      <c r="IU379" s="53" t="e">
        <v>#VALUE!</v>
      </c>
      <c r="IV379" s="53" t="e">
        <v>#VALUE!</v>
      </c>
      <c r="IW379" s="53" t="e">
        <v>#VALUE!</v>
      </c>
      <c r="IX379" s="60"/>
      <c r="IY379" s="48">
        <f t="shared" si="17"/>
        <v>48.312579444957436</v>
      </c>
      <c r="IZ379" s="48">
        <f>IY379-'NOPA Crush'!J379</f>
        <v>0.17257944495743516</v>
      </c>
      <c r="JA379" s="66">
        <f t="shared" si="19"/>
        <v>0.15253752422935918</v>
      </c>
      <c r="JB379" s="63">
        <f t="shared" si="20"/>
        <v>11.590985484512821</v>
      </c>
      <c r="JC379" s="64">
        <f>JB379-'NOPA Crush'!O379</f>
        <v>-3.9014515487179935E-2</v>
      </c>
      <c r="JD379" s="66">
        <f t="shared" si="21"/>
        <v>-6.8438743322200499E-2</v>
      </c>
      <c r="JE379" s="67">
        <f t="shared" si="16"/>
        <v>3375.4670000000001</v>
      </c>
      <c r="JF379" s="68">
        <f>'NOPA Crush'!Q379/'Census Crush'!JE379</f>
        <v>0.91894751155914123</v>
      </c>
      <c r="JG379" s="68">
        <f t="shared" si="22"/>
        <v>0.82054724757476372</v>
      </c>
    </row>
    <row r="380" spans="1:267">
      <c r="A380" s="39">
        <v>40603</v>
      </c>
      <c r="B380" s="51">
        <v>4208.0230000000001</v>
      </c>
      <c r="C380" s="51">
        <v>3098.8339999999998</v>
      </c>
      <c r="D380" s="51">
        <v>258.83999999999997</v>
      </c>
      <c r="E380" s="51">
        <v>1490.3320000000001</v>
      </c>
      <c r="F380" s="51"/>
      <c r="G380" s="51" t="s">
        <v>264</v>
      </c>
      <c r="H380" s="51" t="s">
        <v>264</v>
      </c>
      <c r="I380" s="51" t="s">
        <v>264</v>
      </c>
      <c r="J380" s="51" t="s">
        <v>264</v>
      </c>
      <c r="K380" s="51">
        <v>1623.7739999999999</v>
      </c>
      <c r="L380" s="51">
        <v>3409.7910000000002</v>
      </c>
      <c r="M380" s="51">
        <v>3109.8490000000002</v>
      </c>
      <c r="N380" s="51">
        <v>299.94200000000001</v>
      </c>
      <c r="O380" s="53">
        <v>84.585999999999999</v>
      </c>
      <c r="P380" s="51">
        <v>163.54599999999999</v>
      </c>
      <c r="Q380" s="51" t="e">
        <v>#VALUE!</v>
      </c>
      <c r="R380" s="51" t="e">
        <v>#VALUE!</v>
      </c>
      <c r="S380" s="51"/>
      <c r="T380" s="51">
        <v>20.041</v>
      </c>
      <c r="U380" s="51">
        <v>36.573</v>
      </c>
      <c r="V380" s="51" t="e">
        <v>#VALUE!</v>
      </c>
      <c r="W380" s="51" t="e">
        <v>#VALUE!</v>
      </c>
      <c r="X380" s="51" t="s">
        <v>264</v>
      </c>
      <c r="Y380" s="51" t="e">
        <v>#VALUE!</v>
      </c>
      <c r="Z380" s="51">
        <v>135.85599999999999</v>
      </c>
      <c r="AA380" s="51">
        <v>127.379</v>
      </c>
      <c r="AB380" s="51">
        <v>8.4770000000000003</v>
      </c>
      <c r="AC380" s="51" t="s">
        <v>264</v>
      </c>
      <c r="AD380" s="51">
        <v>105.459</v>
      </c>
      <c r="AE380" s="51">
        <v>107.849</v>
      </c>
      <c r="AF380" s="51">
        <v>361.08100000000002</v>
      </c>
      <c r="AG380" s="51">
        <v>284.524</v>
      </c>
      <c r="AH380" s="51">
        <v>76.557000000000002</v>
      </c>
      <c r="AI380" s="51">
        <v>218.11600000000001</v>
      </c>
      <c r="AJ380" s="9">
        <v>215.11600000000001</v>
      </c>
      <c r="AK380" s="22">
        <v>3</v>
      </c>
      <c r="AL380" s="51">
        <v>112.499</v>
      </c>
      <c r="AM380" s="51">
        <v>84.956999999999994</v>
      </c>
      <c r="AN380" s="51">
        <v>27.542000000000002</v>
      </c>
      <c r="AO380" s="51">
        <v>3111.9110000000001</v>
      </c>
      <c r="AP380" s="51">
        <v>294.55099999999999</v>
      </c>
      <c r="AQ380" s="51">
        <v>259.69400000000002</v>
      </c>
      <c r="AR380" s="51">
        <v>30.585000000000001</v>
      </c>
      <c r="AS380" s="51">
        <v>113.491</v>
      </c>
      <c r="AT380" s="51">
        <v>27.585999999999999</v>
      </c>
      <c r="AU380" s="51">
        <v>78.825999999999993</v>
      </c>
      <c r="AV380" s="51">
        <v>39.456000000000003</v>
      </c>
      <c r="AW380" s="51">
        <v>13.602</v>
      </c>
      <c r="AX380" s="51" t="e">
        <v>#VALUE!</v>
      </c>
      <c r="AY380" s="51" t="s">
        <v>264</v>
      </c>
      <c r="AZ380" s="51" t="s">
        <v>264</v>
      </c>
      <c r="BA380" s="51" t="s">
        <v>264</v>
      </c>
      <c r="BB380" s="51" t="s">
        <v>264</v>
      </c>
      <c r="BC380" s="55"/>
      <c r="BD380" s="53">
        <v>172.88200000000001</v>
      </c>
      <c r="BE380" s="53">
        <v>32.378</v>
      </c>
      <c r="BF380" s="53">
        <v>67.572000000000003</v>
      </c>
      <c r="BG380" s="53">
        <v>5.8769999999999998</v>
      </c>
      <c r="BH380" s="53">
        <v>295.69200000000001</v>
      </c>
      <c r="BI380" s="53">
        <v>122.48399999999999</v>
      </c>
      <c r="BJ380" s="53">
        <v>123.38</v>
      </c>
      <c r="BK380" s="53">
        <v>245.864</v>
      </c>
      <c r="BL380" s="55"/>
      <c r="BM380" s="53">
        <v>541.55600000000004</v>
      </c>
      <c r="BN380" s="53">
        <v>153.822</v>
      </c>
      <c r="BO380" s="53">
        <v>68.849000000000004</v>
      </c>
      <c r="BP380" s="53">
        <v>59.737000000000002</v>
      </c>
      <c r="BQ380" s="53">
        <v>128.58600000000001</v>
      </c>
      <c r="BR380" s="55"/>
      <c r="BS380" s="53">
        <v>282.40800000000002</v>
      </c>
      <c r="BT380" s="53">
        <v>19.341999999999999</v>
      </c>
      <c r="BU380" s="53">
        <v>20.902000000000001</v>
      </c>
      <c r="BV380" s="51" t="s">
        <v>264</v>
      </c>
      <c r="BW380" s="51" t="s">
        <v>264</v>
      </c>
      <c r="BX380" s="51">
        <v>439.37099999999998</v>
      </c>
      <c r="BY380" s="51" t="s">
        <v>264</v>
      </c>
      <c r="BZ380" s="51" t="s">
        <v>264</v>
      </c>
      <c r="CA380" s="51">
        <v>43.542000000000002</v>
      </c>
      <c r="CB380" s="53">
        <v>122.187</v>
      </c>
      <c r="CC380" s="53">
        <v>19.805</v>
      </c>
      <c r="CD380" s="53">
        <v>145.79400000000001</v>
      </c>
      <c r="CE380" s="53">
        <v>14.718</v>
      </c>
      <c r="CF380" s="53">
        <v>110.20099999999999</v>
      </c>
      <c r="CG380" s="53">
        <v>101.866</v>
      </c>
      <c r="CH380" s="53">
        <v>3.36</v>
      </c>
      <c r="CI380" s="53">
        <v>27.821000000000002</v>
      </c>
      <c r="CJ380" s="53">
        <v>4.6630000000000003</v>
      </c>
      <c r="CK380" s="53">
        <v>134.93299999999999</v>
      </c>
      <c r="CL380" s="53">
        <v>15.673</v>
      </c>
      <c r="CM380" s="55"/>
      <c r="CN380" s="53" t="e">
        <v>#VALUE!</v>
      </c>
      <c r="CO380" s="53">
        <v>154.59200000000001</v>
      </c>
      <c r="CP380" s="53">
        <v>115.178</v>
      </c>
      <c r="CQ380" s="53">
        <v>39.414000000000001</v>
      </c>
      <c r="CR380" s="53" t="s">
        <v>264</v>
      </c>
      <c r="CS380" s="53">
        <v>50.789000000000001</v>
      </c>
      <c r="CT380" s="53">
        <v>42.725000000000001</v>
      </c>
      <c r="CU380" s="53">
        <v>8.0640000000000001</v>
      </c>
      <c r="CV380" s="53">
        <v>214.05199999999999</v>
      </c>
      <c r="CW380" s="53">
        <v>42.701000000000001</v>
      </c>
      <c r="CX380" s="53">
        <v>171.351</v>
      </c>
      <c r="CY380" s="53">
        <v>18.164999999999999</v>
      </c>
      <c r="CZ380" s="53">
        <v>62.746000000000002</v>
      </c>
      <c r="DA380" s="53">
        <v>23.561</v>
      </c>
      <c r="DB380" s="53" t="e">
        <v>#VALUE!</v>
      </c>
      <c r="DC380" s="53" t="e">
        <v>#VALUE!</v>
      </c>
      <c r="DD380" s="55"/>
      <c r="DE380" s="55"/>
      <c r="DF380" s="55"/>
      <c r="DG380" s="55"/>
      <c r="DH380" s="55"/>
      <c r="DI380" s="53">
        <v>548.98099999999999</v>
      </c>
      <c r="DJ380" s="53">
        <v>596.74300000000005</v>
      </c>
      <c r="DK380" s="53">
        <v>923.83</v>
      </c>
      <c r="DL380" s="55"/>
      <c r="DM380" s="53">
        <v>450.95699999999999</v>
      </c>
      <c r="DN380" s="55"/>
      <c r="DO380" s="53">
        <v>262.24200000000002</v>
      </c>
      <c r="DP380" s="53">
        <v>217.02199999999999</v>
      </c>
      <c r="DQ380" s="55"/>
      <c r="DR380" s="55"/>
      <c r="DS380" s="53">
        <v>1208.248</v>
      </c>
      <c r="DT380" s="53">
        <v>4208.0230000000001</v>
      </c>
      <c r="DU380" s="53">
        <v>0</v>
      </c>
      <c r="DV380" s="53">
        <v>0</v>
      </c>
      <c r="DW380" s="55"/>
      <c r="DX380" s="55"/>
      <c r="DY380" s="53"/>
      <c r="DZ380" s="53"/>
      <c r="EA380" s="53">
        <v>387.779</v>
      </c>
      <c r="EB380" s="53">
        <v>495.25200000000001</v>
      </c>
      <c r="EC380" s="53">
        <v>623.70299999999997</v>
      </c>
      <c r="ED380" s="53"/>
      <c r="EE380" s="53">
        <v>263.91399999999999</v>
      </c>
      <c r="EF380" s="53"/>
      <c r="EG380" s="53">
        <v>100.003</v>
      </c>
      <c r="EH380" s="53">
        <v>191.745</v>
      </c>
      <c r="EI380" s="55"/>
      <c r="EJ380" s="55"/>
      <c r="EK380" s="53">
        <v>1036.4380000000001</v>
      </c>
      <c r="EL380" s="53">
        <v>3098.8339999999998</v>
      </c>
      <c r="EM380" s="55"/>
      <c r="EN380" s="55"/>
      <c r="EO380" s="53"/>
      <c r="EP380" s="53"/>
      <c r="EQ380" s="53">
        <v>212.65799999999999</v>
      </c>
      <c r="ER380" s="53">
        <v>229.38800000000001</v>
      </c>
      <c r="ES380" s="53">
        <v>355.76600000000002</v>
      </c>
      <c r="ET380" s="53"/>
      <c r="EU380" s="53">
        <v>178.70400000000001</v>
      </c>
      <c r="EV380" s="53"/>
      <c r="EW380" s="53">
        <v>100.304</v>
      </c>
      <c r="EX380" s="53">
        <v>83.072999999999993</v>
      </c>
      <c r="EY380" s="55"/>
      <c r="EZ380" s="55"/>
      <c r="FA380" s="53">
        <v>463.88099999999997</v>
      </c>
      <c r="FB380" s="53">
        <v>1623.7739999999999</v>
      </c>
      <c r="FC380" s="55"/>
      <c r="FD380" s="55"/>
      <c r="FE380" s="53"/>
      <c r="FF380" s="53"/>
      <c r="FG380" s="53">
        <v>435.40600000000001</v>
      </c>
      <c r="FH380" s="53">
        <v>482.14800000000002</v>
      </c>
      <c r="FI380" s="53">
        <v>738.678</v>
      </c>
      <c r="FJ380" s="53"/>
      <c r="FK380" s="53">
        <v>358.92700000000002</v>
      </c>
      <c r="FL380" s="53"/>
      <c r="FM380" s="53">
        <v>211.96299999999999</v>
      </c>
      <c r="FN380" s="53">
        <v>179.24700000000001</v>
      </c>
      <c r="FO380" s="55"/>
      <c r="FP380" s="55"/>
      <c r="FQ380" s="53">
        <v>973.28300000000002</v>
      </c>
      <c r="FR380" s="53">
        <v>3379.652</v>
      </c>
      <c r="FS380" s="55"/>
      <c r="FT380" s="55"/>
      <c r="FU380" s="53"/>
      <c r="FV380" s="53"/>
      <c r="FW380" s="53">
        <v>297.46600000000001</v>
      </c>
      <c r="FX380" s="53">
        <v>151.18899999999999</v>
      </c>
      <c r="FY380" s="53">
        <v>245.45699999999999</v>
      </c>
      <c r="FZ380" s="53"/>
      <c r="GA380" s="53">
        <v>136.458</v>
      </c>
      <c r="GB380" s="53"/>
      <c r="GC380" s="53" t="e">
        <v>#VALUE!</v>
      </c>
      <c r="GD380" s="53" t="e">
        <v>#VALUE!</v>
      </c>
      <c r="GE380" s="55"/>
      <c r="GF380" s="55"/>
      <c r="GG380" s="53">
        <v>531.97699999999998</v>
      </c>
      <c r="GH380" s="53">
        <v>1514.838</v>
      </c>
      <c r="GI380" s="55"/>
      <c r="GJ380" s="55"/>
      <c r="GK380" s="53"/>
      <c r="GL380" s="53"/>
      <c r="GM380" s="53">
        <v>47.930999999999997</v>
      </c>
      <c r="GN380" s="53">
        <v>95.647000000000006</v>
      </c>
      <c r="GO380" s="53">
        <v>62.445999999999998</v>
      </c>
      <c r="GP380" s="53"/>
      <c r="GQ380" s="53">
        <v>28.885000000000002</v>
      </c>
      <c r="GR380" s="53"/>
      <c r="GS380" s="53">
        <v>10.157999999999999</v>
      </c>
      <c r="GT380" s="53">
        <v>3.0710000000000002</v>
      </c>
      <c r="GU380" s="55"/>
      <c r="GV380" s="55"/>
      <c r="GW380" s="53">
        <v>76.998000000000005</v>
      </c>
      <c r="GX380" s="53">
        <v>325.13600000000002</v>
      </c>
      <c r="GY380" s="19">
        <v>0.98257137073523815</v>
      </c>
      <c r="GZ380" s="53">
        <v>1281.4459999999999</v>
      </c>
      <c r="HA380" s="53">
        <v>1304.1759999999999</v>
      </c>
      <c r="HB380" s="18">
        <v>-184.54853905640061</v>
      </c>
      <c r="HC380" s="18">
        <v>-37.682362084799934</v>
      </c>
      <c r="HD380" s="18">
        <v>1273.7344609435995</v>
      </c>
      <c r="HE380" s="18">
        <v>72.619190000000344</v>
      </c>
      <c r="HF380" s="53">
        <v>1458.2830000000001</v>
      </c>
      <c r="HG380" s="53">
        <v>1260.7670000000001</v>
      </c>
      <c r="HH380" s="53">
        <v>317.77300000000002</v>
      </c>
      <c r="HI380" s="53" t="e">
        <v>#VALUE!</v>
      </c>
      <c r="HJ380" s="53">
        <v>871.03899999999999</v>
      </c>
      <c r="HK380" s="53" t="e">
        <v>#VALUE!</v>
      </c>
      <c r="HL380" s="53">
        <v>197.51599999999999</v>
      </c>
      <c r="HM380" s="53">
        <v>176.31299999999999</v>
      </c>
      <c r="HN380" s="53">
        <v>103.786</v>
      </c>
      <c r="HO380" s="53">
        <v>72.527000000000001</v>
      </c>
      <c r="HP380" s="53" t="e">
        <v>#VALUE!</v>
      </c>
      <c r="HQ380" s="53" t="e">
        <v>#VALUE!</v>
      </c>
      <c r="HR380" s="53" t="e">
        <v>#VALUE!</v>
      </c>
      <c r="HS380" s="53" t="e">
        <v>#VALUE!</v>
      </c>
      <c r="HT380" s="53">
        <v>3.851</v>
      </c>
      <c r="HU380" s="55"/>
      <c r="HV380" s="55"/>
      <c r="HW380" s="55"/>
      <c r="HX380" s="55"/>
      <c r="HY380" s="53">
        <v>277.39</v>
      </c>
      <c r="HZ380" s="24">
        <v>55</v>
      </c>
      <c r="IA380" s="53">
        <v>126.28700000000001</v>
      </c>
      <c r="IB380" s="53">
        <v>20.013999999999999</v>
      </c>
      <c r="IC380" s="53">
        <v>106.273</v>
      </c>
      <c r="ID380" s="53">
        <v>74.210999999999999</v>
      </c>
      <c r="IE380" s="53">
        <v>32.061999999999998</v>
      </c>
      <c r="IF380" s="53" t="e">
        <v>#VALUE!</v>
      </c>
      <c r="IG380" s="53" t="e">
        <v>#VALUE!</v>
      </c>
      <c r="IH380" s="53">
        <v>78.147999999999996</v>
      </c>
      <c r="II380" s="21">
        <v>16.089999999999996</v>
      </c>
      <c r="IJ380" s="53">
        <v>44.558</v>
      </c>
      <c r="IK380" s="21">
        <v>17.5</v>
      </c>
      <c r="IL380" s="12">
        <v>17.954999999999984</v>
      </c>
      <c r="IM380" s="55"/>
      <c r="IN380" s="53">
        <v>60.173000000000002</v>
      </c>
      <c r="IO380" s="53">
        <v>60.195</v>
      </c>
      <c r="IP380" s="53" t="e">
        <v>#VALUE!</v>
      </c>
      <c r="IQ380" s="53">
        <v>68.442999999999998</v>
      </c>
      <c r="IR380" s="53" t="e">
        <v>#VALUE!</v>
      </c>
      <c r="IS380" s="53" t="e">
        <v>#VALUE!</v>
      </c>
      <c r="IT380" s="53" t="e">
        <v>#VALUE!</v>
      </c>
      <c r="IU380" s="53" t="e">
        <v>#VALUE!</v>
      </c>
      <c r="IV380" s="53" t="e">
        <v>#VALUE!</v>
      </c>
      <c r="IW380" s="53" t="e">
        <v>#VALUE!</v>
      </c>
      <c r="IX380" s="60"/>
      <c r="IY380" s="48">
        <f t="shared" si="17"/>
        <v>48.073953017842342</v>
      </c>
      <c r="IZ380" s="48">
        <f>IY380-'NOPA Crush'!J380</f>
        <v>3.3953017842343058E-2</v>
      </c>
      <c r="JA380" s="66">
        <f t="shared" si="19"/>
        <v>4.2851788439427455E-2</v>
      </c>
      <c r="JB380" s="63">
        <f t="shared" si="20"/>
        <v>11.576272277979468</v>
      </c>
      <c r="JC380" s="64">
        <f>JB380-'NOPA Crush'!O380</f>
        <v>-7.3727722020532127E-2</v>
      </c>
      <c r="JD380" s="66">
        <f t="shared" si="21"/>
        <v>-5.0504306311119684E-2</v>
      </c>
      <c r="JE380" s="67">
        <f t="shared" si="16"/>
        <v>3409.7910000000002</v>
      </c>
      <c r="JF380" s="68">
        <f>'NOPA Crush'!Q380/'Census Crush'!JE380</f>
        <v>0.89735499917736894</v>
      </c>
      <c r="JG380" s="68">
        <f t="shared" si="22"/>
        <v>0.81582147257293181</v>
      </c>
    </row>
    <row r="381" spans="1:267">
      <c r="A381" s="39">
        <v>40634</v>
      </c>
      <c r="B381" s="51">
        <v>3839.636</v>
      </c>
      <c r="C381" s="51">
        <v>2806.232</v>
      </c>
      <c r="D381" s="51">
        <v>235.614</v>
      </c>
      <c r="E381" s="51">
        <v>1248.229</v>
      </c>
      <c r="F381" s="51">
        <v>21.757000000000001</v>
      </c>
      <c r="G381" s="51" t="s">
        <v>264</v>
      </c>
      <c r="H381" s="51" t="s">
        <v>264</v>
      </c>
      <c r="I381" s="51" t="s">
        <v>264</v>
      </c>
      <c r="J381" s="51" t="s">
        <v>264</v>
      </c>
      <c r="K381" s="51">
        <v>1504.598</v>
      </c>
      <c r="L381" s="51">
        <v>3342.0680000000002</v>
      </c>
      <c r="M381" s="51">
        <v>3010.3980000000001</v>
      </c>
      <c r="N381" s="51">
        <v>331.67</v>
      </c>
      <c r="O381" s="53">
        <v>77.308000000000007</v>
      </c>
      <c r="P381" s="51">
        <v>163.15199999999999</v>
      </c>
      <c r="Q381" s="51" t="e">
        <v>#VALUE!</v>
      </c>
      <c r="R381" s="51" t="e">
        <v>#VALUE!</v>
      </c>
      <c r="S381" s="51"/>
      <c r="T381" s="51">
        <v>17.907</v>
      </c>
      <c r="U381" s="51">
        <v>40.628999999999998</v>
      </c>
      <c r="V381" s="51" t="e">
        <v>#VALUE!</v>
      </c>
      <c r="W381" s="51" t="e">
        <v>#VALUE!</v>
      </c>
      <c r="X381" s="51" t="s">
        <v>264</v>
      </c>
      <c r="Y381" s="51" t="e">
        <v>#VALUE!</v>
      </c>
      <c r="Z381" s="51">
        <v>127.32299999999999</v>
      </c>
      <c r="AA381" s="51">
        <v>122.14100000000001</v>
      </c>
      <c r="AB381" s="51">
        <v>5.1820000000000004</v>
      </c>
      <c r="AC381" s="51" t="s">
        <v>264</v>
      </c>
      <c r="AD381" s="51">
        <v>100.523</v>
      </c>
      <c r="AE381" s="51">
        <v>103.961</v>
      </c>
      <c r="AF381" s="51">
        <v>335.76900000000001</v>
      </c>
      <c r="AG381" s="51">
        <v>273.13299999999998</v>
      </c>
      <c r="AH381" s="51">
        <v>62.636000000000003</v>
      </c>
      <c r="AI381" s="51">
        <v>203.05699999999999</v>
      </c>
      <c r="AJ381" s="9">
        <v>200.05699999999999</v>
      </c>
      <c r="AK381" s="22">
        <v>3</v>
      </c>
      <c r="AL381" s="51">
        <v>148.084</v>
      </c>
      <c r="AM381" s="51">
        <v>105.514</v>
      </c>
      <c r="AN381" s="51">
        <v>42.57</v>
      </c>
      <c r="AO381" s="51">
        <v>2873.2170000000001</v>
      </c>
      <c r="AP381" s="51">
        <v>403.99200000000002</v>
      </c>
      <c r="AQ381" s="51">
        <v>239.721</v>
      </c>
      <c r="AR381" s="51">
        <v>38.951000000000001</v>
      </c>
      <c r="AS381" s="51">
        <v>106.765</v>
      </c>
      <c r="AT381" s="51">
        <v>36.893000000000001</v>
      </c>
      <c r="AU381" s="51">
        <v>65.486999999999995</v>
      </c>
      <c r="AV381" s="51">
        <v>40.161999999999999</v>
      </c>
      <c r="AW381" s="51">
        <v>11.941000000000001</v>
      </c>
      <c r="AX381" s="51" t="e">
        <v>#VALUE!</v>
      </c>
      <c r="AY381" s="51" t="s">
        <v>264</v>
      </c>
      <c r="AZ381" s="51" t="s">
        <v>264</v>
      </c>
      <c r="BA381" s="51" t="s">
        <v>264</v>
      </c>
      <c r="BB381" s="51" t="s">
        <v>264</v>
      </c>
      <c r="BC381" s="55"/>
      <c r="BD381" s="53">
        <v>157.61799999999999</v>
      </c>
      <c r="BE381" s="53">
        <v>33.753</v>
      </c>
      <c r="BF381" s="53">
        <v>64.150000000000006</v>
      </c>
      <c r="BG381" s="53">
        <v>7.5430000000000001</v>
      </c>
      <c r="BH381" s="53">
        <v>261.62400000000002</v>
      </c>
      <c r="BI381" s="53">
        <v>108.627</v>
      </c>
      <c r="BJ381" s="53">
        <v>108.76900000000001</v>
      </c>
      <c r="BK381" s="53">
        <v>217.39599999999999</v>
      </c>
      <c r="BL381" s="55"/>
      <c r="BM381" s="53">
        <v>479.02</v>
      </c>
      <c r="BN381" s="53">
        <v>161.41499999999999</v>
      </c>
      <c r="BO381" s="53">
        <v>76.605000000000004</v>
      </c>
      <c r="BP381" s="53">
        <v>63.851999999999997</v>
      </c>
      <c r="BQ381" s="53">
        <v>140.45699999999999</v>
      </c>
      <c r="BR381" s="55"/>
      <c r="BS381" s="53">
        <v>301.87200000000001</v>
      </c>
      <c r="BT381" s="53">
        <v>18.844000000000001</v>
      </c>
      <c r="BU381" s="53">
        <v>26.195</v>
      </c>
      <c r="BV381" s="51" t="s">
        <v>264</v>
      </c>
      <c r="BW381" s="51" t="s">
        <v>264</v>
      </c>
      <c r="BX381" s="51">
        <v>378.964</v>
      </c>
      <c r="BY381" s="51" t="s">
        <v>264</v>
      </c>
      <c r="BZ381" s="51" t="s">
        <v>264</v>
      </c>
      <c r="CA381" s="51">
        <v>48.103999999999999</v>
      </c>
      <c r="CB381" s="53">
        <v>111.79300000000001</v>
      </c>
      <c r="CC381" s="53">
        <v>25.762</v>
      </c>
      <c r="CD381" s="53">
        <v>135.54400000000001</v>
      </c>
      <c r="CE381" s="53">
        <v>16.831</v>
      </c>
      <c r="CF381" s="53">
        <v>108.592</v>
      </c>
      <c r="CG381" s="53">
        <v>107.637</v>
      </c>
      <c r="CH381" s="53">
        <v>5.3090000000000002</v>
      </c>
      <c r="CI381" s="53">
        <v>28.428999999999998</v>
      </c>
      <c r="CJ381" s="53">
        <v>6.7560000000000002</v>
      </c>
      <c r="CK381" s="53">
        <v>128.208</v>
      </c>
      <c r="CL381" s="53">
        <v>17.119</v>
      </c>
      <c r="CM381" s="55"/>
      <c r="CN381" s="53" t="e">
        <v>#VALUE!</v>
      </c>
      <c r="CO381" s="53">
        <v>150.03</v>
      </c>
      <c r="CP381" s="53">
        <v>135.31299999999999</v>
      </c>
      <c r="CQ381" s="53">
        <v>14.717000000000001</v>
      </c>
      <c r="CR381" s="53" t="s">
        <v>264</v>
      </c>
      <c r="CS381" s="53">
        <v>41.106000000000002</v>
      </c>
      <c r="CT381" s="53">
        <v>33.5</v>
      </c>
      <c r="CU381" s="53">
        <v>7.6059999999999999</v>
      </c>
      <c r="CV381" s="53">
        <v>256.30900000000003</v>
      </c>
      <c r="CW381" s="53">
        <v>36.853000000000002</v>
      </c>
      <c r="CX381" s="53">
        <v>219.45599999999999</v>
      </c>
      <c r="CY381" s="53">
        <v>17.803000000000001</v>
      </c>
      <c r="CZ381" s="53">
        <v>59.341000000000001</v>
      </c>
      <c r="DA381" s="53">
        <v>19.728000000000002</v>
      </c>
      <c r="DB381" s="53" t="e">
        <v>#VALUE!</v>
      </c>
      <c r="DC381" s="53" t="e">
        <v>#VALUE!</v>
      </c>
      <c r="DD381" s="55"/>
      <c r="DE381" s="55"/>
      <c r="DF381" s="55"/>
      <c r="DG381" s="55"/>
      <c r="DH381" s="55"/>
      <c r="DI381" s="53">
        <v>516.88599999999997</v>
      </c>
      <c r="DJ381" s="53">
        <v>525.43200000000002</v>
      </c>
      <c r="DK381" s="53">
        <v>860.66300000000001</v>
      </c>
      <c r="DL381" s="55"/>
      <c r="DM381" s="53">
        <v>394.94200000000001</v>
      </c>
      <c r="DN381" s="55"/>
      <c r="DO381" s="53">
        <v>212.92099999999999</v>
      </c>
      <c r="DP381" s="53">
        <v>205.03200000000001</v>
      </c>
      <c r="DQ381" s="55"/>
      <c r="DR381" s="55"/>
      <c r="DS381" s="53">
        <v>1123.76</v>
      </c>
      <c r="DT381" s="53">
        <v>3839.636</v>
      </c>
      <c r="DU381" s="53">
        <v>0</v>
      </c>
      <c r="DV381" s="53">
        <v>0</v>
      </c>
      <c r="DW381" s="55"/>
      <c r="DX381" s="55"/>
      <c r="DY381" s="53"/>
      <c r="DZ381" s="53"/>
      <c r="EA381" s="53">
        <v>316.30900000000003</v>
      </c>
      <c r="EB381" s="53">
        <v>506.72800000000001</v>
      </c>
      <c r="EC381" s="53">
        <v>517.80200000000002</v>
      </c>
      <c r="ED381" s="53"/>
      <c r="EE381" s="53">
        <v>285.565</v>
      </c>
      <c r="EF381" s="53"/>
      <c r="EG381" s="53">
        <v>129.321</v>
      </c>
      <c r="EH381" s="53">
        <v>148.363</v>
      </c>
      <c r="EI381" s="55"/>
      <c r="EJ381" s="55"/>
      <c r="EK381" s="53">
        <v>902.14400000000001</v>
      </c>
      <c r="EL381" s="53">
        <v>2806.232</v>
      </c>
      <c r="EM381" s="55"/>
      <c r="EN381" s="55"/>
      <c r="EO381" s="53"/>
      <c r="EP381" s="53"/>
      <c r="EQ381" s="53">
        <v>202.29400000000001</v>
      </c>
      <c r="ER381" s="53">
        <v>203.62700000000001</v>
      </c>
      <c r="ES381" s="53">
        <v>334.01</v>
      </c>
      <c r="ET381" s="53"/>
      <c r="EU381" s="53">
        <v>157.83500000000001</v>
      </c>
      <c r="EV381" s="53"/>
      <c r="EW381" s="53">
        <v>82.457999999999998</v>
      </c>
      <c r="EX381" s="53">
        <v>78.775999999999996</v>
      </c>
      <c r="EY381" s="55"/>
      <c r="EZ381" s="55"/>
      <c r="FA381" s="53">
        <v>445.59800000000001</v>
      </c>
      <c r="FB381" s="53">
        <v>1504.598</v>
      </c>
      <c r="FC381" s="55"/>
      <c r="FD381" s="55"/>
      <c r="FE381" s="53"/>
      <c r="FF381" s="53"/>
      <c r="FG381" s="53">
        <v>411.36599999999999</v>
      </c>
      <c r="FH381" s="53">
        <v>426.12900000000002</v>
      </c>
      <c r="FI381" s="53">
        <v>692.20399999999995</v>
      </c>
      <c r="FJ381" s="53"/>
      <c r="FK381" s="53">
        <v>319.13099999999997</v>
      </c>
      <c r="FL381" s="53"/>
      <c r="FM381" s="53">
        <v>172.13800000000001</v>
      </c>
      <c r="FN381" s="53">
        <v>169.95</v>
      </c>
      <c r="FO381" s="55"/>
      <c r="FP381" s="55"/>
      <c r="FQ381" s="53">
        <v>930.101</v>
      </c>
      <c r="FR381" s="53">
        <v>3121.0189999999998</v>
      </c>
      <c r="FS381" s="55"/>
      <c r="FT381" s="55"/>
      <c r="FU381" s="53"/>
      <c r="FV381" s="53"/>
      <c r="FW381" s="53">
        <v>300.44900000000001</v>
      </c>
      <c r="FX381" s="53">
        <v>136.191</v>
      </c>
      <c r="FY381" s="53">
        <v>231.65799999999999</v>
      </c>
      <c r="FZ381" s="53"/>
      <c r="GA381" s="53">
        <v>134.05699999999999</v>
      </c>
      <c r="GB381" s="53"/>
      <c r="GC381" s="53" t="e">
        <v>#VALUE!</v>
      </c>
      <c r="GD381" s="53" t="e">
        <v>#VALUE!</v>
      </c>
      <c r="GE381" s="55"/>
      <c r="GF381" s="55"/>
      <c r="GG381" s="53">
        <v>554.84299999999996</v>
      </c>
      <c r="GH381" s="53">
        <v>1500.011</v>
      </c>
      <c r="GI381" s="55"/>
      <c r="GJ381" s="55"/>
      <c r="GK381" s="53"/>
      <c r="GL381" s="53"/>
      <c r="GM381" s="53">
        <v>71.98</v>
      </c>
      <c r="GN381" s="53">
        <v>121.77200000000001</v>
      </c>
      <c r="GO381" s="53">
        <v>81.373999999999995</v>
      </c>
      <c r="GP381" s="53"/>
      <c r="GQ381" s="53">
        <v>27.672000000000001</v>
      </c>
      <c r="GR381" s="53"/>
      <c r="GS381" s="53">
        <v>13.337999999999999</v>
      </c>
      <c r="GT381" s="53">
        <v>4.1950000000000003</v>
      </c>
      <c r="GU381" s="55"/>
      <c r="GV381" s="55"/>
      <c r="GW381" s="53">
        <v>122.61199999999999</v>
      </c>
      <c r="GX381" s="53">
        <v>442.94299999999998</v>
      </c>
      <c r="GY381" s="19">
        <v>0.98112224350200861</v>
      </c>
      <c r="GZ381" s="53">
        <v>1235.124</v>
      </c>
      <c r="HA381" s="53">
        <v>1258.8889999999999</v>
      </c>
      <c r="HB381" s="18">
        <v>-13.376256286799844</v>
      </c>
      <c r="HC381" s="18">
        <v>113.07843039960062</v>
      </c>
      <c r="HD381" s="18">
        <v>1399.8547437132002</v>
      </c>
      <c r="HE381" s="18">
        <v>167.80762000000004</v>
      </c>
      <c r="HF381" s="53">
        <v>1413.231</v>
      </c>
      <c r="HG381" s="53">
        <v>1171.509</v>
      </c>
      <c r="HH381" s="53">
        <v>299.66199999999998</v>
      </c>
      <c r="HI381" s="53" t="e">
        <v>#VALUE!</v>
      </c>
      <c r="HJ381" s="53">
        <v>808.33399999999995</v>
      </c>
      <c r="HK381" s="53" t="e">
        <v>#VALUE!</v>
      </c>
      <c r="HL381" s="53">
        <v>241.72200000000001</v>
      </c>
      <c r="HM381" s="53">
        <v>216.76900000000001</v>
      </c>
      <c r="HN381" s="53">
        <v>125.657</v>
      </c>
      <c r="HO381" s="53">
        <v>91.111999999999995</v>
      </c>
      <c r="HP381" s="53" t="e">
        <v>#VALUE!</v>
      </c>
      <c r="HQ381" s="53" t="e">
        <v>#VALUE!</v>
      </c>
      <c r="HR381" s="53" t="e">
        <v>#VALUE!</v>
      </c>
      <c r="HS381" s="53" t="e">
        <v>#VALUE!</v>
      </c>
      <c r="HT381" s="53">
        <v>4.859</v>
      </c>
      <c r="HU381" s="55"/>
      <c r="HV381" s="55"/>
      <c r="HW381" s="55"/>
      <c r="HX381" s="55"/>
      <c r="HY381" s="53">
        <v>296.185</v>
      </c>
      <c r="HZ381" s="24">
        <v>60</v>
      </c>
      <c r="IA381" s="53">
        <v>113.657</v>
      </c>
      <c r="IB381" s="12">
        <v>15</v>
      </c>
      <c r="IC381" s="12">
        <v>98.656999999999996</v>
      </c>
      <c r="ID381" s="53">
        <v>67.772000000000006</v>
      </c>
      <c r="IE381" s="12">
        <v>30.884999999999991</v>
      </c>
      <c r="IF381" s="53" t="e">
        <v>#VALUE!</v>
      </c>
      <c r="IG381" s="53" t="e">
        <v>#VALUE!</v>
      </c>
      <c r="IH381" s="53">
        <v>100.27800000000001</v>
      </c>
      <c r="II381" s="53">
        <v>24.219000000000001</v>
      </c>
      <c r="IJ381" s="53">
        <v>48.289000000000001</v>
      </c>
      <c r="IK381" s="53">
        <v>27.77</v>
      </c>
      <c r="IL381" s="12">
        <v>22.25</v>
      </c>
      <c r="IM381" s="55"/>
      <c r="IN381" s="53">
        <v>56.383000000000003</v>
      </c>
      <c r="IO381" s="53">
        <v>56.404000000000003</v>
      </c>
      <c r="IP381" s="53" t="e">
        <v>#VALUE!</v>
      </c>
      <c r="IQ381" s="53">
        <v>66.674999999999997</v>
      </c>
      <c r="IR381" s="53" t="e">
        <v>#VALUE!</v>
      </c>
      <c r="IS381" s="53" t="e">
        <v>#VALUE!</v>
      </c>
      <c r="IT381" s="53" t="e">
        <v>#VALUE!</v>
      </c>
      <c r="IU381" s="53" t="e">
        <v>#VALUE!</v>
      </c>
      <c r="IV381" s="53" t="e">
        <v>#VALUE!</v>
      </c>
      <c r="IW381" s="53" t="e">
        <v>#VALUE!</v>
      </c>
      <c r="IX381" s="60"/>
      <c r="IY381" s="48">
        <f t="shared" si="17"/>
        <v>48.644267321173153</v>
      </c>
      <c r="IZ381" s="48">
        <f>IY381-'NOPA Crush'!J381</f>
        <v>0.46426732117315339</v>
      </c>
      <c r="JA381" s="66">
        <f t="shared" si="19"/>
        <v>0.17964245291992284</v>
      </c>
      <c r="JB381" s="63">
        <f t="shared" si="20"/>
        <v>11.755786225569299</v>
      </c>
      <c r="JC381" s="64">
        <f>JB381-'NOPA Crush'!O381</f>
        <v>3.5786225569298225E-2</v>
      </c>
      <c r="JD381" s="66">
        <f t="shared" si="21"/>
        <v>-5.1100273931019478E-2</v>
      </c>
      <c r="JE381" s="67">
        <f t="shared" si="16"/>
        <v>3342.0680000000002</v>
      </c>
      <c r="JF381" s="68">
        <f>'NOPA Crush'!Q381/'Census Crush'!JE381</f>
        <v>0.80621698900201899</v>
      </c>
      <c r="JG381" s="68">
        <f t="shared" si="22"/>
        <v>0.81060466997941028</v>
      </c>
    </row>
    <row r="382" spans="1:267">
      <c r="A382" s="39">
        <v>40664</v>
      </c>
      <c r="B382" s="51">
        <v>3841.1570000000002</v>
      </c>
      <c r="C382" s="51">
        <v>2459.5010000000002</v>
      </c>
      <c r="D382" s="51">
        <v>235.56100000000001</v>
      </c>
      <c r="E382" s="51">
        <v>1022.643</v>
      </c>
      <c r="F382" s="51">
        <v>20.853000000000002</v>
      </c>
      <c r="G382" s="51" t="s">
        <v>264</v>
      </c>
      <c r="H382" s="51" t="s">
        <v>264</v>
      </c>
      <c r="I382" s="51" t="s">
        <v>264</v>
      </c>
      <c r="J382" s="51" t="s">
        <v>264</v>
      </c>
      <c r="K382" s="51">
        <v>1491.1949999999999</v>
      </c>
      <c r="L382" s="51">
        <v>3177.3229999999999</v>
      </c>
      <c r="M382" s="51">
        <v>2917.3539999999998</v>
      </c>
      <c r="N382" s="51">
        <v>259.96899999999999</v>
      </c>
      <c r="O382" s="53">
        <v>80.006</v>
      </c>
      <c r="P382" s="51">
        <v>180.14500000000001</v>
      </c>
      <c r="Q382" s="51" t="e">
        <v>#VALUE!</v>
      </c>
      <c r="R382" s="51" t="e">
        <v>#VALUE!</v>
      </c>
      <c r="S382" s="51"/>
      <c r="T382" s="51">
        <v>17.260999999999999</v>
      </c>
      <c r="U382" s="51">
        <v>26.138000000000002</v>
      </c>
      <c r="V382" s="51" t="e">
        <v>#VALUE!</v>
      </c>
      <c r="W382" s="51" t="e">
        <v>#VALUE!</v>
      </c>
      <c r="X382" s="51" t="s">
        <v>264</v>
      </c>
      <c r="Y382" s="51" t="e">
        <v>#VALUE!</v>
      </c>
      <c r="Z382" s="51">
        <v>115.13</v>
      </c>
      <c r="AA382" s="51">
        <v>107.129</v>
      </c>
      <c r="AB382" s="51">
        <v>8.0009999999999994</v>
      </c>
      <c r="AC382" s="51" t="s">
        <v>264</v>
      </c>
      <c r="AD382" s="51">
        <v>112.69199999999999</v>
      </c>
      <c r="AE382" s="51">
        <v>115.947</v>
      </c>
      <c r="AF382" s="51">
        <v>401.43299999999999</v>
      </c>
      <c r="AG382" s="51">
        <v>299.17500000000001</v>
      </c>
      <c r="AH382" s="51">
        <v>102.258</v>
      </c>
      <c r="AI382" s="51">
        <v>215.005</v>
      </c>
      <c r="AJ382" s="9">
        <v>212.005</v>
      </c>
      <c r="AK382" s="22">
        <v>3</v>
      </c>
      <c r="AL382" s="51">
        <v>135.49199999999999</v>
      </c>
      <c r="AM382" s="51">
        <v>113.785</v>
      </c>
      <c r="AN382" s="51">
        <v>21.707000000000001</v>
      </c>
      <c r="AO382" s="51">
        <v>2865.7759999999998</v>
      </c>
      <c r="AP382" s="51">
        <v>333.54700000000003</v>
      </c>
      <c r="AQ382" s="51">
        <v>234.74600000000001</v>
      </c>
      <c r="AR382" s="51">
        <v>41.41</v>
      </c>
      <c r="AS382" s="51">
        <v>110.069</v>
      </c>
      <c r="AT382" s="51">
        <v>41.460999999999999</v>
      </c>
      <c r="AU382" s="51">
        <v>69.290000000000006</v>
      </c>
      <c r="AV382" s="51">
        <v>39.386000000000003</v>
      </c>
      <c r="AW382" s="51">
        <v>11.824999999999999</v>
      </c>
      <c r="AX382" s="51" t="e">
        <v>#VALUE!</v>
      </c>
      <c r="AY382" s="51" t="s">
        <v>264</v>
      </c>
      <c r="AZ382" s="51" t="s">
        <v>264</v>
      </c>
      <c r="BA382" s="51" t="s">
        <v>264</v>
      </c>
      <c r="BB382" s="51" t="s">
        <v>264</v>
      </c>
      <c r="BC382" s="55"/>
      <c r="BD382" s="53">
        <v>175.27799999999999</v>
      </c>
      <c r="BE382" s="53">
        <v>38.326999999999998</v>
      </c>
      <c r="BF382" s="53">
        <v>67.864999999999995</v>
      </c>
      <c r="BG382" s="53">
        <v>9.7590000000000003</v>
      </c>
      <c r="BH382" s="53">
        <v>277.60599999999999</v>
      </c>
      <c r="BI382" s="53">
        <v>110.82299999999999</v>
      </c>
      <c r="BJ382" s="53">
        <v>112.911</v>
      </c>
      <c r="BK382" s="53">
        <v>223.73400000000001</v>
      </c>
      <c r="BL382" s="55"/>
      <c r="BM382" s="53">
        <v>501.34</v>
      </c>
      <c r="BN382" s="53">
        <v>140.02600000000001</v>
      </c>
      <c r="BO382" s="53">
        <v>80.325999999999993</v>
      </c>
      <c r="BP382" s="53">
        <v>54.36</v>
      </c>
      <c r="BQ382" s="53">
        <v>134.68600000000001</v>
      </c>
      <c r="BR382" s="55"/>
      <c r="BS382" s="53">
        <v>274.71199999999999</v>
      </c>
      <c r="BT382" s="53">
        <v>19.55</v>
      </c>
      <c r="BU382" s="53">
        <v>19.852</v>
      </c>
      <c r="BV382" s="51" t="s">
        <v>264</v>
      </c>
      <c r="BW382" s="51" t="s">
        <v>264</v>
      </c>
      <c r="BX382" s="51">
        <v>399.46800000000002</v>
      </c>
      <c r="BY382" s="51" t="s">
        <v>264</v>
      </c>
      <c r="BZ382" s="51" t="s">
        <v>264</v>
      </c>
      <c r="CA382" s="51">
        <v>53.253</v>
      </c>
      <c r="CB382" s="53">
        <v>121.705</v>
      </c>
      <c r="CC382" s="53">
        <v>26.477</v>
      </c>
      <c r="CD382" s="53">
        <v>138.90299999999999</v>
      </c>
      <c r="CE382" s="53">
        <v>17.914000000000001</v>
      </c>
      <c r="CF382" s="53">
        <v>119.46299999999999</v>
      </c>
      <c r="CG382" s="53">
        <v>105.23099999999999</v>
      </c>
      <c r="CH382" s="53">
        <v>5.5309999999999997</v>
      </c>
      <c r="CI382" s="53">
        <v>30.748000000000001</v>
      </c>
      <c r="CJ382" s="53">
        <v>8.4649999999999999</v>
      </c>
      <c r="CK382" s="53">
        <v>134.54300000000001</v>
      </c>
      <c r="CL382" s="53">
        <v>16.907</v>
      </c>
      <c r="CM382" s="55"/>
      <c r="CN382" s="53" t="e">
        <v>#VALUE!</v>
      </c>
      <c r="CO382" s="53">
        <v>157.636</v>
      </c>
      <c r="CP382" s="53">
        <v>102.583</v>
      </c>
      <c r="CQ382" s="53">
        <v>55.052999999999997</v>
      </c>
      <c r="CR382" s="53" t="s">
        <v>264</v>
      </c>
      <c r="CS382" s="53">
        <v>38.188000000000002</v>
      </c>
      <c r="CT382" s="53">
        <v>33.151000000000003</v>
      </c>
      <c r="CU382" s="53">
        <v>5.0369999999999999</v>
      </c>
      <c r="CV382" s="53">
        <v>282.82299999999998</v>
      </c>
      <c r="CW382" s="53">
        <v>43.323999999999998</v>
      </c>
      <c r="CX382" s="53">
        <v>239.499</v>
      </c>
      <c r="CY382" s="53">
        <v>21.419</v>
      </c>
      <c r="CZ382" s="53">
        <v>69.156000000000006</v>
      </c>
      <c r="DA382" s="53">
        <v>23.565999999999999</v>
      </c>
      <c r="DB382" s="53" t="e">
        <v>#VALUE!</v>
      </c>
      <c r="DC382" s="53" t="e">
        <v>#VALUE!</v>
      </c>
      <c r="DD382" s="55"/>
      <c r="DE382" s="55"/>
      <c r="DF382" s="55"/>
      <c r="DG382" s="55"/>
      <c r="DH382" s="55"/>
      <c r="DI382" s="53">
        <v>422.39699999999999</v>
      </c>
      <c r="DJ382" s="53">
        <v>526.67700000000002</v>
      </c>
      <c r="DK382" s="53">
        <v>903.62</v>
      </c>
      <c r="DL382" s="55"/>
      <c r="DM382" s="53">
        <v>446.42500000000001</v>
      </c>
      <c r="DN382" s="55"/>
      <c r="DO382" s="53">
        <v>196.78200000000001</v>
      </c>
      <c r="DP382" s="53">
        <v>217.983</v>
      </c>
      <c r="DQ382" s="55"/>
      <c r="DR382" s="55"/>
      <c r="DS382" s="53">
        <v>1127.2729999999999</v>
      </c>
      <c r="DT382" s="53">
        <v>3841.1570000000002</v>
      </c>
      <c r="DU382" s="53">
        <v>0</v>
      </c>
      <c r="DV382" s="53">
        <v>0</v>
      </c>
      <c r="DW382" s="55"/>
      <c r="DX382" s="55"/>
      <c r="DY382" s="53"/>
      <c r="DZ382" s="53"/>
      <c r="EA382" s="53">
        <v>291.89400000000001</v>
      </c>
      <c r="EB382" s="53">
        <v>378.30099999999999</v>
      </c>
      <c r="EC382" s="53">
        <v>508.93200000000002</v>
      </c>
      <c r="ED382" s="53"/>
      <c r="EE382" s="53">
        <v>243.434</v>
      </c>
      <c r="EF382" s="53"/>
      <c r="EG382" s="53">
        <v>110.319</v>
      </c>
      <c r="EH382" s="53">
        <v>96.775000000000006</v>
      </c>
      <c r="EI382" s="55"/>
      <c r="EJ382" s="55"/>
      <c r="EK382" s="53">
        <v>829.846</v>
      </c>
      <c r="EL382" s="53">
        <v>2459.5010000000002</v>
      </c>
      <c r="EM382" s="55"/>
      <c r="EN382" s="55"/>
      <c r="EO382" s="53"/>
      <c r="EP382" s="53"/>
      <c r="EQ382" s="53">
        <v>164.422</v>
      </c>
      <c r="ER382" s="53">
        <v>206.21799999999999</v>
      </c>
      <c r="ES382" s="53">
        <v>352.00099999999998</v>
      </c>
      <c r="ET382" s="53"/>
      <c r="EU382" s="53">
        <v>177.29499999999999</v>
      </c>
      <c r="EV382" s="53"/>
      <c r="EW382" s="53">
        <v>75.293000000000006</v>
      </c>
      <c r="EX382" s="53">
        <v>82.632000000000005</v>
      </c>
      <c r="EY382" s="55"/>
      <c r="EZ382" s="55"/>
      <c r="FA382" s="53">
        <v>433.334</v>
      </c>
      <c r="FB382" s="53">
        <v>1491.1949999999999</v>
      </c>
      <c r="FC382" s="55"/>
      <c r="FD382" s="55"/>
      <c r="FE382" s="53"/>
      <c r="FF382" s="53"/>
      <c r="FG382" s="53">
        <v>336.36700000000002</v>
      </c>
      <c r="FH382" s="53">
        <v>430.08600000000001</v>
      </c>
      <c r="FI382" s="53">
        <v>728.721</v>
      </c>
      <c r="FJ382" s="53"/>
      <c r="FK382" s="53">
        <v>357.39</v>
      </c>
      <c r="FL382" s="53"/>
      <c r="FM382" s="53">
        <v>159.256</v>
      </c>
      <c r="FN382" s="53">
        <v>178.79400000000001</v>
      </c>
      <c r="FO382" s="55"/>
      <c r="FP382" s="55"/>
      <c r="FQ382" s="53">
        <v>917.87599999999998</v>
      </c>
      <c r="FR382" s="53">
        <v>3108.49</v>
      </c>
      <c r="FS382" s="55"/>
      <c r="FT382" s="55"/>
      <c r="FU382" s="53"/>
      <c r="FV382" s="53"/>
      <c r="FW382" s="53">
        <v>283.81400000000002</v>
      </c>
      <c r="FX382" s="53">
        <v>139.07400000000001</v>
      </c>
      <c r="FY382" s="53">
        <v>208.38499999999999</v>
      </c>
      <c r="FZ382" s="53"/>
      <c r="GA382" s="53">
        <v>149.02099999999999</v>
      </c>
      <c r="GB382" s="53"/>
      <c r="GC382" s="53" t="e">
        <v>#VALUE!</v>
      </c>
      <c r="GD382" s="53" t="e">
        <v>#VALUE!</v>
      </c>
      <c r="GE382" s="55"/>
      <c r="GF382" s="55"/>
      <c r="GG382" s="53">
        <v>517.11800000000005</v>
      </c>
      <c r="GH382" s="53">
        <v>1436.96</v>
      </c>
      <c r="GI382" s="55"/>
      <c r="GJ382" s="55"/>
      <c r="GK382" s="53"/>
      <c r="GL382" s="53"/>
      <c r="GM382" s="53">
        <v>58.067999999999998</v>
      </c>
      <c r="GN382" s="53">
        <v>77.581999999999994</v>
      </c>
      <c r="GO382" s="53">
        <v>59.796999999999997</v>
      </c>
      <c r="GP382" s="53"/>
      <c r="GQ382" s="53">
        <v>36.299999999999997</v>
      </c>
      <c r="GR382" s="53"/>
      <c r="GS382" s="53">
        <v>15.162000000000001</v>
      </c>
      <c r="GT382" s="53">
        <v>4.7590000000000003</v>
      </c>
      <c r="GU382" s="55"/>
      <c r="GV382" s="55"/>
      <c r="GW382" s="53">
        <v>123.289</v>
      </c>
      <c r="GX382" s="53">
        <v>374.95699999999999</v>
      </c>
      <c r="GY382" s="19">
        <v>0.99023313567156135</v>
      </c>
      <c r="GZ382" s="53">
        <v>1229.723</v>
      </c>
      <c r="HA382" s="53">
        <v>1241.8520000000001</v>
      </c>
      <c r="HB382" s="18">
        <v>155.80279204539943</v>
      </c>
      <c r="HC382" s="18">
        <v>275.81276847539948</v>
      </c>
      <c r="HD382" s="18">
        <v>1577.3577920453995</v>
      </c>
      <c r="HE382" s="18">
        <v>174.87516000000005</v>
      </c>
      <c r="HF382" s="53">
        <v>1421.5550000000001</v>
      </c>
      <c r="HG382" s="53">
        <v>1161.0260000000001</v>
      </c>
      <c r="HH382" s="53">
        <v>275.24900000000002</v>
      </c>
      <c r="HI382" s="53" t="e">
        <v>#VALUE!</v>
      </c>
      <c r="HJ382" s="53">
        <v>826.28800000000001</v>
      </c>
      <c r="HK382" s="53" t="e">
        <v>#VALUE!</v>
      </c>
      <c r="HL382" s="53">
        <v>260.529</v>
      </c>
      <c r="HM382" s="53">
        <v>235.31200000000001</v>
      </c>
      <c r="HN382" s="53">
        <v>123.66200000000001</v>
      </c>
      <c r="HO382" s="53">
        <v>103.089</v>
      </c>
      <c r="HP382" s="53" t="e">
        <v>#VALUE!</v>
      </c>
      <c r="HQ382" s="53" t="e">
        <v>#VALUE!</v>
      </c>
      <c r="HR382" s="53" t="e">
        <v>#VALUE!</v>
      </c>
      <c r="HS382" s="53" t="e">
        <v>#VALUE!</v>
      </c>
      <c r="HT382" s="53">
        <v>5.532</v>
      </c>
      <c r="HU382" s="55"/>
      <c r="HV382" s="55"/>
      <c r="HW382" s="55"/>
      <c r="HX382" s="55"/>
      <c r="HY382" s="53">
        <v>277.517</v>
      </c>
      <c r="HZ382" s="53">
        <v>75.067999999999998</v>
      </c>
      <c r="IA382" s="53">
        <v>129.82400000000001</v>
      </c>
      <c r="IB382" s="53">
        <v>17.661000000000001</v>
      </c>
      <c r="IC382" s="53">
        <v>112.163</v>
      </c>
      <c r="ID382" s="53">
        <v>84.882999999999996</v>
      </c>
      <c r="IE382" s="53">
        <v>27.28</v>
      </c>
      <c r="IF382" s="53" t="e">
        <v>#VALUE!</v>
      </c>
      <c r="IG382" s="53" t="e">
        <v>#VALUE!</v>
      </c>
      <c r="IH382" s="53">
        <v>69.466999999999999</v>
      </c>
      <c r="II382" s="53">
        <v>11.569000000000001</v>
      </c>
      <c r="IJ382" s="53">
        <v>36.198999999999998</v>
      </c>
      <c r="IK382" s="53">
        <v>21.699000000000002</v>
      </c>
      <c r="IL382" s="12">
        <v>3.1580000000000013</v>
      </c>
      <c r="IM382" s="55"/>
      <c r="IN382" s="53">
        <v>56.747999999999998</v>
      </c>
      <c r="IO382" s="53">
        <v>56.768999999999998</v>
      </c>
      <c r="IP382" s="53" t="e">
        <v>#VALUE!</v>
      </c>
      <c r="IQ382" s="53">
        <v>60.18</v>
      </c>
      <c r="IR382" s="53" t="e">
        <v>#VALUE!</v>
      </c>
      <c r="IS382" s="53" t="e">
        <v>#VALUE!</v>
      </c>
      <c r="IT382" s="53" t="e">
        <v>#VALUE!</v>
      </c>
      <c r="IU382" s="53" t="e">
        <v>#VALUE!</v>
      </c>
      <c r="IV382" s="53" t="e">
        <v>#VALUE!</v>
      </c>
      <c r="IW382" s="53" t="e">
        <v>#VALUE!</v>
      </c>
      <c r="IX382" s="60"/>
      <c r="IY382" s="48">
        <f t="shared" si="17"/>
        <v>48.431063869558052</v>
      </c>
      <c r="IZ382" s="48">
        <f>IY382-'NOPA Crush'!J382</f>
        <v>0.14106386955805306</v>
      </c>
      <c r="JA382" s="66">
        <f t="shared" si="19"/>
        <v>0.13172746332368918</v>
      </c>
      <c r="JB382" s="63">
        <f t="shared" si="20"/>
        <v>11.646451837297981</v>
      </c>
      <c r="JC382" s="64">
        <f>JB382-'NOPA Crush'!O382</f>
        <v>-2.3548162702018871E-2</v>
      </c>
      <c r="JD382" s="66">
        <f t="shared" si="21"/>
        <v>-6.2908622313017484E-2</v>
      </c>
      <c r="JE382" s="67">
        <f t="shared" si="16"/>
        <v>3177.3229999999999</v>
      </c>
      <c r="JF382" s="68">
        <f>'NOPA Crush'!Q382/'Census Crush'!JE382</f>
        <v>0.8528308264535901</v>
      </c>
      <c r="JG382" s="68">
        <f t="shared" si="22"/>
        <v>0.81529043729393624</v>
      </c>
    </row>
    <row r="383" spans="1:267">
      <c r="A383" s="39">
        <v>40695</v>
      </c>
      <c r="B383" s="51">
        <v>3708.7109999999998</v>
      </c>
      <c r="C383" s="51">
        <v>2596.0219999999999</v>
      </c>
      <c r="D383" s="51">
        <v>211.071</v>
      </c>
      <c r="E383" s="51">
        <v>779.60299999999995</v>
      </c>
      <c r="F383" s="51">
        <v>22.07</v>
      </c>
      <c r="G383" s="51" t="s">
        <v>264</v>
      </c>
      <c r="H383" s="51" t="s">
        <v>264</v>
      </c>
      <c r="I383" s="51" t="s">
        <v>264</v>
      </c>
      <c r="J383" s="51" t="s">
        <v>264</v>
      </c>
      <c r="K383" s="51">
        <v>1437.9970000000001</v>
      </c>
      <c r="L383" s="51">
        <v>3153.0639999999999</v>
      </c>
      <c r="M383" s="51">
        <v>2868.1840000000002</v>
      </c>
      <c r="N383" s="51">
        <v>284.88</v>
      </c>
      <c r="O383" s="53">
        <v>70.576999999999998</v>
      </c>
      <c r="P383" s="51">
        <v>189.065</v>
      </c>
      <c r="Q383" s="51">
        <v>112.825</v>
      </c>
      <c r="R383" s="51">
        <v>76.239999999999995</v>
      </c>
      <c r="S383" s="51"/>
      <c r="T383" s="51">
        <v>17.995000000000001</v>
      </c>
      <c r="U383" s="51">
        <v>23.358000000000001</v>
      </c>
      <c r="V383" s="51" t="e">
        <v>#VALUE!</v>
      </c>
      <c r="W383" s="51" t="e">
        <v>#VALUE!</v>
      </c>
      <c r="X383" s="51" t="s">
        <v>264</v>
      </c>
      <c r="Y383" s="51" t="e">
        <v>#VALUE!</v>
      </c>
      <c r="Z383" s="51">
        <v>95.605000000000004</v>
      </c>
      <c r="AA383" s="9">
        <v>88.73</v>
      </c>
      <c r="AB383" s="25">
        <v>6.875</v>
      </c>
      <c r="AC383" s="25" t="s">
        <v>264</v>
      </c>
      <c r="AD383" s="25">
        <v>78.105000000000004</v>
      </c>
      <c r="AE383" s="25">
        <v>79.59</v>
      </c>
      <c r="AF383" s="51">
        <v>367.88900000000001</v>
      </c>
      <c r="AG383" s="51">
        <v>294.86099999999999</v>
      </c>
      <c r="AH383" s="9">
        <v>73.02800000000002</v>
      </c>
      <c r="AI383" s="51">
        <v>216.27500000000001</v>
      </c>
      <c r="AJ383" s="9">
        <v>213.27500000000001</v>
      </c>
      <c r="AK383" s="22">
        <v>3</v>
      </c>
      <c r="AL383" s="51">
        <v>174.31</v>
      </c>
      <c r="AM383" s="9">
        <v>140.929</v>
      </c>
      <c r="AN383" s="51">
        <v>33.381</v>
      </c>
      <c r="AO383" s="51">
        <v>2746.5859999999998</v>
      </c>
      <c r="AP383" s="51">
        <v>256.32900000000001</v>
      </c>
      <c r="AQ383" s="51">
        <v>226.90600000000001</v>
      </c>
      <c r="AR383" s="51">
        <v>27.97</v>
      </c>
      <c r="AS383" s="51">
        <v>98.01</v>
      </c>
      <c r="AT383" s="51">
        <v>40.277999999999999</v>
      </c>
      <c r="AU383" s="51">
        <v>65.942999999999998</v>
      </c>
      <c r="AV383" s="51">
        <v>39.115000000000002</v>
      </c>
      <c r="AW383" s="51">
        <v>12.102</v>
      </c>
      <c r="AX383" s="51" t="e">
        <v>#VALUE!</v>
      </c>
      <c r="AY383" s="51" t="s">
        <v>264</v>
      </c>
      <c r="AZ383" s="51" t="s">
        <v>264</v>
      </c>
      <c r="BA383" s="51" t="s">
        <v>264</v>
      </c>
      <c r="BB383" s="51" t="s">
        <v>264</v>
      </c>
      <c r="BC383" s="55"/>
      <c r="BD383" s="53">
        <v>186.43899999999999</v>
      </c>
      <c r="BE383" s="53">
        <v>43.029000000000003</v>
      </c>
      <c r="BF383" s="53">
        <v>68.869</v>
      </c>
      <c r="BG383" s="53">
        <v>7.984</v>
      </c>
      <c r="BH383" s="53">
        <v>284.61900000000003</v>
      </c>
      <c r="BI383" s="53">
        <v>117.139</v>
      </c>
      <c r="BJ383" s="53">
        <v>109.566</v>
      </c>
      <c r="BK383" s="53">
        <v>226.70500000000001</v>
      </c>
      <c r="BL383" s="55"/>
      <c r="BM383" s="53">
        <v>511.32400000000001</v>
      </c>
      <c r="BN383" s="53">
        <v>157.375</v>
      </c>
      <c r="BO383" s="53">
        <v>108.779</v>
      </c>
      <c r="BP383" s="53">
        <v>53.268000000000001</v>
      </c>
      <c r="BQ383" s="53">
        <v>162.047</v>
      </c>
      <c r="BR383" s="55"/>
      <c r="BS383" s="53">
        <v>319.42200000000003</v>
      </c>
      <c r="BT383" s="53">
        <v>17.195</v>
      </c>
      <c r="BU383" s="53">
        <v>23.38</v>
      </c>
      <c r="BV383" s="51" t="s">
        <v>264</v>
      </c>
      <c r="BW383" s="51" t="s">
        <v>264</v>
      </c>
      <c r="BX383" s="51">
        <v>415.96699999999998</v>
      </c>
      <c r="BY383" s="51" t="s">
        <v>264</v>
      </c>
      <c r="BZ383" s="51" t="s">
        <v>264</v>
      </c>
      <c r="CA383" s="51">
        <v>62.465000000000003</v>
      </c>
      <c r="CB383" s="53">
        <v>125.476</v>
      </c>
      <c r="CC383" s="53">
        <v>31.004999999999999</v>
      </c>
      <c r="CD383" s="53">
        <v>136.59899999999999</v>
      </c>
      <c r="CE383" s="53">
        <v>16.343</v>
      </c>
      <c r="CF383" s="53">
        <v>107.758</v>
      </c>
      <c r="CG383" s="53">
        <v>109.783</v>
      </c>
      <c r="CH383" s="53">
        <v>16.462</v>
      </c>
      <c r="CI383" s="53">
        <v>28.068000000000001</v>
      </c>
      <c r="CJ383" s="53">
        <v>5.3810000000000002</v>
      </c>
      <c r="CK383" s="53">
        <v>142.89099999999999</v>
      </c>
      <c r="CL383" s="53">
        <v>16.117000000000001</v>
      </c>
      <c r="CM383" s="55"/>
      <c r="CN383" s="53" t="e">
        <v>#VALUE!</v>
      </c>
      <c r="CO383" s="53">
        <v>158.38399999999999</v>
      </c>
      <c r="CP383" s="53">
        <v>94.352000000000004</v>
      </c>
      <c r="CQ383" s="53">
        <v>64.031999999999996</v>
      </c>
      <c r="CR383" s="53" t="s">
        <v>264</v>
      </c>
      <c r="CS383" s="53">
        <v>40.31</v>
      </c>
      <c r="CT383" s="53">
        <v>36.749000000000002</v>
      </c>
      <c r="CU383" s="53">
        <v>3.5609999999999999</v>
      </c>
      <c r="CV383" s="53">
        <v>245.90700000000001</v>
      </c>
      <c r="CW383" s="53">
        <v>51.850999999999999</v>
      </c>
      <c r="CX383" s="53">
        <v>194.05600000000001</v>
      </c>
      <c r="CY383" s="53">
        <v>20.02</v>
      </c>
      <c r="CZ383" s="53">
        <v>64.974999999999994</v>
      </c>
      <c r="DA383" s="53">
        <v>20.291</v>
      </c>
      <c r="DB383" s="53" t="e">
        <v>#VALUE!</v>
      </c>
      <c r="DC383" s="53" t="e">
        <v>#VALUE!</v>
      </c>
      <c r="DD383" s="55"/>
      <c r="DE383" s="55"/>
      <c r="DF383" s="55"/>
      <c r="DG383" s="55"/>
      <c r="DH383" s="55"/>
      <c r="DI383" s="53">
        <v>471.36500000000001</v>
      </c>
      <c r="DJ383" s="53">
        <v>417.70499999999998</v>
      </c>
      <c r="DK383" s="53">
        <v>881.04899999999998</v>
      </c>
      <c r="DL383" s="55"/>
      <c r="DM383" s="53">
        <v>439.58499999999998</v>
      </c>
      <c r="DN383" s="55"/>
      <c r="DO383" s="53">
        <v>217.096</v>
      </c>
      <c r="DP383" s="53">
        <v>202.04300000000001</v>
      </c>
      <c r="DQ383" s="55"/>
      <c r="DR383" s="55"/>
      <c r="DS383" s="53">
        <v>1079.8679999999999</v>
      </c>
      <c r="DT383" s="53">
        <v>3708.7109999999998</v>
      </c>
      <c r="DU383" s="53">
        <v>0</v>
      </c>
      <c r="DV383" s="53">
        <v>0</v>
      </c>
      <c r="DW383" s="55"/>
      <c r="DX383" s="55"/>
      <c r="DY383" s="53"/>
      <c r="DZ383" s="53"/>
      <c r="EA383" s="53">
        <v>294.83699999999999</v>
      </c>
      <c r="EB383" s="53">
        <v>437.55900000000003</v>
      </c>
      <c r="EC383" s="53">
        <v>487.4</v>
      </c>
      <c r="ED383" s="53"/>
      <c r="EE383" s="53">
        <v>253.00299999999999</v>
      </c>
      <c r="EF383" s="53"/>
      <c r="EG383" s="53">
        <v>128.39599999999999</v>
      </c>
      <c r="EH383" s="53">
        <v>136.76300000000001</v>
      </c>
      <c r="EI383" s="55"/>
      <c r="EJ383" s="55"/>
      <c r="EK383" s="53">
        <v>858.06399999999996</v>
      </c>
      <c r="EL383" s="53">
        <v>2596.0219999999999</v>
      </c>
      <c r="EM383" s="55"/>
      <c r="EN383" s="55"/>
      <c r="EO383" s="53"/>
      <c r="EP383" s="53"/>
      <c r="EQ383" s="53">
        <v>186.684</v>
      </c>
      <c r="ER383" s="53">
        <v>161.01</v>
      </c>
      <c r="ES383" s="53">
        <v>337.97300000000001</v>
      </c>
      <c r="ET383" s="53"/>
      <c r="EU383" s="53">
        <v>172.54499999999999</v>
      </c>
      <c r="EV383" s="53"/>
      <c r="EW383" s="53">
        <v>82.704999999999998</v>
      </c>
      <c r="EX383" s="53">
        <v>77.325000000000003</v>
      </c>
      <c r="EY383" s="55"/>
      <c r="EZ383" s="55"/>
      <c r="FA383" s="53">
        <v>419.755</v>
      </c>
      <c r="FB383" s="53">
        <v>1437.9970000000001</v>
      </c>
      <c r="FC383" s="55"/>
      <c r="FD383" s="55"/>
      <c r="FE383" s="53"/>
      <c r="FF383" s="53"/>
      <c r="FG383" s="53">
        <v>380.51100000000002</v>
      </c>
      <c r="FH383" s="53">
        <v>339.26100000000002</v>
      </c>
      <c r="FI383" s="53">
        <v>704.97699999999998</v>
      </c>
      <c r="FJ383" s="53"/>
      <c r="FK383" s="53">
        <v>348.05200000000002</v>
      </c>
      <c r="FL383" s="53"/>
      <c r="FM383" s="53">
        <v>175.125</v>
      </c>
      <c r="FN383" s="53">
        <v>164.48699999999999</v>
      </c>
      <c r="FO383" s="55"/>
      <c r="FP383" s="55"/>
      <c r="FQ383" s="53">
        <v>868.274</v>
      </c>
      <c r="FR383" s="53">
        <v>2980.6869999999999</v>
      </c>
      <c r="FS383" s="55"/>
      <c r="FT383" s="55"/>
      <c r="FU383" s="53"/>
      <c r="FV383" s="53"/>
      <c r="FW383" s="53">
        <v>358.38299999999998</v>
      </c>
      <c r="FX383" s="53">
        <v>109.18300000000001</v>
      </c>
      <c r="FY383" s="53">
        <v>221.51900000000001</v>
      </c>
      <c r="FZ383" s="53"/>
      <c r="GA383" s="53">
        <v>134.28100000000001</v>
      </c>
      <c r="GB383" s="53"/>
      <c r="GC383" s="53" t="e">
        <v>#VALUE!</v>
      </c>
      <c r="GD383" s="53" t="e">
        <v>#VALUE!</v>
      </c>
      <c r="GE383" s="55"/>
      <c r="GF383" s="55"/>
      <c r="GG383" s="53">
        <v>554.19299999999998</v>
      </c>
      <c r="GH383" s="53">
        <v>1486.7349999999999</v>
      </c>
      <c r="GI383" s="55"/>
      <c r="GJ383" s="55"/>
      <c r="GK383" s="53"/>
      <c r="GL383" s="53"/>
      <c r="GM383" s="53">
        <v>61.131</v>
      </c>
      <c r="GN383" s="53">
        <v>54.85</v>
      </c>
      <c r="GO383" s="53">
        <v>44.332999999999998</v>
      </c>
      <c r="GP383" s="53"/>
      <c r="GQ383" s="53">
        <v>25.966999999999999</v>
      </c>
      <c r="GR383" s="53"/>
      <c r="GS383" s="53">
        <v>8.3879999999999999</v>
      </c>
      <c r="GT383" s="53">
        <v>4.2919999999999998</v>
      </c>
      <c r="GU383" s="55"/>
      <c r="GV383" s="55"/>
      <c r="GW383" s="53">
        <v>85.337999999999994</v>
      </c>
      <c r="GX383" s="53">
        <v>284.29899999999998</v>
      </c>
      <c r="GY383" s="19">
        <v>0.98401152751479637</v>
      </c>
      <c r="GZ383" s="53">
        <v>1239.4559999999999</v>
      </c>
      <c r="HA383" s="53">
        <v>1259.595</v>
      </c>
      <c r="HB383" s="18">
        <v>-154.33971575960027</v>
      </c>
      <c r="HC383" s="18">
        <v>100.52750807040002</v>
      </c>
      <c r="HD383" s="18">
        <v>1346.4652842403998</v>
      </c>
      <c r="HE383" s="18">
        <v>233.12401999999997</v>
      </c>
      <c r="HF383" s="53">
        <v>1500.8050000000001</v>
      </c>
      <c r="HG383" s="53">
        <v>1185.914</v>
      </c>
      <c r="HH383" s="53">
        <v>279.87</v>
      </c>
      <c r="HI383" s="53" t="e">
        <v>#VALUE!</v>
      </c>
      <c r="HJ383" s="53">
        <v>835.65800000000002</v>
      </c>
      <c r="HK383" s="53" t="e">
        <v>#VALUE!</v>
      </c>
      <c r="HL383" s="53">
        <v>314.89100000000002</v>
      </c>
      <c r="HM383" s="53">
        <v>293.702</v>
      </c>
      <c r="HN383" s="53">
        <v>168.423</v>
      </c>
      <c r="HO383" s="53">
        <v>125.279</v>
      </c>
      <c r="HP383" s="53" t="e">
        <v>#VALUE!</v>
      </c>
      <c r="HQ383" s="53" t="e">
        <v>#VALUE!</v>
      </c>
      <c r="HR383" s="53" t="e">
        <v>#VALUE!</v>
      </c>
      <c r="HS383" s="53" t="e">
        <v>#VALUE!</v>
      </c>
      <c r="HT383" s="53">
        <v>5.3559999999999999</v>
      </c>
      <c r="HU383" s="55"/>
      <c r="HV383" s="55"/>
      <c r="HW383" s="55"/>
      <c r="HX383" s="55"/>
      <c r="HY383" s="53">
        <v>298.63499999999999</v>
      </c>
      <c r="HZ383" s="24">
        <v>50</v>
      </c>
      <c r="IA383" s="53">
        <v>148.197</v>
      </c>
      <c r="IB383" s="53">
        <v>19.318000000000001</v>
      </c>
      <c r="IC383" s="53">
        <v>128.88</v>
      </c>
      <c r="ID383" s="53">
        <v>100.604</v>
      </c>
      <c r="IE383" s="53">
        <v>28.276</v>
      </c>
      <c r="IF383" s="53" t="e">
        <v>#VALUE!</v>
      </c>
      <c r="IG383" s="53" t="e">
        <v>#VALUE!</v>
      </c>
      <c r="IH383" s="53">
        <v>89.242999999999995</v>
      </c>
      <c r="II383" s="53">
        <v>19.501999999999999</v>
      </c>
      <c r="IJ383" s="53">
        <v>47.024000000000001</v>
      </c>
      <c r="IK383" s="53">
        <v>22.716999999999999</v>
      </c>
      <c r="IL383" s="12">
        <v>11.194999999999993</v>
      </c>
      <c r="IM383" s="55"/>
      <c r="IN383" s="53">
        <v>55.981000000000002</v>
      </c>
      <c r="IO383" s="53">
        <v>55.997999999999998</v>
      </c>
      <c r="IP383" s="53" t="e">
        <v>#VALUE!</v>
      </c>
      <c r="IQ383" s="53">
        <v>48.561999999999998</v>
      </c>
      <c r="IR383" s="53" t="e">
        <v>#VALUE!</v>
      </c>
      <c r="IS383" s="53" t="e">
        <v>#VALUE!</v>
      </c>
      <c r="IT383" s="53" t="e">
        <v>#VALUE!</v>
      </c>
      <c r="IU383" s="53" t="e">
        <v>#VALUE!</v>
      </c>
      <c r="IV383" s="53" t="e">
        <v>#VALUE!</v>
      </c>
      <c r="IW383" s="53" t="e">
        <v>#VALUE!</v>
      </c>
      <c r="IX383" s="60"/>
      <c r="IY383" s="48">
        <f t="shared" si="17"/>
        <v>48.105533162330516</v>
      </c>
      <c r="IZ383" s="48">
        <f>IY383-'NOPA Crush'!J383</f>
        <v>6.5533162330517314E-2</v>
      </c>
      <c r="JA383" s="66">
        <f t="shared" si="19"/>
        <v>0.12134559857127769</v>
      </c>
      <c r="JB383" s="63">
        <f t="shared" si="20"/>
        <v>11.632049518013133</v>
      </c>
      <c r="JC383" s="64">
        <f>JB383-'NOPA Crush'!O383</f>
        <v>-7.7950481986867715E-2</v>
      </c>
      <c r="JD383" s="66">
        <f t="shared" si="21"/>
        <v>-7.7443577514819492E-2</v>
      </c>
      <c r="JE383" s="67">
        <f t="shared" si="16"/>
        <v>3153.0639999999999</v>
      </c>
      <c r="JF383" s="68">
        <f>'NOPA Crush'!Q383/'Census Crush'!JE383</f>
        <v>0.8206519119180582</v>
      </c>
      <c r="JG383" s="68">
        <f t="shared" si="22"/>
        <v>0.8195961034416861</v>
      </c>
    </row>
    <row r="384" spans="1:267">
      <c r="A384" s="39">
        <v>40725</v>
      </c>
      <c r="B384" s="51">
        <v>3886.8809999999999</v>
      </c>
      <c r="C384" s="51">
        <v>2215.2139999999999</v>
      </c>
      <c r="D384" s="51">
        <v>178.28</v>
      </c>
      <c r="E384" s="51">
        <v>617.56299999999999</v>
      </c>
      <c r="F384" s="51">
        <v>22.513999999999999</v>
      </c>
      <c r="G384" s="51" t="s">
        <v>264</v>
      </c>
      <c r="H384" s="51" t="s">
        <v>264</v>
      </c>
      <c r="I384" s="51" t="s">
        <v>264</v>
      </c>
      <c r="J384" s="51" t="s">
        <v>264</v>
      </c>
      <c r="K384" s="51">
        <v>1504.674</v>
      </c>
      <c r="L384" s="51">
        <v>3128.8510000000001</v>
      </c>
      <c r="M384" s="51">
        <v>2824.308</v>
      </c>
      <c r="N384" s="51">
        <v>304.54300000000001</v>
      </c>
      <c r="O384" s="53">
        <v>59.417000000000002</v>
      </c>
      <c r="P384" s="51">
        <v>180.684</v>
      </c>
      <c r="Q384" s="51">
        <v>123.377</v>
      </c>
      <c r="R384" s="51">
        <v>57.307000000000002</v>
      </c>
      <c r="S384" s="51"/>
      <c r="T384" s="51">
        <v>17.062000000000001</v>
      </c>
      <c r="U384" s="51">
        <v>29.669</v>
      </c>
      <c r="V384" s="51" t="e">
        <v>#VALUE!</v>
      </c>
      <c r="W384" s="51" t="e">
        <v>#VALUE!</v>
      </c>
      <c r="X384" s="51" t="s">
        <v>264</v>
      </c>
      <c r="Y384" s="51" t="e">
        <v>#VALUE!</v>
      </c>
      <c r="Z384" s="51">
        <v>77.262</v>
      </c>
      <c r="AA384" s="51">
        <v>71.518000000000001</v>
      </c>
      <c r="AB384" s="51">
        <v>5.7439999999999998</v>
      </c>
      <c r="AC384" s="51" t="s">
        <v>264</v>
      </c>
      <c r="AD384" s="51">
        <v>111.291</v>
      </c>
      <c r="AE384" s="51">
        <v>113.988</v>
      </c>
      <c r="AF384" s="51">
        <v>377.43900000000002</v>
      </c>
      <c r="AG384" s="51">
        <v>295.07299999999998</v>
      </c>
      <c r="AH384" s="9">
        <v>82.366000000000042</v>
      </c>
      <c r="AI384" s="51">
        <v>205.73099999999999</v>
      </c>
      <c r="AJ384" s="9">
        <v>202.73099999999999</v>
      </c>
      <c r="AK384" s="22">
        <v>3</v>
      </c>
      <c r="AL384" s="51">
        <v>238.87299999999999</v>
      </c>
      <c r="AM384" s="51">
        <v>185.60499999999999</v>
      </c>
      <c r="AN384" s="51">
        <v>53.268000000000001</v>
      </c>
      <c r="AO384" s="51">
        <v>2857.6219999999998</v>
      </c>
      <c r="AP384" s="51">
        <v>387.46100000000001</v>
      </c>
      <c r="AQ384" s="51">
        <v>239.43199999999999</v>
      </c>
      <c r="AR384" s="51">
        <v>34.954999999999998</v>
      </c>
      <c r="AS384" s="51">
        <v>82.665999999999997</v>
      </c>
      <c r="AT384" s="51">
        <v>48.061</v>
      </c>
      <c r="AU384" s="51">
        <v>52.017000000000003</v>
      </c>
      <c r="AV384" s="51">
        <v>38.298999999999999</v>
      </c>
      <c r="AW384" s="51">
        <v>11.973000000000001</v>
      </c>
      <c r="AX384" s="51" t="e">
        <v>#VALUE!</v>
      </c>
      <c r="AY384" s="51" t="s">
        <v>264</v>
      </c>
      <c r="AZ384" s="51" t="s">
        <v>264</v>
      </c>
      <c r="BA384" s="51" t="s">
        <v>264</v>
      </c>
      <c r="BB384" s="51" t="s">
        <v>264</v>
      </c>
      <c r="BC384" s="55"/>
      <c r="BD384" s="53">
        <v>170.16200000000001</v>
      </c>
      <c r="BE384" s="53">
        <v>33.134999999999998</v>
      </c>
      <c r="BF384" s="53">
        <v>66.301000000000002</v>
      </c>
      <c r="BG384" s="53">
        <v>7.2489999999999997</v>
      </c>
      <c r="BH384" s="53">
        <v>263.29899999999998</v>
      </c>
      <c r="BI384" s="53">
        <v>112.108</v>
      </c>
      <c r="BJ384" s="53">
        <v>102.866</v>
      </c>
      <c r="BK384" s="53">
        <v>214.97399999999999</v>
      </c>
      <c r="BL384" s="55"/>
      <c r="BM384" s="53">
        <v>478.27300000000002</v>
      </c>
      <c r="BN384" s="53">
        <v>165.96100000000001</v>
      </c>
      <c r="BO384" s="53">
        <v>92.653999999999996</v>
      </c>
      <c r="BP384" s="53">
        <v>59.488999999999997</v>
      </c>
      <c r="BQ384" s="53">
        <v>152.143</v>
      </c>
      <c r="BR384" s="55"/>
      <c r="BS384" s="53">
        <v>318.10399999999998</v>
      </c>
      <c r="BT384" s="53">
        <v>16.018999999999998</v>
      </c>
      <c r="BU384" s="53">
        <v>23.928000000000001</v>
      </c>
      <c r="BV384" s="51" t="s">
        <v>264</v>
      </c>
      <c r="BW384" s="51" t="s">
        <v>264</v>
      </c>
      <c r="BX384" s="51">
        <v>389.38299999999998</v>
      </c>
      <c r="BY384" s="51" t="s">
        <v>264</v>
      </c>
      <c r="BZ384" s="51" t="s">
        <v>264</v>
      </c>
      <c r="CA384" s="51">
        <v>69.825000000000003</v>
      </c>
      <c r="CB384" s="53">
        <v>120.54</v>
      </c>
      <c r="CC384" s="53">
        <v>33.173000000000002</v>
      </c>
      <c r="CD384" s="53">
        <v>132.75</v>
      </c>
      <c r="CE384" s="53">
        <v>19.248000000000001</v>
      </c>
      <c r="CF384" s="53">
        <v>114.631</v>
      </c>
      <c r="CG384" s="53">
        <v>103.48399999999999</v>
      </c>
      <c r="CH384" s="53">
        <v>7.3090000000000002</v>
      </c>
      <c r="CI384" s="53">
        <v>27.395</v>
      </c>
      <c r="CJ384" s="53">
        <v>6.6479999999999997</v>
      </c>
      <c r="CK384" s="53">
        <v>133.87100000000001</v>
      </c>
      <c r="CL384" s="53">
        <v>18.094999999999999</v>
      </c>
      <c r="CM384" s="55"/>
      <c r="CN384" s="53" t="e">
        <v>#VALUE!</v>
      </c>
      <c r="CO384" s="53">
        <v>190.91</v>
      </c>
      <c r="CP384" s="53">
        <v>131.98699999999999</v>
      </c>
      <c r="CQ384" s="53">
        <v>58.923000000000002</v>
      </c>
      <c r="CR384" s="53" t="s">
        <v>264</v>
      </c>
      <c r="CS384" s="53">
        <v>29.315999999999999</v>
      </c>
      <c r="CT384" s="53">
        <v>36.749000000000002</v>
      </c>
      <c r="CU384" s="53">
        <v>3.6659999999999999</v>
      </c>
      <c r="CV384" s="53">
        <v>334.46600000000001</v>
      </c>
      <c r="CW384" s="53">
        <v>42.755000000000003</v>
      </c>
      <c r="CX384" s="53">
        <v>291.71100000000001</v>
      </c>
      <c r="CY384" s="53">
        <v>20.329999999999998</v>
      </c>
      <c r="CZ384" s="53">
        <v>88.936999999999998</v>
      </c>
      <c r="DA384" s="53">
        <v>13.507</v>
      </c>
      <c r="DB384" s="53" t="e">
        <v>#VALUE!</v>
      </c>
      <c r="DC384" s="53" t="e">
        <v>#VALUE!</v>
      </c>
      <c r="DD384" s="55"/>
      <c r="DE384" s="55"/>
      <c r="DF384" s="55"/>
      <c r="DG384" s="55"/>
      <c r="DH384" s="55"/>
      <c r="DI384" s="53">
        <v>499.48700000000002</v>
      </c>
      <c r="DJ384" s="53">
        <v>489.81900000000002</v>
      </c>
      <c r="DK384" s="53">
        <v>842.28899999999999</v>
      </c>
      <c r="DL384" s="55"/>
      <c r="DM384" s="53">
        <v>511.18900000000002</v>
      </c>
      <c r="DN384" s="55"/>
      <c r="DO384" s="53" t="e">
        <v>#VALUE!</v>
      </c>
      <c r="DP384" s="53" t="e">
        <v>#VALUE!</v>
      </c>
      <c r="DQ384" s="55"/>
      <c r="DR384" s="55"/>
      <c r="DS384" s="53">
        <v>1180.624</v>
      </c>
      <c r="DT384" s="53">
        <v>3886.8809999999999</v>
      </c>
      <c r="DU384" s="53" t="e">
        <v>#VALUE!</v>
      </c>
      <c r="DV384" s="53">
        <v>0</v>
      </c>
      <c r="DW384" s="55"/>
      <c r="DX384" s="55"/>
      <c r="DY384" s="53"/>
      <c r="DZ384" s="53"/>
      <c r="EA384" s="53">
        <v>250.517</v>
      </c>
      <c r="EB384" s="53">
        <v>338.09699999999998</v>
      </c>
      <c r="EC384" s="53">
        <v>441.56799999999998</v>
      </c>
      <c r="ED384" s="53"/>
      <c r="EE384" s="53">
        <v>208.70500000000001</v>
      </c>
      <c r="EF384" s="53"/>
      <c r="EG384" s="53">
        <v>129.19</v>
      </c>
      <c r="EH384" s="53">
        <v>133.16999999999999</v>
      </c>
      <c r="EI384" s="55"/>
      <c r="EJ384" s="55"/>
      <c r="EK384" s="53">
        <v>713.96699999999998</v>
      </c>
      <c r="EL384" s="53">
        <v>2215.2139999999999</v>
      </c>
      <c r="EM384" s="55"/>
      <c r="EN384" s="55"/>
      <c r="EO384" s="53"/>
      <c r="EP384" s="53"/>
      <c r="EQ384" s="53">
        <v>198.376</v>
      </c>
      <c r="ER384" s="53">
        <v>188.84399999999999</v>
      </c>
      <c r="ES384" s="53">
        <v>320.53800000000001</v>
      </c>
      <c r="ET384" s="53"/>
      <c r="EU384" s="53">
        <v>201.46600000000001</v>
      </c>
      <c r="EV384" s="53"/>
      <c r="EW384" s="53" t="e">
        <v>#VALUE!</v>
      </c>
      <c r="EX384" s="53" t="e">
        <v>#VALUE!</v>
      </c>
      <c r="EY384" s="55"/>
      <c r="EZ384" s="55"/>
      <c r="FA384" s="53">
        <v>455.9</v>
      </c>
      <c r="FB384" s="53">
        <v>1504.674</v>
      </c>
      <c r="FC384" s="55"/>
      <c r="FD384" s="55"/>
      <c r="FE384" s="53"/>
      <c r="FF384" s="53"/>
      <c r="FG384" s="53">
        <v>399.07600000000002</v>
      </c>
      <c r="FH384" s="53">
        <v>393.99799999999999</v>
      </c>
      <c r="FI384" s="53">
        <v>665.14599999999996</v>
      </c>
      <c r="FJ384" s="53"/>
      <c r="FK384" s="53">
        <v>406.20600000000002</v>
      </c>
      <c r="FL384" s="53"/>
      <c r="FM384" s="53" t="e">
        <v>#VALUE!</v>
      </c>
      <c r="FN384" s="53" t="e">
        <v>#VALUE!</v>
      </c>
      <c r="FO384" s="55"/>
      <c r="FP384" s="55"/>
      <c r="FQ384" s="53">
        <v>948.47799999999995</v>
      </c>
      <c r="FR384" s="53">
        <v>3104.9780000000001</v>
      </c>
      <c r="FS384" s="55"/>
      <c r="FT384" s="55"/>
      <c r="FU384" s="53"/>
      <c r="FV384" s="53"/>
      <c r="FW384" s="53">
        <v>324.58999999999997</v>
      </c>
      <c r="FX384" s="53">
        <v>99.995999999999995</v>
      </c>
      <c r="FY384" s="53">
        <v>229.95</v>
      </c>
      <c r="FZ384" s="53"/>
      <c r="GA384" s="53">
        <v>136.346</v>
      </c>
      <c r="GB384" s="53"/>
      <c r="GC384" s="53" t="e">
        <v>#VALUE!</v>
      </c>
      <c r="GD384" s="53" t="e">
        <v>#VALUE!</v>
      </c>
      <c r="GE384" s="55"/>
      <c r="GF384" s="55"/>
      <c r="GG384" s="53">
        <v>524.41700000000003</v>
      </c>
      <c r="GH384" s="53">
        <v>1411.365</v>
      </c>
      <c r="GI384" s="55"/>
      <c r="GJ384" s="55"/>
      <c r="GK384" s="53"/>
      <c r="GL384" s="53"/>
      <c r="GM384" s="53">
        <v>91.82</v>
      </c>
      <c r="GN384" s="53">
        <v>73.953999999999994</v>
      </c>
      <c r="GO384" s="53">
        <v>70.795000000000002</v>
      </c>
      <c r="GP384" s="53"/>
      <c r="GQ384" s="53">
        <v>55.496000000000002</v>
      </c>
      <c r="GR384" s="53"/>
      <c r="GS384" s="53">
        <v>17.695</v>
      </c>
      <c r="GT384" s="53">
        <v>4.88</v>
      </c>
      <c r="GU384" s="55"/>
      <c r="GV384" s="55"/>
      <c r="GW384" s="53">
        <v>107.776</v>
      </c>
      <c r="GX384" s="53">
        <v>422.416</v>
      </c>
      <c r="GY384" s="19">
        <v>0.9844509965985313</v>
      </c>
      <c r="GZ384" s="53">
        <v>1238.7149999999999</v>
      </c>
      <c r="HA384" s="53">
        <v>1258.28</v>
      </c>
      <c r="HB384" s="18">
        <v>-87.494256004200452</v>
      </c>
      <c r="HC384" s="18">
        <v>145.65569886599906</v>
      </c>
      <c r="HD384" s="18">
        <v>1421.1667439957996</v>
      </c>
      <c r="HE384" s="18">
        <v>236.47214000000008</v>
      </c>
      <c r="HF384" s="53">
        <v>1508.6610000000001</v>
      </c>
      <c r="HG384" s="53">
        <v>1144.0530000000001</v>
      </c>
      <c r="HH384" s="53">
        <v>278.22300000000001</v>
      </c>
      <c r="HI384" s="53" t="e">
        <v>#VALUE!</v>
      </c>
      <c r="HJ384" s="53">
        <v>813.82500000000005</v>
      </c>
      <c r="HK384" s="53" t="e">
        <v>#VALUE!</v>
      </c>
      <c r="HL384" s="53">
        <v>364.608</v>
      </c>
      <c r="HM384" s="53">
        <v>342.92399999999998</v>
      </c>
      <c r="HN384" s="53">
        <v>193.626</v>
      </c>
      <c r="HO384" s="53">
        <v>149.298</v>
      </c>
      <c r="HP384" s="53" t="e">
        <v>#VALUE!</v>
      </c>
      <c r="HQ384" s="53" t="e">
        <v>#VALUE!</v>
      </c>
      <c r="HR384" s="53" t="e">
        <v>#VALUE!</v>
      </c>
      <c r="HS384" s="53" t="e">
        <v>#VALUE!</v>
      </c>
      <c r="HT384" s="53">
        <v>5.1349999999999998</v>
      </c>
      <c r="HU384" s="55"/>
      <c r="HV384" s="55"/>
      <c r="HW384" s="55"/>
      <c r="HX384" s="55"/>
      <c r="HY384" s="53">
        <v>294.67599999999999</v>
      </c>
      <c r="HZ384" s="24">
        <v>45</v>
      </c>
      <c r="IA384" s="53">
        <v>148.13300000000001</v>
      </c>
      <c r="IB384" s="53">
        <v>18.744</v>
      </c>
      <c r="IC384" s="53">
        <v>129.38800000000001</v>
      </c>
      <c r="ID384" s="53">
        <v>101.664</v>
      </c>
      <c r="IE384" s="53">
        <v>27.724</v>
      </c>
      <c r="IF384" s="53" t="e">
        <v>#VALUE!</v>
      </c>
      <c r="IG384" s="53" t="e">
        <v>#VALUE!</v>
      </c>
      <c r="IH384" s="53">
        <v>89.373000000000005</v>
      </c>
      <c r="II384" s="53">
        <v>14.864000000000001</v>
      </c>
      <c r="IJ384" s="53">
        <v>46.386000000000003</v>
      </c>
      <c r="IK384" s="53">
        <v>28.123000000000001</v>
      </c>
      <c r="IL384" s="12">
        <v>12.169999999999973</v>
      </c>
      <c r="IM384" s="55"/>
      <c r="IN384" s="53">
        <v>45.613</v>
      </c>
      <c r="IO384" s="53">
        <v>45.63</v>
      </c>
      <c r="IP384" s="53" t="e">
        <v>#VALUE!</v>
      </c>
      <c r="IQ384" s="53">
        <v>59.485999999999997</v>
      </c>
      <c r="IR384" s="53" t="e">
        <v>#VALUE!</v>
      </c>
      <c r="IS384" s="53" t="e">
        <v>#VALUE!</v>
      </c>
      <c r="IT384" s="53" t="e">
        <v>#VALUE!</v>
      </c>
      <c r="IU384" s="53" t="e">
        <v>#VALUE!</v>
      </c>
      <c r="IV384" s="53" t="e">
        <v>#VALUE!</v>
      </c>
      <c r="IW384" s="53" t="e">
        <v>#VALUE!</v>
      </c>
      <c r="IX384" s="60"/>
      <c r="IY384" s="48">
        <f t="shared" si="17"/>
        <v>47.807802708649938</v>
      </c>
      <c r="IZ384" s="48">
        <f>IY384-'NOPA Crush'!J384</f>
        <v>4.7802708649939518E-2</v>
      </c>
      <c r="JA384" s="66">
        <f>AVERAGE(IZ384,IZ372,IZ360,IZ348,IZ336,IZ324,IZ312,IZ300,IZ288,IZ276)</f>
        <v>0.10421498706531267</v>
      </c>
      <c r="JB384" s="63">
        <f t="shared" si="20"/>
        <v>11.613481349184603</v>
      </c>
      <c r="JC384" s="64">
        <f>JB384-'NOPA Crush'!O384</f>
        <v>-6.6518650815396541E-2</v>
      </c>
      <c r="JD384" s="66">
        <f>AVERAGE(JC384,JC372,JC360,JC348,JC336,JC324,JC312,JC300,JC288,JC276)</f>
        <v>-6.8723448803408443E-2</v>
      </c>
      <c r="JE384" s="67">
        <f t="shared" si="16"/>
        <v>3128.8510000000001</v>
      </c>
      <c r="JF384" s="68">
        <f>'NOPA Crush'!Q384/'Census Crush'!JE384</f>
        <v>0.80860673774494218</v>
      </c>
      <c r="JG384" s="68">
        <f>AVERAGE(JF384,JF372,JF360,JF348,JF336,JF324,JF312,JF300,JF288,JF276)</f>
        <v>0.80526231612301802</v>
      </c>
    </row>
    <row r="385" spans="2:258">
      <c r="B385" s="61"/>
      <c r="C385" s="61"/>
      <c r="D385" s="61"/>
      <c r="E385" s="61"/>
      <c r="F385" s="1"/>
      <c r="G385" s="61"/>
      <c r="H385" s="61"/>
      <c r="I385" s="61"/>
      <c r="J385" s="61"/>
      <c r="K385" s="61"/>
      <c r="L385" s="61"/>
      <c r="M385" s="61"/>
      <c r="N385" s="61"/>
      <c r="O385" s="60"/>
      <c r="P385" s="61"/>
      <c r="Q385" s="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1"/>
      <c r="AK385" s="5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1"/>
      <c r="AX385" s="61"/>
      <c r="AY385" s="61"/>
      <c r="AZ385" s="61"/>
      <c r="BA385" s="61"/>
      <c r="BB385" s="61"/>
      <c r="BC385" s="62"/>
      <c r="BD385" s="60"/>
      <c r="BE385" s="60"/>
      <c r="BF385" s="60"/>
      <c r="BG385" s="60"/>
      <c r="BH385" s="60"/>
      <c r="BI385" s="60"/>
      <c r="BJ385" s="60"/>
      <c r="BK385" s="60"/>
      <c r="BL385" s="62"/>
      <c r="BM385" s="60"/>
      <c r="BN385" s="60"/>
      <c r="BO385" s="60"/>
      <c r="BP385" s="60"/>
      <c r="BQ385" s="60"/>
      <c r="BR385" s="62"/>
      <c r="BS385" s="60"/>
      <c r="BT385" s="60"/>
      <c r="BU385" s="60"/>
      <c r="BV385" s="61"/>
      <c r="BW385" s="61"/>
      <c r="BX385" s="61"/>
      <c r="BY385" s="61"/>
      <c r="BZ385" s="61"/>
      <c r="CA385" s="61"/>
      <c r="CB385" s="60"/>
      <c r="CC385" s="60"/>
      <c r="CD385" s="60"/>
      <c r="CE385" s="60"/>
      <c r="CF385" s="60"/>
      <c r="CG385" s="60"/>
      <c r="CH385" s="60"/>
      <c r="CI385" s="60"/>
      <c r="CJ385" s="60"/>
      <c r="CK385" s="60"/>
      <c r="CL385" s="60"/>
      <c r="CM385" s="62"/>
      <c r="CN385" s="60"/>
      <c r="CO385" s="60"/>
      <c r="CP385" s="60"/>
      <c r="CQ385" s="60"/>
      <c r="CR385" s="60"/>
      <c r="CS385" s="60"/>
      <c r="CT385" s="60"/>
      <c r="CU385" s="60"/>
      <c r="CV385" s="60"/>
      <c r="CW385" s="2"/>
      <c r="CX385" s="2"/>
      <c r="CY385" s="60"/>
      <c r="CZ385" s="60"/>
      <c r="DA385" s="60"/>
      <c r="DB385" s="60"/>
      <c r="DC385" s="60"/>
      <c r="DD385" s="62"/>
      <c r="DE385" s="62"/>
      <c r="DF385" s="62"/>
      <c r="DG385" s="62"/>
      <c r="DH385" s="62"/>
      <c r="DI385" s="60"/>
      <c r="DJ385" s="60"/>
      <c r="DK385" s="60"/>
      <c r="DL385" s="62"/>
      <c r="DM385" s="60"/>
      <c r="DN385" s="62"/>
      <c r="DO385" s="60"/>
      <c r="DP385" s="60"/>
      <c r="DQ385" s="62"/>
      <c r="DR385" s="62"/>
      <c r="DS385" s="60"/>
      <c r="DT385" s="60"/>
      <c r="DU385" s="60"/>
      <c r="DV385" s="60"/>
      <c r="DW385" s="62"/>
      <c r="DX385" s="62"/>
      <c r="DY385" s="60"/>
      <c r="DZ385" s="60"/>
      <c r="EA385" s="60"/>
      <c r="EB385" s="60"/>
      <c r="EC385" s="60"/>
      <c r="ED385" s="60"/>
      <c r="EE385" s="60"/>
      <c r="EF385" s="60"/>
      <c r="EG385" s="60"/>
      <c r="EH385" s="60"/>
      <c r="EI385" s="62"/>
      <c r="EJ385" s="62"/>
      <c r="EK385" s="60"/>
      <c r="EL385" s="60"/>
      <c r="EM385" s="62"/>
      <c r="EN385" s="62"/>
      <c r="EO385" s="60"/>
      <c r="EP385" s="60"/>
      <c r="EQ385" s="60"/>
      <c r="ER385" s="60"/>
      <c r="ES385" s="60"/>
      <c r="ET385" s="60"/>
      <c r="EU385" s="60"/>
      <c r="EV385" s="60"/>
      <c r="EW385" s="60"/>
      <c r="EX385" s="60"/>
      <c r="EY385" s="62"/>
      <c r="EZ385" s="62"/>
      <c r="FA385" s="60"/>
      <c r="FB385" s="60"/>
      <c r="FC385" s="62"/>
      <c r="FD385" s="62"/>
      <c r="FE385" s="60"/>
      <c r="FF385" s="60"/>
      <c r="FG385" s="60"/>
      <c r="FH385" s="60"/>
      <c r="FI385" s="60"/>
      <c r="FJ385" s="60"/>
      <c r="FK385" s="60"/>
      <c r="FL385" s="60"/>
      <c r="FM385" s="60"/>
      <c r="FN385" s="60"/>
      <c r="FO385" s="62"/>
      <c r="FP385" s="62"/>
      <c r="FQ385" s="60"/>
      <c r="FR385" s="60"/>
      <c r="FS385" s="62"/>
      <c r="FT385" s="62"/>
      <c r="FU385" s="60"/>
      <c r="FV385" s="60"/>
      <c r="FW385" s="60"/>
      <c r="FX385" s="60"/>
      <c r="FY385" s="60"/>
      <c r="FZ385" s="60"/>
      <c r="GA385" s="60"/>
      <c r="GB385" s="60"/>
      <c r="GC385" s="60"/>
      <c r="GD385" s="60"/>
      <c r="GE385" s="62"/>
      <c r="GF385" s="62"/>
      <c r="GG385" s="60"/>
      <c r="GH385" s="60"/>
      <c r="GI385" s="62"/>
      <c r="GJ385" s="62"/>
      <c r="GK385" s="60"/>
      <c r="GL385" s="60"/>
      <c r="GM385" s="60"/>
      <c r="GN385" s="60"/>
      <c r="GO385" s="60"/>
      <c r="GP385" s="60"/>
      <c r="GQ385" s="60"/>
      <c r="GR385" s="60"/>
      <c r="GS385" s="60"/>
      <c r="GT385" s="60"/>
      <c r="GU385" s="62"/>
      <c r="GV385" s="62"/>
      <c r="GW385" s="60"/>
      <c r="GX385" s="60"/>
      <c r="GY385" s="19"/>
      <c r="GZ385" s="60"/>
      <c r="HA385" s="60"/>
      <c r="HB385" s="3"/>
      <c r="HC385" s="3"/>
      <c r="HD385" s="3"/>
      <c r="HE385" s="3"/>
      <c r="HF385" s="60"/>
      <c r="HG385" s="60"/>
      <c r="HH385" s="60"/>
      <c r="HI385" s="60"/>
      <c r="HJ385" s="60"/>
      <c r="HK385" s="60"/>
      <c r="HL385" s="60"/>
      <c r="HM385" s="60"/>
      <c r="HN385" s="60"/>
      <c r="HO385" s="60"/>
      <c r="HP385" s="62"/>
      <c r="HQ385" s="60"/>
      <c r="HR385" s="60"/>
      <c r="HS385" s="62"/>
      <c r="HT385" s="60"/>
      <c r="HU385" s="62"/>
      <c r="HV385" s="62"/>
      <c r="HW385" s="60"/>
      <c r="HX385" s="60"/>
      <c r="HY385" s="60"/>
      <c r="HZ385" s="6"/>
      <c r="IA385" s="60"/>
      <c r="IB385" s="60"/>
      <c r="IC385" s="60"/>
      <c r="ID385" s="60"/>
      <c r="IE385" s="60"/>
      <c r="IF385" s="62"/>
      <c r="IG385" s="62"/>
      <c r="IH385" s="3"/>
      <c r="II385" s="2"/>
      <c r="IJ385" s="3"/>
      <c r="IK385" s="60"/>
      <c r="IL385" s="2"/>
      <c r="IM385" s="62"/>
      <c r="IN385" s="60"/>
      <c r="IO385" s="60"/>
      <c r="IP385" s="60"/>
      <c r="IQ385" s="60"/>
      <c r="IR385" s="3"/>
      <c r="IS385" s="62"/>
      <c r="IT385" s="60"/>
      <c r="IU385" s="60"/>
      <c r="IV385" s="60"/>
      <c r="IW385" s="60"/>
      <c r="IX385" s="60"/>
    </row>
    <row r="386" spans="2:258">
      <c r="B386" s="61"/>
      <c r="C386" s="61"/>
      <c r="D386" s="61"/>
      <c r="E386" s="61"/>
      <c r="F386" s="1"/>
      <c r="G386" s="61"/>
      <c r="H386" s="61"/>
      <c r="I386" s="61"/>
      <c r="J386" s="61"/>
      <c r="K386" s="61"/>
      <c r="L386" s="61"/>
      <c r="M386" s="61"/>
      <c r="N386" s="61"/>
      <c r="O386" s="60"/>
      <c r="P386" s="61"/>
      <c r="Q386" s="1"/>
      <c r="R386" s="61"/>
      <c r="S386" s="61"/>
      <c r="T386" s="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1"/>
      <c r="AK386" s="5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1"/>
      <c r="AX386" s="61"/>
      <c r="AY386" s="61"/>
      <c r="AZ386" s="61"/>
      <c r="BA386" s="61"/>
      <c r="BB386" s="61"/>
      <c r="BC386" s="62"/>
      <c r="BD386" s="60"/>
      <c r="BE386" s="60"/>
      <c r="BF386" s="60"/>
      <c r="BG386" s="60"/>
      <c r="BH386" s="60"/>
      <c r="BI386" s="60"/>
      <c r="BJ386" s="60"/>
      <c r="BK386" s="60"/>
      <c r="BL386" s="62"/>
      <c r="BM386" s="60"/>
      <c r="BN386" s="60"/>
      <c r="BO386" s="60"/>
      <c r="BP386" s="60"/>
      <c r="BQ386" s="60"/>
      <c r="BR386" s="62"/>
      <c r="BS386" s="60"/>
      <c r="BT386" s="60"/>
      <c r="BU386" s="60"/>
      <c r="BV386" s="61"/>
      <c r="BW386" s="61"/>
      <c r="BX386" s="61"/>
      <c r="BY386" s="61"/>
      <c r="BZ386" s="61"/>
      <c r="CA386" s="61"/>
      <c r="CB386" s="60"/>
      <c r="CC386" s="60"/>
      <c r="CD386" s="60"/>
      <c r="CE386" s="60"/>
      <c r="CF386" s="60"/>
      <c r="CG386" s="60"/>
      <c r="CH386" s="60"/>
      <c r="CI386" s="60"/>
      <c r="CJ386" s="60"/>
      <c r="CK386" s="60"/>
      <c r="CL386" s="60"/>
      <c r="CM386" s="62"/>
      <c r="CN386" s="60"/>
      <c r="CO386" s="60"/>
      <c r="CP386" s="60"/>
      <c r="CQ386" s="60"/>
      <c r="CR386" s="60"/>
      <c r="CS386" s="60"/>
      <c r="CT386" s="60"/>
      <c r="CU386" s="60"/>
      <c r="CV386" s="60"/>
      <c r="CW386" s="60"/>
      <c r="CX386" s="60"/>
      <c r="CY386" s="60"/>
      <c r="CZ386" s="60"/>
      <c r="DA386" s="60"/>
      <c r="DB386" s="60"/>
      <c r="DC386" s="60"/>
      <c r="DD386" s="62"/>
      <c r="DE386" s="62"/>
      <c r="DF386" s="62"/>
      <c r="DG386" s="62"/>
      <c r="DH386" s="62"/>
      <c r="DI386" s="60"/>
      <c r="DJ386" s="60"/>
      <c r="DK386" s="60"/>
      <c r="DL386" s="62"/>
      <c r="DM386" s="60"/>
      <c r="DN386" s="62"/>
      <c r="DO386" s="60"/>
      <c r="DP386" s="60"/>
      <c r="DQ386" s="62"/>
      <c r="DR386" s="62"/>
      <c r="DS386" s="60"/>
      <c r="DT386" s="60"/>
      <c r="DU386" s="60"/>
      <c r="DV386" s="60"/>
      <c r="DW386" s="62"/>
      <c r="DX386" s="62"/>
      <c r="DY386" s="60"/>
      <c r="DZ386" s="60"/>
      <c r="EA386" s="60"/>
      <c r="EB386" s="60"/>
      <c r="EC386" s="60"/>
      <c r="ED386" s="60"/>
      <c r="EE386" s="60"/>
      <c r="EF386" s="60"/>
      <c r="EG386" s="60"/>
      <c r="EH386" s="60"/>
      <c r="EI386" s="62"/>
      <c r="EJ386" s="62"/>
      <c r="EK386" s="60"/>
      <c r="EL386" s="60"/>
      <c r="EM386" s="62"/>
      <c r="EN386" s="62"/>
      <c r="EO386" s="60"/>
      <c r="EP386" s="60"/>
      <c r="EQ386" s="60"/>
      <c r="ER386" s="60"/>
      <c r="ES386" s="60"/>
      <c r="ET386" s="60"/>
      <c r="EU386" s="60"/>
      <c r="EV386" s="60"/>
      <c r="EW386" s="60"/>
      <c r="EX386" s="60"/>
      <c r="EY386" s="62"/>
      <c r="EZ386" s="62"/>
      <c r="FA386" s="60"/>
      <c r="FB386" s="60"/>
      <c r="FC386" s="62"/>
      <c r="FD386" s="62"/>
      <c r="FE386" s="60"/>
      <c r="FF386" s="60"/>
      <c r="FG386" s="60"/>
      <c r="FH386" s="60"/>
      <c r="FI386" s="60"/>
      <c r="FJ386" s="60"/>
      <c r="FK386" s="60"/>
      <c r="FL386" s="60"/>
      <c r="FM386" s="60"/>
      <c r="FN386" s="60"/>
      <c r="FO386" s="62"/>
      <c r="FP386" s="62"/>
      <c r="FQ386" s="60"/>
      <c r="FR386" s="60"/>
      <c r="FS386" s="62"/>
      <c r="FT386" s="62"/>
      <c r="FU386" s="60"/>
      <c r="FV386" s="60"/>
      <c r="FW386" s="60"/>
      <c r="FX386" s="60"/>
      <c r="FY386" s="60"/>
      <c r="FZ386" s="60"/>
      <c r="GA386" s="60"/>
      <c r="GB386" s="60"/>
      <c r="GC386" s="60"/>
      <c r="GD386" s="60"/>
      <c r="GE386" s="62"/>
      <c r="GF386" s="62"/>
      <c r="GG386" s="60"/>
      <c r="GH386" s="60"/>
      <c r="GI386" s="62"/>
      <c r="GJ386" s="62"/>
      <c r="GK386" s="60"/>
      <c r="GL386" s="60"/>
      <c r="GM386" s="60"/>
      <c r="GN386" s="60"/>
      <c r="GO386" s="60"/>
      <c r="GP386" s="60"/>
      <c r="GQ386" s="60"/>
      <c r="GR386" s="60"/>
      <c r="GS386" s="60"/>
      <c r="GT386" s="60"/>
      <c r="GU386" s="62"/>
      <c r="GV386" s="62"/>
      <c r="GW386" s="60"/>
      <c r="GX386" s="60"/>
      <c r="GY386" s="19"/>
      <c r="GZ386" s="60"/>
      <c r="HA386" s="60"/>
      <c r="HB386" s="3"/>
      <c r="HC386" s="3"/>
      <c r="HD386" s="3"/>
      <c r="HE386" s="3"/>
      <c r="HF386" s="60"/>
      <c r="HG386" s="60"/>
      <c r="HH386" s="60"/>
      <c r="HI386" s="60"/>
      <c r="HJ386" s="60"/>
      <c r="HK386" s="60"/>
      <c r="HL386" s="60"/>
      <c r="HM386" s="60"/>
      <c r="HN386" s="60"/>
      <c r="HO386" s="60"/>
      <c r="HP386" s="62"/>
      <c r="HQ386" s="60"/>
      <c r="HR386" s="60"/>
      <c r="HS386" s="62"/>
      <c r="HT386" s="60"/>
      <c r="HU386" s="62"/>
      <c r="HV386" s="62"/>
      <c r="HW386" s="60"/>
      <c r="HX386" s="60"/>
      <c r="HY386" s="60"/>
      <c r="HZ386" s="60"/>
      <c r="IA386" s="60"/>
      <c r="IB386" s="60"/>
      <c r="IC386" s="60"/>
      <c r="ID386" s="60"/>
      <c r="IE386" s="60"/>
      <c r="IF386" s="62"/>
      <c r="IG386" s="62"/>
      <c r="IH386" s="3"/>
      <c r="II386" s="2"/>
      <c r="IJ386" s="3"/>
      <c r="IK386" s="60"/>
      <c r="IL386" s="2"/>
      <c r="IM386" s="62"/>
      <c r="IN386" s="60"/>
      <c r="IO386" s="60"/>
      <c r="IP386" s="60"/>
      <c r="IQ386" s="60"/>
      <c r="IR386" s="3"/>
      <c r="IS386" s="62"/>
      <c r="IT386" s="60"/>
      <c r="IU386" s="60"/>
      <c r="IV386" s="60"/>
      <c r="IW386" s="60"/>
      <c r="IX386" s="60"/>
    </row>
    <row r="387" spans="2:258"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0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1"/>
      <c r="AK387" s="5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2"/>
      <c r="BD387" s="60"/>
      <c r="BE387" s="60"/>
      <c r="BF387" s="60"/>
      <c r="BG387" s="60"/>
      <c r="BH387" s="60"/>
      <c r="BI387" s="60"/>
      <c r="BJ387" s="60"/>
      <c r="BK387" s="60"/>
      <c r="BL387" s="62"/>
      <c r="BM387" s="60"/>
      <c r="BN387" s="60"/>
      <c r="BO387" s="60"/>
      <c r="BP387" s="60"/>
      <c r="BQ387" s="60"/>
      <c r="BR387" s="62"/>
      <c r="BS387" s="60"/>
      <c r="BT387" s="60"/>
      <c r="BU387" s="60"/>
      <c r="BV387" s="61"/>
      <c r="BW387" s="61"/>
      <c r="BX387" s="61"/>
      <c r="BY387" s="61"/>
      <c r="BZ387" s="61"/>
      <c r="CA387" s="61"/>
      <c r="CB387" s="60"/>
      <c r="CC387" s="60"/>
      <c r="CD387" s="60"/>
      <c r="CE387" s="60"/>
      <c r="CF387" s="60"/>
      <c r="CG387" s="60"/>
      <c r="CH387" s="60"/>
      <c r="CI387" s="60"/>
      <c r="CJ387" s="60"/>
      <c r="CK387" s="60"/>
      <c r="CL387" s="60"/>
      <c r="CM387" s="62"/>
      <c r="CN387" s="60"/>
      <c r="CO387" s="60"/>
      <c r="CP387" s="60"/>
      <c r="CQ387" s="60"/>
      <c r="CR387" s="60"/>
      <c r="CS387" s="60"/>
      <c r="CT387" s="60"/>
      <c r="CU387" s="60"/>
      <c r="CV387" s="60"/>
      <c r="CW387" s="60"/>
      <c r="CX387" s="60"/>
      <c r="CY387" s="60"/>
      <c r="CZ387" s="60"/>
      <c r="DA387" s="60"/>
      <c r="DB387" s="60"/>
      <c r="DC387" s="60"/>
      <c r="DD387" s="62"/>
      <c r="DE387" s="62"/>
      <c r="DF387" s="62"/>
      <c r="DG387" s="62"/>
      <c r="DH387" s="62"/>
      <c r="DI387" s="60"/>
      <c r="DJ387" s="60"/>
      <c r="DK387" s="60"/>
      <c r="DL387" s="62"/>
      <c r="DM387" s="60"/>
      <c r="DN387" s="62"/>
      <c r="DO387" s="60"/>
      <c r="DP387" s="60"/>
      <c r="DQ387" s="62"/>
      <c r="DR387" s="62"/>
      <c r="DS387" s="60"/>
      <c r="DT387" s="60"/>
      <c r="DU387" s="60"/>
      <c r="DV387" s="60"/>
      <c r="DW387" s="62"/>
      <c r="DX387" s="62"/>
      <c r="DY387" s="60"/>
      <c r="DZ387" s="60"/>
      <c r="EA387" s="60"/>
      <c r="EB387" s="60"/>
      <c r="EC387" s="60"/>
      <c r="ED387" s="60"/>
      <c r="EE387" s="60"/>
      <c r="EF387" s="60"/>
      <c r="EG387" s="60"/>
      <c r="EH387" s="60"/>
      <c r="EI387" s="62"/>
      <c r="EJ387" s="62"/>
      <c r="EK387" s="60"/>
      <c r="EL387" s="60"/>
      <c r="EM387" s="62"/>
      <c r="EN387" s="62"/>
      <c r="EO387" s="60"/>
      <c r="EP387" s="60"/>
      <c r="EQ387" s="60"/>
      <c r="ER387" s="60"/>
      <c r="ES387" s="60"/>
      <c r="ET387" s="60"/>
      <c r="EU387" s="60"/>
      <c r="EV387" s="60"/>
      <c r="EW387" s="60"/>
      <c r="EX387" s="60"/>
      <c r="EY387" s="62"/>
      <c r="EZ387" s="62"/>
      <c r="FA387" s="60"/>
      <c r="FB387" s="60"/>
      <c r="FC387" s="62"/>
      <c r="FD387" s="62"/>
      <c r="FE387" s="60"/>
      <c r="FF387" s="60"/>
      <c r="FG387" s="60"/>
      <c r="FH387" s="60"/>
      <c r="FI387" s="60"/>
      <c r="FJ387" s="60"/>
      <c r="FK387" s="60"/>
      <c r="FL387" s="60"/>
      <c r="FM387" s="60"/>
      <c r="FN387" s="60"/>
      <c r="FO387" s="62"/>
      <c r="FP387" s="62"/>
      <c r="FQ387" s="60"/>
      <c r="FR387" s="60"/>
      <c r="FS387" s="62"/>
      <c r="FT387" s="62"/>
      <c r="FU387" s="60"/>
      <c r="FV387" s="60"/>
      <c r="FW387" s="60"/>
      <c r="FX387" s="60"/>
      <c r="FY387" s="60"/>
      <c r="FZ387" s="60"/>
      <c r="GA387" s="60"/>
      <c r="GB387" s="60"/>
      <c r="GC387" s="60"/>
      <c r="GD387" s="60"/>
      <c r="GE387" s="62"/>
      <c r="GF387" s="62"/>
      <c r="GG387" s="60"/>
      <c r="GH387" s="60"/>
      <c r="GI387" s="62"/>
      <c r="GJ387" s="62"/>
      <c r="GK387" s="60"/>
      <c r="GL387" s="60"/>
      <c r="GM387" s="60"/>
      <c r="GN387" s="60"/>
      <c r="GO387" s="60"/>
      <c r="GP387" s="60"/>
      <c r="GQ387" s="60"/>
      <c r="GR387" s="60"/>
      <c r="GS387" s="60"/>
      <c r="GT387" s="60"/>
      <c r="GU387" s="62"/>
      <c r="GV387" s="62"/>
      <c r="GW387" s="60"/>
      <c r="GX387" s="60"/>
      <c r="GY387" s="19"/>
      <c r="GZ387" s="60"/>
      <c r="HA387" s="60"/>
      <c r="HB387" s="3"/>
      <c r="HC387" s="3"/>
      <c r="HD387" s="3"/>
      <c r="HE387" s="3"/>
      <c r="HF387" s="60"/>
      <c r="HG387" s="60"/>
      <c r="HH387" s="60"/>
      <c r="HI387" s="60"/>
      <c r="HJ387" s="60"/>
      <c r="HK387" s="60"/>
      <c r="HL387" s="60"/>
      <c r="HM387" s="60"/>
      <c r="HN387" s="60"/>
      <c r="HO387" s="60"/>
      <c r="HP387" s="62"/>
      <c r="HQ387" s="60"/>
      <c r="HR387" s="60"/>
      <c r="HS387" s="62"/>
      <c r="HT387" s="60"/>
      <c r="HU387" s="62"/>
      <c r="HV387" s="62"/>
      <c r="HW387" s="60"/>
      <c r="HX387" s="60"/>
      <c r="HY387" s="60"/>
      <c r="HZ387" s="60"/>
      <c r="IA387" s="60"/>
      <c r="IB387" s="60"/>
      <c r="IC387" s="60"/>
      <c r="ID387" s="60"/>
      <c r="IE387" s="60"/>
      <c r="IF387" s="62"/>
      <c r="IG387" s="62"/>
      <c r="IH387" s="2"/>
      <c r="II387" s="4"/>
      <c r="IJ387" s="4"/>
      <c r="IK387" s="60"/>
      <c r="IL387" s="2"/>
      <c r="IM387" s="62"/>
      <c r="IN387" s="60"/>
      <c r="IO387" s="60"/>
      <c r="IP387" s="3"/>
      <c r="IQ387" s="60"/>
      <c r="IR387" s="3"/>
      <c r="IS387" s="62"/>
      <c r="IT387" s="60"/>
      <c r="IU387" s="60"/>
      <c r="IV387" s="3"/>
      <c r="IW387" s="60"/>
      <c r="IX387" s="60"/>
    </row>
    <row r="388" spans="2:258"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0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1"/>
      <c r="AK388" s="5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2"/>
      <c r="BD388" s="60"/>
      <c r="BE388" s="60"/>
      <c r="BF388" s="60"/>
      <c r="BG388" s="60"/>
      <c r="BH388" s="60"/>
      <c r="BI388" s="60"/>
      <c r="BJ388" s="60"/>
      <c r="BK388" s="60"/>
      <c r="BL388" s="62"/>
      <c r="BM388" s="60"/>
      <c r="BN388" s="60"/>
      <c r="BO388" s="60"/>
      <c r="BP388" s="60"/>
      <c r="BQ388" s="60"/>
      <c r="BR388" s="62"/>
      <c r="BS388" s="60"/>
      <c r="BT388" s="60"/>
      <c r="BU388" s="60"/>
      <c r="BV388" s="61"/>
      <c r="BW388" s="61"/>
      <c r="BX388" s="61"/>
      <c r="BY388" s="61"/>
      <c r="BZ388" s="61"/>
      <c r="CA388" s="61"/>
      <c r="CB388" s="60"/>
      <c r="CC388" s="60"/>
      <c r="CD388" s="60"/>
      <c r="CE388" s="60"/>
      <c r="CF388" s="60"/>
      <c r="CG388" s="60"/>
      <c r="CH388" s="60"/>
      <c r="CI388" s="60"/>
      <c r="CJ388" s="60"/>
      <c r="CK388" s="60"/>
      <c r="CL388" s="60"/>
      <c r="CM388" s="62"/>
      <c r="CN388" s="60"/>
      <c r="CO388" s="60"/>
      <c r="CP388" s="60"/>
      <c r="CQ388" s="60"/>
      <c r="CR388" s="60"/>
      <c r="CS388" s="60"/>
      <c r="CT388" s="60"/>
      <c r="CU388" s="60"/>
      <c r="CV388" s="60"/>
      <c r="CW388" s="60"/>
      <c r="CX388" s="60"/>
      <c r="CY388" s="60"/>
      <c r="CZ388" s="60"/>
      <c r="DA388" s="60"/>
      <c r="DB388" s="60"/>
      <c r="DC388" s="60"/>
      <c r="DD388" s="62"/>
      <c r="DE388" s="62"/>
      <c r="DF388" s="62"/>
      <c r="DG388" s="62"/>
      <c r="DH388" s="62"/>
      <c r="DI388" s="60"/>
      <c r="DJ388" s="60"/>
      <c r="DK388" s="60"/>
      <c r="DL388" s="62"/>
      <c r="DM388" s="60"/>
      <c r="DN388" s="62"/>
      <c r="DO388" s="60"/>
      <c r="DP388" s="60"/>
      <c r="DQ388" s="62"/>
      <c r="DR388" s="62"/>
      <c r="DS388" s="60"/>
      <c r="DT388" s="60"/>
      <c r="DU388" s="60"/>
      <c r="DV388" s="60"/>
      <c r="DW388" s="62"/>
      <c r="DX388" s="62"/>
      <c r="DY388" s="60"/>
      <c r="DZ388" s="60"/>
      <c r="EA388" s="60"/>
      <c r="EB388" s="60"/>
      <c r="EC388" s="60"/>
      <c r="ED388" s="60"/>
      <c r="EE388" s="60"/>
      <c r="EF388" s="60"/>
      <c r="EG388" s="60"/>
      <c r="EH388" s="60"/>
      <c r="EI388" s="62"/>
      <c r="EJ388" s="62"/>
      <c r="EK388" s="60"/>
      <c r="EL388" s="60"/>
      <c r="EM388" s="62"/>
      <c r="EN388" s="62"/>
      <c r="EO388" s="60"/>
      <c r="EP388" s="60"/>
      <c r="EQ388" s="60"/>
      <c r="ER388" s="60"/>
      <c r="ES388" s="60"/>
      <c r="ET388" s="60"/>
      <c r="EU388" s="60"/>
      <c r="EV388" s="60"/>
      <c r="EW388" s="60"/>
      <c r="EX388" s="60"/>
      <c r="EY388" s="62"/>
      <c r="EZ388" s="62"/>
      <c r="FA388" s="60"/>
      <c r="FB388" s="60"/>
      <c r="FC388" s="62"/>
      <c r="FD388" s="62"/>
      <c r="FE388" s="60"/>
      <c r="FF388" s="60"/>
      <c r="FG388" s="60"/>
      <c r="FH388" s="60"/>
      <c r="FI388" s="60"/>
      <c r="FJ388" s="60"/>
      <c r="FK388" s="60"/>
      <c r="FL388" s="60"/>
      <c r="FM388" s="60"/>
      <c r="FN388" s="60"/>
      <c r="FO388" s="62"/>
      <c r="FP388" s="62"/>
      <c r="FQ388" s="60"/>
      <c r="FR388" s="60"/>
      <c r="FS388" s="62"/>
      <c r="FT388" s="62"/>
      <c r="FU388" s="60"/>
      <c r="FV388" s="60"/>
      <c r="FW388" s="60"/>
      <c r="FX388" s="60"/>
      <c r="FY388" s="60"/>
      <c r="FZ388" s="60"/>
      <c r="GA388" s="60"/>
      <c r="GB388" s="60"/>
      <c r="GC388" s="60"/>
      <c r="GD388" s="60"/>
      <c r="GE388" s="62"/>
      <c r="GF388" s="62"/>
      <c r="GG388" s="60"/>
      <c r="GH388" s="60"/>
      <c r="GI388" s="62"/>
      <c r="GJ388" s="62"/>
      <c r="GK388" s="60"/>
      <c r="GL388" s="60"/>
      <c r="GM388" s="60"/>
      <c r="GN388" s="60"/>
      <c r="GO388" s="60"/>
      <c r="GP388" s="60"/>
      <c r="GQ388" s="60"/>
      <c r="GR388" s="60"/>
      <c r="GS388" s="60"/>
      <c r="GT388" s="60"/>
      <c r="GU388" s="62"/>
      <c r="GV388" s="62"/>
      <c r="GW388" s="60"/>
      <c r="GX388" s="60"/>
      <c r="GY388" s="19"/>
      <c r="GZ388" s="60"/>
      <c r="HA388" s="60"/>
      <c r="HB388" s="3"/>
      <c r="HC388" s="3"/>
      <c r="HD388" s="3"/>
      <c r="HE388" s="3"/>
      <c r="HF388" s="60"/>
      <c r="HG388" s="60"/>
      <c r="HH388" s="60"/>
      <c r="HI388" s="60"/>
      <c r="HJ388" s="60"/>
      <c r="HK388" s="60"/>
      <c r="HL388" s="60"/>
      <c r="HM388" s="60"/>
      <c r="HN388" s="60"/>
      <c r="HO388" s="60"/>
      <c r="HP388" s="62"/>
      <c r="HQ388" s="60"/>
      <c r="HR388" s="60"/>
      <c r="HS388" s="62"/>
      <c r="HT388" s="60"/>
      <c r="HU388" s="62"/>
      <c r="HV388" s="62"/>
      <c r="HW388" s="60"/>
      <c r="HX388" s="60"/>
      <c r="HY388" s="60"/>
      <c r="HZ388" s="60"/>
      <c r="IA388" s="60"/>
      <c r="IB388" s="60"/>
      <c r="IC388" s="60"/>
      <c r="ID388" s="60"/>
      <c r="IE388" s="60"/>
      <c r="IF388" s="62"/>
      <c r="IG388" s="62"/>
      <c r="IH388" s="3"/>
      <c r="II388" s="2"/>
      <c r="IJ388" s="3"/>
      <c r="IK388" s="60"/>
      <c r="IL388" s="2"/>
      <c r="IM388" s="62"/>
      <c r="IN388" s="60"/>
      <c r="IO388" s="60"/>
      <c r="IP388" s="3"/>
      <c r="IQ388" s="60"/>
      <c r="IR388" s="3"/>
      <c r="IS388" s="62"/>
      <c r="IT388" s="60"/>
      <c r="IU388" s="60"/>
      <c r="IV388" s="3"/>
      <c r="IW388" s="60"/>
      <c r="IX388" s="60"/>
    </row>
    <row r="389" spans="2:258"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0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1"/>
      <c r="AK389" s="5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2"/>
      <c r="BD389" s="60"/>
      <c r="BE389" s="60"/>
      <c r="BF389" s="60"/>
      <c r="BG389" s="60"/>
      <c r="BH389" s="60"/>
      <c r="BI389" s="60"/>
      <c r="BJ389" s="60"/>
      <c r="BK389" s="60"/>
      <c r="BL389" s="62"/>
      <c r="BM389" s="60"/>
      <c r="BN389" s="60"/>
      <c r="BO389" s="60"/>
      <c r="BP389" s="60"/>
      <c r="BQ389" s="60"/>
      <c r="BR389" s="62"/>
      <c r="BS389" s="60"/>
      <c r="BT389" s="60"/>
      <c r="BU389" s="60"/>
      <c r="BV389" s="61"/>
      <c r="BW389" s="61"/>
      <c r="BX389" s="61"/>
      <c r="BY389" s="61"/>
      <c r="BZ389" s="61"/>
      <c r="CA389" s="61"/>
      <c r="CB389" s="60"/>
      <c r="CC389" s="60"/>
      <c r="CD389" s="60"/>
      <c r="CE389" s="60"/>
      <c r="CF389" s="60"/>
      <c r="CG389" s="60"/>
      <c r="CH389" s="60"/>
      <c r="CI389" s="60"/>
      <c r="CJ389" s="60"/>
      <c r="CK389" s="60"/>
      <c r="CL389" s="60"/>
      <c r="CM389" s="62"/>
      <c r="CN389" s="60"/>
      <c r="CO389" s="60"/>
      <c r="CP389" s="60"/>
      <c r="CQ389" s="60"/>
      <c r="CR389" s="60"/>
      <c r="CS389" s="60"/>
      <c r="CT389" s="60"/>
      <c r="CU389" s="60"/>
      <c r="CV389" s="60"/>
      <c r="CW389" s="60"/>
      <c r="CX389" s="60"/>
      <c r="CY389" s="60"/>
      <c r="CZ389" s="60"/>
      <c r="DA389" s="60"/>
      <c r="DB389" s="60"/>
      <c r="DC389" s="60"/>
      <c r="DD389" s="62"/>
      <c r="DE389" s="62"/>
      <c r="DF389" s="62"/>
      <c r="DG389" s="62"/>
      <c r="DH389" s="62"/>
      <c r="DI389" s="60"/>
      <c r="DJ389" s="60"/>
      <c r="DK389" s="60"/>
      <c r="DL389" s="62"/>
      <c r="DM389" s="60"/>
      <c r="DN389" s="62"/>
      <c r="DO389" s="60"/>
      <c r="DP389" s="60"/>
      <c r="DQ389" s="62"/>
      <c r="DR389" s="62"/>
      <c r="DS389" s="60"/>
      <c r="DT389" s="60"/>
      <c r="DU389" s="60"/>
      <c r="DV389" s="60"/>
      <c r="DW389" s="62"/>
      <c r="DX389" s="62"/>
      <c r="DY389" s="60"/>
      <c r="DZ389" s="60"/>
      <c r="EA389" s="60"/>
      <c r="EB389" s="60"/>
      <c r="EC389" s="60"/>
      <c r="ED389" s="60"/>
      <c r="EE389" s="60"/>
      <c r="EF389" s="60"/>
      <c r="EG389" s="60"/>
      <c r="EH389" s="60"/>
      <c r="EI389" s="62"/>
      <c r="EJ389" s="62"/>
      <c r="EK389" s="60"/>
      <c r="EL389" s="60"/>
      <c r="EM389" s="62"/>
      <c r="EN389" s="62"/>
      <c r="EO389" s="60"/>
      <c r="EP389" s="60"/>
      <c r="EQ389" s="60"/>
      <c r="ER389" s="60"/>
      <c r="ES389" s="60"/>
      <c r="ET389" s="60"/>
      <c r="EU389" s="60"/>
      <c r="EV389" s="60"/>
      <c r="EW389" s="60"/>
      <c r="EX389" s="60"/>
      <c r="EY389" s="62"/>
      <c r="EZ389" s="62"/>
      <c r="FA389" s="60"/>
      <c r="FB389" s="60"/>
      <c r="FC389" s="62"/>
      <c r="FD389" s="62"/>
      <c r="FE389" s="60"/>
      <c r="FF389" s="60"/>
      <c r="FG389" s="60"/>
      <c r="FH389" s="60"/>
      <c r="FI389" s="60"/>
      <c r="FJ389" s="60"/>
      <c r="FK389" s="60"/>
      <c r="FL389" s="60"/>
      <c r="FM389" s="60"/>
      <c r="FN389" s="60"/>
      <c r="FO389" s="62"/>
      <c r="FP389" s="62"/>
      <c r="FQ389" s="60"/>
      <c r="FR389" s="60"/>
      <c r="FS389" s="62"/>
      <c r="FT389" s="62"/>
      <c r="FU389" s="60"/>
      <c r="FV389" s="60"/>
      <c r="FW389" s="60"/>
      <c r="FX389" s="60"/>
      <c r="FY389" s="60"/>
      <c r="FZ389" s="60"/>
      <c r="GA389" s="60"/>
      <c r="GB389" s="60"/>
      <c r="GC389" s="60"/>
      <c r="GD389" s="60"/>
      <c r="GE389" s="62"/>
      <c r="GF389" s="62"/>
      <c r="GG389" s="60"/>
      <c r="GH389" s="60"/>
      <c r="GI389" s="62"/>
      <c r="GJ389" s="62"/>
      <c r="GK389" s="60"/>
      <c r="GL389" s="60"/>
      <c r="GM389" s="60"/>
      <c r="GN389" s="60"/>
      <c r="GO389" s="60"/>
      <c r="GP389" s="60"/>
      <c r="GQ389" s="60"/>
      <c r="GR389" s="60"/>
      <c r="GS389" s="60"/>
      <c r="GT389" s="60"/>
      <c r="GU389" s="62"/>
      <c r="GV389" s="62"/>
      <c r="GW389" s="60"/>
      <c r="GX389" s="60"/>
      <c r="GY389" s="19"/>
      <c r="GZ389" s="60"/>
      <c r="HA389" s="60"/>
      <c r="HB389" s="3"/>
      <c r="HC389" s="3"/>
      <c r="HD389" s="3"/>
      <c r="HE389" s="3"/>
      <c r="HF389" s="60"/>
      <c r="HG389" s="60"/>
      <c r="HH389" s="60"/>
      <c r="HI389" s="60"/>
      <c r="HJ389" s="60"/>
      <c r="HK389" s="60"/>
      <c r="HL389" s="60"/>
      <c r="HM389" s="60"/>
      <c r="HN389" s="60"/>
      <c r="HO389" s="60"/>
      <c r="HP389" s="62"/>
      <c r="HQ389" s="60"/>
      <c r="HR389" s="60"/>
      <c r="HS389" s="62"/>
      <c r="HT389" s="60"/>
      <c r="HU389" s="62"/>
      <c r="HV389" s="62"/>
      <c r="HW389" s="60"/>
      <c r="HX389" s="60"/>
      <c r="HY389" s="60"/>
      <c r="HZ389" s="60"/>
      <c r="IA389" s="60"/>
      <c r="IB389" s="60"/>
      <c r="IC389" s="60"/>
      <c r="ID389" s="60"/>
      <c r="IE389" s="60"/>
      <c r="IF389" s="62"/>
      <c r="IG389" s="62"/>
      <c r="IH389" s="3"/>
      <c r="II389" s="2"/>
      <c r="IJ389" s="3"/>
      <c r="IK389" s="60"/>
      <c r="IL389" s="2"/>
      <c r="IM389" s="62"/>
      <c r="IN389" s="60"/>
      <c r="IO389" s="60"/>
      <c r="IP389" s="3"/>
      <c r="IQ389" s="60"/>
      <c r="IR389" s="60"/>
      <c r="IS389" s="62"/>
      <c r="IT389" s="60"/>
      <c r="IU389" s="60"/>
      <c r="IV389" s="3"/>
      <c r="IW389" s="60"/>
      <c r="IX389" s="60"/>
    </row>
    <row r="390" spans="2:258"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0"/>
      <c r="P390" s="61"/>
      <c r="Q390" s="1"/>
      <c r="R390" s="61"/>
      <c r="S390" s="61"/>
      <c r="T390" s="61"/>
      <c r="U390" s="61"/>
      <c r="V390" s="61"/>
      <c r="W390" s="61"/>
      <c r="X390" s="61"/>
      <c r="Y390" s="61"/>
      <c r="Z390" s="61"/>
      <c r="AA390" s="1"/>
      <c r="AB390" s="1"/>
      <c r="AC390" s="1"/>
      <c r="AD390" s="1"/>
      <c r="AE390" s="1"/>
      <c r="AF390" s="61"/>
      <c r="AG390" s="61"/>
      <c r="AH390" s="61"/>
      <c r="AI390" s="61"/>
      <c r="AJ390" s="1"/>
      <c r="AK390" s="5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2"/>
      <c r="BD390" s="60"/>
      <c r="BE390" s="60"/>
      <c r="BF390" s="60"/>
      <c r="BG390" s="60"/>
      <c r="BH390" s="60"/>
      <c r="BI390" s="60"/>
      <c r="BJ390" s="60"/>
      <c r="BK390" s="60"/>
      <c r="BL390" s="62"/>
      <c r="BM390" s="60"/>
      <c r="BN390" s="60"/>
      <c r="BO390" s="60"/>
      <c r="BP390" s="60"/>
      <c r="BQ390" s="60"/>
      <c r="BR390" s="62"/>
      <c r="BS390" s="60"/>
      <c r="BT390" s="60"/>
      <c r="BU390" s="60"/>
      <c r="BV390" s="61"/>
      <c r="BW390" s="61"/>
      <c r="BX390" s="61"/>
      <c r="BY390" s="61"/>
      <c r="BZ390" s="61"/>
      <c r="CA390" s="61"/>
      <c r="CB390" s="60"/>
      <c r="CC390" s="60"/>
      <c r="CD390" s="60"/>
      <c r="CE390" s="60"/>
      <c r="CF390" s="60"/>
      <c r="CG390" s="60"/>
      <c r="CH390" s="60"/>
      <c r="CI390" s="60"/>
      <c r="CJ390" s="60"/>
      <c r="CK390" s="60"/>
      <c r="CL390" s="60"/>
      <c r="CM390" s="62"/>
      <c r="CN390" s="60"/>
      <c r="CO390" s="60"/>
      <c r="CP390" s="60"/>
      <c r="CQ390" s="60"/>
      <c r="CR390" s="60"/>
      <c r="CS390" s="60"/>
      <c r="CT390" s="60"/>
      <c r="CU390" s="60"/>
      <c r="CV390" s="60"/>
      <c r="CW390" s="2"/>
      <c r="CX390" s="2"/>
      <c r="CY390" s="60"/>
      <c r="CZ390" s="60"/>
      <c r="DA390" s="60"/>
      <c r="DB390" s="60"/>
      <c r="DC390" s="60"/>
      <c r="DD390" s="62"/>
      <c r="DE390" s="62"/>
      <c r="DF390" s="62"/>
      <c r="DG390" s="62"/>
      <c r="DH390" s="62"/>
      <c r="DI390" s="60"/>
      <c r="DJ390" s="60"/>
      <c r="DK390" s="60"/>
      <c r="DL390" s="62"/>
      <c r="DM390" s="60"/>
      <c r="DN390" s="62"/>
      <c r="DO390" s="60"/>
      <c r="DP390" s="60"/>
      <c r="DQ390" s="62"/>
      <c r="DR390" s="62"/>
      <c r="DS390" s="60"/>
      <c r="DT390" s="60"/>
      <c r="DU390" s="60"/>
      <c r="DV390" s="60"/>
      <c r="DW390" s="62"/>
      <c r="DX390" s="62"/>
      <c r="DY390" s="60"/>
      <c r="DZ390" s="60"/>
      <c r="EA390" s="60"/>
      <c r="EB390" s="60"/>
      <c r="EC390" s="60"/>
      <c r="ED390" s="60"/>
      <c r="EE390" s="60"/>
      <c r="EF390" s="60"/>
      <c r="EG390" s="60"/>
      <c r="EH390" s="60"/>
      <c r="EI390" s="62"/>
      <c r="EJ390" s="62"/>
      <c r="EK390" s="60"/>
      <c r="EL390" s="60"/>
      <c r="EM390" s="62"/>
      <c r="EN390" s="62"/>
      <c r="EO390" s="60"/>
      <c r="EP390" s="60"/>
      <c r="EQ390" s="60"/>
      <c r="ER390" s="60"/>
      <c r="ES390" s="60"/>
      <c r="ET390" s="60"/>
      <c r="EU390" s="60"/>
      <c r="EV390" s="60"/>
      <c r="EW390" s="60"/>
      <c r="EX390" s="60"/>
      <c r="EY390" s="62"/>
      <c r="EZ390" s="62"/>
      <c r="FA390" s="60"/>
      <c r="FB390" s="60"/>
      <c r="FC390" s="62"/>
      <c r="FD390" s="62"/>
      <c r="FE390" s="60"/>
      <c r="FF390" s="60"/>
      <c r="FG390" s="60"/>
      <c r="FH390" s="60"/>
      <c r="FI390" s="60"/>
      <c r="FJ390" s="60"/>
      <c r="FK390" s="60"/>
      <c r="FL390" s="60"/>
      <c r="FM390" s="60"/>
      <c r="FN390" s="60"/>
      <c r="FO390" s="62"/>
      <c r="FP390" s="62"/>
      <c r="FQ390" s="60"/>
      <c r="FR390" s="60"/>
      <c r="FS390" s="62"/>
      <c r="FT390" s="62"/>
      <c r="FU390" s="60"/>
      <c r="FV390" s="60"/>
      <c r="FW390" s="60"/>
      <c r="FX390" s="60"/>
      <c r="FY390" s="60"/>
      <c r="FZ390" s="60"/>
      <c r="GA390" s="60"/>
      <c r="GB390" s="60"/>
      <c r="GC390" s="60"/>
      <c r="GD390" s="60"/>
      <c r="GE390" s="62"/>
      <c r="GF390" s="62"/>
      <c r="GG390" s="60"/>
      <c r="GH390" s="60"/>
      <c r="GI390" s="62"/>
      <c r="GJ390" s="62"/>
      <c r="GK390" s="60"/>
      <c r="GL390" s="60"/>
      <c r="GM390" s="60"/>
      <c r="GN390" s="60"/>
      <c r="GO390" s="60"/>
      <c r="GP390" s="60"/>
      <c r="GQ390" s="60"/>
      <c r="GR390" s="60"/>
      <c r="GS390" s="60"/>
      <c r="GT390" s="60"/>
      <c r="GU390" s="62"/>
      <c r="GV390" s="62"/>
      <c r="GW390" s="60"/>
      <c r="GX390" s="60"/>
      <c r="GY390" s="19"/>
      <c r="GZ390" s="60"/>
      <c r="HA390" s="60"/>
      <c r="HB390" s="3"/>
      <c r="HC390" s="3"/>
      <c r="HD390" s="3"/>
      <c r="HE390" s="3"/>
      <c r="HF390" s="60"/>
      <c r="HG390" s="60"/>
      <c r="HH390" s="60"/>
      <c r="HI390" s="60"/>
      <c r="HJ390" s="60"/>
      <c r="HK390" s="60"/>
      <c r="HL390" s="60"/>
      <c r="HM390" s="60"/>
      <c r="HN390" s="60"/>
      <c r="HO390" s="60"/>
      <c r="HP390" s="62"/>
      <c r="HQ390" s="60"/>
      <c r="HR390" s="60"/>
      <c r="HS390" s="62"/>
      <c r="HT390" s="60"/>
      <c r="HU390" s="62"/>
      <c r="HV390" s="62"/>
      <c r="HW390" s="60"/>
      <c r="HX390" s="60"/>
      <c r="HY390" s="60"/>
      <c r="HZ390" s="60"/>
      <c r="IA390" s="60"/>
      <c r="IB390" s="60"/>
      <c r="IC390" s="60"/>
      <c r="ID390" s="60"/>
      <c r="IE390" s="60"/>
      <c r="IF390" s="62"/>
      <c r="IG390" s="62"/>
      <c r="IH390" s="3"/>
      <c r="II390" s="4"/>
      <c r="IJ390" s="2"/>
      <c r="IK390" s="60"/>
      <c r="IL390" s="2"/>
      <c r="IM390" s="62"/>
      <c r="IN390" s="60"/>
      <c r="IO390" s="60"/>
      <c r="IP390" s="60"/>
      <c r="IQ390" s="60"/>
      <c r="IR390" s="60"/>
      <c r="IS390" s="62"/>
      <c r="IT390" s="60"/>
      <c r="IU390" s="60"/>
      <c r="IV390" s="60"/>
      <c r="IW390" s="60"/>
      <c r="IX390" s="60"/>
    </row>
    <row r="391" spans="2:258"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0"/>
      <c r="P391" s="61"/>
      <c r="Q391" s="1"/>
      <c r="R391" s="61"/>
      <c r="S391" s="61"/>
      <c r="T391" s="61"/>
      <c r="U391" s="61"/>
      <c r="V391" s="61"/>
      <c r="W391" s="61"/>
      <c r="X391" s="61"/>
      <c r="Y391" s="61"/>
      <c r="Z391" s="61"/>
      <c r="AA391" s="1"/>
      <c r="AB391" s="1"/>
      <c r="AC391" s="1"/>
      <c r="AD391" s="1"/>
      <c r="AE391" s="1"/>
      <c r="AF391" s="61"/>
      <c r="AG391" s="61"/>
      <c r="AH391" s="61"/>
      <c r="AI391" s="61"/>
      <c r="AJ391" s="1"/>
      <c r="AK391" s="5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2"/>
      <c r="BD391" s="60"/>
      <c r="BE391" s="60"/>
      <c r="BF391" s="60"/>
      <c r="BG391" s="60"/>
      <c r="BH391" s="60"/>
      <c r="BI391" s="60"/>
      <c r="BJ391" s="60"/>
      <c r="BK391" s="60"/>
      <c r="BL391" s="62"/>
      <c r="BM391" s="60"/>
      <c r="BN391" s="60"/>
      <c r="BO391" s="60"/>
      <c r="BP391" s="60"/>
      <c r="BQ391" s="60"/>
      <c r="BR391" s="62"/>
      <c r="BS391" s="60"/>
      <c r="BT391" s="60"/>
      <c r="BU391" s="60"/>
      <c r="BV391" s="61"/>
      <c r="BW391" s="61"/>
      <c r="BX391" s="61"/>
      <c r="BY391" s="61"/>
      <c r="BZ391" s="61"/>
      <c r="CA391" s="61"/>
      <c r="CB391" s="60"/>
      <c r="CC391" s="60"/>
      <c r="CD391" s="60"/>
      <c r="CE391" s="60"/>
      <c r="CF391" s="60"/>
      <c r="CG391" s="60"/>
      <c r="CH391" s="60"/>
      <c r="CI391" s="60"/>
      <c r="CJ391" s="60"/>
      <c r="CK391" s="60"/>
      <c r="CL391" s="60"/>
      <c r="CM391" s="62"/>
      <c r="CN391" s="60"/>
      <c r="CO391" s="60"/>
      <c r="CP391" s="60"/>
      <c r="CQ391" s="60"/>
      <c r="CR391" s="60"/>
      <c r="CS391" s="60"/>
      <c r="CT391" s="60"/>
      <c r="CU391" s="60"/>
      <c r="CV391" s="60"/>
      <c r="CW391" s="60"/>
      <c r="CX391" s="60"/>
      <c r="CY391" s="60"/>
      <c r="CZ391" s="60"/>
      <c r="DA391" s="60"/>
      <c r="DB391" s="60"/>
      <c r="DC391" s="60"/>
      <c r="DD391" s="62"/>
      <c r="DE391" s="62"/>
      <c r="DF391" s="62"/>
      <c r="DG391" s="62"/>
      <c r="DH391" s="62"/>
      <c r="DI391" s="60"/>
      <c r="DJ391" s="60"/>
      <c r="DK391" s="60"/>
      <c r="DL391" s="62"/>
      <c r="DM391" s="60"/>
      <c r="DN391" s="62"/>
      <c r="DO391" s="60"/>
      <c r="DP391" s="60"/>
      <c r="DQ391" s="62"/>
      <c r="DR391" s="62"/>
      <c r="DS391" s="60"/>
      <c r="DT391" s="60"/>
      <c r="DU391" s="60"/>
      <c r="DV391" s="60"/>
      <c r="DW391" s="62"/>
      <c r="DX391" s="62"/>
      <c r="DY391" s="60"/>
      <c r="DZ391" s="60"/>
      <c r="EA391" s="60"/>
      <c r="EB391" s="60"/>
      <c r="EC391" s="60"/>
      <c r="ED391" s="60"/>
      <c r="EE391" s="60"/>
      <c r="EF391" s="60"/>
      <c r="EG391" s="60"/>
      <c r="EH391" s="60"/>
      <c r="EI391" s="62"/>
      <c r="EJ391" s="62"/>
      <c r="EK391" s="60"/>
      <c r="EL391" s="60"/>
      <c r="EM391" s="62"/>
      <c r="EN391" s="62"/>
      <c r="EO391" s="60"/>
      <c r="EP391" s="60"/>
      <c r="EQ391" s="60"/>
      <c r="ER391" s="60"/>
      <c r="ES391" s="60"/>
      <c r="ET391" s="60"/>
      <c r="EU391" s="60"/>
      <c r="EV391" s="60"/>
      <c r="EW391" s="60"/>
      <c r="EX391" s="60"/>
      <c r="EY391" s="62"/>
      <c r="EZ391" s="62"/>
      <c r="FA391" s="60"/>
      <c r="FB391" s="60"/>
      <c r="FC391" s="62"/>
      <c r="FD391" s="62"/>
      <c r="FE391" s="60"/>
      <c r="FF391" s="60"/>
      <c r="FG391" s="60"/>
      <c r="FH391" s="60"/>
      <c r="FI391" s="60"/>
      <c r="FJ391" s="60"/>
      <c r="FK391" s="60"/>
      <c r="FL391" s="60"/>
      <c r="FM391" s="60"/>
      <c r="FN391" s="60"/>
      <c r="FO391" s="62"/>
      <c r="FP391" s="62"/>
      <c r="FQ391" s="60"/>
      <c r="FR391" s="60"/>
      <c r="FS391" s="62"/>
      <c r="FT391" s="62"/>
      <c r="FU391" s="60"/>
      <c r="FV391" s="60"/>
      <c r="FW391" s="60"/>
      <c r="FX391" s="60"/>
      <c r="FY391" s="60"/>
      <c r="FZ391" s="60"/>
      <c r="GA391" s="60"/>
      <c r="GB391" s="60"/>
      <c r="GC391" s="60"/>
      <c r="GD391" s="60"/>
      <c r="GE391" s="62"/>
      <c r="GF391" s="62"/>
      <c r="GG391" s="60"/>
      <c r="GH391" s="60"/>
      <c r="GI391" s="62"/>
      <c r="GJ391" s="62"/>
      <c r="GK391" s="60"/>
      <c r="GL391" s="60"/>
      <c r="GM391" s="60"/>
      <c r="GN391" s="60"/>
      <c r="GO391" s="60"/>
      <c r="GP391" s="60"/>
      <c r="GQ391" s="60"/>
      <c r="GR391" s="60"/>
      <c r="GS391" s="60"/>
      <c r="GT391" s="60"/>
      <c r="GU391" s="62"/>
      <c r="GV391" s="62"/>
      <c r="GW391" s="60"/>
      <c r="GX391" s="60"/>
      <c r="GY391" s="19"/>
      <c r="GZ391" s="60"/>
      <c r="HA391" s="60"/>
      <c r="HB391" s="3"/>
      <c r="HC391" s="3"/>
      <c r="HD391" s="3"/>
      <c r="HE391" s="3"/>
      <c r="HF391" s="60"/>
      <c r="HG391" s="60"/>
      <c r="HH391" s="60"/>
      <c r="HI391" s="60"/>
      <c r="HJ391" s="60"/>
      <c r="HK391" s="60"/>
      <c r="HL391" s="60"/>
      <c r="HM391" s="60"/>
      <c r="HN391" s="60"/>
      <c r="HO391" s="60"/>
      <c r="HP391" s="62"/>
      <c r="HQ391" s="60"/>
      <c r="HR391" s="60"/>
      <c r="HS391" s="62"/>
      <c r="HT391" s="60"/>
      <c r="HU391" s="62"/>
      <c r="HV391" s="62"/>
      <c r="HW391" s="60"/>
      <c r="HX391" s="60"/>
      <c r="HY391" s="60"/>
      <c r="HZ391" s="60"/>
      <c r="IA391" s="60"/>
      <c r="IB391" s="60"/>
      <c r="IC391" s="60"/>
      <c r="ID391" s="60"/>
      <c r="IE391" s="60"/>
      <c r="IF391" s="62"/>
      <c r="IG391" s="62"/>
      <c r="IH391" s="3"/>
      <c r="II391" s="4"/>
      <c r="IJ391" s="2"/>
      <c r="IK391" s="60"/>
      <c r="IL391" s="2"/>
      <c r="IM391" s="62"/>
      <c r="IN391" s="60"/>
      <c r="IO391" s="60"/>
      <c r="IP391" s="60"/>
      <c r="IQ391" s="60"/>
      <c r="IR391" s="60"/>
      <c r="IS391" s="62"/>
      <c r="IT391" s="60"/>
      <c r="IU391" s="60"/>
      <c r="IV391" s="60"/>
      <c r="IW391" s="60"/>
      <c r="IX391" s="60"/>
    </row>
    <row r="392" spans="2:258"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0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1"/>
      <c r="AB392" s="1"/>
      <c r="AC392" s="1"/>
      <c r="AD392" s="1"/>
      <c r="AE392" s="1"/>
      <c r="AF392" s="61"/>
      <c r="AG392" s="61"/>
      <c r="AH392" s="61"/>
      <c r="AI392" s="61"/>
      <c r="AJ392" s="1"/>
      <c r="AK392" s="5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2"/>
      <c r="BD392" s="60"/>
      <c r="BE392" s="60"/>
      <c r="BF392" s="60"/>
      <c r="BG392" s="60"/>
      <c r="BH392" s="60"/>
      <c r="BI392" s="60"/>
      <c r="BJ392" s="60"/>
      <c r="BK392" s="60"/>
      <c r="BL392" s="62"/>
      <c r="BM392" s="60"/>
      <c r="BN392" s="60"/>
      <c r="BO392" s="60"/>
      <c r="BP392" s="60"/>
      <c r="BQ392" s="60"/>
      <c r="BR392" s="62"/>
      <c r="BS392" s="60"/>
      <c r="BT392" s="60"/>
      <c r="BU392" s="60"/>
      <c r="BV392" s="61"/>
      <c r="BW392" s="61"/>
      <c r="BX392" s="61"/>
      <c r="BY392" s="61"/>
      <c r="BZ392" s="61"/>
      <c r="CA392" s="61"/>
      <c r="CB392" s="60"/>
      <c r="CC392" s="60"/>
      <c r="CD392" s="60"/>
      <c r="CE392" s="60"/>
      <c r="CF392" s="60"/>
      <c r="CG392" s="60"/>
      <c r="CH392" s="60"/>
      <c r="CI392" s="60"/>
      <c r="CJ392" s="60"/>
      <c r="CK392" s="60"/>
      <c r="CL392" s="60"/>
      <c r="CM392" s="62"/>
      <c r="CN392" s="60"/>
      <c r="CO392" s="60"/>
      <c r="CP392" s="60"/>
      <c r="CQ392" s="60"/>
      <c r="CR392" s="60"/>
      <c r="CS392" s="60"/>
      <c r="CT392" s="60"/>
      <c r="CU392" s="60"/>
      <c r="CV392" s="60"/>
      <c r="CW392" s="60"/>
      <c r="CX392" s="60"/>
      <c r="CY392" s="60"/>
      <c r="CZ392" s="60"/>
      <c r="DA392" s="60"/>
      <c r="DB392" s="60"/>
      <c r="DC392" s="60"/>
      <c r="DD392" s="62"/>
      <c r="DE392" s="62"/>
      <c r="DF392" s="62"/>
      <c r="DG392" s="62"/>
      <c r="DH392" s="62"/>
      <c r="DI392" s="60"/>
      <c r="DJ392" s="60"/>
      <c r="DK392" s="60"/>
      <c r="DL392" s="62"/>
      <c r="DM392" s="60"/>
      <c r="DN392" s="62"/>
      <c r="DO392" s="60"/>
      <c r="DP392" s="60"/>
      <c r="DQ392" s="62"/>
      <c r="DR392" s="62"/>
      <c r="DS392" s="60"/>
      <c r="DT392" s="60"/>
      <c r="DU392" s="60"/>
      <c r="DV392" s="60"/>
      <c r="DW392" s="62"/>
      <c r="DX392" s="62"/>
      <c r="DY392" s="60"/>
      <c r="DZ392" s="60"/>
      <c r="EA392" s="60"/>
      <c r="EB392" s="60"/>
      <c r="EC392" s="60"/>
      <c r="ED392" s="60"/>
      <c r="EE392" s="60"/>
      <c r="EF392" s="60"/>
      <c r="EG392" s="60"/>
      <c r="EH392" s="60"/>
      <c r="EI392" s="62"/>
      <c r="EJ392" s="62"/>
      <c r="EK392" s="60"/>
      <c r="EL392" s="60"/>
      <c r="EM392" s="62"/>
      <c r="EN392" s="62"/>
      <c r="EO392" s="60"/>
      <c r="EP392" s="60"/>
      <c r="EQ392" s="60"/>
      <c r="ER392" s="60"/>
      <c r="ES392" s="60"/>
      <c r="ET392" s="60"/>
      <c r="EU392" s="60"/>
      <c r="EV392" s="60"/>
      <c r="EW392" s="60"/>
      <c r="EX392" s="60"/>
      <c r="EY392" s="62"/>
      <c r="EZ392" s="62"/>
      <c r="FA392" s="60"/>
      <c r="FB392" s="60"/>
      <c r="FC392" s="62"/>
      <c r="FD392" s="62"/>
      <c r="FE392" s="60"/>
      <c r="FF392" s="60"/>
      <c r="FG392" s="60"/>
      <c r="FH392" s="60"/>
      <c r="FI392" s="60"/>
      <c r="FJ392" s="60"/>
      <c r="FK392" s="60"/>
      <c r="FL392" s="60"/>
      <c r="FM392" s="60"/>
      <c r="FN392" s="60"/>
      <c r="FO392" s="62"/>
      <c r="FP392" s="62"/>
      <c r="FQ392" s="60"/>
      <c r="FR392" s="60"/>
      <c r="FS392" s="62"/>
      <c r="FT392" s="62"/>
      <c r="FU392" s="60"/>
      <c r="FV392" s="60"/>
      <c r="FW392" s="60"/>
      <c r="FX392" s="60"/>
      <c r="FY392" s="60"/>
      <c r="FZ392" s="60"/>
      <c r="GA392" s="60"/>
      <c r="GB392" s="60"/>
      <c r="GC392" s="60"/>
      <c r="GD392" s="60"/>
      <c r="GE392" s="62"/>
      <c r="GF392" s="62"/>
      <c r="GG392" s="60"/>
      <c r="GH392" s="60"/>
      <c r="GI392" s="62"/>
      <c r="GJ392" s="62"/>
      <c r="GK392" s="60"/>
      <c r="GL392" s="60"/>
      <c r="GM392" s="60"/>
      <c r="GN392" s="60"/>
      <c r="GO392" s="60"/>
      <c r="GP392" s="60"/>
      <c r="GQ392" s="60"/>
      <c r="GR392" s="60"/>
      <c r="GS392" s="60"/>
      <c r="GT392" s="60"/>
      <c r="GU392" s="62"/>
      <c r="GV392" s="62"/>
      <c r="GW392" s="60"/>
      <c r="GX392" s="60"/>
      <c r="GY392" s="19"/>
      <c r="GZ392" s="60"/>
      <c r="HA392" s="60"/>
      <c r="HB392" s="3"/>
      <c r="HC392" s="3"/>
      <c r="HD392" s="3"/>
      <c r="HE392" s="3"/>
      <c r="HF392" s="60"/>
      <c r="HG392" s="60"/>
      <c r="HH392" s="60"/>
      <c r="HI392" s="60"/>
      <c r="HJ392" s="60"/>
      <c r="HK392" s="60"/>
      <c r="HL392" s="60"/>
      <c r="HM392" s="60"/>
      <c r="HN392" s="60"/>
      <c r="HO392" s="60"/>
      <c r="HP392" s="62"/>
      <c r="HQ392" s="60"/>
      <c r="HR392" s="60"/>
      <c r="HS392" s="62"/>
      <c r="HT392" s="60"/>
      <c r="HU392" s="62"/>
      <c r="HV392" s="62"/>
      <c r="HW392" s="60"/>
      <c r="HX392" s="60"/>
      <c r="HY392" s="60"/>
      <c r="HZ392" s="60"/>
      <c r="IA392" s="60"/>
      <c r="IB392" s="60"/>
      <c r="IC392" s="60"/>
      <c r="ID392" s="60"/>
      <c r="IE392" s="60"/>
      <c r="IF392" s="62"/>
      <c r="IG392" s="62"/>
      <c r="IH392" s="3"/>
      <c r="II392" s="4"/>
      <c r="IJ392" s="2"/>
      <c r="IK392" s="60"/>
      <c r="IL392" s="2"/>
      <c r="IM392" s="62"/>
      <c r="IN392" s="60"/>
      <c r="IO392" s="60"/>
      <c r="IP392" s="60"/>
      <c r="IQ392" s="60"/>
      <c r="IR392" s="3"/>
      <c r="IS392" s="62"/>
      <c r="IT392" s="60"/>
      <c r="IU392" s="60"/>
      <c r="IV392" s="60"/>
      <c r="IW392" s="60"/>
      <c r="IX392" s="60"/>
    </row>
    <row r="393" spans="2:258"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0"/>
      <c r="P393" s="61"/>
      <c r="Q393" s="1"/>
      <c r="R393" s="61"/>
      <c r="S393" s="61"/>
      <c r="T393" s="61"/>
      <c r="U393" s="61"/>
      <c r="V393" s="1"/>
      <c r="W393" s="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1"/>
      <c r="AK393" s="5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2"/>
      <c r="BD393" s="60"/>
      <c r="BE393" s="60"/>
      <c r="BF393" s="60"/>
      <c r="BG393" s="60"/>
      <c r="BH393" s="60"/>
      <c r="BI393" s="60"/>
      <c r="BJ393" s="60"/>
      <c r="BK393" s="60"/>
      <c r="BL393" s="62"/>
      <c r="BM393" s="60"/>
      <c r="BN393" s="60"/>
      <c r="BO393" s="60"/>
      <c r="BP393" s="60"/>
      <c r="BQ393" s="60"/>
      <c r="BR393" s="62"/>
      <c r="BS393" s="60"/>
      <c r="BT393" s="60"/>
      <c r="BU393" s="60"/>
      <c r="BV393" s="61"/>
      <c r="BW393" s="61"/>
      <c r="BX393" s="61"/>
      <c r="BY393" s="61"/>
      <c r="BZ393" s="61"/>
      <c r="CA393" s="61"/>
      <c r="CB393" s="60"/>
      <c r="CC393" s="60"/>
      <c r="CD393" s="60"/>
      <c r="CE393" s="60"/>
      <c r="CF393" s="60"/>
      <c r="CG393" s="60"/>
      <c r="CH393" s="60"/>
      <c r="CI393" s="60"/>
      <c r="CJ393" s="60"/>
      <c r="CK393" s="60"/>
      <c r="CL393" s="60"/>
      <c r="CM393" s="62"/>
      <c r="CN393" s="60"/>
      <c r="CO393" s="60"/>
      <c r="CP393" s="60"/>
      <c r="CQ393" s="60"/>
      <c r="CR393" s="60"/>
      <c r="CS393" s="60"/>
      <c r="CT393" s="60"/>
      <c r="CU393" s="60"/>
      <c r="CV393" s="60"/>
      <c r="CW393" s="60"/>
      <c r="CX393" s="60"/>
      <c r="CY393" s="60"/>
      <c r="CZ393" s="60"/>
      <c r="DA393" s="60"/>
      <c r="DB393" s="60"/>
      <c r="DC393" s="60"/>
      <c r="DD393" s="62"/>
      <c r="DE393" s="62"/>
      <c r="DF393" s="62"/>
      <c r="DG393" s="62"/>
      <c r="DH393" s="62"/>
      <c r="DI393" s="60"/>
      <c r="DJ393" s="60"/>
      <c r="DK393" s="60"/>
      <c r="DL393" s="62"/>
      <c r="DM393" s="60"/>
      <c r="DN393" s="62"/>
      <c r="DO393" s="60"/>
      <c r="DP393" s="60"/>
      <c r="DQ393" s="62"/>
      <c r="DR393" s="62"/>
      <c r="DS393" s="60"/>
      <c r="DT393" s="60"/>
      <c r="DU393" s="60"/>
      <c r="DV393" s="60"/>
      <c r="DW393" s="62"/>
      <c r="DX393" s="62"/>
      <c r="DY393" s="60"/>
      <c r="DZ393" s="60"/>
      <c r="EA393" s="60"/>
      <c r="EB393" s="60"/>
      <c r="EC393" s="60"/>
      <c r="ED393" s="60"/>
      <c r="EE393" s="60"/>
      <c r="EF393" s="60"/>
      <c r="EG393" s="60"/>
      <c r="EH393" s="60"/>
      <c r="EI393" s="62"/>
      <c r="EJ393" s="62"/>
      <c r="EK393" s="60"/>
      <c r="EL393" s="60"/>
      <c r="EM393" s="62"/>
      <c r="EN393" s="62"/>
      <c r="EO393" s="60"/>
      <c r="EP393" s="60"/>
      <c r="EQ393" s="60"/>
      <c r="ER393" s="60"/>
      <c r="ES393" s="60"/>
      <c r="ET393" s="60"/>
      <c r="EU393" s="60"/>
      <c r="EV393" s="60"/>
      <c r="EW393" s="60"/>
      <c r="EX393" s="60"/>
      <c r="EY393" s="62"/>
      <c r="EZ393" s="62"/>
      <c r="FA393" s="60"/>
      <c r="FB393" s="60"/>
      <c r="FC393" s="62"/>
      <c r="FD393" s="62"/>
      <c r="FE393" s="60"/>
      <c r="FF393" s="60"/>
      <c r="FG393" s="60"/>
      <c r="FH393" s="60"/>
      <c r="FI393" s="60"/>
      <c r="FJ393" s="60"/>
      <c r="FK393" s="60"/>
      <c r="FL393" s="60"/>
      <c r="FM393" s="60"/>
      <c r="FN393" s="60"/>
      <c r="FO393" s="62"/>
      <c r="FP393" s="62"/>
      <c r="FQ393" s="60"/>
      <c r="FR393" s="60"/>
      <c r="FS393" s="62"/>
      <c r="FT393" s="62"/>
      <c r="FU393" s="60"/>
      <c r="FV393" s="60"/>
      <c r="FW393" s="60"/>
      <c r="FX393" s="60"/>
      <c r="FY393" s="60"/>
      <c r="FZ393" s="60"/>
      <c r="GA393" s="60"/>
      <c r="GB393" s="60"/>
      <c r="GC393" s="60"/>
      <c r="GD393" s="60"/>
      <c r="GE393" s="62"/>
      <c r="GF393" s="62"/>
      <c r="GG393" s="60"/>
      <c r="GH393" s="60"/>
      <c r="GI393" s="62"/>
      <c r="GJ393" s="62"/>
      <c r="GK393" s="60"/>
      <c r="GL393" s="60"/>
      <c r="GM393" s="60"/>
      <c r="GN393" s="60"/>
      <c r="GO393" s="60"/>
      <c r="GP393" s="60"/>
      <c r="GQ393" s="60"/>
      <c r="GR393" s="60"/>
      <c r="GS393" s="60"/>
      <c r="GT393" s="60"/>
      <c r="GU393" s="62"/>
      <c r="GV393" s="62"/>
      <c r="GW393" s="60"/>
      <c r="GX393" s="60"/>
      <c r="GY393" s="19"/>
      <c r="GZ393" s="60"/>
      <c r="HA393" s="60"/>
      <c r="HB393" s="3"/>
      <c r="HC393" s="3"/>
      <c r="HD393" s="3"/>
      <c r="HE393" s="3"/>
      <c r="HF393" s="60"/>
      <c r="HG393" s="60"/>
      <c r="HH393" s="60"/>
      <c r="HI393" s="60"/>
      <c r="HJ393" s="60"/>
      <c r="HK393" s="60"/>
      <c r="HL393" s="60"/>
      <c r="HM393" s="60"/>
      <c r="HN393" s="60"/>
      <c r="HO393" s="60"/>
      <c r="HP393" s="62"/>
      <c r="HQ393" s="60"/>
      <c r="HR393" s="60"/>
      <c r="HS393" s="62"/>
      <c r="HT393" s="60"/>
      <c r="HU393" s="62"/>
      <c r="HV393" s="62"/>
      <c r="HW393" s="60"/>
      <c r="HX393" s="60"/>
      <c r="HY393" s="60"/>
      <c r="HZ393" s="60"/>
      <c r="IA393" s="60"/>
      <c r="IB393" s="60"/>
      <c r="IC393" s="60"/>
      <c r="ID393" s="60"/>
      <c r="IE393" s="60"/>
      <c r="IF393" s="62"/>
      <c r="IG393" s="62"/>
      <c r="IH393" s="60"/>
      <c r="II393" s="4"/>
      <c r="IJ393" s="2"/>
      <c r="IK393" s="60"/>
      <c r="IL393" s="2"/>
      <c r="IM393" s="62"/>
      <c r="IN393" s="60"/>
      <c r="IO393" s="60"/>
      <c r="IP393" s="60"/>
      <c r="IQ393" s="3"/>
      <c r="IR393" s="60"/>
      <c r="IS393" s="62"/>
      <c r="IT393" s="60"/>
      <c r="IU393" s="60"/>
      <c r="IV393" s="60"/>
      <c r="IW393" s="60"/>
      <c r="IX393" s="60"/>
    </row>
    <row r="394" spans="2:258"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0"/>
      <c r="P394" s="61"/>
      <c r="Q394" s="61"/>
      <c r="R394" s="61"/>
      <c r="S394" s="61"/>
      <c r="T394" s="1"/>
      <c r="U394" s="61"/>
      <c r="V394" s="1"/>
      <c r="W394" s="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1"/>
      <c r="AK394" s="5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2"/>
      <c r="BD394" s="60"/>
      <c r="BE394" s="60"/>
      <c r="BF394" s="60"/>
      <c r="BG394" s="60"/>
      <c r="BH394" s="60"/>
      <c r="BI394" s="60"/>
      <c r="BJ394" s="60"/>
      <c r="BK394" s="60"/>
      <c r="BL394" s="62"/>
      <c r="BM394" s="60"/>
      <c r="BN394" s="60"/>
      <c r="BO394" s="60"/>
      <c r="BP394" s="60"/>
      <c r="BQ394" s="60"/>
      <c r="BR394" s="62"/>
      <c r="BS394" s="60"/>
      <c r="BT394" s="60"/>
      <c r="BU394" s="60"/>
      <c r="BV394" s="61"/>
      <c r="BW394" s="61"/>
      <c r="BX394" s="61"/>
      <c r="BY394" s="61"/>
      <c r="BZ394" s="61"/>
      <c r="CA394" s="61"/>
      <c r="CB394" s="60"/>
      <c r="CC394" s="60"/>
      <c r="CD394" s="60"/>
      <c r="CE394" s="60"/>
      <c r="CF394" s="60"/>
      <c r="CG394" s="60"/>
      <c r="CH394" s="60"/>
      <c r="CI394" s="60"/>
      <c r="CJ394" s="60"/>
      <c r="CK394" s="60"/>
      <c r="CL394" s="60"/>
      <c r="CM394" s="62"/>
      <c r="CN394" s="60"/>
      <c r="CO394" s="60"/>
      <c r="CP394" s="60"/>
      <c r="CQ394" s="60"/>
      <c r="CR394" s="60"/>
      <c r="CS394" s="60"/>
      <c r="CT394" s="60"/>
      <c r="CU394" s="60"/>
      <c r="CV394" s="60"/>
      <c r="CW394" s="60"/>
      <c r="CX394" s="60"/>
      <c r="CY394" s="60"/>
      <c r="CZ394" s="60"/>
      <c r="DA394" s="60"/>
      <c r="DB394" s="60"/>
      <c r="DC394" s="60"/>
      <c r="DD394" s="62"/>
      <c r="DE394" s="62"/>
      <c r="DF394" s="62"/>
      <c r="DG394" s="62"/>
      <c r="DH394" s="62"/>
      <c r="DI394" s="60"/>
      <c r="DJ394" s="60"/>
      <c r="DK394" s="60"/>
      <c r="DL394" s="62"/>
      <c r="DM394" s="60"/>
      <c r="DN394" s="62"/>
      <c r="DO394" s="60"/>
      <c r="DP394" s="60"/>
      <c r="DQ394" s="62"/>
      <c r="DR394" s="62"/>
      <c r="DS394" s="60"/>
      <c r="DT394" s="60"/>
      <c r="DU394" s="60"/>
      <c r="DV394" s="60"/>
      <c r="DW394" s="62"/>
      <c r="DX394" s="62"/>
      <c r="DY394" s="60"/>
      <c r="DZ394" s="60"/>
      <c r="EA394" s="60"/>
      <c r="EB394" s="60"/>
      <c r="EC394" s="60"/>
      <c r="ED394" s="60"/>
      <c r="EE394" s="60"/>
      <c r="EF394" s="60"/>
      <c r="EG394" s="60"/>
      <c r="EH394" s="60"/>
      <c r="EI394" s="62"/>
      <c r="EJ394" s="62"/>
      <c r="EK394" s="60"/>
      <c r="EL394" s="60"/>
      <c r="EM394" s="62"/>
      <c r="EN394" s="62"/>
      <c r="EO394" s="60"/>
      <c r="EP394" s="60"/>
      <c r="EQ394" s="60"/>
      <c r="ER394" s="60"/>
      <c r="ES394" s="60"/>
      <c r="ET394" s="60"/>
      <c r="EU394" s="60"/>
      <c r="EV394" s="60"/>
      <c r="EW394" s="60"/>
      <c r="EX394" s="60"/>
      <c r="EY394" s="62"/>
      <c r="EZ394" s="62"/>
      <c r="FA394" s="60"/>
      <c r="FB394" s="60"/>
      <c r="FC394" s="62"/>
      <c r="FD394" s="62"/>
      <c r="FE394" s="60"/>
      <c r="FF394" s="60"/>
      <c r="FG394" s="60"/>
      <c r="FH394" s="60"/>
      <c r="FI394" s="60"/>
      <c r="FJ394" s="60"/>
      <c r="FK394" s="60"/>
      <c r="FL394" s="60"/>
      <c r="FM394" s="60"/>
      <c r="FN394" s="60"/>
      <c r="FO394" s="62"/>
      <c r="FP394" s="62"/>
      <c r="FQ394" s="60"/>
      <c r="FR394" s="60"/>
      <c r="FS394" s="62"/>
      <c r="FT394" s="62"/>
      <c r="FU394" s="60"/>
      <c r="FV394" s="60"/>
      <c r="FW394" s="60"/>
      <c r="FX394" s="60"/>
      <c r="FY394" s="60"/>
      <c r="FZ394" s="60"/>
      <c r="GA394" s="60"/>
      <c r="GB394" s="60"/>
      <c r="GC394" s="60"/>
      <c r="GD394" s="60"/>
      <c r="GE394" s="62"/>
      <c r="GF394" s="62"/>
      <c r="GG394" s="60"/>
      <c r="GH394" s="60"/>
      <c r="GI394" s="62"/>
      <c r="GJ394" s="62"/>
      <c r="GK394" s="60"/>
      <c r="GL394" s="60"/>
      <c r="GM394" s="60"/>
      <c r="GN394" s="60"/>
      <c r="GO394" s="60"/>
      <c r="GP394" s="60"/>
      <c r="GQ394" s="60"/>
      <c r="GR394" s="60"/>
      <c r="GS394" s="60"/>
      <c r="GT394" s="60"/>
      <c r="GU394" s="62"/>
      <c r="GV394" s="62"/>
      <c r="GW394" s="60"/>
      <c r="GX394" s="60"/>
      <c r="GY394" s="19"/>
      <c r="GZ394" s="60"/>
      <c r="HA394" s="60"/>
      <c r="HB394" s="3"/>
      <c r="HC394" s="3"/>
      <c r="HD394" s="3"/>
      <c r="HE394" s="3"/>
      <c r="HF394" s="60"/>
      <c r="HG394" s="60"/>
      <c r="HH394" s="60"/>
      <c r="HI394" s="60"/>
      <c r="HJ394" s="60"/>
      <c r="HK394" s="60"/>
      <c r="HL394" s="60"/>
      <c r="HM394" s="60"/>
      <c r="HN394" s="60"/>
      <c r="HO394" s="60"/>
      <c r="HP394" s="62"/>
      <c r="HQ394" s="60"/>
      <c r="HR394" s="60"/>
      <c r="HS394" s="62"/>
      <c r="HT394" s="60"/>
      <c r="HU394" s="62"/>
      <c r="HV394" s="62"/>
      <c r="HW394" s="60"/>
      <c r="HX394" s="60"/>
      <c r="HY394" s="60"/>
      <c r="HZ394" s="60"/>
      <c r="IA394" s="60"/>
      <c r="IB394" s="60"/>
      <c r="IC394" s="60"/>
      <c r="ID394" s="60"/>
      <c r="IE394" s="60"/>
      <c r="IF394" s="62"/>
      <c r="IG394" s="62"/>
      <c r="IH394" s="60"/>
      <c r="II394" s="4"/>
      <c r="IJ394" s="2"/>
      <c r="IK394" s="60"/>
      <c r="IL394" s="2"/>
      <c r="IM394" s="62"/>
      <c r="IN394" s="60"/>
      <c r="IO394" s="60"/>
      <c r="IP394" s="60"/>
      <c r="IQ394" s="3"/>
      <c r="IR394" s="60"/>
      <c r="IS394" s="62"/>
      <c r="IT394" s="60"/>
      <c r="IU394" s="60"/>
      <c r="IV394" s="60"/>
      <c r="IW394" s="60"/>
      <c r="IX394" s="60"/>
    </row>
    <row r="395" spans="2:258"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0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1"/>
      <c r="AK395" s="5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2"/>
      <c r="BD395" s="60"/>
      <c r="BE395" s="60"/>
      <c r="BF395" s="60"/>
      <c r="BG395" s="60"/>
      <c r="BH395" s="60"/>
      <c r="BI395" s="60"/>
      <c r="BJ395" s="60"/>
      <c r="BK395" s="60"/>
      <c r="BL395" s="62"/>
      <c r="BM395" s="60"/>
      <c r="BN395" s="60"/>
      <c r="BO395" s="60"/>
      <c r="BP395" s="60"/>
      <c r="BQ395" s="60"/>
      <c r="BR395" s="62"/>
      <c r="BS395" s="60"/>
      <c r="BT395" s="60"/>
      <c r="BU395" s="60"/>
      <c r="BV395" s="61"/>
      <c r="BW395" s="61"/>
      <c r="BX395" s="61"/>
      <c r="BY395" s="61"/>
      <c r="BZ395" s="61"/>
      <c r="CA395" s="61"/>
      <c r="CB395" s="60"/>
      <c r="CC395" s="60"/>
      <c r="CD395" s="60"/>
      <c r="CE395" s="60"/>
      <c r="CF395" s="60"/>
      <c r="CG395" s="60"/>
      <c r="CH395" s="60"/>
      <c r="CI395" s="60"/>
      <c r="CJ395" s="60"/>
      <c r="CK395" s="60"/>
      <c r="CL395" s="60"/>
      <c r="CM395" s="62"/>
      <c r="CN395" s="60"/>
      <c r="CO395" s="60"/>
      <c r="CP395" s="60"/>
      <c r="CQ395" s="60"/>
      <c r="CR395" s="60"/>
      <c r="CS395" s="60"/>
      <c r="CT395" s="60"/>
      <c r="CU395" s="60"/>
      <c r="CV395" s="60"/>
      <c r="CW395" s="60"/>
      <c r="CX395" s="60"/>
      <c r="CY395" s="60"/>
      <c r="CZ395" s="60"/>
      <c r="DA395" s="60"/>
      <c r="DB395" s="60"/>
      <c r="DC395" s="60"/>
      <c r="DD395" s="62"/>
      <c r="DE395" s="62"/>
      <c r="DF395" s="62"/>
      <c r="DG395" s="62"/>
      <c r="DH395" s="62"/>
      <c r="DI395" s="60"/>
      <c r="DJ395" s="60"/>
      <c r="DK395" s="60"/>
      <c r="DL395" s="62"/>
      <c r="DM395" s="60"/>
      <c r="DN395" s="62"/>
      <c r="DO395" s="60"/>
      <c r="DP395" s="60"/>
      <c r="DQ395" s="62"/>
      <c r="DR395" s="62"/>
      <c r="DS395" s="60"/>
      <c r="DT395" s="60"/>
      <c r="DU395" s="60"/>
      <c r="DV395" s="60"/>
      <c r="DW395" s="62"/>
      <c r="DX395" s="62"/>
      <c r="DY395" s="60"/>
      <c r="DZ395" s="60"/>
      <c r="EA395" s="60"/>
      <c r="EB395" s="60"/>
      <c r="EC395" s="60"/>
      <c r="ED395" s="60"/>
      <c r="EE395" s="60"/>
      <c r="EF395" s="60"/>
      <c r="EG395" s="60"/>
      <c r="EH395" s="60"/>
      <c r="EI395" s="62"/>
      <c r="EJ395" s="62"/>
      <c r="EK395" s="60"/>
      <c r="EL395" s="60"/>
      <c r="EM395" s="62"/>
      <c r="EN395" s="62"/>
      <c r="EO395" s="60"/>
      <c r="EP395" s="60"/>
      <c r="EQ395" s="60"/>
      <c r="ER395" s="60"/>
      <c r="ES395" s="60"/>
      <c r="ET395" s="60"/>
      <c r="EU395" s="60"/>
      <c r="EV395" s="60"/>
      <c r="EW395" s="60"/>
      <c r="EX395" s="60"/>
      <c r="EY395" s="62"/>
      <c r="EZ395" s="62"/>
      <c r="FA395" s="60"/>
      <c r="FB395" s="60"/>
      <c r="FC395" s="62"/>
      <c r="FD395" s="62"/>
      <c r="FE395" s="60"/>
      <c r="FF395" s="60"/>
      <c r="FG395" s="60"/>
      <c r="FH395" s="60"/>
      <c r="FI395" s="60"/>
      <c r="FJ395" s="60"/>
      <c r="FK395" s="60"/>
      <c r="FL395" s="60"/>
      <c r="FM395" s="60"/>
      <c r="FN395" s="60"/>
      <c r="FO395" s="62"/>
      <c r="FP395" s="62"/>
      <c r="FQ395" s="60"/>
      <c r="FR395" s="60"/>
      <c r="FS395" s="62"/>
      <c r="FT395" s="62"/>
      <c r="FU395" s="60"/>
      <c r="FV395" s="60"/>
      <c r="FW395" s="60"/>
      <c r="FX395" s="60"/>
      <c r="FY395" s="60"/>
      <c r="FZ395" s="60"/>
      <c r="GA395" s="60"/>
      <c r="GB395" s="60"/>
      <c r="GC395" s="60"/>
      <c r="GD395" s="60"/>
      <c r="GE395" s="62"/>
      <c r="GF395" s="62"/>
      <c r="GG395" s="60"/>
      <c r="GH395" s="60"/>
      <c r="GI395" s="62"/>
      <c r="GJ395" s="62"/>
      <c r="GK395" s="60"/>
      <c r="GL395" s="60"/>
      <c r="GM395" s="60"/>
      <c r="GN395" s="60"/>
      <c r="GO395" s="60"/>
      <c r="GP395" s="60"/>
      <c r="GQ395" s="60"/>
      <c r="GR395" s="60"/>
      <c r="GS395" s="60"/>
      <c r="GT395" s="60"/>
      <c r="GU395" s="62"/>
      <c r="GV395" s="62"/>
      <c r="GW395" s="60"/>
      <c r="GX395" s="60"/>
      <c r="GY395" s="19"/>
      <c r="GZ395" s="60"/>
      <c r="HA395" s="60"/>
      <c r="HB395" s="3"/>
      <c r="HC395" s="3"/>
      <c r="HD395" s="3"/>
      <c r="HE395" s="3"/>
      <c r="HF395" s="60"/>
      <c r="HG395" s="60"/>
      <c r="HH395" s="60"/>
      <c r="HI395" s="60"/>
      <c r="HJ395" s="60"/>
      <c r="HK395" s="2"/>
      <c r="HL395" s="60"/>
      <c r="HM395" s="60"/>
      <c r="HN395" s="60"/>
      <c r="HO395" s="60"/>
      <c r="HP395" s="62"/>
      <c r="HQ395" s="60"/>
      <c r="HR395" s="60"/>
      <c r="HS395" s="62"/>
      <c r="HT395" s="60"/>
      <c r="HU395" s="62"/>
      <c r="HV395" s="62"/>
      <c r="HW395" s="60"/>
      <c r="HX395" s="60"/>
      <c r="HY395" s="60"/>
      <c r="HZ395" s="60"/>
      <c r="IA395" s="60"/>
      <c r="IB395" s="60"/>
      <c r="IC395" s="60"/>
      <c r="ID395" s="60"/>
      <c r="IE395" s="60"/>
      <c r="IF395" s="62"/>
      <c r="IG395" s="62"/>
      <c r="IH395" s="60"/>
      <c r="II395" s="4"/>
      <c r="IJ395" s="2"/>
      <c r="IK395" s="60"/>
      <c r="IL395" s="2"/>
      <c r="IM395" s="62"/>
      <c r="IN395" s="60"/>
      <c r="IO395" s="60"/>
      <c r="IP395" s="60"/>
      <c r="IQ395" s="3"/>
      <c r="IR395" s="60"/>
      <c r="IS395" s="62"/>
      <c r="IT395" s="60"/>
      <c r="IU395" s="60"/>
      <c r="IV395" s="60"/>
      <c r="IW395" s="60"/>
      <c r="IX395" s="60"/>
    </row>
    <row r="396" spans="2:258"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0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1"/>
      <c r="AK396" s="5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2"/>
      <c r="BD396" s="60"/>
      <c r="BE396" s="60"/>
      <c r="BF396" s="60"/>
      <c r="BG396" s="60"/>
      <c r="BH396" s="60"/>
      <c r="BI396" s="60"/>
      <c r="BJ396" s="60"/>
      <c r="BK396" s="60"/>
      <c r="BL396" s="62"/>
      <c r="BM396" s="60"/>
      <c r="BN396" s="60"/>
      <c r="BO396" s="60"/>
      <c r="BP396" s="60"/>
      <c r="BQ396" s="60"/>
      <c r="BR396" s="62"/>
      <c r="BS396" s="60"/>
      <c r="BT396" s="60"/>
      <c r="BU396" s="60"/>
      <c r="BV396" s="61"/>
      <c r="BW396" s="61"/>
      <c r="BX396" s="61"/>
      <c r="BY396" s="61"/>
      <c r="BZ396" s="61"/>
      <c r="CA396" s="61"/>
      <c r="CB396" s="60"/>
      <c r="CC396" s="60"/>
      <c r="CD396" s="60"/>
      <c r="CE396" s="60"/>
      <c r="CF396" s="60"/>
      <c r="CG396" s="60"/>
      <c r="CH396" s="60"/>
      <c r="CI396" s="60"/>
      <c r="CJ396" s="60"/>
      <c r="CK396" s="60"/>
      <c r="CL396" s="60"/>
      <c r="CM396" s="62"/>
      <c r="CN396" s="60"/>
      <c r="CO396" s="60"/>
      <c r="CP396" s="60"/>
      <c r="CQ396" s="60"/>
      <c r="CR396" s="60"/>
      <c r="CS396" s="60"/>
      <c r="CT396" s="60"/>
      <c r="CU396" s="60"/>
      <c r="CV396" s="60"/>
      <c r="CW396" s="60"/>
      <c r="CX396" s="60"/>
      <c r="CY396" s="60"/>
      <c r="CZ396" s="60"/>
      <c r="DA396" s="60"/>
      <c r="DB396" s="60"/>
      <c r="DC396" s="60"/>
      <c r="DD396" s="62"/>
      <c r="DE396" s="62"/>
      <c r="DF396" s="62"/>
      <c r="DG396" s="62"/>
      <c r="DH396" s="62"/>
      <c r="DI396" s="60"/>
      <c r="DJ396" s="60"/>
      <c r="DK396" s="60"/>
      <c r="DL396" s="62"/>
      <c r="DM396" s="60"/>
      <c r="DN396" s="62"/>
      <c r="DO396" s="60"/>
      <c r="DP396" s="60"/>
      <c r="DQ396" s="62"/>
      <c r="DR396" s="62"/>
      <c r="DS396" s="60"/>
      <c r="DT396" s="60"/>
      <c r="DU396" s="60"/>
      <c r="DV396" s="60"/>
      <c r="DW396" s="62"/>
      <c r="DX396" s="62"/>
      <c r="DY396" s="60"/>
      <c r="DZ396" s="60"/>
      <c r="EA396" s="60"/>
      <c r="EB396" s="60"/>
      <c r="EC396" s="60"/>
      <c r="ED396" s="60"/>
      <c r="EE396" s="60"/>
      <c r="EF396" s="60"/>
      <c r="EG396" s="60"/>
      <c r="EH396" s="60"/>
      <c r="EI396" s="62"/>
      <c r="EJ396" s="62"/>
      <c r="EK396" s="60"/>
      <c r="EL396" s="60"/>
      <c r="EM396" s="62"/>
      <c r="EN396" s="62"/>
      <c r="EO396" s="60"/>
      <c r="EP396" s="60"/>
      <c r="EQ396" s="60"/>
      <c r="ER396" s="60"/>
      <c r="ES396" s="60"/>
      <c r="ET396" s="60"/>
      <c r="EU396" s="60"/>
      <c r="EV396" s="60"/>
      <c r="EW396" s="60"/>
      <c r="EX396" s="60"/>
      <c r="EY396" s="62"/>
      <c r="EZ396" s="62"/>
      <c r="FA396" s="60"/>
      <c r="FB396" s="60"/>
      <c r="FC396" s="62"/>
      <c r="FD396" s="62"/>
      <c r="FE396" s="60"/>
      <c r="FF396" s="60"/>
      <c r="FG396" s="60"/>
      <c r="FH396" s="60"/>
      <c r="FI396" s="60"/>
      <c r="FJ396" s="60"/>
      <c r="FK396" s="60"/>
      <c r="FL396" s="60"/>
      <c r="FM396" s="60"/>
      <c r="FN396" s="60"/>
      <c r="FO396" s="62"/>
      <c r="FP396" s="62"/>
      <c r="FQ396" s="60"/>
      <c r="FR396" s="60"/>
      <c r="FS396" s="62"/>
      <c r="FT396" s="62"/>
      <c r="FU396" s="60"/>
      <c r="FV396" s="60"/>
      <c r="FW396" s="60"/>
      <c r="FX396" s="60"/>
      <c r="FY396" s="60"/>
      <c r="FZ396" s="60"/>
      <c r="GA396" s="60"/>
      <c r="GB396" s="60"/>
      <c r="GC396" s="60"/>
      <c r="GD396" s="60"/>
      <c r="GE396" s="62"/>
      <c r="GF396" s="62"/>
      <c r="GG396" s="60"/>
      <c r="GH396" s="60"/>
      <c r="GI396" s="62"/>
      <c r="GJ396" s="62"/>
      <c r="GK396" s="60"/>
      <c r="GL396" s="60"/>
      <c r="GM396" s="60"/>
      <c r="GN396" s="60"/>
      <c r="GO396" s="60"/>
      <c r="GP396" s="60"/>
      <c r="GQ396" s="60"/>
      <c r="GR396" s="60"/>
      <c r="GS396" s="60"/>
      <c r="GT396" s="60"/>
      <c r="GU396" s="62"/>
      <c r="GV396" s="62"/>
      <c r="GW396" s="60"/>
      <c r="GX396" s="60"/>
      <c r="GY396" s="19"/>
      <c r="GZ396" s="60"/>
      <c r="HA396" s="60"/>
      <c r="HB396" s="3"/>
      <c r="HC396" s="3"/>
      <c r="HD396" s="3"/>
      <c r="HE396" s="3"/>
      <c r="HF396" s="60"/>
      <c r="HG396" s="60"/>
      <c r="HH396" s="60"/>
      <c r="HI396" s="60"/>
      <c r="HJ396" s="60"/>
      <c r="HK396" s="60"/>
      <c r="HL396" s="60"/>
      <c r="HM396" s="60"/>
      <c r="HN396" s="60"/>
      <c r="HO396" s="60"/>
      <c r="HP396" s="62"/>
      <c r="HQ396" s="60"/>
      <c r="HR396" s="60"/>
      <c r="HS396" s="62"/>
      <c r="HT396" s="60"/>
      <c r="HU396" s="62"/>
      <c r="HV396" s="62"/>
      <c r="HW396" s="60"/>
      <c r="HX396" s="60"/>
      <c r="HY396" s="60"/>
      <c r="HZ396" s="60"/>
      <c r="IA396" s="60"/>
      <c r="IB396" s="60"/>
      <c r="IC396" s="60"/>
      <c r="ID396" s="60"/>
      <c r="IE396" s="60"/>
      <c r="IF396" s="62"/>
      <c r="IG396" s="62"/>
      <c r="IH396" s="60"/>
      <c r="II396" s="4"/>
      <c r="IJ396" s="2"/>
      <c r="IK396" s="60"/>
      <c r="IL396" s="2"/>
      <c r="IM396" s="62"/>
      <c r="IN396" s="60"/>
      <c r="IO396" s="60"/>
      <c r="IP396" s="60"/>
      <c r="IQ396" s="3"/>
      <c r="IR396" s="60"/>
      <c r="IS396" s="62"/>
      <c r="IT396" s="60"/>
      <c r="IU396" s="60"/>
      <c r="IV396" s="60"/>
      <c r="IW396" s="60"/>
      <c r="IX396" s="60"/>
    </row>
    <row r="397" spans="2:258"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0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1"/>
      <c r="AK397" s="5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2"/>
      <c r="BD397" s="60"/>
      <c r="BE397" s="60"/>
      <c r="BF397" s="60"/>
      <c r="BG397" s="60"/>
      <c r="BH397" s="60"/>
      <c r="BI397" s="60"/>
      <c r="BJ397" s="60"/>
      <c r="BK397" s="60"/>
      <c r="BL397" s="62"/>
      <c r="BM397" s="60"/>
      <c r="BN397" s="60"/>
      <c r="BO397" s="60"/>
      <c r="BP397" s="60"/>
      <c r="BQ397" s="60"/>
      <c r="BR397" s="62"/>
      <c r="BS397" s="60"/>
      <c r="BT397" s="60"/>
      <c r="BU397" s="60"/>
      <c r="BV397" s="61"/>
      <c r="BW397" s="61"/>
      <c r="BX397" s="61"/>
      <c r="BY397" s="61"/>
      <c r="BZ397" s="61"/>
      <c r="CA397" s="61"/>
      <c r="CB397" s="60"/>
      <c r="CC397" s="60"/>
      <c r="CD397" s="60"/>
      <c r="CE397" s="60"/>
      <c r="CF397" s="60"/>
      <c r="CG397" s="60"/>
      <c r="CH397" s="60"/>
      <c r="CI397" s="60"/>
      <c r="CJ397" s="60"/>
      <c r="CK397" s="60"/>
      <c r="CL397" s="60"/>
      <c r="CM397" s="62"/>
      <c r="CN397" s="60"/>
      <c r="CO397" s="60"/>
      <c r="CP397" s="60"/>
      <c r="CQ397" s="60"/>
      <c r="CR397" s="60"/>
      <c r="CS397" s="60"/>
      <c r="CT397" s="60"/>
      <c r="CU397" s="60"/>
      <c r="CV397" s="60"/>
      <c r="CW397" s="60"/>
      <c r="CX397" s="60"/>
      <c r="CY397" s="60"/>
      <c r="CZ397" s="60"/>
      <c r="DA397" s="60"/>
      <c r="DB397" s="60"/>
      <c r="DC397" s="60"/>
      <c r="DD397" s="62"/>
      <c r="DE397" s="62"/>
      <c r="DF397" s="62"/>
      <c r="DG397" s="62"/>
      <c r="DH397" s="62"/>
      <c r="DI397" s="60"/>
      <c r="DJ397" s="60"/>
      <c r="DK397" s="60"/>
      <c r="DL397" s="62"/>
      <c r="DM397" s="60"/>
      <c r="DN397" s="62"/>
      <c r="DO397" s="60"/>
      <c r="DP397" s="60"/>
      <c r="DQ397" s="62"/>
      <c r="DR397" s="62"/>
      <c r="DS397" s="60"/>
      <c r="DT397" s="60"/>
      <c r="DU397" s="60"/>
      <c r="DV397" s="60"/>
      <c r="DW397" s="62"/>
      <c r="DX397" s="62"/>
      <c r="DY397" s="60"/>
      <c r="DZ397" s="60"/>
      <c r="EA397" s="60"/>
      <c r="EB397" s="60"/>
      <c r="EC397" s="60"/>
      <c r="ED397" s="60"/>
      <c r="EE397" s="60"/>
      <c r="EF397" s="60"/>
      <c r="EG397" s="60"/>
      <c r="EH397" s="60"/>
      <c r="EI397" s="62"/>
      <c r="EJ397" s="62"/>
      <c r="EK397" s="60"/>
      <c r="EL397" s="60"/>
      <c r="EM397" s="62"/>
      <c r="EN397" s="62"/>
      <c r="EO397" s="60"/>
      <c r="EP397" s="60"/>
      <c r="EQ397" s="60"/>
      <c r="ER397" s="60"/>
      <c r="ES397" s="60"/>
      <c r="ET397" s="60"/>
      <c r="EU397" s="60"/>
      <c r="EV397" s="60"/>
      <c r="EW397" s="60"/>
      <c r="EX397" s="60"/>
      <c r="EY397" s="62"/>
      <c r="EZ397" s="62"/>
      <c r="FA397" s="60"/>
      <c r="FB397" s="60"/>
      <c r="FC397" s="62"/>
      <c r="FD397" s="62"/>
      <c r="FE397" s="60"/>
      <c r="FF397" s="60"/>
      <c r="FG397" s="60"/>
      <c r="FH397" s="60"/>
      <c r="FI397" s="60"/>
      <c r="FJ397" s="60"/>
      <c r="FK397" s="60"/>
      <c r="FL397" s="60"/>
      <c r="FM397" s="60"/>
      <c r="FN397" s="60"/>
      <c r="FO397" s="62"/>
      <c r="FP397" s="62"/>
      <c r="FQ397" s="60"/>
      <c r="FR397" s="60"/>
      <c r="FS397" s="62"/>
      <c r="FT397" s="62"/>
      <c r="FU397" s="60"/>
      <c r="FV397" s="60"/>
      <c r="FW397" s="60"/>
      <c r="FX397" s="60"/>
      <c r="FY397" s="60"/>
      <c r="FZ397" s="60"/>
      <c r="GA397" s="60"/>
      <c r="GB397" s="60"/>
      <c r="GC397" s="60"/>
      <c r="GD397" s="60"/>
      <c r="GE397" s="62"/>
      <c r="GF397" s="62"/>
      <c r="GG397" s="60"/>
      <c r="GH397" s="60"/>
      <c r="GI397" s="62"/>
      <c r="GJ397" s="62"/>
      <c r="GK397" s="60"/>
      <c r="GL397" s="60"/>
      <c r="GM397" s="60"/>
      <c r="GN397" s="60"/>
      <c r="GO397" s="60"/>
      <c r="GP397" s="60"/>
      <c r="GQ397" s="60"/>
      <c r="GR397" s="60"/>
      <c r="GS397" s="60"/>
      <c r="GT397" s="60"/>
      <c r="GU397" s="62"/>
      <c r="GV397" s="62"/>
      <c r="GW397" s="60"/>
      <c r="GX397" s="60"/>
      <c r="GY397" s="19"/>
      <c r="GZ397" s="60"/>
      <c r="HA397" s="60"/>
      <c r="HB397" s="3"/>
      <c r="HC397" s="3"/>
      <c r="HD397" s="3"/>
      <c r="HE397" s="3"/>
      <c r="HF397" s="60"/>
      <c r="HG397" s="60"/>
      <c r="HH397" s="60"/>
      <c r="HI397" s="60"/>
      <c r="HJ397" s="60"/>
      <c r="HK397" s="60"/>
      <c r="HL397" s="60"/>
      <c r="HM397" s="60"/>
      <c r="HN397" s="60"/>
      <c r="HO397" s="60"/>
      <c r="HP397" s="62"/>
      <c r="HQ397" s="60"/>
      <c r="HR397" s="60"/>
      <c r="HS397" s="62"/>
      <c r="HT397" s="60"/>
      <c r="HU397" s="62"/>
      <c r="HV397" s="62"/>
      <c r="HW397" s="60"/>
      <c r="HX397" s="60"/>
      <c r="HY397" s="60"/>
      <c r="HZ397" s="60"/>
      <c r="IA397" s="60"/>
      <c r="IB397" s="60"/>
      <c r="IC397" s="60"/>
      <c r="ID397" s="60"/>
      <c r="IE397" s="60"/>
      <c r="IF397" s="62"/>
      <c r="IG397" s="62"/>
      <c r="IH397" s="60"/>
      <c r="II397" s="4"/>
      <c r="IJ397" s="2"/>
      <c r="IK397" s="60"/>
      <c r="IL397" s="2"/>
      <c r="IM397" s="62"/>
      <c r="IN397" s="60"/>
      <c r="IO397" s="60"/>
      <c r="IP397" s="60"/>
      <c r="IQ397" s="3"/>
      <c r="IR397" s="60"/>
      <c r="IS397" s="62"/>
      <c r="IT397" s="60"/>
      <c r="IU397" s="60"/>
      <c r="IV397" s="60"/>
      <c r="IW397" s="60"/>
      <c r="IX397" s="60"/>
    </row>
    <row r="398" spans="2:258"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0"/>
      <c r="P398" s="61"/>
      <c r="Q398" s="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1"/>
      <c r="AK398" s="5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2"/>
      <c r="BD398" s="60"/>
      <c r="BE398" s="60"/>
      <c r="BF398" s="60"/>
      <c r="BG398" s="60"/>
      <c r="BH398" s="60"/>
      <c r="BI398" s="60"/>
      <c r="BJ398" s="60"/>
      <c r="BK398" s="60"/>
      <c r="BL398" s="62"/>
      <c r="BM398" s="60"/>
      <c r="BN398" s="60"/>
      <c r="BO398" s="60"/>
      <c r="BP398" s="60"/>
      <c r="BQ398" s="60"/>
      <c r="BR398" s="62"/>
      <c r="BS398" s="60"/>
      <c r="BT398" s="60"/>
      <c r="BU398" s="60"/>
      <c r="BV398" s="61"/>
      <c r="BW398" s="61"/>
      <c r="BX398" s="61"/>
      <c r="BY398" s="61"/>
      <c r="BZ398" s="61"/>
      <c r="CA398" s="61"/>
      <c r="CB398" s="60"/>
      <c r="CC398" s="60"/>
      <c r="CD398" s="60"/>
      <c r="CE398" s="60"/>
      <c r="CF398" s="60"/>
      <c r="CG398" s="60"/>
      <c r="CH398" s="60"/>
      <c r="CI398" s="60"/>
      <c r="CJ398" s="60"/>
      <c r="CK398" s="60"/>
      <c r="CL398" s="60"/>
      <c r="CM398" s="62"/>
      <c r="CN398" s="60"/>
      <c r="CO398" s="60"/>
      <c r="CP398" s="60"/>
      <c r="CQ398" s="60"/>
      <c r="CR398" s="60"/>
      <c r="CS398" s="60"/>
      <c r="CT398" s="60"/>
      <c r="CU398" s="60"/>
      <c r="CV398" s="60"/>
      <c r="CW398" s="60"/>
      <c r="CX398" s="60"/>
      <c r="CY398" s="60"/>
      <c r="CZ398" s="60"/>
      <c r="DA398" s="60"/>
      <c r="DB398" s="60"/>
      <c r="DC398" s="60"/>
      <c r="DD398" s="62"/>
      <c r="DE398" s="62"/>
      <c r="DF398" s="62"/>
      <c r="DG398" s="62"/>
      <c r="DH398" s="62"/>
      <c r="DI398" s="60"/>
      <c r="DJ398" s="60"/>
      <c r="DK398" s="60"/>
      <c r="DL398" s="62"/>
      <c r="DM398" s="60"/>
      <c r="DN398" s="62"/>
      <c r="DO398" s="60"/>
      <c r="DP398" s="60"/>
      <c r="DQ398" s="62"/>
      <c r="DR398" s="62"/>
      <c r="DS398" s="60"/>
      <c r="DT398" s="60"/>
      <c r="DU398" s="60"/>
      <c r="DV398" s="60"/>
      <c r="DW398" s="62"/>
      <c r="DX398" s="62"/>
      <c r="DY398" s="60"/>
      <c r="DZ398" s="60"/>
      <c r="EA398" s="60"/>
      <c r="EB398" s="60"/>
      <c r="EC398" s="60"/>
      <c r="ED398" s="60"/>
      <c r="EE398" s="60"/>
      <c r="EF398" s="60"/>
      <c r="EG398" s="60"/>
      <c r="EH398" s="60"/>
      <c r="EI398" s="62"/>
      <c r="EJ398" s="62"/>
      <c r="EK398" s="60"/>
      <c r="EL398" s="60"/>
      <c r="EM398" s="62"/>
      <c r="EN398" s="62"/>
      <c r="EO398" s="60"/>
      <c r="EP398" s="60"/>
      <c r="EQ398" s="60"/>
      <c r="ER398" s="60"/>
      <c r="ES398" s="60"/>
      <c r="ET398" s="60"/>
      <c r="EU398" s="60"/>
      <c r="EV398" s="60"/>
      <c r="EW398" s="60"/>
      <c r="EX398" s="60"/>
      <c r="EY398" s="62"/>
      <c r="EZ398" s="62"/>
      <c r="FA398" s="60"/>
      <c r="FB398" s="60"/>
      <c r="FC398" s="62"/>
      <c r="FD398" s="62"/>
      <c r="FE398" s="60"/>
      <c r="FF398" s="60"/>
      <c r="FG398" s="60"/>
      <c r="FH398" s="60"/>
      <c r="FI398" s="60"/>
      <c r="FJ398" s="60"/>
      <c r="FK398" s="60"/>
      <c r="FL398" s="60"/>
      <c r="FM398" s="60"/>
      <c r="FN398" s="60"/>
      <c r="FO398" s="62"/>
      <c r="FP398" s="62"/>
      <c r="FQ398" s="60"/>
      <c r="FR398" s="60"/>
      <c r="FS398" s="62"/>
      <c r="FT398" s="62"/>
      <c r="FU398" s="60"/>
      <c r="FV398" s="60"/>
      <c r="FW398" s="60"/>
      <c r="FX398" s="60"/>
      <c r="FY398" s="60"/>
      <c r="FZ398" s="60"/>
      <c r="GA398" s="60"/>
      <c r="GB398" s="60"/>
      <c r="GC398" s="60"/>
      <c r="GD398" s="60"/>
      <c r="GE398" s="62"/>
      <c r="GF398" s="62"/>
      <c r="GG398" s="60"/>
      <c r="GH398" s="60"/>
      <c r="GI398" s="62"/>
      <c r="GJ398" s="62"/>
      <c r="GK398" s="60"/>
      <c r="GL398" s="60"/>
      <c r="GM398" s="60"/>
      <c r="GN398" s="60"/>
      <c r="GO398" s="60"/>
      <c r="GP398" s="60"/>
      <c r="GQ398" s="60"/>
      <c r="GR398" s="60"/>
      <c r="GS398" s="60"/>
      <c r="GT398" s="60"/>
      <c r="GU398" s="62"/>
      <c r="GV398" s="62"/>
      <c r="GW398" s="60"/>
      <c r="GX398" s="60"/>
      <c r="GY398" s="19"/>
      <c r="GZ398" s="60"/>
      <c r="HA398" s="60"/>
      <c r="HB398" s="3"/>
      <c r="HC398" s="3"/>
      <c r="HD398" s="3"/>
      <c r="HE398" s="3"/>
      <c r="HF398" s="60"/>
      <c r="HG398" s="60"/>
      <c r="HH398" s="60"/>
      <c r="HI398" s="60"/>
      <c r="HJ398" s="60"/>
      <c r="HK398" s="60"/>
      <c r="HL398" s="60"/>
      <c r="HM398" s="60"/>
      <c r="HN398" s="60"/>
      <c r="HO398" s="60"/>
      <c r="HP398" s="62"/>
      <c r="HQ398" s="60"/>
      <c r="HR398" s="60"/>
      <c r="HS398" s="62"/>
      <c r="HT398" s="60"/>
      <c r="HU398" s="62"/>
      <c r="HV398" s="62"/>
      <c r="HW398" s="60"/>
      <c r="HX398" s="60"/>
      <c r="HY398" s="60"/>
      <c r="HZ398" s="60"/>
      <c r="IA398" s="60"/>
      <c r="IB398" s="60"/>
      <c r="IC398" s="60"/>
      <c r="ID398" s="60"/>
      <c r="IE398" s="60"/>
      <c r="IF398" s="62"/>
      <c r="IG398" s="62"/>
      <c r="IH398" s="60"/>
      <c r="II398" s="4"/>
      <c r="IJ398" s="2"/>
      <c r="IK398" s="60"/>
      <c r="IL398" s="2"/>
      <c r="IM398" s="62"/>
      <c r="IN398" s="60"/>
      <c r="IO398" s="60"/>
      <c r="IP398" s="60"/>
      <c r="IQ398" s="3"/>
      <c r="IR398" s="60"/>
      <c r="IS398" s="62"/>
      <c r="IT398" s="60"/>
      <c r="IU398" s="60"/>
      <c r="IV398" s="60"/>
      <c r="IW398" s="60"/>
      <c r="IX398" s="60"/>
    </row>
    <row r="399" spans="2:258"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0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1"/>
      <c r="AK399" s="5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2"/>
      <c r="BD399" s="60"/>
      <c r="BE399" s="60"/>
      <c r="BF399" s="60"/>
      <c r="BG399" s="60"/>
      <c r="BH399" s="60"/>
      <c r="BI399" s="60"/>
      <c r="BJ399" s="60"/>
      <c r="BK399" s="60"/>
      <c r="BL399" s="62"/>
      <c r="BM399" s="60"/>
      <c r="BN399" s="60"/>
      <c r="BO399" s="60"/>
      <c r="BP399" s="60"/>
      <c r="BQ399" s="60"/>
      <c r="BR399" s="62"/>
      <c r="BS399" s="60"/>
      <c r="BT399" s="60"/>
      <c r="BU399" s="60"/>
      <c r="BV399" s="61"/>
      <c r="BW399" s="61"/>
      <c r="BX399" s="61"/>
      <c r="BY399" s="61"/>
      <c r="BZ399" s="61"/>
      <c r="CA399" s="61"/>
      <c r="CB399" s="60"/>
      <c r="CC399" s="60"/>
      <c r="CD399" s="60"/>
      <c r="CE399" s="60"/>
      <c r="CF399" s="60"/>
      <c r="CG399" s="60"/>
      <c r="CH399" s="60"/>
      <c r="CI399" s="60"/>
      <c r="CJ399" s="60"/>
      <c r="CK399" s="60"/>
      <c r="CL399" s="60"/>
      <c r="CM399" s="62"/>
      <c r="CN399" s="60"/>
      <c r="CO399" s="60"/>
      <c r="CP399" s="60"/>
      <c r="CQ399" s="60"/>
      <c r="CR399" s="60"/>
      <c r="CS399" s="60"/>
      <c r="CT399" s="60"/>
      <c r="CU399" s="60"/>
      <c r="CV399" s="60"/>
      <c r="CW399" s="60"/>
      <c r="CX399" s="60"/>
      <c r="CY399" s="60"/>
      <c r="CZ399" s="60"/>
      <c r="DA399" s="60"/>
      <c r="DB399" s="60"/>
      <c r="DC399" s="60"/>
      <c r="DD399" s="62"/>
      <c r="DE399" s="62"/>
      <c r="DF399" s="62"/>
      <c r="DG399" s="62"/>
      <c r="DH399" s="62"/>
      <c r="DI399" s="60"/>
      <c r="DJ399" s="60"/>
      <c r="DK399" s="60"/>
      <c r="DL399" s="62"/>
      <c r="DM399" s="60"/>
      <c r="DN399" s="62"/>
      <c r="DO399" s="60"/>
      <c r="DP399" s="60"/>
      <c r="DQ399" s="62"/>
      <c r="DR399" s="62"/>
      <c r="DS399" s="60"/>
      <c r="DT399" s="60"/>
      <c r="DU399" s="60"/>
      <c r="DV399" s="60"/>
      <c r="DW399" s="62"/>
      <c r="DX399" s="62"/>
      <c r="DY399" s="60"/>
      <c r="DZ399" s="60"/>
      <c r="EA399" s="60"/>
      <c r="EB399" s="60"/>
      <c r="EC399" s="60"/>
      <c r="ED399" s="60"/>
      <c r="EE399" s="60"/>
      <c r="EF399" s="60"/>
      <c r="EG399" s="60"/>
      <c r="EH399" s="60"/>
      <c r="EI399" s="62"/>
      <c r="EJ399" s="62"/>
      <c r="EK399" s="60"/>
      <c r="EL399" s="60"/>
      <c r="EM399" s="62"/>
      <c r="EN399" s="62"/>
      <c r="EO399" s="60"/>
      <c r="EP399" s="60"/>
      <c r="EQ399" s="60"/>
      <c r="ER399" s="60"/>
      <c r="ES399" s="60"/>
      <c r="ET399" s="60"/>
      <c r="EU399" s="60"/>
      <c r="EV399" s="60"/>
      <c r="EW399" s="3"/>
      <c r="EX399" s="3"/>
      <c r="EY399" s="62"/>
      <c r="EZ399" s="62"/>
      <c r="FA399" s="60"/>
      <c r="FB399" s="60"/>
      <c r="FC399" s="62"/>
      <c r="FD399" s="62"/>
      <c r="FE399" s="60"/>
      <c r="FF399" s="60"/>
      <c r="FG399" s="60"/>
      <c r="FH399" s="60"/>
      <c r="FI399" s="60"/>
      <c r="FJ399" s="60"/>
      <c r="FK399" s="60"/>
      <c r="FL399" s="60"/>
      <c r="FM399" s="3"/>
      <c r="FN399" s="3"/>
      <c r="FO399" s="62"/>
      <c r="FP399" s="62"/>
      <c r="FQ399" s="60"/>
      <c r="FR399" s="60"/>
      <c r="FS399" s="62"/>
      <c r="FT399" s="62"/>
      <c r="FU399" s="60"/>
      <c r="FV399" s="60"/>
      <c r="FW399" s="60"/>
      <c r="FX399" s="60"/>
      <c r="FY399" s="60"/>
      <c r="FZ399" s="60"/>
      <c r="GA399" s="60"/>
      <c r="GB399" s="60"/>
      <c r="GC399" s="60"/>
      <c r="GD399" s="60"/>
      <c r="GE399" s="62"/>
      <c r="GF399" s="62"/>
      <c r="GG399" s="60"/>
      <c r="GH399" s="60"/>
      <c r="GI399" s="62"/>
      <c r="GJ399" s="62"/>
      <c r="GK399" s="60"/>
      <c r="GL399" s="60"/>
      <c r="GM399" s="60"/>
      <c r="GN399" s="60"/>
      <c r="GO399" s="60"/>
      <c r="GP399" s="60"/>
      <c r="GQ399" s="60"/>
      <c r="GR399" s="60"/>
      <c r="GS399" s="60"/>
      <c r="GT399" s="60"/>
      <c r="GU399" s="62"/>
      <c r="GV399" s="62"/>
      <c r="GW399" s="60"/>
      <c r="GX399" s="60"/>
      <c r="GY399" s="19"/>
      <c r="GZ399" s="60"/>
      <c r="HA399" s="60"/>
      <c r="HB399" s="3"/>
      <c r="HC399" s="3"/>
      <c r="HD399" s="3"/>
      <c r="HE399" s="3"/>
      <c r="HF399" s="60"/>
      <c r="HG399" s="60"/>
      <c r="HH399" s="60"/>
      <c r="HI399" s="60"/>
      <c r="HJ399" s="60"/>
      <c r="HK399" s="60"/>
      <c r="HL399" s="60"/>
      <c r="HM399" s="60"/>
      <c r="HN399" s="60"/>
      <c r="HO399" s="60"/>
      <c r="HP399" s="62"/>
      <c r="HQ399" s="60"/>
      <c r="HR399" s="60"/>
      <c r="HS399" s="62"/>
      <c r="HT399" s="60"/>
      <c r="HU399" s="62"/>
      <c r="HV399" s="62"/>
      <c r="HW399" s="60"/>
      <c r="HX399" s="60"/>
      <c r="HY399" s="60"/>
      <c r="HZ399" s="60"/>
      <c r="IA399" s="60"/>
      <c r="IB399" s="60"/>
      <c r="IC399" s="60"/>
      <c r="ID399" s="60"/>
      <c r="IE399" s="60"/>
      <c r="IF399" s="62"/>
      <c r="IG399" s="62"/>
      <c r="IH399" s="60"/>
      <c r="II399" s="4"/>
      <c r="IJ399" s="60"/>
      <c r="IK399" s="4"/>
      <c r="IL399" s="2"/>
      <c r="IM399" s="62"/>
      <c r="IN399" s="60"/>
      <c r="IO399" s="60"/>
      <c r="IP399" s="60"/>
      <c r="IQ399" s="3"/>
      <c r="IR399" s="60"/>
      <c r="IS399" s="62"/>
      <c r="IT399" s="60"/>
      <c r="IU399" s="60"/>
      <c r="IV399" s="60"/>
      <c r="IW399" s="60"/>
      <c r="IX399" s="60"/>
    </row>
    <row r="400" spans="2:258"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0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1"/>
      <c r="AK400" s="5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2"/>
      <c r="BD400" s="60"/>
      <c r="BE400" s="60"/>
      <c r="BF400" s="60"/>
      <c r="BG400" s="60"/>
      <c r="BH400" s="60"/>
      <c r="BI400" s="60"/>
      <c r="BJ400" s="60"/>
      <c r="BK400" s="60"/>
      <c r="BL400" s="62"/>
      <c r="BM400" s="60"/>
      <c r="BN400" s="60"/>
      <c r="BO400" s="60"/>
      <c r="BP400" s="60"/>
      <c r="BQ400" s="60"/>
      <c r="BR400" s="62"/>
      <c r="BS400" s="60"/>
      <c r="BT400" s="60"/>
      <c r="BU400" s="60"/>
      <c r="BV400" s="61"/>
      <c r="BW400" s="61"/>
      <c r="BX400" s="61"/>
      <c r="BY400" s="61"/>
      <c r="BZ400" s="61"/>
      <c r="CA400" s="61"/>
      <c r="CB400" s="60"/>
      <c r="CC400" s="60"/>
      <c r="CD400" s="60"/>
      <c r="CE400" s="60"/>
      <c r="CF400" s="60"/>
      <c r="CG400" s="60"/>
      <c r="CH400" s="60"/>
      <c r="CI400" s="60"/>
      <c r="CJ400" s="60"/>
      <c r="CK400" s="60"/>
      <c r="CL400" s="60"/>
      <c r="CM400" s="62"/>
      <c r="CN400" s="60"/>
      <c r="CO400" s="60"/>
      <c r="CP400" s="60"/>
      <c r="CQ400" s="60"/>
      <c r="CR400" s="60"/>
      <c r="CS400" s="60"/>
      <c r="CT400" s="60"/>
      <c r="CU400" s="60"/>
      <c r="CV400" s="60"/>
      <c r="CW400" s="60"/>
      <c r="CX400" s="60"/>
      <c r="CY400" s="60"/>
      <c r="CZ400" s="60"/>
      <c r="DA400" s="60"/>
      <c r="DB400" s="60"/>
      <c r="DC400" s="60"/>
      <c r="DD400" s="62"/>
      <c r="DE400" s="62"/>
      <c r="DF400" s="62"/>
      <c r="DG400" s="62"/>
      <c r="DH400" s="62"/>
      <c r="DI400" s="60"/>
      <c r="DJ400" s="60"/>
      <c r="DK400" s="60"/>
      <c r="DL400" s="62"/>
      <c r="DM400" s="60"/>
      <c r="DN400" s="62"/>
      <c r="DO400" s="60"/>
      <c r="DP400" s="60"/>
      <c r="DQ400" s="62"/>
      <c r="DR400" s="62"/>
      <c r="DS400" s="60"/>
      <c r="DT400" s="60"/>
      <c r="DU400" s="60"/>
      <c r="DV400" s="60"/>
      <c r="DW400" s="62"/>
      <c r="DX400" s="62"/>
      <c r="DY400" s="60"/>
      <c r="DZ400" s="60"/>
      <c r="EA400" s="60"/>
      <c r="EB400" s="60"/>
      <c r="EC400" s="60"/>
      <c r="ED400" s="60"/>
      <c r="EE400" s="60"/>
      <c r="EF400" s="60"/>
      <c r="EG400" s="60"/>
      <c r="EH400" s="60"/>
      <c r="EI400" s="62"/>
      <c r="EJ400" s="62"/>
      <c r="EK400" s="60"/>
      <c r="EL400" s="60"/>
      <c r="EM400" s="62"/>
      <c r="EN400" s="62"/>
      <c r="EO400" s="60"/>
      <c r="EP400" s="60"/>
      <c r="EQ400" s="60"/>
      <c r="ER400" s="60"/>
      <c r="ES400" s="60"/>
      <c r="ET400" s="60"/>
      <c r="EU400" s="60"/>
      <c r="EV400" s="60"/>
      <c r="EW400" s="60"/>
      <c r="EX400" s="60"/>
      <c r="EY400" s="62"/>
      <c r="EZ400" s="62"/>
      <c r="FA400" s="60"/>
      <c r="FB400" s="60"/>
      <c r="FC400" s="62"/>
      <c r="FD400" s="62"/>
      <c r="FE400" s="60"/>
      <c r="FF400" s="60"/>
      <c r="FG400" s="60"/>
      <c r="FH400" s="60"/>
      <c r="FI400" s="60"/>
      <c r="FJ400" s="60"/>
      <c r="FK400" s="60"/>
      <c r="FL400" s="60"/>
      <c r="FM400" s="60"/>
      <c r="FN400" s="60"/>
      <c r="FO400" s="62"/>
      <c r="FP400" s="62"/>
      <c r="FQ400" s="60"/>
      <c r="FR400" s="60"/>
      <c r="FS400" s="62"/>
      <c r="FT400" s="62"/>
      <c r="FU400" s="60"/>
      <c r="FV400" s="60"/>
      <c r="FW400" s="60"/>
      <c r="FX400" s="60"/>
      <c r="FY400" s="60"/>
      <c r="FZ400" s="60"/>
      <c r="GA400" s="60"/>
      <c r="GB400" s="60"/>
      <c r="GC400" s="60"/>
      <c r="GD400" s="60"/>
      <c r="GE400" s="62"/>
      <c r="GF400" s="62"/>
      <c r="GG400" s="60"/>
      <c r="GH400" s="60"/>
      <c r="GI400" s="62"/>
      <c r="GJ400" s="62"/>
      <c r="GK400" s="60"/>
      <c r="GL400" s="60"/>
      <c r="GM400" s="60"/>
      <c r="GN400" s="60"/>
      <c r="GO400" s="60"/>
      <c r="GP400" s="60"/>
      <c r="GQ400" s="60"/>
      <c r="GR400" s="60"/>
      <c r="GS400" s="60"/>
      <c r="GT400" s="60"/>
      <c r="GU400" s="62"/>
      <c r="GV400" s="62"/>
      <c r="GW400" s="60"/>
      <c r="GX400" s="60"/>
      <c r="GY400" s="19"/>
      <c r="GZ400" s="60"/>
      <c r="HA400" s="60"/>
      <c r="HB400" s="3"/>
      <c r="HC400" s="3"/>
      <c r="HD400" s="3"/>
      <c r="HE400" s="3"/>
      <c r="HF400" s="60"/>
      <c r="HG400" s="60"/>
      <c r="HH400" s="60"/>
      <c r="HI400" s="60"/>
      <c r="HJ400" s="60"/>
      <c r="HK400" s="60"/>
      <c r="HL400" s="60"/>
      <c r="HM400" s="60"/>
      <c r="HN400" s="60"/>
      <c r="HO400" s="60"/>
      <c r="HP400" s="62"/>
      <c r="HQ400" s="60"/>
      <c r="HR400" s="60"/>
      <c r="HS400" s="62"/>
      <c r="HT400" s="60"/>
      <c r="HU400" s="62"/>
      <c r="HV400" s="62"/>
      <c r="HW400" s="60"/>
      <c r="HX400" s="60"/>
      <c r="HY400" s="60"/>
      <c r="HZ400" s="60"/>
      <c r="IA400" s="60"/>
      <c r="IB400" s="60"/>
      <c r="IC400" s="60"/>
      <c r="ID400" s="60"/>
      <c r="IE400" s="60"/>
      <c r="IF400" s="62"/>
      <c r="IG400" s="62"/>
      <c r="IH400" s="60"/>
      <c r="II400" s="4"/>
      <c r="IJ400" s="60"/>
      <c r="IK400" s="4"/>
      <c r="IL400" s="2"/>
      <c r="IM400" s="62"/>
      <c r="IN400" s="60"/>
      <c r="IO400" s="60"/>
      <c r="IP400" s="60"/>
      <c r="IQ400" s="3"/>
      <c r="IR400" s="60"/>
      <c r="IS400" s="62"/>
      <c r="IT400" s="60"/>
      <c r="IU400" s="60"/>
      <c r="IV400" s="60"/>
      <c r="IW400" s="3"/>
      <c r="IX400" s="60"/>
    </row>
    <row r="401" spans="2:258"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0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1"/>
      <c r="AK401" s="5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2"/>
      <c r="BD401" s="60"/>
      <c r="BE401" s="60"/>
      <c r="BF401" s="60"/>
      <c r="BG401" s="60"/>
      <c r="BH401" s="60"/>
      <c r="BI401" s="60"/>
      <c r="BJ401" s="60"/>
      <c r="BK401" s="60"/>
      <c r="BL401" s="62"/>
      <c r="BM401" s="60"/>
      <c r="BN401" s="60"/>
      <c r="BO401" s="60"/>
      <c r="BP401" s="60"/>
      <c r="BQ401" s="60"/>
      <c r="BR401" s="62"/>
      <c r="BS401" s="60"/>
      <c r="BT401" s="60"/>
      <c r="BU401" s="60"/>
      <c r="BV401" s="61"/>
      <c r="BW401" s="61"/>
      <c r="BX401" s="61"/>
      <c r="BY401" s="61"/>
      <c r="BZ401" s="61"/>
      <c r="CA401" s="61"/>
      <c r="CB401" s="60"/>
      <c r="CC401" s="60"/>
      <c r="CD401" s="60"/>
      <c r="CE401" s="60"/>
      <c r="CF401" s="60"/>
      <c r="CG401" s="60"/>
      <c r="CH401" s="60"/>
      <c r="CI401" s="60"/>
      <c r="CJ401" s="60"/>
      <c r="CK401" s="60"/>
      <c r="CL401" s="60"/>
      <c r="CM401" s="62"/>
      <c r="CN401" s="60"/>
      <c r="CO401" s="60"/>
      <c r="CP401" s="60"/>
      <c r="CQ401" s="60"/>
      <c r="CR401" s="60"/>
      <c r="CS401" s="60"/>
      <c r="CT401" s="60"/>
      <c r="CU401" s="60"/>
      <c r="CV401" s="60"/>
      <c r="CW401" s="60"/>
      <c r="CX401" s="60"/>
      <c r="CY401" s="60"/>
      <c r="CZ401" s="60"/>
      <c r="DA401" s="60"/>
      <c r="DB401" s="60"/>
      <c r="DC401" s="60"/>
      <c r="DD401" s="62"/>
      <c r="DE401" s="62"/>
      <c r="DF401" s="62"/>
      <c r="DG401" s="62"/>
      <c r="DH401" s="62"/>
      <c r="DI401" s="60"/>
      <c r="DJ401" s="60"/>
      <c r="DK401" s="60"/>
      <c r="DL401" s="62"/>
      <c r="DM401" s="60"/>
      <c r="DN401" s="62"/>
      <c r="DO401" s="3"/>
      <c r="DP401" s="3"/>
      <c r="DQ401" s="62"/>
      <c r="DR401" s="62"/>
      <c r="DS401" s="60"/>
      <c r="DT401" s="60"/>
      <c r="DU401" s="60"/>
      <c r="DV401" s="60"/>
      <c r="DW401" s="62"/>
      <c r="DX401" s="62"/>
      <c r="DY401" s="60"/>
      <c r="DZ401" s="60"/>
      <c r="EA401" s="60"/>
      <c r="EB401" s="60"/>
      <c r="EC401" s="60"/>
      <c r="ED401" s="60"/>
      <c r="EE401" s="60"/>
      <c r="EF401" s="60"/>
      <c r="EG401" s="60"/>
      <c r="EH401" s="60"/>
      <c r="EI401" s="62"/>
      <c r="EJ401" s="62"/>
      <c r="EK401" s="60"/>
      <c r="EL401" s="60"/>
      <c r="EM401" s="62"/>
      <c r="EN401" s="62"/>
      <c r="EO401" s="60"/>
      <c r="EP401" s="60"/>
      <c r="EQ401" s="60"/>
      <c r="ER401" s="60"/>
      <c r="ES401" s="60"/>
      <c r="ET401" s="60"/>
      <c r="EU401" s="60"/>
      <c r="EV401" s="60"/>
      <c r="EW401" s="60"/>
      <c r="EX401" s="60"/>
      <c r="EY401" s="62"/>
      <c r="EZ401" s="62"/>
      <c r="FA401" s="60"/>
      <c r="FB401" s="60"/>
      <c r="FC401" s="62"/>
      <c r="FD401" s="62"/>
      <c r="FE401" s="60"/>
      <c r="FF401" s="60"/>
      <c r="FG401" s="60"/>
      <c r="FH401" s="60"/>
      <c r="FI401" s="60"/>
      <c r="FJ401" s="60"/>
      <c r="FK401" s="60"/>
      <c r="FL401" s="60"/>
      <c r="FM401" s="60"/>
      <c r="FN401" s="60"/>
      <c r="FO401" s="62"/>
      <c r="FP401" s="62"/>
      <c r="FQ401" s="60"/>
      <c r="FR401" s="60"/>
      <c r="FS401" s="62"/>
      <c r="FT401" s="62"/>
      <c r="FU401" s="60"/>
      <c r="FV401" s="60"/>
      <c r="FW401" s="60"/>
      <c r="FX401" s="60"/>
      <c r="FY401" s="60"/>
      <c r="FZ401" s="60"/>
      <c r="GA401" s="60"/>
      <c r="GB401" s="60"/>
      <c r="GC401" s="60"/>
      <c r="GD401" s="60"/>
      <c r="GE401" s="62"/>
      <c r="GF401" s="62"/>
      <c r="GG401" s="60"/>
      <c r="GH401" s="60"/>
      <c r="GI401" s="62"/>
      <c r="GJ401" s="62"/>
      <c r="GK401" s="60"/>
      <c r="GL401" s="60"/>
      <c r="GM401" s="60"/>
      <c r="GN401" s="60"/>
      <c r="GO401" s="60"/>
      <c r="GP401" s="60"/>
      <c r="GQ401" s="60"/>
      <c r="GR401" s="60"/>
      <c r="GS401" s="60"/>
      <c r="GT401" s="60"/>
      <c r="GU401" s="62"/>
      <c r="GV401" s="62"/>
      <c r="GW401" s="60"/>
      <c r="GX401" s="60"/>
      <c r="GY401" s="19"/>
      <c r="GZ401" s="60"/>
      <c r="HA401" s="60"/>
      <c r="HB401" s="3"/>
      <c r="HC401" s="3"/>
      <c r="HD401" s="3"/>
      <c r="HE401" s="3"/>
      <c r="HF401" s="60"/>
      <c r="HG401" s="60"/>
      <c r="HH401" s="60"/>
      <c r="HI401" s="60"/>
      <c r="HJ401" s="60"/>
      <c r="HK401" s="60"/>
      <c r="HL401" s="60"/>
      <c r="HM401" s="60"/>
      <c r="HN401" s="60"/>
      <c r="HO401" s="60"/>
      <c r="HP401" s="62"/>
      <c r="HQ401" s="60"/>
      <c r="HR401" s="60"/>
      <c r="HS401" s="62"/>
      <c r="HT401" s="60"/>
      <c r="HU401" s="62"/>
      <c r="HV401" s="62"/>
      <c r="HW401" s="60"/>
      <c r="HX401" s="60"/>
      <c r="HY401" s="60"/>
      <c r="HZ401" s="60"/>
      <c r="IA401" s="60"/>
      <c r="IB401" s="60"/>
      <c r="IC401" s="60"/>
      <c r="ID401" s="60"/>
      <c r="IE401" s="60"/>
      <c r="IF401" s="62"/>
      <c r="IG401" s="62"/>
      <c r="IH401" s="60"/>
      <c r="II401" s="4"/>
      <c r="IJ401" s="60"/>
      <c r="IK401" s="4"/>
      <c r="IL401" s="2"/>
      <c r="IM401" s="62"/>
      <c r="IN401" s="60"/>
      <c r="IO401" s="60"/>
      <c r="IP401" s="60"/>
      <c r="IQ401" s="3"/>
      <c r="IR401" s="60"/>
      <c r="IS401" s="62"/>
      <c r="IT401" s="60"/>
      <c r="IU401" s="60"/>
      <c r="IV401" s="60"/>
      <c r="IW401" s="3"/>
      <c r="IX401" s="60"/>
    </row>
    <row r="402" spans="2:258">
      <c r="B402" s="61"/>
      <c r="C402" s="61"/>
      <c r="D402" s="61"/>
      <c r="E402" s="61"/>
      <c r="F402" s="1"/>
      <c r="G402" s="61"/>
      <c r="H402" s="61"/>
      <c r="I402" s="61"/>
      <c r="J402" s="61"/>
      <c r="K402" s="61"/>
      <c r="L402" s="61"/>
      <c r="M402" s="61"/>
      <c r="N402" s="61"/>
      <c r="O402" s="60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1"/>
      <c r="AK402" s="5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2"/>
      <c r="BD402" s="60"/>
      <c r="BE402" s="60"/>
      <c r="BF402" s="60"/>
      <c r="BG402" s="60"/>
      <c r="BH402" s="60"/>
      <c r="BI402" s="60"/>
      <c r="BJ402" s="60"/>
      <c r="BK402" s="60"/>
      <c r="BL402" s="62"/>
      <c r="BM402" s="60"/>
      <c r="BN402" s="60"/>
      <c r="BO402" s="60"/>
      <c r="BP402" s="60"/>
      <c r="BQ402" s="60"/>
      <c r="BR402" s="62"/>
      <c r="BS402" s="60"/>
      <c r="BT402" s="60"/>
      <c r="BU402" s="60"/>
      <c r="BV402" s="61"/>
      <c r="BW402" s="61"/>
      <c r="BX402" s="61"/>
      <c r="BY402" s="61"/>
      <c r="BZ402" s="61"/>
      <c r="CA402" s="61"/>
      <c r="CB402" s="60"/>
      <c r="CC402" s="60"/>
      <c r="CD402" s="60"/>
      <c r="CE402" s="60"/>
      <c r="CF402" s="60"/>
      <c r="CG402" s="60"/>
      <c r="CH402" s="60"/>
      <c r="CI402" s="60"/>
      <c r="CJ402" s="60"/>
      <c r="CK402" s="60"/>
      <c r="CL402" s="60"/>
      <c r="CM402" s="62"/>
      <c r="CN402" s="60"/>
      <c r="CO402" s="60"/>
      <c r="CP402" s="60"/>
      <c r="CQ402" s="60"/>
      <c r="CR402" s="60"/>
      <c r="CS402" s="60"/>
      <c r="CT402" s="60"/>
      <c r="CU402" s="60"/>
      <c r="CV402" s="60"/>
      <c r="CW402" s="60"/>
      <c r="CX402" s="60"/>
      <c r="CY402" s="60"/>
      <c r="CZ402" s="60"/>
      <c r="DA402" s="60"/>
      <c r="DB402" s="60"/>
      <c r="DC402" s="60"/>
      <c r="DD402" s="62"/>
      <c r="DE402" s="62"/>
      <c r="DF402" s="62"/>
      <c r="DG402" s="62"/>
      <c r="DH402" s="62"/>
      <c r="DI402" s="60"/>
      <c r="DJ402" s="60"/>
      <c r="DK402" s="60"/>
      <c r="DL402" s="62"/>
      <c r="DM402" s="60"/>
      <c r="DN402" s="62"/>
      <c r="DO402" s="60"/>
      <c r="DP402" s="60"/>
      <c r="DQ402" s="62"/>
      <c r="DR402" s="62"/>
      <c r="DS402" s="60"/>
      <c r="DT402" s="60"/>
      <c r="DU402" s="60"/>
      <c r="DV402" s="60"/>
      <c r="DW402" s="62"/>
      <c r="DX402" s="62"/>
      <c r="DY402" s="60"/>
      <c r="DZ402" s="60"/>
      <c r="EA402" s="60"/>
      <c r="EB402" s="60"/>
      <c r="EC402" s="60"/>
      <c r="ED402" s="60"/>
      <c r="EE402" s="60"/>
      <c r="EF402" s="60"/>
      <c r="EG402" s="60"/>
      <c r="EH402" s="60"/>
      <c r="EI402" s="62"/>
      <c r="EJ402" s="62"/>
      <c r="EK402" s="60"/>
      <c r="EL402" s="60"/>
      <c r="EM402" s="62"/>
      <c r="EN402" s="62"/>
      <c r="EO402" s="60"/>
      <c r="EP402" s="60"/>
      <c r="EQ402" s="60"/>
      <c r="ER402" s="60"/>
      <c r="ES402" s="60"/>
      <c r="ET402" s="60"/>
      <c r="EU402" s="60"/>
      <c r="EV402" s="60"/>
      <c r="EW402" s="60"/>
      <c r="EX402" s="60"/>
      <c r="EY402" s="62"/>
      <c r="EZ402" s="62"/>
      <c r="FA402" s="60"/>
      <c r="FB402" s="60"/>
      <c r="FC402" s="62"/>
      <c r="FD402" s="62"/>
      <c r="FE402" s="60"/>
      <c r="FF402" s="60"/>
      <c r="FG402" s="60"/>
      <c r="FH402" s="60"/>
      <c r="FI402" s="60"/>
      <c r="FJ402" s="60"/>
      <c r="FK402" s="60"/>
      <c r="FL402" s="60"/>
      <c r="FM402" s="60"/>
      <c r="FN402" s="60"/>
      <c r="FO402" s="62"/>
      <c r="FP402" s="62"/>
      <c r="FQ402" s="60"/>
      <c r="FR402" s="60"/>
      <c r="FS402" s="62"/>
      <c r="FT402" s="62"/>
      <c r="FU402" s="60"/>
      <c r="FV402" s="60"/>
      <c r="FW402" s="60"/>
      <c r="FX402" s="60"/>
      <c r="FY402" s="60"/>
      <c r="FZ402" s="60"/>
      <c r="GA402" s="60"/>
      <c r="GB402" s="60"/>
      <c r="GC402" s="60"/>
      <c r="GD402" s="60"/>
      <c r="GE402" s="62"/>
      <c r="GF402" s="62"/>
      <c r="GG402" s="60"/>
      <c r="GH402" s="60"/>
      <c r="GI402" s="62"/>
      <c r="GJ402" s="62"/>
      <c r="GK402" s="60"/>
      <c r="GL402" s="60"/>
      <c r="GM402" s="60"/>
      <c r="GN402" s="60"/>
      <c r="GO402" s="60"/>
      <c r="GP402" s="60"/>
      <c r="GQ402" s="60"/>
      <c r="GR402" s="60"/>
      <c r="GS402" s="60"/>
      <c r="GT402" s="60"/>
      <c r="GU402" s="62"/>
      <c r="GV402" s="62"/>
      <c r="GW402" s="60"/>
      <c r="GX402" s="60"/>
      <c r="GY402" s="19"/>
      <c r="GZ402" s="60"/>
      <c r="HA402" s="60"/>
      <c r="HB402" s="3"/>
      <c r="HC402" s="3"/>
      <c r="HD402" s="3"/>
      <c r="HE402" s="3"/>
      <c r="HF402" s="60"/>
      <c r="HG402" s="60"/>
      <c r="HH402" s="60"/>
      <c r="HI402" s="60"/>
      <c r="HJ402" s="60"/>
      <c r="HK402" s="60"/>
      <c r="HL402" s="60"/>
      <c r="HM402" s="60"/>
      <c r="HN402" s="60"/>
      <c r="HO402" s="60"/>
      <c r="HP402" s="62"/>
      <c r="HQ402" s="60"/>
      <c r="HR402" s="60"/>
      <c r="HS402" s="62"/>
      <c r="HT402" s="60"/>
      <c r="HU402" s="62"/>
      <c r="HV402" s="62"/>
      <c r="HW402" s="60"/>
      <c r="HX402" s="60"/>
      <c r="HY402" s="60"/>
      <c r="HZ402" s="60"/>
      <c r="IA402" s="60"/>
      <c r="IB402" s="60"/>
      <c r="IC402" s="60"/>
      <c r="ID402" s="60"/>
      <c r="IE402" s="60"/>
      <c r="IF402" s="62"/>
      <c r="IG402" s="62"/>
      <c r="IH402" s="60"/>
      <c r="II402" s="4"/>
      <c r="IJ402" s="60"/>
      <c r="IK402" s="4"/>
      <c r="IL402" s="2"/>
      <c r="IM402" s="62"/>
      <c r="IN402" s="60"/>
      <c r="IO402" s="60"/>
      <c r="IP402" s="60"/>
      <c r="IQ402" s="3"/>
      <c r="IR402" s="60"/>
      <c r="IS402" s="62"/>
      <c r="IT402" s="60"/>
      <c r="IU402" s="60"/>
      <c r="IV402" s="60"/>
      <c r="IW402" s="60"/>
      <c r="IX402" s="60"/>
    </row>
    <row r="403" spans="2:258"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0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1"/>
      <c r="AK403" s="5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2"/>
      <c r="BD403" s="60"/>
      <c r="BE403" s="60"/>
      <c r="BF403" s="60"/>
      <c r="BG403" s="60"/>
      <c r="BH403" s="60"/>
      <c r="BI403" s="60"/>
      <c r="BJ403" s="60"/>
      <c r="BK403" s="60"/>
      <c r="BL403" s="62"/>
      <c r="BM403" s="60"/>
      <c r="BN403" s="60"/>
      <c r="BO403" s="60"/>
      <c r="BP403" s="60"/>
      <c r="BQ403" s="60"/>
      <c r="BR403" s="62"/>
      <c r="BS403" s="60"/>
      <c r="BT403" s="60"/>
      <c r="BU403" s="60"/>
      <c r="BV403" s="61"/>
      <c r="BW403" s="61"/>
      <c r="BX403" s="61"/>
      <c r="BY403" s="61"/>
      <c r="BZ403" s="61"/>
      <c r="CA403" s="61"/>
      <c r="CB403" s="60"/>
      <c r="CC403" s="60"/>
      <c r="CD403" s="60"/>
      <c r="CE403" s="60"/>
      <c r="CF403" s="60"/>
      <c r="CG403" s="60"/>
      <c r="CH403" s="60"/>
      <c r="CI403" s="60"/>
      <c r="CJ403" s="60"/>
      <c r="CK403" s="60"/>
      <c r="CL403" s="60"/>
      <c r="CM403" s="62"/>
      <c r="CN403" s="60"/>
      <c r="CO403" s="60"/>
      <c r="CP403" s="60"/>
      <c r="CQ403" s="60"/>
      <c r="CR403" s="60"/>
      <c r="CS403" s="60"/>
      <c r="CT403" s="60"/>
      <c r="CU403" s="60"/>
      <c r="CV403" s="60"/>
      <c r="CW403" s="60"/>
      <c r="CX403" s="60"/>
      <c r="CY403" s="60"/>
      <c r="CZ403" s="60"/>
      <c r="DA403" s="60"/>
      <c r="DB403" s="60"/>
      <c r="DC403" s="60"/>
      <c r="DD403" s="62"/>
      <c r="DE403" s="62"/>
      <c r="DF403" s="62"/>
      <c r="DG403" s="62"/>
      <c r="DH403" s="62"/>
      <c r="DI403" s="60"/>
      <c r="DJ403" s="60"/>
      <c r="DK403" s="60"/>
      <c r="DL403" s="62"/>
      <c r="DM403" s="60"/>
      <c r="DN403" s="62"/>
      <c r="DO403" s="60"/>
      <c r="DP403" s="60"/>
      <c r="DQ403" s="62"/>
      <c r="DR403" s="62"/>
      <c r="DS403" s="60"/>
      <c r="DT403" s="60"/>
      <c r="DU403" s="60"/>
      <c r="DV403" s="60"/>
      <c r="DW403" s="62"/>
      <c r="DX403" s="62"/>
      <c r="DY403" s="60"/>
      <c r="DZ403" s="60"/>
      <c r="EA403" s="60"/>
      <c r="EB403" s="60"/>
      <c r="EC403" s="60"/>
      <c r="ED403" s="60"/>
      <c r="EE403" s="60"/>
      <c r="EF403" s="60"/>
      <c r="EG403" s="60"/>
      <c r="EH403" s="60"/>
      <c r="EI403" s="62"/>
      <c r="EJ403" s="62"/>
      <c r="EK403" s="60"/>
      <c r="EL403" s="60"/>
      <c r="EM403" s="62"/>
      <c r="EN403" s="62"/>
      <c r="EO403" s="60"/>
      <c r="EP403" s="60"/>
      <c r="EQ403" s="60"/>
      <c r="ER403" s="60"/>
      <c r="ES403" s="60"/>
      <c r="ET403" s="60"/>
      <c r="EU403" s="60"/>
      <c r="EV403" s="60"/>
      <c r="EW403" s="60"/>
      <c r="EX403" s="60"/>
      <c r="EY403" s="62"/>
      <c r="EZ403" s="62"/>
      <c r="FA403" s="60"/>
      <c r="FB403" s="60"/>
      <c r="FC403" s="62"/>
      <c r="FD403" s="62"/>
      <c r="FE403" s="60"/>
      <c r="FF403" s="60"/>
      <c r="FG403" s="60"/>
      <c r="FH403" s="60"/>
      <c r="FI403" s="60"/>
      <c r="FJ403" s="60"/>
      <c r="FK403" s="60"/>
      <c r="FL403" s="60"/>
      <c r="FM403" s="60"/>
      <c r="FN403" s="60"/>
      <c r="FO403" s="62"/>
      <c r="FP403" s="62"/>
      <c r="FQ403" s="60"/>
      <c r="FR403" s="60"/>
      <c r="FS403" s="62"/>
      <c r="FT403" s="62"/>
      <c r="FU403" s="60"/>
      <c r="FV403" s="60"/>
      <c r="FW403" s="60"/>
      <c r="FX403" s="60"/>
      <c r="FY403" s="60"/>
      <c r="FZ403" s="60"/>
      <c r="GA403" s="60"/>
      <c r="GB403" s="60"/>
      <c r="GC403" s="60"/>
      <c r="GD403" s="60"/>
      <c r="GE403" s="62"/>
      <c r="GF403" s="62"/>
      <c r="GG403" s="60"/>
      <c r="GH403" s="60"/>
      <c r="GI403" s="62"/>
      <c r="GJ403" s="62"/>
      <c r="GK403" s="60"/>
      <c r="GL403" s="60"/>
      <c r="GM403" s="60"/>
      <c r="GN403" s="60"/>
      <c r="GO403" s="60"/>
      <c r="GP403" s="60"/>
      <c r="GQ403" s="60"/>
      <c r="GR403" s="60"/>
      <c r="GS403" s="60"/>
      <c r="GT403" s="60"/>
      <c r="GU403" s="62"/>
      <c r="GV403" s="62"/>
      <c r="GW403" s="60"/>
      <c r="GX403" s="60"/>
      <c r="GY403" s="19"/>
      <c r="GZ403" s="60"/>
      <c r="HA403" s="60"/>
      <c r="HB403" s="3"/>
      <c r="HC403" s="3"/>
      <c r="HD403" s="3"/>
      <c r="HE403" s="3"/>
      <c r="HF403" s="60"/>
      <c r="HG403" s="60"/>
      <c r="HH403" s="60"/>
      <c r="HI403" s="60"/>
      <c r="HJ403" s="60"/>
      <c r="HK403" s="60"/>
      <c r="HL403" s="60"/>
      <c r="HM403" s="60"/>
      <c r="HN403" s="60"/>
      <c r="HO403" s="60"/>
      <c r="HP403" s="62"/>
      <c r="HQ403" s="60"/>
      <c r="HR403" s="60"/>
      <c r="HS403" s="62"/>
      <c r="HT403" s="60"/>
      <c r="HU403" s="62"/>
      <c r="HV403" s="62"/>
      <c r="HW403" s="60"/>
      <c r="HX403" s="60"/>
      <c r="HY403" s="60"/>
      <c r="HZ403" s="60"/>
      <c r="IA403" s="60"/>
      <c r="IB403" s="60"/>
      <c r="IC403" s="60"/>
      <c r="ID403" s="60"/>
      <c r="IE403" s="60"/>
      <c r="IF403" s="62"/>
      <c r="IG403" s="62"/>
      <c r="IH403" s="60"/>
      <c r="II403" s="4"/>
      <c r="IJ403" s="60"/>
      <c r="IK403" s="4"/>
      <c r="IL403" s="2"/>
      <c r="IM403" s="62"/>
      <c r="IN403" s="60"/>
      <c r="IO403" s="60"/>
      <c r="IP403" s="60"/>
      <c r="IQ403" s="3"/>
      <c r="IR403" s="60"/>
      <c r="IS403" s="62"/>
      <c r="IT403" s="60"/>
      <c r="IU403" s="60"/>
      <c r="IV403" s="60"/>
      <c r="IW403" s="60"/>
      <c r="IX403" s="60"/>
    </row>
    <row r="404" spans="2:258"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0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1"/>
      <c r="AK404" s="5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2"/>
      <c r="BD404" s="60"/>
      <c r="BE404" s="60"/>
      <c r="BF404" s="60"/>
      <c r="BG404" s="60"/>
      <c r="BH404" s="60"/>
      <c r="BI404" s="60"/>
      <c r="BJ404" s="60"/>
      <c r="BK404" s="60"/>
      <c r="BL404" s="62"/>
      <c r="BM404" s="60"/>
      <c r="BN404" s="60"/>
      <c r="BO404" s="60"/>
      <c r="BP404" s="60"/>
      <c r="BQ404" s="60"/>
      <c r="BR404" s="62"/>
      <c r="BS404" s="60"/>
      <c r="BT404" s="60"/>
      <c r="BU404" s="60"/>
      <c r="BV404" s="61"/>
      <c r="BW404" s="61"/>
      <c r="BX404" s="61"/>
      <c r="BY404" s="61"/>
      <c r="BZ404" s="61"/>
      <c r="CA404" s="61"/>
      <c r="CB404" s="60"/>
      <c r="CC404" s="60"/>
      <c r="CD404" s="60"/>
      <c r="CE404" s="60"/>
      <c r="CF404" s="60"/>
      <c r="CG404" s="60"/>
      <c r="CH404" s="60"/>
      <c r="CI404" s="60"/>
      <c r="CJ404" s="60"/>
      <c r="CK404" s="60"/>
      <c r="CL404" s="60"/>
      <c r="CM404" s="62"/>
      <c r="CN404" s="60"/>
      <c r="CO404" s="60"/>
      <c r="CP404" s="60"/>
      <c r="CQ404" s="60"/>
      <c r="CR404" s="60"/>
      <c r="CS404" s="60"/>
      <c r="CT404" s="60"/>
      <c r="CU404" s="60"/>
      <c r="CV404" s="60"/>
      <c r="CW404" s="60"/>
      <c r="CX404" s="60"/>
      <c r="CY404" s="60"/>
      <c r="CZ404" s="60"/>
      <c r="DA404" s="60"/>
      <c r="DB404" s="60"/>
      <c r="DC404" s="60"/>
      <c r="DD404" s="62"/>
      <c r="DE404" s="62"/>
      <c r="DF404" s="62"/>
      <c r="DG404" s="62"/>
      <c r="DH404" s="62"/>
      <c r="DI404" s="60"/>
      <c r="DJ404" s="60"/>
      <c r="DK404" s="60"/>
      <c r="DL404" s="62"/>
      <c r="DM404" s="60"/>
      <c r="DN404" s="62"/>
      <c r="DO404" s="60"/>
      <c r="DP404" s="60"/>
      <c r="DQ404" s="62"/>
      <c r="DR404" s="62"/>
      <c r="DS404" s="60"/>
      <c r="DT404" s="60"/>
      <c r="DU404" s="60"/>
      <c r="DV404" s="60"/>
      <c r="DW404" s="62"/>
      <c r="DX404" s="62"/>
      <c r="DY404" s="60"/>
      <c r="DZ404" s="60"/>
      <c r="EA404" s="60"/>
      <c r="EB404" s="60"/>
      <c r="EC404" s="60"/>
      <c r="ED404" s="60"/>
      <c r="EE404" s="60"/>
      <c r="EF404" s="60"/>
      <c r="EG404" s="60"/>
      <c r="EH404" s="60"/>
      <c r="EI404" s="62"/>
      <c r="EJ404" s="62"/>
      <c r="EK404" s="60"/>
      <c r="EL404" s="60"/>
      <c r="EM404" s="62"/>
      <c r="EN404" s="62"/>
      <c r="EO404" s="60"/>
      <c r="EP404" s="60"/>
      <c r="EQ404" s="60"/>
      <c r="ER404" s="60"/>
      <c r="ES404" s="60"/>
      <c r="ET404" s="60"/>
      <c r="EU404" s="60"/>
      <c r="EV404" s="60"/>
      <c r="EW404" s="60"/>
      <c r="EX404" s="60"/>
      <c r="EY404" s="62"/>
      <c r="EZ404" s="62"/>
      <c r="FA404" s="60"/>
      <c r="FB404" s="60"/>
      <c r="FC404" s="62"/>
      <c r="FD404" s="62"/>
      <c r="FE404" s="60"/>
      <c r="FF404" s="60"/>
      <c r="FG404" s="60"/>
      <c r="FH404" s="60"/>
      <c r="FI404" s="60"/>
      <c r="FJ404" s="60"/>
      <c r="FK404" s="60"/>
      <c r="FL404" s="60"/>
      <c r="FM404" s="60"/>
      <c r="FN404" s="60"/>
      <c r="FO404" s="62"/>
      <c r="FP404" s="62"/>
      <c r="FQ404" s="60"/>
      <c r="FR404" s="60"/>
      <c r="FS404" s="62"/>
      <c r="FT404" s="62"/>
      <c r="FU404" s="60"/>
      <c r="FV404" s="60"/>
      <c r="FW404" s="60"/>
      <c r="FX404" s="60"/>
      <c r="FY404" s="60"/>
      <c r="FZ404" s="60"/>
      <c r="GA404" s="60"/>
      <c r="GB404" s="60"/>
      <c r="GC404" s="60"/>
      <c r="GD404" s="60"/>
      <c r="GE404" s="62"/>
      <c r="GF404" s="62"/>
      <c r="GG404" s="60"/>
      <c r="GH404" s="60"/>
      <c r="GI404" s="62"/>
      <c r="GJ404" s="62"/>
      <c r="GK404" s="60"/>
      <c r="GL404" s="60"/>
      <c r="GM404" s="60"/>
      <c r="GN404" s="60"/>
      <c r="GO404" s="60"/>
      <c r="GP404" s="60"/>
      <c r="GQ404" s="60"/>
      <c r="GR404" s="60"/>
      <c r="GS404" s="60"/>
      <c r="GT404" s="60"/>
      <c r="GU404" s="62"/>
      <c r="GV404" s="62"/>
      <c r="GW404" s="60"/>
      <c r="GX404" s="60"/>
      <c r="GY404" s="19"/>
      <c r="GZ404" s="60"/>
      <c r="HA404" s="60"/>
      <c r="HB404" s="3"/>
      <c r="HC404" s="3"/>
      <c r="HD404" s="3"/>
      <c r="HE404" s="3"/>
      <c r="HF404" s="60"/>
      <c r="HG404" s="60"/>
      <c r="HH404" s="60"/>
      <c r="HI404" s="60"/>
      <c r="HJ404" s="60"/>
      <c r="HK404" s="60"/>
      <c r="HL404" s="60"/>
      <c r="HM404" s="60"/>
      <c r="HN404" s="60"/>
      <c r="HO404" s="60"/>
      <c r="HP404" s="62"/>
      <c r="HQ404" s="60"/>
      <c r="HR404" s="60"/>
      <c r="HS404" s="62"/>
      <c r="HT404" s="60"/>
      <c r="HU404" s="62"/>
      <c r="HV404" s="62"/>
      <c r="HW404" s="60"/>
      <c r="HX404" s="60"/>
      <c r="HY404" s="60"/>
      <c r="HZ404" s="60"/>
      <c r="IA404" s="60"/>
      <c r="IB404" s="60"/>
      <c r="IC404" s="60"/>
      <c r="ID404" s="60"/>
      <c r="IE404" s="60"/>
      <c r="IF404" s="62"/>
      <c r="IG404" s="62"/>
      <c r="IH404" s="60"/>
      <c r="II404" s="4"/>
      <c r="IJ404" s="60"/>
      <c r="IK404" s="4"/>
      <c r="IL404" s="2"/>
      <c r="IM404" s="62"/>
      <c r="IN404" s="60"/>
      <c r="IO404" s="60"/>
      <c r="IP404" s="60"/>
      <c r="IQ404" s="3"/>
      <c r="IR404" s="60"/>
      <c r="IS404" s="62"/>
      <c r="IT404" s="60"/>
      <c r="IU404" s="60"/>
      <c r="IV404" s="60"/>
      <c r="IW404" s="60"/>
      <c r="IX404" s="60"/>
    </row>
    <row r="405" spans="2:258"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0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1"/>
      <c r="AK405" s="5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2"/>
      <c r="BD405" s="60"/>
      <c r="BE405" s="60"/>
      <c r="BF405" s="60"/>
      <c r="BG405" s="60"/>
      <c r="BH405" s="60"/>
      <c r="BI405" s="60"/>
      <c r="BJ405" s="60"/>
      <c r="BK405" s="60"/>
      <c r="BL405" s="62"/>
      <c r="BM405" s="60"/>
      <c r="BN405" s="60"/>
      <c r="BO405" s="60"/>
      <c r="BP405" s="60"/>
      <c r="BQ405" s="60"/>
      <c r="BR405" s="62"/>
      <c r="BS405" s="60"/>
      <c r="BT405" s="60"/>
      <c r="BU405" s="60"/>
      <c r="BV405" s="61"/>
      <c r="BW405" s="61"/>
      <c r="BX405" s="61"/>
      <c r="BY405" s="61"/>
      <c r="BZ405" s="61"/>
      <c r="CA405" s="61"/>
      <c r="CB405" s="60"/>
      <c r="CC405" s="60"/>
      <c r="CD405" s="60"/>
      <c r="CE405" s="60"/>
      <c r="CF405" s="60"/>
      <c r="CG405" s="60"/>
      <c r="CH405" s="60"/>
      <c r="CI405" s="60"/>
      <c r="CJ405" s="60"/>
      <c r="CK405" s="60"/>
      <c r="CL405" s="60"/>
      <c r="CM405" s="62"/>
      <c r="CN405" s="60"/>
      <c r="CO405" s="60"/>
      <c r="CP405" s="60"/>
      <c r="CQ405" s="60"/>
      <c r="CR405" s="60"/>
      <c r="CS405" s="60"/>
      <c r="CT405" s="60"/>
      <c r="CU405" s="60"/>
      <c r="CV405" s="60"/>
      <c r="CW405" s="60"/>
      <c r="CX405" s="60"/>
      <c r="CY405" s="60"/>
      <c r="CZ405" s="60"/>
      <c r="DA405" s="60"/>
      <c r="DB405" s="60"/>
      <c r="DC405" s="60"/>
      <c r="DD405" s="62"/>
      <c r="DE405" s="62"/>
      <c r="DF405" s="62"/>
      <c r="DG405" s="62"/>
      <c r="DH405" s="62"/>
      <c r="DI405" s="60"/>
      <c r="DJ405" s="60"/>
      <c r="DK405" s="60"/>
      <c r="DL405" s="62"/>
      <c r="DM405" s="60"/>
      <c r="DN405" s="62"/>
      <c r="DO405" s="60"/>
      <c r="DP405" s="60"/>
      <c r="DQ405" s="62"/>
      <c r="DR405" s="62"/>
      <c r="DS405" s="60"/>
      <c r="DT405" s="60"/>
      <c r="DU405" s="60"/>
      <c r="DV405" s="60"/>
      <c r="DW405" s="62"/>
      <c r="DX405" s="62"/>
      <c r="DY405" s="60"/>
      <c r="DZ405" s="60"/>
      <c r="EA405" s="60"/>
      <c r="EB405" s="60"/>
      <c r="EC405" s="60"/>
      <c r="ED405" s="60"/>
      <c r="EE405" s="60"/>
      <c r="EF405" s="60"/>
      <c r="EG405" s="60"/>
      <c r="EH405" s="60"/>
      <c r="EI405" s="62"/>
      <c r="EJ405" s="62"/>
      <c r="EK405" s="60"/>
      <c r="EL405" s="60"/>
      <c r="EM405" s="62"/>
      <c r="EN405" s="62"/>
      <c r="EO405" s="60"/>
      <c r="EP405" s="60"/>
      <c r="EQ405" s="60"/>
      <c r="ER405" s="60"/>
      <c r="ES405" s="60"/>
      <c r="ET405" s="60"/>
      <c r="EU405" s="60"/>
      <c r="EV405" s="60"/>
      <c r="EW405" s="60"/>
      <c r="EX405" s="60"/>
      <c r="EY405" s="62"/>
      <c r="EZ405" s="62"/>
      <c r="FA405" s="60"/>
      <c r="FB405" s="60"/>
      <c r="FC405" s="62"/>
      <c r="FD405" s="62"/>
      <c r="FE405" s="60"/>
      <c r="FF405" s="60"/>
      <c r="FG405" s="60"/>
      <c r="FH405" s="60"/>
      <c r="FI405" s="60"/>
      <c r="FJ405" s="60"/>
      <c r="FK405" s="60"/>
      <c r="FL405" s="60"/>
      <c r="FM405" s="60"/>
      <c r="FN405" s="60"/>
      <c r="FO405" s="62"/>
      <c r="FP405" s="62"/>
      <c r="FQ405" s="60"/>
      <c r="FR405" s="60"/>
      <c r="FS405" s="62"/>
      <c r="FT405" s="62"/>
      <c r="FU405" s="60"/>
      <c r="FV405" s="60"/>
      <c r="FW405" s="60"/>
      <c r="FX405" s="60"/>
      <c r="FY405" s="60"/>
      <c r="FZ405" s="60"/>
      <c r="GA405" s="60"/>
      <c r="GB405" s="60"/>
      <c r="GC405" s="60"/>
      <c r="GD405" s="60"/>
      <c r="GE405" s="62"/>
      <c r="GF405" s="62"/>
      <c r="GG405" s="60"/>
      <c r="GH405" s="60"/>
      <c r="GI405" s="62"/>
      <c r="GJ405" s="62"/>
      <c r="GK405" s="60"/>
      <c r="GL405" s="60"/>
      <c r="GM405" s="60"/>
      <c r="GN405" s="60"/>
      <c r="GO405" s="60"/>
      <c r="GP405" s="60"/>
      <c r="GQ405" s="60"/>
      <c r="GR405" s="60"/>
      <c r="GS405" s="60"/>
      <c r="GT405" s="60"/>
      <c r="GU405" s="62"/>
      <c r="GV405" s="62"/>
      <c r="GW405" s="60"/>
      <c r="GX405" s="60"/>
      <c r="GY405" s="19"/>
      <c r="GZ405" s="60"/>
      <c r="HA405" s="60"/>
      <c r="HB405" s="3"/>
      <c r="HC405" s="3"/>
      <c r="HD405" s="3"/>
      <c r="HE405" s="3"/>
      <c r="HF405" s="60"/>
      <c r="HG405" s="60"/>
      <c r="HH405" s="60"/>
      <c r="HI405" s="60"/>
      <c r="HJ405" s="60"/>
      <c r="HK405" s="60"/>
      <c r="HL405" s="60"/>
      <c r="HM405" s="60"/>
      <c r="HN405" s="60"/>
      <c r="HO405" s="60"/>
      <c r="HP405" s="60"/>
      <c r="HQ405" s="60"/>
      <c r="HR405" s="60"/>
      <c r="HS405" s="60"/>
      <c r="HT405" s="60"/>
      <c r="HU405" s="62"/>
      <c r="HV405" s="62"/>
      <c r="HW405" s="62"/>
      <c r="HX405" s="62"/>
      <c r="HY405" s="60"/>
      <c r="HZ405" s="6"/>
      <c r="IA405" s="60"/>
      <c r="IB405" s="60"/>
      <c r="IC405" s="60"/>
      <c r="ID405" s="60"/>
      <c r="IE405" s="60"/>
      <c r="IF405" s="60"/>
      <c r="IG405" s="60"/>
      <c r="IH405" s="60"/>
      <c r="II405" s="4"/>
      <c r="IJ405" s="60"/>
      <c r="IK405" s="4"/>
      <c r="IL405" s="2"/>
      <c r="IM405" s="62"/>
      <c r="IN405" s="60"/>
      <c r="IO405" s="60"/>
      <c r="IP405" s="60"/>
      <c r="IQ405" s="60"/>
      <c r="IR405" s="60"/>
      <c r="IS405" s="60"/>
      <c r="IT405" s="60"/>
      <c r="IU405" s="60"/>
      <c r="IV405" s="60"/>
      <c r="IW405" s="60"/>
    </row>
    <row r="406" spans="2:258"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0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1"/>
      <c r="AK406" s="5"/>
      <c r="AL406" s="61"/>
      <c r="AM406" s="1"/>
      <c r="AN406" s="7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2"/>
      <c r="BD406" s="60"/>
      <c r="BE406" s="60"/>
      <c r="BF406" s="60"/>
      <c r="BG406" s="60"/>
      <c r="BH406" s="60"/>
      <c r="BI406" s="60"/>
      <c r="BJ406" s="60"/>
      <c r="BK406" s="60"/>
      <c r="BL406" s="62"/>
      <c r="BM406" s="60"/>
      <c r="BN406" s="60"/>
      <c r="BO406" s="60"/>
      <c r="BP406" s="60"/>
      <c r="BQ406" s="60"/>
      <c r="BR406" s="62"/>
      <c r="BS406" s="60"/>
      <c r="BT406" s="60"/>
      <c r="BU406" s="60"/>
      <c r="BV406" s="61"/>
      <c r="BW406" s="61"/>
      <c r="BX406" s="61"/>
      <c r="BY406" s="61"/>
      <c r="BZ406" s="61"/>
      <c r="CA406" s="61"/>
      <c r="CB406" s="60"/>
      <c r="CC406" s="60"/>
      <c r="CD406" s="60"/>
      <c r="CE406" s="60"/>
      <c r="CF406" s="60"/>
      <c r="CG406" s="60"/>
      <c r="CH406" s="60"/>
      <c r="CI406" s="60"/>
      <c r="CJ406" s="60"/>
      <c r="CK406" s="60"/>
      <c r="CL406" s="60"/>
      <c r="CM406" s="62"/>
      <c r="CN406" s="60"/>
      <c r="CO406" s="60"/>
      <c r="CP406" s="60"/>
      <c r="CQ406" s="60"/>
      <c r="CR406" s="60"/>
      <c r="CS406" s="60"/>
      <c r="CT406" s="60"/>
      <c r="CU406" s="60"/>
      <c r="CV406" s="60"/>
      <c r="CW406" s="60"/>
      <c r="CX406" s="60"/>
      <c r="CY406" s="60"/>
      <c r="CZ406" s="60"/>
      <c r="DA406" s="60"/>
      <c r="DB406" s="60"/>
      <c r="DC406" s="60"/>
      <c r="DD406" s="62"/>
      <c r="DE406" s="62"/>
      <c r="DF406" s="62"/>
      <c r="DG406" s="62"/>
      <c r="DH406" s="62"/>
      <c r="DI406" s="60"/>
      <c r="DJ406" s="60"/>
      <c r="DK406" s="60"/>
      <c r="DL406" s="62"/>
      <c r="DM406" s="60"/>
      <c r="DN406" s="62"/>
      <c r="DO406" s="60"/>
      <c r="DP406" s="60"/>
      <c r="DQ406" s="62"/>
      <c r="DR406" s="62"/>
      <c r="DS406" s="60"/>
      <c r="DT406" s="60"/>
      <c r="DU406" s="60"/>
      <c r="DV406" s="60"/>
      <c r="DW406" s="62"/>
      <c r="DX406" s="62"/>
      <c r="DY406" s="60"/>
      <c r="DZ406" s="60"/>
      <c r="EA406" s="60"/>
      <c r="EB406" s="60"/>
      <c r="EC406" s="60"/>
      <c r="ED406" s="60"/>
      <c r="EE406" s="60"/>
      <c r="EF406" s="60"/>
      <c r="EG406" s="60"/>
      <c r="EH406" s="60"/>
      <c r="EI406" s="62"/>
      <c r="EJ406" s="62"/>
      <c r="EK406" s="60"/>
      <c r="EL406" s="60"/>
      <c r="EM406" s="62"/>
      <c r="EN406" s="62"/>
      <c r="EO406" s="60"/>
      <c r="EP406" s="60"/>
      <c r="EQ406" s="60"/>
      <c r="ER406" s="60"/>
      <c r="ES406" s="60"/>
      <c r="ET406" s="60"/>
      <c r="EU406" s="60"/>
      <c r="EV406" s="60"/>
      <c r="EW406" s="60"/>
      <c r="EX406" s="60"/>
      <c r="EY406" s="62"/>
      <c r="EZ406" s="62"/>
      <c r="FA406" s="60"/>
      <c r="FB406" s="60"/>
      <c r="FC406" s="62"/>
      <c r="FD406" s="62"/>
      <c r="FE406" s="60"/>
      <c r="FF406" s="60"/>
      <c r="FG406" s="60"/>
      <c r="FH406" s="60"/>
      <c r="FI406" s="60"/>
      <c r="FJ406" s="60"/>
      <c r="FK406" s="60"/>
      <c r="FL406" s="60"/>
      <c r="FM406" s="60"/>
      <c r="FN406" s="60"/>
      <c r="FO406" s="62"/>
      <c r="FP406" s="62"/>
      <c r="FQ406" s="60"/>
      <c r="FR406" s="60"/>
      <c r="FS406" s="62"/>
      <c r="FT406" s="62"/>
      <c r="FU406" s="60"/>
      <c r="FV406" s="60"/>
      <c r="FW406" s="60"/>
      <c r="FX406" s="60"/>
      <c r="FY406" s="60"/>
      <c r="FZ406" s="60"/>
      <c r="GA406" s="60"/>
      <c r="GB406" s="60"/>
      <c r="GC406" s="60"/>
      <c r="GD406" s="60"/>
      <c r="GE406" s="62"/>
      <c r="GF406" s="62"/>
      <c r="GG406" s="60"/>
      <c r="GH406" s="60"/>
      <c r="GI406" s="62"/>
      <c r="GJ406" s="62"/>
      <c r="GK406" s="60"/>
      <c r="GL406" s="60"/>
      <c r="GM406" s="60"/>
      <c r="GN406" s="60"/>
      <c r="GO406" s="60"/>
      <c r="GP406" s="60"/>
      <c r="GQ406" s="60"/>
      <c r="GR406" s="60"/>
      <c r="GS406" s="60"/>
      <c r="GT406" s="60"/>
      <c r="GU406" s="62"/>
      <c r="GV406" s="62"/>
      <c r="GW406" s="60"/>
      <c r="GX406" s="60"/>
      <c r="GY406" s="19"/>
      <c r="GZ406" s="60"/>
      <c r="HA406" s="60"/>
      <c r="HB406" s="3"/>
      <c r="HC406" s="3"/>
      <c r="HD406" s="3"/>
      <c r="HE406" s="3"/>
      <c r="HF406" s="60"/>
      <c r="HG406" s="60"/>
      <c r="HH406" s="60"/>
      <c r="HI406" s="60"/>
      <c r="HJ406" s="60"/>
      <c r="HK406" s="60"/>
      <c r="HL406" s="60"/>
      <c r="HM406" s="60"/>
      <c r="HN406" s="60"/>
      <c r="HO406" s="60"/>
      <c r="HP406" s="60"/>
      <c r="HQ406" s="60"/>
      <c r="HR406" s="60"/>
      <c r="HS406" s="60"/>
      <c r="HT406" s="60"/>
      <c r="HU406" s="62"/>
      <c r="HV406" s="62"/>
      <c r="HW406" s="62"/>
      <c r="HX406" s="62"/>
      <c r="HY406" s="60"/>
      <c r="HZ406" s="6"/>
      <c r="IA406" s="60"/>
      <c r="IB406" s="60"/>
      <c r="IC406" s="60"/>
      <c r="ID406" s="60"/>
      <c r="IE406" s="60"/>
      <c r="IF406" s="60"/>
      <c r="IG406" s="60"/>
      <c r="IH406" s="60"/>
      <c r="II406" s="4"/>
      <c r="IJ406" s="60"/>
      <c r="IK406" s="4"/>
      <c r="IL406" s="2"/>
      <c r="IM406" s="62"/>
      <c r="IN406" s="60"/>
      <c r="IO406" s="60"/>
      <c r="IP406" s="60"/>
      <c r="IQ406" s="60"/>
      <c r="IR406" s="60"/>
      <c r="IS406" s="60"/>
      <c r="IT406" s="60"/>
      <c r="IU406" s="60"/>
      <c r="IV406" s="60"/>
      <c r="IW406" s="60"/>
    </row>
    <row r="407" spans="2:258"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0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1"/>
      <c r="AK407" s="5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2"/>
      <c r="BD407" s="60"/>
      <c r="BE407" s="60"/>
      <c r="BF407" s="60"/>
      <c r="BG407" s="60"/>
      <c r="BH407" s="60"/>
      <c r="BI407" s="60"/>
      <c r="BJ407" s="60"/>
      <c r="BK407" s="60"/>
      <c r="BL407" s="62"/>
      <c r="BM407" s="60"/>
      <c r="BN407" s="60"/>
      <c r="BO407" s="60"/>
      <c r="BP407" s="60"/>
      <c r="BQ407" s="60"/>
      <c r="BR407" s="62"/>
      <c r="BS407" s="60"/>
      <c r="BT407" s="60"/>
      <c r="BU407" s="60"/>
      <c r="BV407" s="61"/>
      <c r="BW407" s="61"/>
      <c r="BX407" s="61"/>
      <c r="BY407" s="61"/>
      <c r="BZ407" s="61"/>
      <c r="CA407" s="61"/>
      <c r="CB407" s="60"/>
      <c r="CC407" s="60"/>
      <c r="CD407" s="60"/>
      <c r="CE407" s="60"/>
      <c r="CF407" s="60"/>
      <c r="CG407" s="60"/>
      <c r="CH407" s="60"/>
      <c r="CI407" s="60"/>
      <c r="CJ407" s="60"/>
      <c r="CK407" s="60"/>
      <c r="CL407" s="60"/>
      <c r="CM407" s="62"/>
      <c r="CN407" s="60"/>
      <c r="CO407" s="60"/>
      <c r="CP407" s="60"/>
      <c r="CQ407" s="60"/>
      <c r="CR407" s="60"/>
      <c r="CS407" s="60"/>
      <c r="CT407" s="60"/>
      <c r="CU407" s="60"/>
      <c r="CV407" s="60"/>
      <c r="CW407" s="60"/>
      <c r="CX407" s="60"/>
      <c r="CY407" s="60"/>
      <c r="CZ407" s="60"/>
      <c r="DA407" s="60"/>
      <c r="DB407" s="60"/>
      <c r="DC407" s="60"/>
      <c r="DD407" s="62"/>
      <c r="DE407" s="62"/>
      <c r="DF407" s="62"/>
      <c r="DG407" s="62"/>
      <c r="DH407" s="62"/>
      <c r="DI407" s="60"/>
      <c r="DJ407" s="60"/>
      <c r="DK407" s="60"/>
      <c r="DL407" s="62"/>
      <c r="DM407" s="60"/>
      <c r="DN407" s="62"/>
      <c r="DO407" s="60"/>
      <c r="DP407" s="60"/>
      <c r="DQ407" s="62"/>
      <c r="DR407" s="62"/>
      <c r="DS407" s="60"/>
      <c r="DT407" s="60"/>
      <c r="DU407" s="60"/>
      <c r="DV407" s="60"/>
      <c r="DW407" s="62"/>
      <c r="DX407" s="62"/>
      <c r="DY407" s="60"/>
      <c r="DZ407" s="60"/>
      <c r="EA407" s="60"/>
      <c r="EB407" s="60"/>
      <c r="EC407" s="60"/>
      <c r="ED407" s="60"/>
      <c r="EE407" s="60"/>
      <c r="EF407" s="60"/>
      <c r="EG407" s="60"/>
      <c r="EH407" s="60"/>
      <c r="EI407" s="62"/>
      <c r="EJ407" s="62"/>
      <c r="EK407" s="60"/>
      <c r="EL407" s="60"/>
      <c r="EM407" s="62"/>
      <c r="EN407" s="62"/>
      <c r="EO407" s="60"/>
      <c r="EP407" s="60"/>
      <c r="EQ407" s="60"/>
      <c r="ER407" s="60"/>
      <c r="ES407" s="60"/>
      <c r="ET407" s="60"/>
      <c r="EU407" s="60"/>
      <c r="EV407" s="60"/>
      <c r="EW407" s="60"/>
      <c r="EX407" s="60"/>
      <c r="EY407" s="62"/>
      <c r="EZ407" s="62"/>
      <c r="FA407" s="60"/>
      <c r="FB407" s="60"/>
      <c r="FC407" s="62"/>
      <c r="FD407" s="62"/>
      <c r="FE407" s="60"/>
      <c r="FF407" s="60"/>
      <c r="FG407" s="60"/>
      <c r="FH407" s="60"/>
      <c r="FI407" s="60"/>
      <c r="FJ407" s="60"/>
      <c r="FK407" s="60"/>
      <c r="FL407" s="60"/>
      <c r="FM407" s="60"/>
      <c r="FN407" s="60"/>
      <c r="FO407" s="62"/>
      <c r="FP407" s="62"/>
      <c r="FQ407" s="60"/>
      <c r="FR407" s="60"/>
      <c r="FS407" s="62"/>
      <c r="FT407" s="62"/>
      <c r="FU407" s="60"/>
      <c r="FV407" s="60"/>
      <c r="FW407" s="60"/>
      <c r="FX407" s="60"/>
      <c r="FY407" s="60"/>
      <c r="FZ407" s="60"/>
      <c r="GA407" s="60"/>
      <c r="GB407" s="60"/>
      <c r="GC407" s="60"/>
      <c r="GD407" s="60"/>
      <c r="GE407" s="62"/>
      <c r="GF407" s="62"/>
      <c r="GG407" s="60"/>
      <c r="GH407" s="60"/>
      <c r="GI407" s="62"/>
      <c r="GJ407" s="62"/>
      <c r="GK407" s="60"/>
      <c r="GL407" s="60"/>
      <c r="GM407" s="60"/>
      <c r="GN407" s="60"/>
      <c r="GO407" s="60"/>
      <c r="GP407" s="60"/>
      <c r="GQ407" s="60"/>
      <c r="GR407" s="60"/>
      <c r="GS407" s="60"/>
      <c r="GT407" s="60"/>
      <c r="GU407" s="62"/>
      <c r="GV407" s="62"/>
      <c r="GW407" s="60"/>
      <c r="GX407" s="60"/>
      <c r="GY407" s="19"/>
      <c r="GZ407" s="60"/>
      <c r="HA407" s="60"/>
      <c r="HB407" s="3"/>
      <c r="HC407" s="3"/>
      <c r="HD407" s="3"/>
      <c r="HE407" s="3"/>
      <c r="HF407" s="60"/>
      <c r="HG407" s="60"/>
      <c r="HH407" s="60"/>
      <c r="HI407" s="60"/>
      <c r="HJ407" s="60"/>
      <c r="HK407" s="60"/>
      <c r="HL407" s="60"/>
      <c r="HM407" s="60"/>
      <c r="HN407" s="60"/>
      <c r="HO407" s="60"/>
      <c r="HP407" s="60"/>
      <c r="HQ407" s="60"/>
      <c r="HR407" s="60"/>
      <c r="HS407" s="60"/>
      <c r="HT407" s="60"/>
      <c r="HU407" s="62"/>
      <c r="HV407" s="62"/>
      <c r="HW407" s="62"/>
      <c r="HX407" s="62"/>
      <c r="HY407" s="60"/>
      <c r="HZ407" s="6"/>
      <c r="IA407" s="60"/>
      <c r="IB407" s="60"/>
      <c r="IC407" s="60"/>
      <c r="ID407" s="60"/>
      <c r="IE407" s="60"/>
      <c r="IF407" s="60"/>
      <c r="IG407" s="60"/>
      <c r="IH407" s="60"/>
      <c r="II407" s="4"/>
      <c r="IJ407" s="60"/>
      <c r="IK407" s="4"/>
      <c r="IL407" s="2"/>
      <c r="IM407" s="62"/>
      <c r="IN407" s="60"/>
      <c r="IO407" s="60"/>
      <c r="IP407" s="60"/>
      <c r="IQ407" s="60"/>
      <c r="IR407" s="60"/>
      <c r="IS407" s="60"/>
      <c r="IT407" s="60"/>
      <c r="IU407" s="60"/>
      <c r="IV407" s="60"/>
      <c r="IW407" s="60"/>
    </row>
    <row r="408" spans="2:258"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0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1"/>
      <c r="AK408" s="5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2"/>
      <c r="BD408" s="60"/>
      <c r="BE408" s="60"/>
      <c r="BF408" s="60"/>
      <c r="BG408" s="60"/>
      <c r="BH408" s="60"/>
      <c r="BI408" s="60"/>
      <c r="BJ408" s="60"/>
      <c r="BK408" s="60"/>
      <c r="BL408" s="62"/>
      <c r="BM408" s="60"/>
      <c r="BN408" s="60"/>
      <c r="BO408" s="60"/>
      <c r="BP408" s="60"/>
      <c r="BQ408" s="60"/>
      <c r="BR408" s="62"/>
      <c r="BS408" s="60"/>
      <c r="BT408" s="60"/>
      <c r="BU408" s="60"/>
      <c r="BV408" s="61"/>
      <c r="BW408" s="61"/>
      <c r="BX408" s="61"/>
      <c r="BY408" s="61"/>
      <c r="BZ408" s="61"/>
      <c r="CA408" s="61"/>
      <c r="CB408" s="60"/>
      <c r="CC408" s="60"/>
      <c r="CD408" s="60"/>
      <c r="CE408" s="60"/>
      <c r="CF408" s="60"/>
      <c r="CG408" s="60"/>
      <c r="CH408" s="60"/>
      <c r="CI408" s="60"/>
      <c r="CJ408" s="60"/>
      <c r="CK408" s="60"/>
      <c r="CL408" s="60"/>
      <c r="CM408" s="62"/>
      <c r="CN408" s="60"/>
      <c r="CO408" s="60"/>
      <c r="CP408" s="60"/>
      <c r="CQ408" s="60"/>
      <c r="CR408" s="60"/>
      <c r="CS408" s="60"/>
      <c r="CT408" s="60"/>
      <c r="CU408" s="60"/>
      <c r="CV408" s="60"/>
      <c r="CW408" s="60"/>
      <c r="CX408" s="60"/>
      <c r="CY408" s="60"/>
      <c r="CZ408" s="60"/>
      <c r="DA408" s="60"/>
      <c r="DB408" s="60"/>
      <c r="DC408" s="60"/>
      <c r="DD408" s="62"/>
      <c r="DE408" s="62"/>
      <c r="DF408" s="62"/>
      <c r="DG408" s="62"/>
      <c r="DH408" s="62"/>
      <c r="DI408" s="60"/>
      <c r="DJ408" s="60"/>
      <c r="DK408" s="60"/>
      <c r="DL408" s="62"/>
      <c r="DM408" s="60"/>
      <c r="DN408" s="62"/>
      <c r="DO408" s="60"/>
      <c r="DP408" s="60"/>
      <c r="DQ408" s="62"/>
      <c r="DR408" s="62"/>
      <c r="DS408" s="60"/>
      <c r="DT408" s="60"/>
      <c r="DU408" s="60"/>
      <c r="DV408" s="60"/>
      <c r="DW408" s="62"/>
      <c r="DX408" s="62"/>
      <c r="DY408" s="60"/>
      <c r="DZ408" s="60"/>
      <c r="EA408" s="60"/>
      <c r="EB408" s="60"/>
      <c r="EC408" s="60"/>
      <c r="ED408" s="60"/>
      <c r="EE408" s="60"/>
      <c r="EF408" s="60"/>
      <c r="EG408" s="60"/>
      <c r="EH408" s="60"/>
      <c r="EI408" s="62"/>
      <c r="EJ408" s="62"/>
      <c r="EK408" s="60"/>
      <c r="EL408" s="60"/>
      <c r="EM408" s="62"/>
      <c r="EN408" s="62"/>
      <c r="EO408" s="60"/>
      <c r="EP408" s="60"/>
      <c r="EQ408" s="60"/>
      <c r="ER408" s="60"/>
      <c r="ES408" s="60"/>
      <c r="ET408" s="60"/>
      <c r="EU408" s="60"/>
      <c r="EV408" s="60"/>
      <c r="EW408" s="60"/>
      <c r="EX408" s="60"/>
      <c r="EY408" s="62"/>
      <c r="EZ408" s="62"/>
      <c r="FA408" s="60"/>
      <c r="FB408" s="60"/>
      <c r="FC408" s="62"/>
      <c r="FD408" s="62"/>
      <c r="FE408" s="60"/>
      <c r="FF408" s="60"/>
      <c r="FG408" s="60"/>
      <c r="FH408" s="60"/>
      <c r="FI408" s="60"/>
      <c r="FJ408" s="60"/>
      <c r="FK408" s="60"/>
      <c r="FL408" s="60"/>
      <c r="FM408" s="60"/>
      <c r="FN408" s="60"/>
      <c r="FO408" s="62"/>
      <c r="FP408" s="62"/>
      <c r="FQ408" s="60"/>
      <c r="FR408" s="60"/>
      <c r="FS408" s="62"/>
      <c r="FT408" s="62"/>
      <c r="FU408" s="60"/>
      <c r="FV408" s="60"/>
      <c r="FW408" s="60"/>
      <c r="FX408" s="60"/>
      <c r="FY408" s="60"/>
      <c r="FZ408" s="60"/>
      <c r="GA408" s="60"/>
      <c r="GB408" s="60"/>
      <c r="GC408" s="60"/>
      <c r="GD408" s="60"/>
      <c r="GE408" s="62"/>
      <c r="GF408" s="62"/>
      <c r="GG408" s="60"/>
      <c r="GH408" s="60"/>
      <c r="GI408" s="62"/>
      <c r="GJ408" s="62"/>
      <c r="GK408" s="60"/>
      <c r="GL408" s="60"/>
      <c r="GM408" s="60"/>
      <c r="GN408" s="60"/>
      <c r="GO408" s="60"/>
      <c r="GP408" s="60"/>
      <c r="GQ408" s="60"/>
      <c r="GR408" s="60"/>
      <c r="GS408" s="60"/>
      <c r="GT408" s="60"/>
      <c r="GU408" s="62"/>
      <c r="GV408" s="62"/>
      <c r="GW408" s="60"/>
      <c r="GX408" s="60"/>
      <c r="GY408" s="19"/>
      <c r="GZ408" s="60"/>
      <c r="HA408" s="60"/>
      <c r="HB408" s="3"/>
      <c r="HC408" s="3"/>
      <c r="HD408" s="3"/>
      <c r="HE408" s="3"/>
      <c r="HF408" s="60"/>
      <c r="HG408" s="60"/>
      <c r="HH408" s="60"/>
      <c r="HI408" s="60"/>
      <c r="HJ408" s="60"/>
      <c r="HK408" s="60"/>
      <c r="HL408" s="60"/>
      <c r="HM408" s="60"/>
      <c r="HN408" s="60"/>
      <c r="HO408" s="60"/>
      <c r="HP408" s="60"/>
      <c r="HQ408" s="60"/>
      <c r="HR408" s="60"/>
      <c r="HS408" s="60"/>
      <c r="HT408" s="60"/>
      <c r="HU408" s="62"/>
      <c r="HV408" s="62"/>
      <c r="HW408" s="62"/>
      <c r="HX408" s="62"/>
      <c r="HY408" s="60"/>
      <c r="HZ408" s="6"/>
      <c r="IA408" s="60"/>
      <c r="IB408" s="2"/>
      <c r="IC408" s="2"/>
      <c r="ID408" s="60"/>
      <c r="IE408" s="2"/>
      <c r="IF408" s="60"/>
      <c r="IG408" s="60"/>
      <c r="IH408" s="60"/>
      <c r="II408" s="60"/>
      <c r="IJ408" s="60"/>
      <c r="IK408" s="60"/>
      <c r="IL408" s="2"/>
      <c r="IM408" s="62"/>
      <c r="IN408" s="60"/>
      <c r="IO408" s="60"/>
      <c r="IP408" s="60"/>
      <c r="IQ408" s="60"/>
      <c r="IR408" s="60"/>
      <c r="IS408" s="60"/>
      <c r="IT408" s="60"/>
      <c r="IU408" s="60"/>
      <c r="IV408" s="60"/>
      <c r="IW408" s="60"/>
    </row>
    <row r="409" spans="2:258"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0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1"/>
      <c r="AK409" s="5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2"/>
      <c r="BD409" s="60"/>
      <c r="BE409" s="60"/>
      <c r="BF409" s="60"/>
      <c r="BG409" s="60"/>
      <c r="BH409" s="60"/>
      <c r="BI409" s="60"/>
      <c r="BJ409" s="60"/>
      <c r="BK409" s="60"/>
      <c r="BL409" s="62"/>
      <c r="BM409" s="60"/>
      <c r="BN409" s="60"/>
      <c r="BO409" s="60"/>
      <c r="BP409" s="60"/>
      <c r="BQ409" s="60"/>
      <c r="BR409" s="62"/>
      <c r="BS409" s="60"/>
      <c r="BT409" s="60"/>
      <c r="BU409" s="60"/>
      <c r="BV409" s="61"/>
      <c r="BW409" s="61"/>
      <c r="BX409" s="61"/>
      <c r="BY409" s="61"/>
      <c r="BZ409" s="61"/>
      <c r="CA409" s="61"/>
      <c r="CB409" s="60"/>
      <c r="CC409" s="60"/>
      <c r="CD409" s="60"/>
      <c r="CE409" s="60"/>
      <c r="CF409" s="60"/>
      <c r="CG409" s="60"/>
      <c r="CH409" s="60"/>
      <c r="CI409" s="60"/>
      <c r="CJ409" s="60"/>
      <c r="CK409" s="60"/>
      <c r="CL409" s="60"/>
      <c r="CM409" s="62"/>
      <c r="CN409" s="60"/>
      <c r="CO409" s="60"/>
      <c r="CP409" s="60"/>
      <c r="CQ409" s="60"/>
      <c r="CR409" s="60"/>
      <c r="CS409" s="60"/>
      <c r="CT409" s="60"/>
      <c r="CU409" s="60"/>
      <c r="CV409" s="60"/>
      <c r="CW409" s="60"/>
      <c r="CX409" s="60"/>
      <c r="CY409" s="60"/>
      <c r="CZ409" s="60"/>
      <c r="DA409" s="60"/>
      <c r="DB409" s="60"/>
      <c r="DC409" s="60"/>
      <c r="DD409" s="62"/>
      <c r="DE409" s="62"/>
      <c r="DF409" s="62"/>
      <c r="DG409" s="62"/>
      <c r="DH409" s="62"/>
      <c r="DI409" s="60"/>
      <c r="DJ409" s="60"/>
      <c r="DK409" s="60"/>
      <c r="DL409" s="62"/>
      <c r="DM409" s="60"/>
      <c r="DN409" s="62"/>
      <c r="DO409" s="60"/>
      <c r="DP409" s="60"/>
      <c r="DQ409" s="62"/>
      <c r="DR409" s="62"/>
      <c r="DS409" s="60"/>
      <c r="DT409" s="60"/>
      <c r="DU409" s="60"/>
      <c r="DV409" s="60"/>
      <c r="DW409" s="62"/>
      <c r="DX409" s="62"/>
      <c r="DY409" s="60"/>
      <c r="DZ409" s="60"/>
      <c r="EA409" s="60"/>
      <c r="EB409" s="60"/>
      <c r="EC409" s="60"/>
      <c r="ED409" s="60"/>
      <c r="EE409" s="60"/>
      <c r="EF409" s="60"/>
      <c r="EG409" s="60"/>
      <c r="EH409" s="60"/>
      <c r="EI409" s="62"/>
      <c r="EJ409" s="62"/>
      <c r="EK409" s="60"/>
      <c r="EL409" s="60"/>
      <c r="EM409" s="62"/>
      <c r="EN409" s="62"/>
      <c r="EO409" s="60"/>
      <c r="EP409" s="60"/>
      <c r="EQ409" s="60"/>
      <c r="ER409" s="60"/>
      <c r="ES409" s="60"/>
      <c r="ET409" s="60"/>
      <c r="EU409" s="60"/>
      <c r="EV409" s="60"/>
      <c r="EW409" s="60"/>
      <c r="EX409" s="60"/>
      <c r="EY409" s="62"/>
      <c r="EZ409" s="62"/>
      <c r="FA409" s="60"/>
      <c r="FB409" s="60"/>
      <c r="FC409" s="62"/>
      <c r="FD409" s="62"/>
      <c r="FE409" s="60"/>
      <c r="FF409" s="60"/>
      <c r="FG409" s="60"/>
      <c r="FH409" s="60"/>
      <c r="FI409" s="60"/>
      <c r="FJ409" s="60"/>
      <c r="FK409" s="60"/>
      <c r="FL409" s="60"/>
      <c r="FM409" s="60"/>
      <c r="FN409" s="60"/>
      <c r="FO409" s="62"/>
      <c r="FP409" s="62"/>
      <c r="FQ409" s="60"/>
      <c r="FR409" s="60"/>
      <c r="FS409" s="62"/>
      <c r="FT409" s="62"/>
      <c r="FU409" s="60"/>
      <c r="FV409" s="60"/>
      <c r="FW409" s="60"/>
      <c r="FX409" s="60"/>
      <c r="FY409" s="60"/>
      <c r="FZ409" s="60"/>
      <c r="GA409" s="60"/>
      <c r="GB409" s="60"/>
      <c r="GC409" s="60"/>
      <c r="GD409" s="60"/>
      <c r="GE409" s="62"/>
      <c r="GF409" s="62"/>
      <c r="GG409" s="60"/>
      <c r="GH409" s="60"/>
      <c r="GI409" s="62"/>
      <c r="GJ409" s="62"/>
      <c r="GK409" s="60"/>
      <c r="GL409" s="60"/>
      <c r="GM409" s="60"/>
      <c r="GN409" s="60"/>
      <c r="GO409" s="60"/>
      <c r="GP409" s="60"/>
      <c r="GQ409" s="60"/>
      <c r="GR409" s="60"/>
      <c r="GS409" s="60"/>
      <c r="GT409" s="60"/>
      <c r="GU409" s="62"/>
      <c r="GV409" s="62"/>
      <c r="GW409" s="60"/>
      <c r="GX409" s="60"/>
      <c r="GY409" s="19"/>
      <c r="GZ409" s="60"/>
      <c r="HA409" s="60"/>
      <c r="HB409" s="3"/>
      <c r="HC409" s="3"/>
      <c r="HD409" s="3"/>
      <c r="HE409" s="3"/>
      <c r="HF409" s="60"/>
      <c r="HG409" s="60"/>
      <c r="HH409" s="60"/>
      <c r="HI409" s="60"/>
      <c r="HJ409" s="60"/>
      <c r="HK409" s="60"/>
      <c r="HL409" s="60"/>
      <c r="HM409" s="60"/>
      <c r="HN409" s="60"/>
      <c r="HO409" s="60"/>
      <c r="HP409" s="60"/>
      <c r="HQ409" s="60"/>
      <c r="HR409" s="60"/>
      <c r="HS409" s="60"/>
      <c r="HT409" s="60"/>
      <c r="HU409" s="62"/>
      <c r="HV409" s="62"/>
      <c r="HW409" s="62"/>
      <c r="HX409" s="62"/>
      <c r="HY409" s="60"/>
      <c r="HZ409" s="60"/>
      <c r="IA409" s="60"/>
      <c r="IB409" s="60"/>
      <c r="IC409" s="60"/>
      <c r="ID409" s="60"/>
      <c r="IE409" s="60"/>
      <c r="IF409" s="60"/>
      <c r="IG409" s="60"/>
      <c r="IH409" s="60"/>
      <c r="II409" s="60"/>
      <c r="IJ409" s="60"/>
      <c r="IK409" s="60"/>
      <c r="IL409" s="2"/>
      <c r="IM409" s="62"/>
      <c r="IN409" s="60"/>
      <c r="IO409" s="60"/>
      <c r="IP409" s="60"/>
      <c r="IQ409" s="60"/>
      <c r="IR409" s="60"/>
      <c r="IS409" s="60"/>
      <c r="IT409" s="60"/>
      <c r="IU409" s="60"/>
      <c r="IV409" s="60"/>
      <c r="IW409" s="60"/>
    </row>
    <row r="410" spans="2:258"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0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1"/>
      <c r="AB410" s="7"/>
      <c r="AC410" s="7"/>
      <c r="AD410" s="7"/>
      <c r="AE410" s="7"/>
      <c r="AF410" s="61"/>
      <c r="AG410" s="61"/>
      <c r="AH410" s="1"/>
      <c r="AI410" s="61"/>
      <c r="AJ410" s="1"/>
      <c r="AK410" s="5"/>
      <c r="AL410" s="61"/>
      <c r="AM410" s="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2"/>
      <c r="BD410" s="60"/>
      <c r="BE410" s="60"/>
      <c r="BF410" s="60"/>
      <c r="BG410" s="60"/>
      <c r="BH410" s="60"/>
      <c r="BI410" s="60"/>
      <c r="BJ410" s="60"/>
      <c r="BK410" s="60"/>
      <c r="BL410" s="62"/>
      <c r="BM410" s="60"/>
      <c r="BN410" s="60"/>
      <c r="BO410" s="60"/>
      <c r="BP410" s="60"/>
      <c r="BQ410" s="60"/>
      <c r="BR410" s="62"/>
      <c r="BS410" s="60"/>
      <c r="BT410" s="60"/>
      <c r="BU410" s="60"/>
      <c r="BV410" s="61"/>
      <c r="BW410" s="61"/>
      <c r="BX410" s="61"/>
      <c r="BY410" s="61"/>
      <c r="BZ410" s="61"/>
      <c r="CA410" s="61"/>
      <c r="CB410" s="60"/>
      <c r="CC410" s="60"/>
      <c r="CD410" s="60"/>
      <c r="CE410" s="60"/>
      <c r="CF410" s="60"/>
      <c r="CG410" s="60"/>
      <c r="CH410" s="60"/>
      <c r="CI410" s="60"/>
      <c r="CJ410" s="60"/>
      <c r="CK410" s="60"/>
      <c r="CL410" s="60"/>
      <c r="CM410" s="62"/>
      <c r="CN410" s="60"/>
      <c r="CO410" s="60"/>
      <c r="CP410" s="60"/>
      <c r="CQ410" s="60"/>
      <c r="CR410" s="60"/>
      <c r="CS410" s="60"/>
      <c r="CT410" s="60"/>
      <c r="CU410" s="60"/>
      <c r="CV410" s="60"/>
      <c r="CW410" s="60"/>
      <c r="CX410" s="60"/>
      <c r="CY410" s="60"/>
      <c r="CZ410" s="60"/>
      <c r="DA410" s="60"/>
      <c r="DB410" s="60"/>
      <c r="DC410" s="60"/>
      <c r="DD410" s="62"/>
      <c r="DE410" s="62"/>
      <c r="DF410" s="62"/>
      <c r="DG410" s="62"/>
      <c r="DH410" s="62"/>
      <c r="DI410" s="60"/>
      <c r="DJ410" s="60"/>
      <c r="DK410" s="60"/>
      <c r="DL410" s="62"/>
      <c r="DM410" s="60"/>
      <c r="DN410" s="62"/>
      <c r="DO410" s="60"/>
      <c r="DP410" s="60"/>
      <c r="DQ410" s="62"/>
      <c r="DR410" s="62"/>
      <c r="DS410" s="60"/>
      <c r="DT410" s="60"/>
      <c r="DU410" s="60"/>
      <c r="DV410" s="60"/>
      <c r="DW410" s="62"/>
      <c r="DX410" s="62"/>
      <c r="DY410" s="60"/>
      <c r="DZ410" s="60"/>
      <c r="EA410" s="60"/>
      <c r="EB410" s="60"/>
      <c r="EC410" s="60"/>
      <c r="ED410" s="60"/>
      <c r="EE410" s="60"/>
      <c r="EF410" s="60"/>
      <c r="EG410" s="60"/>
      <c r="EH410" s="60"/>
      <c r="EI410" s="62"/>
      <c r="EJ410" s="62"/>
      <c r="EK410" s="60"/>
      <c r="EL410" s="60"/>
      <c r="EM410" s="62"/>
      <c r="EN410" s="62"/>
      <c r="EO410" s="60"/>
      <c r="EP410" s="60"/>
      <c r="EQ410" s="60"/>
      <c r="ER410" s="60"/>
      <c r="ES410" s="60"/>
      <c r="ET410" s="60"/>
      <c r="EU410" s="60"/>
      <c r="EV410" s="60"/>
      <c r="EW410" s="60"/>
      <c r="EX410" s="60"/>
      <c r="EY410" s="62"/>
      <c r="EZ410" s="62"/>
      <c r="FA410" s="60"/>
      <c r="FB410" s="60"/>
      <c r="FC410" s="62"/>
      <c r="FD410" s="62"/>
      <c r="FE410" s="60"/>
      <c r="FF410" s="60"/>
      <c r="FG410" s="60"/>
      <c r="FH410" s="60"/>
      <c r="FI410" s="60"/>
      <c r="FJ410" s="60"/>
      <c r="FK410" s="60"/>
      <c r="FL410" s="60"/>
      <c r="FM410" s="60"/>
      <c r="FN410" s="60"/>
      <c r="FO410" s="62"/>
      <c r="FP410" s="62"/>
      <c r="FQ410" s="60"/>
      <c r="FR410" s="60"/>
      <c r="FS410" s="62"/>
      <c r="FT410" s="62"/>
      <c r="FU410" s="60"/>
      <c r="FV410" s="60"/>
      <c r="FW410" s="60"/>
      <c r="FX410" s="60"/>
      <c r="FY410" s="60"/>
      <c r="FZ410" s="60"/>
      <c r="GA410" s="60"/>
      <c r="GB410" s="60"/>
      <c r="GC410" s="60"/>
      <c r="GD410" s="60"/>
      <c r="GE410" s="62"/>
      <c r="GF410" s="62"/>
      <c r="GG410" s="60"/>
      <c r="GH410" s="60"/>
      <c r="GI410" s="62"/>
      <c r="GJ410" s="62"/>
      <c r="GK410" s="60"/>
      <c r="GL410" s="60"/>
      <c r="GM410" s="60"/>
      <c r="GN410" s="60"/>
      <c r="GO410" s="60"/>
      <c r="GP410" s="60"/>
      <c r="GQ410" s="60"/>
      <c r="GR410" s="60"/>
      <c r="GS410" s="60"/>
      <c r="GT410" s="60"/>
      <c r="GU410" s="62"/>
      <c r="GV410" s="62"/>
      <c r="GW410" s="60"/>
      <c r="GX410" s="60"/>
      <c r="GY410" s="19"/>
      <c r="GZ410" s="60"/>
      <c r="HA410" s="60"/>
      <c r="HB410" s="3"/>
      <c r="HC410" s="3"/>
      <c r="HD410" s="3"/>
      <c r="HE410" s="3"/>
      <c r="HF410" s="60"/>
      <c r="HG410" s="60"/>
      <c r="HH410" s="60"/>
      <c r="HI410" s="60"/>
      <c r="HJ410" s="60"/>
      <c r="HK410" s="60"/>
      <c r="HL410" s="60"/>
      <c r="HM410" s="60"/>
      <c r="HN410" s="60"/>
      <c r="HO410" s="60"/>
      <c r="HP410" s="60"/>
      <c r="HQ410" s="60"/>
      <c r="HR410" s="60"/>
      <c r="HS410" s="60"/>
      <c r="HT410" s="60"/>
      <c r="HU410" s="62"/>
      <c r="HV410" s="62"/>
      <c r="HW410" s="62"/>
      <c r="HX410" s="62"/>
      <c r="HY410" s="60"/>
      <c r="HZ410" s="6"/>
      <c r="IA410" s="60"/>
      <c r="IB410" s="60"/>
      <c r="IC410" s="60"/>
      <c r="ID410" s="60"/>
      <c r="IE410" s="60"/>
      <c r="IF410" s="60"/>
      <c r="IG410" s="60"/>
      <c r="IH410" s="60"/>
      <c r="II410" s="60"/>
      <c r="IJ410" s="60"/>
      <c r="IK410" s="60"/>
      <c r="IL410" s="2"/>
      <c r="IM410" s="62"/>
      <c r="IN410" s="60"/>
      <c r="IO410" s="60"/>
      <c r="IP410" s="60"/>
      <c r="IQ410" s="60"/>
      <c r="IR410" s="60"/>
      <c r="IS410" s="60"/>
      <c r="IT410" s="60"/>
      <c r="IU410" s="60"/>
      <c r="IV410" s="60"/>
      <c r="IW410" s="60"/>
    </row>
    <row r="411" spans="2:258"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0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1"/>
      <c r="AI411" s="61"/>
      <c r="AJ411" s="1"/>
      <c r="AK411" s="5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2"/>
      <c r="BD411" s="60"/>
      <c r="BE411" s="60"/>
      <c r="BF411" s="60"/>
      <c r="BG411" s="60"/>
      <c r="BH411" s="60"/>
      <c r="BI411" s="60"/>
      <c r="BJ411" s="60"/>
      <c r="BK411" s="60"/>
      <c r="BL411" s="62"/>
      <c r="BM411" s="60"/>
      <c r="BN411" s="60"/>
      <c r="BO411" s="60"/>
      <c r="BP411" s="60"/>
      <c r="BQ411" s="60"/>
      <c r="BR411" s="62"/>
      <c r="BS411" s="60"/>
      <c r="BT411" s="60"/>
      <c r="BU411" s="60"/>
      <c r="BV411" s="61"/>
      <c r="BW411" s="61"/>
      <c r="BX411" s="61"/>
      <c r="BY411" s="61"/>
      <c r="BZ411" s="61"/>
      <c r="CA411" s="61"/>
      <c r="CB411" s="60"/>
      <c r="CC411" s="60"/>
      <c r="CD411" s="60"/>
      <c r="CE411" s="60"/>
      <c r="CF411" s="60"/>
      <c r="CG411" s="60"/>
      <c r="CH411" s="60"/>
      <c r="CI411" s="60"/>
      <c r="CJ411" s="60"/>
      <c r="CK411" s="60"/>
      <c r="CL411" s="60"/>
      <c r="CM411" s="62"/>
      <c r="CN411" s="60"/>
      <c r="CO411" s="60"/>
      <c r="CP411" s="60"/>
      <c r="CQ411" s="60"/>
      <c r="CR411" s="60"/>
      <c r="CS411" s="60"/>
      <c r="CT411" s="60"/>
      <c r="CU411" s="60"/>
      <c r="CV411" s="60"/>
      <c r="CW411" s="60"/>
      <c r="CX411" s="60"/>
      <c r="CY411" s="60"/>
      <c r="CZ411" s="60"/>
      <c r="DA411" s="60"/>
      <c r="DB411" s="60"/>
      <c r="DC411" s="60"/>
      <c r="DD411" s="62"/>
      <c r="DE411" s="62"/>
      <c r="DF411" s="62"/>
      <c r="DG411" s="62"/>
      <c r="DH411" s="62"/>
      <c r="DI411" s="60"/>
      <c r="DJ411" s="60"/>
      <c r="DK411" s="60"/>
      <c r="DL411" s="62"/>
      <c r="DM411" s="60"/>
      <c r="DN411" s="62"/>
      <c r="DO411" s="60"/>
      <c r="DP411" s="60"/>
      <c r="DQ411" s="62"/>
      <c r="DR411" s="62"/>
      <c r="DS411" s="60"/>
      <c r="DT411" s="60"/>
      <c r="DU411" s="60"/>
      <c r="DV411" s="60"/>
      <c r="DW411" s="62"/>
      <c r="DX411" s="62"/>
      <c r="DY411" s="60"/>
      <c r="DZ411" s="60"/>
      <c r="EA411" s="60"/>
      <c r="EB411" s="60"/>
      <c r="EC411" s="60"/>
      <c r="ED411" s="60"/>
      <c r="EE411" s="60"/>
      <c r="EF411" s="60"/>
      <c r="EG411" s="60"/>
      <c r="EH411" s="60"/>
      <c r="EI411" s="62"/>
      <c r="EJ411" s="62"/>
      <c r="EK411" s="60"/>
      <c r="EL411" s="60"/>
      <c r="EM411" s="62"/>
      <c r="EN411" s="62"/>
      <c r="EO411" s="60"/>
      <c r="EP411" s="60"/>
      <c r="EQ411" s="60"/>
      <c r="ER411" s="60"/>
      <c r="ES411" s="60"/>
      <c r="ET411" s="60"/>
      <c r="EU411" s="60"/>
      <c r="EV411" s="60"/>
      <c r="EW411" s="60"/>
      <c r="EX411" s="60"/>
      <c r="EY411" s="62"/>
      <c r="EZ411" s="62"/>
      <c r="FA411" s="60"/>
      <c r="FB411" s="60"/>
      <c r="FC411" s="62"/>
      <c r="FD411" s="62"/>
      <c r="FE411" s="60"/>
      <c r="FF411" s="60"/>
      <c r="FG411" s="60"/>
      <c r="FH411" s="60"/>
      <c r="FI411" s="60"/>
      <c r="FJ411" s="60"/>
      <c r="FK411" s="60"/>
      <c r="FL411" s="60"/>
      <c r="FM411" s="60"/>
      <c r="FN411" s="60"/>
      <c r="FO411" s="62"/>
      <c r="FP411" s="62"/>
      <c r="FQ411" s="60"/>
      <c r="FR411" s="60"/>
      <c r="FS411" s="62"/>
      <c r="FT411" s="62"/>
      <c r="FU411" s="60"/>
      <c r="FV411" s="60"/>
      <c r="FW411" s="60"/>
      <c r="FX411" s="60"/>
      <c r="FY411" s="60"/>
      <c r="FZ411" s="60"/>
      <c r="GA411" s="60"/>
      <c r="GB411" s="60"/>
      <c r="GC411" s="60"/>
      <c r="GD411" s="60"/>
      <c r="GE411" s="62"/>
      <c r="GF411" s="62"/>
      <c r="GG411" s="60"/>
      <c r="GH411" s="60"/>
      <c r="GI411" s="62"/>
      <c r="GJ411" s="62"/>
      <c r="GK411" s="60"/>
      <c r="GL411" s="60"/>
      <c r="GM411" s="60"/>
      <c r="GN411" s="60"/>
      <c r="GO411" s="60"/>
      <c r="GP411" s="60"/>
      <c r="GQ411" s="60"/>
      <c r="GR411" s="60"/>
      <c r="GS411" s="60"/>
      <c r="GT411" s="60"/>
      <c r="GU411" s="62"/>
      <c r="GV411" s="62"/>
      <c r="GW411" s="60"/>
      <c r="GX411" s="60"/>
      <c r="GY411" s="19"/>
      <c r="GZ411" s="60"/>
      <c r="HA411" s="60"/>
      <c r="HB411" s="3"/>
      <c r="HC411" s="3"/>
      <c r="HD411" s="3"/>
      <c r="HE411" s="3"/>
      <c r="HF411" s="60"/>
      <c r="HG411" s="60"/>
      <c r="HH411" s="60"/>
      <c r="HI411" s="60"/>
      <c r="HJ411" s="60"/>
      <c r="HK411" s="60"/>
      <c r="HL411" s="60"/>
      <c r="HM411" s="60"/>
      <c r="HN411" s="60"/>
      <c r="HO411" s="60"/>
      <c r="HP411" s="60"/>
      <c r="HQ411" s="60"/>
      <c r="HR411" s="60"/>
      <c r="HS411" s="60"/>
      <c r="HT411" s="60"/>
      <c r="HU411" s="62"/>
      <c r="HV411" s="62"/>
      <c r="HW411" s="62"/>
      <c r="HX411" s="62"/>
      <c r="HY411" s="60"/>
      <c r="HZ411" s="6"/>
      <c r="IA411" s="60"/>
      <c r="IB411" s="60"/>
      <c r="IC411" s="60"/>
      <c r="ID411" s="60"/>
      <c r="IE411" s="60"/>
      <c r="IF411" s="60"/>
      <c r="IG411" s="60"/>
      <c r="IH411" s="60"/>
      <c r="II411" s="60"/>
      <c r="IJ411" s="60"/>
      <c r="IK411" s="60"/>
      <c r="IL411" s="2"/>
      <c r="IM411" s="62"/>
      <c r="IN411" s="60"/>
      <c r="IO411" s="60"/>
      <c r="IP411" s="60"/>
      <c r="IQ411" s="60"/>
      <c r="IR411" s="60"/>
      <c r="IS411" s="60"/>
      <c r="IT411" s="60"/>
      <c r="IU411" s="60"/>
      <c r="IV411" s="60"/>
      <c r="IW411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82C5-7213-40FF-9FCE-20C4A70F7FA8}">
  <sheetPr codeName="Sheet4"/>
  <dimension ref="A1:AL855"/>
  <sheetViews>
    <sheetView zoomScale="85" zoomScaleNormal="85" workbookViewId="0">
      <pane xSplit="1" ySplit="1" topLeftCell="B807" activePane="bottomRight" state="frozen"/>
      <selection pane="topRight" activeCell="B1" sqref="B1"/>
      <selection pane="bottomLeft" activeCell="A2" sqref="A2"/>
      <selection pane="bottomRight" activeCell="B812" sqref="B812"/>
    </sheetView>
  </sheetViews>
  <sheetFormatPr defaultColWidth="9.140625" defaultRowHeight="16.5"/>
  <cols>
    <col min="1" max="1" width="10.42578125" style="78" bestFit="1" customWidth="1"/>
    <col min="2" max="4" width="11.7109375" style="73" bestFit="1" customWidth="1"/>
    <col min="5" max="5" width="11.85546875" style="77" bestFit="1" customWidth="1"/>
    <col min="6" max="6" width="21.140625" style="73" bestFit="1" customWidth="1"/>
    <col min="7" max="7" width="10.85546875" style="73" customWidth="1"/>
    <col min="8" max="10" width="10.7109375" style="73" customWidth="1"/>
    <col min="11" max="11" width="11.7109375" style="73" bestFit="1" customWidth="1"/>
    <col min="12" max="12" width="11.7109375" bestFit="1" customWidth="1"/>
    <col min="13" max="13" width="11.7109375" style="73" bestFit="1" customWidth="1"/>
    <col min="14" max="14" width="9.85546875" style="77" bestFit="1" customWidth="1"/>
    <col min="15" max="15" width="21" bestFit="1" customWidth="1"/>
    <col min="16" max="17" width="10" style="73" customWidth="1"/>
    <col min="18" max="19" width="9.28515625" style="73" bestFit="1" customWidth="1"/>
    <col min="20" max="21" width="9.140625" style="73"/>
    <col min="22" max="22" width="10.42578125" style="73" bestFit="1" customWidth="1"/>
    <col min="23" max="24" width="9.28515625" style="73" bestFit="1" customWidth="1"/>
    <col min="25" max="25" width="9.140625" style="73"/>
    <col min="26" max="27" width="9.28515625" style="73" bestFit="1" customWidth="1"/>
    <col min="28" max="16384" width="9.140625" style="73"/>
  </cols>
  <sheetData>
    <row r="1" spans="1:38" s="111" customFormat="1" ht="75">
      <c r="A1" s="108"/>
      <c r="B1" s="114" t="s">
        <v>268</v>
      </c>
      <c r="C1" s="114" t="s">
        <v>269</v>
      </c>
      <c r="D1" s="114" t="s">
        <v>270</v>
      </c>
      <c r="E1" s="115"/>
      <c r="G1" s="114" t="s">
        <v>377</v>
      </c>
      <c r="H1" s="120" t="s">
        <v>372</v>
      </c>
      <c r="I1" s="114" t="s">
        <v>371</v>
      </c>
      <c r="J1" s="114" t="s">
        <v>370</v>
      </c>
      <c r="K1" s="114" t="s">
        <v>271</v>
      </c>
      <c r="L1" s="114" t="s">
        <v>269</v>
      </c>
      <c r="M1" s="114" t="s">
        <v>270</v>
      </c>
      <c r="N1" s="115"/>
      <c r="P1" s="114" t="s">
        <v>377</v>
      </c>
      <c r="Q1" s="120" t="s">
        <v>372</v>
      </c>
      <c r="R1" s="114" t="s">
        <v>371</v>
      </c>
      <c r="S1" s="114" t="s">
        <v>370</v>
      </c>
    </row>
    <row r="2" spans="1:38">
      <c r="A2" s="108">
        <v>40030</v>
      </c>
      <c r="B2" s="109">
        <v>51787</v>
      </c>
      <c r="C2" s="110"/>
      <c r="D2" s="111"/>
      <c r="E2" s="115"/>
      <c r="F2" s="111"/>
      <c r="G2" s="111"/>
      <c r="H2" s="111"/>
      <c r="I2" s="111"/>
      <c r="J2" s="111"/>
      <c r="K2" s="109">
        <v>16481</v>
      </c>
      <c r="L2" s="110"/>
      <c r="M2" s="109"/>
      <c r="N2" s="115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</row>
    <row r="3" spans="1:38">
      <c r="A3" s="108">
        <v>40037</v>
      </c>
      <c r="B3" s="109">
        <v>71784</v>
      </c>
      <c r="C3" s="110">
        <v>0.69099999999999995</v>
      </c>
      <c r="D3" s="109">
        <f t="shared" ref="D3:D67" si="0">IF(B3="","",IF(C3="","",MROUND((B3/C3)/(A3-A2)*330/1000,25)))</f>
        <v>4900</v>
      </c>
      <c r="E3" s="115"/>
      <c r="F3" s="111"/>
      <c r="G3" s="111"/>
      <c r="H3" s="119">
        <f t="shared" ref="H3:H53" si="1">B3-B2</f>
        <v>19997</v>
      </c>
      <c r="I3" s="111"/>
      <c r="J3" s="111"/>
      <c r="K3" s="109">
        <v>22393</v>
      </c>
      <c r="L3" s="110">
        <v>0.5</v>
      </c>
      <c r="M3" s="109">
        <f>IF(K3="","",IF(L3="","",MROUND((K3/L3)/(A3-A2)*330/1000,25)))</f>
        <v>2100</v>
      </c>
      <c r="N3" s="115"/>
      <c r="O3" s="111"/>
      <c r="P3" s="111"/>
      <c r="Q3" s="119">
        <f t="shared" ref="Q3:Q66" si="2">K3-K2</f>
        <v>5912</v>
      </c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</row>
    <row r="4" spans="1:38">
      <c r="A4" s="108">
        <v>40044</v>
      </c>
      <c r="B4" s="109">
        <v>72237</v>
      </c>
      <c r="C4" s="110">
        <v>0.69499999999999995</v>
      </c>
      <c r="D4" s="109">
        <f t="shared" si="0"/>
        <v>4900</v>
      </c>
      <c r="E4" s="115"/>
      <c r="F4" s="111"/>
      <c r="G4" s="111"/>
      <c r="H4" s="119">
        <f t="shared" si="1"/>
        <v>453</v>
      </c>
      <c r="I4" s="111"/>
      <c r="J4" s="111"/>
      <c r="K4" s="109">
        <v>20625</v>
      </c>
      <c r="L4" s="110">
        <v>0.46</v>
      </c>
      <c r="M4" s="109">
        <f t="shared" ref="M4:M67" si="3">IF(K4="","",IF(L4="","",MROUND((K4/L4)/(A4-A3)*330/1000,25)))</f>
        <v>2125</v>
      </c>
      <c r="N4" s="115"/>
      <c r="O4" s="111"/>
      <c r="P4" s="111"/>
      <c r="Q4" s="119">
        <f t="shared" si="2"/>
        <v>-1768</v>
      </c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</row>
    <row r="5" spans="1:38">
      <c r="A5" s="108">
        <v>40051</v>
      </c>
      <c r="B5" s="109">
        <v>76245</v>
      </c>
      <c r="C5" s="110">
        <v>0.73299999999999998</v>
      </c>
      <c r="D5" s="109">
        <f t="shared" si="0"/>
        <v>4900</v>
      </c>
      <c r="E5" s="115"/>
      <c r="F5" s="111"/>
      <c r="G5" s="111"/>
      <c r="H5" s="119">
        <f t="shared" si="1"/>
        <v>4008</v>
      </c>
      <c r="I5" s="111"/>
      <c r="J5" s="111"/>
      <c r="K5" s="109">
        <v>22037</v>
      </c>
      <c r="L5" s="110">
        <v>0.49200000000000005</v>
      </c>
      <c r="M5" s="109">
        <f t="shared" si="3"/>
        <v>2100</v>
      </c>
      <c r="N5" s="115"/>
      <c r="O5" s="111"/>
      <c r="P5" s="111"/>
      <c r="Q5" s="119">
        <f t="shared" si="2"/>
        <v>1412</v>
      </c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</row>
    <row r="6" spans="1:38">
      <c r="A6" s="108">
        <v>40058</v>
      </c>
      <c r="B6" s="109">
        <v>78118</v>
      </c>
      <c r="C6" s="110">
        <v>0.75099999999999989</v>
      </c>
      <c r="D6" s="109">
        <f t="shared" si="0"/>
        <v>4900</v>
      </c>
      <c r="E6" s="115"/>
      <c r="F6" s="111"/>
      <c r="G6" s="111"/>
      <c r="H6" s="119">
        <f t="shared" si="1"/>
        <v>1873</v>
      </c>
      <c r="I6" s="111"/>
      <c r="J6" s="111"/>
      <c r="K6" s="109">
        <v>21814</v>
      </c>
      <c r="L6" s="110">
        <v>0.48700000000000004</v>
      </c>
      <c r="M6" s="109">
        <f t="shared" si="3"/>
        <v>2100</v>
      </c>
      <c r="N6" s="115"/>
      <c r="O6" s="111"/>
      <c r="P6" s="111"/>
      <c r="Q6" s="119">
        <f t="shared" si="2"/>
        <v>-223</v>
      </c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</row>
    <row r="7" spans="1:38">
      <c r="A7" s="108">
        <v>40065</v>
      </c>
      <c r="B7" s="109">
        <v>76063</v>
      </c>
      <c r="C7" s="110">
        <v>0.73099999999999998</v>
      </c>
      <c r="D7" s="109">
        <f t="shared" si="0"/>
        <v>4900</v>
      </c>
      <c r="E7" s="115"/>
      <c r="F7" s="111"/>
      <c r="G7" s="111"/>
      <c r="H7" s="119">
        <f t="shared" si="1"/>
        <v>-2055</v>
      </c>
      <c r="I7" s="111"/>
      <c r="J7" s="111"/>
      <c r="K7" s="109">
        <v>20928</v>
      </c>
      <c r="L7" s="110">
        <v>0.46700000000000003</v>
      </c>
      <c r="M7" s="109">
        <f t="shared" si="3"/>
        <v>2125</v>
      </c>
      <c r="N7" s="115"/>
      <c r="O7" s="111"/>
      <c r="P7" s="111"/>
      <c r="Q7" s="119">
        <f t="shared" si="2"/>
        <v>-886</v>
      </c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</row>
    <row r="8" spans="1:38">
      <c r="A8" s="108">
        <v>40072</v>
      </c>
      <c r="B8" s="109">
        <v>65936</v>
      </c>
      <c r="C8" s="110">
        <v>0.63400000000000001</v>
      </c>
      <c r="D8" s="109">
        <f t="shared" si="0"/>
        <v>4900</v>
      </c>
      <c r="E8" s="115"/>
      <c r="F8" s="111"/>
      <c r="G8" s="111"/>
      <c r="H8" s="119">
        <f t="shared" si="1"/>
        <v>-10127</v>
      </c>
      <c r="I8" s="111"/>
      <c r="J8" s="111"/>
      <c r="K8" s="109">
        <v>21748</v>
      </c>
      <c r="L8" s="110">
        <v>0.48499999999999999</v>
      </c>
      <c r="M8" s="109">
        <f t="shared" si="3"/>
        <v>2125</v>
      </c>
      <c r="N8" s="115"/>
      <c r="O8" s="111"/>
      <c r="P8" s="111"/>
      <c r="Q8" s="119">
        <f t="shared" si="2"/>
        <v>820</v>
      </c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</row>
    <row r="9" spans="1:38">
      <c r="A9" s="108">
        <v>40079</v>
      </c>
      <c r="B9" s="109">
        <v>64014</v>
      </c>
      <c r="C9" s="110">
        <v>0.61599999999999999</v>
      </c>
      <c r="D9" s="109">
        <f t="shared" si="0"/>
        <v>4900</v>
      </c>
      <c r="E9" s="115"/>
      <c r="F9" s="111"/>
      <c r="G9" s="111"/>
      <c r="H9" s="119">
        <f t="shared" si="1"/>
        <v>-1922</v>
      </c>
      <c r="I9" s="111"/>
      <c r="J9" s="111"/>
      <c r="K9" s="109">
        <v>14562</v>
      </c>
      <c r="L9" s="110">
        <v>0.32500000000000001</v>
      </c>
      <c r="M9" s="109">
        <f t="shared" si="3"/>
        <v>2100</v>
      </c>
      <c r="N9" s="115"/>
      <c r="O9" s="111"/>
      <c r="P9" s="111"/>
      <c r="Q9" s="119">
        <f t="shared" si="2"/>
        <v>-7186</v>
      </c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</row>
    <row r="10" spans="1:38">
      <c r="A10" s="108">
        <v>40086</v>
      </c>
      <c r="B10" s="109">
        <v>79383</v>
      </c>
      <c r="C10" s="110">
        <v>0.76300000000000001</v>
      </c>
      <c r="D10" s="109">
        <f t="shared" si="0"/>
        <v>4900</v>
      </c>
      <c r="E10" s="115"/>
      <c r="F10" s="111"/>
      <c r="G10" s="111"/>
      <c r="H10" s="119">
        <f t="shared" si="1"/>
        <v>15369</v>
      </c>
      <c r="I10" s="111"/>
      <c r="J10" s="111"/>
      <c r="K10" s="109">
        <v>17920</v>
      </c>
      <c r="L10" s="110">
        <v>0.4</v>
      </c>
      <c r="M10" s="109">
        <f t="shared" si="3"/>
        <v>2100</v>
      </c>
      <c r="N10" s="115"/>
      <c r="O10" s="111"/>
      <c r="P10" s="111"/>
      <c r="Q10" s="119">
        <f t="shared" si="2"/>
        <v>3358</v>
      </c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</row>
    <row r="11" spans="1:38">
      <c r="A11" s="108">
        <v>40093</v>
      </c>
      <c r="B11" s="109">
        <v>59205</v>
      </c>
      <c r="C11" s="110">
        <v>0.56899999999999995</v>
      </c>
      <c r="D11" s="109">
        <f t="shared" si="0"/>
        <v>4900</v>
      </c>
      <c r="E11" s="115"/>
      <c r="F11" s="111"/>
      <c r="G11" s="111"/>
      <c r="H11" s="119">
        <f t="shared" si="1"/>
        <v>-20178</v>
      </c>
      <c r="I11" s="111"/>
      <c r="J11" s="111"/>
      <c r="K11" s="109">
        <v>15304</v>
      </c>
      <c r="L11" s="110">
        <v>0.34200000000000003</v>
      </c>
      <c r="M11" s="109">
        <f t="shared" si="3"/>
        <v>2100</v>
      </c>
      <c r="N11" s="115"/>
      <c r="O11" s="111"/>
      <c r="P11" s="111"/>
      <c r="Q11" s="119">
        <f t="shared" si="2"/>
        <v>-2616</v>
      </c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</row>
    <row r="12" spans="1:38">
      <c r="A12" s="108">
        <v>40100</v>
      </c>
      <c r="B12" s="109">
        <v>65494</v>
      </c>
      <c r="C12" s="110">
        <v>0.63</v>
      </c>
      <c r="D12" s="109">
        <f t="shared" si="0"/>
        <v>4900</v>
      </c>
      <c r="E12" s="115"/>
      <c r="F12" s="111"/>
      <c r="G12" s="111"/>
      <c r="H12" s="119">
        <f t="shared" si="1"/>
        <v>6289</v>
      </c>
      <c r="I12" s="111"/>
      <c r="J12" s="111"/>
      <c r="K12" s="109">
        <v>12595</v>
      </c>
      <c r="L12" s="110">
        <v>0.28100000000000003</v>
      </c>
      <c r="M12" s="109">
        <f t="shared" si="3"/>
        <v>2125</v>
      </c>
      <c r="N12" s="115"/>
      <c r="O12" s="111"/>
      <c r="P12" s="111"/>
      <c r="Q12" s="119">
        <f t="shared" si="2"/>
        <v>-2709</v>
      </c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</row>
    <row r="13" spans="1:38">
      <c r="A13" s="108">
        <v>40107</v>
      </c>
      <c r="B13" s="109">
        <v>74352</v>
      </c>
      <c r="C13" s="110">
        <v>0.71499999999999997</v>
      </c>
      <c r="D13" s="109">
        <f t="shared" si="0"/>
        <v>4900</v>
      </c>
      <c r="E13" s="115"/>
      <c r="F13" s="111"/>
      <c r="G13" s="111"/>
      <c r="H13" s="119">
        <f t="shared" si="1"/>
        <v>8858</v>
      </c>
      <c r="I13" s="111"/>
      <c r="J13" s="111"/>
      <c r="K13" s="109">
        <v>29340</v>
      </c>
      <c r="L13" s="110">
        <v>0.65500000000000003</v>
      </c>
      <c r="M13" s="109">
        <f t="shared" si="3"/>
        <v>2100</v>
      </c>
      <c r="N13" s="115"/>
      <c r="O13" s="111"/>
      <c r="P13" s="111"/>
      <c r="Q13" s="119">
        <f t="shared" si="2"/>
        <v>16745</v>
      </c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</row>
    <row r="14" spans="1:38">
      <c r="A14" s="108">
        <v>40114</v>
      </c>
      <c r="B14" s="109">
        <v>66388</v>
      </c>
      <c r="C14" s="110">
        <v>0.63800000000000001</v>
      </c>
      <c r="D14" s="109">
        <f t="shared" si="0"/>
        <v>4900</v>
      </c>
      <c r="E14" s="115"/>
      <c r="F14" s="111"/>
      <c r="G14" s="111"/>
      <c r="H14" s="119">
        <f t="shared" si="1"/>
        <v>-7964</v>
      </c>
      <c r="I14" s="111"/>
      <c r="J14" s="111"/>
      <c r="K14" s="109">
        <v>29256</v>
      </c>
      <c r="L14" s="110">
        <v>0.65300000000000002</v>
      </c>
      <c r="M14" s="109">
        <f t="shared" si="3"/>
        <v>2100</v>
      </c>
      <c r="N14" s="115"/>
      <c r="O14" s="111"/>
      <c r="P14" s="111"/>
      <c r="Q14" s="119">
        <f t="shared" si="2"/>
        <v>-84</v>
      </c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</row>
    <row r="15" spans="1:38">
      <c r="A15" s="108">
        <v>40121</v>
      </c>
      <c r="B15" s="109">
        <v>76066</v>
      </c>
      <c r="C15" s="110">
        <v>0.73199999999999998</v>
      </c>
      <c r="D15" s="109">
        <f t="shared" si="0"/>
        <v>4900</v>
      </c>
      <c r="E15" s="115"/>
      <c r="F15" s="111"/>
      <c r="G15" s="111"/>
      <c r="H15" s="119">
        <f t="shared" si="1"/>
        <v>9678</v>
      </c>
      <c r="I15" s="111"/>
      <c r="J15" s="111"/>
      <c r="K15" s="109">
        <v>28259</v>
      </c>
      <c r="L15" s="110">
        <v>0.63100000000000001</v>
      </c>
      <c r="M15" s="109">
        <f t="shared" si="3"/>
        <v>2100</v>
      </c>
      <c r="N15" s="115"/>
      <c r="O15" s="111"/>
      <c r="P15" s="111"/>
      <c r="Q15" s="119">
        <f t="shared" si="2"/>
        <v>-997</v>
      </c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</row>
    <row r="16" spans="1:38">
      <c r="A16" s="108">
        <v>40128</v>
      </c>
      <c r="B16" s="109">
        <v>78423</v>
      </c>
      <c r="C16" s="110">
        <v>0.754</v>
      </c>
      <c r="D16" s="109">
        <f t="shared" si="0"/>
        <v>4900</v>
      </c>
      <c r="E16" s="115"/>
      <c r="F16" s="111"/>
      <c r="G16" s="111"/>
      <c r="H16" s="119">
        <f t="shared" si="1"/>
        <v>2357</v>
      </c>
      <c r="I16" s="111"/>
      <c r="J16" s="111"/>
      <c r="K16" s="109">
        <v>27058</v>
      </c>
      <c r="L16" s="110">
        <v>0.60399999999999998</v>
      </c>
      <c r="M16" s="109">
        <f t="shared" si="3"/>
        <v>2100</v>
      </c>
      <c r="N16" s="115"/>
      <c r="O16" s="111"/>
      <c r="P16" s="111"/>
      <c r="Q16" s="119">
        <f t="shared" si="2"/>
        <v>-1201</v>
      </c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</row>
    <row r="17" spans="1:38">
      <c r="A17" s="108">
        <v>40135</v>
      </c>
      <c r="B17" s="109">
        <v>76874</v>
      </c>
      <c r="C17" s="110">
        <v>0.7390000000000001</v>
      </c>
      <c r="D17" s="109">
        <f t="shared" si="0"/>
        <v>4900</v>
      </c>
      <c r="E17" s="115"/>
      <c r="F17" s="111"/>
      <c r="G17" s="111"/>
      <c r="H17" s="119">
        <f t="shared" si="1"/>
        <v>-1549</v>
      </c>
      <c r="I17" s="111"/>
      <c r="J17" s="111"/>
      <c r="K17" s="109">
        <v>34643</v>
      </c>
      <c r="L17" s="110">
        <v>0.77300000000000002</v>
      </c>
      <c r="M17" s="109">
        <f t="shared" si="3"/>
        <v>2125</v>
      </c>
      <c r="N17" s="115"/>
      <c r="O17" s="111"/>
      <c r="P17" s="111"/>
      <c r="Q17" s="119">
        <f t="shared" si="2"/>
        <v>7585</v>
      </c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</row>
    <row r="18" spans="1:38">
      <c r="A18" s="108">
        <v>40142</v>
      </c>
      <c r="B18" s="109">
        <v>81516</v>
      </c>
      <c r="C18" s="110">
        <v>0.78400000000000003</v>
      </c>
      <c r="D18" s="109">
        <f t="shared" si="0"/>
        <v>4900</v>
      </c>
      <c r="E18" s="115"/>
      <c r="F18" s="111"/>
      <c r="G18" s="111"/>
      <c r="H18" s="119">
        <f t="shared" si="1"/>
        <v>4642</v>
      </c>
      <c r="I18" s="111"/>
      <c r="J18" s="111"/>
      <c r="K18" s="109">
        <v>32197</v>
      </c>
      <c r="L18" s="110">
        <v>0.71900000000000008</v>
      </c>
      <c r="M18" s="109">
        <f t="shared" si="3"/>
        <v>2100</v>
      </c>
      <c r="N18" s="115"/>
      <c r="O18" s="111"/>
      <c r="P18" s="111"/>
      <c r="Q18" s="119">
        <f t="shared" si="2"/>
        <v>-2446</v>
      </c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</row>
    <row r="19" spans="1:38">
      <c r="A19" s="108">
        <v>40149</v>
      </c>
      <c r="B19" s="109">
        <v>83904</v>
      </c>
      <c r="C19" s="110">
        <v>0.80700000000000005</v>
      </c>
      <c r="D19" s="109">
        <f t="shared" si="0"/>
        <v>4900</v>
      </c>
      <c r="E19" s="115"/>
      <c r="F19" s="111"/>
      <c r="G19" s="111"/>
      <c r="H19" s="119">
        <f t="shared" si="1"/>
        <v>2388</v>
      </c>
      <c r="I19" s="111"/>
      <c r="J19" s="111"/>
      <c r="K19" s="109">
        <v>27905</v>
      </c>
      <c r="L19" s="110">
        <v>0.623</v>
      </c>
      <c r="M19" s="109">
        <f t="shared" si="3"/>
        <v>2100</v>
      </c>
      <c r="N19" s="115"/>
      <c r="O19" s="111"/>
      <c r="P19" s="111"/>
      <c r="Q19" s="119">
        <f t="shared" si="2"/>
        <v>-4292</v>
      </c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</row>
    <row r="20" spans="1:38">
      <c r="A20" s="108">
        <v>40156</v>
      </c>
      <c r="B20" s="109">
        <v>78151</v>
      </c>
      <c r="C20" s="110">
        <v>0.752</v>
      </c>
      <c r="D20" s="109">
        <f t="shared" si="0"/>
        <v>4900</v>
      </c>
      <c r="E20" s="115"/>
      <c r="F20" s="111"/>
      <c r="G20" s="111"/>
      <c r="H20" s="119">
        <f t="shared" si="1"/>
        <v>-5753</v>
      </c>
      <c r="I20" s="111"/>
      <c r="J20" s="111"/>
      <c r="K20" s="109">
        <v>27995</v>
      </c>
      <c r="L20" s="110">
        <v>0.625</v>
      </c>
      <c r="M20" s="109">
        <f t="shared" si="3"/>
        <v>2100</v>
      </c>
      <c r="N20" s="115"/>
      <c r="O20" s="111"/>
      <c r="P20" s="111"/>
      <c r="Q20" s="119">
        <f t="shared" si="2"/>
        <v>90</v>
      </c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</row>
    <row r="21" spans="1:38">
      <c r="A21" s="108">
        <v>40163</v>
      </c>
      <c r="B21" s="109">
        <v>73869</v>
      </c>
      <c r="C21" s="110">
        <v>0.71</v>
      </c>
      <c r="D21" s="109">
        <f t="shared" si="0"/>
        <v>4900</v>
      </c>
      <c r="E21" s="115"/>
      <c r="F21" s="111"/>
      <c r="G21" s="111"/>
      <c r="H21" s="119">
        <f t="shared" si="1"/>
        <v>-4282</v>
      </c>
      <c r="I21" s="111"/>
      <c r="J21" s="111"/>
      <c r="K21" s="109">
        <v>26618</v>
      </c>
      <c r="L21" s="110">
        <v>0.59399999999999997</v>
      </c>
      <c r="M21" s="109">
        <f t="shared" si="3"/>
        <v>2125</v>
      </c>
      <c r="N21" s="115"/>
      <c r="O21" s="111"/>
      <c r="P21" s="111"/>
      <c r="Q21" s="119">
        <f t="shared" si="2"/>
        <v>-1377</v>
      </c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</row>
    <row r="22" spans="1:38">
      <c r="A22" s="108">
        <v>40170</v>
      </c>
      <c r="B22" s="109">
        <v>73080</v>
      </c>
      <c r="C22" s="110">
        <v>0.70299999999999996</v>
      </c>
      <c r="D22" s="109">
        <f t="shared" si="0"/>
        <v>4900</v>
      </c>
      <c r="E22" s="115"/>
      <c r="F22" s="111"/>
      <c r="G22" s="111"/>
      <c r="H22" s="119">
        <f t="shared" si="1"/>
        <v>-789</v>
      </c>
      <c r="I22" s="111"/>
      <c r="J22" s="111"/>
      <c r="K22" s="109">
        <v>29250</v>
      </c>
      <c r="L22" s="110">
        <v>0.65300000000000002</v>
      </c>
      <c r="M22" s="109">
        <f t="shared" si="3"/>
        <v>2100</v>
      </c>
      <c r="N22" s="115"/>
      <c r="O22" s="111"/>
      <c r="P22" s="111"/>
      <c r="Q22" s="119">
        <f t="shared" si="2"/>
        <v>2632</v>
      </c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</row>
    <row r="23" spans="1:38">
      <c r="A23" s="108">
        <v>40177</v>
      </c>
      <c r="B23" s="109">
        <v>79111</v>
      </c>
      <c r="C23" s="110">
        <v>0.7609999999999999</v>
      </c>
      <c r="D23" s="109">
        <f t="shared" si="0"/>
        <v>4900</v>
      </c>
      <c r="E23" s="115"/>
      <c r="F23" s="111"/>
      <c r="G23" s="111"/>
      <c r="H23" s="119">
        <f t="shared" si="1"/>
        <v>6031</v>
      </c>
      <c r="I23" s="111"/>
      <c r="J23" s="111"/>
      <c r="K23" s="109">
        <v>30716</v>
      </c>
      <c r="L23" s="110">
        <v>0.68599999999999994</v>
      </c>
      <c r="M23" s="109">
        <f t="shared" si="3"/>
        <v>2100</v>
      </c>
      <c r="N23" s="115"/>
      <c r="O23" s="111"/>
      <c r="P23" s="111"/>
      <c r="Q23" s="119">
        <f t="shared" si="2"/>
        <v>1466</v>
      </c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</row>
    <row r="24" spans="1:38">
      <c r="A24" s="108">
        <v>40184</v>
      </c>
      <c r="B24" s="109">
        <v>74470</v>
      </c>
      <c r="C24" s="110">
        <v>0.71599999999999997</v>
      </c>
      <c r="D24" s="109">
        <f t="shared" si="0"/>
        <v>4900</v>
      </c>
      <c r="E24" s="115"/>
      <c r="F24" s="111"/>
      <c r="G24" s="111"/>
      <c r="H24" s="119">
        <f t="shared" si="1"/>
        <v>-4641</v>
      </c>
      <c r="I24" s="111"/>
      <c r="J24" s="111"/>
      <c r="K24" s="109">
        <v>22297</v>
      </c>
      <c r="L24" s="110">
        <v>0.498</v>
      </c>
      <c r="M24" s="109">
        <f t="shared" si="3"/>
        <v>2100</v>
      </c>
      <c r="N24" s="115"/>
      <c r="O24" s="111"/>
      <c r="P24" s="111"/>
      <c r="Q24" s="119">
        <f t="shared" si="2"/>
        <v>-8419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</row>
    <row r="25" spans="1:38">
      <c r="A25" s="108">
        <v>40191</v>
      </c>
      <c r="B25" s="109">
        <v>80431</v>
      </c>
      <c r="C25" s="110">
        <v>0.77300000000000002</v>
      </c>
      <c r="D25" s="109">
        <f t="shared" si="0"/>
        <v>4900</v>
      </c>
      <c r="E25" s="115"/>
      <c r="F25" s="111"/>
      <c r="G25" s="111"/>
      <c r="H25" s="119">
        <f t="shared" si="1"/>
        <v>5961</v>
      </c>
      <c r="I25" s="111"/>
      <c r="J25" s="111"/>
      <c r="K25" s="109">
        <v>29125</v>
      </c>
      <c r="L25" s="110">
        <v>0.65</v>
      </c>
      <c r="M25" s="109">
        <f t="shared" si="3"/>
        <v>2100</v>
      </c>
      <c r="N25" s="115"/>
      <c r="O25" s="111"/>
      <c r="P25" s="111"/>
      <c r="Q25" s="119">
        <f t="shared" si="2"/>
        <v>6828</v>
      </c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</row>
    <row r="26" spans="1:38">
      <c r="A26" s="108">
        <v>40198</v>
      </c>
      <c r="B26" s="109">
        <v>80875</v>
      </c>
      <c r="C26" s="110">
        <v>0.77800000000000002</v>
      </c>
      <c r="D26" s="109">
        <f t="shared" si="0"/>
        <v>4900</v>
      </c>
      <c r="E26" s="115"/>
      <c r="F26" s="111"/>
      <c r="G26" s="111"/>
      <c r="H26" s="119">
        <f t="shared" si="1"/>
        <v>444</v>
      </c>
      <c r="I26" s="111"/>
      <c r="J26" s="111"/>
      <c r="K26" s="109">
        <v>28320</v>
      </c>
      <c r="L26" s="110">
        <v>0.63200000000000001</v>
      </c>
      <c r="M26" s="109">
        <f t="shared" si="3"/>
        <v>2100</v>
      </c>
      <c r="N26" s="115"/>
      <c r="O26" s="111"/>
      <c r="P26" s="111"/>
      <c r="Q26" s="119">
        <f t="shared" si="2"/>
        <v>-805</v>
      </c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</row>
    <row r="27" spans="1:38">
      <c r="A27" s="108">
        <v>40205</v>
      </c>
      <c r="B27" s="109">
        <v>86718</v>
      </c>
      <c r="C27" s="110">
        <v>0.78099999999999992</v>
      </c>
      <c r="D27" s="109">
        <f t="shared" si="0"/>
        <v>5225</v>
      </c>
      <c r="E27" s="115"/>
      <c r="F27" s="111"/>
      <c r="G27" s="111"/>
      <c r="H27" s="119">
        <f t="shared" si="1"/>
        <v>5843</v>
      </c>
      <c r="I27" s="111"/>
      <c r="J27" s="111"/>
      <c r="K27" s="109">
        <v>27804</v>
      </c>
      <c r="L27" s="110">
        <v>0.621</v>
      </c>
      <c r="M27" s="109">
        <f t="shared" si="3"/>
        <v>2100</v>
      </c>
      <c r="N27" s="115"/>
      <c r="O27" s="111"/>
      <c r="P27" s="111"/>
      <c r="Q27" s="119">
        <f t="shared" si="2"/>
        <v>-516</v>
      </c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</row>
    <row r="28" spans="1:38">
      <c r="A28" s="108">
        <v>40212</v>
      </c>
      <c r="B28" s="109">
        <v>87193</v>
      </c>
      <c r="C28" s="110">
        <v>0.78599999999999992</v>
      </c>
      <c r="D28" s="109">
        <f t="shared" si="0"/>
        <v>5225</v>
      </c>
      <c r="E28" s="115"/>
      <c r="F28" s="111"/>
      <c r="G28" s="111"/>
      <c r="H28" s="119">
        <f t="shared" si="1"/>
        <v>475</v>
      </c>
      <c r="I28" s="111"/>
      <c r="J28" s="111"/>
      <c r="K28" s="109">
        <v>26232</v>
      </c>
      <c r="L28" s="110">
        <v>0.58599999999999997</v>
      </c>
      <c r="M28" s="109">
        <f t="shared" si="3"/>
        <v>2100</v>
      </c>
      <c r="N28" s="115"/>
      <c r="O28" s="111"/>
      <c r="P28" s="111"/>
      <c r="Q28" s="119">
        <f t="shared" si="2"/>
        <v>-1572</v>
      </c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</row>
    <row r="29" spans="1:38">
      <c r="A29" s="108">
        <v>40219</v>
      </c>
      <c r="B29" s="109">
        <v>86483</v>
      </c>
      <c r="C29" s="110">
        <v>0.77900000000000003</v>
      </c>
      <c r="D29" s="109">
        <f t="shared" si="0"/>
        <v>5225</v>
      </c>
      <c r="E29" s="115"/>
      <c r="F29" s="111"/>
      <c r="G29" s="111"/>
      <c r="H29" s="119">
        <f t="shared" si="1"/>
        <v>-710</v>
      </c>
      <c r="I29" s="111"/>
      <c r="J29" s="111"/>
      <c r="K29" s="109">
        <v>28515</v>
      </c>
      <c r="L29" s="110">
        <v>0.63600000000000001</v>
      </c>
      <c r="M29" s="109">
        <f t="shared" si="3"/>
        <v>2125</v>
      </c>
      <c r="N29" s="115"/>
      <c r="O29" s="111"/>
      <c r="P29" s="111"/>
      <c r="Q29" s="119">
        <f t="shared" si="2"/>
        <v>2283</v>
      </c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</row>
    <row r="30" spans="1:38">
      <c r="A30" s="108">
        <v>40226</v>
      </c>
      <c r="B30" s="109">
        <v>100472</v>
      </c>
      <c r="C30" s="110">
        <v>0.78200000000000003</v>
      </c>
      <c r="D30" s="109">
        <f t="shared" si="0"/>
        <v>6050</v>
      </c>
      <c r="E30" s="115"/>
      <c r="F30" s="111"/>
      <c r="G30" s="111"/>
      <c r="H30" s="119">
        <f t="shared" si="1"/>
        <v>13989</v>
      </c>
      <c r="I30" s="111"/>
      <c r="J30" s="111"/>
      <c r="K30" s="109">
        <v>27134</v>
      </c>
      <c r="L30" s="110">
        <v>0.60599999999999998</v>
      </c>
      <c r="M30" s="109">
        <f t="shared" si="3"/>
        <v>2100</v>
      </c>
      <c r="N30" s="115"/>
      <c r="O30" s="111"/>
      <c r="P30" s="111"/>
      <c r="Q30" s="119">
        <f t="shared" si="2"/>
        <v>-1381</v>
      </c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</row>
    <row r="31" spans="1:38">
      <c r="A31" s="108">
        <v>40233</v>
      </c>
      <c r="B31" s="109">
        <v>91672</v>
      </c>
      <c r="C31" s="110">
        <v>0.71299999999999997</v>
      </c>
      <c r="D31" s="109">
        <f t="shared" si="0"/>
        <v>6050</v>
      </c>
      <c r="E31" s="115"/>
      <c r="F31" s="111"/>
      <c r="G31" s="111"/>
      <c r="H31" s="119">
        <f t="shared" si="1"/>
        <v>-8800</v>
      </c>
      <c r="I31" s="111"/>
      <c r="J31" s="111"/>
      <c r="K31" s="109">
        <v>27354</v>
      </c>
      <c r="L31" s="110">
        <v>0.61099999999999999</v>
      </c>
      <c r="M31" s="109">
        <f t="shared" si="3"/>
        <v>2100</v>
      </c>
      <c r="N31" s="115"/>
      <c r="O31" s="111"/>
      <c r="P31" s="111"/>
      <c r="Q31" s="119">
        <f t="shared" si="2"/>
        <v>220</v>
      </c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</row>
    <row r="32" spans="1:38">
      <c r="A32" s="108">
        <v>40240</v>
      </c>
      <c r="B32" s="109">
        <v>100589</v>
      </c>
      <c r="C32" s="110">
        <v>0.78299999999999992</v>
      </c>
      <c r="D32" s="109">
        <f t="shared" si="0"/>
        <v>6050</v>
      </c>
      <c r="E32" s="115"/>
      <c r="F32" s="111"/>
      <c r="G32" s="111"/>
      <c r="H32" s="119">
        <f t="shared" si="1"/>
        <v>8917</v>
      </c>
      <c r="I32" s="111"/>
      <c r="J32" s="111"/>
      <c r="K32" s="109">
        <v>27300</v>
      </c>
      <c r="L32" s="110">
        <v>0.60899999999999999</v>
      </c>
      <c r="M32" s="109">
        <f t="shared" si="3"/>
        <v>2125</v>
      </c>
      <c r="N32" s="115"/>
      <c r="O32" s="111"/>
      <c r="P32" s="111"/>
      <c r="Q32" s="119">
        <f t="shared" si="2"/>
        <v>-54</v>
      </c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</row>
    <row r="33" spans="1:38">
      <c r="A33" s="108">
        <v>40247</v>
      </c>
      <c r="B33" s="109">
        <v>101841</v>
      </c>
      <c r="C33" s="110">
        <v>0.79299999999999993</v>
      </c>
      <c r="D33" s="109">
        <f t="shared" si="0"/>
        <v>6050</v>
      </c>
      <c r="E33" s="115"/>
      <c r="F33" s="111"/>
      <c r="G33" s="111"/>
      <c r="H33" s="119">
        <f t="shared" si="1"/>
        <v>1252</v>
      </c>
      <c r="I33" s="111"/>
      <c r="J33" s="111"/>
      <c r="K33" s="109">
        <v>29167</v>
      </c>
      <c r="L33" s="110">
        <v>0.65099999999999991</v>
      </c>
      <c r="M33" s="109">
        <f t="shared" si="3"/>
        <v>2100</v>
      </c>
      <c r="N33" s="115"/>
      <c r="O33" s="111"/>
      <c r="P33" s="111"/>
      <c r="Q33" s="119">
        <f t="shared" si="2"/>
        <v>1867</v>
      </c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</row>
    <row r="34" spans="1:38">
      <c r="A34" s="108">
        <v>40254</v>
      </c>
      <c r="B34" s="109">
        <v>110209</v>
      </c>
      <c r="C34" s="110">
        <v>0.85799999999999998</v>
      </c>
      <c r="D34" s="109">
        <f t="shared" si="0"/>
        <v>6050</v>
      </c>
      <c r="E34" s="115"/>
      <c r="F34" s="111"/>
      <c r="G34" s="111"/>
      <c r="H34" s="119">
        <f t="shared" si="1"/>
        <v>8368</v>
      </c>
      <c r="I34" s="111"/>
      <c r="J34" s="111"/>
      <c r="K34" s="109">
        <v>28147</v>
      </c>
      <c r="L34" s="110">
        <v>0.628</v>
      </c>
      <c r="M34" s="109">
        <f t="shared" si="3"/>
        <v>2125</v>
      </c>
      <c r="N34" s="115"/>
      <c r="O34" s="111"/>
      <c r="P34" s="111"/>
      <c r="Q34" s="119">
        <f t="shared" si="2"/>
        <v>-1020</v>
      </c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</row>
    <row r="35" spans="1:38">
      <c r="A35" s="108">
        <v>40261</v>
      </c>
      <c r="B35" s="109">
        <v>106791</v>
      </c>
      <c r="C35" s="110">
        <v>0.83099999999999996</v>
      </c>
      <c r="D35" s="109">
        <f t="shared" si="0"/>
        <v>6050</v>
      </c>
      <c r="E35" s="115"/>
      <c r="F35" s="111"/>
      <c r="G35" s="111"/>
      <c r="H35" s="119">
        <f t="shared" si="1"/>
        <v>-3418</v>
      </c>
      <c r="I35" s="111"/>
      <c r="J35" s="111"/>
      <c r="K35" s="109">
        <v>24734</v>
      </c>
      <c r="L35" s="110">
        <v>0.55200000000000005</v>
      </c>
      <c r="M35" s="109">
        <f t="shared" si="3"/>
        <v>2100</v>
      </c>
      <c r="N35" s="115"/>
      <c r="O35" s="111"/>
      <c r="P35" s="111"/>
      <c r="Q35" s="119">
        <f t="shared" si="2"/>
        <v>-3413</v>
      </c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</row>
    <row r="36" spans="1:38">
      <c r="A36" s="108">
        <v>40268</v>
      </c>
      <c r="B36" s="109">
        <v>108829</v>
      </c>
      <c r="C36" s="110">
        <v>0.84699999999999998</v>
      </c>
      <c r="D36" s="109">
        <f t="shared" si="0"/>
        <v>6050</v>
      </c>
      <c r="E36" s="115"/>
      <c r="F36" s="111"/>
      <c r="G36" s="111"/>
      <c r="H36" s="119">
        <f t="shared" si="1"/>
        <v>2038</v>
      </c>
      <c r="I36" s="111"/>
      <c r="J36" s="111"/>
      <c r="K36" s="109">
        <v>24750</v>
      </c>
      <c r="L36" s="110">
        <v>0.55200000000000005</v>
      </c>
      <c r="M36" s="109">
        <f t="shared" si="3"/>
        <v>2125</v>
      </c>
      <c r="N36" s="115"/>
      <c r="O36" s="111"/>
      <c r="P36" s="111"/>
      <c r="Q36" s="119">
        <f t="shared" si="2"/>
        <v>16</v>
      </c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</row>
    <row r="37" spans="1:38">
      <c r="A37" s="108">
        <v>40275</v>
      </c>
      <c r="B37" s="109">
        <v>105236</v>
      </c>
      <c r="C37" s="110">
        <v>0.81900000000000006</v>
      </c>
      <c r="D37" s="109">
        <f t="shared" si="0"/>
        <v>6050</v>
      </c>
      <c r="E37" s="115"/>
      <c r="F37" s="111"/>
      <c r="G37" s="111"/>
      <c r="H37" s="119">
        <f t="shared" si="1"/>
        <v>-3593</v>
      </c>
      <c r="I37" s="111"/>
      <c r="J37" s="111"/>
      <c r="K37" s="109">
        <v>26255</v>
      </c>
      <c r="L37" s="110">
        <v>0.58599999999999997</v>
      </c>
      <c r="M37" s="109">
        <f t="shared" si="3"/>
        <v>2100</v>
      </c>
      <c r="N37" s="115"/>
      <c r="O37" s="111"/>
      <c r="P37" s="111"/>
      <c r="Q37" s="119">
        <f t="shared" si="2"/>
        <v>1505</v>
      </c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</row>
    <row r="38" spans="1:38">
      <c r="A38" s="108">
        <v>40282</v>
      </c>
      <c r="B38" s="109">
        <v>102724</v>
      </c>
      <c r="C38" s="110">
        <v>0.8</v>
      </c>
      <c r="D38" s="109">
        <f t="shared" si="0"/>
        <v>6050</v>
      </c>
      <c r="E38" s="115"/>
      <c r="F38" s="111"/>
      <c r="G38" s="111"/>
      <c r="H38" s="119">
        <f t="shared" si="1"/>
        <v>-2512</v>
      </c>
      <c r="I38" s="111"/>
      <c r="J38" s="111"/>
      <c r="K38" s="109">
        <v>22542</v>
      </c>
      <c r="L38" s="110">
        <v>0.503</v>
      </c>
      <c r="M38" s="109">
        <f t="shared" si="3"/>
        <v>2125</v>
      </c>
      <c r="N38" s="115"/>
      <c r="O38" s="111"/>
      <c r="P38" s="111"/>
      <c r="Q38" s="119">
        <f t="shared" si="2"/>
        <v>-3713</v>
      </c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</row>
    <row r="39" spans="1:38">
      <c r="A39" s="108">
        <v>40289</v>
      </c>
      <c r="B39" s="109">
        <v>104686</v>
      </c>
      <c r="C39" s="110">
        <v>0.81499999999999995</v>
      </c>
      <c r="D39" s="109">
        <f t="shared" si="0"/>
        <v>6050</v>
      </c>
      <c r="E39" s="115"/>
      <c r="F39" s="111"/>
      <c r="G39" s="111"/>
      <c r="H39" s="119">
        <f t="shared" si="1"/>
        <v>1962</v>
      </c>
      <c r="I39" s="111"/>
      <c r="J39" s="111"/>
      <c r="K39" s="109">
        <v>24241</v>
      </c>
      <c r="L39" s="110">
        <v>0.54100000000000004</v>
      </c>
      <c r="M39" s="109">
        <f t="shared" si="3"/>
        <v>2100</v>
      </c>
      <c r="N39" s="115"/>
      <c r="O39" s="111"/>
      <c r="P39" s="111"/>
      <c r="Q39" s="119">
        <f t="shared" si="2"/>
        <v>1699</v>
      </c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</row>
    <row r="40" spans="1:38">
      <c r="A40" s="108">
        <v>40296</v>
      </c>
      <c r="B40" s="109">
        <v>101735</v>
      </c>
      <c r="C40" s="110">
        <v>0.79200000000000004</v>
      </c>
      <c r="D40" s="109">
        <f t="shared" si="0"/>
        <v>6050</v>
      </c>
      <c r="E40" s="115"/>
      <c r="F40" s="111"/>
      <c r="G40" s="111"/>
      <c r="H40" s="119">
        <f t="shared" si="1"/>
        <v>-2951</v>
      </c>
      <c r="I40" s="111"/>
      <c r="J40" s="111"/>
      <c r="K40" s="109">
        <v>23626</v>
      </c>
      <c r="L40" s="110">
        <v>0.52700000000000002</v>
      </c>
      <c r="M40" s="109">
        <f t="shared" si="3"/>
        <v>2125</v>
      </c>
      <c r="N40" s="115"/>
      <c r="O40" s="111"/>
      <c r="P40" s="111"/>
      <c r="Q40" s="119">
        <f t="shared" si="2"/>
        <v>-615</v>
      </c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</row>
    <row r="41" spans="1:38">
      <c r="A41" s="108">
        <v>40303</v>
      </c>
      <c r="B41" s="109">
        <v>85196</v>
      </c>
      <c r="C41" s="110">
        <v>0.66299999999999992</v>
      </c>
      <c r="D41" s="109">
        <f t="shared" si="0"/>
        <v>6050</v>
      </c>
      <c r="E41" s="115"/>
      <c r="F41" s="111"/>
      <c r="G41" s="111"/>
      <c r="H41" s="119">
        <f t="shared" si="1"/>
        <v>-16539</v>
      </c>
      <c r="I41" s="111"/>
      <c r="J41" s="111"/>
      <c r="K41" s="109">
        <v>27680</v>
      </c>
      <c r="L41" s="110">
        <v>0.61799999999999999</v>
      </c>
      <c r="M41" s="109">
        <f t="shared" si="3"/>
        <v>2100</v>
      </c>
      <c r="N41" s="115"/>
      <c r="O41" s="111"/>
      <c r="P41" s="111"/>
      <c r="Q41" s="119">
        <f t="shared" si="2"/>
        <v>4054</v>
      </c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</row>
    <row r="42" spans="1:38">
      <c r="A42" s="108">
        <v>40310</v>
      </c>
      <c r="B42" s="109">
        <v>109334</v>
      </c>
      <c r="C42" s="110">
        <v>0.85099999999999998</v>
      </c>
      <c r="D42" s="109">
        <f t="shared" si="0"/>
        <v>6050</v>
      </c>
      <c r="E42" s="115"/>
      <c r="F42" s="111"/>
      <c r="G42" s="111"/>
      <c r="H42" s="119">
        <f t="shared" si="1"/>
        <v>24138</v>
      </c>
      <c r="I42" s="111"/>
      <c r="J42" s="111"/>
      <c r="K42" s="109">
        <v>27178</v>
      </c>
      <c r="L42" s="110">
        <v>0.60699999999999998</v>
      </c>
      <c r="M42" s="109">
        <f t="shared" si="3"/>
        <v>2100</v>
      </c>
      <c r="N42" s="115"/>
      <c r="O42" s="111"/>
      <c r="P42" s="111"/>
      <c r="Q42" s="119">
        <f t="shared" si="2"/>
        <v>-502</v>
      </c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</row>
    <row r="43" spans="1:38">
      <c r="A43" s="108">
        <v>40317</v>
      </c>
      <c r="B43" s="109">
        <v>114741</v>
      </c>
      <c r="C43" s="110">
        <v>0.89300000000000002</v>
      </c>
      <c r="D43" s="109">
        <f t="shared" si="0"/>
        <v>6050</v>
      </c>
      <c r="E43" s="115"/>
      <c r="F43" s="111"/>
      <c r="G43" s="111"/>
      <c r="H43" s="119">
        <f t="shared" si="1"/>
        <v>5407</v>
      </c>
      <c r="I43" s="111"/>
      <c r="J43" s="111"/>
      <c r="K43" s="109">
        <v>29754</v>
      </c>
      <c r="L43" s="110">
        <v>0.66400000000000003</v>
      </c>
      <c r="M43" s="109">
        <f t="shared" si="3"/>
        <v>2100</v>
      </c>
      <c r="N43" s="115"/>
      <c r="O43" s="111"/>
      <c r="P43" s="111"/>
      <c r="Q43" s="119">
        <f t="shared" si="2"/>
        <v>2576</v>
      </c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</row>
    <row r="44" spans="1:38">
      <c r="A44" s="108">
        <v>40324</v>
      </c>
      <c r="B44" s="109">
        <v>100063</v>
      </c>
      <c r="C44" s="110">
        <v>0.77900000000000003</v>
      </c>
      <c r="D44" s="109">
        <f t="shared" si="0"/>
        <v>6050</v>
      </c>
      <c r="E44" s="115"/>
      <c r="F44" s="111"/>
      <c r="G44" s="111"/>
      <c r="H44" s="119">
        <f t="shared" si="1"/>
        <v>-14678</v>
      </c>
      <c r="I44" s="111"/>
      <c r="J44" s="111"/>
      <c r="K44" s="109">
        <v>22925</v>
      </c>
      <c r="L44" s="110">
        <v>0.51200000000000001</v>
      </c>
      <c r="M44" s="109">
        <f t="shared" si="3"/>
        <v>2100</v>
      </c>
      <c r="N44" s="115"/>
      <c r="O44" s="111"/>
      <c r="P44" s="111"/>
      <c r="Q44" s="119">
        <f t="shared" si="2"/>
        <v>-6829</v>
      </c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</row>
    <row r="45" spans="1:38">
      <c r="A45" s="108">
        <v>40331</v>
      </c>
      <c r="B45" s="109">
        <v>83821</v>
      </c>
      <c r="C45" s="110">
        <v>0.65200000000000002</v>
      </c>
      <c r="D45" s="109">
        <f t="shared" si="0"/>
        <v>6050</v>
      </c>
      <c r="E45" s="115"/>
      <c r="F45" s="111"/>
      <c r="G45" s="111"/>
      <c r="H45" s="119">
        <f t="shared" si="1"/>
        <v>-16242</v>
      </c>
      <c r="I45" s="111"/>
      <c r="J45" s="111"/>
      <c r="K45" s="109">
        <v>13331</v>
      </c>
      <c r="L45" s="110">
        <v>0.29799999999999999</v>
      </c>
      <c r="M45" s="109">
        <f t="shared" si="3"/>
        <v>2100</v>
      </c>
      <c r="N45" s="115"/>
      <c r="O45" s="111"/>
      <c r="P45" s="111"/>
      <c r="Q45" s="119">
        <f t="shared" si="2"/>
        <v>-9594</v>
      </c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</row>
    <row r="46" spans="1:38">
      <c r="A46" s="108">
        <v>40338</v>
      </c>
      <c r="B46" s="109">
        <v>98884</v>
      </c>
      <c r="C46" s="110">
        <v>0.77</v>
      </c>
      <c r="D46" s="109">
        <f t="shared" si="0"/>
        <v>6050</v>
      </c>
      <c r="E46" s="115"/>
      <c r="F46" s="111"/>
      <c r="G46" s="111"/>
      <c r="H46" s="119">
        <f t="shared" si="1"/>
        <v>15063</v>
      </c>
      <c r="I46" s="111"/>
      <c r="J46" s="111"/>
      <c r="K46" s="109">
        <v>27980</v>
      </c>
      <c r="L46" s="110">
        <v>0.625</v>
      </c>
      <c r="M46" s="109">
        <f t="shared" si="3"/>
        <v>2100</v>
      </c>
      <c r="N46" s="115"/>
      <c r="O46" s="111"/>
      <c r="P46" s="111"/>
      <c r="Q46" s="119">
        <f t="shared" si="2"/>
        <v>14649</v>
      </c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</row>
    <row r="47" spans="1:38">
      <c r="A47" s="108">
        <v>40345</v>
      </c>
      <c r="B47" s="109">
        <v>104740</v>
      </c>
      <c r="C47" s="110">
        <v>0.81499999999999995</v>
      </c>
      <c r="D47" s="109">
        <f t="shared" si="0"/>
        <v>6050</v>
      </c>
      <c r="E47" s="115"/>
      <c r="F47" s="111"/>
      <c r="G47" s="111"/>
      <c r="H47" s="119">
        <f t="shared" si="1"/>
        <v>5856</v>
      </c>
      <c r="I47" s="111"/>
      <c r="J47" s="111"/>
      <c r="K47" s="109">
        <v>18675</v>
      </c>
      <c r="L47" s="110">
        <v>0.41700000000000004</v>
      </c>
      <c r="M47" s="109">
        <f t="shared" si="3"/>
        <v>2100</v>
      </c>
      <c r="N47" s="115"/>
      <c r="O47" s="111"/>
      <c r="P47" s="111"/>
      <c r="Q47" s="119">
        <f t="shared" si="2"/>
        <v>-9305</v>
      </c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</row>
    <row r="48" spans="1:38">
      <c r="A48" s="108">
        <v>40352</v>
      </c>
      <c r="B48" s="109">
        <v>109116</v>
      </c>
      <c r="C48" s="110">
        <v>0.84900000000000009</v>
      </c>
      <c r="D48" s="109">
        <f t="shared" si="0"/>
        <v>6050</v>
      </c>
      <c r="E48" s="115"/>
      <c r="F48" s="111"/>
      <c r="G48" s="111"/>
      <c r="H48" s="119">
        <f t="shared" si="1"/>
        <v>4376</v>
      </c>
      <c r="I48" s="111"/>
      <c r="J48" s="111"/>
      <c r="K48" s="109">
        <v>15149</v>
      </c>
      <c r="L48" s="110">
        <v>0.33799999999999997</v>
      </c>
      <c r="M48" s="109">
        <f t="shared" si="3"/>
        <v>2125</v>
      </c>
      <c r="N48" s="115"/>
      <c r="O48" s="111"/>
      <c r="P48" s="111"/>
      <c r="Q48" s="119">
        <f t="shared" si="2"/>
        <v>-3526</v>
      </c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</row>
    <row r="49" spans="1:38">
      <c r="A49" s="108">
        <v>40359</v>
      </c>
      <c r="B49" s="109">
        <v>105720</v>
      </c>
      <c r="C49" s="110">
        <v>0.82299999999999995</v>
      </c>
      <c r="D49" s="109">
        <f t="shared" si="0"/>
        <v>6050</v>
      </c>
      <c r="E49" s="115"/>
      <c r="F49" s="111"/>
      <c r="G49" s="111"/>
      <c r="H49" s="119">
        <f t="shared" si="1"/>
        <v>-3396</v>
      </c>
      <c r="I49" s="111"/>
      <c r="J49" s="111"/>
      <c r="K49" s="109">
        <v>14474</v>
      </c>
      <c r="L49" s="110">
        <v>0.32299999999999995</v>
      </c>
      <c r="M49" s="109">
        <f t="shared" si="3"/>
        <v>2125</v>
      </c>
      <c r="N49" s="115"/>
      <c r="O49" s="111"/>
      <c r="P49" s="111"/>
      <c r="Q49" s="119">
        <f t="shared" si="2"/>
        <v>-675</v>
      </c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</row>
    <row r="50" spans="1:38">
      <c r="A50" s="108">
        <v>40366</v>
      </c>
      <c r="B50" s="109">
        <v>107591</v>
      </c>
      <c r="C50" s="110">
        <v>0.83700000000000008</v>
      </c>
      <c r="D50" s="109">
        <f t="shared" si="0"/>
        <v>6050</v>
      </c>
      <c r="E50" s="115"/>
      <c r="F50" s="111"/>
      <c r="G50" s="111"/>
      <c r="H50" s="119">
        <f t="shared" si="1"/>
        <v>1871</v>
      </c>
      <c r="I50" s="111"/>
      <c r="J50" s="111"/>
      <c r="K50" s="109">
        <v>27336</v>
      </c>
      <c r="L50" s="110">
        <v>0.61</v>
      </c>
      <c r="M50" s="109">
        <f t="shared" si="3"/>
        <v>2125</v>
      </c>
      <c r="N50" s="115"/>
      <c r="O50" s="111"/>
      <c r="P50" s="111"/>
      <c r="Q50" s="119">
        <f t="shared" si="2"/>
        <v>12862</v>
      </c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</row>
    <row r="51" spans="1:38">
      <c r="A51" s="108">
        <v>40373</v>
      </c>
      <c r="B51" s="109">
        <v>109970</v>
      </c>
      <c r="C51" s="110">
        <v>0.85599999999999998</v>
      </c>
      <c r="D51" s="109">
        <f t="shared" si="0"/>
        <v>6050</v>
      </c>
      <c r="E51" s="115"/>
      <c r="F51" s="111"/>
      <c r="G51" s="111"/>
      <c r="H51" s="119">
        <f t="shared" si="1"/>
        <v>2379</v>
      </c>
      <c r="I51" s="111"/>
      <c r="J51" s="111"/>
      <c r="K51" s="109">
        <v>26216</v>
      </c>
      <c r="L51" s="110">
        <v>0.58499999999999996</v>
      </c>
      <c r="M51" s="109">
        <f t="shared" si="3"/>
        <v>2125</v>
      </c>
      <c r="N51" s="115"/>
      <c r="O51" s="111"/>
      <c r="P51" s="111"/>
      <c r="Q51" s="119">
        <f t="shared" si="2"/>
        <v>-1120</v>
      </c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</row>
    <row r="52" spans="1:38">
      <c r="A52" s="108">
        <v>40380</v>
      </c>
      <c r="B52" s="109">
        <v>114906</v>
      </c>
      <c r="C52" s="110">
        <v>0.79099999999999993</v>
      </c>
      <c r="D52" s="109">
        <f t="shared" si="0"/>
        <v>6850</v>
      </c>
      <c r="E52" s="115"/>
      <c r="F52" s="111"/>
      <c r="G52" s="111"/>
      <c r="H52" s="119">
        <f t="shared" si="1"/>
        <v>4936</v>
      </c>
      <c r="I52" s="111"/>
      <c r="J52" s="111"/>
      <c r="K52" s="109">
        <v>24605</v>
      </c>
      <c r="L52" s="110">
        <v>0.54899999999999993</v>
      </c>
      <c r="M52" s="109">
        <f t="shared" si="3"/>
        <v>2125</v>
      </c>
      <c r="N52" s="115"/>
      <c r="O52" s="111"/>
      <c r="P52" s="111"/>
      <c r="Q52" s="119">
        <f t="shared" si="2"/>
        <v>-1611</v>
      </c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</row>
    <row r="53" spans="1:38">
      <c r="A53" s="108">
        <v>40387</v>
      </c>
      <c r="B53" s="109">
        <v>116949</v>
      </c>
      <c r="C53" s="110">
        <v>0.80500000000000005</v>
      </c>
      <c r="D53" s="109">
        <f t="shared" si="0"/>
        <v>6850</v>
      </c>
      <c r="E53" s="115"/>
      <c r="F53" s="111"/>
      <c r="G53" s="111"/>
      <c r="H53" s="119">
        <f t="shared" si="1"/>
        <v>2043</v>
      </c>
      <c r="I53" s="147"/>
      <c r="J53" s="111"/>
      <c r="K53" s="109">
        <v>27103</v>
      </c>
      <c r="L53" s="110">
        <v>0.60499999999999998</v>
      </c>
      <c r="M53" s="109">
        <f t="shared" si="3"/>
        <v>2100</v>
      </c>
      <c r="N53" s="115"/>
      <c r="O53" s="111"/>
      <c r="P53" s="111"/>
      <c r="Q53" s="119">
        <f t="shared" si="2"/>
        <v>2498</v>
      </c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</row>
    <row r="54" spans="1:38">
      <c r="A54" s="108">
        <v>40394</v>
      </c>
      <c r="B54" s="109">
        <v>66768</v>
      </c>
      <c r="C54" s="110"/>
      <c r="D54" s="109" t="str">
        <f t="shared" si="0"/>
        <v/>
      </c>
      <c r="E54" s="115"/>
      <c r="F54" s="111"/>
      <c r="G54" s="111"/>
      <c r="H54" s="119">
        <f t="shared" ref="H54:H117" si="4">B54-B53</f>
        <v>-50181</v>
      </c>
      <c r="I54" s="147">
        <f t="shared" ref="I54:I118" si="5">B54-B2</f>
        <v>14981</v>
      </c>
      <c r="J54" s="111"/>
      <c r="K54" s="109">
        <v>16845</v>
      </c>
      <c r="L54" s="110">
        <v>0.59399999999999997</v>
      </c>
      <c r="M54" s="109">
        <f t="shared" si="3"/>
        <v>1325</v>
      </c>
      <c r="N54" s="115"/>
      <c r="O54" s="111"/>
      <c r="P54" s="111"/>
      <c r="Q54" s="119">
        <f t="shared" si="2"/>
        <v>-10258</v>
      </c>
      <c r="R54" s="147">
        <f t="shared" ref="R54:R117" si="6">K54-K2</f>
        <v>364</v>
      </c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</row>
    <row r="55" spans="1:38">
      <c r="A55" s="108">
        <v>40401</v>
      </c>
      <c r="B55" s="109">
        <v>115569</v>
      </c>
      <c r="C55" s="110">
        <v>0.79599999999999993</v>
      </c>
      <c r="D55" s="109">
        <f t="shared" si="0"/>
        <v>6850</v>
      </c>
      <c r="E55" s="115"/>
      <c r="F55" s="111"/>
      <c r="G55" s="111"/>
      <c r="H55" s="119">
        <f t="shared" si="4"/>
        <v>48801</v>
      </c>
      <c r="I55" s="147">
        <f t="shared" si="5"/>
        <v>43785</v>
      </c>
      <c r="J55" s="111"/>
      <c r="K55" s="109">
        <v>29984</v>
      </c>
      <c r="L55" s="110">
        <v>0.67</v>
      </c>
      <c r="M55" s="109">
        <f t="shared" si="3"/>
        <v>2100</v>
      </c>
      <c r="N55" s="115"/>
      <c r="O55" s="111"/>
      <c r="P55" s="111"/>
      <c r="Q55" s="119">
        <f t="shared" si="2"/>
        <v>13139</v>
      </c>
      <c r="R55" s="147">
        <f t="shared" si="6"/>
        <v>7591</v>
      </c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</row>
    <row r="56" spans="1:38">
      <c r="A56" s="108">
        <v>40408</v>
      </c>
      <c r="B56" s="109">
        <v>90176</v>
      </c>
      <c r="C56" s="110">
        <v>0.621</v>
      </c>
      <c r="D56" s="109">
        <f t="shared" si="0"/>
        <v>6850</v>
      </c>
      <c r="E56" s="115"/>
      <c r="F56" s="111"/>
      <c r="G56" s="111"/>
      <c r="H56" s="119">
        <f t="shared" si="4"/>
        <v>-25393</v>
      </c>
      <c r="I56" s="147">
        <f t="shared" si="5"/>
        <v>17939</v>
      </c>
      <c r="J56" s="111"/>
      <c r="K56" s="109">
        <v>22562</v>
      </c>
      <c r="L56" s="110">
        <v>0.504</v>
      </c>
      <c r="M56" s="109">
        <f t="shared" si="3"/>
        <v>2100</v>
      </c>
      <c r="N56" s="115"/>
      <c r="O56" s="111"/>
      <c r="P56" s="111"/>
      <c r="Q56" s="119">
        <f t="shared" si="2"/>
        <v>-7422</v>
      </c>
      <c r="R56" s="147">
        <f t="shared" si="6"/>
        <v>1937</v>
      </c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</row>
    <row r="57" spans="1:38">
      <c r="A57" s="108">
        <v>40415</v>
      </c>
      <c r="B57" s="109">
        <v>88248</v>
      </c>
      <c r="C57" s="110">
        <v>0.60699999999999998</v>
      </c>
      <c r="D57" s="109">
        <f t="shared" si="0"/>
        <v>6850</v>
      </c>
      <c r="E57" s="115"/>
      <c r="F57" s="111"/>
      <c r="G57" s="111"/>
      <c r="H57" s="119">
        <f t="shared" si="4"/>
        <v>-1928</v>
      </c>
      <c r="I57" s="147">
        <f t="shared" si="5"/>
        <v>12003</v>
      </c>
      <c r="J57" s="111"/>
      <c r="K57" s="109">
        <v>14927</v>
      </c>
      <c r="L57" s="110">
        <v>0.33299999999999996</v>
      </c>
      <c r="M57" s="109">
        <f t="shared" si="3"/>
        <v>2125</v>
      </c>
      <c r="N57" s="115"/>
      <c r="O57" s="111"/>
      <c r="P57" s="111"/>
      <c r="Q57" s="119">
        <f t="shared" si="2"/>
        <v>-7635</v>
      </c>
      <c r="R57" s="147">
        <f t="shared" si="6"/>
        <v>-7110</v>
      </c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</row>
    <row r="58" spans="1:38">
      <c r="A58" s="108">
        <v>40422</v>
      </c>
      <c r="B58" s="109">
        <v>108367</v>
      </c>
      <c r="C58" s="110">
        <v>0.746</v>
      </c>
      <c r="D58" s="109">
        <f t="shared" si="0"/>
        <v>6850</v>
      </c>
      <c r="E58" s="115"/>
      <c r="F58" s="111"/>
      <c r="G58" s="111"/>
      <c r="H58" s="119">
        <f t="shared" si="4"/>
        <v>20119</v>
      </c>
      <c r="I58" s="147">
        <f t="shared" si="5"/>
        <v>30249</v>
      </c>
      <c r="J58" s="111"/>
      <c r="K58" s="109">
        <v>18414</v>
      </c>
      <c r="L58" s="110">
        <v>0.41100000000000003</v>
      </c>
      <c r="M58" s="109">
        <f t="shared" si="3"/>
        <v>2100</v>
      </c>
      <c r="N58" s="115"/>
      <c r="O58" s="111"/>
      <c r="P58" s="111"/>
      <c r="Q58" s="119">
        <f t="shared" si="2"/>
        <v>3487</v>
      </c>
      <c r="R58" s="147">
        <f t="shared" si="6"/>
        <v>-3400</v>
      </c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</row>
    <row r="59" spans="1:38">
      <c r="A59" s="108">
        <v>40429</v>
      </c>
      <c r="B59" s="109">
        <v>118287</v>
      </c>
      <c r="C59" s="110">
        <v>0.81400000000000006</v>
      </c>
      <c r="D59" s="109">
        <f t="shared" si="0"/>
        <v>6850</v>
      </c>
      <c r="E59" s="115"/>
      <c r="F59" s="111"/>
      <c r="G59" s="111"/>
      <c r="H59" s="119">
        <f t="shared" si="4"/>
        <v>9920</v>
      </c>
      <c r="I59" s="147">
        <f t="shared" si="5"/>
        <v>42224</v>
      </c>
      <c r="J59" s="111"/>
      <c r="K59" s="109">
        <v>29279</v>
      </c>
      <c r="L59" s="110">
        <v>0.65400000000000003</v>
      </c>
      <c r="M59" s="109">
        <f t="shared" si="3"/>
        <v>2100</v>
      </c>
      <c r="N59" s="115"/>
      <c r="O59" s="111"/>
      <c r="P59" s="111"/>
      <c r="Q59" s="119">
        <f t="shared" si="2"/>
        <v>10865</v>
      </c>
      <c r="R59" s="147">
        <f t="shared" si="6"/>
        <v>8351</v>
      </c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</row>
    <row r="60" spans="1:38">
      <c r="A60" s="108">
        <v>40436</v>
      </c>
      <c r="B60" s="109">
        <v>108726</v>
      </c>
      <c r="C60" s="110">
        <v>0.748</v>
      </c>
      <c r="D60" s="109">
        <f t="shared" si="0"/>
        <v>6850</v>
      </c>
      <c r="E60" s="115"/>
      <c r="F60" s="111"/>
      <c r="G60" s="111"/>
      <c r="H60" s="119">
        <f t="shared" si="4"/>
        <v>-9561</v>
      </c>
      <c r="I60" s="147">
        <f t="shared" si="5"/>
        <v>42790</v>
      </c>
      <c r="J60" s="111"/>
      <c r="K60" s="109">
        <v>29227</v>
      </c>
      <c r="L60" s="110">
        <v>0.65200000000000002</v>
      </c>
      <c r="M60" s="109">
        <f t="shared" si="3"/>
        <v>2125</v>
      </c>
      <c r="N60" s="115"/>
      <c r="O60" s="111"/>
      <c r="P60" s="111"/>
      <c r="Q60" s="119">
        <f t="shared" si="2"/>
        <v>-52</v>
      </c>
      <c r="R60" s="147">
        <f t="shared" si="6"/>
        <v>7479</v>
      </c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</row>
    <row r="61" spans="1:38">
      <c r="A61" s="108">
        <v>40443</v>
      </c>
      <c r="B61" s="109">
        <v>105588</v>
      </c>
      <c r="C61" s="110">
        <v>0.72699999999999998</v>
      </c>
      <c r="D61" s="109">
        <f t="shared" si="0"/>
        <v>6850</v>
      </c>
      <c r="E61" s="115"/>
      <c r="F61" s="111"/>
      <c r="G61" s="111"/>
      <c r="H61" s="119">
        <f t="shared" si="4"/>
        <v>-3138</v>
      </c>
      <c r="I61" s="147">
        <f t="shared" si="5"/>
        <v>41574</v>
      </c>
      <c r="J61" s="111"/>
      <c r="K61" s="109">
        <v>23214</v>
      </c>
      <c r="L61" s="110">
        <v>0.51800000000000002</v>
      </c>
      <c r="M61" s="109">
        <f t="shared" si="3"/>
        <v>2125</v>
      </c>
      <c r="N61" s="115"/>
      <c r="O61" s="111"/>
      <c r="P61" s="111"/>
      <c r="Q61" s="119">
        <f t="shared" si="2"/>
        <v>-6013</v>
      </c>
      <c r="R61" s="147">
        <f t="shared" si="6"/>
        <v>8652</v>
      </c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</row>
    <row r="62" spans="1:38">
      <c r="A62" s="108">
        <v>40450</v>
      </c>
      <c r="B62" s="109">
        <v>96799</v>
      </c>
      <c r="C62" s="110">
        <v>0.66599999999999993</v>
      </c>
      <c r="D62" s="109">
        <f t="shared" si="0"/>
        <v>6850</v>
      </c>
      <c r="E62" s="115"/>
      <c r="F62" s="111"/>
      <c r="G62" s="111"/>
      <c r="H62" s="119">
        <f t="shared" si="4"/>
        <v>-8789</v>
      </c>
      <c r="I62" s="147">
        <f t="shared" si="5"/>
        <v>17416</v>
      </c>
      <c r="J62" s="111"/>
      <c r="K62" s="109">
        <v>28935</v>
      </c>
      <c r="L62" s="110">
        <v>0.64599999999999991</v>
      </c>
      <c r="M62" s="109">
        <f t="shared" si="3"/>
        <v>2100</v>
      </c>
      <c r="N62" s="115"/>
      <c r="O62" s="111"/>
      <c r="P62" s="111"/>
      <c r="Q62" s="119">
        <f t="shared" si="2"/>
        <v>5721</v>
      </c>
      <c r="R62" s="147">
        <f t="shared" si="6"/>
        <v>11015</v>
      </c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</row>
    <row r="63" spans="1:38">
      <c r="A63" s="108">
        <v>40457</v>
      </c>
      <c r="B63" s="109">
        <v>113890</v>
      </c>
      <c r="C63" s="110">
        <v>0.78400000000000003</v>
      </c>
      <c r="D63" s="109">
        <f t="shared" si="0"/>
        <v>6850</v>
      </c>
      <c r="E63" s="115"/>
      <c r="F63" s="111"/>
      <c r="G63" s="111"/>
      <c r="H63" s="119">
        <f t="shared" si="4"/>
        <v>17091</v>
      </c>
      <c r="I63" s="147">
        <f t="shared" si="5"/>
        <v>54685</v>
      </c>
      <c r="J63" s="111"/>
      <c r="K63" s="109">
        <v>24173</v>
      </c>
      <c r="L63" s="110">
        <v>0.54</v>
      </c>
      <c r="M63" s="109">
        <f t="shared" si="3"/>
        <v>2100</v>
      </c>
      <c r="N63" s="115"/>
      <c r="O63" s="111"/>
      <c r="P63" s="111"/>
      <c r="Q63" s="119">
        <f t="shared" si="2"/>
        <v>-4762</v>
      </c>
      <c r="R63" s="147">
        <f t="shared" si="6"/>
        <v>8869</v>
      </c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</row>
    <row r="64" spans="1:38">
      <c r="A64" s="108">
        <v>40464</v>
      </c>
      <c r="B64" s="109">
        <v>123953</v>
      </c>
      <c r="C64" s="110">
        <v>0.85299999999999998</v>
      </c>
      <c r="D64" s="109">
        <f t="shared" si="0"/>
        <v>6850</v>
      </c>
      <c r="E64" s="115"/>
      <c r="F64" s="111"/>
      <c r="G64" s="111"/>
      <c r="H64" s="119">
        <f t="shared" si="4"/>
        <v>10063</v>
      </c>
      <c r="I64" s="147">
        <f t="shared" si="5"/>
        <v>58459</v>
      </c>
      <c r="J64" s="111"/>
      <c r="K64" s="109">
        <v>29533</v>
      </c>
      <c r="L64" s="110">
        <v>0.65900000000000003</v>
      </c>
      <c r="M64" s="109">
        <f t="shared" si="3"/>
        <v>2125</v>
      </c>
      <c r="N64" s="115"/>
      <c r="O64" s="111"/>
      <c r="P64" s="111"/>
      <c r="Q64" s="119">
        <f t="shared" si="2"/>
        <v>5360</v>
      </c>
      <c r="R64" s="147">
        <f t="shared" si="6"/>
        <v>16938</v>
      </c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</row>
    <row r="65" spans="1:38">
      <c r="A65" s="108">
        <v>40471</v>
      </c>
      <c r="B65" s="109">
        <v>131374</v>
      </c>
      <c r="C65" s="110">
        <v>0.90400000000000003</v>
      </c>
      <c r="D65" s="109">
        <f t="shared" si="0"/>
        <v>6850</v>
      </c>
      <c r="E65" s="115"/>
      <c r="F65" s="111"/>
      <c r="G65" s="111"/>
      <c r="H65" s="119">
        <f t="shared" si="4"/>
        <v>7421</v>
      </c>
      <c r="I65" s="147">
        <f t="shared" si="5"/>
        <v>57022</v>
      </c>
      <c r="J65" s="111"/>
      <c r="K65" s="109">
        <v>27642</v>
      </c>
      <c r="L65" s="110">
        <v>0.61699999999999999</v>
      </c>
      <c r="M65" s="109">
        <f t="shared" si="3"/>
        <v>2100</v>
      </c>
      <c r="N65" s="115"/>
      <c r="O65" s="111"/>
      <c r="P65" s="111"/>
      <c r="Q65" s="119">
        <f t="shared" si="2"/>
        <v>-1891</v>
      </c>
      <c r="R65" s="147">
        <f t="shared" si="6"/>
        <v>-1698</v>
      </c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</row>
    <row r="66" spans="1:38">
      <c r="A66" s="108">
        <v>40478</v>
      </c>
      <c r="B66" s="109">
        <v>131131</v>
      </c>
      <c r="C66" s="110">
        <v>0.90300000000000002</v>
      </c>
      <c r="D66" s="109">
        <f t="shared" si="0"/>
        <v>6850</v>
      </c>
      <c r="E66" s="115"/>
      <c r="F66" s="111"/>
      <c r="G66" s="111"/>
      <c r="H66" s="119">
        <f t="shared" si="4"/>
        <v>-243</v>
      </c>
      <c r="I66" s="147">
        <f t="shared" si="5"/>
        <v>64743</v>
      </c>
      <c r="J66" s="111"/>
      <c r="K66" s="109">
        <v>28511</v>
      </c>
      <c r="L66" s="110">
        <v>0.63600000000000001</v>
      </c>
      <c r="M66" s="109">
        <f t="shared" si="3"/>
        <v>2125</v>
      </c>
      <c r="N66" s="115"/>
      <c r="O66" s="111"/>
      <c r="P66" s="111"/>
      <c r="Q66" s="119">
        <f t="shared" si="2"/>
        <v>869</v>
      </c>
      <c r="R66" s="147">
        <f t="shared" si="6"/>
        <v>-745</v>
      </c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</row>
    <row r="67" spans="1:38">
      <c r="A67" s="108">
        <v>40485</v>
      </c>
      <c r="B67" s="109">
        <v>122740</v>
      </c>
      <c r="C67" s="110">
        <v>0.84499999999999997</v>
      </c>
      <c r="D67" s="109">
        <f t="shared" si="0"/>
        <v>6850</v>
      </c>
      <c r="E67" s="115"/>
      <c r="F67" s="111"/>
      <c r="G67" s="111"/>
      <c r="H67" s="119">
        <f t="shared" si="4"/>
        <v>-8391</v>
      </c>
      <c r="I67" s="147">
        <f t="shared" si="5"/>
        <v>46674</v>
      </c>
      <c r="J67" s="111"/>
      <c r="K67" s="109">
        <v>24867</v>
      </c>
      <c r="L67" s="110">
        <v>0.55500000000000005</v>
      </c>
      <c r="M67" s="109">
        <f t="shared" si="3"/>
        <v>2100</v>
      </c>
      <c r="N67" s="115"/>
      <c r="O67" s="111"/>
      <c r="P67" s="111"/>
      <c r="Q67" s="119">
        <f t="shared" ref="Q67:Q130" si="7">K67-K66</f>
        <v>-3644</v>
      </c>
      <c r="R67" s="147">
        <f t="shared" si="6"/>
        <v>-3392</v>
      </c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</row>
    <row r="68" spans="1:38">
      <c r="A68" s="108">
        <v>40492</v>
      </c>
      <c r="B68" s="109">
        <v>124238</v>
      </c>
      <c r="C68" s="110">
        <v>0.85499999999999998</v>
      </c>
      <c r="D68" s="109">
        <f t="shared" ref="D68:D131" si="8">IF(B68="","",IF(C68="","",MROUND((B68/C68)/(A68-A67)*330/1000,25)))</f>
        <v>6850</v>
      </c>
      <c r="E68" s="115"/>
      <c r="F68" s="111"/>
      <c r="G68" s="111"/>
      <c r="H68" s="119">
        <f t="shared" si="4"/>
        <v>1498</v>
      </c>
      <c r="I68" s="147">
        <f t="shared" si="5"/>
        <v>45815</v>
      </c>
      <c r="J68" s="111"/>
      <c r="K68" s="109">
        <v>30680</v>
      </c>
      <c r="L68" s="110">
        <v>0.68500000000000005</v>
      </c>
      <c r="M68" s="109">
        <f t="shared" ref="M68:M131" si="9">IF(K68="","",IF(L68="","",MROUND((K68/L68)/(A68-A67)*330/1000,25)))</f>
        <v>2100</v>
      </c>
      <c r="N68" s="115"/>
      <c r="O68" s="111"/>
      <c r="P68" s="111"/>
      <c r="Q68" s="119">
        <f t="shared" si="7"/>
        <v>5813</v>
      </c>
      <c r="R68" s="147">
        <f t="shared" si="6"/>
        <v>3622</v>
      </c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</row>
    <row r="69" spans="1:38">
      <c r="A69" s="108">
        <v>40499</v>
      </c>
      <c r="B69" s="109">
        <v>125040</v>
      </c>
      <c r="C69" s="110">
        <v>0.86099999999999999</v>
      </c>
      <c r="D69" s="109">
        <f t="shared" si="8"/>
        <v>6850</v>
      </c>
      <c r="E69" s="115"/>
      <c r="F69" s="111"/>
      <c r="G69" s="111"/>
      <c r="H69" s="119">
        <f t="shared" si="4"/>
        <v>802</v>
      </c>
      <c r="I69" s="147">
        <f t="shared" si="5"/>
        <v>48166</v>
      </c>
      <c r="J69" s="111"/>
      <c r="K69" s="109">
        <v>28240</v>
      </c>
      <c r="L69" s="110">
        <v>0.63</v>
      </c>
      <c r="M69" s="109">
        <f t="shared" si="9"/>
        <v>2125</v>
      </c>
      <c r="N69" s="115"/>
      <c r="O69" s="111"/>
      <c r="P69" s="111"/>
      <c r="Q69" s="119">
        <f t="shared" si="7"/>
        <v>-2440</v>
      </c>
      <c r="R69" s="147">
        <f t="shared" si="6"/>
        <v>-6403</v>
      </c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</row>
    <row r="70" spans="1:38">
      <c r="A70" s="108">
        <v>40506</v>
      </c>
      <c r="B70" s="109">
        <v>125094</v>
      </c>
      <c r="C70" s="110">
        <v>0.86099999999999999</v>
      </c>
      <c r="D70" s="109">
        <f t="shared" si="8"/>
        <v>6850</v>
      </c>
      <c r="E70" s="115"/>
      <c r="F70" s="111"/>
      <c r="G70" s="111"/>
      <c r="H70" s="119">
        <f t="shared" si="4"/>
        <v>54</v>
      </c>
      <c r="I70" s="147">
        <f t="shared" si="5"/>
        <v>43578</v>
      </c>
      <c r="J70" s="111"/>
      <c r="K70" s="109">
        <v>30054</v>
      </c>
      <c r="L70" s="110">
        <v>0.67099999999999993</v>
      </c>
      <c r="M70" s="109">
        <f t="shared" si="9"/>
        <v>2100</v>
      </c>
      <c r="N70" s="115"/>
      <c r="O70" s="111"/>
      <c r="P70" s="111"/>
      <c r="Q70" s="119">
        <f t="shared" si="7"/>
        <v>1814</v>
      </c>
      <c r="R70" s="147">
        <f t="shared" si="6"/>
        <v>-2143</v>
      </c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</row>
    <row r="71" spans="1:38">
      <c r="A71" s="108">
        <v>40513</v>
      </c>
      <c r="B71" s="109">
        <v>117196</v>
      </c>
      <c r="C71" s="110">
        <v>0.80700000000000005</v>
      </c>
      <c r="D71" s="109">
        <f t="shared" si="8"/>
        <v>6850</v>
      </c>
      <c r="E71" s="115"/>
      <c r="F71" s="111"/>
      <c r="G71" s="111"/>
      <c r="H71" s="119">
        <f t="shared" si="4"/>
        <v>-7898</v>
      </c>
      <c r="I71" s="147">
        <f t="shared" si="5"/>
        <v>33292</v>
      </c>
      <c r="J71" s="111"/>
      <c r="K71" s="109">
        <v>22475</v>
      </c>
      <c r="L71" s="110">
        <v>0.502</v>
      </c>
      <c r="M71" s="109">
        <f t="shared" si="9"/>
        <v>2100</v>
      </c>
      <c r="N71" s="115"/>
      <c r="O71" s="111"/>
      <c r="P71" s="111"/>
      <c r="Q71" s="119">
        <f t="shared" si="7"/>
        <v>-7579</v>
      </c>
      <c r="R71" s="147">
        <f t="shared" si="6"/>
        <v>-5430</v>
      </c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</row>
    <row r="72" spans="1:38">
      <c r="A72" s="108">
        <v>40520</v>
      </c>
      <c r="B72" s="109">
        <v>121923</v>
      </c>
      <c r="C72" s="110">
        <v>0.83900000000000008</v>
      </c>
      <c r="D72" s="109">
        <f t="shared" si="8"/>
        <v>6850</v>
      </c>
      <c r="E72" s="115"/>
      <c r="F72" s="111"/>
      <c r="G72" s="111"/>
      <c r="H72" s="119">
        <f t="shared" si="4"/>
        <v>4727</v>
      </c>
      <c r="I72" s="147">
        <f t="shared" si="5"/>
        <v>43772</v>
      </c>
      <c r="J72" s="111"/>
      <c r="K72" s="109">
        <v>26421</v>
      </c>
      <c r="L72" s="110">
        <v>0.59</v>
      </c>
      <c r="M72" s="109">
        <f t="shared" si="9"/>
        <v>2100</v>
      </c>
      <c r="N72" s="115"/>
      <c r="O72" s="111"/>
      <c r="P72" s="111"/>
      <c r="Q72" s="119">
        <f t="shared" si="7"/>
        <v>3946</v>
      </c>
      <c r="R72" s="147">
        <f t="shared" si="6"/>
        <v>-1574</v>
      </c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</row>
    <row r="73" spans="1:38">
      <c r="A73" s="108">
        <v>40527</v>
      </c>
      <c r="B73" s="109">
        <v>115092</v>
      </c>
      <c r="C73" s="110">
        <v>0.79200000000000004</v>
      </c>
      <c r="D73" s="109">
        <f t="shared" si="8"/>
        <v>6850</v>
      </c>
      <c r="E73" s="115"/>
      <c r="F73" s="111"/>
      <c r="G73" s="111"/>
      <c r="H73" s="119">
        <f t="shared" si="4"/>
        <v>-6831</v>
      </c>
      <c r="I73" s="147">
        <f t="shared" si="5"/>
        <v>41223</v>
      </c>
      <c r="J73" s="111"/>
      <c r="K73" s="109">
        <v>24923</v>
      </c>
      <c r="L73" s="110">
        <v>0.55600000000000005</v>
      </c>
      <c r="M73" s="109">
        <f t="shared" si="9"/>
        <v>2125</v>
      </c>
      <c r="N73" s="115"/>
      <c r="O73" s="111"/>
      <c r="P73" s="111"/>
      <c r="Q73" s="119">
        <f t="shared" si="7"/>
        <v>-1498</v>
      </c>
      <c r="R73" s="147">
        <f t="shared" si="6"/>
        <v>-1695</v>
      </c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</row>
    <row r="74" spans="1:38">
      <c r="A74" s="108">
        <v>40534</v>
      </c>
      <c r="B74" s="109">
        <v>121955</v>
      </c>
      <c r="C74" s="110">
        <v>0.84</v>
      </c>
      <c r="D74" s="109">
        <f t="shared" si="8"/>
        <v>6850</v>
      </c>
      <c r="E74" s="115"/>
      <c r="F74" s="111"/>
      <c r="G74" s="111"/>
      <c r="H74" s="119">
        <f t="shared" si="4"/>
        <v>6863</v>
      </c>
      <c r="I74" s="147">
        <f t="shared" si="5"/>
        <v>48875</v>
      </c>
      <c r="J74" s="111"/>
      <c r="K74" s="109">
        <v>27031</v>
      </c>
      <c r="L74" s="110">
        <v>0.60299999999999998</v>
      </c>
      <c r="M74" s="109">
        <f t="shared" si="9"/>
        <v>2125</v>
      </c>
      <c r="N74" s="115"/>
      <c r="O74" s="111"/>
      <c r="P74" s="111"/>
      <c r="Q74" s="119">
        <f t="shared" si="7"/>
        <v>2108</v>
      </c>
      <c r="R74" s="147">
        <f t="shared" si="6"/>
        <v>-2219</v>
      </c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</row>
    <row r="75" spans="1:38">
      <c r="A75" s="108">
        <v>40541</v>
      </c>
      <c r="B75" s="109">
        <v>111864</v>
      </c>
      <c r="C75" s="110">
        <v>0.77</v>
      </c>
      <c r="D75" s="109">
        <f t="shared" si="8"/>
        <v>6850</v>
      </c>
      <c r="E75" s="115"/>
      <c r="F75" s="111"/>
      <c r="G75" s="111"/>
      <c r="H75" s="119">
        <f t="shared" si="4"/>
        <v>-10091</v>
      </c>
      <c r="I75" s="147">
        <f t="shared" si="5"/>
        <v>32753</v>
      </c>
      <c r="J75" s="111"/>
      <c r="K75" s="109">
        <v>28508</v>
      </c>
      <c r="L75" s="110">
        <v>0.63600000000000001</v>
      </c>
      <c r="M75" s="109">
        <f t="shared" si="9"/>
        <v>2125</v>
      </c>
      <c r="N75" s="115"/>
      <c r="O75" s="111"/>
      <c r="P75" s="111"/>
      <c r="Q75" s="119">
        <f t="shared" si="7"/>
        <v>1477</v>
      </c>
      <c r="R75" s="147">
        <f t="shared" si="6"/>
        <v>-2208</v>
      </c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</row>
    <row r="76" spans="1:38">
      <c r="A76" s="108">
        <v>40548</v>
      </c>
      <c r="B76" s="109">
        <v>109943</v>
      </c>
      <c r="C76" s="110">
        <v>0.75700000000000001</v>
      </c>
      <c r="D76" s="109">
        <f t="shared" si="8"/>
        <v>6850</v>
      </c>
      <c r="E76" s="115"/>
      <c r="F76" s="111"/>
      <c r="G76" s="111"/>
      <c r="H76" s="119">
        <f t="shared" si="4"/>
        <v>-1921</v>
      </c>
      <c r="I76" s="147">
        <f t="shared" si="5"/>
        <v>35473</v>
      </c>
      <c r="J76" s="111"/>
      <c r="K76" s="109">
        <v>21318</v>
      </c>
      <c r="L76" s="110">
        <v>0.47600000000000003</v>
      </c>
      <c r="M76" s="109">
        <f t="shared" si="9"/>
        <v>2100</v>
      </c>
      <c r="N76" s="115"/>
      <c r="O76" s="111"/>
      <c r="P76" s="111"/>
      <c r="Q76" s="119">
        <f t="shared" si="7"/>
        <v>-7190</v>
      </c>
      <c r="R76" s="147">
        <f t="shared" si="6"/>
        <v>-979</v>
      </c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</row>
    <row r="77" spans="1:38">
      <c r="A77" s="108">
        <v>40555</v>
      </c>
      <c r="B77" s="109">
        <v>116518</v>
      </c>
      <c r="C77" s="110">
        <v>0.80200000000000005</v>
      </c>
      <c r="D77" s="109">
        <f t="shared" si="8"/>
        <v>6850</v>
      </c>
      <c r="E77" s="115"/>
      <c r="F77" s="111"/>
      <c r="G77" s="111"/>
      <c r="H77" s="119">
        <f t="shared" si="4"/>
        <v>6575</v>
      </c>
      <c r="I77" s="147">
        <f t="shared" si="5"/>
        <v>36087</v>
      </c>
      <c r="J77" s="111"/>
      <c r="K77" s="109">
        <v>28385</v>
      </c>
      <c r="L77" s="110">
        <v>0.63400000000000001</v>
      </c>
      <c r="M77" s="109">
        <f t="shared" si="9"/>
        <v>2100</v>
      </c>
      <c r="N77" s="115"/>
      <c r="O77" s="111"/>
      <c r="P77" s="111"/>
      <c r="Q77" s="119">
        <f t="shared" si="7"/>
        <v>7067</v>
      </c>
      <c r="R77" s="147">
        <f t="shared" si="6"/>
        <v>-740</v>
      </c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</row>
    <row r="78" spans="1:38">
      <c r="A78" s="108">
        <v>40562</v>
      </c>
      <c r="B78" s="109">
        <v>112820</v>
      </c>
      <c r="C78" s="110">
        <v>0.77700000000000002</v>
      </c>
      <c r="D78" s="109">
        <f t="shared" si="8"/>
        <v>6850</v>
      </c>
      <c r="E78" s="115"/>
      <c r="F78" s="111"/>
      <c r="G78" s="111"/>
      <c r="H78" s="119">
        <f t="shared" si="4"/>
        <v>-3698</v>
      </c>
      <c r="I78" s="147">
        <f t="shared" si="5"/>
        <v>31945</v>
      </c>
      <c r="J78" s="111"/>
      <c r="K78" s="109">
        <v>25607</v>
      </c>
      <c r="L78" s="110">
        <v>0.57200000000000006</v>
      </c>
      <c r="M78" s="109">
        <f t="shared" si="9"/>
        <v>2100</v>
      </c>
      <c r="N78" s="115"/>
      <c r="O78" s="111"/>
      <c r="P78" s="111"/>
      <c r="Q78" s="119">
        <f t="shared" si="7"/>
        <v>-2778</v>
      </c>
      <c r="R78" s="147">
        <f t="shared" si="6"/>
        <v>-2713</v>
      </c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</row>
    <row r="79" spans="1:38">
      <c r="A79" s="108">
        <v>40569</v>
      </c>
      <c r="B79" s="109">
        <v>113745</v>
      </c>
      <c r="C79" s="110">
        <v>0.78299999999999992</v>
      </c>
      <c r="D79" s="109">
        <f t="shared" si="8"/>
        <v>6850</v>
      </c>
      <c r="E79" s="115"/>
      <c r="F79" s="111"/>
      <c r="G79" s="111"/>
      <c r="H79" s="119">
        <f t="shared" si="4"/>
        <v>925</v>
      </c>
      <c r="I79" s="147">
        <f t="shared" si="5"/>
        <v>27027</v>
      </c>
      <c r="J79" s="111"/>
      <c r="K79" s="109">
        <v>24073</v>
      </c>
      <c r="L79" s="110">
        <v>0.53700000000000003</v>
      </c>
      <c r="M79" s="109">
        <f t="shared" si="9"/>
        <v>2125</v>
      </c>
      <c r="N79" s="115"/>
      <c r="O79" s="111"/>
      <c r="P79" s="111"/>
      <c r="Q79" s="119">
        <f t="shared" si="7"/>
        <v>-1534</v>
      </c>
      <c r="R79" s="147">
        <f t="shared" si="6"/>
        <v>-3731</v>
      </c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</row>
    <row r="80" spans="1:38">
      <c r="A80" s="108">
        <v>40576</v>
      </c>
      <c r="B80" s="109">
        <v>118393</v>
      </c>
      <c r="C80" s="110">
        <v>0.81499999999999995</v>
      </c>
      <c r="D80" s="109">
        <f t="shared" si="8"/>
        <v>6850</v>
      </c>
      <c r="E80" s="115"/>
      <c r="F80" s="111"/>
      <c r="G80" s="111"/>
      <c r="H80" s="119">
        <f t="shared" si="4"/>
        <v>4648</v>
      </c>
      <c r="I80" s="147">
        <f t="shared" si="5"/>
        <v>31200</v>
      </c>
      <c r="J80" s="111"/>
      <c r="K80" s="109">
        <v>22408</v>
      </c>
      <c r="L80" s="110">
        <v>0.5</v>
      </c>
      <c r="M80" s="109">
        <f t="shared" si="9"/>
        <v>2125</v>
      </c>
      <c r="N80" s="115"/>
      <c r="O80" s="111"/>
      <c r="P80" s="111"/>
      <c r="Q80" s="119">
        <f t="shared" si="7"/>
        <v>-1665</v>
      </c>
      <c r="R80" s="147">
        <f t="shared" si="6"/>
        <v>-3824</v>
      </c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</row>
    <row r="81" spans="1:38">
      <c r="A81" s="108">
        <v>40583</v>
      </c>
      <c r="B81" s="109">
        <v>124035</v>
      </c>
      <c r="C81" s="110">
        <v>0.85400000000000009</v>
      </c>
      <c r="D81" s="109">
        <f t="shared" si="8"/>
        <v>6850</v>
      </c>
      <c r="E81" s="115"/>
      <c r="F81" s="111"/>
      <c r="G81" s="111"/>
      <c r="H81" s="119">
        <f t="shared" si="4"/>
        <v>5642</v>
      </c>
      <c r="I81" s="147">
        <f t="shared" si="5"/>
        <v>37552</v>
      </c>
      <c r="J81" s="111"/>
      <c r="K81" s="109">
        <v>25058</v>
      </c>
      <c r="L81" s="110">
        <v>0.55899999999999994</v>
      </c>
      <c r="M81" s="109">
        <f t="shared" si="9"/>
        <v>2125</v>
      </c>
      <c r="N81" s="115"/>
      <c r="O81" s="111"/>
      <c r="P81" s="111"/>
      <c r="Q81" s="119">
        <f t="shared" si="7"/>
        <v>2650</v>
      </c>
      <c r="R81" s="147">
        <f t="shared" si="6"/>
        <v>-3457</v>
      </c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</row>
    <row r="82" spans="1:38">
      <c r="A82" s="108">
        <v>40590</v>
      </c>
      <c r="B82" s="109">
        <v>114909</v>
      </c>
      <c r="C82" s="110">
        <v>0.79099999999999993</v>
      </c>
      <c r="D82" s="109">
        <f t="shared" si="8"/>
        <v>6850</v>
      </c>
      <c r="E82" s="115"/>
      <c r="F82" s="111"/>
      <c r="G82" s="111"/>
      <c r="H82" s="119">
        <f t="shared" si="4"/>
        <v>-9126</v>
      </c>
      <c r="I82" s="147">
        <f t="shared" si="5"/>
        <v>14437</v>
      </c>
      <c r="J82" s="111"/>
      <c r="K82" s="109">
        <v>25714</v>
      </c>
      <c r="L82" s="110">
        <v>0.57399999999999995</v>
      </c>
      <c r="M82" s="109">
        <f t="shared" si="9"/>
        <v>2100</v>
      </c>
      <c r="N82" s="115"/>
      <c r="O82" s="111"/>
      <c r="P82" s="111"/>
      <c r="Q82" s="119">
        <f t="shared" si="7"/>
        <v>656</v>
      </c>
      <c r="R82" s="147">
        <f t="shared" si="6"/>
        <v>-1420</v>
      </c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</row>
    <row r="83" spans="1:38">
      <c r="A83" s="108">
        <v>40597</v>
      </c>
      <c r="B83" s="109">
        <v>119135</v>
      </c>
      <c r="C83" s="110">
        <v>0.82</v>
      </c>
      <c r="D83" s="109">
        <f t="shared" si="8"/>
        <v>6850</v>
      </c>
      <c r="E83" s="115"/>
      <c r="F83" s="111"/>
      <c r="G83" s="111"/>
      <c r="H83" s="119">
        <f t="shared" si="4"/>
        <v>4226</v>
      </c>
      <c r="I83" s="147">
        <f t="shared" si="5"/>
        <v>27463</v>
      </c>
      <c r="J83" s="111"/>
      <c r="K83" s="109">
        <v>27029</v>
      </c>
      <c r="L83" s="110">
        <v>0.60299999999999998</v>
      </c>
      <c r="M83" s="109">
        <f t="shared" si="9"/>
        <v>2125</v>
      </c>
      <c r="N83" s="115"/>
      <c r="O83" s="111"/>
      <c r="P83" s="111"/>
      <c r="Q83" s="119">
        <f t="shared" si="7"/>
        <v>1315</v>
      </c>
      <c r="R83" s="147">
        <f t="shared" si="6"/>
        <v>-325</v>
      </c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</row>
    <row r="84" spans="1:38">
      <c r="A84" s="108">
        <v>40604</v>
      </c>
      <c r="B84" s="109">
        <v>104809</v>
      </c>
      <c r="C84" s="110">
        <v>0.72099999999999997</v>
      </c>
      <c r="D84" s="109">
        <f t="shared" si="8"/>
        <v>6850</v>
      </c>
      <c r="E84" s="115"/>
      <c r="F84" s="111"/>
      <c r="G84" s="111"/>
      <c r="H84" s="119">
        <f t="shared" si="4"/>
        <v>-14326</v>
      </c>
      <c r="I84" s="147">
        <f t="shared" si="5"/>
        <v>4220</v>
      </c>
      <c r="J84" s="111"/>
      <c r="K84" s="109">
        <v>23658</v>
      </c>
      <c r="L84" s="110">
        <v>0.52800000000000002</v>
      </c>
      <c r="M84" s="109">
        <f t="shared" si="9"/>
        <v>2100</v>
      </c>
      <c r="N84" s="115"/>
      <c r="O84" s="111"/>
      <c r="P84" s="111"/>
      <c r="Q84" s="119">
        <f t="shared" si="7"/>
        <v>-3371</v>
      </c>
      <c r="R84" s="147">
        <f t="shared" si="6"/>
        <v>-3642</v>
      </c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</row>
    <row r="85" spans="1:38">
      <c r="A85" s="108">
        <v>40611</v>
      </c>
      <c r="B85" s="109">
        <v>117340</v>
      </c>
      <c r="C85" s="110">
        <v>0.80799999999999994</v>
      </c>
      <c r="D85" s="109">
        <f t="shared" si="8"/>
        <v>6850</v>
      </c>
      <c r="E85" s="115"/>
      <c r="F85" s="111"/>
      <c r="G85" s="111"/>
      <c r="H85" s="119">
        <f t="shared" si="4"/>
        <v>12531</v>
      </c>
      <c r="I85" s="147">
        <f t="shared" si="5"/>
        <v>15499</v>
      </c>
      <c r="J85" s="111"/>
      <c r="K85" s="109">
        <v>28157</v>
      </c>
      <c r="L85" s="110">
        <v>0.629</v>
      </c>
      <c r="M85" s="109">
        <f t="shared" si="9"/>
        <v>2100</v>
      </c>
      <c r="N85" s="115"/>
      <c r="O85" s="111"/>
      <c r="P85" s="111"/>
      <c r="Q85" s="119">
        <f t="shared" si="7"/>
        <v>4499</v>
      </c>
      <c r="R85" s="147">
        <f t="shared" si="6"/>
        <v>-1010</v>
      </c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</row>
    <row r="86" spans="1:38">
      <c r="A86" s="108">
        <v>40618</v>
      </c>
      <c r="B86" s="109">
        <v>120130</v>
      </c>
      <c r="C86" s="110">
        <v>0.82700000000000007</v>
      </c>
      <c r="D86" s="109">
        <f t="shared" si="8"/>
        <v>6850</v>
      </c>
      <c r="E86" s="115"/>
      <c r="F86" s="111"/>
      <c r="G86" s="111"/>
      <c r="H86" s="119">
        <f t="shared" si="4"/>
        <v>2790</v>
      </c>
      <c r="I86" s="147">
        <f t="shared" si="5"/>
        <v>9921</v>
      </c>
      <c r="J86" s="111"/>
      <c r="K86" s="109">
        <v>29050</v>
      </c>
      <c r="L86" s="110">
        <v>0.64800000000000002</v>
      </c>
      <c r="M86" s="109">
        <f t="shared" si="9"/>
        <v>2125</v>
      </c>
      <c r="N86" s="115"/>
      <c r="O86" s="111"/>
      <c r="P86" s="111"/>
      <c r="Q86" s="119">
        <f t="shared" si="7"/>
        <v>893</v>
      </c>
      <c r="R86" s="147">
        <f t="shared" si="6"/>
        <v>903</v>
      </c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</row>
    <row r="87" spans="1:38">
      <c r="A87" s="108">
        <v>40625</v>
      </c>
      <c r="B87" s="109">
        <v>128337</v>
      </c>
      <c r="C87" s="110">
        <v>0.88300000000000001</v>
      </c>
      <c r="D87" s="109">
        <f t="shared" si="8"/>
        <v>6850</v>
      </c>
      <c r="E87" s="115"/>
      <c r="F87" s="111"/>
      <c r="G87" s="111"/>
      <c r="H87" s="119">
        <f t="shared" si="4"/>
        <v>8207</v>
      </c>
      <c r="I87" s="147">
        <f t="shared" si="5"/>
        <v>21546</v>
      </c>
      <c r="J87" s="111"/>
      <c r="K87" s="109">
        <v>29200</v>
      </c>
      <c r="L87" s="110">
        <v>0.65200000000000002</v>
      </c>
      <c r="M87" s="109">
        <f t="shared" si="9"/>
        <v>2100</v>
      </c>
      <c r="N87" s="115"/>
      <c r="O87" s="111"/>
      <c r="P87" s="111"/>
      <c r="Q87" s="119">
        <f t="shared" si="7"/>
        <v>150</v>
      </c>
      <c r="R87" s="147">
        <f t="shared" si="6"/>
        <v>4466</v>
      </c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</row>
    <row r="88" spans="1:38">
      <c r="A88" s="108">
        <v>40632</v>
      </c>
      <c r="B88" s="109">
        <v>124819</v>
      </c>
      <c r="C88" s="110">
        <v>0.8590000000000001</v>
      </c>
      <c r="D88" s="109">
        <f t="shared" si="8"/>
        <v>6850</v>
      </c>
      <c r="E88" s="115"/>
      <c r="F88" s="111"/>
      <c r="G88" s="111"/>
      <c r="H88" s="119">
        <f t="shared" si="4"/>
        <v>-3518</v>
      </c>
      <c r="I88" s="147">
        <f t="shared" si="5"/>
        <v>15990</v>
      </c>
      <c r="J88" s="111"/>
      <c r="K88" s="109">
        <v>28684</v>
      </c>
      <c r="L88" s="110">
        <v>0.64</v>
      </c>
      <c r="M88" s="109">
        <f t="shared" si="9"/>
        <v>2125</v>
      </c>
      <c r="N88" s="115"/>
      <c r="O88" s="111"/>
      <c r="P88" s="111"/>
      <c r="Q88" s="119">
        <f t="shared" si="7"/>
        <v>-516</v>
      </c>
      <c r="R88" s="147">
        <f t="shared" si="6"/>
        <v>3934</v>
      </c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</row>
    <row r="89" spans="1:38">
      <c r="A89" s="108">
        <v>40639</v>
      </c>
      <c r="B89" s="109">
        <v>108666</v>
      </c>
      <c r="C89" s="110">
        <v>0.748</v>
      </c>
      <c r="D89" s="109">
        <f t="shared" si="8"/>
        <v>6850</v>
      </c>
      <c r="E89" s="115"/>
      <c r="F89" s="111"/>
      <c r="G89" s="111"/>
      <c r="H89" s="119">
        <f t="shared" si="4"/>
        <v>-16153</v>
      </c>
      <c r="I89" s="147">
        <f t="shared" si="5"/>
        <v>3430</v>
      </c>
      <c r="J89" s="111"/>
      <c r="K89" s="109">
        <v>25072</v>
      </c>
      <c r="L89" s="110">
        <v>0.56000000000000005</v>
      </c>
      <c r="M89" s="109">
        <f t="shared" si="9"/>
        <v>2100</v>
      </c>
      <c r="N89" s="115"/>
      <c r="O89" s="111"/>
      <c r="P89" s="111"/>
      <c r="Q89" s="119">
        <f t="shared" si="7"/>
        <v>-3612</v>
      </c>
      <c r="R89" s="147">
        <f t="shared" si="6"/>
        <v>-1183</v>
      </c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1:38">
      <c r="A90" s="108">
        <v>40646</v>
      </c>
      <c r="B90" s="109">
        <v>117474</v>
      </c>
      <c r="C90" s="110">
        <v>0.80900000000000005</v>
      </c>
      <c r="D90" s="109">
        <f t="shared" si="8"/>
        <v>6850</v>
      </c>
      <c r="E90" s="115"/>
      <c r="F90" s="111"/>
      <c r="G90" s="111"/>
      <c r="H90" s="119">
        <f t="shared" si="4"/>
        <v>8808</v>
      </c>
      <c r="I90" s="147">
        <f t="shared" si="5"/>
        <v>14750</v>
      </c>
      <c r="J90" s="111"/>
      <c r="K90" s="109">
        <v>30733</v>
      </c>
      <c r="L90" s="110">
        <v>0.68599999999999994</v>
      </c>
      <c r="M90" s="109">
        <f t="shared" si="9"/>
        <v>2100</v>
      </c>
      <c r="N90" s="115"/>
      <c r="O90" s="111"/>
      <c r="P90" s="111"/>
      <c r="Q90" s="119">
        <f t="shared" si="7"/>
        <v>5661</v>
      </c>
      <c r="R90" s="147">
        <f t="shared" si="6"/>
        <v>8191</v>
      </c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</row>
    <row r="91" spans="1:38">
      <c r="A91" s="108">
        <v>40653</v>
      </c>
      <c r="B91" s="109">
        <v>122243</v>
      </c>
      <c r="C91" s="110">
        <v>0.84099999999999997</v>
      </c>
      <c r="D91" s="109">
        <f t="shared" si="8"/>
        <v>6850</v>
      </c>
      <c r="E91" s="115"/>
      <c r="F91" s="111"/>
      <c r="G91" s="111"/>
      <c r="H91" s="119">
        <f t="shared" si="4"/>
        <v>4769</v>
      </c>
      <c r="I91" s="147">
        <f t="shared" si="5"/>
        <v>17557</v>
      </c>
      <c r="J91" s="111"/>
      <c r="K91" s="109">
        <v>29686</v>
      </c>
      <c r="L91" s="110">
        <v>0.66299999999999992</v>
      </c>
      <c r="M91" s="109">
        <f t="shared" si="9"/>
        <v>2100</v>
      </c>
      <c r="N91" s="115"/>
      <c r="O91" s="111"/>
      <c r="P91" s="111"/>
      <c r="Q91" s="119">
        <f t="shared" si="7"/>
        <v>-1047</v>
      </c>
      <c r="R91" s="147">
        <f t="shared" si="6"/>
        <v>5445</v>
      </c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</row>
    <row r="92" spans="1:38">
      <c r="A92" s="108">
        <v>40660</v>
      </c>
      <c r="B92" s="109">
        <v>123013</v>
      </c>
      <c r="C92" s="110">
        <v>0.84699999999999998</v>
      </c>
      <c r="D92" s="109">
        <f t="shared" si="8"/>
        <v>6850</v>
      </c>
      <c r="E92" s="115"/>
      <c r="F92" s="111"/>
      <c r="G92" s="111"/>
      <c r="H92" s="119">
        <f t="shared" si="4"/>
        <v>770</v>
      </c>
      <c r="I92" s="147">
        <f t="shared" si="5"/>
        <v>21278</v>
      </c>
      <c r="J92" s="111"/>
      <c r="K92" s="109">
        <v>24753</v>
      </c>
      <c r="L92" s="110">
        <v>0.55299999999999994</v>
      </c>
      <c r="M92" s="109">
        <f t="shared" si="9"/>
        <v>2100</v>
      </c>
      <c r="N92" s="115"/>
      <c r="O92" s="111"/>
      <c r="P92" s="111"/>
      <c r="Q92" s="119">
        <f t="shared" si="7"/>
        <v>-4933</v>
      </c>
      <c r="R92" s="147">
        <f t="shared" si="6"/>
        <v>1127</v>
      </c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</row>
    <row r="93" spans="1:38">
      <c r="A93" s="108">
        <v>40667</v>
      </c>
      <c r="B93" s="109">
        <v>108803</v>
      </c>
      <c r="C93" s="110">
        <v>0.74900000000000011</v>
      </c>
      <c r="D93" s="109">
        <f t="shared" si="8"/>
        <v>6850</v>
      </c>
      <c r="E93" s="115"/>
      <c r="F93" s="111"/>
      <c r="G93" s="111"/>
      <c r="H93" s="119">
        <f t="shared" si="4"/>
        <v>-14210</v>
      </c>
      <c r="I93" s="147">
        <f t="shared" si="5"/>
        <v>23607</v>
      </c>
      <c r="J93" s="111"/>
      <c r="K93" s="109">
        <v>25210</v>
      </c>
      <c r="L93" s="110">
        <v>0.56299999999999994</v>
      </c>
      <c r="M93" s="109">
        <f t="shared" si="9"/>
        <v>2100</v>
      </c>
      <c r="N93" s="115"/>
      <c r="O93" s="111"/>
      <c r="P93" s="111"/>
      <c r="Q93" s="119">
        <f t="shared" si="7"/>
        <v>457</v>
      </c>
      <c r="R93" s="147">
        <f t="shared" si="6"/>
        <v>-2470</v>
      </c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</row>
    <row r="94" spans="1:38">
      <c r="A94" s="108">
        <v>40674</v>
      </c>
      <c r="B94" s="109">
        <v>116107</v>
      </c>
      <c r="C94" s="110">
        <v>0.79900000000000004</v>
      </c>
      <c r="D94" s="109">
        <f t="shared" si="8"/>
        <v>6850</v>
      </c>
      <c r="E94" s="115"/>
      <c r="F94" s="111"/>
      <c r="G94" s="111"/>
      <c r="H94" s="119">
        <f t="shared" si="4"/>
        <v>7304</v>
      </c>
      <c r="I94" s="147">
        <f t="shared" si="5"/>
        <v>6773</v>
      </c>
      <c r="J94" s="111"/>
      <c r="K94" s="109">
        <v>29407</v>
      </c>
      <c r="L94" s="110">
        <v>0.65599999999999992</v>
      </c>
      <c r="M94" s="109">
        <f t="shared" si="9"/>
        <v>2125</v>
      </c>
      <c r="N94" s="115"/>
      <c r="O94" s="111"/>
      <c r="P94" s="111"/>
      <c r="Q94" s="119">
        <f t="shared" si="7"/>
        <v>4197</v>
      </c>
      <c r="R94" s="147">
        <f t="shared" si="6"/>
        <v>2229</v>
      </c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</row>
    <row r="95" spans="1:38">
      <c r="A95" s="108">
        <v>40681</v>
      </c>
      <c r="B95" s="109">
        <v>106848</v>
      </c>
      <c r="C95" s="110">
        <v>0.73499999999999999</v>
      </c>
      <c r="D95" s="109">
        <f t="shared" si="8"/>
        <v>6850</v>
      </c>
      <c r="E95" s="115"/>
      <c r="F95" s="111"/>
      <c r="G95" s="111"/>
      <c r="H95" s="119">
        <f t="shared" si="4"/>
        <v>-9259</v>
      </c>
      <c r="I95" s="147">
        <f t="shared" si="5"/>
        <v>-7893</v>
      </c>
      <c r="J95" s="111"/>
      <c r="K95" s="109">
        <v>27796</v>
      </c>
      <c r="L95" s="110">
        <v>0.62</v>
      </c>
      <c r="M95" s="109">
        <f t="shared" si="9"/>
        <v>2125</v>
      </c>
      <c r="N95" s="115"/>
      <c r="O95" s="111"/>
      <c r="P95" s="111"/>
      <c r="Q95" s="119">
        <f t="shared" si="7"/>
        <v>-1611</v>
      </c>
      <c r="R95" s="147">
        <f t="shared" si="6"/>
        <v>-1958</v>
      </c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</row>
    <row r="96" spans="1:38">
      <c r="A96" s="108">
        <v>40688</v>
      </c>
      <c r="B96" s="109">
        <v>116718</v>
      </c>
      <c r="C96" s="110">
        <v>0.80299999999999994</v>
      </c>
      <c r="D96" s="109">
        <f t="shared" si="8"/>
        <v>6850</v>
      </c>
      <c r="E96" s="115"/>
      <c r="F96" s="111"/>
      <c r="G96" s="111"/>
      <c r="H96" s="119">
        <f t="shared" si="4"/>
        <v>9870</v>
      </c>
      <c r="I96" s="147">
        <f t="shared" si="5"/>
        <v>16655</v>
      </c>
      <c r="J96" s="111"/>
      <c r="K96" s="109">
        <v>29191</v>
      </c>
      <c r="L96" s="110">
        <v>0.65200000000000002</v>
      </c>
      <c r="M96" s="109">
        <f t="shared" si="9"/>
        <v>2100</v>
      </c>
      <c r="N96" s="115"/>
      <c r="O96" s="111"/>
      <c r="P96" s="111"/>
      <c r="Q96" s="119">
        <f t="shared" si="7"/>
        <v>1395</v>
      </c>
      <c r="R96" s="147">
        <f t="shared" si="6"/>
        <v>6266</v>
      </c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</row>
    <row r="97" spans="1:38">
      <c r="A97" s="108">
        <v>40695</v>
      </c>
      <c r="B97" s="109">
        <v>90830</v>
      </c>
      <c r="C97" s="110">
        <v>0.625</v>
      </c>
      <c r="D97" s="109">
        <f t="shared" si="8"/>
        <v>6850</v>
      </c>
      <c r="E97" s="115"/>
      <c r="F97" s="111"/>
      <c r="G97" s="111"/>
      <c r="H97" s="119">
        <f t="shared" si="4"/>
        <v>-25888</v>
      </c>
      <c r="I97" s="147">
        <f t="shared" si="5"/>
        <v>7009</v>
      </c>
      <c r="J97" s="111"/>
      <c r="K97" s="109">
        <v>25450</v>
      </c>
      <c r="L97" s="110">
        <v>0.56799999999999995</v>
      </c>
      <c r="M97" s="109">
        <f t="shared" si="9"/>
        <v>2100</v>
      </c>
      <c r="N97" s="115"/>
      <c r="O97" s="111"/>
      <c r="P97" s="111"/>
      <c r="Q97" s="119">
        <f t="shared" si="7"/>
        <v>-3741</v>
      </c>
      <c r="R97" s="147">
        <f t="shared" si="6"/>
        <v>12119</v>
      </c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</row>
    <row r="98" spans="1:38">
      <c r="A98" s="108">
        <v>40702</v>
      </c>
      <c r="B98" s="109">
        <v>86457</v>
      </c>
      <c r="C98" s="110">
        <v>0.59499999999999997</v>
      </c>
      <c r="D98" s="109">
        <f t="shared" si="8"/>
        <v>6850</v>
      </c>
      <c r="E98" s="115"/>
      <c r="F98" s="111"/>
      <c r="G98" s="111"/>
      <c r="H98" s="119">
        <f t="shared" si="4"/>
        <v>-4373</v>
      </c>
      <c r="I98" s="147">
        <f t="shared" si="5"/>
        <v>-12427</v>
      </c>
      <c r="J98" s="111"/>
      <c r="K98" s="109">
        <v>26391</v>
      </c>
      <c r="L98" s="110">
        <v>0.58899999999999997</v>
      </c>
      <c r="M98" s="109">
        <f t="shared" si="9"/>
        <v>2100</v>
      </c>
      <c r="N98" s="115"/>
      <c r="O98" s="111"/>
      <c r="P98" s="111"/>
      <c r="Q98" s="119">
        <f t="shared" si="7"/>
        <v>941</v>
      </c>
      <c r="R98" s="147">
        <f t="shared" si="6"/>
        <v>-1589</v>
      </c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</row>
    <row r="99" spans="1:38">
      <c r="A99" s="108">
        <v>40709</v>
      </c>
      <c r="B99" s="109">
        <v>108604</v>
      </c>
      <c r="C99" s="110">
        <v>0.748</v>
      </c>
      <c r="D99" s="109">
        <f t="shared" si="8"/>
        <v>6850</v>
      </c>
      <c r="E99" s="115"/>
      <c r="F99" s="111"/>
      <c r="G99" s="111"/>
      <c r="H99" s="119">
        <f t="shared" si="4"/>
        <v>22147</v>
      </c>
      <c r="I99" s="147">
        <f t="shared" si="5"/>
        <v>3864</v>
      </c>
      <c r="J99" s="111"/>
      <c r="K99" s="109">
        <v>25622</v>
      </c>
      <c r="L99" s="110">
        <v>0.57200000000000006</v>
      </c>
      <c r="M99" s="109">
        <f t="shared" si="9"/>
        <v>2100</v>
      </c>
      <c r="N99" s="115"/>
      <c r="O99" s="111"/>
      <c r="P99" s="111"/>
      <c r="Q99" s="119">
        <f t="shared" si="7"/>
        <v>-769</v>
      </c>
      <c r="R99" s="147">
        <f t="shared" si="6"/>
        <v>6947</v>
      </c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</row>
    <row r="100" spans="1:38">
      <c r="A100" s="108">
        <v>40716</v>
      </c>
      <c r="B100" s="109">
        <v>122504</v>
      </c>
      <c r="C100" s="110">
        <v>0.84299999999999997</v>
      </c>
      <c r="D100" s="109">
        <f t="shared" si="8"/>
        <v>6850</v>
      </c>
      <c r="E100" s="115"/>
      <c r="F100" s="111"/>
      <c r="G100" s="111"/>
      <c r="H100" s="119">
        <f t="shared" si="4"/>
        <v>13900</v>
      </c>
      <c r="I100" s="147">
        <f t="shared" si="5"/>
        <v>13388</v>
      </c>
      <c r="J100" s="111"/>
      <c r="K100" s="109">
        <v>13671</v>
      </c>
      <c r="L100" s="110">
        <v>0.30499999999999999</v>
      </c>
      <c r="M100" s="109">
        <f t="shared" si="9"/>
        <v>2125</v>
      </c>
      <c r="N100" s="115"/>
      <c r="O100" s="111"/>
      <c r="P100" s="111"/>
      <c r="Q100" s="119">
        <f t="shared" si="7"/>
        <v>-11951</v>
      </c>
      <c r="R100" s="147">
        <f t="shared" si="6"/>
        <v>-1478</v>
      </c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</row>
    <row r="101" spans="1:38">
      <c r="A101" s="108">
        <v>40723</v>
      </c>
      <c r="B101" s="109">
        <v>110953</v>
      </c>
      <c r="C101" s="110">
        <v>0.76400000000000001</v>
      </c>
      <c r="D101" s="109">
        <f t="shared" si="8"/>
        <v>6850</v>
      </c>
      <c r="E101" s="115"/>
      <c r="F101" s="111"/>
      <c r="G101" s="111"/>
      <c r="H101" s="119">
        <f t="shared" si="4"/>
        <v>-11551</v>
      </c>
      <c r="I101" s="147">
        <f t="shared" si="5"/>
        <v>5233</v>
      </c>
      <c r="J101" s="111"/>
      <c r="K101" s="109">
        <v>28392</v>
      </c>
      <c r="L101" s="110">
        <v>0.63400000000000001</v>
      </c>
      <c r="M101" s="109">
        <f t="shared" si="9"/>
        <v>2100</v>
      </c>
      <c r="N101" s="115"/>
      <c r="O101" s="111"/>
      <c r="P101" s="111"/>
      <c r="Q101" s="119">
        <f t="shared" si="7"/>
        <v>14721</v>
      </c>
      <c r="R101" s="147">
        <f t="shared" si="6"/>
        <v>13918</v>
      </c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</row>
    <row r="102" spans="1:38">
      <c r="A102" s="108">
        <v>40730</v>
      </c>
      <c r="B102" s="109">
        <v>116445</v>
      </c>
      <c r="C102" s="110">
        <v>0.80099999999999993</v>
      </c>
      <c r="D102" s="109">
        <f t="shared" si="8"/>
        <v>6850</v>
      </c>
      <c r="E102" s="115"/>
      <c r="F102" s="111"/>
      <c r="G102" s="111"/>
      <c r="H102" s="119">
        <f t="shared" si="4"/>
        <v>5492</v>
      </c>
      <c r="I102" s="147">
        <f t="shared" si="5"/>
        <v>8854</v>
      </c>
      <c r="J102" s="111"/>
      <c r="K102" s="109">
        <v>17701</v>
      </c>
      <c r="L102" s="110">
        <v>0.39500000000000002</v>
      </c>
      <c r="M102" s="109">
        <f t="shared" si="9"/>
        <v>2125</v>
      </c>
      <c r="N102" s="115"/>
      <c r="O102" s="111"/>
      <c r="P102" s="111"/>
      <c r="Q102" s="119">
        <f t="shared" si="7"/>
        <v>-10691</v>
      </c>
      <c r="R102" s="147">
        <f t="shared" si="6"/>
        <v>-9635</v>
      </c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</row>
    <row r="103" spans="1:38">
      <c r="A103" s="108">
        <v>40737</v>
      </c>
      <c r="B103" s="109">
        <v>111564</v>
      </c>
      <c r="C103" s="110">
        <v>0.76800000000000002</v>
      </c>
      <c r="D103" s="109">
        <f t="shared" si="8"/>
        <v>6850</v>
      </c>
      <c r="E103" s="115"/>
      <c r="F103" s="111"/>
      <c r="G103" s="111"/>
      <c r="H103" s="119">
        <f t="shared" si="4"/>
        <v>-4881</v>
      </c>
      <c r="I103" s="147">
        <f t="shared" si="5"/>
        <v>1594</v>
      </c>
      <c r="J103" s="111"/>
      <c r="K103" s="109">
        <v>14941</v>
      </c>
      <c r="L103" s="110">
        <v>0.33399999999999996</v>
      </c>
      <c r="M103" s="109">
        <f t="shared" si="9"/>
        <v>2100</v>
      </c>
      <c r="N103" s="115"/>
      <c r="O103" s="111"/>
      <c r="P103" s="111"/>
      <c r="Q103" s="119">
        <f t="shared" si="7"/>
        <v>-2760</v>
      </c>
      <c r="R103" s="147">
        <f t="shared" si="6"/>
        <v>-11275</v>
      </c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</row>
    <row r="104" spans="1:38">
      <c r="A104" s="108">
        <v>40744</v>
      </c>
      <c r="B104" s="109">
        <v>120754</v>
      </c>
      <c r="C104" s="110">
        <v>0.83099999999999996</v>
      </c>
      <c r="D104" s="109">
        <f t="shared" si="8"/>
        <v>6850</v>
      </c>
      <c r="E104" s="115"/>
      <c r="F104" s="111"/>
      <c r="G104" s="111"/>
      <c r="H104" s="119">
        <f t="shared" si="4"/>
        <v>9190</v>
      </c>
      <c r="I104" s="147">
        <f t="shared" si="5"/>
        <v>5848</v>
      </c>
      <c r="J104" s="111"/>
      <c r="K104" s="109">
        <v>20817</v>
      </c>
      <c r="L104" s="110">
        <v>0.46500000000000002</v>
      </c>
      <c r="M104" s="109">
        <f t="shared" si="9"/>
        <v>2100</v>
      </c>
      <c r="N104" s="115"/>
      <c r="O104" s="111"/>
      <c r="P104" s="111"/>
      <c r="Q104" s="119">
        <f t="shared" si="7"/>
        <v>5876</v>
      </c>
      <c r="R104" s="147">
        <f t="shared" si="6"/>
        <v>-3788</v>
      </c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</row>
    <row r="105" spans="1:38">
      <c r="A105" s="108">
        <v>40751</v>
      </c>
      <c r="B105" s="109">
        <v>126144</v>
      </c>
      <c r="C105" s="110">
        <v>0.86799999999999999</v>
      </c>
      <c r="D105" s="109">
        <f t="shared" si="8"/>
        <v>6850</v>
      </c>
      <c r="E105" s="115"/>
      <c r="F105" s="111"/>
      <c r="G105" s="111"/>
      <c r="H105" s="119">
        <f t="shared" si="4"/>
        <v>5390</v>
      </c>
      <c r="I105" s="147">
        <f t="shared" si="5"/>
        <v>9195</v>
      </c>
      <c r="J105" s="111"/>
      <c r="K105" s="109">
        <v>28783</v>
      </c>
      <c r="L105" s="110">
        <v>0.64200000000000002</v>
      </c>
      <c r="M105" s="109">
        <f t="shared" si="9"/>
        <v>2125</v>
      </c>
      <c r="N105" s="115"/>
      <c r="O105" s="111"/>
      <c r="P105" s="111"/>
      <c r="Q105" s="119">
        <f t="shared" si="7"/>
        <v>7966</v>
      </c>
      <c r="R105" s="147">
        <f t="shared" si="6"/>
        <v>1680</v>
      </c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</row>
    <row r="106" spans="1:38">
      <c r="A106" s="108">
        <v>40758</v>
      </c>
      <c r="B106" s="109">
        <v>50143</v>
      </c>
      <c r="C106" s="110"/>
      <c r="D106" s="109" t="str">
        <f t="shared" si="8"/>
        <v/>
      </c>
      <c r="E106" s="115"/>
      <c r="F106" s="111"/>
      <c r="G106" s="111"/>
      <c r="H106" s="119">
        <f t="shared" si="4"/>
        <v>-76001</v>
      </c>
      <c r="I106" s="147">
        <f t="shared" si="5"/>
        <v>-16625</v>
      </c>
      <c r="J106" s="111"/>
      <c r="K106" s="109">
        <v>10462</v>
      </c>
      <c r="L106" s="110"/>
      <c r="M106" s="109" t="str">
        <f t="shared" si="9"/>
        <v/>
      </c>
      <c r="N106" s="115"/>
      <c r="O106" s="111"/>
      <c r="P106" s="111"/>
      <c r="Q106" s="119">
        <f t="shared" si="7"/>
        <v>-18321</v>
      </c>
      <c r="R106" s="147">
        <f t="shared" si="6"/>
        <v>-6383</v>
      </c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</row>
    <row r="107" spans="1:38">
      <c r="A107" s="108">
        <v>40765</v>
      </c>
      <c r="B107" s="109">
        <v>115028</v>
      </c>
      <c r="C107" s="110">
        <v>0.79</v>
      </c>
      <c r="D107" s="109">
        <f t="shared" si="8"/>
        <v>6875</v>
      </c>
      <c r="E107" s="115"/>
      <c r="F107" s="111"/>
      <c r="G107" s="111"/>
      <c r="H107" s="119">
        <f t="shared" si="4"/>
        <v>64885</v>
      </c>
      <c r="I107" s="147">
        <f t="shared" si="5"/>
        <v>-541</v>
      </c>
      <c r="J107" s="111"/>
      <c r="K107" s="109">
        <v>25926</v>
      </c>
      <c r="L107" s="110">
        <v>0.57899999999999996</v>
      </c>
      <c r="M107" s="109">
        <f t="shared" si="9"/>
        <v>2100</v>
      </c>
      <c r="N107" s="115"/>
      <c r="O107" s="111"/>
      <c r="P107" s="111"/>
      <c r="Q107" s="119">
        <f t="shared" si="7"/>
        <v>15464</v>
      </c>
      <c r="R107" s="147">
        <f t="shared" si="6"/>
        <v>-4058</v>
      </c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</row>
    <row r="108" spans="1:38">
      <c r="A108" s="108">
        <v>40772</v>
      </c>
      <c r="B108" s="109">
        <v>110379</v>
      </c>
      <c r="C108" s="110">
        <v>0.76</v>
      </c>
      <c r="D108" s="109">
        <f t="shared" si="8"/>
        <v>6850</v>
      </c>
      <c r="E108" s="115"/>
      <c r="F108" s="111"/>
      <c r="G108" s="111"/>
      <c r="H108" s="119">
        <f t="shared" si="4"/>
        <v>-4649</v>
      </c>
      <c r="I108" s="147">
        <f t="shared" si="5"/>
        <v>20203</v>
      </c>
      <c r="J108" s="111"/>
      <c r="K108" s="109">
        <v>26568</v>
      </c>
      <c r="L108" s="110">
        <v>0.59299999999999997</v>
      </c>
      <c r="M108" s="109">
        <f t="shared" si="9"/>
        <v>2100</v>
      </c>
      <c r="N108" s="115"/>
      <c r="O108" s="111"/>
      <c r="P108" s="111"/>
      <c r="Q108" s="119">
        <f t="shared" si="7"/>
        <v>642</v>
      </c>
      <c r="R108" s="147">
        <f t="shared" si="6"/>
        <v>4006</v>
      </c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</row>
    <row r="109" spans="1:38">
      <c r="A109" s="108">
        <v>40779</v>
      </c>
      <c r="B109" s="109">
        <v>86039</v>
      </c>
      <c r="C109" s="110">
        <v>0.59200000000000008</v>
      </c>
      <c r="D109" s="109">
        <f t="shared" si="8"/>
        <v>6850</v>
      </c>
      <c r="E109" s="115"/>
      <c r="F109" s="111"/>
      <c r="G109" s="111"/>
      <c r="H109" s="119">
        <f t="shared" si="4"/>
        <v>-24340</v>
      </c>
      <c r="I109" s="147">
        <f t="shared" si="5"/>
        <v>-2209</v>
      </c>
      <c r="J109" s="111"/>
      <c r="K109" s="109">
        <v>23160</v>
      </c>
      <c r="L109" s="110">
        <v>0.51700000000000002</v>
      </c>
      <c r="M109" s="109">
        <f t="shared" si="9"/>
        <v>2100</v>
      </c>
      <c r="N109" s="115"/>
      <c r="O109" s="111"/>
      <c r="P109" s="111"/>
      <c r="Q109" s="119">
        <f t="shared" si="7"/>
        <v>-3408</v>
      </c>
      <c r="R109" s="147">
        <f t="shared" si="6"/>
        <v>8233</v>
      </c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</row>
    <row r="110" spans="1:38">
      <c r="A110" s="108">
        <v>40786</v>
      </c>
      <c r="B110" s="109">
        <v>73560</v>
      </c>
      <c r="C110" s="110">
        <v>0.50600000000000001</v>
      </c>
      <c r="D110" s="109">
        <f t="shared" si="8"/>
        <v>6850</v>
      </c>
      <c r="E110" s="115"/>
      <c r="F110" s="111"/>
      <c r="G110" s="111"/>
      <c r="H110" s="119">
        <f t="shared" si="4"/>
        <v>-12479</v>
      </c>
      <c r="I110" s="147">
        <f t="shared" si="5"/>
        <v>-34807</v>
      </c>
      <c r="J110" s="111"/>
      <c r="K110" s="109">
        <v>19611</v>
      </c>
      <c r="L110" s="110">
        <v>0.43799999999999994</v>
      </c>
      <c r="M110" s="109">
        <f t="shared" si="9"/>
        <v>2100</v>
      </c>
      <c r="N110" s="115"/>
      <c r="O110" s="111"/>
      <c r="P110" s="111"/>
      <c r="Q110" s="119">
        <f t="shared" si="7"/>
        <v>-3549</v>
      </c>
      <c r="R110" s="147">
        <f t="shared" si="6"/>
        <v>1197</v>
      </c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</row>
    <row r="111" spans="1:38">
      <c r="A111" s="108">
        <v>40793</v>
      </c>
      <c r="B111" s="109">
        <v>111669</v>
      </c>
      <c r="C111" s="110">
        <v>0.76900000000000002</v>
      </c>
      <c r="D111" s="109">
        <f t="shared" si="8"/>
        <v>6850</v>
      </c>
      <c r="E111" s="115"/>
      <c r="F111" s="111"/>
      <c r="G111" s="111"/>
      <c r="H111" s="119">
        <f t="shared" si="4"/>
        <v>38109</v>
      </c>
      <c r="I111" s="147">
        <f t="shared" si="5"/>
        <v>-6618</v>
      </c>
      <c r="J111" s="111"/>
      <c r="K111" s="109">
        <v>22472</v>
      </c>
      <c r="L111" s="110">
        <v>0.502</v>
      </c>
      <c r="M111" s="109">
        <f t="shared" si="9"/>
        <v>2100</v>
      </c>
      <c r="N111" s="115"/>
      <c r="O111" s="111"/>
      <c r="P111" s="111"/>
      <c r="Q111" s="119">
        <f t="shared" si="7"/>
        <v>2861</v>
      </c>
      <c r="R111" s="147">
        <f t="shared" si="6"/>
        <v>-6807</v>
      </c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</row>
    <row r="112" spans="1:38">
      <c r="A112" s="108">
        <v>40800</v>
      </c>
      <c r="B112" s="109">
        <v>115184</v>
      </c>
      <c r="C112" s="110">
        <v>0.79299999999999993</v>
      </c>
      <c r="D112" s="109">
        <f t="shared" si="8"/>
        <v>6850</v>
      </c>
      <c r="E112" s="115"/>
      <c r="F112" s="111"/>
      <c r="G112" s="111"/>
      <c r="H112" s="119">
        <f t="shared" si="4"/>
        <v>3515</v>
      </c>
      <c r="I112" s="147">
        <f t="shared" si="5"/>
        <v>6458</v>
      </c>
      <c r="J112" s="111"/>
      <c r="K112" s="109">
        <v>22390</v>
      </c>
      <c r="L112" s="110">
        <v>0.5</v>
      </c>
      <c r="M112" s="109">
        <f t="shared" si="9"/>
        <v>2100</v>
      </c>
      <c r="N112" s="115"/>
      <c r="O112" s="111"/>
      <c r="P112" s="111"/>
      <c r="Q112" s="119">
        <f t="shared" si="7"/>
        <v>-82</v>
      </c>
      <c r="R112" s="147">
        <f t="shared" si="6"/>
        <v>-6837</v>
      </c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</row>
    <row r="113" spans="1:38">
      <c r="A113" s="108">
        <v>40807</v>
      </c>
      <c r="B113" s="109">
        <v>131994</v>
      </c>
      <c r="C113" s="110">
        <v>0.9</v>
      </c>
      <c r="D113" s="109">
        <f t="shared" si="8"/>
        <v>6925</v>
      </c>
      <c r="E113" s="115"/>
      <c r="F113" s="111"/>
      <c r="G113" s="111"/>
      <c r="H113" s="119">
        <f t="shared" si="4"/>
        <v>16810</v>
      </c>
      <c r="I113" s="147">
        <f t="shared" si="5"/>
        <v>26406</v>
      </c>
      <c r="J113" s="111"/>
      <c r="K113" s="109">
        <v>25205</v>
      </c>
      <c r="L113" s="110">
        <v>0.56299999999999994</v>
      </c>
      <c r="M113" s="109">
        <f t="shared" si="9"/>
        <v>2100</v>
      </c>
      <c r="N113" s="115"/>
      <c r="O113" s="111"/>
      <c r="P113" s="111"/>
      <c r="Q113" s="119">
        <f t="shared" si="7"/>
        <v>2815</v>
      </c>
      <c r="R113" s="147">
        <f t="shared" si="6"/>
        <v>1991</v>
      </c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</row>
    <row r="114" spans="1:38">
      <c r="A114" s="108">
        <v>40814</v>
      </c>
      <c r="B114" s="109">
        <v>120713</v>
      </c>
      <c r="C114" s="110">
        <v>0.82299999999999995</v>
      </c>
      <c r="D114" s="109">
        <f t="shared" si="8"/>
        <v>6925</v>
      </c>
      <c r="E114" s="115"/>
      <c r="F114" s="111"/>
      <c r="G114" s="111"/>
      <c r="H114" s="119">
        <f t="shared" si="4"/>
        <v>-11281</v>
      </c>
      <c r="I114" s="147">
        <f t="shared" si="5"/>
        <v>23914</v>
      </c>
      <c r="J114" s="111"/>
      <c r="K114" s="109">
        <v>17849</v>
      </c>
      <c r="L114" s="110">
        <v>0.39799999999999996</v>
      </c>
      <c r="M114" s="109">
        <f t="shared" si="9"/>
        <v>2125</v>
      </c>
      <c r="N114" s="115"/>
      <c r="O114" s="111"/>
      <c r="P114" s="111"/>
      <c r="Q114" s="119">
        <f t="shared" si="7"/>
        <v>-7356</v>
      </c>
      <c r="R114" s="147">
        <f t="shared" si="6"/>
        <v>-11086</v>
      </c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</row>
    <row r="115" spans="1:38">
      <c r="A115" s="108">
        <v>40821</v>
      </c>
      <c r="B115" s="109">
        <v>121185</v>
      </c>
      <c r="C115" s="110">
        <v>0.82599999999999996</v>
      </c>
      <c r="D115" s="109">
        <f t="shared" si="8"/>
        <v>6925</v>
      </c>
      <c r="E115" s="115"/>
      <c r="F115" s="111"/>
      <c r="G115" s="111"/>
      <c r="H115" s="119">
        <f t="shared" si="4"/>
        <v>472</v>
      </c>
      <c r="I115" s="147">
        <f t="shared" si="5"/>
        <v>7295</v>
      </c>
      <c r="J115" s="111"/>
      <c r="K115" s="109">
        <v>17685</v>
      </c>
      <c r="L115" s="110">
        <v>0.39500000000000002</v>
      </c>
      <c r="M115" s="109">
        <f t="shared" si="9"/>
        <v>2100</v>
      </c>
      <c r="N115" s="115"/>
      <c r="O115" s="111"/>
      <c r="P115" s="111"/>
      <c r="Q115" s="119">
        <f t="shared" si="7"/>
        <v>-164</v>
      </c>
      <c r="R115" s="147">
        <f t="shared" si="6"/>
        <v>-6488</v>
      </c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</row>
    <row r="116" spans="1:38">
      <c r="A116" s="108">
        <v>40828</v>
      </c>
      <c r="B116" s="109">
        <v>124337</v>
      </c>
      <c r="C116" s="110">
        <v>0.84799999999999998</v>
      </c>
      <c r="D116" s="109">
        <f t="shared" si="8"/>
        <v>6900</v>
      </c>
      <c r="E116" s="115"/>
      <c r="F116" s="111"/>
      <c r="G116" s="111"/>
      <c r="H116" s="119">
        <f t="shared" si="4"/>
        <v>3152</v>
      </c>
      <c r="I116" s="147">
        <f t="shared" si="5"/>
        <v>384</v>
      </c>
      <c r="J116" s="111"/>
      <c r="K116" s="109">
        <v>27748</v>
      </c>
      <c r="L116" s="110">
        <v>0.61899999999999999</v>
      </c>
      <c r="M116" s="109">
        <f t="shared" si="9"/>
        <v>2125</v>
      </c>
      <c r="N116" s="115"/>
      <c r="O116" s="111"/>
      <c r="P116" s="111"/>
      <c r="Q116" s="119">
        <f t="shared" si="7"/>
        <v>10063</v>
      </c>
      <c r="R116" s="147">
        <f t="shared" si="6"/>
        <v>-1785</v>
      </c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</row>
    <row r="117" spans="1:38">
      <c r="A117" s="108">
        <v>40835</v>
      </c>
      <c r="B117" s="109">
        <v>115338</v>
      </c>
      <c r="C117" s="110">
        <v>0.78599999999999992</v>
      </c>
      <c r="D117" s="109">
        <f t="shared" si="8"/>
        <v>6925</v>
      </c>
      <c r="E117" s="115"/>
      <c r="F117" s="111"/>
      <c r="G117" s="111"/>
      <c r="H117" s="119">
        <f t="shared" si="4"/>
        <v>-8999</v>
      </c>
      <c r="I117" s="147">
        <f t="shared" si="5"/>
        <v>-16036</v>
      </c>
      <c r="J117" s="111"/>
      <c r="K117" s="109">
        <v>28717</v>
      </c>
      <c r="L117" s="110">
        <v>0.6409999999999999</v>
      </c>
      <c r="M117" s="109">
        <f t="shared" si="9"/>
        <v>2100</v>
      </c>
      <c r="N117" s="115"/>
      <c r="O117" s="111"/>
      <c r="P117" s="111"/>
      <c r="Q117" s="119">
        <f t="shared" si="7"/>
        <v>969</v>
      </c>
      <c r="R117" s="147">
        <f t="shared" si="6"/>
        <v>1075</v>
      </c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</row>
    <row r="118" spans="1:38">
      <c r="A118" s="108">
        <v>40842</v>
      </c>
      <c r="B118" s="109">
        <v>126681</v>
      </c>
      <c r="C118" s="110">
        <v>0.8640000000000001</v>
      </c>
      <c r="D118" s="109">
        <f t="shared" si="8"/>
        <v>6900</v>
      </c>
      <c r="E118" s="115"/>
      <c r="F118" s="111"/>
      <c r="G118" s="111"/>
      <c r="H118" s="119">
        <f t="shared" ref="H118:H179" si="10">B118-B117</f>
        <v>11343</v>
      </c>
      <c r="I118" s="147">
        <f t="shared" si="5"/>
        <v>-4450</v>
      </c>
      <c r="J118" s="111"/>
      <c r="K118" s="109">
        <v>29933</v>
      </c>
      <c r="L118" s="110">
        <v>0.66799999999999993</v>
      </c>
      <c r="M118" s="109">
        <f t="shared" si="9"/>
        <v>2100</v>
      </c>
      <c r="N118" s="115"/>
      <c r="O118" s="111"/>
      <c r="P118" s="111"/>
      <c r="Q118" s="119">
        <f t="shared" si="7"/>
        <v>1216</v>
      </c>
      <c r="R118" s="147">
        <f t="shared" ref="R118:R181" si="11">K118-K66</f>
        <v>1422</v>
      </c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</row>
    <row r="119" spans="1:38">
      <c r="A119" s="108">
        <v>40849</v>
      </c>
      <c r="B119" s="109">
        <v>141754</v>
      </c>
      <c r="C119" s="110">
        <v>0.96599999999999997</v>
      </c>
      <c r="D119" s="109">
        <f t="shared" si="8"/>
        <v>6925</v>
      </c>
      <c r="E119" s="115"/>
      <c r="F119" s="111"/>
      <c r="G119" s="111"/>
      <c r="H119" s="119">
        <f t="shared" si="10"/>
        <v>15073</v>
      </c>
      <c r="I119" s="147">
        <f t="shared" ref="I119:I182" si="12">B119-B67</f>
        <v>19014</v>
      </c>
      <c r="J119" s="111"/>
      <c r="K119" s="109">
        <v>27641</v>
      </c>
      <c r="L119" s="110">
        <v>0.61699999999999999</v>
      </c>
      <c r="M119" s="109">
        <f t="shared" si="9"/>
        <v>2100</v>
      </c>
      <c r="N119" s="115"/>
      <c r="O119" s="111"/>
      <c r="P119" s="111"/>
      <c r="Q119" s="119">
        <f t="shared" si="7"/>
        <v>-2292</v>
      </c>
      <c r="R119" s="147">
        <f t="shared" si="11"/>
        <v>2774</v>
      </c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</row>
    <row r="120" spans="1:38">
      <c r="A120" s="108">
        <v>40856</v>
      </c>
      <c r="B120" s="109">
        <v>125770</v>
      </c>
      <c r="C120" s="110">
        <v>0.85699999999999998</v>
      </c>
      <c r="D120" s="109">
        <f t="shared" si="8"/>
        <v>6925</v>
      </c>
      <c r="E120" s="115"/>
      <c r="F120" s="111"/>
      <c r="G120" s="111"/>
      <c r="H120" s="119">
        <f t="shared" si="10"/>
        <v>-15984</v>
      </c>
      <c r="I120" s="147">
        <f t="shared" si="12"/>
        <v>1532</v>
      </c>
      <c r="J120" s="111"/>
      <c r="K120" s="109">
        <v>29342</v>
      </c>
      <c r="L120" s="110">
        <v>0.65500000000000003</v>
      </c>
      <c r="M120" s="109">
        <f t="shared" si="9"/>
        <v>2100</v>
      </c>
      <c r="N120" s="115"/>
      <c r="O120" s="111"/>
      <c r="P120" s="111"/>
      <c r="Q120" s="119">
        <f t="shared" si="7"/>
        <v>1701</v>
      </c>
      <c r="R120" s="147">
        <f t="shared" si="11"/>
        <v>-1338</v>
      </c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</row>
    <row r="121" spans="1:38">
      <c r="A121" s="108">
        <v>40863</v>
      </c>
      <c r="B121" s="109">
        <v>130972</v>
      </c>
      <c r="C121" s="110">
        <v>0.89300000000000002</v>
      </c>
      <c r="D121" s="109">
        <f t="shared" si="8"/>
        <v>6925</v>
      </c>
      <c r="E121" s="115"/>
      <c r="F121" s="111"/>
      <c r="G121" s="111"/>
      <c r="H121" s="119">
        <f t="shared" si="10"/>
        <v>5202</v>
      </c>
      <c r="I121" s="147">
        <f t="shared" si="12"/>
        <v>5932</v>
      </c>
      <c r="J121" s="111"/>
      <c r="K121" s="109">
        <v>27157</v>
      </c>
      <c r="L121" s="110">
        <v>0.60599999999999998</v>
      </c>
      <c r="M121" s="109">
        <f t="shared" si="9"/>
        <v>2125</v>
      </c>
      <c r="N121" s="115"/>
      <c r="O121" s="111"/>
      <c r="P121" s="111"/>
      <c r="Q121" s="119">
        <f t="shared" si="7"/>
        <v>-2185</v>
      </c>
      <c r="R121" s="147">
        <f t="shared" si="11"/>
        <v>-1083</v>
      </c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</row>
    <row r="122" spans="1:38">
      <c r="A122" s="108">
        <v>40870</v>
      </c>
      <c r="B122" s="109">
        <v>132105</v>
      </c>
      <c r="C122" s="110">
        <v>0.90099999999999991</v>
      </c>
      <c r="D122" s="109">
        <f t="shared" si="8"/>
        <v>6900</v>
      </c>
      <c r="E122" s="115"/>
      <c r="F122" s="111"/>
      <c r="G122" s="111"/>
      <c r="H122" s="119">
        <f t="shared" si="10"/>
        <v>1133</v>
      </c>
      <c r="I122" s="147">
        <f t="shared" si="12"/>
        <v>7011</v>
      </c>
      <c r="J122" s="111"/>
      <c r="K122" s="109">
        <v>27825</v>
      </c>
      <c r="L122" s="110">
        <v>0.621</v>
      </c>
      <c r="M122" s="109">
        <f t="shared" si="9"/>
        <v>2100</v>
      </c>
      <c r="N122" s="115"/>
      <c r="O122" s="111"/>
      <c r="P122" s="111"/>
      <c r="Q122" s="119">
        <f t="shared" si="7"/>
        <v>668</v>
      </c>
      <c r="R122" s="147">
        <f t="shared" si="11"/>
        <v>-2229</v>
      </c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</row>
    <row r="123" spans="1:38">
      <c r="A123" s="108">
        <v>40877</v>
      </c>
      <c r="B123" s="109">
        <v>133171</v>
      </c>
      <c r="C123" s="110">
        <v>0.90799999999999992</v>
      </c>
      <c r="D123" s="109">
        <f t="shared" si="8"/>
        <v>6925</v>
      </c>
      <c r="E123" s="115"/>
      <c r="F123" s="111"/>
      <c r="G123" s="111"/>
      <c r="H123" s="119">
        <f t="shared" si="10"/>
        <v>1066</v>
      </c>
      <c r="I123" s="147">
        <f t="shared" si="12"/>
        <v>15975</v>
      </c>
      <c r="J123" s="111"/>
      <c r="K123" s="109">
        <v>25399</v>
      </c>
      <c r="L123" s="110">
        <v>0.56700000000000006</v>
      </c>
      <c r="M123" s="109">
        <f t="shared" si="9"/>
        <v>2100</v>
      </c>
      <c r="N123" s="115"/>
      <c r="O123" s="111"/>
      <c r="P123" s="111"/>
      <c r="Q123" s="119">
        <f t="shared" si="7"/>
        <v>-2426</v>
      </c>
      <c r="R123" s="147">
        <f t="shared" si="11"/>
        <v>2924</v>
      </c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</row>
    <row r="124" spans="1:38">
      <c r="A124" s="108">
        <v>40884</v>
      </c>
      <c r="B124" s="109">
        <v>131475</v>
      </c>
      <c r="C124" s="110">
        <v>0.89599999999999991</v>
      </c>
      <c r="D124" s="109">
        <f t="shared" si="8"/>
        <v>6925</v>
      </c>
      <c r="E124" s="115"/>
      <c r="F124" s="111"/>
      <c r="G124" s="111"/>
      <c r="H124" s="119">
        <f t="shared" si="10"/>
        <v>-1696</v>
      </c>
      <c r="I124" s="147">
        <f t="shared" si="12"/>
        <v>9552</v>
      </c>
      <c r="J124" s="111"/>
      <c r="K124" s="109">
        <v>29857</v>
      </c>
      <c r="L124" s="110">
        <v>0.66599999999999993</v>
      </c>
      <c r="M124" s="109">
        <f t="shared" si="9"/>
        <v>2125</v>
      </c>
      <c r="N124" s="115"/>
      <c r="O124" s="111"/>
      <c r="P124" s="111"/>
      <c r="Q124" s="119">
        <f t="shared" si="7"/>
        <v>4458</v>
      </c>
      <c r="R124" s="147">
        <f t="shared" si="11"/>
        <v>3436</v>
      </c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</row>
    <row r="125" spans="1:38">
      <c r="A125" s="108">
        <v>40891</v>
      </c>
      <c r="B125" s="109">
        <v>134615</v>
      </c>
      <c r="C125" s="110">
        <v>0.91799999999999993</v>
      </c>
      <c r="D125" s="109">
        <f t="shared" si="8"/>
        <v>6925</v>
      </c>
      <c r="E125" s="115"/>
      <c r="F125" s="111"/>
      <c r="G125" s="111"/>
      <c r="H125" s="119">
        <f t="shared" si="10"/>
        <v>3140</v>
      </c>
      <c r="I125" s="147">
        <f t="shared" si="12"/>
        <v>19523</v>
      </c>
      <c r="J125" s="111"/>
      <c r="K125" s="109">
        <v>27867</v>
      </c>
      <c r="L125" s="110">
        <v>0.622</v>
      </c>
      <c r="M125" s="109">
        <f t="shared" si="9"/>
        <v>2100</v>
      </c>
      <c r="N125" s="115"/>
      <c r="O125" s="111"/>
      <c r="P125" s="111"/>
      <c r="Q125" s="119">
        <f t="shared" si="7"/>
        <v>-1990</v>
      </c>
      <c r="R125" s="147">
        <f t="shared" si="11"/>
        <v>2944</v>
      </c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</row>
    <row r="126" spans="1:38">
      <c r="A126" s="108">
        <v>40898</v>
      </c>
      <c r="B126" s="109">
        <v>135083</v>
      </c>
      <c r="C126" s="110">
        <v>0.92099999999999993</v>
      </c>
      <c r="D126" s="109">
        <f t="shared" si="8"/>
        <v>6925</v>
      </c>
      <c r="E126" s="115"/>
      <c r="F126" s="111"/>
      <c r="G126" s="111"/>
      <c r="H126" s="119">
        <f t="shared" si="10"/>
        <v>468</v>
      </c>
      <c r="I126" s="147">
        <f t="shared" si="12"/>
        <v>13128</v>
      </c>
      <c r="J126" s="111"/>
      <c r="K126" s="109">
        <v>29024</v>
      </c>
      <c r="L126" s="110">
        <v>0.64800000000000002</v>
      </c>
      <c r="M126" s="109">
        <f t="shared" si="9"/>
        <v>2100</v>
      </c>
      <c r="N126" s="115"/>
      <c r="O126" s="111"/>
      <c r="P126" s="111"/>
      <c r="Q126" s="119">
        <f t="shared" si="7"/>
        <v>1157</v>
      </c>
      <c r="R126" s="147">
        <f t="shared" si="11"/>
        <v>1993</v>
      </c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</row>
    <row r="127" spans="1:38">
      <c r="A127" s="108">
        <v>40905</v>
      </c>
      <c r="B127" s="109">
        <v>138850</v>
      </c>
      <c r="C127" s="110">
        <v>0.94700000000000006</v>
      </c>
      <c r="D127" s="109">
        <f t="shared" si="8"/>
        <v>6900</v>
      </c>
      <c r="E127" s="115"/>
      <c r="F127" s="111"/>
      <c r="G127" s="111"/>
      <c r="H127" s="119">
        <f t="shared" si="10"/>
        <v>3767</v>
      </c>
      <c r="I127" s="147">
        <f t="shared" si="12"/>
        <v>26986</v>
      </c>
      <c r="J127" s="111"/>
      <c r="K127" s="109">
        <v>28838</v>
      </c>
      <c r="L127" s="110">
        <v>0.64400000000000002</v>
      </c>
      <c r="M127" s="109">
        <f t="shared" si="9"/>
        <v>2100</v>
      </c>
      <c r="N127" s="115"/>
      <c r="O127" s="111"/>
      <c r="P127" s="111"/>
      <c r="Q127" s="119">
        <f t="shared" si="7"/>
        <v>-186</v>
      </c>
      <c r="R127" s="147">
        <f t="shared" si="11"/>
        <v>330</v>
      </c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</row>
    <row r="128" spans="1:38">
      <c r="A128" s="108">
        <v>40912</v>
      </c>
      <c r="B128" s="109">
        <v>141172</v>
      </c>
      <c r="C128" s="110">
        <v>0.96200000000000008</v>
      </c>
      <c r="D128" s="109">
        <f t="shared" si="8"/>
        <v>6925</v>
      </c>
      <c r="E128" s="115"/>
      <c r="F128" s="111"/>
      <c r="G128" s="111"/>
      <c r="H128" s="119">
        <f t="shared" si="10"/>
        <v>2322</v>
      </c>
      <c r="I128" s="147">
        <f t="shared" si="12"/>
        <v>31229</v>
      </c>
      <c r="J128" s="111"/>
      <c r="K128" s="109">
        <v>23775</v>
      </c>
      <c r="L128" s="110">
        <v>0.53100000000000003</v>
      </c>
      <c r="M128" s="109">
        <f t="shared" si="9"/>
        <v>2100</v>
      </c>
      <c r="N128" s="115"/>
      <c r="O128" s="111"/>
      <c r="P128" s="111"/>
      <c r="Q128" s="119">
        <f t="shared" si="7"/>
        <v>-5063</v>
      </c>
      <c r="R128" s="147">
        <f t="shared" si="11"/>
        <v>2457</v>
      </c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</row>
    <row r="129" spans="1:38">
      <c r="A129" s="108">
        <v>40919</v>
      </c>
      <c r="B129" s="109">
        <v>139906</v>
      </c>
      <c r="C129" s="110">
        <v>0.95400000000000007</v>
      </c>
      <c r="D129" s="109">
        <f t="shared" si="8"/>
        <v>6925</v>
      </c>
      <c r="E129" s="115"/>
      <c r="F129" s="111"/>
      <c r="G129" s="111"/>
      <c r="H129" s="119">
        <f t="shared" si="10"/>
        <v>-1266</v>
      </c>
      <c r="I129" s="147">
        <f t="shared" si="12"/>
        <v>23388</v>
      </c>
      <c r="J129" s="111"/>
      <c r="K129" s="109">
        <v>28621</v>
      </c>
      <c r="L129" s="110">
        <v>0.63900000000000001</v>
      </c>
      <c r="M129" s="109">
        <f t="shared" si="9"/>
        <v>2100</v>
      </c>
      <c r="N129" s="115"/>
      <c r="O129" s="111"/>
      <c r="P129" s="111"/>
      <c r="Q129" s="119">
        <f t="shared" si="7"/>
        <v>4846</v>
      </c>
      <c r="R129" s="147">
        <f t="shared" si="11"/>
        <v>236</v>
      </c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</row>
    <row r="130" spans="1:38">
      <c r="A130" s="108">
        <v>40926</v>
      </c>
      <c r="B130" s="109">
        <v>125018</v>
      </c>
      <c r="C130" s="110">
        <v>0.85199999999999998</v>
      </c>
      <c r="D130" s="109">
        <f t="shared" si="8"/>
        <v>6925</v>
      </c>
      <c r="E130" s="115"/>
      <c r="F130" s="111"/>
      <c r="G130" s="111"/>
      <c r="H130" s="119">
        <f t="shared" si="10"/>
        <v>-14888</v>
      </c>
      <c r="I130" s="147">
        <f t="shared" si="12"/>
        <v>12198</v>
      </c>
      <c r="J130" s="111"/>
      <c r="K130" s="109">
        <v>26812</v>
      </c>
      <c r="L130" s="110">
        <v>0.59799999999999998</v>
      </c>
      <c r="M130" s="109">
        <f t="shared" si="9"/>
        <v>2125</v>
      </c>
      <c r="N130" s="115"/>
      <c r="O130" s="111"/>
      <c r="P130" s="111"/>
      <c r="Q130" s="119">
        <f t="shared" si="7"/>
        <v>-1809</v>
      </c>
      <c r="R130" s="147">
        <f t="shared" si="11"/>
        <v>1205</v>
      </c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</row>
    <row r="131" spans="1:38">
      <c r="A131" s="108">
        <v>40933</v>
      </c>
      <c r="B131" s="109">
        <v>129980</v>
      </c>
      <c r="C131" s="110">
        <v>0.8859999999999999</v>
      </c>
      <c r="D131" s="109">
        <f t="shared" si="8"/>
        <v>6925</v>
      </c>
      <c r="E131" s="115"/>
      <c r="F131" s="111"/>
      <c r="G131" s="111"/>
      <c r="H131" s="119">
        <f t="shared" si="10"/>
        <v>4962</v>
      </c>
      <c r="I131" s="147">
        <f t="shared" si="12"/>
        <v>16235</v>
      </c>
      <c r="J131" s="111"/>
      <c r="K131" s="109">
        <v>27553</v>
      </c>
      <c r="L131" s="110">
        <v>0.61499999999999999</v>
      </c>
      <c r="M131" s="109">
        <f t="shared" si="9"/>
        <v>2100</v>
      </c>
      <c r="N131" s="115"/>
      <c r="O131" s="111"/>
      <c r="P131" s="111"/>
      <c r="Q131" s="119">
        <f t="shared" ref="Q131:Q194" si="13">K131-K130</f>
        <v>741</v>
      </c>
      <c r="R131" s="147">
        <f t="shared" si="11"/>
        <v>3480</v>
      </c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</row>
    <row r="132" spans="1:38">
      <c r="A132" s="108">
        <v>40940</v>
      </c>
      <c r="B132" s="109">
        <v>129316</v>
      </c>
      <c r="C132" s="110">
        <v>0.88200000000000001</v>
      </c>
      <c r="D132" s="109">
        <f t="shared" ref="D132:D195" si="14">IF(B132="","",IF(C132="","",MROUND((B132/C132)/(A132-A131)*330/1000,25)))</f>
        <v>6900</v>
      </c>
      <c r="E132" s="115"/>
      <c r="F132" s="111"/>
      <c r="G132" s="111"/>
      <c r="H132" s="119">
        <f t="shared" si="10"/>
        <v>-664</v>
      </c>
      <c r="I132" s="147">
        <f t="shared" si="12"/>
        <v>10923</v>
      </c>
      <c r="J132" s="111"/>
      <c r="K132" s="109">
        <v>26237</v>
      </c>
      <c r="L132" s="110">
        <v>0.58599999999999997</v>
      </c>
      <c r="M132" s="109">
        <f t="shared" ref="M132:M195" si="15">IF(K132="","",IF(L132="","",MROUND((K132/L132)/(A132-A131)*330/1000,25)))</f>
        <v>2100</v>
      </c>
      <c r="N132" s="115"/>
      <c r="O132" s="111"/>
      <c r="P132" s="111"/>
      <c r="Q132" s="119">
        <f t="shared" si="13"/>
        <v>-1316</v>
      </c>
      <c r="R132" s="147">
        <f t="shared" si="11"/>
        <v>3829</v>
      </c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</row>
    <row r="133" spans="1:38">
      <c r="A133" s="108">
        <v>40947</v>
      </c>
      <c r="B133" s="109">
        <v>159652</v>
      </c>
      <c r="C133" s="110">
        <v>0.96</v>
      </c>
      <c r="D133" s="109">
        <f t="shared" si="14"/>
        <v>7850</v>
      </c>
      <c r="E133" s="115"/>
      <c r="F133" s="111"/>
      <c r="G133" s="111"/>
      <c r="H133" s="119">
        <f t="shared" si="10"/>
        <v>30336</v>
      </c>
      <c r="I133" s="147">
        <f t="shared" si="12"/>
        <v>35617</v>
      </c>
      <c r="J133" s="111"/>
      <c r="K133" s="109">
        <v>26642</v>
      </c>
      <c r="L133" s="110">
        <v>0.40500000000000003</v>
      </c>
      <c r="M133" s="109">
        <f t="shared" si="15"/>
        <v>3100</v>
      </c>
      <c r="N133" s="115"/>
      <c r="O133" s="111"/>
      <c r="P133" s="111"/>
      <c r="Q133" s="119">
        <f t="shared" si="13"/>
        <v>405</v>
      </c>
      <c r="R133" s="147">
        <f t="shared" si="11"/>
        <v>1584</v>
      </c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</row>
    <row r="134" spans="1:38">
      <c r="A134" s="108">
        <v>40954</v>
      </c>
      <c r="B134" s="109">
        <v>154225</v>
      </c>
      <c r="C134" s="110">
        <v>0.92700000000000005</v>
      </c>
      <c r="D134" s="109">
        <f t="shared" si="14"/>
        <v>7850</v>
      </c>
      <c r="E134" s="115"/>
      <c r="F134" s="111"/>
      <c r="G134" s="111"/>
      <c r="H134" s="119">
        <f t="shared" si="10"/>
        <v>-5427</v>
      </c>
      <c r="I134" s="147">
        <f t="shared" si="12"/>
        <v>39316</v>
      </c>
      <c r="J134" s="111"/>
      <c r="K134" s="109">
        <v>28593</v>
      </c>
      <c r="L134" s="110">
        <v>0.435</v>
      </c>
      <c r="M134" s="109">
        <f t="shared" si="15"/>
        <v>3100</v>
      </c>
      <c r="N134" s="115"/>
      <c r="O134" s="111"/>
      <c r="P134" s="111"/>
      <c r="Q134" s="119">
        <f t="shared" si="13"/>
        <v>1951</v>
      </c>
      <c r="R134" s="147">
        <f t="shared" si="11"/>
        <v>2879</v>
      </c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</row>
    <row r="135" spans="1:38">
      <c r="A135" s="108">
        <v>40961</v>
      </c>
      <c r="B135" s="109">
        <v>146394</v>
      </c>
      <c r="C135" s="110">
        <v>0.88</v>
      </c>
      <c r="D135" s="109">
        <f t="shared" si="14"/>
        <v>7850</v>
      </c>
      <c r="E135" s="115"/>
      <c r="F135" s="111"/>
      <c r="G135" s="111"/>
      <c r="H135" s="119">
        <f t="shared" si="10"/>
        <v>-7831</v>
      </c>
      <c r="I135" s="147">
        <f t="shared" si="12"/>
        <v>27259</v>
      </c>
      <c r="J135" s="111"/>
      <c r="K135" s="109">
        <v>29969</v>
      </c>
      <c r="L135" s="110">
        <v>0.45500000000000002</v>
      </c>
      <c r="M135" s="109">
        <f t="shared" si="15"/>
        <v>3100</v>
      </c>
      <c r="N135" s="115"/>
      <c r="O135" s="111"/>
      <c r="P135" s="111"/>
      <c r="Q135" s="119">
        <f t="shared" si="13"/>
        <v>1376</v>
      </c>
      <c r="R135" s="147">
        <f t="shared" si="11"/>
        <v>2940</v>
      </c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</row>
    <row r="136" spans="1:38">
      <c r="A136" s="108">
        <v>40968</v>
      </c>
      <c r="B136" s="109">
        <v>126164</v>
      </c>
      <c r="C136" s="110">
        <v>0.75900000000000001</v>
      </c>
      <c r="D136" s="109">
        <f t="shared" si="14"/>
        <v>7825</v>
      </c>
      <c r="E136" s="115"/>
      <c r="F136" s="111"/>
      <c r="G136" s="111"/>
      <c r="H136" s="119">
        <f t="shared" si="10"/>
        <v>-20230</v>
      </c>
      <c r="I136" s="147">
        <f t="shared" si="12"/>
        <v>21355</v>
      </c>
      <c r="J136" s="111"/>
      <c r="K136" s="109">
        <v>39153</v>
      </c>
      <c r="L136" s="110">
        <v>0.59499999999999997</v>
      </c>
      <c r="M136" s="109">
        <f t="shared" si="15"/>
        <v>3100</v>
      </c>
      <c r="N136" s="115"/>
      <c r="O136" s="111"/>
      <c r="P136" s="111"/>
      <c r="Q136" s="119">
        <f t="shared" si="13"/>
        <v>9184</v>
      </c>
      <c r="R136" s="147">
        <f t="shared" si="11"/>
        <v>15495</v>
      </c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</row>
    <row r="137" spans="1:38">
      <c r="A137" s="108">
        <v>40975</v>
      </c>
      <c r="B137" s="109">
        <v>144697</v>
      </c>
      <c r="C137" s="110">
        <v>0.87</v>
      </c>
      <c r="D137" s="109">
        <f t="shared" si="14"/>
        <v>7850</v>
      </c>
      <c r="E137" s="115"/>
      <c r="F137" s="111"/>
      <c r="G137" s="111"/>
      <c r="H137" s="119">
        <f t="shared" si="10"/>
        <v>18533</v>
      </c>
      <c r="I137" s="147">
        <f t="shared" si="12"/>
        <v>27357</v>
      </c>
      <c r="J137" s="111"/>
      <c r="K137" s="109">
        <v>32450</v>
      </c>
      <c r="L137" s="110">
        <v>0.49299999999999999</v>
      </c>
      <c r="M137" s="109">
        <f t="shared" si="15"/>
        <v>3100</v>
      </c>
      <c r="N137" s="115"/>
      <c r="O137" s="111"/>
      <c r="P137" s="111"/>
      <c r="Q137" s="119">
        <f t="shared" si="13"/>
        <v>-6703</v>
      </c>
      <c r="R137" s="147">
        <f t="shared" si="11"/>
        <v>4293</v>
      </c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</row>
    <row r="138" spans="1:38">
      <c r="A138" s="108">
        <v>40982</v>
      </c>
      <c r="B138" s="109">
        <v>150306</v>
      </c>
      <c r="C138" s="110">
        <v>0.90400000000000003</v>
      </c>
      <c r="D138" s="109">
        <f t="shared" si="14"/>
        <v>7850</v>
      </c>
      <c r="E138" s="115"/>
      <c r="F138" s="111"/>
      <c r="G138" s="111"/>
      <c r="H138" s="119">
        <f t="shared" si="10"/>
        <v>5609</v>
      </c>
      <c r="I138" s="147">
        <f t="shared" si="12"/>
        <v>30176</v>
      </c>
      <c r="J138" s="111"/>
      <c r="K138" s="109">
        <v>26195</v>
      </c>
      <c r="L138" s="110">
        <v>0.39799999999999996</v>
      </c>
      <c r="M138" s="109">
        <f t="shared" si="15"/>
        <v>3100</v>
      </c>
      <c r="N138" s="115"/>
      <c r="O138" s="111"/>
      <c r="P138" s="111"/>
      <c r="Q138" s="119">
        <f t="shared" si="13"/>
        <v>-6255</v>
      </c>
      <c r="R138" s="147">
        <f t="shared" si="11"/>
        <v>-2855</v>
      </c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</row>
    <row r="139" spans="1:38">
      <c r="A139" s="108">
        <v>40989</v>
      </c>
      <c r="B139" s="109">
        <v>148278</v>
      </c>
      <c r="C139" s="110">
        <v>0.89200000000000002</v>
      </c>
      <c r="D139" s="109">
        <f t="shared" si="14"/>
        <v>7825</v>
      </c>
      <c r="E139" s="115"/>
      <c r="F139" s="111"/>
      <c r="G139" s="111"/>
      <c r="H139" s="119">
        <f t="shared" si="10"/>
        <v>-2028</v>
      </c>
      <c r="I139" s="147">
        <f t="shared" si="12"/>
        <v>19941</v>
      </c>
      <c r="J139" s="111"/>
      <c r="K139" s="109">
        <v>27326</v>
      </c>
      <c r="L139" s="110">
        <v>0.41499999999999998</v>
      </c>
      <c r="M139" s="109">
        <f t="shared" si="15"/>
        <v>3100</v>
      </c>
      <c r="N139" s="115"/>
      <c r="O139" s="111"/>
      <c r="P139" s="111"/>
      <c r="Q139" s="119">
        <f t="shared" si="13"/>
        <v>1131</v>
      </c>
      <c r="R139" s="147">
        <f t="shared" si="11"/>
        <v>-1874</v>
      </c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</row>
    <row r="140" spans="1:38">
      <c r="A140" s="108">
        <v>40996</v>
      </c>
      <c r="B140" s="109">
        <v>151522</v>
      </c>
      <c r="C140" s="110">
        <v>0.91099999999999992</v>
      </c>
      <c r="D140" s="109">
        <f t="shared" si="14"/>
        <v>7850</v>
      </c>
      <c r="E140" s="115"/>
      <c r="F140" s="111"/>
      <c r="G140" s="111"/>
      <c r="H140" s="119">
        <f t="shared" si="10"/>
        <v>3244</v>
      </c>
      <c r="I140" s="147">
        <f t="shared" si="12"/>
        <v>26703</v>
      </c>
      <c r="J140" s="111"/>
      <c r="K140" s="109">
        <v>28951</v>
      </c>
      <c r="L140" s="110">
        <v>0.44</v>
      </c>
      <c r="M140" s="109">
        <f t="shared" si="15"/>
        <v>3100</v>
      </c>
      <c r="N140" s="115"/>
      <c r="O140" s="111"/>
      <c r="P140" s="111"/>
      <c r="Q140" s="119">
        <f t="shared" si="13"/>
        <v>1625</v>
      </c>
      <c r="R140" s="147">
        <f t="shared" si="11"/>
        <v>267</v>
      </c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</row>
    <row r="141" spans="1:38">
      <c r="A141" s="108">
        <v>41003</v>
      </c>
      <c r="B141" s="109">
        <v>142754</v>
      </c>
      <c r="C141" s="110">
        <v>0.85799999999999998</v>
      </c>
      <c r="D141" s="109">
        <f t="shared" si="14"/>
        <v>7850</v>
      </c>
      <c r="E141" s="115"/>
      <c r="F141" s="111"/>
      <c r="G141" s="111"/>
      <c r="H141" s="119">
        <f t="shared" si="10"/>
        <v>-8768</v>
      </c>
      <c r="I141" s="147">
        <f t="shared" si="12"/>
        <v>34088</v>
      </c>
      <c r="J141" s="111"/>
      <c r="K141" s="109">
        <v>27262</v>
      </c>
      <c r="L141" s="110">
        <v>0.41399999999999998</v>
      </c>
      <c r="M141" s="109">
        <f t="shared" si="15"/>
        <v>3100</v>
      </c>
      <c r="N141" s="115"/>
      <c r="O141" s="111"/>
      <c r="P141" s="111"/>
      <c r="Q141" s="119">
        <f t="shared" si="13"/>
        <v>-1689</v>
      </c>
      <c r="R141" s="147">
        <f t="shared" si="11"/>
        <v>2190</v>
      </c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</row>
    <row r="142" spans="1:38">
      <c r="A142" s="108">
        <v>41010</v>
      </c>
      <c r="B142" s="109">
        <v>148732</v>
      </c>
      <c r="C142" s="110">
        <v>0.89400000000000002</v>
      </c>
      <c r="D142" s="109">
        <f t="shared" si="14"/>
        <v>7850</v>
      </c>
      <c r="E142" s="115"/>
      <c r="F142" s="111"/>
      <c r="G142" s="111"/>
      <c r="H142" s="119">
        <f t="shared" si="10"/>
        <v>5978</v>
      </c>
      <c r="I142" s="147">
        <f t="shared" si="12"/>
        <v>31258</v>
      </c>
      <c r="J142" s="111"/>
      <c r="K142" s="109">
        <v>28707</v>
      </c>
      <c r="L142" s="110">
        <v>0.436</v>
      </c>
      <c r="M142" s="109">
        <f t="shared" si="15"/>
        <v>3100</v>
      </c>
      <c r="N142" s="115"/>
      <c r="O142" s="111"/>
      <c r="P142" s="111"/>
      <c r="Q142" s="119">
        <f t="shared" si="13"/>
        <v>1445</v>
      </c>
      <c r="R142" s="147">
        <f t="shared" si="11"/>
        <v>-2026</v>
      </c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</row>
    <row r="143" spans="1:38">
      <c r="A143" s="108">
        <v>41017</v>
      </c>
      <c r="B143" s="109">
        <v>141773</v>
      </c>
      <c r="C143" s="110">
        <v>0.85299999999999998</v>
      </c>
      <c r="D143" s="109">
        <f t="shared" si="14"/>
        <v>7825</v>
      </c>
      <c r="E143" s="115"/>
      <c r="F143" s="111"/>
      <c r="G143" s="111"/>
      <c r="H143" s="119">
        <f t="shared" si="10"/>
        <v>-6959</v>
      </c>
      <c r="I143" s="147">
        <f t="shared" si="12"/>
        <v>19530</v>
      </c>
      <c r="J143" s="111"/>
      <c r="K143" s="109">
        <v>24464</v>
      </c>
      <c r="L143" s="110">
        <v>0.37200000000000005</v>
      </c>
      <c r="M143" s="109">
        <f t="shared" si="15"/>
        <v>3100</v>
      </c>
      <c r="N143" s="115"/>
      <c r="O143" s="111"/>
      <c r="P143" s="111"/>
      <c r="Q143" s="119">
        <f t="shared" si="13"/>
        <v>-4243</v>
      </c>
      <c r="R143" s="147">
        <f t="shared" si="11"/>
        <v>-5222</v>
      </c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</row>
    <row r="144" spans="1:38">
      <c r="A144" s="108">
        <v>41024</v>
      </c>
      <c r="B144" s="109">
        <v>149089</v>
      </c>
      <c r="C144" s="110">
        <v>0.89700000000000002</v>
      </c>
      <c r="D144" s="109">
        <f t="shared" si="14"/>
        <v>7825</v>
      </c>
      <c r="E144" s="115"/>
      <c r="F144" s="111"/>
      <c r="G144" s="111"/>
      <c r="H144" s="119">
        <f t="shared" si="10"/>
        <v>7316</v>
      </c>
      <c r="I144" s="147">
        <f t="shared" si="12"/>
        <v>26076</v>
      </c>
      <c r="J144" s="111"/>
      <c r="K144" s="109">
        <v>25455</v>
      </c>
      <c r="L144" s="110">
        <v>0.38700000000000001</v>
      </c>
      <c r="M144" s="109">
        <f t="shared" si="15"/>
        <v>3100</v>
      </c>
      <c r="N144" s="115"/>
      <c r="O144" s="111"/>
      <c r="P144" s="111"/>
      <c r="Q144" s="119">
        <f t="shared" si="13"/>
        <v>991</v>
      </c>
      <c r="R144" s="147">
        <f t="shared" si="11"/>
        <v>702</v>
      </c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</row>
    <row r="145" spans="1:38">
      <c r="A145" s="108">
        <v>41031</v>
      </c>
      <c r="B145" s="109">
        <v>140849</v>
      </c>
      <c r="C145" s="110">
        <v>0.84699999999999998</v>
      </c>
      <c r="D145" s="109">
        <f t="shared" si="14"/>
        <v>7850</v>
      </c>
      <c r="E145" s="115"/>
      <c r="F145" s="111"/>
      <c r="G145" s="111"/>
      <c r="H145" s="119">
        <f t="shared" si="10"/>
        <v>-8240</v>
      </c>
      <c r="I145" s="147">
        <f t="shared" si="12"/>
        <v>32046</v>
      </c>
      <c r="J145" s="111"/>
      <c r="K145" s="109">
        <v>24534</v>
      </c>
      <c r="L145" s="110">
        <v>0.373</v>
      </c>
      <c r="M145" s="109">
        <f t="shared" si="15"/>
        <v>3100</v>
      </c>
      <c r="N145" s="115"/>
      <c r="O145" s="111"/>
      <c r="P145" s="111"/>
      <c r="Q145" s="119">
        <f t="shared" si="13"/>
        <v>-921</v>
      </c>
      <c r="R145" s="147">
        <f t="shared" si="11"/>
        <v>-676</v>
      </c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</row>
    <row r="146" spans="1:38">
      <c r="A146" s="108">
        <v>41038</v>
      </c>
      <c r="B146" s="109">
        <v>117032</v>
      </c>
      <c r="C146" s="110">
        <v>0.70400000000000007</v>
      </c>
      <c r="D146" s="109">
        <f t="shared" si="14"/>
        <v>7825</v>
      </c>
      <c r="E146" s="115"/>
      <c r="F146" s="111"/>
      <c r="G146" s="111"/>
      <c r="H146" s="119">
        <f t="shared" si="10"/>
        <v>-23817</v>
      </c>
      <c r="I146" s="147">
        <f t="shared" si="12"/>
        <v>925</v>
      </c>
      <c r="J146" s="111"/>
      <c r="K146" s="109">
        <v>28808</v>
      </c>
      <c r="L146" s="110">
        <v>0.43799999999999994</v>
      </c>
      <c r="M146" s="109">
        <f t="shared" si="15"/>
        <v>3100</v>
      </c>
      <c r="N146" s="115"/>
      <c r="O146" s="111"/>
      <c r="P146" s="111"/>
      <c r="Q146" s="119">
        <f t="shared" si="13"/>
        <v>4274</v>
      </c>
      <c r="R146" s="147">
        <f t="shared" si="11"/>
        <v>-599</v>
      </c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</row>
    <row r="147" spans="1:38">
      <c r="A147" s="108">
        <v>41045</v>
      </c>
      <c r="B147" s="109">
        <v>124141</v>
      </c>
      <c r="C147" s="110">
        <v>0.747</v>
      </c>
      <c r="D147" s="109">
        <f t="shared" si="14"/>
        <v>7825</v>
      </c>
      <c r="E147" s="115"/>
      <c r="F147" s="111"/>
      <c r="G147" s="111"/>
      <c r="H147" s="119">
        <f t="shared" si="10"/>
        <v>7109</v>
      </c>
      <c r="I147" s="147">
        <f t="shared" si="12"/>
        <v>17293</v>
      </c>
      <c r="J147" s="111"/>
      <c r="K147" s="109">
        <v>28646</v>
      </c>
      <c r="L147" s="110">
        <v>0.435</v>
      </c>
      <c r="M147" s="109">
        <f t="shared" si="15"/>
        <v>3100</v>
      </c>
      <c r="N147" s="115"/>
      <c r="O147" s="111"/>
      <c r="P147" s="111"/>
      <c r="Q147" s="119">
        <f t="shared" si="13"/>
        <v>-162</v>
      </c>
      <c r="R147" s="147">
        <f t="shared" si="11"/>
        <v>850</v>
      </c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</row>
    <row r="148" spans="1:38">
      <c r="A148" s="108">
        <v>41052</v>
      </c>
      <c r="B148" s="109">
        <v>123581</v>
      </c>
      <c r="C148" s="110">
        <v>0.74299999999999999</v>
      </c>
      <c r="D148" s="109">
        <f t="shared" si="14"/>
        <v>7850</v>
      </c>
      <c r="E148" s="115"/>
      <c r="F148" s="111"/>
      <c r="G148" s="111"/>
      <c r="H148" s="119">
        <f t="shared" si="10"/>
        <v>-560</v>
      </c>
      <c r="I148" s="147">
        <f t="shared" si="12"/>
        <v>6863</v>
      </c>
      <c r="J148" s="111"/>
      <c r="K148" s="109">
        <v>24972</v>
      </c>
      <c r="L148" s="110">
        <v>0.38</v>
      </c>
      <c r="M148" s="109">
        <f t="shared" si="15"/>
        <v>3100</v>
      </c>
      <c r="N148" s="115"/>
      <c r="O148" s="111"/>
      <c r="P148" s="111"/>
      <c r="Q148" s="119">
        <f t="shared" si="13"/>
        <v>-3674</v>
      </c>
      <c r="R148" s="147">
        <f t="shared" si="11"/>
        <v>-4219</v>
      </c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</row>
    <row r="149" spans="1:38">
      <c r="A149" s="108">
        <v>41059</v>
      </c>
      <c r="B149" s="109">
        <v>102134</v>
      </c>
      <c r="C149" s="110">
        <v>0.61399999999999999</v>
      </c>
      <c r="D149" s="109">
        <f t="shared" si="14"/>
        <v>7850</v>
      </c>
      <c r="E149" s="115"/>
      <c r="F149" s="111"/>
      <c r="G149" s="111"/>
      <c r="H149" s="119">
        <f t="shared" si="10"/>
        <v>-21447</v>
      </c>
      <c r="I149" s="147">
        <f t="shared" si="12"/>
        <v>11304</v>
      </c>
      <c r="J149" s="111"/>
      <c r="K149" s="109">
        <v>16254</v>
      </c>
      <c r="L149" s="110">
        <v>0.247</v>
      </c>
      <c r="M149" s="109">
        <f t="shared" si="15"/>
        <v>3100</v>
      </c>
      <c r="N149" s="115"/>
      <c r="O149" s="111"/>
      <c r="P149" s="111"/>
      <c r="Q149" s="119">
        <f t="shared" si="13"/>
        <v>-8718</v>
      </c>
      <c r="R149" s="147">
        <f t="shared" si="11"/>
        <v>-9196</v>
      </c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</row>
    <row r="150" spans="1:38">
      <c r="A150" s="108">
        <v>41066</v>
      </c>
      <c r="B150" s="109">
        <v>75219</v>
      </c>
      <c r="C150" s="110">
        <v>0.45200000000000001</v>
      </c>
      <c r="D150" s="109">
        <f t="shared" si="14"/>
        <v>7850</v>
      </c>
      <c r="E150" s="115"/>
      <c r="F150" s="111"/>
      <c r="G150" s="111"/>
      <c r="H150" s="119">
        <f t="shared" si="10"/>
        <v>-26915</v>
      </c>
      <c r="I150" s="147">
        <f t="shared" si="12"/>
        <v>-11238</v>
      </c>
      <c r="J150" s="111"/>
      <c r="K150" s="109">
        <v>26537</v>
      </c>
      <c r="L150" s="110">
        <v>0.40299999999999997</v>
      </c>
      <c r="M150" s="109">
        <f t="shared" si="15"/>
        <v>3100</v>
      </c>
      <c r="N150" s="115"/>
      <c r="O150" s="111"/>
      <c r="P150" s="111"/>
      <c r="Q150" s="119">
        <f t="shared" si="13"/>
        <v>10283</v>
      </c>
      <c r="R150" s="147">
        <f t="shared" si="11"/>
        <v>146</v>
      </c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</row>
    <row r="151" spans="1:38">
      <c r="A151" s="108">
        <v>41073</v>
      </c>
      <c r="B151" s="109">
        <v>99181</v>
      </c>
      <c r="C151" s="110">
        <v>0.59599999999999997</v>
      </c>
      <c r="D151" s="109">
        <f t="shared" si="14"/>
        <v>7850</v>
      </c>
      <c r="E151" s="115"/>
      <c r="F151" s="111"/>
      <c r="G151" s="111"/>
      <c r="H151" s="119">
        <f t="shared" si="10"/>
        <v>23962</v>
      </c>
      <c r="I151" s="147">
        <f t="shared" si="12"/>
        <v>-9423</v>
      </c>
      <c r="J151" s="111"/>
      <c r="K151" s="109">
        <v>31057</v>
      </c>
      <c r="L151" s="110">
        <v>0.47200000000000003</v>
      </c>
      <c r="M151" s="109">
        <f t="shared" si="15"/>
        <v>3100</v>
      </c>
      <c r="N151" s="115"/>
      <c r="O151" s="111"/>
      <c r="P151" s="111"/>
      <c r="Q151" s="119">
        <f t="shared" si="13"/>
        <v>4520</v>
      </c>
      <c r="R151" s="147">
        <f t="shared" si="11"/>
        <v>5435</v>
      </c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</row>
    <row r="152" spans="1:38">
      <c r="A152" s="108">
        <v>41080</v>
      </c>
      <c r="B152" s="109">
        <v>119523</v>
      </c>
      <c r="C152" s="110">
        <v>0.71900000000000008</v>
      </c>
      <c r="D152" s="109">
        <f t="shared" si="14"/>
        <v>7825</v>
      </c>
      <c r="E152" s="115"/>
      <c r="F152" s="111"/>
      <c r="G152" s="111"/>
      <c r="H152" s="119">
        <f t="shared" si="10"/>
        <v>20342</v>
      </c>
      <c r="I152" s="147">
        <f t="shared" si="12"/>
        <v>-2981</v>
      </c>
      <c r="J152" s="111"/>
      <c r="K152" s="109">
        <v>30066</v>
      </c>
      <c r="L152" s="110">
        <v>0.45700000000000002</v>
      </c>
      <c r="M152" s="109">
        <f t="shared" si="15"/>
        <v>3100</v>
      </c>
      <c r="N152" s="115"/>
      <c r="O152" s="111"/>
      <c r="P152" s="111"/>
      <c r="Q152" s="119">
        <f t="shared" si="13"/>
        <v>-991</v>
      </c>
      <c r="R152" s="147">
        <f t="shared" si="11"/>
        <v>16395</v>
      </c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</row>
    <row r="153" spans="1:38">
      <c r="A153" s="108">
        <v>41087</v>
      </c>
      <c r="B153" s="109">
        <v>132809</v>
      </c>
      <c r="C153" s="110">
        <v>0.79900000000000004</v>
      </c>
      <c r="D153" s="109">
        <f t="shared" si="14"/>
        <v>7825</v>
      </c>
      <c r="E153" s="115"/>
      <c r="F153" s="111"/>
      <c r="G153" s="111"/>
      <c r="H153" s="119">
        <f t="shared" si="10"/>
        <v>13286</v>
      </c>
      <c r="I153" s="147">
        <f t="shared" si="12"/>
        <v>21856</v>
      </c>
      <c r="J153" s="111"/>
      <c r="K153" s="109">
        <v>26544</v>
      </c>
      <c r="L153" s="110">
        <v>0.40299999999999997</v>
      </c>
      <c r="M153" s="109">
        <f t="shared" si="15"/>
        <v>3100</v>
      </c>
      <c r="N153" s="115"/>
      <c r="O153" s="111"/>
      <c r="P153" s="111"/>
      <c r="Q153" s="119">
        <f t="shared" si="13"/>
        <v>-3522</v>
      </c>
      <c r="R153" s="147">
        <f t="shared" si="11"/>
        <v>-1848</v>
      </c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</row>
    <row r="154" spans="1:38">
      <c r="A154" s="108">
        <v>41094</v>
      </c>
      <c r="B154" s="109">
        <v>133256</v>
      </c>
      <c r="C154" s="110">
        <v>0.80099999999999993</v>
      </c>
      <c r="D154" s="109">
        <f t="shared" si="14"/>
        <v>7850</v>
      </c>
      <c r="E154" s="115"/>
      <c r="F154" s="111"/>
      <c r="G154" s="111"/>
      <c r="H154" s="119">
        <f t="shared" si="10"/>
        <v>447</v>
      </c>
      <c r="I154" s="147">
        <f t="shared" si="12"/>
        <v>16811</v>
      </c>
      <c r="J154" s="111"/>
      <c r="K154" s="109">
        <v>12243</v>
      </c>
      <c r="L154" s="110">
        <v>0.18600000000000003</v>
      </c>
      <c r="M154" s="109">
        <f t="shared" si="15"/>
        <v>3100</v>
      </c>
      <c r="N154" s="115"/>
      <c r="O154" s="111"/>
      <c r="P154" s="111"/>
      <c r="Q154" s="119">
        <f t="shared" si="13"/>
        <v>-14301</v>
      </c>
      <c r="R154" s="147">
        <f t="shared" si="11"/>
        <v>-5458</v>
      </c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</row>
    <row r="155" spans="1:38">
      <c r="A155" s="108">
        <v>41101</v>
      </c>
      <c r="B155" s="109">
        <v>143307</v>
      </c>
      <c r="C155" s="110">
        <v>0.86199999999999999</v>
      </c>
      <c r="D155" s="109">
        <f t="shared" si="14"/>
        <v>7825</v>
      </c>
      <c r="E155" s="115"/>
      <c r="F155" s="111"/>
      <c r="G155" s="111"/>
      <c r="H155" s="119">
        <f t="shared" si="10"/>
        <v>10051</v>
      </c>
      <c r="I155" s="147">
        <f t="shared" si="12"/>
        <v>31743</v>
      </c>
      <c r="J155" s="111"/>
      <c r="K155" s="109">
        <v>28967</v>
      </c>
      <c r="L155" s="110">
        <v>0.44</v>
      </c>
      <c r="M155" s="109">
        <f t="shared" si="15"/>
        <v>3100</v>
      </c>
      <c r="N155" s="115"/>
      <c r="O155" s="111"/>
      <c r="P155" s="111"/>
      <c r="Q155" s="119">
        <f t="shared" si="13"/>
        <v>16724</v>
      </c>
      <c r="R155" s="147">
        <f t="shared" si="11"/>
        <v>14026</v>
      </c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</row>
    <row r="156" spans="1:38">
      <c r="A156" s="108">
        <v>41108</v>
      </c>
      <c r="B156" s="109">
        <v>123136</v>
      </c>
      <c r="C156" s="110">
        <v>0.74099999999999999</v>
      </c>
      <c r="D156" s="109">
        <f t="shared" si="14"/>
        <v>7825</v>
      </c>
      <c r="E156" s="115"/>
      <c r="F156" s="111"/>
      <c r="G156" s="111"/>
      <c r="H156" s="119">
        <f t="shared" si="10"/>
        <v>-20171</v>
      </c>
      <c r="I156" s="147">
        <f t="shared" si="12"/>
        <v>2382</v>
      </c>
      <c r="J156" s="111"/>
      <c r="K156" s="109">
        <v>30533</v>
      </c>
      <c r="L156" s="110">
        <v>0.46399999999999997</v>
      </c>
      <c r="M156" s="109">
        <f t="shared" si="15"/>
        <v>3100</v>
      </c>
      <c r="N156" s="115"/>
      <c r="O156" s="111"/>
      <c r="P156" s="111"/>
      <c r="Q156" s="119">
        <f t="shared" si="13"/>
        <v>1566</v>
      </c>
      <c r="R156" s="147">
        <f t="shared" si="11"/>
        <v>9716</v>
      </c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</row>
    <row r="157" spans="1:38">
      <c r="A157" s="108">
        <v>41115</v>
      </c>
      <c r="B157" s="109">
        <v>130398</v>
      </c>
      <c r="C157" s="110">
        <v>0.78400000000000003</v>
      </c>
      <c r="D157" s="109">
        <f t="shared" si="14"/>
        <v>7850</v>
      </c>
      <c r="E157" s="115"/>
      <c r="F157" s="111"/>
      <c r="G157" s="111"/>
      <c r="H157" s="119">
        <f t="shared" si="10"/>
        <v>7262</v>
      </c>
      <c r="I157" s="147">
        <f t="shared" si="12"/>
        <v>4254</v>
      </c>
      <c r="J157" s="111"/>
      <c r="K157" s="109">
        <v>30249</v>
      </c>
      <c r="L157" s="110">
        <v>0.46</v>
      </c>
      <c r="M157" s="109">
        <f t="shared" si="15"/>
        <v>3100</v>
      </c>
      <c r="N157" s="115"/>
      <c r="O157" s="111"/>
      <c r="P157" s="111"/>
      <c r="Q157" s="119">
        <f t="shared" si="13"/>
        <v>-284</v>
      </c>
      <c r="R157" s="147">
        <f t="shared" si="11"/>
        <v>1466</v>
      </c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</row>
    <row r="158" spans="1:38">
      <c r="A158" s="108">
        <v>41122</v>
      </c>
      <c r="B158" s="109">
        <v>125146</v>
      </c>
      <c r="C158" s="110"/>
      <c r="D158" s="109" t="str">
        <f t="shared" si="14"/>
        <v/>
      </c>
      <c r="E158" s="115"/>
      <c r="F158" s="111"/>
      <c r="G158" s="111"/>
      <c r="H158" s="119">
        <f t="shared" si="10"/>
        <v>-5252</v>
      </c>
      <c r="I158" s="147">
        <f t="shared" si="12"/>
        <v>75003</v>
      </c>
      <c r="J158" s="111"/>
      <c r="K158" s="109">
        <v>22600</v>
      </c>
      <c r="L158" s="110"/>
      <c r="M158" s="109" t="str">
        <f t="shared" si="15"/>
        <v/>
      </c>
      <c r="N158" s="115"/>
      <c r="O158" s="111"/>
      <c r="P158" s="111"/>
      <c r="Q158" s="119">
        <f t="shared" si="13"/>
        <v>-7649</v>
      </c>
      <c r="R158" s="147">
        <f t="shared" si="11"/>
        <v>12138</v>
      </c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</row>
    <row r="159" spans="1:38">
      <c r="A159" s="108">
        <v>41129</v>
      </c>
      <c r="B159" s="109">
        <v>148167</v>
      </c>
      <c r="C159" s="110"/>
      <c r="D159" s="109" t="str">
        <f t="shared" si="14"/>
        <v/>
      </c>
      <c r="E159" s="115"/>
      <c r="F159" s="111"/>
      <c r="G159" s="111"/>
      <c r="H159" s="119">
        <f t="shared" si="10"/>
        <v>23021</v>
      </c>
      <c r="I159" s="147">
        <f t="shared" si="12"/>
        <v>33139</v>
      </c>
      <c r="J159" s="111"/>
      <c r="K159" s="109">
        <v>30409</v>
      </c>
      <c r="L159" s="110"/>
      <c r="M159" s="109" t="str">
        <f t="shared" si="15"/>
        <v/>
      </c>
      <c r="N159" s="115"/>
      <c r="O159" s="111"/>
      <c r="P159" s="111"/>
      <c r="Q159" s="119">
        <f t="shared" si="13"/>
        <v>7809</v>
      </c>
      <c r="R159" s="147">
        <f t="shared" si="11"/>
        <v>4483</v>
      </c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</row>
    <row r="160" spans="1:38">
      <c r="A160" s="108">
        <v>41136</v>
      </c>
      <c r="B160" s="109">
        <v>122674</v>
      </c>
      <c r="C160" s="110">
        <v>0.74400000000000011</v>
      </c>
      <c r="D160" s="109">
        <f t="shared" si="14"/>
        <v>7775</v>
      </c>
      <c r="E160" s="115"/>
      <c r="F160" s="111"/>
      <c r="G160" s="111"/>
      <c r="H160" s="119">
        <f t="shared" si="10"/>
        <v>-25493</v>
      </c>
      <c r="I160" s="147">
        <f t="shared" si="12"/>
        <v>12295</v>
      </c>
      <c r="J160" s="111"/>
      <c r="K160" s="109">
        <v>28199</v>
      </c>
      <c r="L160" s="110">
        <v>0.42899999999999999</v>
      </c>
      <c r="M160" s="109">
        <f t="shared" si="15"/>
        <v>3100</v>
      </c>
      <c r="N160" s="115"/>
      <c r="O160" s="111"/>
      <c r="P160" s="111"/>
      <c r="Q160" s="119">
        <f t="shared" si="13"/>
        <v>-2210</v>
      </c>
      <c r="R160" s="147">
        <f t="shared" si="11"/>
        <v>1631</v>
      </c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</row>
    <row r="161" spans="1:38">
      <c r="A161" s="108">
        <v>41143</v>
      </c>
      <c r="B161" s="109">
        <v>97176</v>
      </c>
      <c r="C161" s="110">
        <v>0.58399999999999996</v>
      </c>
      <c r="D161" s="109">
        <f t="shared" si="14"/>
        <v>7850</v>
      </c>
      <c r="E161" s="115"/>
      <c r="F161" s="111"/>
      <c r="G161" s="111"/>
      <c r="H161" s="119">
        <f t="shared" si="10"/>
        <v>-25498</v>
      </c>
      <c r="I161" s="147">
        <f t="shared" si="12"/>
        <v>11137</v>
      </c>
      <c r="J161" s="111"/>
      <c r="K161" s="109">
        <v>25962</v>
      </c>
      <c r="L161" s="110">
        <v>0.39500000000000002</v>
      </c>
      <c r="M161" s="109">
        <f t="shared" si="15"/>
        <v>3100</v>
      </c>
      <c r="N161" s="115"/>
      <c r="O161" s="111"/>
      <c r="P161" s="111"/>
      <c r="Q161" s="119">
        <f t="shared" si="13"/>
        <v>-2237</v>
      </c>
      <c r="R161" s="147">
        <f t="shared" si="11"/>
        <v>2802</v>
      </c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</row>
    <row r="162" spans="1:38">
      <c r="A162" s="108">
        <v>41150</v>
      </c>
      <c r="B162" s="109">
        <v>94430</v>
      </c>
      <c r="C162" s="110">
        <v>0.56799999999999995</v>
      </c>
      <c r="D162" s="109">
        <f t="shared" si="14"/>
        <v>7850</v>
      </c>
      <c r="E162" s="115"/>
      <c r="F162" s="111"/>
      <c r="G162" s="111"/>
      <c r="H162" s="119">
        <f t="shared" si="10"/>
        <v>-2746</v>
      </c>
      <c r="I162" s="147">
        <f t="shared" si="12"/>
        <v>20870</v>
      </c>
      <c r="J162" s="111"/>
      <c r="K162" s="109">
        <v>27056</v>
      </c>
      <c r="L162" s="110">
        <v>0.41100000000000003</v>
      </c>
      <c r="M162" s="109">
        <f t="shared" si="15"/>
        <v>3100</v>
      </c>
      <c r="N162" s="115"/>
      <c r="O162" s="111"/>
      <c r="P162" s="111"/>
      <c r="Q162" s="119">
        <f t="shared" si="13"/>
        <v>1094</v>
      </c>
      <c r="R162" s="147">
        <f t="shared" si="11"/>
        <v>7445</v>
      </c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</row>
    <row r="163" spans="1:38">
      <c r="A163" s="108">
        <v>41157</v>
      </c>
      <c r="B163" s="109">
        <v>117787</v>
      </c>
      <c r="C163" s="110">
        <v>0.70799999999999996</v>
      </c>
      <c r="D163" s="109">
        <f t="shared" si="14"/>
        <v>7850</v>
      </c>
      <c r="E163" s="115"/>
      <c r="F163" s="111"/>
      <c r="G163" s="111"/>
      <c r="H163" s="119">
        <f t="shared" si="10"/>
        <v>23357</v>
      </c>
      <c r="I163" s="147">
        <f t="shared" si="12"/>
        <v>6118</v>
      </c>
      <c r="J163" s="111"/>
      <c r="K163" s="109">
        <v>20937</v>
      </c>
      <c r="L163" s="110">
        <v>0.318</v>
      </c>
      <c r="M163" s="109">
        <f t="shared" si="15"/>
        <v>3100</v>
      </c>
      <c r="N163" s="115"/>
      <c r="O163" s="111"/>
      <c r="P163" s="111"/>
      <c r="Q163" s="119">
        <f t="shared" si="13"/>
        <v>-6119</v>
      </c>
      <c r="R163" s="147">
        <f t="shared" si="11"/>
        <v>-1535</v>
      </c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</row>
    <row r="164" spans="1:38">
      <c r="A164" s="108">
        <v>41164</v>
      </c>
      <c r="B164" s="109">
        <v>135560</v>
      </c>
      <c r="C164" s="110">
        <v>0.81499999999999995</v>
      </c>
      <c r="D164" s="109">
        <f t="shared" si="14"/>
        <v>7850</v>
      </c>
      <c r="E164" s="115"/>
      <c r="F164" s="111"/>
      <c r="G164" s="111"/>
      <c r="H164" s="119">
        <f t="shared" si="10"/>
        <v>17773</v>
      </c>
      <c r="I164" s="147">
        <f t="shared" si="12"/>
        <v>20376</v>
      </c>
      <c r="J164" s="111"/>
      <c r="K164" s="109">
        <v>28924</v>
      </c>
      <c r="L164" s="110">
        <v>0.44</v>
      </c>
      <c r="M164" s="109">
        <f t="shared" si="15"/>
        <v>3100</v>
      </c>
      <c r="N164" s="115"/>
      <c r="O164" s="111"/>
      <c r="P164" s="111"/>
      <c r="Q164" s="119">
        <f t="shared" si="13"/>
        <v>7987</v>
      </c>
      <c r="R164" s="147">
        <f t="shared" si="11"/>
        <v>6534</v>
      </c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</row>
    <row r="165" spans="1:38">
      <c r="A165" s="108">
        <v>41171</v>
      </c>
      <c r="B165" s="109">
        <v>150134</v>
      </c>
      <c r="C165" s="110">
        <v>0.90300000000000002</v>
      </c>
      <c r="D165" s="109">
        <f t="shared" si="14"/>
        <v>7850</v>
      </c>
      <c r="E165" s="115"/>
      <c r="F165" s="111"/>
      <c r="G165" s="111"/>
      <c r="H165" s="119">
        <f t="shared" si="10"/>
        <v>14574</v>
      </c>
      <c r="I165" s="147">
        <f t="shared" si="12"/>
        <v>18140</v>
      </c>
      <c r="J165" s="111"/>
      <c r="K165" s="109">
        <v>28721</v>
      </c>
      <c r="L165" s="110">
        <v>0.436</v>
      </c>
      <c r="M165" s="109">
        <f t="shared" si="15"/>
        <v>3100</v>
      </c>
      <c r="N165" s="115"/>
      <c r="O165" s="111"/>
      <c r="P165" s="111"/>
      <c r="Q165" s="119">
        <f t="shared" si="13"/>
        <v>-203</v>
      </c>
      <c r="R165" s="147">
        <f t="shared" si="11"/>
        <v>3516</v>
      </c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</row>
    <row r="166" spans="1:38">
      <c r="A166" s="108">
        <v>41178</v>
      </c>
      <c r="B166" s="109">
        <v>147244</v>
      </c>
      <c r="C166" s="110">
        <v>0.88500000000000001</v>
      </c>
      <c r="D166" s="109">
        <f t="shared" si="14"/>
        <v>7850</v>
      </c>
      <c r="E166" s="115"/>
      <c r="F166" s="111"/>
      <c r="G166" s="111"/>
      <c r="H166" s="119">
        <f t="shared" si="10"/>
        <v>-2890</v>
      </c>
      <c r="I166" s="147">
        <f t="shared" si="12"/>
        <v>26531</v>
      </c>
      <c r="J166" s="111"/>
      <c r="K166" s="109">
        <v>27200</v>
      </c>
      <c r="L166" s="110">
        <v>0.41299999999999998</v>
      </c>
      <c r="M166" s="109">
        <f t="shared" si="15"/>
        <v>3100</v>
      </c>
      <c r="N166" s="115"/>
      <c r="O166" s="111"/>
      <c r="P166" s="111"/>
      <c r="Q166" s="119">
        <f t="shared" si="13"/>
        <v>-1521</v>
      </c>
      <c r="R166" s="147">
        <f t="shared" si="11"/>
        <v>9351</v>
      </c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</row>
    <row r="167" spans="1:38">
      <c r="A167" s="108">
        <v>41185</v>
      </c>
      <c r="B167" s="109">
        <v>152781</v>
      </c>
      <c r="C167" s="110">
        <v>0.91900000000000004</v>
      </c>
      <c r="D167" s="109">
        <f t="shared" si="14"/>
        <v>7825</v>
      </c>
      <c r="E167" s="115"/>
      <c r="F167" s="111"/>
      <c r="G167" s="111"/>
      <c r="H167" s="119">
        <f t="shared" si="10"/>
        <v>5537</v>
      </c>
      <c r="I167" s="147">
        <f t="shared" si="12"/>
        <v>31596</v>
      </c>
      <c r="J167" s="111"/>
      <c r="K167" s="109">
        <v>24940</v>
      </c>
      <c r="L167" s="110">
        <v>0.379</v>
      </c>
      <c r="M167" s="109">
        <f t="shared" si="15"/>
        <v>3100</v>
      </c>
      <c r="N167" s="115"/>
      <c r="O167" s="111"/>
      <c r="P167" s="111"/>
      <c r="Q167" s="119">
        <f t="shared" si="13"/>
        <v>-2260</v>
      </c>
      <c r="R167" s="147">
        <f t="shared" si="11"/>
        <v>7255</v>
      </c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</row>
    <row r="168" spans="1:38">
      <c r="A168" s="108">
        <v>41192</v>
      </c>
      <c r="B168" s="109">
        <v>155437</v>
      </c>
      <c r="C168" s="110">
        <v>0.93500000000000005</v>
      </c>
      <c r="D168" s="109">
        <f t="shared" si="14"/>
        <v>7825</v>
      </c>
      <c r="E168" s="115"/>
      <c r="F168" s="111"/>
      <c r="G168" s="111"/>
      <c r="H168" s="119">
        <f t="shared" si="10"/>
        <v>2656</v>
      </c>
      <c r="I168" s="147">
        <f t="shared" si="12"/>
        <v>31100</v>
      </c>
      <c r="J168" s="111"/>
      <c r="K168" s="109">
        <v>30062</v>
      </c>
      <c r="L168" s="110">
        <v>0.45700000000000002</v>
      </c>
      <c r="M168" s="109">
        <f t="shared" si="15"/>
        <v>3100</v>
      </c>
      <c r="N168" s="115"/>
      <c r="O168" s="111"/>
      <c r="P168" s="111"/>
      <c r="Q168" s="119">
        <f t="shared" si="13"/>
        <v>5122</v>
      </c>
      <c r="R168" s="147">
        <f t="shared" si="11"/>
        <v>2314</v>
      </c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</row>
    <row r="169" spans="1:38">
      <c r="A169" s="108">
        <v>41199</v>
      </c>
      <c r="B169" s="109">
        <v>147933</v>
      </c>
      <c r="C169" s="110">
        <v>0.89</v>
      </c>
      <c r="D169" s="109">
        <f t="shared" si="14"/>
        <v>7825</v>
      </c>
      <c r="E169" s="115"/>
      <c r="F169" s="111"/>
      <c r="G169" s="111"/>
      <c r="H169" s="119">
        <f t="shared" si="10"/>
        <v>-7504</v>
      </c>
      <c r="I169" s="147">
        <f t="shared" si="12"/>
        <v>32595</v>
      </c>
      <c r="J169" s="111"/>
      <c r="K169" s="109">
        <v>30187</v>
      </c>
      <c r="L169" s="110">
        <v>0.45899999999999996</v>
      </c>
      <c r="M169" s="109">
        <f t="shared" si="15"/>
        <v>3100</v>
      </c>
      <c r="N169" s="115"/>
      <c r="O169" s="111"/>
      <c r="P169" s="111"/>
      <c r="Q169" s="119">
        <f t="shared" si="13"/>
        <v>125</v>
      </c>
      <c r="R169" s="147">
        <f t="shared" si="11"/>
        <v>1470</v>
      </c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</row>
    <row r="170" spans="1:38">
      <c r="A170" s="108">
        <v>41206</v>
      </c>
      <c r="B170" s="109">
        <v>155239</v>
      </c>
      <c r="C170" s="110">
        <v>0.93400000000000005</v>
      </c>
      <c r="D170" s="109">
        <f t="shared" si="14"/>
        <v>7825</v>
      </c>
      <c r="E170" s="115"/>
      <c r="F170" s="111"/>
      <c r="G170" s="111"/>
      <c r="H170" s="119">
        <f t="shared" si="10"/>
        <v>7306</v>
      </c>
      <c r="I170" s="147">
        <f t="shared" si="12"/>
        <v>28558</v>
      </c>
      <c r="J170" s="111"/>
      <c r="K170" s="109">
        <v>30228</v>
      </c>
      <c r="L170" s="110">
        <v>0.45899999999999996</v>
      </c>
      <c r="M170" s="109">
        <f t="shared" si="15"/>
        <v>3100</v>
      </c>
      <c r="N170" s="115"/>
      <c r="O170" s="111"/>
      <c r="P170" s="111"/>
      <c r="Q170" s="119">
        <f t="shared" si="13"/>
        <v>41</v>
      </c>
      <c r="R170" s="147">
        <f t="shared" si="11"/>
        <v>295</v>
      </c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</row>
    <row r="171" spans="1:38">
      <c r="A171" s="108">
        <v>41213</v>
      </c>
      <c r="B171" s="109">
        <v>149140</v>
      </c>
      <c r="C171" s="110">
        <v>0.89700000000000002</v>
      </c>
      <c r="D171" s="109">
        <f t="shared" si="14"/>
        <v>7850</v>
      </c>
      <c r="E171" s="115"/>
      <c r="F171" s="111"/>
      <c r="G171" s="111"/>
      <c r="H171" s="119">
        <f t="shared" si="10"/>
        <v>-6099</v>
      </c>
      <c r="I171" s="147">
        <f t="shared" si="12"/>
        <v>7386</v>
      </c>
      <c r="J171" s="111"/>
      <c r="K171" s="109">
        <v>27469</v>
      </c>
      <c r="L171" s="110">
        <v>0.41700000000000004</v>
      </c>
      <c r="M171" s="109">
        <f t="shared" si="15"/>
        <v>3100</v>
      </c>
      <c r="N171" s="115"/>
      <c r="O171" s="111"/>
      <c r="P171" s="111"/>
      <c r="Q171" s="119">
        <f t="shared" si="13"/>
        <v>-2759</v>
      </c>
      <c r="R171" s="147">
        <f t="shared" si="11"/>
        <v>-172</v>
      </c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</row>
    <row r="172" spans="1:38">
      <c r="A172" s="108">
        <v>41220</v>
      </c>
      <c r="B172" s="109">
        <v>147358</v>
      </c>
      <c r="C172" s="110">
        <v>0.8859999999999999</v>
      </c>
      <c r="D172" s="109">
        <f t="shared" si="14"/>
        <v>7850</v>
      </c>
      <c r="E172" s="115"/>
      <c r="F172" s="111"/>
      <c r="G172" s="111"/>
      <c r="H172" s="119">
        <f t="shared" si="10"/>
        <v>-1782</v>
      </c>
      <c r="I172" s="147">
        <f t="shared" si="12"/>
        <v>21588</v>
      </c>
      <c r="J172" s="111"/>
      <c r="K172" s="109">
        <v>31079</v>
      </c>
      <c r="L172" s="110">
        <v>0.47200000000000003</v>
      </c>
      <c r="M172" s="109">
        <f t="shared" si="15"/>
        <v>3100</v>
      </c>
      <c r="N172" s="115"/>
      <c r="O172" s="111"/>
      <c r="P172" s="111"/>
      <c r="Q172" s="119">
        <f t="shared" si="13"/>
        <v>3610</v>
      </c>
      <c r="R172" s="147">
        <f t="shared" si="11"/>
        <v>1737</v>
      </c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</row>
    <row r="173" spans="1:38">
      <c r="A173" s="108">
        <v>41227</v>
      </c>
      <c r="B173" s="109">
        <v>154077</v>
      </c>
      <c r="C173" s="110">
        <v>0.92700000000000005</v>
      </c>
      <c r="D173" s="109">
        <f t="shared" si="14"/>
        <v>7825</v>
      </c>
      <c r="E173" s="115"/>
      <c r="F173" s="111"/>
      <c r="G173" s="111"/>
      <c r="H173" s="119">
        <f t="shared" si="10"/>
        <v>6719</v>
      </c>
      <c r="I173" s="147">
        <f t="shared" si="12"/>
        <v>23105</v>
      </c>
      <c r="J173" s="111"/>
      <c r="K173" s="109">
        <v>31548</v>
      </c>
      <c r="L173" s="110">
        <v>0.47899999999999998</v>
      </c>
      <c r="M173" s="109">
        <f t="shared" si="15"/>
        <v>3100</v>
      </c>
      <c r="N173" s="115"/>
      <c r="O173" s="111"/>
      <c r="P173" s="111"/>
      <c r="Q173" s="119">
        <f t="shared" si="13"/>
        <v>469</v>
      </c>
      <c r="R173" s="147">
        <f t="shared" si="11"/>
        <v>4391</v>
      </c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</row>
    <row r="174" spans="1:38">
      <c r="A174" s="108">
        <v>41234</v>
      </c>
      <c r="B174" s="109">
        <v>137901</v>
      </c>
      <c r="C174" s="110">
        <v>0.82900000000000007</v>
      </c>
      <c r="D174" s="109">
        <f t="shared" si="14"/>
        <v>7850</v>
      </c>
      <c r="E174" s="115"/>
      <c r="F174" s="111"/>
      <c r="G174" s="111"/>
      <c r="H174" s="119">
        <f t="shared" si="10"/>
        <v>-16176</v>
      </c>
      <c r="I174" s="147">
        <f t="shared" si="12"/>
        <v>5796</v>
      </c>
      <c r="J174" s="111"/>
      <c r="K174" s="109">
        <v>34174</v>
      </c>
      <c r="L174" s="110">
        <v>0.51900000000000002</v>
      </c>
      <c r="M174" s="109">
        <f t="shared" si="15"/>
        <v>3100</v>
      </c>
      <c r="N174" s="115"/>
      <c r="O174" s="111"/>
      <c r="P174" s="111"/>
      <c r="Q174" s="119">
        <f t="shared" si="13"/>
        <v>2626</v>
      </c>
      <c r="R174" s="147">
        <f t="shared" si="11"/>
        <v>6349</v>
      </c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</row>
    <row r="175" spans="1:38">
      <c r="A175" s="108">
        <v>41241</v>
      </c>
      <c r="B175" s="109">
        <v>124809</v>
      </c>
      <c r="C175" s="110">
        <v>0.75099999999999989</v>
      </c>
      <c r="D175" s="109">
        <f t="shared" si="14"/>
        <v>7825</v>
      </c>
      <c r="E175" s="115"/>
      <c r="F175" s="111"/>
      <c r="G175" s="111"/>
      <c r="H175" s="119">
        <f t="shared" si="10"/>
        <v>-13092</v>
      </c>
      <c r="I175" s="147">
        <f t="shared" si="12"/>
        <v>-8362</v>
      </c>
      <c r="J175" s="111"/>
      <c r="K175" s="109">
        <v>46241</v>
      </c>
      <c r="L175" s="110">
        <v>0.70299999999999996</v>
      </c>
      <c r="M175" s="109">
        <f t="shared" si="15"/>
        <v>3100</v>
      </c>
      <c r="N175" s="115"/>
      <c r="O175" s="111"/>
      <c r="P175" s="111"/>
      <c r="Q175" s="119">
        <f t="shared" si="13"/>
        <v>12067</v>
      </c>
      <c r="R175" s="147">
        <f t="shared" si="11"/>
        <v>20842</v>
      </c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</row>
    <row r="176" spans="1:38">
      <c r="A176" s="108">
        <v>41248</v>
      </c>
      <c r="B176" s="109">
        <v>131927</v>
      </c>
      <c r="C176" s="110">
        <v>0.79299999999999993</v>
      </c>
      <c r="D176" s="109">
        <f t="shared" si="14"/>
        <v>7850</v>
      </c>
      <c r="E176" s="115"/>
      <c r="F176" s="111"/>
      <c r="G176" s="111"/>
      <c r="H176" s="119">
        <f t="shared" si="10"/>
        <v>7118</v>
      </c>
      <c r="I176" s="147">
        <f t="shared" si="12"/>
        <v>452</v>
      </c>
      <c r="J176" s="111"/>
      <c r="K176" s="109">
        <v>37532</v>
      </c>
      <c r="L176" s="110">
        <v>0.56999999999999995</v>
      </c>
      <c r="M176" s="109">
        <f t="shared" si="15"/>
        <v>3100</v>
      </c>
      <c r="N176" s="115"/>
      <c r="O176" s="111"/>
      <c r="P176" s="111"/>
      <c r="Q176" s="119">
        <f t="shared" si="13"/>
        <v>-8709</v>
      </c>
      <c r="R176" s="147">
        <f t="shared" si="11"/>
        <v>7675</v>
      </c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</row>
    <row r="177" spans="1:38">
      <c r="A177" s="108">
        <v>41255</v>
      </c>
      <c r="B177" s="109">
        <v>145258</v>
      </c>
      <c r="C177" s="110">
        <v>0.87400000000000011</v>
      </c>
      <c r="D177" s="109">
        <f t="shared" si="14"/>
        <v>7825</v>
      </c>
      <c r="E177" s="115"/>
      <c r="F177" s="111"/>
      <c r="G177" s="111"/>
      <c r="H177" s="119">
        <f t="shared" si="10"/>
        <v>13331</v>
      </c>
      <c r="I177" s="147">
        <f t="shared" si="12"/>
        <v>10643</v>
      </c>
      <c r="J177" s="111"/>
      <c r="K177" s="109">
        <v>30579</v>
      </c>
      <c r="L177" s="110">
        <v>0.46500000000000002</v>
      </c>
      <c r="M177" s="109">
        <f t="shared" si="15"/>
        <v>3100</v>
      </c>
      <c r="N177" s="115"/>
      <c r="O177" s="111"/>
      <c r="P177" s="111"/>
      <c r="Q177" s="119">
        <f t="shared" si="13"/>
        <v>-6953</v>
      </c>
      <c r="R177" s="147">
        <f t="shared" si="11"/>
        <v>2712</v>
      </c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</row>
    <row r="178" spans="1:38">
      <c r="A178" s="108">
        <v>41262</v>
      </c>
      <c r="B178" s="109">
        <v>149661</v>
      </c>
      <c r="C178" s="110">
        <v>0.9</v>
      </c>
      <c r="D178" s="109">
        <f t="shared" si="14"/>
        <v>7850</v>
      </c>
      <c r="E178" s="115"/>
      <c r="F178" s="111"/>
      <c r="G178" s="111"/>
      <c r="H178" s="119">
        <f t="shared" si="10"/>
        <v>4403</v>
      </c>
      <c r="I178" s="147">
        <f t="shared" si="12"/>
        <v>14578</v>
      </c>
      <c r="J178" s="111"/>
      <c r="K178" s="109">
        <v>30257</v>
      </c>
      <c r="L178" s="110">
        <v>0.46</v>
      </c>
      <c r="M178" s="109">
        <f t="shared" si="15"/>
        <v>3100</v>
      </c>
      <c r="N178" s="115"/>
      <c r="O178" s="111"/>
      <c r="P178" s="111"/>
      <c r="Q178" s="119">
        <f t="shared" si="13"/>
        <v>-322</v>
      </c>
      <c r="R178" s="147">
        <f t="shared" si="11"/>
        <v>1233</v>
      </c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</row>
    <row r="179" spans="1:38">
      <c r="A179" s="108">
        <v>41269</v>
      </c>
      <c r="B179" s="109">
        <v>150574</v>
      </c>
      <c r="C179" s="110">
        <v>0.90599999999999992</v>
      </c>
      <c r="D179" s="109">
        <f t="shared" si="14"/>
        <v>7825</v>
      </c>
      <c r="E179" s="115"/>
      <c r="F179" s="111"/>
      <c r="G179" s="111"/>
      <c r="H179" s="119">
        <f t="shared" si="10"/>
        <v>913</v>
      </c>
      <c r="I179" s="147">
        <f t="shared" si="12"/>
        <v>11724</v>
      </c>
      <c r="J179" s="111"/>
      <c r="K179" s="109">
        <v>28785</v>
      </c>
      <c r="L179" s="110">
        <v>0.43700000000000006</v>
      </c>
      <c r="M179" s="109">
        <f t="shared" si="15"/>
        <v>3100</v>
      </c>
      <c r="N179" s="115"/>
      <c r="O179" s="111"/>
      <c r="P179" s="111"/>
      <c r="Q179" s="119">
        <f t="shared" si="13"/>
        <v>-1472</v>
      </c>
      <c r="R179" s="147">
        <f t="shared" si="11"/>
        <v>-53</v>
      </c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</row>
    <row r="180" spans="1:38">
      <c r="A180" s="108">
        <v>41276</v>
      </c>
      <c r="B180" s="109">
        <v>138858</v>
      </c>
      <c r="C180" s="110">
        <v>0.83499999999999996</v>
      </c>
      <c r="D180" s="109">
        <f t="shared" si="14"/>
        <v>7850</v>
      </c>
      <c r="E180" s="115"/>
      <c r="F180" s="111"/>
      <c r="G180" s="111"/>
      <c r="H180" s="119">
        <f t="shared" ref="H180:H243" si="16">B180-B179</f>
        <v>-11716</v>
      </c>
      <c r="I180" s="147">
        <f t="shared" si="12"/>
        <v>-2314</v>
      </c>
      <c r="J180" s="119"/>
      <c r="K180" s="109">
        <v>24849</v>
      </c>
      <c r="L180" s="110">
        <v>0.37799999999999995</v>
      </c>
      <c r="M180" s="109">
        <f t="shared" si="15"/>
        <v>3100</v>
      </c>
      <c r="N180" s="115"/>
      <c r="O180" s="111"/>
      <c r="P180" s="111"/>
      <c r="Q180" s="119">
        <f t="shared" si="13"/>
        <v>-3936</v>
      </c>
      <c r="R180" s="147">
        <f t="shared" si="11"/>
        <v>1074</v>
      </c>
      <c r="S180" s="119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</row>
    <row r="181" spans="1:38">
      <c r="A181" s="108">
        <v>41283</v>
      </c>
      <c r="B181" s="109">
        <v>133064</v>
      </c>
      <c r="C181" s="110">
        <v>0.8</v>
      </c>
      <c r="D181" s="109">
        <f t="shared" si="14"/>
        <v>7850</v>
      </c>
      <c r="E181" s="115"/>
      <c r="F181" s="111"/>
      <c r="G181" s="111"/>
      <c r="H181" s="119">
        <f t="shared" si="16"/>
        <v>-5794</v>
      </c>
      <c r="I181" s="147">
        <f t="shared" si="12"/>
        <v>-6842</v>
      </c>
      <c r="J181" s="119"/>
      <c r="K181" s="109">
        <v>27501</v>
      </c>
      <c r="L181" s="110">
        <v>0.41799999999999998</v>
      </c>
      <c r="M181" s="109">
        <f t="shared" si="15"/>
        <v>3100</v>
      </c>
      <c r="N181" s="115"/>
      <c r="O181" s="111"/>
      <c r="P181" s="111"/>
      <c r="Q181" s="119">
        <f t="shared" si="13"/>
        <v>2652</v>
      </c>
      <c r="R181" s="147">
        <f t="shared" si="11"/>
        <v>-1120</v>
      </c>
      <c r="S181" s="119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</row>
    <row r="182" spans="1:38">
      <c r="A182" s="108">
        <v>41290</v>
      </c>
      <c r="B182" s="109">
        <v>130824</v>
      </c>
      <c r="C182" s="110">
        <v>0.78700000000000003</v>
      </c>
      <c r="D182" s="109">
        <f t="shared" si="14"/>
        <v>7825</v>
      </c>
      <c r="E182" s="115"/>
      <c r="F182" s="111"/>
      <c r="G182" s="111"/>
      <c r="H182" s="119">
        <f t="shared" si="16"/>
        <v>-2240</v>
      </c>
      <c r="I182" s="147">
        <f t="shared" si="12"/>
        <v>5806</v>
      </c>
      <c r="J182" s="119"/>
      <c r="K182" s="109">
        <v>28333</v>
      </c>
      <c r="L182" s="110">
        <v>0.43099999999999999</v>
      </c>
      <c r="M182" s="109">
        <f t="shared" si="15"/>
        <v>3100</v>
      </c>
      <c r="N182" s="115"/>
      <c r="O182" s="111"/>
      <c r="P182" s="111"/>
      <c r="Q182" s="119">
        <f t="shared" si="13"/>
        <v>832</v>
      </c>
      <c r="R182" s="147">
        <f t="shared" ref="R182:R245" si="17">K182-K130</f>
        <v>1521</v>
      </c>
      <c r="S182" s="119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</row>
    <row r="183" spans="1:38">
      <c r="A183" s="108">
        <v>41297</v>
      </c>
      <c r="B183" s="109">
        <v>142681</v>
      </c>
      <c r="C183" s="110">
        <v>0.85799999999999998</v>
      </c>
      <c r="D183" s="109">
        <f t="shared" si="14"/>
        <v>7850</v>
      </c>
      <c r="E183" s="115"/>
      <c r="F183" s="111"/>
      <c r="G183" s="111"/>
      <c r="H183" s="119">
        <f t="shared" si="16"/>
        <v>11857</v>
      </c>
      <c r="I183" s="147">
        <f t="shared" ref="I183:I246" si="18">B183-B131</f>
        <v>12701</v>
      </c>
      <c r="J183" s="119"/>
      <c r="K183" s="109">
        <v>35770</v>
      </c>
      <c r="L183" s="110">
        <v>0.54400000000000004</v>
      </c>
      <c r="M183" s="109">
        <f t="shared" si="15"/>
        <v>3100</v>
      </c>
      <c r="N183" s="115"/>
      <c r="O183" s="111"/>
      <c r="P183" s="111"/>
      <c r="Q183" s="119">
        <f t="shared" si="13"/>
        <v>7437</v>
      </c>
      <c r="R183" s="147">
        <f t="shared" si="17"/>
        <v>8217</v>
      </c>
      <c r="S183" s="119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</row>
    <row r="184" spans="1:38">
      <c r="A184" s="108">
        <v>41304</v>
      </c>
      <c r="B184" s="109">
        <v>115438</v>
      </c>
      <c r="C184" s="110">
        <v>0.69400000000000006</v>
      </c>
      <c r="D184" s="109">
        <f t="shared" si="14"/>
        <v>7850</v>
      </c>
      <c r="E184" s="115"/>
      <c r="F184" s="111"/>
      <c r="G184" s="111"/>
      <c r="H184" s="119">
        <f t="shared" si="16"/>
        <v>-27243</v>
      </c>
      <c r="I184" s="147">
        <f t="shared" si="18"/>
        <v>-13878</v>
      </c>
      <c r="J184" s="119"/>
      <c r="K184" s="109">
        <v>38555</v>
      </c>
      <c r="L184" s="110">
        <v>0.58599999999999997</v>
      </c>
      <c r="M184" s="109">
        <f t="shared" si="15"/>
        <v>3100</v>
      </c>
      <c r="N184" s="115"/>
      <c r="O184" s="111"/>
      <c r="P184" s="111"/>
      <c r="Q184" s="119">
        <f t="shared" si="13"/>
        <v>2785</v>
      </c>
      <c r="R184" s="147">
        <f t="shared" si="17"/>
        <v>12318</v>
      </c>
      <c r="S184" s="119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</row>
    <row r="185" spans="1:38">
      <c r="A185" s="108">
        <v>41311</v>
      </c>
      <c r="B185" s="109">
        <v>121995</v>
      </c>
      <c r="C185" s="110">
        <v>0.7340000000000001</v>
      </c>
      <c r="D185" s="109">
        <f t="shared" si="14"/>
        <v>7825</v>
      </c>
      <c r="E185" s="115"/>
      <c r="F185" s="111"/>
      <c r="G185" s="111"/>
      <c r="H185" s="119">
        <f t="shared" si="16"/>
        <v>6557</v>
      </c>
      <c r="I185" s="147">
        <f t="shared" si="18"/>
        <v>-37657</v>
      </c>
      <c r="J185" s="119"/>
      <c r="K185" s="109">
        <v>38223</v>
      </c>
      <c r="L185" s="110">
        <v>0.58099999999999996</v>
      </c>
      <c r="M185" s="109">
        <f t="shared" si="15"/>
        <v>3100</v>
      </c>
      <c r="N185" s="115"/>
      <c r="O185" s="111"/>
      <c r="P185" s="111"/>
      <c r="Q185" s="119">
        <f t="shared" si="13"/>
        <v>-332</v>
      </c>
      <c r="R185" s="147">
        <f t="shared" si="17"/>
        <v>11581</v>
      </c>
      <c r="S185" s="119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</row>
    <row r="186" spans="1:38">
      <c r="A186" s="108">
        <v>41318</v>
      </c>
      <c r="B186" s="109">
        <v>139832</v>
      </c>
      <c r="C186" s="110">
        <v>0.84099999999999997</v>
      </c>
      <c r="D186" s="109">
        <f t="shared" si="14"/>
        <v>7850</v>
      </c>
      <c r="E186" s="115"/>
      <c r="F186" s="111"/>
      <c r="G186" s="111"/>
      <c r="H186" s="119">
        <f t="shared" si="16"/>
        <v>17837</v>
      </c>
      <c r="I186" s="147">
        <f t="shared" si="18"/>
        <v>-14393</v>
      </c>
      <c r="J186" s="119"/>
      <c r="K186" s="109">
        <v>37455</v>
      </c>
      <c r="L186" s="110">
        <v>0.56899999999999995</v>
      </c>
      <c r="M186" s="109">
        <f t="shared" si="15"/>
        <v>3100</v>
      </c>
      <c r="N186" s="115"/>
      <c r="O186" s="111"/>
      <c r="P186" s="111"/>
      <c r="Q186" s="119">
        <f t="shared" si="13"/>
        <v>-768</v>
      </c>
      <c r="R186" s="147">
        <f t="shared" si="17"/>
        <v>8862</v>
      </c>
      <c r="S186" s="119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</row>
    <row r="187" spans="1:38">
      <c r="A187" s="108">
        <v>41325</v>
      </c>
      <c r="B187" s="109">
        <v>130645</v>
      </c>
      <c r="C187" s="110">
        <v>0.78599999999999992</v>
      </c>
      <c r="D187" s="109">
        <f t="shared" si="14"/>
        <v>7825</v>
      </c>
      <c r="E187" s="115"/>
      <c r="F187" s="111"/>
      <c r="G187" s="111"/>
      <c r="H187" s="119">
        <f t="shared" si="16"/>
        <v>-9187</v>
      </c>
      <c r="I187" s="147">
        <f t="shared" si="18"/>
        <v>-15749</v>
      </c>
      <c r="J187" s="119"/>
      <c r="K187" s="109">
        <v>30209</v>
      </c>
      <c r="L187" s="110">
        <v>0.45899999999999996</v>
      </c>
      <c r="M187" s="109">
        <f t="shared" si="15"/>
        <v>3100</v>
      </c>
      <c r="N187" s="115"/>
      <c r="O187" s="111"/>
      <c r="P187" s="111"/>
      <c r="Q187" s="119">
        <f t="shared" si="13"/>
        <v>-7246</v>
      </c>
      <c r="R187" s="147">
        <f t="shared" si="17"/>
        <v>240</v>
      </c>
      <c r="S187" s="119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</row>
    <row r="188" spans="1:38">
      <c r="A188" s="108">
        <v>41332</v>
      </c>
      <c r="B188" s="109">
        <v>138234</v>
      </c>
      <c r="C188" s="110">
        <v>0.83099999999999996</v>
      </c>
      <c r="D188" s="109">
        <f t="shared" si="14"/>
        <v>7850</v>
      </c>
      <c r="E188" s="115"/>
      <c r="F188" s="111"/>
      <c r="G188" s="111"/>
      <c r="H188" s="119">
        <f t="shared" si="16"/>
        <v>7589</v>
      </c>
      <c r="I188" s="147">
        <f t="shared" si="18"/>
        <v>12070</v>
      </c>
      <c r="J188" s="119"/>
      <c r="K188" s="109">
        <v>29150</v>
      </c>
      <c r="L188" s="110">
        <v>0.44299999999999995</v>
      </c>
      <c r="M188" s="109">
        <f t="shared" si="15"/>
        <v>3100</v>
      </c>
      <c r="N188" s="115"/>
      <c r="O188" s="111"/>
      <c r="P188" s="111"/>
      <c r="Q188" s="119">
        <f t="shared" si="13"/>
        <v>-1059</v>
      </c>
      <c r="R188" s="147">
        <f t="shared" si="17"/>
        <v>-10003</v>
      </c>
      <c r="S188" s="119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</row>
    <row r="189" spans="1:38">
      <c r="A189" s="108">
        <v>41339</v>
      </c>
      <c r="B189" s="109">
        <v>131886</v>
      </c>
      <c r="C189" s="110">
        <v>0.79299999999999993</v>
      </c>
      <c r="D189" s="109">
        <f t="shared" si="14"/>
        <v>7850</v>
      </c>
      <c r="E189" s="115"/>
      <c r="F189" s="111"/>
      <c r="G189" s="111"/>
      <c r="H189" s="119">
        <f t="shared" si="16"/>
        <v>-6348</v>
      </c>
      <c r="I189" s="147">
        <f t="shared" si="18"/>
        <v>-12811</v>
      </c>
      <c r="J189" s="119"/>
      <c r="K189" s="109">
        <v>29069</v>
      </c>
      <c r="L189" s="110">
        <v>0.442</v>
      </c>
      <c r="M189" s="109">
        <f t="shared" si="15"/>
        <v>3100</v>
      </c>
      <c r="N189" s="115"/>
      <c r="O189" s="111"/>
      <c r="P189" s="111"/>
      <c r="Q189" s="119">
        <f t="shared" si="13"/>
        <v>-81</v>
      </c>
      <c r="R189" s="147">
        <f t="shared" si="17"/>
        <v>-3381</v>
      </c>
      <c r="S189" s="119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</row>
    <row r="190" spans="1:38">
      <c r="A190" s="108">
        <v>41346</v>
      </c>
      <c r="B190" s="109">
        <v>132856</v>
      </c>
      <c r="C190" s="110">
        <v>0.79900000000000004</v>
      </c>
      <c r="D190" s="109">
        <f t="shared" si="14"/>
        <v>7850</v>
      </c>
      <c r="E190" s="115"/>
      <c r="F190" s="111"/>
      <c r="G190" s="111"/>
      <c r="H190" s="119">
        <f t="shared" si="16"/>
        <v>970</v>
      </c>
      <c r="I190" s="147">
        <f t="shared" si="18"/>
        <v>-17450</v>
      </c>
      <c r="J190" s="119"/>
      <c r="K190" s="109">
        <v>34709</v>
      </c>
      <c r="L190" s="110">
        <v>0.52700000000000002</v>
      </c>
      <c r="M190" s="109">
        <f t="shared" si="15"/>
        <v>3100</v>
      </c>
      <c r="N190" s="115"/>
      <c r="O190" s="111"/>
      <c r="P190" s="111"/>
      <c r="Q190" s="119">
        <f t="shared" si="13"/>
        <v>5640</v>
      </c>
      <c r="R190" s="147">
        <f t="shared" si="17"/>
        <v>8514</v>
      </c>
      <c r="S190" s="119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</row>
    <row r="191" spans="1:38">
      <c r="A191" s="108">
        <v>41353</v>
      </c>
      <c r="B191" s="109">
        <v>131821</v>
      </c>
      <c r="C191" s="110">
        <v>0.79299999999999993</v>
      </c>
      <c r="D191" s="109">
        <f t="shared" si="14"/>
        <v>7825</v>
      </c>
      <c r="E191" s="115"/>
      <c r="F191" s="111"/>
      <c r="G191" s="111"/>
      <c r="H191" s="119">
        <f t="shared" si="16"/>
        <v>-1035</v>
      </c>
      <c r="I191" s="147">
        <f t="shared" si="18"/>
        <v>-16457</v>
      </c>
      <c r="J191" s="119"/>
      <c r="K191" s="109">
        <v>40171</v>
      </c>
      <c r="L191" s="110">
        <v>0.61099999999999999</v>
      </c>
      <c r="M191" s="109">
        <f t="shared" si="15"/>
        <v>3100</v>
      </c>
      <c r="N191" s="115"/>
      <c r="O191" s="111"/>
      <c r="P191" s="111"/>
      <c r="Q191" s="119">
        <f t="shared" si="13"/>
        <v>5462</v>
      </c>
      <c r="R191" s="147">
        <f t="shared" si="17"/>
        <v>12845</v>
      </c>
      <c r="S191" s="119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</row>
    <row r="192" spans="1:38">
      <c r="A192" s="108">
        <v>41360</v>
      </c>
      <c r="B192" s="109">
        <v>132320</v>
      </c>
      <c r="C192" s="110">
        <v>0.79599999999999993</v>
      </c>
      <c r="D192" s="109">
        <f t="shared" si="14"/>
        <v>7825</v>
      </c>
      <c r="E192" s="115"/>
      <c r="F192" s="111"/>
      <c r="G192" s="111"/>
      <c r="H192" s="119">
        <f t="shared" si="16"/>
        <v>499</v>
      </c>
      <c r="I192" s="147">
        <f t="shared" si="18"/>
        <v>-19202</v>
      </c>
      <c r="J192" s="119"/>
      <c r="K192" s="109">
        <v>39680</v>
      </c>
      <c r="L192" s="110">
        <v>0.60299999999999998</v>
      </c>
      <c r="M192" s="109">
        <f t="shared" si="15"/>
        <v>3100</v>
      </c>
      <c r="N192" s="115"/>
      <c r="O192" s="111"/>
      <c r="P192" s="111"/>
      <c r="Q192" s="119">
        <f t="shared" si="13"/>
        <v>-491</v>
      </c>
      <c r="R192" s="147">
        <f t="shared" si="17"/>
        <v>10729</v>
      </c>
      <c r="S192" s="119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</row>
    <row r="193" spans="1:38">
      <c r="A193" s="108">
        <v>41367</v>
      </c>
      <c r="B193" s="109">
        <v>130463</v>
      </c>
      <c r="C193" s="110">
        <v>0.78500000000000003</v>
      </c>
      <c r="D193" s="109">
        <f t="shared" si="14"/>
        <v>7825</v>
      </c>
      <c r="E193" s="115"/>
      <c r="F193" s="111"/>
      <c r="G193" s="111"/>
      <c r="H193" s="119">
        <f t="shared" si="16"/>
        <v>-1857</v>
      </c>
      <c r="I193" s="147">
        <f t="shared" si="18"/>
        <v>-12291</v>
      </c>
      <c r="J193" s="119"/>
      <c r="K193" s="109">
        <v>30200</v>
      </c>
      <c r="L193" s="110">
        <v>0.45899999999999996</v>
      </c>
      <c r="M193" s="109">
        <f t="shared" si="15"/>
        <v>3100</v>
      </c>
      <c r="N193" s="115"/>
      <c r="O193" s="111"/>
      <c r="P193" s="111"/>
      <c r="Q193" s="119">
        <f t="shared" si="13"/>
        <v>-9480</v>
      </c>
      <c r="R193" s="147">
        <f t="shared" si="17"/>
        <v>2938</v>
      </c>
      <c r="S193" s="119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</row>
    <row r="194" spans="1:38">
      <c r="A194" s="108">
        <v>41374</v>
      </c>
      <c r="B194" s="109">
        <v>144117</v>
      </c>
      <c r="C194" s="110">
        <v>0.86699999999999999</v>
      </c>
      <c r="D194" s="109">
        <f t="shared" si="14"/>
        <v>7825</v>
      </c>
      <c r="E194" s="115"/>
      <c r="F194" s="111"/>
      <c r="G194" s="111"/>
      <c r="H194" s="119">
        <f t="shared" si="16"/>
        <v>13654</v>
      </c>
      <c r="I194" s="147">
        <f t="shared" si="18"/>
        <v>-4615</v>
      </c>
      <c r="J194" s="119"/>
      <c r="K194" s="109">
        <v>26681</v>
      </c>
      <c r="L194" s="110">
        <v>0.40500000000000003</v>
      </c>
      <c r="M194" s="109">
        <f t="shared" si="15"/>
        <v>3100</v>
      </c>
      <c r="N194" s="115"/>
      <c r="O194" s="111"/>
      <c r="P194" s="111"/>
      <c r="Q194" s="119">
        <f t="shared" si="13"/>
        <v>-3519</v>
      </c>
      <c r="R194" s="147">
        <f t="shared" si="17"/>
        <v>-2026</v>
      </c>
      <c r="S194" s="119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</row>
    <row r="195" spans="1:38">
      <c r="A195" s="108">
        <v>41381</v>
      </c>
      <c r="B195" s="109">
        <v>120051</v>
      </c>
      <c r="C195" s="110">
        <v>0.72199999999999998</v>
      </c>
      <c r="D195" s="109">
        <f t="shared" si="14"/>
        <v>7850</v>
      </c>
      <c r="E195" s="115"/>
      <c r="F195" s="111"/>
      <c r="G195" s="111"/>
      <c r="H195" s="119">
        <f t="shared" si="16"/>
        <v>-24066</v>
      </c>
      <c r="I195" s="147">
        <f t="shared" si="18"/>
        <v>-21722</v>
      </c>
      <c r="J195" s="119"/>
      <c r="K195" s="109">
        <v>30065</v>
      </c>
      <c r="L195" s="110">
        <v>0.45700000000000002</v>
      </c>
      <c r="M195" s="109">
        <f t="shared" si="15"/>
        <v>3100</v>
      </c>
      <c r="N195" s="115"/>
      <c r="O195" s="111"/>
      <c r="P195" s="111"/>
      <c r="Q195" s="119">
        <f t="shared" ref="Q195:Q258" si="19">K195-K194</f>
        <v>3384</v>
      </c>
      <c r="R195" s="147">
        <f t="shared" si="17"/>
        <v>5601</v>
      </c>
      <c r="S195" s="119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</row>
    <row r="196" spans="1:38">
      <c r="A196" s="108">
        <v>41388</v>
      </c>
      <c r="B196" s="109">
        <v>145596</v>
      </c>
      <c r="C196" s="110">
        <v>0.87599999999999989</v>
      </c>
      <c r="D196" s="109">
        <f t="shared" ref="D196:D259" si="20">IF(B196="","",IF(C196="","",MROUND((B196/C196)/(A196-A195)*330/1000,25)))</f>
        <v>7825</v>
      </c>
      <c r="E196" s="115"/>
      <c r="F196" s="111"/>
      <c r="G196" s="111"/>
      <c r="H196" s="119">
        <f t="shared" si="16"/>
        <v>25545</v>
      </c>
      <c r="I196" s="147">
        <f t="shared" si="18"/>
        <v>-3493</v>
      </c>
      <c r="J196" s="119"/>
      <c r="K196" s="109">
        <v>28597</v>
      </c>
      <c r="L196" s="110">
        <v>0.435</v>
      </c>
      <c r="M196" s="109">
        <f t="shared" ref="M196:M259" si="21">IF(K196="","",IF(L196="","",MROUND((K196/L196)/(A196-A195)*330/1000,25)))</f>
        <v>3100</v>
      </c>
      <c r="N196" s="115"/>
      <c r="O196" s="111"/>
      <c r="P196" s="111"/>
      <c r="Q196" s="119">
        <f t="shared" si="19"/>
        <v>-1468</v>
      </c>
      <c r="R196" s="147">
        <f t="shared" si="17"/>
        <v>3142</v>
      </c>
      <c r="S196" s="119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</row>
    <row r="197" spans="1:38">
      <c r="A197" s="108">
        <v>41395</v>
      </c>
      <c r="B197" s="109">
        <v>114962</v>
      </c>
      <c r="C197" s="110">
        <v>0.69099999999999995</v>
      </c>
      <c r="D197" s="109">
        <f t="shared" si="20"/>
        <v>7850</v>
      </c>
      <c r="E197" s="115"/>
      <c r="F197" s="111"/>
      <c r="G197" s="111"/>
      <c r="H197" s="119">
        <f t="shared" si="16"/>
        <v>-30634</v>
      </c>
      <c r="I197" s="147">
        <f t="shared" si="18"/>
        <v>-25887</v>
      </c>
      <c r="J197" s="119"/>
      <c r="K197" s="109">
        <v>25879</v>
      </c>
      <c r="L197" s="110">
        <v>0.39299999999999996</v>
      </c>
      <c r="M197" s="109">
        <f t="shared" si="21"/>
        <v>3100</v>
      </c>
      <c r="N197" s="115"/>
      <c r="O197" s="111"/>
      <c r="P197" s="111"/>
      <c r="Q197" s="119">
        <f t="shared" si="19"/>
        <v>-2718</v>
      </c>
      <c r="R197" s="147">
        <f t="shared" si="17"/>
        <v>1345</v>
      </c>
      <c r="S197" s="119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</row>
    <row r="198" spans="1:38">
      <c r="A198" s="108">
        <v>41402</v>
      </c>
      <c r="B198" s="109">
        <v>93508</v>
      </c>
      <c r="C198" s="110">
        <v>0.56200000000000006</v>
      </c>
      <c r="D198" s="109">
        <f t="shared" si="20"/>
        <v>7850</v>
      </c>
      <c r="E198" s="115"/>
      <c r="F198" s="111"/>
      <c r="G198" s="111"/>
      <c r="H198" s="119">
        <f t="shared" si="16"/>
        <v>-21454</v>
      </c>
      <c r="I198" s="147">
        <f t="shared" si="18"/>
        <v>-23524</v>
      </c>
      <c r="J198" s="119"/>
      <c r="K198" s="109">
        <v>30665</v>
      </c>
      <c r="L198" s="110">
        <v>0.46600000000000003</v>
      </c>
      <c r="M198" s="109">
        <f t="shared" si="21"/>
        <v>3100</v>
      </c>
      <c r="N198" s="115"/>
      <c r="O198" s="111"/>
      <c r="P198" s="111"/>
      <c r="Q198" s="119">
        <f t="shared" si="19"/>
        <v>4786</v>
      </c>
      <c r="R198" s="147">
        <f t="shared" si="17"/>
        <v>1857</v>
      </c>
      <c r="S198" s="119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</row>
    <row r="199" spans="1:38">
      <c r="A199" s="108">
        <v>41409</v>
      </c>
      <c r="B199" s="109">
        <v>100415</v>
      </c>
      <c r="C199" s="110">
        <v>0.60399999999999998</v>
      </c>
      <c r="D199" s="109">
        <f t="shared" si="20"/>
        <v>7850</v>
      </c>
      <c r="E199" s="115"/>
      <c r="F199" s="111"/>
      <c r="G199" s="111"/>
      <c r="H199" s="119">
        <f t="shared" si="16"/>
        <v>6907</v>
      </c>
      <c r="I199" s="147">
        <f t="shared" si="18"/>
        <v>-23726</v>
      </c>
      <c r="J199" s="119"/>
      <c r="K199" s="109">
        <v>29139</v>
      </c>
      <c r="L199" s="110">
        <v>0.44299999999999995</v>
      </c>
      <c r="M199" s="109">
        <f t="shared" si="21"/>
        <v>3100</v>
      </c>
      <c r="N199" s="115"/>
      <c r="O199" s="111"/>
      <c r="P199" s="111"/>
      <c r="Q199" s="119">
        <f t="shared" si="19"/>
        <v>-1526</v>
      </c>
      <c r="R199" s="147">
        <f t="shared" si="17"/>
        <v>493</v>
      </c>
      <c r="S199" s="119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</row>
    <row r="200" spans="1:38">
      <c r="A200" s="108">
        <v>41416</v>
      </c>
      <c r="B200" s="109">
        <v>120619</v>
      </c>
      <c r="C200" s="110">
        <v>0.72499999999999998</v>
      </c>
      <c r="D200" s="109">
        <f t="shared" si="20"/>
        <v>7850</v>
      </c>
      <c r="E200" s="115"/>
      <c r="F200" s="111"/>
      <c r="G200" s="111"/>
      <c r="H200" s="119">
        <f t="shared" si="16"/>
        <v>20204</v>
      </c>
      <c r="I200" s="147">
        <f t="shared" si="18"/>
        <v>-2962</v>
      </c>
      <c r="J200" s="119"/>
      <c r="K200" s="109">
        <v>29553</v>
      </c>
      <c r="L200" s="110">
        <v>0.44900000000000001</v>
      </c>
      <c r="M200" s="109">
        <f t="shared" si="21"/>
        <v>3100</v>
      </c>
      <c r="N200" s="115"/>
      <c r="O200" s="111"/>
      <c r="P200" s="111"/>
      <c r="Q200" s="119">
        <f t="shared" si="19"/>
        <v>414</v>
      </c>
      <c r="R200" s="147">
        <f t="shared" si="17"/>
        <v>4581</v>
      </c>
      <c r="S200" s="119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</row>
    <row r="201" spans="1:38">
      <c r="A201" s="108">
        <v>41423</v>
      </c>
      <c r="B201" s="109">
        <v>97805</v>
      </c>
      <c r="C201" s="110">
        <v>0.58799999999999997</v>
      </c>
      <c r="D201" s="109">
        <f t="shared" si="20"/>
        <v>7850</v>
      </c>
      <c r="E201" s="115"/>
      <c r="F201" s="111"/>
      <c r="G201" s="111"/>
      <c r="H201" s="119">
        <f t="shared" si="16"/>
        <v>-22814</v>
      </c>
      <c r="I201" s="147">
        <f t="shared" si="18"/>
        <v>-4329</v>
      </c>
      <c r="J201" s="119"/>
      <c r="K201" s="109">
        <v>21671</v>
      </c>
      <c r="L201" s="110">
        <v>0.32899999999999996</v>
      </c>
      <c r="M201" s="109">
        <f t="shared" si="21"/>
        <v>3100</v>
      </c>
      <c r="N201" s="115"/>
      <c r="O201" s="111"/>
      <c r="P201" s="111"/>
      <c r="Q201" s="119">
        <f t="shared" si="19"/>
        <v>-7882</v>
      </c>
      <c r="R201" s="147">
        <f t="shared" si="17"/>
        <v>5417</v>
      </c>
      <c r="S201" s="119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</row>
    <row r="202" spans="1:38">
      <c r="A202" s="108">
        <v>41430</v>
      </c>
      <c r="B202" s="109">
        <v>89665</v>
      </c>
      <c r="C202" s="110">
        <v>0.53900000000000003</v>
      </c>
      <c r="D202" s="109">
        <f t="shared" si="20"/>
        <v>7850</v>
      </c>
      <c r="E202" s="115"/>
      <c r="F202" s="111"/>
      <c r="G202" s="111"/>
      <c r="H202" s="119">
        <f t="shared" si="16"/>
        <v>-8140</v>
      </c>
      <c r="I202" s="147">
        <f t="shared" si="18"/>
        <v>14446</v>
      </c>
      <c r="J202" s="119"/>
      <c r="K202" s="109">
        <v>14688</v>
      </c>
      <c r="L202" s="110">
        <v>0.223</v>
      </c>
      <c r="M202" s="109">
        <f t="shared" si="21"/>
        <v>3100</v>
      </c>
      <c r="N202" s="115"/>
      <c r="O202" s="111"/>
      <c r="P202" s="111"/>
      <c r="Q202" s="119">
        <f t="shared" si="19"/>
        <v>-6983</v>
      </c>
      <c r="R202" s="147">
        <f t="shared" si="17"/>
        <v>-11849</v>
      </c>
      <c r="S202" s="119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</row>
    <row r="203" spans="1:38">
      <c r="A203" s="108">
        <v>41437</v>
      </c>
      <c r="B203" s="109">
        <v>106622</v>
      </c>
      <c r="C203" s="110">
        <v>0.6409999999999999</v>
      </c>
      <c r="D203" s="109">
        <f t="shared" si="20"/>
        <v>7850</v>
      </c>
      <c r="E203" s="115"/>
      <c r="F203" s="111"/>
      <c r="G203" s="111"/>
      <c r="H203" s="119">
        <f t="shared" si="16"/>
        <v>16957</v>
      </c>
      <c r="I203" s="147">
        <f t="shared" si="18"/>
        <v>7441</v>
      </c>
      <c r="J203" s="119"/>
      <c r="K203" s="109">
        <v>22978</v>
      </c>
      <c r="L203" s="110">
        <v>0.34899999999999998</v>
      </c>
      <c r="M203" s="109">
        <f t="shared" si="21"/>
        <v>3100</v>
      </c>
      <c r="N203" s="115"/>
      <c r="O203" s="111"/>
      <c r="P203" s="111"/>
      <c r="Q203" s="119">
        <f t="shared" si="19"/>
        <v>8290</v>
      </c>
      <c r="R203" s="147">
        <f t="shared" si="17"/>
        <v>-8079</v>
      </c>
      <c r="S203" s="119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</row>
    <row r="204" spans="1:38">
      <c r="A204" s="108">
        <v>41444</v>
      </c>
      <c r="B204" s="109">
        <v>102869</v>
      </c>
      <c r="C204" s="110">
        <v>0.61899999999999999</v>
      </c>
      <c r="D204" s="109">
        <f t="shared" si="20"/>
        <v>7825</v>
      </c>
      <c r="E204" s="115"/>
      <c r="F204" s="111"/>
      <c r="G204" s="111"/>
      <c r="H204" s="119">
        <f t="shared" si="16"/>
        <v>-3753</v>
      </c>
      <c r="I204" s="147">
        <f t="shared" si="18"/>
        <v>-16654</v>
      </c>
      <c r="J204" s="119"/>
      <c r="K204" s="109">
        <v>26296</v>
      </c>
      <c r="L204" s="110">
        <v>0.4</v>
      </c>
      <c r="M204" s="109">
        <f t="shared" si="21"/>
        <v>3100</v>
      </c>
      <c r="N204" s="115"/>
      <c r="O204" s="111"/>
      <c r="P204" s="111"/>
      <c r="Q204" s="119">
        <f t="shared" si="19"/>
        <v>3318</v>
      </c>
      <c r="R204" s="147">
        <f t="shared" si="17"/>
        <v>-3770</v>
      </c>
      <c r="S204" s="119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</row>
    <row r="205" spans="1:38">
      <c r="A205" s="108">
        <v>41451</v>
      </c>
      <c r="B205" s="109">
        <v>122927</v>
      </c>
      <c r="C205" s="110">
        <v>0.7390000000000001</v>
      </c>
      <c r="D205" s="109">
        <f t="shared" si="20"/>
        <v>7850</v>
      </c>
      <c r="E205" s="115"/>
      <c r="F205" s="111"/>
      <c r="G205" s="111"/>
      <c r="H205" s="119">
        <f t="shared" si="16"/>
        <v>20058</v>
      </c>
      <c r="I205" s="147">
        <f t="shared" si="18"/>
        <v>-9882</v>
      </c>
      <c r="J205" s="119"/>
      <c r="K205" s="109">
        <v>28009</v>
      </c>
      <c r="L205" s="110">
        <v>0.42599999999999999</v>
      </c>
      <c r="M205" s="109">
        <f t="shared" si="21"/>
        <v>3100</v>
      </c>
      <c r="N205" s="115"/>
      <c r="O205" s="111"/>
      <c r="P205" s="111"/>
      <c r="Q205" s="119">
        <f t="shared" si="19"/>
        <v>1713</v>
      </c>
      <c r="R205" s="147">
        <f t="shared" si="17"/>
        <v>1465</v>
      </c>
      <c r="S205" s="119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</row>
    <row r="206" spans="1:38">
      <c r="A206" s="108">
        <v>41458</v>
      </c>
      <c r="B206" s="109">
        <v>116057</v>
      </c>
      <c r="C206" s="110">
        <v>0.69799999999999995</v>
      </c>
      <c r="D206" s="109">
        <f t="shared" si="20"/>
        <v>7850</v>
      </c>
      <c r="E206" s="115"/>
      <c r="F206" s="111"/>
      <c r="G206" s="111"/>
      <c r="H206" s="119">
        <f t="shared" si="16"/>
        <v>-6870</v>
      </c>
      <c r="I206" s="147">
        <f t="shared" si="18"/>
        <v>-17199</v>
      </c>
      <c r="J206" s="119"/>
      <c r="K206" s="109">
        <v>26092</v>
      </c>
      <c r="L206" s="110">
        <v>0.39700000000000002</v>
      </c>
      <c r="M206" s="109">
        <f t="shared" si="21"/>
        <v>3100</v>
      </c>
      <c r="N206" s="115"/>
      <c r="O206" s="111"/>
      <c r="P206" s="111"/>
      <c r="Q206" s="119">
        <f t="shared" si="19"/>
        <v>-1917</v>
      </c>
      <c r="R206" s="147">
        <f t="shared" si="17"/>
        <v>13849</v>
      </c>
      <c r="S206" s="119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</row>
    <row r="207" spans="1:38">
      <c r="A207" s="108">
        <v>41465</v>
      </c>
      <c r="B207" s="109">
        <v>115700</v>
      </c>
      <c r="C207" s="110">
        <v>0.69599999999999995</v>
      </c>
      <c r="D207" s="109">
        <f t="shared" si="20"/>
        <v>7825</v>
      </c>
      <c r="E207" s="115"/>
      <c r="F207" s="111"/>
      <c r="G207" s="111"/>
      <c r="H207" s="119">
        <f t="shared" si="16"/>
        <v>-357</v>
      </c>
      <c r="I207" s="147">
        <f t="shared" si="18"/>
        <v>-27607</v>
      </c>
      <c r="J207" s="119"/>
      <c r="K207" s="109">
        <v>28314</v>
      </c>
      <c r="L207" s="110">
        <v>0.43</v>
      </c>
      <c r="M207" s="109">
        <f t="shared" si="21"/>
        <v>3100</v>
      </c>
      <c r="N207" s="115"/>
      <c r="O207" s="111"/>
      <c r="P207" s="111"/>
      <c r="Q207" s="119">
        <f t="shared" si="19"/>
        <v>2222</v>
      </c>
      <c r="R207" s="147">
        <f t="shared" si="17"/>
        <v>-653</v>
      </c>
      <c r="S207" s="119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</row>
    <row r="208" spans="1:38">
      <c r="A208" s="108">
        <v>41472</v>
      </c>
      <c r="B208" s="109">
        <v>123668</v>
      </c>
      <c r="C208" s="110">
        <v>0.74400000000000011</v>
      </c>
      <c r="D208" s="109">
        <f t="shared" si="20"/>
        <v>7825</v>
      </c>
      <c r="E208" s="115"/>
      <c r="F208" s="111"/>
      <c r="G208" s="111"/>
      <c r="H208" s="119">
        <f t="shared" si="16"/>
        <v>7968</v>
      </c>
      <c r="I208" s="147">
        <f t="shared" si="18"/>
        <v>532</v>
      </c>
      <c r="J208" s="119"/>
      <c r="K208" s="109">
        <v>42120</v>
      </c>
      <c r="L208" s="110">
        <v>0.64</v>
      </c>
      <c r="M208" s="109">
        <f t="shared" si="21"/>
        <v>3100</v>
      </c>
      <c r="N208" s="115"/>
      <c r="O208" s="111"/>
      <c r="P208" s="111"/>
      <c r="Q208" s="119">
        <f t="shared" si="19"/>
        <v>13806</v>
      </c>
      <c r="R208" s="147">
        <f t="shared" si="17"/>
        <v>11587</v>
      </c>
      <c r="S208" s="119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</row>
    <row r="209" spans="1:38">
      <c r="A209" s="108">
        <v>41479</v>
      </c>
      <c r="B209" s="109">
        <v>117283</v>
      </c>
      <c r="C209" s="110">
        <v>0.70499999999999996</v>
      </c>
      <c r="D209" s="109">
        <f t="shared" si="20"/>
        <v>7850</v>
      </c>
      <c r="E209" s="115"/>
      <c r="F209" s="111"/>
      <c r="G209" s="111"/>
      <c r="H209" s="119">
        <f t="shared" si="16"/>
        <v>-6385</v>
      </c>
      <c r="I209" s="147">
        <f t="shared" si="18"/>
        <v>-13115</v>
      </c>
      <c r="J209" s="119"/>
      <c r="K209" s="109">
        <v>34607</v>
      </c>
      <c r="L209" s="110">
        <v>0.52600000000000002</v>
      </c>
      <c r="M209" s="109">
        <f t="shared" si="21"/>
        <v>3100</v>
      </c>
      <c r="N209" s="115"/>
      <c r="O209" s="111"/>
      <c r="P209" s="111"/>
      <c r="Q209" s="119">
        <f t="shared" si="19"/>
        <v>-7513</v>
      </c>
      <c r="R209" s="147">
        <f t="shared" si="17"/>
        <v>4358</v>
      </c>
      <c r="S209" s="119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</row>
    <row r="210" spans="1:38">
      <c r="A210" s="108">
        <v>41486</v>
      </c>
      <c r="B210" s="109">
        <v>97698</v>
      </c>
      <c r="C210" s="110"/>
      <c r="D210" s="109" t="str">
        <f t="shared" si="20"/>
        <v/>
      </c>
      <c r="E210" s="115"/>
      <c r="F210" s="111"/>
      <c r="G210" s="111"/>
      <c r="H210" s="119">
        <f t="shared" si="16"/>
        <v>-19585</v>
      </c>
      <c r="I210" s="147">
        <f t="shared" si="18"/>
        <v>-27448</v>
      </c>
      <c r="J210" s="119"/>
      <c r="K210" s="109">
        <v>22590</v>
      </c>
      <c r="L210" s="110"/>
      <c r="M210" s="109" t="str">
        <f t="shared" si="21"/>
        <v/>
      </c>
      <c r="N210" s="115"/>
      <c r="O210" s="111"/>
      <c r="P210" s="111"/>
      <c r="Q210" s="119">
        <f t="shared" si="19"/>
        <v>-12017</v>
      </c>
      <c r="R210" s="147">
        <f t="shared" si="17"/>
        <v>-10</v>
      </c>
      <c r="S210" s="119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</row>
    <row r="211" spans="1:38">
      <c r="A211" s="108">
        <v>41493</v>
      </c>
      <c r="B211" s="109">
        <v>100559</v>
      </c>
      <c r="C211" s="110"/>
      <c r="D211" s="109" t="str">
        <f t="shared" si="20"/>
        <v/>
      </c>
      <c r="E211" s="115"/>
      <c r="F211" s="111"/>
      <c r="G211" s="111"/>
      <c r="H211" s="119">
        <f t="shared" si="16"/>
        <v>2861</v>
      </c>
      <c r="I211" s="147">
        <f t="shared" si="18"/>
        <v>-47608</v>
      </c>
      <c r="J211" s="119"/>
      <c r="K211" s="109">
        <v>23897</v>
      </c>
      <c r="L211" s="110"/>
      <c r="M211" s="109" t="str">
        <f t="shared" si="21"/>
        <v/>
      </c>
      <c r="N211" s="115"/>
      <c r="O211" s="111"/>
      <c r="P211" s="111"/>
      <c r="Q211" s="119">
        <f t="shared" si="19"/>
        <v>1307</v>
      </c>
      <c r="R211" s="147">
        <f t="shared" si="17"/>
        <v>-6512</v>
      </c>
      <c r="S211" s="119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</row>
    <row r="212" spans="1:38">
      <c r="A212" s="108">
        <v>41500</v>
      </c>
      <c r="B212" s="109">
        <v>70191</v>
      </c>
      <c r="C212" s="110">
        <v>0.41</v>
      </c>
      <c r="D212" s="109">
        <f t="shared" si="20"/>
        <v>8075</v>
      </c>
      <c r="E212" s="115"/>
      <c r="F212" s="111"/>
      <c r="G212" s="111"/>
      <c r="H212" s="119">
        <f t="shared" si="16"/>
        <v>-30368</v>
      </c>
      <c r="I212" s="147">
        <f t="shared" si="18"/>
        <v>-52483</v>
      </c>
      <c r="J212" s="119"/>
      <c r="K212" s="109">
        <v>26517</v>
      </c>
      <c r="L212" s="110">
        <v>0.40299999999999997</v>
      </c>
      <c r="M212" s="109">
        <f t="shared" si="21"/>
        <v>3100</v>
      </c>
      <c r="N212" s="115"/>
      <c r="O212" s="111"/>
      <c r="P212" s="111"/>
      <c r="Q212" s="119">
        <f t="shared" si="19"/>
        <v>2620</v>
      </c>
      <c r="R212" s="147">
        <f t="shared" si="17"/>
        <v>-1682</v>
      </c>
      <c r="S212" s="119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</row>
    <row r="213" spans="1:38">
      <c r="A213" s="108">
        <v>41507</v>
      </c>
      <c r="B213" s="109">
        <v>70317</v>
      </c>
      <c r="C213" s="110">
        <v>0.41</v>
      </c>
      <c r="D213" s="109">
        <f t="shared" si="20"/>
        <v>8075</v>
      </c>
      <c r="E213" s="115"/>
      <c r="F213" s="111"/>
      <c r="G213" s="111"/>
      <c r="H213" s="119">
        <f t="shared" si="16"/>
        <v>126</v>
      </c>
      <c r="I213" s="147">
        <f t="shared" si="18"/>
        <v>-26859</v>
      </c>
      <c r="J213" s="119"/>
      <c r="K213" s="109">
        <v>26755</v>
      </c>
      <c r="L213" s="110">
        <v>0.40700000000000003</v>
      </c>
      <c r="M213" s="109">
        <f t="shared" si="21"/>
        <v>3100</v>
      </c>
      <c r="N213" s="115"/>
      <c r="O213" s="111"/>
      <c r="P213" s="111"/>
      <c r="Q213" s="119">
        <f t="shared" si="19"/>
        <v>238</v>
      </c>
      <c r="R213" s="147">
        <f t="shared" si="17"/>
        <v>793</v>
      </c>
      <c r="S213" s="119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</row>
    <row r="214" spans="1:38">
      <c r="A214" s="108">
        <v>41514</v>
      </c>
      <c r="B214" s="109">
        <v>69434</v>
      </c>
      <c r="C214" s="110">
        <v>0.40500000000000003</v>
      </c>
      <c r="D214" s="109">
        <f t="shared" si="20"/>
        <v>8075</v>
      </c>
      <c r="E214" s="115"/>
      <c r="F214" s="111"/>
      <c r="G214" s="111"/>
      <c r="H214" s="119">
        <f t="shared" si="16"/>
        <v>-883</v>
      </c>
      <c r="I214" s="147">
        <f t="shared" si="18"/>
        <v>-24996</v>
      </c>
      <c r="J214" s="119"/>
      <c r="K214" s="109">
        <v>25646</v>
      </c>
      <c r="L214" s="110">
        <v>0.39</v>
      </c>
      <c r="M214" s="109">
        <f t="shared" si="21"/>
        <v>3100</v>
      </c>
      <c r="N214" s="115"/>
      <c r="O214" s="111"/>
      <c r="P214" s="111"/>
      <c r="Q214" s="119">
        <f t="shared" si="19"/>
        <v>-1109</v>
      </c>
      <c r="R214" s="147">
        <f t="shared" si="17"/>
        <v>-1410</v>
      </c>
      <c r="S214" s="119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</row>
    <row r="215" spans="1:38">
      <c r="A215" s="108">
        <v>41521</v>
      </c>
      <c r="B215" s="109">
        <v>89266</v>
      </c>
      <c r="C215" s="110">
        <v>0.52100000000000002</v>
      </c>
      <c r="D215" s="109">
        <f t="shared" si="20"/>
        <v>8075</v>
      </c>
      <c r="E215" s="115"/>
      <c r="F215" s="111"/>
      <c r="G215" s="111"/>
      <c r="H215" s="119">
        <f t="shared" si="16"/>
        <v>19832</v>
      </c>
      <c r="I215" s="147">
        <f t="shared" si="18"/>
        <v>-28521</v>
      </c>
      <c r="J215" s="119"/>
      <c r="K215" s="109">
        <v>14058</v>
      </c>
      <c r="L215" s="110">
        <v>0.214</v>
      </c>
      <c r="M215" s="109">
        <f t="shared" si="21"/>
        <v>3100</v>
      </c>
      <c r="N215" s="115"/>
      <c r="O215" s="111"/>
      <c r="P215" s="111"/>
      <c r="Q215" s="119">
        <f t="shared" si="19"/>
        <v>-11588</v>
      </c>
      <c r="R215" s="147">
        <f t="shared" si="17"/>
        <v>-6879</v>
      </c>
      <c r="S215" s="119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</row>
    <row r="216" spans="1:38">
      <c r="A216" s="108">
        <v>41528</v>
      </c>
      <c r="B216" s="109">
        <v>114948</v>
      </c>
      <c r="C216" s="110">
        <v>0.67099999999999993</v>
      </c>
      <c r="D216" s="109">
        <f t="shared" si="20"/>
        <v>8075</v>
      </c>
      <c r="E216" s="115"/>
      <c r="F216" s="111"/>
      <c r="G216" s="111"/>
      <c r="H216" s="119">
        <f t="shared" si="16"/>
        <v>25682</v>
      </c>
      <c r="I216" s="147">
        <f t="shared" si="18"/>
        <v>-20612</v>
      </c>
      <c r="J216" s="119"/>
      <c r="K216" s="109">
        <v>20539</v>
      </c>
      <c r="L216" s="110">
        <v>0.312</v>
      </c>
      <c r="M216" s="109">
        <f t="shared" si="21"/>
        <v>3100</v>
      </c>
      <c r="N216" s="115"/>
      <c r="O216" s="111"/>
      <c r="P216" s="111"/>
      <c r="Q216" s="119">
        <f t="shared" si="19"/>
        <v>6481</v>
      </c>
      <c r="R216" s="147">
        <f t="shared" si="17"/>
        <v>-8385</v>
      </c>
      <c r="S216" s="119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</row>
    <row r="217" spans="1:38">
      <c r="A217" s="108">
        <v>41535</v>
      </c>
      <c r="B217" s="109">
        <v>131539</v>
      </c>
      <c r="C217" s="110">
        <v>0.76800000000000002</v>
      </c>
      <c r="D217" s="109">
        <f t="shared" si="20"/>
        <v>8075</v>
      </c>
      <c r="E217" s="115"/>
      <c r="F217" s="111"/>
      <c r="G217" s="111"/>
      <c r="H217" s="119">
        <f t="shared" si="16"/>
        <v>16591</v>
      </c>
      <c r="I217" s="147">
        <f t="shared" si="18"/>
        <v>-18595</v>
      </c>
      <c r="J217" s="119"/>
      <c r="K217" s="109">
        <v>23533</v>
      </c>
      <c r="L217" s="110">
        <v>0.35799999999999998</v>
      </c>
      <c r="M217" s="109">
        <f t="shared" si="21"/>
        <v>3100</v>
      </c>
      <c r="N217" s="115"/>
      <c r="O217" s="111"/>
      <c r="P217" s="111"/>
      <c r="Q217" s="119">
        <f t="shared" si="19"/>
        <v>2994</v>
      </c>
      <c r="R217" s="147">
        <f t="shared" si="17"/>
        <v>-5188</v>
      </c>
      <c r="S217" s="119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</row>
    <row r="218" spans="1:38">
      <c r="A218" s="108">
        <v>41542</v>
      </c>
      <c r="B218" s="109">
        <v>150493</v>
      </c>
      <c r="C218" s="110">
        <v>0.878</v>
      </c>
      <c r="D218" s="109">
        <f t="shared" si="20"/>
        <v>8075</v>
      </c>
      <c r="E218" s="115"/>
      <c r="F218" s="111"/>
      <c r="G218" s="111"/>
      <c r="H218" s="119">
        <f t="shared" si="16"/>
        <v>18954</v>
      </c>
      <c r="I218" s="147">
        <f t="shared" si="18"/>
        <v>3249</v>
      </c>
      <c r="J218" s="119"/>
      <c r="K218" s="109">
        <v>15701</v>
      </c>
      <c r="L218" s="110">
        <v>0.23899999999999999</v>
      </c>
      <c r="M218" s="109">
        <f t="shared" si="21"/>
        <v>3100</v>
      </c>
      <c r="N218" s="115"/>
      <c r="O218" s="111"/>
      <c r="P218" s="111"/>
      <c r="Q218" s="119">
        <f t="shared" si="19"/>
        <v>-7832</v>
      </c>
      <c r="R218" s="147">
        <f t="shared" si="17"/>
        <v>-11499</v>
      </c>
      <c r="S218" s="119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</row>
    <row r="219" spans="1:38">
      <c r="A219" s="108">
        <v>41549</v>
      </c>
      <c r="B219" s="109">
        <v>147007</v>
      </c>
      <c r="C219" s="110">
        <v>0.85799999999999998</v>
      </c>
      <c r="D219" s="109">
        <f t="shared" si="20"/>
        <v>8075</v>
      </c>
      <c r="E219" s="115"/>
      <c r="F219" s="111"/>
      <c r="G219" s="111"/>
      <c r="H219" s="119">
        <f t="shared" si="16"/>
        <v>-3486</v>
      </c>
      <c r="I219" s="147">
        <f t="shared" si="18"/>
        <v>-5774</v>
      </c>
      <c r="J219" s="119"/>
      <c r="K219" s="109">
        <v>24863</v>
      </c>
      <c r="L219" s="110">
        <v>0.37799999999999995</v>
      </c>
      <c r="M219" s="109">
        <f t="shared" si="21"/>
        <v>3100</v>
      </c>
      <c r="N219" s="115"/>
      <c r="O219" s="111"/>
      <c r="P219" s="111"/>
      <c r="Q219" s="119">
        <f t="shared" si="19"/>
        <v>9162</v>
      </c>
      <c r="R219" s="147">
        <f t="shared" si="17"/>
        <v>-77</v>
      </c>
      <c r="S219" s="119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</row>
    <row r="220" spans="1:38">
      <c r="A220" s="108">
        <v>41556</v>
      </c>
      <c r="B220" s="109">
        <v>151795</v>
      </c>
      <c r="C220" s="110">
        <v>0.8859999999999999</v>
      </c>
      <c r="D220" s="109">
        <f t="shared" si="20"/>
        <v>8075</v>
      </c>
      <c r="E220" s="115"/>
      <c r="F220" s="111"/>
      <c r="G220" s="111"/>
      <c r="H220" s="119">
        <f t="shared" si="16"/>
        <v>4788</v>
      </c>
      <c r="I220" s="147">
        <f t="shared" si="18"/>
        <v>-3642</v>
      </c>
      <c r="J220" s="119"/>
      <c r="K220" s="109">
        <v>30072</v>
      </c>
      <c r="L220" s="110">
        <v>0.45700000000000002</v>
      </c>
      <c r="M220" s="109">
        <f t="shared" si="21"/>
        <v>3100</v>
      </c>
      <c r="N220" s="115"/>
      <c r="O220" s="111"/>
      <c r="P220" s="111"/>
      <c r="Q220" s="119">
        <f t="shared" si="19"/>
        <v>5209</v>
      </c>
      <c r="R220" s="147">
        <f t="shared" si="17"/>
        <v>10</v>
      </c>
      <c r="S220" s="119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</row>
    <row r="221" spans="1:38">
      <c r="A221" s="108">
        <v>41563</v>
      </c>
      <c r="B221" s="109">
        <v>146529</v>
      </c>
      <c r="C221" s="110">
        <v>0.83799999999999997</v>
      </c>
      <c r="D221" s="109">
        <f t="shared" si="20"/>
        <v>8250</v>
      </c>
      <c r="E221" s="115"/>
      <c r="F221" s="111"/>
      <c r="G221" s="111"/>
      <c r="H221" s="119">
        <f t="shared" si="16"/>
        <v>-5266</v>
      </c>
      <c r="I221" s="147">
        <f t="shared" si="18"/>
        <v>-1404</v>
      </c>
      <c r="J221" s="119"/>
      <c r="K221" s="109">
        <v>28232</v>
      </c>
      <c r="L221" s="110">
        <v>0.42899999999999999</v>
      </c>
      <c r="M221" s="109">
        <f t="shared" si="21"/>
        <v>3100</v>
      </c>
      <c r="N221" s="115"/>
      <c r="O221" s="111"/>
      <c r="P221" s="111"/>
      <c r="Q221" s="119">
        <f t="shared" si="19"/>
        <v>-1840</v>
      </c>
      <c r="R221" s="147">
        <f t="shared" si="17"/>
        <v>-1955</v>
      </c>
      <c r="S221" s="119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</row>
    <row r="222" spans="1:38">
      <c r="A222" s="108">
        <v>41570</v>
      </c>
      <c r="B222" s="109">
        <v>139302</v>
      </c>
      <c r="C222" s="110">
        <v>0.79700000000000004</v>
      </c>
      <c r="D222" s="109">
        <f t="shared" si="20"/>
        <v>8250</v>
      </c>
      <c r="E222" s="115"/>
      <c r="F222" s="111"/>
      <c r="G222" s="111"/>
      <c r="H222" s="119">
        <f t="shared" si="16"/>
        <v>-7227</v>
      </c>
      <c r="I222" s="147">
        <f t="shared" si="18"/>
        <v>-15937</v>
      </c>
      <c r="J222" s="119"/>
      <c r="K222" s="109">
        <v>46507</v>
      </c>
      <c r="L222" s="110">
        <v>0.70700000000000007</v>
      </c>
      <c r="M222" s="109">
        <f t="shared" si="21"/>
        <v>3100</v>
      </c>
      <c r="N222" s="115"/>
      <c r="O222" s="111"/>
      <c r="P222" s="111"/>
      <c r="Q222" s="119">
        <f t="shared" si="19"/>
        <v>18275</v>
      </c>
      <c r="R222" s="147">
        <f t="shared" si="17"/>
        <v>16279</v>
      </c>
      <c r="S222" s="119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</row>
    <row r="223" spans="1:38">
      <c r="A223" s="108">
        <v>41577</v>
      </c>
      <c r="B223" s="109">
        <v>145106</v>
      </c>
      <c r="C223" s="110">
        <v>0.83</v>
      </c>
      <c r="D223" s="109">
        <f t="shared" si="20"/>
        <v>8250</v>
      </c>
      <c r="E223" s="115"/>
      <c r="F223" s="111"/>
      <c r="G223" s="111"/>
      <c r="H223" s="119">
        <f t="shared" si="16"/>
        <v>5804</v>
      </c>
      <c r="I223" s="147">
        <f t="shared" si="18"/>
        <v>-4034</v>
      </c>
      <c r="J223" s="119"/>
      <c r="K223" s="109">
        <v>41868</v>
      </c>
      <c r="L223" s="110">
        <v>0.63600000000000001</v>
      </c>
      <c r="M223" s="109">
        <f t="shared" si="21"/>
        <v>3100</v>
      </c>
      <c r="N223" s="115"/>
      <c r="O223" s="111"/>
      <c r="P223" s="111"/>
      <c r="Q223" s="119">
        <f t="shared" si="19"/>
        <v>-4639</v>
      </c>
      <c r="R223" s="147">
        <f t="shared" si="17"/>
        <v>14399</v>
      </c>
      <c r="S223" s="119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</row>
    <row r="224" spans="1:38">
      <c r="A224" s="108">
        <v>41584</v>
      </c>
      <c r="B224" s="109">
        <v>150055</v>
      </c>
      <c r="C224" s="110">
        <v>0.85799999999999998</v>
      </c>
      <c r="D224" s="109">
        <f t="shared" si="20"/>
        <v>8250</v>
      </c>
      <c r="E224" s="115"/>
      <c r="F224" s="111"/>
      <c r="G224" s="111"/>
      <c r="H224" s="119">
        <f t="shared" si="16"/>
        <v>4949</v>
      </c>
      <c r="I224" s="147">
        <f t="shared" si="18"/>
        <v>2697</v>
      </c>
      <c r="J224" s="119"/>
      <c r="K224" s="109">
        <v>44961</v>
      </c>
      <c r="L224" s="110">
        <v>0.68299999999999994</v>
      </c>
      <c r="M224" s="109">
        <f t="shared" si="21"/>
        <v>3100</v>
      </c>
      <c r="N224" s="115"/>
      <c r="O224" s="111"/>
      <c r="P224" s="111"/>
      <c r="Q224" s="119">
        <f t="shared" si="19"/>
        <v>3093</v>
      </c>
      <c r="R224" s="147">
        <f t="shared" si="17"/>
        <v>13882</v>
      </c>
      <c r="S224" s="119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</row>
    <row r="225" spans="1:38">
      <c r="A225" s="108">
        <v>41591</v>
      </c>
      <c r="B225" s="109">
        <v>151516</v>
      </c>
      <c r="C225" s="110">
        <v>0.86699999999999999</v>
      </c>
      <c r="D225" s="109">
        <f t="shared" si="20"/>
        <v>8250</v>
      </c>
      <c r="E225" s="115"/>
      <c r="F225" s="111"/>
      <c r="G225" s="111"/>
      <c r="H225" s="119">
        <f t="shared" si="16"/>
        <v>1461</v>
      </c>
      <c r="I225" s="147">
        <f t="shared" si="18"/>
        <v>-2561</v>
      </c>
      <c r="J225" s="119"/>
      <c r="K225" s="109">
        <v>30320</v>
      </c>
      <c r="L225" s="110">
        <v>0.46100000000000002</v>
      </c>
      <c r="M225" s="109">
        <f t="shared" si="21"/>
        <v>3100</v>
      </c>
      <c r="N225" s="115"/>
      <c r="O225" s="111"/>
      <c r="P225" s="111"/>
      <c r="Q225" s="119">
        <f t="shared" si="19"/>
        <v>-14641</v>
      </c>
      <c r="R225" s="147">
        <f t="shared" si="17"/>
        <v>-1228</v>
      </c>
      <c r="S225" s="119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</row>
    <row r="226" spans="1:38">
      <c r="A226" s="108">
        <v>41598</v>
      </c>
      <c r="B226" s="109">
        <v>141667</v>
      </c>
      <c r="C226" s="110">
        <v>0.81</v>
      </c>
      <c r="D226" s="109">
        <f t="shared" si="20"/>
        <v>8250</v>
      </c>
      <c r="E226" s="115"/>
      <c r="F226" s="111"/>
      <c r="G226" s="111"/>
      <c r="H226" s="119">
        <f t="shared" si="16"/>
        <v>-9849</v>
      </c>
      <c r="I226" s="147">
        <f t="shared" si="18"/>
        <v>3766</v>
      </c>
      <c r="J226" s="119"/>
      <c r="K226" s="109">
        <v>41002</v>
      </c>
      <c r="L226" s="110">
        <v>0.623</v>
      </c>
      <c r="M226" s="109">
        <f t="shared" si="21"/>
        <v>3100</v>
      </c>
      <c r="N226" s="115"/>
      <c r="O226" s="111"/>
      <c r="P226" s="111"/>
      <c r="Q226" s="119">
        <f t="shared" si="19"/>
        <v>10682</v>
      </c>
      <c r="R226" s="147">
        <f t="shared" si="17"/>
        <v>6828</v>
      </c>
      <c r="S226" s="119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</row>
    <row r="227" spans="1:38">
      <c r="A227" s="108">
        <v>41605</v>
      </c>
      <c r="B227" s="109">
        <v>140004</v>
      </c>
      <c r="C227" s="110">
        <v>0.80099999999999993</v>
      </c>
      <c r="D227" s="109">
        <f t="shared" si="20"/>
        <v>8250</v>
      </c>
      <c r="E227" s="115"/>
      <c r="F227" s="111"/>
      <c r="G227" s="111"/>
      <c r="H227" s="119">
        <f t="shared" si="16"/>
        <v>-1663</v>
      </c>
      <c r="I227" s="147">
        <f t="shared" si="18"/>
        <v>15195</v>
      </c>
      <c r="J227" s="119"/>
      <c r="K227" s="109">
        <v>46387</v>
      </c>
      <c r="L227" s="110">
        <v>0.70499999999999996</v>
      </c>
      <c r="M227" s="109">
        <f t="shared" si="21"/>
        <v>3100</v>
      </c>
      <c r="N227" s="115"/>
      <c r="O227" s="111"/>
      <c r="P227" s="111"/>
      <c r="Q227" s="119">
        <f t="shared" si="19"/>
        <v>5385</v>
      </c>
      <c r="R227" s="147">
        <f t="shared" si="17"/>
        <v>146</v>
      </c>
      <c r="S227" s="119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</row>
    <row r="228" spans="1:38">
      <c r="A228" s="108">
        <v>41612</v>
      </c>
      <c r="B228" s="109">
        <v>148122</v>
      </c>
      <c r="C228" s="110">
        <v>0.84699999999999998</v>
      </c>
      <c r="D228" s="109">
        <f t="shared" si="20"/>
        <v>8250</v>
      </c>
      <c r="E228" s="115"/>
      <c r="F228" s="111"/>
      <c r="G228" s="111"/>
      <c r="H228" s="119">
        <f t="shared" si="16"/>
        <v>8118</v>
      </c>
      <c r="I228" s="147">
        <f t="shared" si="18"/>
        <v>16195</v>
      </c>
      <c r="J228" s="119"/>
      <c r="K228" s="109">
        <v>43265</v>
      </c>
      <c r="L228" s="110">
        <v>0.65799999999999992</v>
      </c>
      <c r="M228" s="109">
        <f t="shared" si="21"/>
        <v>3100</v>
      </c>
      <c r="N228" s="115"/>
      <c r="O228" s="111"/>
      <c r="P228" s="111"/>
      <c r="Q228" s="119">
        <f t="shared" si="19"/>
        <v>-3122</v>
      </c>
      <c r="R228" s="147">
        <f t="shared" si="17"/>
        <v>5733</v>
      </c>
      <c r="S228" s="119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</row>
    <row r="229" spans="1:38">
      <c r="A229" s="108">
        <v>41619</v>
      </c>
      <c r="B229" s="109">
        <v>139865</v>
      </c>
      <c r="C229" s="110">
        <v>0.8</v>
      </c>
      <c r="D229" s="109">
        <f t="shared" si="20"/>
        <v>8250</v>
      </c>
      <c r="E229" s="115"/>
      <c r="F229" s="111"/>
      <c r="G229" s="111"/>
      <c r="H229" s="119">
        <f t="shared" si="16"/>
        <v>-8257</v>
      </c>
      <c r="I229" s="147">
        <f t="shared" si="18"/>
        <v>-5393</v>
      </c>
      <c r="J229" s="119"/>
      <c r="K229" s="109">
        <v>34662</v>
      </c>
      <c r="L229" s="110">
        <v>0.52700000000000002</v>
      </c>
      <c r="M229" s="109">
        <f t="shared" si="21"/>
        <v>3100</v>
      </c>
      <c r="N229" s="115"/>
      <c r="O229" s="111"/>
      <c r="P229" s="111"/>
      <c r="Q229" s="119">
        <f t="shared" si="19"/>
        <v>-8603</v>
      </c>
      <c r="R229" s="147">
        <f t="shared" si="17"/>
        <v>4083</v>
      </c>
      <c r="S229" s="119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</row>
    <row r="230" spans="1:38">
      <c r="A230" s="108">
        <v>41626</v>
      </c>
      <c r="B230" s="109">
        <v>151030</v>
      </c>
      <c r="C230" s="110">
        <v>0.8640000000000001</v>
      </c>
      <c r="D230" s="109">
        <f t="shared" si="20"/>
        <v>8250</v>
      </c>
      <c r="E230" s="115"/>
      <c r="F230" s="111"/>
      <c r="G230" s="111"/>
      <c r="H230" s="119">
        <f t="shared" si="16"/>
        <v>11165</v>
      </c>
      <c r="I230" s="147">
        <f t="shared" si="18"/>
        <v>1369</v>
      </c>
      <c r="J230" s="119"/>
      <c r="K230" s="109">
        <v>29187</v>
      </c>
      <c r="L230" s="110">
        <v>0.44400000000000001</v>
      </c>
      <c r="M230" s="109">
        <f t="shared" si="21"/>
        <v>3100</v>
      </c>
      <c r="N230" s="115"/>
      <c r="O230" s="111"/>
      <c r="P230" s="111"/>
      <c r="Q230" s="119">
        <f t="shared" si="19"/>
        <v>-5475</v>
      </c>
      <c r="R230" s="147">
        <f t="shared" si="17"/>
        <v>-1070</v>
      </c>
      <c r="S230" s="119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</row>
    <row r="231" spans="1:38">
      <c r="A231" s="108">
        <v>41633</v>
      </c>
      <c r="B231" s="109">
        <v>137262</v>
      </c>
      <c r="C231" s="110">
        <v>0.78500000000000003</v>
      </c>
      <c r="D231" s="109">
        <f t="shared" si="20"/>
        <v>8250</v>
      </c>
      <c r="E231" s="115"/>
      <c r="F231" s="111"/>
      <c r="G231" s="111"/>
      <c r="H231" s="119">
        <f t="shared" si="16"/>
        <v>-13768</v>
      </c>
      <c r="I231" s="147">
        <f t="shared" si="18"/>
        <v>-13312</v>
      </c>
      <c r="J231" s="119"/>
      <c r="K231" s="109">
        <v>34963</v>
      </c>
      <c r="L231" s="110">
        <v>0.53100000000000003</v>
      </c>
      <c r="M231" s="109">
        <f t="shared" si="21"/>
        <v>3100</v>
      </c>
      <c r="N231" s="115"/>
      <c r="O231" s="111"/>
      <c r="P231" s="111"/>
      <c r="Q231" s="119">
        <f t="shared" si="19"/>
        <v>5776</v>
      </c>
      <c r="R231" s="147">
        <f t="shared" si="17"/>
        <v>6178</v>
      </c>
      <c r="S231" s="119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</row>
    <row r="232" spans="1:38">
      <c r="A232" s="108">
        <v>41640</v>
      </c>
      <c r="B232" s="109">
        <v>133519</v>
      </c>
      <c r="C232" s="110">
        <v>0.76400000000000001</v>
      </c>
      <c r="D232" s="109">
        <f t="shared" si="20"/>
        <v>8250</v>
      </c>
      <c r="E232" s="115"/>
      <c r="F232" s="111"/>
      <c r="G232" s="111"/>
      <c r="H232" s="119">
        <f t="shared" si="16"/>
        <v>-3743</v>
      </c>
      <c r="I232" s="147">
        <f t="shared" si="18"/>
        <v>-5339</v>
      </c>
      <c r="J232" s="119"/>
      <c r="K232" s="109">
        <v>32935</v>
      </c>
      <c r="L232" s="110">
        <v>0.501</v>
      </c>
      <c r="M232" s="109">
        <f t="shared" si="21"/>
        <v>3100</v>
      </c>
      <c r="N232" s="115"/>
      <c r="O232" s="111"/>
      <c r="P232" s="111"/>
      <c r="Q232" s="119">
        <f t="shared" si="19"/>
        <v>-2028</v>
      </c>
      <c r="R232" s="147">
        <f t="shared" si="17"/>
        <v>8086</v>
      </c>
      <c r="S232" s="119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</row>
    <row r="233" spans="1:38">
      <c r="A233" s="108">
        <v>41647</v>
      </c>
      <c r="B233" s="109">
        <v>133956</v>
      </c>
      <c r="C233" s="110">
        <v>0.7659999999999999</v>
      </c>
      <c r="D233" s="109">
        <f t="shared" si="20"/>
        <v>8250</v>
      </c>
      <c r="E233" s="115"/>
      <c r="F233" s="111"/>
      <c r="G233" s="111"/>
      <c r="H233" s="119">
        <f t="shared" si="16"/>
        <v>437</v>
      </c>
      <c r="I233" s="147">
        <f t="shared" si="18"/>
        <v>892</v>
      </c>
      <c r="J233" s="119"/>
      <c r="K233" s="109">
        <v>28001</v>
      </c>
      <c r="L233" s="110">
        <v>0.42599999999999999</v>
      </c>
      <c r="M233" s="109">
        <f t="shared" si="21"/>
        <v>3100</v>
      </c>
      <c r="N233" s="115"/>
      <c r="O233" s="111"/>
      <c r="P233" s="111"/>
      <c r="Q233" s="119">
        <f t="shared" si="19"/>
        <v>-4934</v>
      </c>
      <c r="R233" s="147">
        <f t="shared" si="17"/>
        <v>500</v>
      </c>
      <c r="S233" s="119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</row>
    <row r="234" spans="1:38">
      <c r="A234" s="108">
        <v>41654</v>
      </c>
      <c r="B234" s="109">
        <v>135556</v>
      </c>
      <c r="C234" s="110">
        <v>0.77500000000000002</v>
      </c>
      <c r="D234" s="109">
        <f t="shared" si="20"/>
        <v>8250</v>
      </c>
      <c r="E234" s="115"/>
      <c r="F234" s="111"/>
      <c r="G234" s="111"/>
      <c r="H234" s="119">
        <f t="shared" si="16"/>
        <v>1600</v>
      </c>
      <c r="I234" s="147">
        <f t="shared" si="18"/>
        <v>4732</v>
      </c>
      <c r="J234" s="119"/>
      <c r="K234" s="109">
        <v>31321</v>
      </c>
      <c r="L234" s="110">
        <v>0.47600000000000003</v>
      </c>
      <c r="M234" s="109">
        <f t="shared" si="21"/>
        <v>3100</v>
      </c>
      <c r="N234" s="115"/>
      <c r="O234" s="111"/>
      <c r="P234" s="111"/>
      <c r="Q234" s="119">
        <f t="shared" si="19"/>
        <v>3320</v>
      </c>
      <c r="R234" s="147">
        <f t="shared" si="17"/>
        <v>2988</v>
      </c>
      <c r="S234" s="119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</row>
    <row r="235" spans="1:38">
      <c r="A235" s="108">
        <v>41661</v>
      </c>
      <c r="B235" s="109">
        <v>130110</v>
      </c>
      <c r="C235" s="110">
        <v>0.74400000000000011</v>
      </c>
      <c r="D235" s="109">
        <f t="shared" si="20"/>
        <v>8250</v>
      </c>
      <c r="E235" s="115"/>
      <c r="F235" s="111"/>
      <c r="G235" s="111"/>
      <c r="H235" s="119">
        <f t="shared" si="16"/>
        <v>-5446</v>
      </c>
      <c r="I235" s="147">
        <f t="shared" si="18"/>
        <v>-12571</v>
      </c>
      <c r="J235" s="119"/>
      <c r="K235" s="109">
        <v>39245</v>
      </c>
      <c r="L235" s="110">
        <v>0.59599999999999997</v>
      </c>
      <c r="M235" s="109">
        <f t="shared" si="21"/>
        <v>3100</v>
      </c>
      <c r="N235" s="115"/>
      <c r="O235" s="111"/>
      <c r="P235" s="111"/>
      <c r="Q235" s="119">
        <f t="shared" si="19"/>
        <v>7924</v>
      </c>
      <c r="R235" s="147">
        <f t="shared" si="17"/>
        <v>3475</v>
      </c>
      <c r="S235" s="119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</row>
    <row r="236" spans="1:38">
      <c r="A236" s="108">
        <v>41668</v>
      </c>
      <c r="B236" s="109">
        <v>144836</v>
      </c>
      <c r="C236" s="110">
        <v>0.82799999999999996</v>
      </c>
      <c r="D236" s="109">
        <f t="shared" si="20"/>
        <v>8250</v>
      </c>
      <c r="E236" s="115"/>
      <c r="F236" s="111"/>
      <c r="G236" s="111"/>
      <c r="H236" s="119">
        <f t="shared" si="16"/>
        <v>14726</v>
      </c>
      <c r="I236" s="147">
        <f t="shared" si="18"/>
        <v>29398</v>
      </c>
      <c r="J236" s="119"/>
      <c r="K236" s="109">
        <v>25659</v>
      </c>
      <c r="L236" s="110">
        <v>0.39</v>
      </c>
      <c r="M236" s="109">
        <f t="shared" si="21"/>
        <v>3100</v>
      </c>
      <c r="N236" s="115"/>
      <c r="O236" s="111"/>
      <c r="P236" s="111"/>
      <c r="Q236" s="119">
        <f t="shared" si="19"/>
        <v>-13586</v>
      </c>
      <c r="R236" s="147">
        <f t="shared" si="17"/>
        <v>-12896</v>
      </c>
      <c r="S236" s="119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</row>
    <row r="237" spans="1:38">
      <c r="A237" s="108">
        <v>41675</v>
      </c>
      <c r="B237" s="109">
        <v>136744</v>
      </c>
      <c r="C237" s="110">
        <v>0.78200000000000003</v>
      </c>
      <c r="D237" s="109">
        <f t="shared" si="20"/>
        <v>8250</v>
      </c>
      <c r="E237" s="115"/>
      <c r="F237" s="111"/>
      <c r="G237" s="111"/>
      <c r="H237" s="119">
        <f t="shared" si="16"/>
        <v>-8092</v>
      </c>
      <c r="I237" s="147">
        <f t="shared" si="18"/>
        <v>14749</v>
      </c>
      <c r="J237" s="119"/>
      <c r="K237" s="109">
        <v>23588</v>
      </c>
      <c r="L237" s="110">
        <v>0.35799999999999998</v>
      </c>
      <c r="M237" s="109">
        <f t="shared" si="21"/>
        <v>3100</v>
      </c>
      <c r="N237" s="115"/>
      <c r="O237" s="111"/>
      <c r="P237" s="111"/>
      <c r="Q237" s="119">
        <f t="shared" si="19"/>
        <v>-2071</v>
      </c>
      <c r="R237" s="147">
        <f t="shared" si="17"/>
        <v>-14635</v>
      </c>
      <c r="S237" s="119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</row>
    <row r="238" spans="1:38">
      <c r="A238" s="108">
        <v>41682</v>
      </c>
      <c r="B238" s="109">
        <v>136147</v>
      </c>
      <c r="C238" s="110">
        <v>0.77900000000000003</v>
      </c>
      <c r="D238" s="109">
        <f t="shared" si="20"/>
        <v>8250</v>
      </c>
      <c r="E238" s="115"/>
      <c r="F238" s="111"/>
      <c r="G238" s="111"/>
      <c r="H238" s="119">
        <f t="shared" si="16"/>
        <v>-597</v>
      </c>
      <c r="I238" s="147">
        <f t="shared" si="18"/>
        <v>-3685</v>
      </c>
      <c r="J238" s="119"/>
      <c r="K238" s="109">
        <v>41350</v>
      </c>
      <c r="L238" s="110">
        <v>0.628</v>
      </c>
      <c r="M238" s="109">
        <f t="shared" si="21"/>
        <v>3100</v>
      </c>
      <c r="N238" s="115"/>
      <c r="O238" s="111"/>
      <c r="P238" s="111"/>
      <c r="Q238" s="119">
        <f t="shared" si="19"/>
        <v>17762</v>
      </c>
      <c r="R238" s="147">
        <f t="shared" si="17"/>
        <v>3895</v>
      </c>
      <c r="S238" s="119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</row>
    <row r="239" spans="1:38">
      <c r="A239" s="108">
        <v>41689</v>
      </c>
      <c r="B239" s="109">
        <v>130238</v>
      </c>
      <c r="C239" s="110">
        <v>0.745</v>
      </c>
      <c r="D239" s="109">
        <f t="shared" si="20"/>
        <v>8250</v>
      </c>
      <c r="E239" s="115"/>
      <c r="F239" s="111"/>
      <c r="G239" s="111"/>
      <c r="H239" s="119">
        <f t="shared" si="16"/>
        <v>-5909</v>
      </c>
      <c r="I239" s="147">
        <f t="shared" si="18"/>
        <v>-407</v>
      </c>
      <c r="J239" s="119"/>
      <c r="K239" s="109">
        <v>38543</v>
      </c>
      <c r="L239" s="110">
        <v>0.58599999999999997</v>
      </c>
      <c r="M239" s="109">
        <f t="shared" si="21"/>
        <v>3100</v>
      </c>
      <c r="N239" s="115"/>
      <c r="O239" s="111"/>
      <c r="P239" s="111"/>
      <c r="Q239" s="119">
        <f t="shared" si="19"/>
        <v>-2807</v>
      </c>
      <c r="R239" s="147">
        <f t="shared" si="17"/>
        <v>8334</v>
      </c>
      <c r="S239" s="119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</row>
    <row r="240" spans="1:38">
      <c r="A240" s="108">
        <v>41696</v>
      </c>
      <c r="B240" s="109">
        <v>132499</v>
      </c>
      <c r="C240" s="110">
        <v>0.75800000000000001</v>
      </c>
      <c r="D240" s="109">
        <f t="shared" si="20"/>
        <v>8250</v>
      </c>
      <c r="E240" s="115"/>
      <c r="F240" s="111"/>
      <c r="G240" s="111"/>
      <c r="H240" s="119">
        <f t="shared" si="16"/>
        <v>2261</v>
      </c>
      <c r="I240" s="147">
        <f t="shared" si="18"/>
        <v>-5735</v>
      </c>
      <c r="J240" s="119"/>
      <c r="K240" s="109">
        <v>34542</v>
      </c>
      <c r="L240" s="110">
        <v>0.52500000000000002</v>
      </c>
      <c r="M240" s="109">
        <f t="shared" si="21"/>
        <v>3100</v>
      </c>
      <c r="N240" s="115"/>
      <c r="O240" s="111"/>
      <c r="P240" s="111"/>
      <c r="Q240" s="119">
        <f t="shared" si="19"/>
        <v>-4001</v>
      </c>
      <c r="R240" s="147">
        <f t="shared" si="17"/>
        <v>5392</v>
      </c>
      <c r="S240" s="119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</row>
    <row r="241" spans="1:38">
      <c r="A241" s="108">
        <v>41703</v>
      </c>
      <c r="B241" s="109">
        <v>140792</v>
      </c>
      <c r="C241" s="110">
        <v>0.80099999999999993</v>
      </c>
      <c r="D241" s="109">
        <f t="shared" si="20"/>
        <v>8275</v>
      </c>
      <c r="E241" s="115"/>
      <c r="F241" s="111"/>
      <c r="G241" s="111"/>
      <c r="H241" s="119">
        <f t="shared" si="16"/>
        <v>8293</v>
      </c>
      <c r="I241" s="147">
        <f t="shared" si="18"/>
        <v>8906</v>
      </c>
      <c r="J241" s="119"/>
      <c r="K241" s="109">
        <v>26604</v>
      </c>
      <c r="L241" s="110">
        <v>0.40399999999999997</v>
      </c>
      <c r="M241" s="109">
        <f t="shared" si="21"/>
        <v>3100</v>
      </c>
      <c r="N241" s="115"/>
      <c r="O241" s="111"/>
      <c r="P241" s="111"/>
      <c r="Q241" s="119">
        <f t="shared" si="19"/>
        <v>-7938</v>
      </c>
      <c r="R241" s="147">
        <f t="shared" si="17"/>
        <v>-2465</v>
      </c>
      <c r="S241" s="119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</row>
    <row r="242" spans="1:38">
      <c r="A242" s="108">
        <v>41710</v>
      </c>
      <c r="B242" s="109">
        <v>131095</v>
      </c>
      <c r="C242" s="110">
        <v>0.745</v>
      </c>
      <c r="D242" s="109">
        <f t="shared" si="20"/>
        <v>8300</v>
      </c>
      <c r="E242" s="115"/>
      <c r="F242" s="111"/>
      <c r="G242" s="111"/>
      <c r="H242" s="119">
        <f t="shared" si="16"/>
        <v>-9697</v>
      </c>
      <c r="I242" s="147">
        <f t="shared" si="18"/>
        <v>-1761</v>
      </c>
      <c r="J242" s="119"/>
      <c r="K242" s="109">
        <v>40965</v>
      </c>
      <c r="L242" s="110">
        <v>0.623</v>
      </c>
      <c r="M242" s="109">
        <f t="shared" si="21"/>
        <v>3100</v>
      </c>
      <c r="N242" s="115"/>
      <c r="O242" s="111"/>
      <c r="P242" s="111"/>
      <c r="Q242" s="119">
        <f t="shared" si="19"/>
        <v>14361</v>
      </c>
      <c r="R242" s="147">
        <f t="shared" si="17"/>
        <v>6256</v>
      </c>
      <c r="S242" s="119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</row>
    <row r="243" spans="1:38">
      <c r="A243" s="108">
        <v>41717</v>
      </c>
      <c r="B243" s="109">
        <v>136136</v>
      </c>
      <c r="C243" s="110">
        <v>0.77400000000000002</v>
      </c>
      <c r="D243" s="109">
        <f t="shared" si="20"/>
        <v>8300</v>
      </c>
      <c r="E243" s="115"/>
      <c r="F243" s="111"/>
      <c r="G243" s="111"/>
      <c r="H243" s="119">
        <f t="shared" si="16"/>
        <v>5041</v>
      </c>
      <c r="I243" s="147">
        <f t="shared" si="18"/>
        <v>4315</v>
      </c>
      <c r="J243" s="119"/>
      <c r="K243" s="109">
        <v>34447</v>
      </c>
      <c r="L243" s="110">
        <v>0.52400000000000002</v>
      </c>
      <c r="M243" s="109">
        <f t="shared" si="21"/>
        <v>3100</v>
      </c>
      <c r="N243" s="115"/>
      <c r="O243" s="111"/>
      <c r="P243" s="111"/>
      <c r="Q243" s="119">
        <f t="shared" si="19"/>
        <v>-6518</v>
      </c>
      <c r="R243" s="147">
        <f t="shared" si="17"/>
        <v>-5724</v>
      </c>
      <c r="S243" s="119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</row>
    <row r="244" spans="1:38">
      <c r="A244" s="108">
        <v>41724</v>
      </c>
      <c r="B244" s="109">
        <v>140930</v>
      </c>
      <c r="C244" s="110">
        <v>0.80099999999999993</v>
      </c>
      <c r="D244" s="109">
        <f t="shared" si="20"/>
        <v>8300</v>
      </c>
      <c r="E244" s="115"/>
      <c r="F244" s="111"/>
      <c r="G244" s="111"/>
      <c r="H244" s="119">
        <f t="shared" ref="H244:H307" si="22">B244-B243</f>
        <v>4794</v>
      </c>
      <c r="I244" s="147">
        <f t="shared" si="18"/>
        <v>8610</v>
      </c>
      <c r="J244" s="119"/>
      <c r="K244" s="109">
        <v>26622</v>
      </c>
      <c r="L244" s="110">
        <v>0.40500000000000003</v>
      </c>
      <c r="M244" s="109">
        <f t="shared" si="21"/>
        <v>3100</v>
      </c>
      <c r="N244" s="115"/>
      <c r="O244" s="111"/>
      <c r="P244" s="111"/>
      <c r="Q244" s="119">
        <f t="shared" si="19"/>
        <v>-7825</v>
      </c>
      <c r="R244" s="147">
        <f t="shared" si="17"/>
        <v>-13058</v>
      </c>
      <c r="S244" s="119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</row>
    <row r="245" spans="1:38">
      <c r="A245" s="108">
        <v>41731</v>
      </c>
      <c r="B245" s="109">
        <v>141946</v>
      </c>
      <c r="C245" s="110">
        <v>0.79599999999999993</v>
      </c>
      <c r="D245" s="109">
        <f t="shared" si="20"/>
        <v>8400</v>
      </c>
      <c r="E245" s="115"/>
      <c r="F245" s="111"/>
      <c r="G245" s="111"/>
      <c r="H245" s="119">
        <f t="shared" si="22"/>
        <v>1016</v>
      </c>
      <c r="I245" s="147">
        <f t="shared" si="18"/>
        <v>11483</v>
      </c>
      <c r="J245" s="119"/>
      <c r="K245" s="109">
        <v>28094</v>
      </c>
      <c r="L245" s="110">
        <v>0.42700000000000005</v>
      </c>
      <c r="M245" s="109">
        <f t="shared" si="21"/>
        <v>3100</v>
      </c>
      <c r="N245" s="115"/>
      <c r="O245" s="111"/>
      <c r="P245" s="111"/>
      <c r="Q245" s="119">
        <f t="shared" si="19"/>
        <v>1472</v>
      </c>
      <c r="R245" s="147">
        <f t="shared" si="17"/>
        <v>-2106</v>
      </c>
      <c r="S245" s="119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</row>
    <row r="246" spans="1:38">
      <c r="A246" s="108">
        <v>41738</v>
      </c>
      <c r="B246" s="109">
        <v>139888</v>
      </c>
      <c r="C246" s="110">
        <v>0.78400000000000003</v>
      </c>
      <c r="D246" s="109">
        <f t="shared" si="20"/>
        <v>8400</v>
      </c>
      <c r="E246" s="115"/>
      <c r="F246" s="111"/>
      <c r="G246" s="111"/>
      <c r="H246" s="119">
        <f t="shared" si="22"/>
        <v>-2058</v>
      </c>
      <c r="I246" s="147">
        <f t="shared" si="18"/>
        <v>-4229</v>
      </c>
      <c r="J246" s="119"/>
      <c r="K246" s="109">
        <v>28620</v>
      </c>
      <c r="L246" s="110">
        <v>0.435</v>
      </c>
      <c r="M246" s="109">
        <f t="shared" si="21"/>
        <v>3100</v>
      </c>
      <c r="N246" s="115"/>
      <c r="O246" s="111"/>
      <c r="P246" s="111"/>
      <c r="Q246" s="119">
        <f t="shared" si="19"/>
        <v>526</v>
      </c>
      <c r="R246" s="147">
        <f t="shared" ref="R246:R309" si="23">K246-K194</f>
        <v>1939</v>
      </c>
      <c r="S246" s="119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</row>
    <row r="247" spans="1:38">
      <c r="A247" s="108">
        <v>41745</v>
      </c>
      <c r="B247" s="109">
        <v>136086</v>
      </c>
      <c r="C247" s="110">
        <v>0.76300000000000001</v>
      </c>
      <c r="D247" s="109">
        <f t="shared" si="20"/>
        <v>8400</v>
      </c>
      <c r="E247" s="115"/>
      <c r="F247" s="111"/>
      <c r="G247" s="111"/>
      <c r="H247" s="119">
        <f t="shared" si="22"/>
        <v>-3802</v>
      </c>
      <c r="I247" s="147">
        <f t="shared" ref="I247:I310" si="24">B247-B195</f>
        <v>16035</v>
      </c>
      <c r="J247" s="119"/>
      <c r="K247" s="109">
        <v>29634</v>
      </c>
      <c r="L247" s="110">
        <v>0.45</v>
      </c>
      <c r="M247" s="109">
        <f t="shared" si="21"/>
        <v>3100</v>
      </c>
      <c r="N247" s="115"/>
      <c r="O247" s="111"/>
      <c r="P247" s="111"/>
      <c r="Q247" s="119">
        <f t="shared" si="19"/>
        <v>1014</v>
      </c>
      <c r="R247" s="147">
        <f t="shared" si="23"/>
        <v>-431</v>
      </c>
      <c r="S247" s="119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</row>
    <row r="248" spans="1:38">
      <c r="A248" s="108">
        <v>41752</v>
      </c>
      <c r="B248" s="109">
        <v>134749</v>
      </c>
      <c r="C248" s="110">
        <v>0.75599999999999989</v>
      </c>
      <c r="D248" s="109">
        <f t="shared" si="20"/>
        <v>8400</v>
      </c>
      <c r="E248" s="115"/>
      <c r="F248" s="111"/>
      <c r="G248" s="111"/>
      <c r="H248" s="119">
        <f t="shared" si="22"/>
        <v>-1337</v>
      </c>
      <c r="I248" s="147">
        <f t="shared" si="24"/>
        <v>-10847</v>
      </c>
      <c r="J248" s="119"/>
      <c r="K248" s="109">
        <v>34382</v>
      </c>
      <c r="L248" s="110">
        <v>0.52300000000000002</v>
      </c>
      <c r="M248" s="109">
        <f t="shared" si="21"/>
        <v>3100</v>
      </c>
      <c r="N248" s="115"/>
      <c r="O248" s="111"/>
      <c r="P248" s="111"/>
      <c r="Q248" s="119">
        <f t="shared" si="19"/>
        <v>4748</v>
      </c>
      <c r="R248" s="147">
        <f t="shared" si="23"/>
        <v>5785</v>
      </c>
      <c r="S248" s="119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</row>
    <row r="249" spans="1:38">
      <c r="A249" s="108">
        <v>41759</v>
      </c>
      <c r="B249" s="109">
        <v>134263</v>
      </c>
      <c r="C249" s="110">
        <v>0.753</v>
      </c>
      <c r="D249" s="109">
        <f t="shared" si="20"/>
        <v>8400</v>
      </c>
      <c r="E249" s="115"/>
      <c r="F249" s="111"/>
      <c r="G249" s="111"/>
      <c r="H249" s="119">
        <f t="shared" si="22"/>
        <v>-486</v>
      </c>
      <c r="I249" s="147">
        <f t="shared" si="24"/>
        <v>19301</v>
      </c>
      <c r="J249" s="119"/>
      <c r="K249" s="109">
        <v>23723</v>
      </c>
      <c r="L249" s="110">
        <v>0.36099999999999999</v>
      </c>
      <c r="M249" s="109">
        <f t="shared" si="21"/>
        <v>3100</v>
      </c>
      <c r="N249" s="115"/>
      <c r="O249" s="111"/>
      <c r="P249" s="111"/>
      <c r="Q249" s="119">
        <f t="shared" si="19"/>
        <v>-10659</v>
      </c>
      <c r="R249" s="147">
        <f t="shared" si="23"/>
        <v>-2156</v>
      </c>
      <c r="S249" s="119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</row>
    <row r="250" spans="1:38">
      <c r="A250" s="108">
        <v>41766</v>
      </c>
      <c r="B250" s="109">
        <v>132717</v>
      </c>
      <c r="C250" s="110">
        <v>0.74400000000000011</v>
      </c>
      <c r="D250" s="109">
        <f t="shared" si="20"/>
        <v>8400</v>
      </c>
      <c r="E250" s="115"/>
      <c r="F250" s="111"/>
      <c r="G250" s="111"/>
      <c r="H250" s="119">
        <f t="shared" si="22"/>
        <v>-1546</v>
      </c>
      <c r="I250" s="147">
        <f t="shared" si="24"/>
        <v>39209</v>
      </c>
      <c r="J250" s="119"/>
      <c r="K250" s="109">
        <v>23594</v>
      </c>
      <c r="L250" s="110">
        <v>0.35899999999999999</v>
      </c>
      <c r="M250" s="109">
        <f t="shared" si="21"/>
        <v>3100</v>
      </c>
      <c r="N250" s="115"/>
      <c r="O250" s="111"/>
      <c r="P250" s="111"/>
      <c r="Q250" s="119">
        <f t="shared" si="19"/>
        <v>-129</v>
      </c>
      <c r="R250" s="147">
        <f t="shared" si="23"/>
        <v>-7071</v>
      </c>
      <c r="S250" s="119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</row>
    <row r="251" spans="1:38">
      <c r="A251" s="108">
        <v>41773</v>
      </c>
      <c r="B251" s="109">
        <v>147661</v>
      </c>
      <c r="C251" s="110">
        <v>0.82799999999999996</v>
      </c>
      <c r="D251" s="109">
        <f t="shared" si="20"/>
        <v>8400</v>
      </c>
      <c r="E251" s="115"/>
      <c r="F251" s="111"/>
      <c r="G251" s="111"/>
      <c r="H251" s="119">
        <f t="shared" si="22"/>
        <v>14944</v>
      </c>
      <c r="I251" s="147">
        <f t="shared" si="24"/>
        <v>47246</v>
      </c>
      <c r="J251" s="119"/>
      <c r="K251" s="109">
        <v>25499</v>
      </c>
      <c r="L251" s="110">
        <v>0.38799999999999996</v>
      </c>
      <c r="M251" s="109">
        <f t="shared" si="21"/>
        <v>3100</v>
      </c>
      <c r="N251" s="115"/>
      <c r="O251" s="111"/>
      <c r="P251" s="111"/>
      <c r="Q251" s="119">
        <f t="shared" si="19"/>
        <v>1905</v>
      </c>
      <c r="R251" s="147">
        <f t="shared" si="23"/>
        <v>-3640</v>
      </c>
      <c r="S251" s="119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</row>
    <row r="252" spans="1:38">
      <c r="A252" s="108">
        <v>41780</v>
      </c>
      <c r="B252" s="109">
        <v>152082</v>
      </c>
      <c r="C252" s="110">
        <v>0.85299999999999998</v>
      </c>
      <c r="D252" s="109">
        <f t="shared" si="20"/>
        <v>8400</v>
      </c>
      <c r="E252" s="115"/>
      <c r="F252" s="111"/>
      <c r="G252" s="111"/>
      <c r="H252" s="119">
        <f t="shared" si="22"/>
        <v>4421</v>
      </c>
      <c r="I252" s="147">
        <f t="shared" si="24"/>
        <v>31463</v>
      </c>
      <c r="J252" s="119"/>
      <c r="K252" s="109">
        <v>30050</v>
      </c>
      <c r="L252" s="110">
        <v>0.45700000000000002</v>
      </c>
      <c r="M252" s="109">
        <f t="shared" si="21"/>
        <v>3100</v>
      </c>
      <c r="N252" s="115"/>
      <c r="O252" s="111"/>
      <c r="P252" s="111"/>
      <c r="Q252" s="119">
        <f t="shared" si="19"/>
        <v>4551</v>
      </c>
      <c r="R252" s="147">
        <f t="shared" si="23"/>
        <v>497</v>
      </c>
      <c r="S252" s="119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</row>
    <row r="253" spans="1:38">
      <c r="A253" s="108">
        <v>41787</v>
      </c>
      <c r="B253" s="109">
        <v>115818</v>
      </c>
      <c r="C253" s="110">
        <v>0.64900000000000002</v>
      </c>
      <c r="D253" s="109">
        <f t="shared" si="20"/>
        <v>8425</v>
      </c>
      <c r="E253" s="115"/>
      <c r="F253" s="111"/>
      <c r="G253" s="111"/>
      <c r="H253" s="119">
        <f t="shared" si="22"/>
        <v>-36264</v>
      </c>
      <c r="I253" s="147">
        <f t="shared" si="24"/>
        <v>18013</v>
      </c>
      <c r="J253" s="119"/>
      <c r="K253" s="109">
        <v>33231</v>
      </c>
      <c r="L253" s="110">
        <v>0.505</v>
      </c>
      <c r="M253" s="109">
        <f t="shared" si="21"/>
        <v>3100</v>
      </c>
      <c r="N253" s="115"/>
      <c r="O253" s="111"/>
      <c r="P253" s="111"/>
      <c r="Q253" s="119">
        <f t="shared" si="19"/>
        <v>3181</v>
      </c>
      <c r="R253" s="147">
        <f t="shared" si="23"/>
        <v>11560</v>
      </c>
      <c r="S253" s="119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</row>
    <row r="254" spans="1:38">
      <c r="A254" s="108">
        <v>41794</v>
      </c>
      <c r="B254" s="109">
        <v>108199</v>
      </c>
      <c r="C254" s="110">
        <v>0.60699999999999998</v>
      </c>
      <c r="D254" s="109">
        <f t="shared" si="20"/>
        <v>8400</v>
      </c>
      <c r="E254" s="115"/>
      <c r="F254" s="111"/>
      <c r="G254" s="111"/>
      <c r="H254" s="119">
        <f t="shared" si="22"/>
        <v>-7619</v>
      </c>
      <c r="I254" s="147">
        <f t="shared" si="24"/>
        <v>18534</v>
      </c>
      <c r="J254" s="119"/>
      <c r="K254" s="109">
        <v>28569</v>
      </c>
      <c r="L254" s="110">
        <v>0.434</v>
      </c>
      <c r="M254" s="109">
        <f t="shared" si="21"/>
        <v>3100</v>
      </c>
      <c r="N254" s="115"/>
      <c r="O254" s="111"/>
      <c r="P254" s="111"/>
      <c r="Q254" s="119">
        <f t="shared" si="19"/>
        <v>-4662</v>
      </c>
      <c r="R254" s="147">
        <f t="shared" si="23"/>
        <v>13881</v>
      </c>
      <c r="S254" s="119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</row>
    <row r="255" spans="1:38">
      <c r="A255" s="108">
        <v>41801</v>
      </c>
      <c r="B255" s="109">
        <v>114572</v>
      </c>
      <c r="C255" s="110">
        <v>0.64200000000000002</v>
      </c>
      <c r="D255" s="109">
        <f t="shared" si="20"/>
        <v>8425</v>
      </c>
      <c r="E255" s="115"/>
      <c r="F255" s="111"/>
      <c r="G255" s="111"/>
      <c r="H255" s="119">
        <f t="shared" si="22"/>
        <v>6373</v>
      </c>
      <c r="I255" s="147">
        <f t="shared" si="24"/>
        <v>7950</v>
      </c>
      <c r="J255" s="119"/>
      <c r="K255" s="109">
        <v>17333</v>
      </c>
      <c r="L255" s="110">
        <v>0.26300000000000001</v>
      </c>
      <c r="M255" s="109">
        <f t="shared" si="21"/>
        <v>3100</v>
      </c>
      <c r="N255" s="115"/>
      <c r="O255" s="111"/>
      <c r="P255" s="111"/>
      <c r="Q255" s="119">
        <f t="shared" si="19"/>
        <v>-11236</v>
      </c>
      <c r="R255" s="147">
        <f t="shared" si="23"/>
        <v>-5645</v>
      </c>
      <c r="S255" s="119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</row>
    <row r="256" spans="1:38">
      <c r="A256" s="108">
        <v>41808</v>
      </c>
      <c r="B256" s="109">
        <v>112195</v>
      </c>
      <c r="C256" s="110">
        <v>0.629</v>
      </c>
      <c r="D256" s="109">
        <f t="shared" si="20"/>
        <v>8400</v>
      </c>
      <c r="E256" s="115"/>
      <c r="F256" s="111"/>
      <c r="G256" s="111"/>
      <c r="H256" s="119">
        <f t="shared" si="22"/>
        <v>-2377</v>
      </c>
      <c r="I256" s="147">
        <f t="shared" si="24"/>
        <v>9326</v>
      </c>
      <c r="J256" s="119"/>
      <c r="K256" s="109">
        <v>14937</v>
      </c>
      <c r="L256" s="110">
        <v>0.22699999999999998</v>
      </c>
      <c r="M256" s="109">
        <f t="shared" si="21"/>
        <v>3100</v>
      </c>
      <c r="N256" s="115"/>
      <c r="O256" s="111"/>
      <c r="P256" s="111"/>
      <c r="Q256" s="119">
        <f t="shared" si="19"/>
        <v>-2396</v>
      </c>
      <c r="R256" s="147">
        <f t="shared" si="23"/>
        <v>-11359</v>
      </c>
      <c r="S256" s="119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</row>
    <row r="257" spans="1:38">
      <c r="A257" s="108">
        <v>41815</v>
      </c>
      <c r="B257" s="109">
        <v>152085</v>
      </c>
      <c r="C257" s="110">
        <v>0.85299999999999998</v>
      </c>
      <c r="D257" s="109">
        <f t="shared" si="20"/>
        <v>8400</v>
      </c>
      <c r="E257" s="115"/>
      <c r="F257" s="111"/>
      <c r="G257" s="111"/>
      <c r="H257" s="119">
        <f t="shared" si="22"/>
        <v>39890</v>
      </c>
      <c r="I257" s="147">
        <f t="shared" si="24"/>
        <v>29158</v>
      </c>
      <c r="J257" s="119"/>
      <c r="K257" s="109">
        <v>15028</v>
      </c>
      <c r="L257" s="110">
        <v>0.22800000000000001</v>
      </c>
      <c r="M257" s="109">
        <f t="shared" si="21"/>
        <v>3100</v>
      </c>
      <c r="N257" s="115"/>
      <c r="O257" s="111"/>
      <c r="P257" s="111"/>
      <c r="Q257" s="119">
        <f t="shared" si="19"/>
        <v>91</v>
      </c>
      <c r="R257" s="147">
        <f t="shared" si="23"/>
        <v>-12981</v>
      </c>
      <c r="S257" s="119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</row>
    <row r="258" spans="1:38">
      <c r="A258" s="108">
        <v>41822</v>
      </c>
      <c r="B258" s="109">
        <v>151779</v>
      </c>
      <c r="C258" s="110">
        <v>0.85099999999999998</v>
      </c>
      <c r="D258" s="109">
        <f t="shared" si="20"/>
        <v>8400</v>
      </c>
      <c r="E258" s="115"/>
      <c r="F258" s="111"/>
      <c r="G258" s="111"/>
      <c r="H258" s="119">
        <f t="shared" si="22"/>
        <v>-306</v>
      </c>
      <c r="I258" s="147">
        <f t="shared" si="24"/>
        <v>35722</v>
      </c>
      <c r="J258" s="119"/>
      <c r="K258" s="109">
        <v>36130</v>
      </c>
      <c r="L258" s="110">
        <v>0.54899999999999993</v>
      </c>
      <c r="M258" s="109">
        <f t="shared" si="21"/>
        <v>3100</v>
      </c>
      <c r="N258" s="115"/>
      <c r="O258" s="111"/>
      <c r="P258" s="111"/>
      <c r="Q258" s="119">
        <f t="shared" si="19"/>
        <v>21102</v>
      </c>
      <c r="R258" s="147">
        <f t="shared" si="23"/>
        <v>10038</v>
      </c>
      <c r="S258" s="119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</row>
    <row r="259" spans="1:38">
      <c r="A259" s="108">
        <v>41829</v>
      </c>
      <c r="B259" s="109">
        <v>155146</v>
      </c>
      <c r="C259" s="110">
        <v>0.87</v>
      </c>
      <c r="D259" s="109">
        <f t="shared" si="20"/>
        <v>8400</v>
      </c>
      <c r="E259" s="115"/>
      <c r="F259" s="111"/>
      <c r="G259" s="111"/>
      <c r="H259" s="119">
        <f t="shared" si="22"/>
        <v>3367</v>
      </c>
      <c r="I259" s="147">
        <f t="shared" si="24"/>
        <v>39446</v>
      </c>
      <c r="J259" s="119"/>
      <c r="K259" s="109">
        <v>24359</v>
      </c>
      <c r="L259" s="110">
        <v>0.37</v>
      </c>
      <c r="M259" s="109">
        <f t="shared" si="21"/>
        <v>3100</v>
      </c>
      <c r="N259" s="115"/>
      <c r="O259" s="111"/>
      <c r="P259" s="111"/>
      <c r="Q259" s="119">
        <f t="shared" ref="Q259:Q322" si="25">K259-K258</f>
        <v>-11771</v>
      </c>
      <c r="R259" s="147">
        <f t="shared" si="23"/>
        <v>-3955</v>
      </c>
      <c r="S259" s="119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</row>
    <row r="260" spans="1:38">
      <c r="A260" s="108">
        <v>41836</v>
      </c>
      <c r="B260" s="109">
        <v>158000</v>
      </c>
      <c r="C260" s="110">
        <v>0.8859999999999999</v>
      </c>
      <c r="D260" s="109">
        <f t="shared" ref="D260:D323" si="26">IF(B260="","",IF(C260="","",MROUND((B260/C260)/(A260-A259)*330/1000,25)))</f>
        <v>8400</v>
      </c>
      <c r="E260" s="115"/>
      <c r="F260" s="111"/>
      <c r="G260" s="111"/>
      <c r="H260" s="119">
        <f t="shared" si="22"/>
        <v>2854</v>
      </c>
      <c r="I260" s="147">
        <f t="shared" si="24"/>
        <v>34332</v>
      </c>
      <c r="J260" s="119"/>
      <c r="K260" s="109">
        <v>20782</v>
      </c>
      <c r="L260" s="110">
        <v>0.316</v>
      </c>
      <c r="M260" s="109">
        <f t="shared" ref="M260:M323" si="27">IF(K260="","",IF(L260="","",MROUND((K260/L260)/(A260-A259)*330/1000,25)))</f>
        <v>3100</v>
      </c>
      <c r="N260" s="115"/>
      <c r="O260" s="111"/>
      <c r="P260" s="111"/>
      <c r="Q260" s="119">
        <f t="shared" si="25"/>
        <v>-3577</v>
      </c>
      <c r="R260" s="147">
        <f t="shared" si="23"/>
        <v>-21338</v>
      </c>
      <c r="S260" s="119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</row>
    <row r="261" spans="1:38">
      <c r="A261" s="108">
        <v>41843</v>
      </c>
      <c r="B261" s="109">
        <v>155723</v>
      </c>
      <c r="C261" s="110">
        <v>0.873</v>
      </c>
      <c r="D261" s="109">
        <f t="shared" si="26"/>
        <v>8400</v>
      </c>
      <c r="E261" s="115"/>
      <c r="F261" s="111"/>
      <c r="G261" s="111"/>
      <c r="H261" s="119">
        <f t="shared" si="22"/>
        <v>-2277</v>
      </c>
      <c r="I261" s="147">
        <f t="shared" si="24"/>
        <v>38440</v>
      </c>
      <c r="J261" s="119"/>
      <c r="K261" s="109">
        <v>21474</v>
      </c>
      <c r="L261" s="110">
        <v>0.32600000000000001</v>
      </c>
      <c r="M261" s="109">
        <f t="shared" si="27"/>
        <v>3100</v>
      </c>
      <c r="N261" s="115"/>
      <c r="O261" s="111"/>
      <c r="P261" s="111"/>
      <c r="Q261" s="119">
        <f t="shared" si="25"/>
        <v>692</v>
      </c>
      <c r="R261" s="147">
        <f t="shared" si="23"/>
        <v>-13133</v>
      </c>
      <c r="S261" s="119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</row>
    <row r="262" spans="1:38">
      <c r="A262" s="108">
        <v>41850</v>
      </c>
      <c r="B262" s="109">
        <v>165617</v>
      </c>
      <c r="C262" s="110"/>
      <c r="D262" s="109" t="str">
        <f t="shared" si="26"/>
        <v/>
      </c>
      <c r="E262" s="115"/>
      <c r="F262" s="111"/>
      <c r="G262" s="111"/>
      <c r="H262" s="119">
        <f t="shared" si="22"/>
        <v>9894</v>
      </c>
      <c r="I262" s="147">
        <f t="shared" si="24"/>
        <v>67919</v>
      </c>
      <c r="J262" s="119"/>
      <c r="K262" s="109">
        <v>23457</v>
      </c>
      <c r="L262" s="110"/>
      <c r="M262" s="109" t="str">
        <f t="shared" si="27"/>
        <v/>
      </c>
      <c r="N262" s="115"/>
      <c r="O262" s="111"/>
      <c r="P262" s="111"/>
      <c r="Q262" s="119">
        <f t="shared" si="25"/>
        <v>1983</v>
      </c>
      <c r="R262" s="147">
        <f t="shared" si="23"/>
        <v>867</v>
      </c>
      <c r="S262" s="119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</row>
    <row r="263" spans="1:38">
      <c r="A263" s="108">
        <v>41857</v>
      </c>
      <c r="B263" s="109">
        <v>131175</v>
      </c>
      <c r="C263" s="110"/>
      <c r="D263" s="109" t="str">
        <f t="shared" si="26"/>
        <v/>
      </c>
      <c r="E263" s="115"/>
      <c r="F263" s="111"/>
      <c r="G263" s="111"/>
      <c r="H263" s="119">
        <f t="shared" si="22"/>
        <v>-34442</v>
      </c>
      <c r="I263" s="147">
        <f t="shared" si="24"/>
        <v>30616</v>
      </c>
      <c r="J263" s="119"/>
      <c r="K263" s="109">
        <v>16790</v>
      </c>
      <c r="L263" s="110"/>
      <c r="M263" s="109" t="str">
        <f t="shared" si="27"/>
        <v/>
      </c>
      <c r="N263" s="115"/>
      <c r="O263" s="111"/>
      <c r="P263" s="111"/>
      <c r="Q263" s="119">
        <f t="shared" si="25"/>
        <v>-6667</v>
      </c>
      <c r="R263" s="147">
        <f t="shared" si="23"/>
        <v>-7107</v>
      </c>
      <c r="S263" s="119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</row>
    <row r="264" spans="1:38">
      <c r="A264" s="108">
        <v>41864</v>
      </c>
      <c r="B264" s="109">
        <v>135017</v>
      </c>
      <c r="C264" s="110">
        <v>0.77900000000000003</v>
      </c>
      <c r="D264" s="109">
        <f t="shared" si="26"/>
        <v>8175</v>
      </c>
      <c r="E264" s="115"/>
      <c r="F264" s="111"/>
      <c r="G264" s="111"/>
      <c r="H264" s="119">
        <f t="shared" si="22"/>
        <v>3842</v>
      </c>
      <c r="I264" s="147">
        <f t="shared" si="24"/>
        <v>64826</v>
      </c>
      <c r="J264" s="119"/>
      <c r="K264" s="109">
        <v>15266</v>
      </c>
      <c r="L264" s="110">
        <v>0.23199999999999998</v>
      </c>
      <c r="M264" s="109">
        <f t="shared" si="27"/>
        <v>3100</v>
      </c>
      <c r="N264" s="115"/>
      <c r="O264" s="111"/>
      <c r="P264" s="111"/>
      <c r="Q264" s="119">
        <f t="shared" si="25"/>
        <v>-1524</v>
      </c>
      <c r="R264" s="147">
        <f t="shared" si="23"/>
        <v>-11251</v>
      </c>
      <c r="S264" s="119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</row>
    <row r="265" spans="1:38">
      <c r="A265" s="108">
        <v>41871</v>
      </c>
      <c r="B265" s="109">
        <v>123512</v>
      </c>
      <c r="C265" s="110">
        <v>0.71299999999999997</v>
      </c>
      <c r="D265" s="109">
        <f t="shared" si="26"/>
        <v>8175</v>
      </c>
      <c r="E265" s="115"/>
      <c r="F265" s="111"/>
      <c r="G265" s="111"/>
      <c r="H265" s="119">
        <f t="shared" si="22"/>
        <v>-11505</v>
      </c>
      <c r="I265" s="147">
        <f t="shared" si="24"/>
        <v>53195</v>
      </c>
      <c r="J265" s="119"/>
      <c r="K265" s="109">
        <v>20747</v>
      </c>
      <c r="L265" s="110">
        <v>0.315</v>
      </c>
      <c r="M265" s="109">
        <f t="shared" si="27"/>
        <v>3100</v>
      </c>
      <c r="N265" s="115"/>
      <c r="O265" s="111"/>
      <c r="P265" s="111"/>
      <c r="Q265" s="119">
        <f t="shared" si="25"/>
        <v>5481</v>
      </c>
      <c r="R265" s="147">
        <f t="shared" si="23"/>
        <v>-6008</v>
      </c>
      <c r="S265" s="119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</row>
    <row r="266" spans="1:38">
      <c r="A266" s="108">
        <v>41878</v>
      </c>
      <c r="B266" s="109">
        <v>112062</v>
      </c>
      <c r="C266" s="110">
        <v>0.64700000000000002</v>
      </c>
      <c r="D266" s="109">
        <f t="shared" si="26"/>
        <v>8175</v>
      </c>
      <c r="E266" s="115"/>
      <c r="F266" s="111"/>
      <c r="G266" s="111"/>
      <c r="H266" s="119">
        <f t="shared" si="22"/>
        <v>-11450</v>
      </c>
      <c r="I266" s="147">
        <f t="shared" si="24"/>
        <v>42628</v>
      </c>
      <c r="J266" s="119"/>
      <c r="K266" s="109">
        <v>31849</v>
      </c>
      <c r="L266" s="110">
        <v>0.48399999999999999</v>
      </c>
      <c r="M266" s="109">
        <f t="shared" si="27"/>
        <v>3100</v>
      </c>
      <c r="N266" s="115"/>
      <c r="O266" s="111"/>
      <c r="P266" s="111"/>
      <c r="Q266" s="119">
        <f t="shared" si="25"/>
        <v>11102</v>
      </c>
      <c r="R266" s="147">
        <f t="shared" si="23"/>
        <v>6203</v>
      </c>
      <c r="S266" s="119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</row>
    <row r="267" spans="1:38">
      <c r="A267" s="108">
        <v>41885</v>
      </c>
      <c r="B267" s="109">
        <v>122528</v>
      </c>
      <c r="C267" s="110">
        <v>0.69599999999999995</v>
      </c>
      <c r="D267" s="109">
        <f t="shared" si="26"/>
        <v>8300</v>
      </c>
      <c r="E267" s="115"/>
      <c r="F267" s="111"/>
      <c r="G267" s="111"/>
      <c r="H267" s="119">
        <f t="shared" si="22"/>
        <v>10466</v>
      </c>
      <c r="I267" s="147">
        <f t="shared" si="24"/>
        <v>33262</v>
      </c>
      <c r="J267" s="119"/>
      <c r="K267" s="109">
        <v>12866</v>
      </c>
      <c r="L267" s="110">
        <v>0.19600000000000001</v>
      </c>
      <c r="M267" s="109">
        <f t="shared" si="27"/>
        <v>3100</v>
      </c>
      <c r="N267" s="115"/>
      <c r="O267" s="111"/>
      <c r="P267" s="111"/>
      <c r="Q267" s="119">
        <f t="shared" si="25"/>
        <v>-18983</v>
      </c>
      <c r="R267" s="147">
        <f t="shared" si="23"/>
        <v>-1192</v>
      </c>
      <c r="S267" s="119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</row>
    <row r="268" spans="1:38">
      <c r="A268" s="108">
        <v>41892</v>
      </c>
      <c r="B268" s="109">
        <v>134816</v>
      </c>
      <c r="C268" s="110">
        <v>0.7659999999999999</v>
      </c>
      <c r="D268" s="109">
        <f t="shared" si="26"/>
        <v>8300</v>
      </c>
      <c r="E268" s="115"/>
      <c r="F268" s="111"/>
      <c r="G268" s="111"/>
      <c r="H268" s="119">
        <f t="shared" si="22"/>
        <v>12288</v>
      </c>
      <c r="I268" s="147">
        <f t="shared" si="24"/>
        <v>19868</v>
      </c>
      <c r="J268" s="119"/>
      <c r="K268" s="109">
        <v>11705</v>
      </c>
      <c r="L268" s="110">
        <v>0.17800000000000002</v>
      </c>
      <c r="M268" s="109">
        <f t="shared" si="27"/>
        <v>3100</v>
      </c>
      <c r="N268" s="115"/>
      <c r="O268" s="111"/>
      <c r="P268" s="111"/>
      <c r="Q268" s="119">
        <f t="shared" si="25"/>
        <v>-1161</v>
      </c>
      <c r="R268" s="147">
        <f t="shared" si="23"/>
        <v>-8834</v>
      </c>
      <c r="S268" s="119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</row>
    <row r="269" spans="1:38">
      <c r="A269" s="108">
        <v>41899</v>
      </c>
      <c r="B269" s="109">
        <v>143556</v>
      </c>
      <c r="C269" s="110">
        <v>0.81599999999999995</v>
      </c>
      <c r="D269" s="109">
        <f t="shared" si="26"/>
        <v>8300</v>
      </c>
      <c r="E269" s="115"/>
      <c r="F269" s="111"/>
      <c r="G269" s="111"/>
      <c r="H269" s="119">
        <f t="shared" si="22"/>
        <v>8740</v>
      </c>
      <c r="I269" s="147">
        <f t="shared" si="24"/>
        <v>12017</v>
      </c>
      <c r="J269" s="119"/>
      <c r="K269" s="109">
        <v>20344</v>
      </c>
      <c r="L269" s="110">
        <v>0.309</v>
      </c>
      <c r="M269" s="109">
        <f t="shared" si="27"/>
        <v>3100</v>
      </c>
      <c r="N269" s="115"/>
      <c r="O269" s="111"/>
      <c r="P269" s="111"/>
      <c r="Q269" s="119">
        <f t="shared" si="25"/>
        <v>8639</v>
      </c>
      <c r="R269" s="147">
        <f t="shared" si="23"/>
        <v>-3189</v>
      </c>
      <c r="S269" s="119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</row>
    <row r="270" spans="1:38">
      <c r="A270" s="108">
        <v>41906</v>
      </c>
      <c r="B270" s="109">
        <v>134704</v>
      </c>
      <c r="C270" s="110">
        <v>0.76500000000000001</v>
      </c>
      <c r="D270" s="109">
        <f t="shared" si="26"/>
        <v>8300</v>
      </c>
      <c r="E270" s="115"/>
      <c r="F270" s="111"/>
      <c r="G270" s="111"/>
      <c r="H270" s="119">
        <f t="shared" si="22"/>
        <v>-8852</v>
      </c>
      <c r="I270" s="147">
        <f t="shared" si="24"/>
        <v>-15789</v>
      </c>
      <c r="J270" s="119"/>
      <c r="K270" s="109">
        <v>14145</v>
      </c>
      <c r="L270" s="110">
        <v>0.215</v>
      </c>
      <c r="M270" s="109">
        <f t="shared" si="27"/>
        <v>3100</v>
      </c>
      <c r="N270" s="115"/>
      <c r="O270" s="111"/>
      <c r="P270" s="111"/>
      <c r="Q270" s="119">
        <f t="shared" si="25"/>
        <v>-6199</v>
      </c>
      <c r="R270" s="147">
        <f t="shared" si="23"/>
        <v>-1556</v>
      </c>
      <c r="S270" s="119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</row>
    <row r="271" spans="1:38">
      <c r="A271" s="108">
        <v>41913</v>
      </c>
      <c r="B271" s="109">
        <v>152971</v>
      </c>
      <c r="C271" s="110">
        <v>0.8590000000000001</v>
      </c>
      <c r="D271" s="109">
        <f t="shared" si="26"/>
        <v>8400</v>
      </c>
      <c r="E271" s="115"/>
      <c r="F271" s="111"/>
      <c r="G271" s="111"/>
      <c r="H271" s="119">
        <f t="shared" si="22"/>
        <v>18267</v>
      </c>
      <c r="I271" s="147">
        <f t="shared" si="24"/>
        <v>5964</v>
      </c>
      <c r="J271" s="119"/>
      <c r="K271" s="109">
        <v>28384</v>
      </c>
      <c r="L271" s="110">
        <v>0.43099999999999999</v>
      </c>
      <c r="M271" s="109">
        <f t="shared" si="27"/>
        <v>3100</v>
      </c>
      <c r="N271" s="115"/>
      <c r="O271" s="111"/>
      <c r="P271" s="111"/>
      <c r="Q271" s="119">
        <f t="shared" si="25"/>
        <v>14239</v>
      </c>
      <c r="R271" s="147">
        <f t="shared" si="23"/>
        <v>3521</v>
      </c>
      <c r="S271" s="119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</row>
    <row r="272" spans="1:38">
      <c r="A272" s="108">
        <v>41920</v>
      </c>
      <c r="B272" s="109">
        <v>148096</v>
      </c>
      <c r="C272" s="110">
        <v>0.83200000000000007</v>
      </c>
      <c r="D272" s="109">
        <f t="shared" si="26"/>
        <v>8400</v>
      </c>
      <c r="E272" s="115"/>
      <c r="F272" s="111"/>
      <c r="G272" s="111"/>
      <c r="H272" s="119">
        <f t="shared" si="22"/>
        <v>-4875</v>
      </c>
      <c r="I272" s="147">
        <f t="shared" si="24"/>
        <v>-3699</v>
      </c>
      <c r="J272" s="119"/>
      <c r="K272" s="109">
        <v>25674</v>
      </c>
      <c r="L272" s="110">
        <v>0.39</v>
      </c>
      <c r="M272" s="109">
        <f t="shared" si="27"/>
        <v>3100</v>
      </c>
      <c r="N272" s="115"/>
      <c r="O272" s="111"/>
      <c r="P272" s="111"/>
      <c r="Q272" s="119">
        <f t="shared" si="25"/>
        <v>-2710</v>
      </c>
      <c r="R272" s="147">
        <f t="shared" si="23"/>
        <v>-4398</v>
      </c>
      <c r="S272" s="119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</row>
    <row r="273" spans="1:38">
      <c r="A273" s="108">
        <v>41927</v>
      </c>
      <c r="B273" s="109">
        <v>142429</v>
      </c>
      <c r="C273" s="110">
        <v>0.8</v>
      </c>
      <c r="D273" s="109">
        <f t="shared" si="26"/>
        <v>8400</v>
      </c>
      <c r="E273" s="115"/>
      <c r="F273" s="111"/>
      <c r="G273" s="111"/>
      <c r="H273" s="119">
        <f t="shared" si="22"/>
        <v>-5667</v>
      </c>
      <c r="I273" s="147">
        <f t="shared" si="24"/>
        <v>-4100</v>
      </c>
      <c r="J273" s="119"/>
      <c r="K273" s="109">
        <v>41156</v>
      </c>
      <c r="L273" s="110">
        <v>0.625</v>
      </c>
      <c r="M273" s="109">
        <f t="shared" si="27"/>
        <v>3100</v>
      </c>
      <c r="N273" s="115"/>
      <c r="O273" s="111"/>
      <c r="P273" s="111"/>
      <c r="Q273" s="119">
        <f t="shared" si="25"/>
        <v>15482</v>
      </c>
      <c r="R273" s="147">
        <f t="shared" si="23"/>
        <v>12924</v>
      </c>
      <c r="S273" s="119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</row>
    <row r="274" spans="1:38">
      <c r="A274" s="108">
        <v>41934</v>
      </c>
      <c r="B274" s="109">
        <v>149136</v>
      </c>
      <c r="C274" s="110">
        <v>0.83799999999999997</v>
      </c>
      <c r="D274" s="109">
        <f t="shared" si="26"/>
        <v>8400</v>
      </c>
      <c r="E274" s="115"/>
      <c r="F274" s="111"/>
      <c r="G274" s="111"/>
      <c r="H274" s="119">
        <f t="shared" si="22"/>
        <v>6707</v>
      </c>
      <c r="I274" s="147">
        <f t="shared" si="24"/>
        <v>9834</v>
      </c>
      <c r="J274" s="119"/>
      <c r="K274" s="109">
        <v>48501</v>
      </c>
      <c r="L274" s="110">
        <v>0.73699999999999999</v>
      </c>
      <c r="M274" s="109">
        <f t="shared" si="27"/>
        <v>3100</v>
      </c>
      <c r="N274" s="115"/>
      <c r="O274" s="111"/>
      <c r="P274" s="111"/>
      <c r="Q274" s="119">
        <f t="shared" si="25"/>
        <v>7345</v>
      </c>
      <c r="R274" s="147">
        <f t="shared" si="23"/>
        <v>1994</v>
      </c>
      <c r="S274" s="119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</row>
    <row r="275" spans="1:38">
      <c r="A275" s="108">
        <v>41941</v>
      </c>
      <c r="B275" s="109">
        <v>132987</v>
      </c>
      <c r="C275" s="110">
        <v>0.747</v>
      </c>
      <c r="D275" s="109">
        <f t="shared" si="26"/>
        <v>8400</v>
      </c>
      <c r="E275" s="115"/>
      <c r="F275" s="111"/>
      <c r="G275" s="111"/>
      <c r="H275" s="119">
        <f t="shared" si="22"/>
        <v>-16149</v>
      </c>
      <c r="I275" s="147">
        <f t="shared" si="24"/>
        <v>-12119</v>
      </c>
      <c r="J275" s="119"/>
      <c r="K275" s="109">
        <v>47179</v>
      </c>
      <c r="L275" s="110">
        <v>0.71700000000000008</v>
      </c>
      <c r="M275" s="109">
        <f t="shared" si="27"/>
        <v>3100</v>
      </c>
      <c r="N275" s="115"/>
      <c r="O275" s="111"/>
      <c r="P275" s="111"/>
      <c r="Q275" s="119">
        <f t="shared" si="25"/>
        <v>-1322</v>
      </c>
      <c r="R275" s="147">
        <f t="shared" si="23"/>
        <v>5311</v>
      </c>
      <c r="S275" s="119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</row>
    <row r="276" spans="1:38">
      <c r="A276" s="108">
        <v>41948</v>
      </c>
      <c r="B276" s="109">
        <v>128610</v>
      </c>
      <c r="C276" s="110">
        <v>0.71400000000000008</v>
      </c>
      <c r="D276" s="109">
        <f t="shared" si="26"/>
        <v>8500</v>
      </c>
      <c r="E276" s="115"/>
      <c r="F276" s="111"/>
      <c r="G276" s="111"/>
      <c r="H276" s="119">
        <f t="shared" si="22"/>
        <v>-4377</v>
      </c>
      <c r="I276" s="147">
        <f t="shared" si="24"/>
        <v>-21445</v>
      </c>
      <c r="J276" s="119"/>
      <c r="K276" s="109">
        <v>30157</v>
      </c>
      <c r="L276" s="110">
        <v>0.45799999999999996</v>
      </c>
      <c r="M276" s="109">
        <f t="shared" si="27"/>
        <v>3100</v>
      </c>
      <c r="N276" s="115"/>
      <c r="O276" s="111"/>
      <c r="P276" s="111"/>
      <c r="Q276" s="119">
        <f t="shared" si="25"/>
        <v>-17022</v>
      </c>
      <c r="R276" s="147">
        <f t="shared" si="23"/>
        <v>-14804</v>
      </c>
      <c r="S276" s="119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</row>
    <row r="277" spans="1:38">
      <c r="A277" s="108">
        <v>41955</v>
      </c>
      <c r="B277" s="109">
        <v>131916</v>
      </c>
      <c r="C277" s="110">
        <v>0.73299999999999998</v>
      </c>
      <c r="D277" s="109">
        <f t="shared" si="26"/>
        <v>8475</v>
      </c>
      <c r="E277" s="115"/>
      <c r="F277" s="111"/>
      <c r="G277" s="111"/>
      <c r="H277" s="119">
        <f t="shared" si="22"/>
        <v>3306</v>
      </c>
      <c r="I277" s="147">
        <f t="shared" si="24"/>
        <v>-19600</v>
      </c>
      <c r="J277" s="119"/>
      <c r="K277" s="109">
        <v>35999</v>
      </c>
      <c r="L277" s="110">
        <v>0.54700000000000004</v>
      </c>
      <c r="M277" s="109">
        <f t="shared" si="27"/>
        <v>3100</v>
      </c>
      <c r="N277" s="115"/>
      <c r="O277" s="111"/>
      <c r="P277" s="111"/>
      <c r="Q277" s="119">
        <f t="shared" si="25"/>
        <v>5842</v>
      </c>
      <c r="R277" s="147">
        <f t="shared" si="23"/>
        <v>5679</v>
      </c>
      <c r="S277" s="119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</row>
    <row r="278" spans="1:38">
      <c r="A278" s="108">
        <v>41962</v>
      </c>
      <c r="B278" s="109">
        <v>121769</v>
      </c>
      <c r="C278" s="110">
        <v>0.67599999999999993</v>
      </c>
      <c r="D278" s="109">
        <f t="shared" si="26"/>
        <v>8500</v>
      </c>
      <c r="E278" s="115"/>
      <c r="F278" s="111"/>
      <c r="G278" s="111"/>
      <c r="H278" s="119">
        <f t="shared" si="22"/>
        <v>-10147</v>
      </c>
      <c r="I278" s="147">
        <f t="shared" si="24"/>
        <v>-19898</v>
      </c>
      <c r="J278" s="119"/>
      <c r="K278" s="109">
        <v>51420</v>
      </c>
      <c r="L278" s="110">
        <v>0.78099999999999992</v>
      </c>
      <c r="M278" s="109">
        <f t="shared" si="27"/>
        <v>3100</v>
      </c>
      <c r="N278" s="115"/>
      <c r="O278" s="111"/>
      <c r="P278" s="111"/>
      <c r="Q278" s="119">
        <f t="shared" si="25"/>
        <v>15421</v>
      </c>
      <c r="R278" s="147">
        <f t="shared" si="23"/>
        <v>10418</v>
      </c>
      <c r="S278" s="119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</row>
    <row r="279" spans="1:38">
      <c r="A279" s="108">
        <v>41969</v>
      </c>
      <c r="B279" s="109">
        <v>124304</v>
      </c>
      <c r="C279" s="110">
        <v>0.69</v>
      </c>
      <c r="D279" s="109">
        <f t="shared" si="26"/>
        <v>8500</v>
      </c>
      <c r="E279" s="115"/>
      <c r="F279" s="111"/>
      <c r="G279" s="111"/>
      <c r="H279" s="119">
        <f t="shared" si="22"/>
        <v>2535</v>
      </c>
      <c r="I279" s="147">
        <f t="shared" si="24"/>
        <v>-15700</v>
      </c>
      <c r="J279" s="119"/>
      <c r="K279" s="109">
        <v>43409</v>
      </c>
      <c r="L279" s="110">
        <v>0.66</v>
      </c>
      <c r="M279" s="109">
        <f t="shared" si="27"/>
        <v>3100</v>
      </c>
      <c r="N279" s="115"/>
      <c r="O279" s="111"/>
      <c r="P279" s="111"/>
      <c r="Q279" s="119">
        <f t="shared" si="25"/>
        <v>-8011</v>
      </c>
      <c r="R279" s="147">
        <f t="shared" si="23"/>
        <v>-2978</v>
      </c>
      <c r="S279" s="119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</row>
    <row r="280" spans="1:38">
      <c r="A280" s="108">
        <v>41976</v>
      </c>
      <c r="B280" s="109">
        <v>133379</v>
      </c>
      <c r="C280" s="110">
        <v>0.73199999999999998</v>
      </c>
      <c r="D280" s="109">
        <f t="shared" si="26"/>
        <v>8600</v>
      </c>
      <c r="E280" s="115"/>
      <c r="F280" s="111"/>
      <c r="G280" s="111"/>
      <c r="H280" s="119">
        <f t="shared" si="22"/>
        <v>9075</v>
      </c>
      <c r="I280" s="147">
        <f t="shared" si="24"/>
        <v>-14743</v>
      </c>
      <c r="J280" s="119"/>
      <c r="K280" s="109">
        <v>44776</v>
      </c>
      <c r="L280" s="110">
        <v>0.68</v>
      </c>
      <c r="M280" s="109">
        <f t="shared" si="27"/>
        <v>3100</v>
      </c>
      <c r="N280" s="115"/>
      <c r="O280" s="111"/>
      <c r="P280" s="111"/>
      <c r="Q280" s="119">
        <f t="shared" si="25"/>
        <v>1367</v>
      </c>
      <c r="R280" s="147">
        <f t="shared" si="23"/>
        <v>1511</v>
      </c>
      <c r="S280" s="119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</row>
    <row r="281" spans="1:38">
      <c r="A281" s="108">
        <v>41983</v>
      </c>
      <c r="B281" s="109">
        <v>145019</v>
      </c>
      <c r="C281" s="110">
        <v>0.79599999999999993</v>
      </c>
      <c r="D281" s="109">
        <f t="shared" si="26"/>
        <v>8600</v>
      </c>
      <c r="E281" s="115"/>
      <c r="F281" s="111"/>
      <c r="G281" s="111"/>
      <c r="H281" s="119">
        <f t="shared" si="22"/>
        <v>11640</v>
      </c>
      <c r="I281" s="147">
        <f t="shared" si="24"/>
        <v>5154</v>
      </c>
      <c r="J281" s="119"/>
      <c r="K281" s="109">
        <v>36019</v>
      </c>
      <c r="L281" s="110">
        <v>0.54700000000000004</v>
      </c>
      <c r="M281" s="109">
        <f t="shared" si="27"/>
        <v>3100</v>
      </c>
      <c r="N281" s="115"/>
      <c r="O281" s="111"/>
      <c r="P281" s="111"/>
      <c r="Q281" s="119">
        <f t="shared" si="25"/>
        <v>-8757</v>
      </c>
      <c r="R281" s="147">
        <f t="shared" si="23"/>
        <v>1357</v>
      </c>
      <c r="S281" s="119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</row>
    <row r="282" spans="1:38">
      <c r="A282" s="108">
        <v>41990</v>
      </c>
      <c r="B282" s="109">
        <v>136336</v>
      </c>
      <c r="C282" s="110">
        <v>0.74900000000000011</v>
      </c>
      <c r="D282" s="109">
        <f t="shared" si="26"/>
        <v>8575</v>
      </c>
      <c r="E282" s="115"/>
      <c r="F282" s="111"/>
      <c r="G282" s="111"/>
      <c r="H282" s="119">
        <f t="shared" si="22"/>
        <v>-8683</v>
      </c>
      <c r="I282" s="147">
        <f t="shared" si="24"/>
        <v>-14694</v>
      </c>
      <c r="J282" s="119"/>
      <c r="K282" s="109">
        <v>46457</v>
      </c>
      <c r="L282" s="110">
        <v>0.70599999999999996</v>
      </c>
      <c r="M282" s="109">
        <f t="shared" si="27"/>
        <v>3100</v>
      </c>
      <c r="N282" s="115"/>
      <c r="O282" s="111"/>
      <c r="P282" s="111"/>
      <c r="Q282" s="119">
        <f t="shared" si="25"/>
        <v>10438</v>
      </c>
      <c r="R282" s="147">
        <f t="shared" si="23"/>
        <v>17270</v>
      </c>
      <c r="S282" s="119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</row>
    <row r="283" spans="1:38">
      <c r="A283" s="108">
        <v>41997</v>
      </c>
      <c r="B283" s="109">
        <v>144058</v>
      </c>
      <c r="C283" s="110">
        <v>0.79099999999999993</v>
      </c>
      <c r="D283" s="109">
        <f t="shared" si="26"/>
        <v>8575</v>
      </c>
      <c r="E283" s="115"/>
      <c r="F283" s="111"/>
      <c r="G283" s="111"/>
      <c r="H283" s="119">
        <f t="shared" si="22"/>
        <v>7722</v>
      </c>
      <c r="I283" s="147">
        <f t="shared" si="24"/>
        <v>6796</v>
      </c>
      <c r="J283" s="119"/>
      <c r="K283" s="109">
        <v>42389</v>
      </c>
      <c r="L283" s="110">
        <v>0.64400000000000002</v>
      </c>
      <c r="M283" s="109">
        <f t="shared" si="27"/>
        <v>3100</v>
      </c>
      <c r="N283" s="115"/>
      <c r="O283" s="111"/>
      <c r="P283" s="111"/>
      <c r="Q283" s="119">
        <f t="shared" si="25"/>
        <v>-4068</v>
      </c>
      <c r="R283" s="147">
        <f t="shared" si="23"/>
        <v>7426</v>
      </c>
      <c r="S283" s="119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</row>
    <row r="284" spans="1:38">
      <c r="A284" s="108">
        <v>42004</v>
      </c>
      <c r="B284" s="109">
        <v>131101</v>
      </c>
      <c r="C284" s="110">
        <v>0.72</v>
      </c>
      <c r="D284" s="109">
        <f t="shared" si="26"/>
        <v>8575</v>
      </c>
      <c r="E284" s="115"/>
      <c r="F284" s="111"/>
      <c r="G284" s="111"/>
      <c r="H284" s="119">
        <f t="shared" si="22"/>
        <v>-12957</v>
      </c>
      <c r="I284" s="147">
        <f t="shared" si="24"/>
        <v>-2418</v>
      </c>
      <c r="J284" s="119"/>
      <c r="K284" s="109">
        <v>45635</v>
      </c>
      <c r="L284" s="110">
        <v>0.69400000000000006</v>
      </c>
      <c r="M284" s="109">
        <f t="shared" si="27"/>
        <v>3100</v>
      </c>
      <c r="N284" s="115"/>
      <c r="O284" s="111"/>
      <c r="P284" s="111"/>
      <c r="Q284" s="119">
        <f t="shared" si="25"/>
        <v>3246</v>
      </c>
      <c r="R284" s="147">
        <f t="shared" si="23"/>
        <v>12700</v>
      </c>
      <c r="S284" s="119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</row>
    <row r="285" spans="1:38">
      <c r="A285" s="108">
        <v>42011</v>
      </c>
      <c r="B285" s="109">
        <v>127637</v>
      </c>
      <c r="C285" s="110">
        <v>0.69799999999999995</v>
      </c>
      <c r="D285" s="109">
        <f t="shared" si="26"/>
        <v>8625</v>
      </c>
      <c r="E285" s="115"/>
      <c r="F285" s="111"/>
      <c r="G285" s="119">
        <f>AVERAGE(B233-B232,B181-B180,B129-B128,B77-B76,B25-B24)</f>
        <v>1182.5999999999999</v>
      </c>
      <c r="H285" s="119">
        <f t="shared" si="22"/>
        <v>-3464</v>
      </c>
      <c r="I285" s="147">
        <f t="shared" si="24"/>
        <v>-6319</v>
      </c>
      <c r="J285" s="119"/>
      <c r="K285" s="109">
        <v>40078</v>
      </c>
      <c r="L285" s="110">
        <v>0.60899999999999999</v>
      </c>
      <c r="M285" s="109">
        <f t="shared" si="27"/>
        <v>3100</v>
      </c>
      <c r="N285" s="115"/>
      <c r="O285" s="111"/>
      <c r="P285" s="119">
        <f>AVERAGE(K233-K232,K181-K180,K129-K128,K77-K76,K25-K24)</f>
        <v>3291.8</v>
      </c>
      <c r="Q285" s="119">
        <f t="shared" si="25"/>
        <v>-5557</v>
      </c>
      <c r="R285" s="147">
        <f t="shared" si="23"/>
        <v>12077</v>
      </c>
      <c r="S285" s="119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</row>
    <row r="286" spans="1:38">
      <c r="A286" s="108">
        <v>42018</v>
      </c>
      <c r="B286" s="109">
        <v>145341</v>
      </c>
      <c r="C286" s="110">
        <v>0.79500000000000004</v>
      </c>
      <c r="D286" s="109">
        <f t="shared" si="26"/>
        <v>8625</v>
      </c>
      <c r="E286" s="115"/>
      <c r="F286" s="111"/>
      <c r="G286" s="119">
        <f t="shared" ref="G286:G348" si="28">AVERAGE(B234-B233,B182-B181,B130-B129,B78-B77,B26-B25)</f>
        <v>-3756.4</v>
      </c>
      <c r="H286" s="119">
        <f t="shared" si="22"/>
        <v>17704</v>
      </c>
      <c r="I286" s="147">
        <f t="shared" si="24"/>
        <v>9785</v>
      </c>
      <c r="J286" s="119"/>
      <c r="K286" s="109">
        <v>30186</v>
      </c>
      <c r="L286" s="110">
        <v>0.45899999999999996</v>
      </c>
      <c r="M286" s="109">
        <f t="shared" si="27"/>
        <v>3100</v>
      </c>
      <c r="N286" s="115"/>
      <c r="O286" s="111"/>
      <c r="P286" s="119">
        <f t="shared" ref="P286:P349" si="29">AVERAGE(K234-K233,K182-K181,K130-K129,K78-K77,K26-K25)</f>
        <v>-248</v>
      </c>
      <c r="Q286" s="119">
        <f t="shared" si="25"/>
        <v>-9892</v>
      </c>
      <c r="R286" s="147">
        <f t="shared" si="23"/>
        <v>-1135</v>
      </c>
      <c r="S286" s="119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</row>
    <row r="287" spans="1:38">
      <c r="A287" s="108">
        <v>42025</v>
      </c>
      <c r="B287" s="109">
        <v>153102</v>
      </c>
      <c r="C287" s="110">
        <v>0.83799999999999997</v>
      </c>
      <c r="D287" s="109">
        <f t="shared" si="26"/>
        <v>8625</v>
      </c>
      <c r="E287" s="115"/>
      <c r="F287" s="111"/>
      <c r="G287" s="119">
        <f t="shared" si="28"/>
        <v>3628.2</v>
      </c>
      <c r="H287" s="119">
        <f t="shared" si="22"/>
        <v>7761</v>
      </c>
      <c r="I287" s="147">
        <f t="shared" si="24"/>
        <v>22992</v>
      </c>
      <c r="J287" s="119"/>
      <c r="K287" s="109">
        <v>30736</v>
      </c>
      <c r="L287" s="110">
        <v>0.46700000000000003</v>
      </c>
      <c r="M287" s="109">
        <f t="shared" si="27"/>
        <v>3100</v>
      </c>
      <c r="N287" s="115"/>
      <c r="O287" s="111"/>
      <c r="P287" s="119">
        <f t="shared" si="29"/>
        <v>2810.4</v>
      </c>
      <c r="Q287" s="119">
        <f t="shared" si="25"/>
        <v>550</v>
      </c>
      <c r="R287" s="147">
        <f t="shared" si="23"/>
        <v>-8509</v>
      </c>
      <c r="S287" s="119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</row>
    <row r="288" spans="1:38">
      <c r="A288" s="108">
        <v>42032</v>
      </c>
      <c r="B288" s="109">
        <v>149771</v>
      </c>
      <c r="C288" s="110">
        <v>0.81900000000000006</v>
      </c>
      <c r="D288" s="109">
        <f t="shared" si="26"/>
        <v>8625</v>
      </c>
      <c r="E288" s="115"/>
      <c r="F288" s="111"/>
      <c r="G288" s="119">
        <f t="shared" si="28"/>
        <v>-1611.6</v>
      </c>
      <c r="H288" s="119">
        <f t="shared" si="22"/>
        <v>-3331</v>
      </c>
      <c r="I288" s="147">
        <f t="shared" si="24"/>
        <v>4935</v>
      </c>
      <c r="J288" s="119"/>
      <c r="K288" s="109">
        <v>35676</v>
      </c>
      <c r="L288" s="110">
        <v>0.54200000000000004</v>
      </c>
      <c r="M288" s="109">
        <f t="shared" si="27"/>
        <v>3100</v>
      </c>
      <c r="N288" s="115"/>
      <c r="O288" s="111"/>
      <c r="P288" s="119">
        <f t="shared" si="29"/>
        <v>-3070.8</v>
      </c>
      <c r="Q288" s="119">
        <f t="shared" si="25"/>
        <v>4940</v>
      </c>
      <c r="R288" s="147">
        <f t="shared" si="23"/>
        <v>10017</v>
      </c>
      <c r="S288" s="119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</row>
    <row r="289" spans="1:38">
      <c r="A289" s="108">
        <v>42039</v>
      </c>
      <c r="B289" s="109">
        <v>144916</v>
      </c>
      <c r="C289" s="110">
        <v>0.79299999999999993</v>
      </c>
      <c r="D289" s="109">
        <f t="shared" si="26"/>
        <v>8625</v>
      </c>
      <c r="E289" s="115"/>
      <c r="F289" s="111"/>
      <c r="G289" s="119">
        <f t="shared" si="28"/>
        <v>6746.6</v>
      </c>
      <c r="H289" s="119">
        <f t="shared" si="22"/>
        <v>-4855</v>
      </c>
      <c r="I289" s="147">
        <f t="shared" si="24"/>
        <v>8172</v>
      </c>
      <c r="J289" s="119"/>
      <c r="K289" s="109">
        <v>44377</v>
      </c>
      <c r="L289" s="110">
        <v>0.67400000000000004</v>
      </c>
      <c r="M289" s="109">
        <f t="shared" si="27"/>
        <v>3100</v>
      </c>
      <c r="N289" s="115"/>
      <c r="O289" s="111"/>
      <c r="P289" s="119">
        <f t="shared" si="29"/>
        <v>587</v>
      </c>
      <c r="Q289" s="119">
        <f t="shared" si="25"/>
        <v>8701</v>
      </c>
      <c r="R289" s="147">
        <f t="shared" si="23"/>
        <v>20789</v>
      </c>
      <c r="S289" s="119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</row>
    <row r="290" spans="1:38">
      <c r="A290" s="108">
        <v>42046</v>
      </c>
      <c r="B290" s="109">
        <v>136218</v>
      </c>
      <c r="C290" s="110">
        <v>0.745</v>
      </c>
      <c r="D290" s="109">
        <f t="shared" si="26"/>
        <v>8625</v>
      </c>
      <c r="E290" s="115"/>
      <c r="F290" s="111"/>
      <c r="G290" s="119">
        <f t="shared" si="28"/>
        <v>3335.2</v>
      </c>
      <c r="H290" s="119">
        <f t="shared" si="22"/>
        <v>-8698</v>
      </c>
      <c r="I290" s="147">
        <f t="shared" si="24"/>
        <v>71</v>
      </c>
      <c r="J290" s="119"/>
      <c r="K290" s="109">
        <v>46501</v>
      </c>
      <c r="L290" s="110">
        <v>0.70700000000000007</v>
      </c>
      <c r="M290" s="109">
        <f t="shared" si="27"/>
        <v>3100</v>
      </c>
      <c r="N290" s="115"/>
      <c r="O290" s="111"/>
      <c r="P290" s="119">
        <f t="shared" si="29"/>
        <v>3644</v>
      </c>
      <c r="Q290" s="119">
        <f t="shared" si="25"/>
        <v>2124</v>
      </c>
      <c r="R290" s="147">
        <f t="shared" si="23"/>
        <v>5151</v>
      </c>
      <c r="S290" s="119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</row>
    <row r="291" spans="1:38">
      <c r="A291" s="108">
        <v>42053</v>
      </c>
      <c r="B291" s="109">
        <v>131021</v>
      </c>
      <c r="C291" s="110">
        <v>0.71700000000000008</v>
      </c>
      <c r="D291" s="109">
        <f t="shared" si="26"/>
        <v>8625</v>
      </c>
      <c r="E291" s="115"/>
      <c r="F291" s="111"/>
      <c r="G291" s="119">
        <f t="shared" si="28"/>
        <v>-5500.2</v>
      </c>
      <c r="H291" s="119">
        <f t="shared" si="22"/>
        <v>-5197</v>
      </c>
      <c r="I291" s="147">
        <f t="shared" si="24"/>
        <v>783</v>
      </c>
      <c r="J291" s="119"/>
      <c r="K291" s="109">
        <v>31619</v>
      </c>
      <c r="L291" s="110">
        <v>0.48100000000000004</v>
      </c>
      <c r="M291" s="109">
        <f t="shared" si="27"/>
        <v>3100</v>
      </c>
      <c r="N291" s="115"/>
      <c r="O291" s="111"/>
      <c r="P291" s="119">
        <f t="shared" si="29"/>
        <v>-1428.4</v>
      </c>
      <c r="Q291" s="119">
        <f t="shared" si="25"/>
        <v>-14882</v>
      </c>
      <c r="R291" s="147">
        <f t="shared" si="23"/>
        <v>-6924</v>
      </c>
      <c r="S291" s="119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</row>
    <row r="292" spans="1:38">
      <c r="A292" s="108">
        <v>42060</v>
      </c>
      <c r="B292" s="109">
        <v>148546</v>
      </c>
      <c r="C292" s="110">
        <v>0.81299999999999994</v>
      </c>
      <c r="D292" s="109">
        <f t="shared" si="26"/>
        <v>8625</v>
      </c>
      <c r="E292" s="115"/>
      <c r="F292" s="111"/>
      <c r="G292" s="119">
        <f t="shared" si="28"/>
        <v>-3157.8</v>
      </c>
      <c r="H292" s="119">
        <f t="shared" si="22"/>
        <v>17525</v>
      </c>
      <c r="I292" s="147">
        <f t="shared" si="24"/>
        <v>16047</v>
      </c>
      <c r="J292" s="119"/>
      <c r="K292" s="109">
        <v>17987</v>
      </c>
      <c r="L292" s="110">
        <v>0.27300000000000002</v>
      </c>
      <c r="M292" s="109">
        <f t="shared" si="27"/>
        <v>3100</v>
      </c>
      <c r="N292" s="115"/>
      <c r="O292" s="111"/>
      <c r="P292" s="119">
        <f t="shared" si="29"/>
        <v>139.80000000000001</v>
      </c>
      <c r="Q292" s="119">
        <f t="shared" si="25"/>
        <v>-13632</v>
      </c>
      <c r="R292" s="147">
        <f t="shared" si="23"/>
        <v>-16555</v>
      </c>
      <c r="S292" s="119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</row>
    <row r="293" spans="1:38">
      <c r="A293" s="108">
        <v>42067</v>
      </c>
      <c r="B293" s="109">
        <v>153935</v>
      </c>
      <c r="C293" s="110">
        <v>0.84200000000000008</v>
      </c>
      <c r="D293" s="109">
        <f t="shared" si="26"/>
        <v>8625</v>
      </c>
      <c r="E293" s="115"/>
      <c r="F293" s="111"/>
      <c r="G293" s="119">
        <f t="shared" si="28"/>
        <v>6852.2</v>
      </c>
      <c r="H293" s="119">
        <f t="shared" si="22"/>
        <v>5389</v>
      </c>
      <c r="I293" s="147">
        <f t="shared" si="24"/>
        <v>13143</v>
      </c>
      <c r="J293" s="119"/>
      <c r="K293" s="109">
        <v>29588</v>
      </c>
      <c r="L293" s="110">
        <v>0.45</v>
      </c>
      <c r="M293" s="109">
        <f t="shared" si="27"/>
        <v>3100</v>
      </c>
      <c r="N293" s="115"/>
      <c r="O293" s="111"/>
      <c r="P293" s="119">
        <f t="shared" si="29"/>
        <v>-1671.2</v>
      </c>
      <c r="Q293" s="119">
        <f t="shared" si="25"/>
        <v>11601</v>
      </c>
      <c r="R293" s="147">
        <f t="shared" si="23"/>
        <v>2984</v>
      </c>
      <c r="S293" s="119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</row>
    <row r="294" spans="1:38">
      <c r="A294" s="108">
        <v>42074</v>
      </c>
      <c r="B294" s="109">
        <v>133044</v>
      </c>
      <c r="C294" s="110">
        <v>0.72799999999999998</v>
      </c>
      <c r="D294" s="109">
        <f t="shared" si="26"/>
        <v>8625</v>
      </c>
      <c r="E294" s="115"/>
      <c r="F294" s="111"/>
      <c r="G294" s="119">
        <f t="shared" si="28"/>
        <v>1608</v>
      </c>
      <c r="H294" s="119">
        <f t="shared" si="22"/>
        <v>-20891</v>
      </c>
      <c r="I294" s="147">
        <f t="shared" si="24"/>
        <v>1949</v>
      </c>
      <c r="J294" s="119"/>
      <c r="K294" s="109">
        <v>26926</v>
      </c>
      <c r="L294" s="110">
        <v>0.40899999999999997</v>
      </c>
      <c r="M294" s="109">
        <f t="shared" si="27"/>
        <v>3100</v>
      </c>
      <c r="N294" s="115"/>
      <c r="O294" s="111"/>
      <c r="P294" s="119">
        <f t="shared" si="29"/>
        <v>2723.8</v>
      </c>
      <c r="Q294" s="119">
        <f t="shared" si="25"/>
        <v>-2662</v>
      </c>
      <c r="R294" s="147">
        <f t="shared" si="23"/>
        <v>-14039</v>
      </c>
      <c r="S294" s="119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</row>
    <row r="295" spans="1:38">
      <c r="A295" s="108">
        <v>42081</v>
      </c>
      <c r="B295" s="109">
        <v>160185</v>
      </c>
      <c r="C295" s="110">
        <v>0.87599999999999989</v>
      </c>
      <c r="D295" s="109">
        <f t="shared" si="26"/>
        <v>8625</v>
      </c>
      <c r="E295" s="115"/>
      <c r="F295" s="111"/>
      <c r="G295" s="119">
        <f t="shared" si="28"/>
        <v>1353.4</v>
      </c>
      <c r="H295" s="119">
        <f t="shared" si="22"/>
        <v>27141</v>
      </c>
      <c r="I295" s="147">
        <f t="shared" si="24"/>
        <v>24049</v>
      </c>
      <c r="J295" s="119"/>
      <c r="K295" s="109">
        <v>18490</v>
      </c>
      <c r="L295" s="110">
        <v>0.28100000000000003</v>
      </c>
      <c r="M295" s="109">
        <f t="shared" si="27"/>
        <v>3100</v>
      </c>
      <c r="N295" s="115"/>
      <c r="O295" s="111"/>
      <c r="P295" s="119">
        <f t="shared" si="29"/>
        <v>-637.6</v>
      </c>
      <c r="Q295" s="119">
        <f t="shared" si="25"/>
        <v>-8436</v>
      </c>
      <c r="R295" s="147">
        <f t="shared" si="23"/>
        <v>-15957</v>
      </c>
      <c r="S295" s="119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</row>
    <row r="296" spans="1:38">
      <c r="A296" s="108">
        <v>42088</v>
      </c>
      <c r="B296" s="109">
        <v>162166</v>
      </c>
      <c r="C296" s="110">
        <v>0.88700000000000001</v>
      </c>
      <c r="D296" s="109">
        <f t="shared" si="26"/>
        <v>8625</v>
      </c>
      <c r="E296" s="115"/>
      <c r="F296" s="111"/>
      <c r="G296" s="119">
        <f t="shared" si="28"/>
        <v>1411.4</v>
      </c>
      <c r="H296" s="119">
        <f t="shared" si="22"/>
        <v>1981</v>
      </c>
      <c r="I296" s="147">
        <f t="shared" si="24"/>
        <v>21236</v>
      </c>
      <c r="J296" s="119"/>
      <c r="K296" s="109">
        <v>28344</v>
      </c>
      <c r="L296" s="110">
        <v>0.43099999999999999</v>
      </c>
      <c r="M296" s="109">
        <f t="shared" si="27"/>
        <v>3100</v>
      </c>
      <c r="N296" s="115"/>
      <c r="O296" s="111"/>
      <c r="P296" s="119">
        <f t="shared" si="29"/>
        <v>-1438.2</v>
      </c>
      <c r="Q296" s="119">
        <f t="shared" si="25"/>
        <v>9854</v>
      </c>
      <c r="R296" s="147">
        <f t="shared" si="23"/>
        <v>1722</v>
      </c>
      <c r="S296" s="119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</row>
    <row r="297" spans="1:38">
      <c r="A297" s="108">
        <v>42095</v>
      </c>
      <c r="B297" s="109">
        <v>138868</v>
      </c>
      <c r="C297" s="110">
        <v>0.76</v>
      </c>
      <c r="D297" s="109">
        <f t="shared" si="26"/>
        <v>8625</v>
      </c>
      <c r="E297" s="115"/>
      <c r="F297" s="111"/>
      <c r="G297" s="119">
        <f t="shared" si="28"/>
        <v>-5871</v>
      </c>
      <c r="H297" s="119">
        <f t="shared" si="22"/>
        <v>-23298</v>
      </c>
      <c r="I297" s="147">
        <f t="shared" si="24"/>
        <v>-3078</v>
      </c>
      <c r="J297" s="119"/>
      <c r="K297" s="109">
        <v>43251</v>
      </c>
      <c r="L297" s="110">
        <v>0.65700000000000003</v>
      </c>
      <c r="M297" s="109">
        <f t="shared" si="27"/>
        <v>3100</v>
      </c>
      <c r="N297" s="115"/>
      <c r="O297" s="111"/>
      <c r="P297" s="119">
        <f t="shared" si="29"/>
        <v>-2360.8000000000002</v>
      </c>
      <c r="Q297" s="119">
        <f t="shared" si="25"/>
        <v>14907</v>
      </c>
      <c r="R297" s="147">
        <f t="shared" si="23"/>
        <v>15157</v>
      </c>
      <c r="S297" s="119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</row>
    <row r="298" spans="1:38">
      <c r="A298" s="108">
        <v>42102</v>
      </c>
      <c r="B298" s="109">
        <v>133039</v>
      </c>
      <c r="C298" s="110">
        <v>0.72799999999999998</v>
      </c>
      <c r="D298" s="109">
        <f t="shared" si="26"/>
        <v>8625</v>
      </c>
      <c r="E298" s="115"/>
      <c r="F298" s="111"/>
      <c r="G298" s="119">
        <f t="shared" si="28"/>
        <v>4774</v>
      </c>
      <c r="H298" s="119">
        <f t="shared" si="22"/>
        <v>-5829</v>
      </c>
      <c r="I298" s="147">
        <f t="shared" si="24"/>
        <v>-6849</v>
      </c>
      <c r="J298" s="119"/>
      <c r="K298" s="109">
        <v>49230</v>
      </c>
      <c r="L298" s="110">
        <v>0.748</v>
      </c>
      <c r="M298" s="109">
        <f t="shared" si="27"/>
        <v>3100</v>
      </c>
      <c r="N298" s="115"/>
      <c r="O298" s="111"/>
      <c r="P298" s="119">
        <f t="shared" si="29"/>
        <v>80</v>
      </c>
      <c r="Q298" s="119">
        <f t="shared" si="25"/>
        <v>5979</v>
      </c>
      <c r="R298" s="147">
        <f t="shared" si="23"/>
        <v>20610</v>
      </c>
      <c r="S298" s="119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</row>
    <row r="299" spans="1:38">
      <c r="A299" s="108">
        <v>42109</v>
      </c>
      <c r="B299" s="109">
        <v>137624</v>
      </c>
      <c r="C299" s="110">
        <v>0.753</v>
      </c>
      <c r="D299" s="109">
        <f t="shared" si="26"/>
        <v>8625</v>
      </c>
      <c r="E299" s="115"/>
      <c r="F299" s="111"/>
      <c r="G299" s="119">
        <f t="shared" si="28"/>
        <v>-5619.2</v>
      </c>
      <c r="H299" s="119">
        <f t="shared" si="22"/>
        <v>4585</v>
      </c>
      <c r="I299" s="147">
        <f t="shared" si="24"/>
        <v>1538</v>
      </c>
      <c r="J299" s="119"/>
      <c r="K299" s="109">
        <v>46616</v>
      </c>
      <c r="L299" s="110">
        <v>0.70799999999999996</v>
      </c>
      <c r="M299" s="109">
        <f t="shared" si="27"/>
        <v>3100</v>
      </c>
      <c r="N299" s="115"/>
      <c r="O299" s="111"/>
      <c r="P299" s="119">
        <f t="shared" si="29"/>
        <v>161.4</v>
      </c>
      <c r="Q299" s="119">
        <f t="shared" si="25"/>
        <v>-2614</v>
      </c>
      <c r="R299" s="147">
        <f t="shared" si="23"/>
        <v>16982</v>
      </c>
      <c r="S299" s="119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</row>
    <row r="300" spans="1:38">
      <c r="A300" s="108">
        <v>42116</v>
      </c>
      <c r="B300" s="109">
        <v>150938</v>
      </c>
      <c r="C300" s="110">
        <v>0.82599999999999996</v>
      </c>
      <c r="D300" s="109">
        <f t="shared" si="26"/>
        <v>8625</v>
      </c>
      <c r="E300" s="115"/>
      <c r="F300" s="111"/>
      <c r="G300" s="119">
        <f t="shared" si="28"/>
        <v>5868.6</v>
      </c>
      <c r="H300" s="119">
        <f t="shared" si="22"/>
        <v>13314</v>
      </c>
      <c r="I300" s="147">
        <f t="shared" si="24"/>
        <v>16189</v>
      </c>
      <c r="J300" s="119"/>
      <c r="K300" s="109">
        <v>28426</v>
      </c>
      <c r="L300" s="110">
        <v>0.43200000000000005</v>
      </c>
      <c r="M300" s="109">
        <f t="shared" si="27"/>
        <v>3100</v>
      </c>
      <c r="N300" s="115"/>
      <c r="O300" s="111"/>
      <c r="P300" s="119">
        <f t="shared" si="29"/>
        <v>-255.4</v>
      </c>
      <c r="Q300" s="119">
        <f t="shared" si="25"/>
        <v>-18190</v>
      </c>
      <c r="R300" s="147">
        <f t="shared" si="23"/>
        <v>-5956</v>
      </c>
      <c r="S300" s="119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</row>
    <row r="301" spans="1:38">
      <c r="A301" s="108">
        <v>42123</v>
      </c>
      <c r="B301" s="109">
        <v>126917</v>
      </c>
      <c r="C301" s="110">
        <v>0.69400000000000006</v>
      </c>
      <c r="D301" s="109">
        <f t="shared" si="26"/>
        <v>8625</v>
      </c>
      <c r="E301" s="115"/>
      <c r="F301" s="111"/>
      <c r="G301" s="119">
        <f t="shared" si="28"/>
        <v>-14021.8</v>
      </c>
      <c r="H301" s="119">
        <f t="shared" si="22"/>
        <v>-24021</v>
      </c>
      <c r="I301" s="147">
        <f t="shared" si="24"/>
        <v>-7346</v>
      </c>
      <c r="J301" s="119"/>
      <c r="K301" s="109">
        <v>32744</v>
      </c>
      <c r="L301" s="110">
        <v>0.498</v>
      </c>
      <c r="M301" s="109">
        <f t="shared" si="27"/>
        <v>3100</v>
      </c>
      <c r="N301" s="115"/>
      <c r="O301" s="111"/>
      <c r="P301" s="119">
        <f t="shared" si="29"/>
        <v>-1957.4</v>
      </c>
      <c r="Q301" s="119">
        <f t="shared" si="25"/>
        <v>4318</v>
      </c>
      <c r="R301" s="147">
        <f t="shared" si="23"/>
        <v>9021</v>
      </c>
      <c r="S301" s="119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</row>
    <row r="302" spans="1:38">
      <c r="A302" s="108">
        <v>42130</v>
      </c>
      <c r="B302" s="109">
        <v>102361</v>
      </c>
      <c r="C302" s="110">
        <v>0.56000000000000005</v>
      </c>
      <c r="D302" s="109">
        <f t="shared" si="26"/>
        <v>8625</v>
      </c>
      <c r="E302" s="115"/>
      <c r="F302" s="111"/>
      <c r="G302" s="119">
        <f t="shared" si="28"/>
        <v>-3075</v>
      </c>
      <c r="H302" s="119">
        <f t="shared" si="22"/>
        <v>-24556</v>
      </c>
      <c r="I302" s="147">
        <f t="shared" si="24"/>
        <v>-30356</v>
      </c>
      <c r="J302" s="119"/>
      <c r="K302" s="109">
        <v>33394</v>
      </c>
      <c r="L302" s="110">
        <v>0.50800000000000001</v>
      </c>
      <c r="M302" s="109">
        <f t="shared" si="27"/>
        <v>3100</v>
      </c>
      <c r="N302" s="115"/>
      <c r="O302" s="111"/>
      <c r="P302" s="119">
        <f t="shared" si="29"/>
        <v>2525.1999999999998</v>
      </c>
      <c r="Q302" s="119">
        <f t="shared" si="25"/>
        <v>650</v>
      </c>
      <c r="R302" s="147">
        <f t="shared" si="23"/>
        <v>9800</v>
      </c>
      <c r="S302" s="119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</row>
    <row r="303" spans="1:38">
      <c r="A303" s="108">
        <v>42137</v>
      </c>
      <c r="B303" s="109">
        <v>127333</v>
      </c>
      <c r="C303" s="110">
        <v>0.69700000000000006</v>
      </c>
      <c r="D303" s="109">
        <f t="shared" si="26"/>
        <v>8600</v>
      </c>
      <c r="E303" s="115"/>
      <c r="F303" s="111"/>
      <c r="G303" s="119">
        <f t="shared" si="28"/>
        <v>5021.6000000000004</v>
      </c>
      <c r="H303" s="119">
        <f t="shared" si="22"/>
        <v>24972</v>
      </c>
      <c r="I303" s="147">
        <f t="shared" si="24"/>
        <v>-20328</v>
      </c>
      <c r="J303" s="119"/>
      <c r="K303" s="109">
        <v>40615</v>
      </c>
      <c r="L303" s="110">
        <v>0.61699999999999999</v>
      </c>
      <c r="M303" s="109">
        <f t="shared" si="27"/>
        <v>3100</v>
      </c>
      <c r="N303" s="115"/>
      <c r="O303" s="111"/>
      <c r="P303" s="119">
        <f t="shared" si="29"/>
        <v>236.4</v>
      </c>
      <c r="Q303" s="119">
        <f t="shared" si="25"/>
        <v>7221</v>
      </c>
      <c r="R303" s="147">
        <f t="shared" si="23"/>
        <v>15116</v>
      </c>
      <c r="S303" s="119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</row>
    <row r="304" spans="1:38">
      <c r="A304" s="108">
        <v>42144</v>
      </c>
      <c r="B304" s="109">
        <v>136981</v>
      </c>
      <c r="C304" s="110">
        <v>0.74900000000000011</v>
      </c>
      <c r="D304" s="109">
        <f t="shared" si="26"/>
        <v>8625</v>
      </c>
      <c r="E304" s="115"/>
      <c r="F304" s="111"/>
      <c r="G304" s="119">
        <f t="shared" si="28"/>
        <v>3851.4</v>
      </c>
      <c r="H304" s="119">
        <f t="shared" si="22"/>
        <v>9648</v>
      </c>
      <c r="I304" s="147">
        <f t="shared" si="24"/>
        <v>-15101</v>
      </c>
      <c r="J304" s="119"/>
      <c r="K304" s="109">
        <v>44946</v>
      </c>
      <c r="L304" s="110">
        <v>0.68299999999999994</v>
      </c>
      <c r="M304" s="109">
        <f t="shared" si="27"/>
        <v>3100</v>
      </c>
      <c r="N304" s="115"/>
      <c r="O304" s="111"/>
      <c r="P304" s="119">
        <f t="shared" si="29"/>
        <v>-828.6</v>
      </c>
      <c r="Q304" s="119">
        <f t="shared" si="25"/>
        <v>4331</v>
      </c>
      <c r="R304" s="147">
        <f t="shared" si="23"/>
        <v>14896</v>
      </c>
      <c r="S304" s="119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</row>
    <row r="305" spans="1:38">
      <c r="A305" s="108">
        <v>42151</v>
      </c>
      <c r="B305" s="109">
        <v>148820</v>
      </c>
      <c r="C305" s="110">
        <v>0.81400000000000006</v>
      </c>
      <c r="D305" s="109">
        <f t="shared" si="26"/>
        <v>8625</v>
      </c>
      <c r="E305" s="115"/>
      <c r="F305" s="111"/>
      <c r="G305" s="119">
        <f t="shared" si="28"/>
        <v>-24531</v>
      </c>
      <c r="H305" s="119">
        <f t="shared" si="22"/>
        <v>11839</v>
      </c>
      <c r="I305" s="147">
        <f t="shared" si="24"/>
        <v>33002</v>
      </c>
      <c r="J305" s="119"/>
      <c r="K305" s="109">
        <v>36521</v>
      </c>
      <c r="L305" s="110">
        <v>0.55500000000000005</v>
      </c>
      <c r="M305" s="109">
        <f t="shared" si="27"/>
        <v>3100</v>
      </c>
      <c r="N305" s="115"/>
      <c r="O305" s="111"/>
      <c r="P305" s="119">
        <f t="shared" si="29"/>
        <v>-5350.8</v>
      </c>
      <c r="Q305" s="119">
        <f t="shared" si="25"/>
        <v>-8425</v>
      </c>
      <c r="R305" s="147">
        <f t="shared" si="23"/>
        <v>3290</v>
      </c>
      <c r="S305" s="119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</row>
    <row r="306" spans="1:38">
      <c r="A306" s="108">
        <v>42158</v>
      </c>
      <c r="B306" s="109">
        <v>154048</v>
      </c>
      <c r="C306" s="110">
        <v>0.82700000000000007</v>
      </c>
      <c r="D306" s="109">
        <f t="shared" si="26"/>
        <v>8775</v>
      </c>
      <c r="E306" s="115"/>
      <c r="F306" s="111"/>
      <c r="G306" s="119">
        <f t="shared" si="28"/>
        <v>-6396.8</v>
      </c>
      <c r="H306" s="119">
        <f t="shared" si="22"/>
        <v>5228</v>
      </c>
      <c r="I306" s="147">
        <f t="shared" si="24"/>
        <v>45849</v>
      </c>
      <c r="J306" s="119"/>
      <c r="K306" s="109">
        <v>22844</v>
      </c>
      <c r="L306" s="110">
        <v>0.34700000000000003</v>
      </c>
      <c r="M306" s="109">
        <f t="shared" si="27"/>
        <v>3100</v>
      </c>
      <c r="N306" s="115"/>
      <c r="O306" s="111"/>
      <c r="P306" s="119">
        <f t="shared" si="29"/>
        <v>2845.6</v>
      </c>
      <c r="Q306" s="119">
        <f t="shared" si="25"/>
        <v>-13677</v>
      </c>
      <c r="R306" s="147">
        <f t="shared" si="23"/>
        <v>-5725</v>
      </c>
      <c r="S306" s="119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</row>
    <row r="307" spans="1:38">
      <c r="A307" s="108">
        <v>42165</v>
      </c>
      <c r="B307" s="109">
        <v>148410</v>
      </c>
      <c r="C307" s="110">
        <v>0.76900000000000002</v>
      </c>
      <c r="D307" s="109">
        <f t="shared" si="26"/>
        <v>9100</v>
      </c>
      <c r="E307" s="115"/>
      <c r="F307" s="111"/>
      <c r="G307" s="119">
        <f t="shared" si="28"/>
        <v>15059</v>
      </c>
      <c r="H307" s="119">
        <f t="shared" si="22"/>
        <v>-5638</v>
      </c>
      <c r="I307" s="147">
        <f t="shared" si="24"/>
        <v>33838</v>
      </c>
      <c r="J307" s="119"/>
      <c r="K307" s="109">
        <v>32276</v>
      </c>
      <c r="L307" s="110">
        <v>0.49099999999999999</v>
      </c>
      <c r="M307" s="109">
        <f t="shared" si="27"/>
        <v>3100</v>
      </c>
      <c r="N307" s="115"/>
      <c r="O307" s="111"/>
      <c r="P307" s="119">
        <f t="shared" si="29"/>
        <v>-1700</v>
      </c>
      <c r="Q307" s="119">
        <f t="shared" si="25"/>
        <v>9432</v>
      </c>
      <c r="R307" s="147">
        <f t="shared" si="23"/>
        <v>14943</v>
      </c>
      <c r="S307" s="119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</row>
    <row r="308" spans="1:38">
      <c r="A308" s="108">
        <v>42172</v>
      </c>
      <c r="B308" s="109">
        <v>130383</v>
      </c>
      <c r="C308" s="110">
        <v>0.65300000000000002</v>
      </c>
      <c r="D308" s="109">
        <f t="shared" si="26"/>
        <v>9425</v>
      </c>
      <c r="E308" s="115"/>
      <c r="F308" s="111"/>
      <c r="G308" s="119">
        <f t="shared" si="28"/>
        <v>6497.6</v>
      </c>
      <c r="H308" s="119">
        <f t="shared" ref="H308:H371" si="30">B308-B307</f>
        <v>-18027</v>
      </c>
      <c r="I308" s="147">
        <f t="shared" si="24"/>
        <v>18188</v>
      </c>
      <c r="J308" s="119"/>
      <c r="K308" s="109">
        <v>36981</v>
      </c>
      <c r="L308" s="110">
        <v>0.56200000000000006</v>
      </c>
      <c r="M308" s="109">
        <f t="shared" si="27"/>
        <v>3100</v>
      </c>
      <c r="N308" s="115"/>
      <c r="O308" s="111"/>
      <c r="P308" s="119">
        <f t="shared" si="29"/>
        <v>-3109.2</v>
      </c>
      <c r="Q308" s="119">
        <f t="shared" si="25"/>
        <v>4705</v>
      </c>
      <c r="R308" s="147">
        <f t="shared" si="23"/>
        <v>22044</v>
      </c>
      <c r="S308" s="119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</row>
    <row r="309" spans="1:38">
      <c r="A309" s="108">
        <v>42179</v>
      </c>
      <c r="B309" s="109">
        <v>151509</v>
      </c>
      <c r="C309" s="110">
        <v>0.75800000000000001</v>
      </c>
      <c r="D309" s="109">
        <f t="shared" si="26"/>
        <v>9425</v>
      </c>
      <c r="E309" s="115"/>
      <c r="F309" s="111"/>
      <c r="G309" s="119">
        <f t="shared" si="28"/>
        <v>11657.4</v>
      </c>
      <c r="H309" s="119">
        <f t="shared" si="30"/>
        <v>21126</v>
      </c>
      <c r="I309" s="147">
        <f t="shared" si="24"/>
        <v>-576</v>
      </c>
      <c r="J309" s="119"/>
      <c r="K309" s="109">
        <v>15760</v>
      </c>
      <c r="L309" s="110">
        <v>0.24</v>
      </c>
      <c r="M309" s="109">
        <f t="shared" si="27"/>
        <v>3100</v>
      </c>
      <c r="N309" s="115"/>
      <c r="O309" s="111"/>
      <c r="P309" s="119">
        <f t="shared" si="29"/>
        <v>2465.6</v>
      </c>
      <c r="Q309" s="119">
        <f t="shared" si="25"/>
        <v>-21221</v>
      </c>
      <c r="R309" s="147">
        <f t="shared" si="23"/>
        <v>732</v>
      </c>
      <c r="S309" s="119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</row>
    <row r="310" spans="1:38">
      <c r="A310" s="108">
        <v>42186</v>
      </c>
      <c r="B310" s="109">
        <v>155523</v>
      </c>
      <c r="C310" s="110">
        <v>0.77900000000000003</v>
      </c>
      <c r="D310" s="109">
        <f t="shared" si="26"/>
        <v>9400</v>
      </c>
      <c r="E310" s="115"/>
      <c r="F310" s="111"/>
      <c r="G310" s="119">
        <f t="shared" si="28"/>
        <v>126.8</v>
      </c>
      <c r="H310" s="119">
        <f t="shared" si="30"/>
        <v>4014</v>
      </c>
      <c r="I310" s="147">
        <f t="shared" si="24"/>
        <v>3744</v>
      </c>
      <c r="J310" s="119"/>
      <c r="K310" s="109">
        <v>16560</v>
      </c>
      <c r="L310" s="110">
        <v>0.252</v>
      </c>
      <c r="M310" s="109">
        <f t="shared" si="27"/>
        <v>3100</v>
      </c>
      <c r="N310" s="115"/>
      <c r="O310" s="111"/>
      <c r="P310" s="119">
        <f t="shared" si="29"/>
        <v>1411</v>
      </c>
      <c r="Q310" s="119">
        <f t="shared" si="25"/>
        <v>800</v>
      </c>
      <c r="R310" s="147">
        <f t="shared" ref="R310:R373" si="31">K310-K258</f>
        <v>-19570</v>
      </c>
      <c r="S310" s="119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</row>
    <row r="311" spans="1:38">
      <c r="A311" s="108">
        <v>42193</v>
      </c>
      <c r="B311" s="109">
        <v>124637</v>
      </c>
      <c r="C311" s="110">
        <v>0.624</v>
      </c>
      <c r="D311" s="109">
        <f t="shared" si="26"/>
        <v>9425</v>
      </c>
      <c r="E311" s="115"/>
      <c r="F311" s="111"/>
      <c r="G311" s="119">
        <f t="shared" si="28"/>
        <v>2111.8000000000002</v>
      </c>
      <c r="H311" s="119">
        <f t="shared" si="30"/>
        <v>-30886</v>
      </c>
      <c r="I311" s="147">
        <f t="shared" ref="I311:I374" si="32">B311-B259</f>
        <v>-30509</v>
      </c>
      <c r="J311" s="119"/>
      <c r="K311" s="109">
        <v>13991</v>
      </c>
      <c r="L311" s="110">
        <v>0.21299999999999999</v>
      </c>
      <c r="M311" s="109">
        <f t="shared" si="27"/>
        <v>3100</v>
      </c>
      <c r="N311" s="115"/>
      <c r="O311" s="111"/>
      <c r="P311" s="119">
        <f t="shared" si="29"/>
        <v>659</v>
      </c>
      <c r="Q311" s="119">
        <f t="shared" si="25"/>
        <v>-2569</v>
      </c>
      <c r="R311" s="147">
        <f t="shared" si="31"/>
        <v>-10368</v>
      </c>
      <c r="S311" s="119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</row>
    <row r="312" spans="1:38">
      <c r="A312" s="108">
        <v>42200</v>
      </c>
      <c r="B312" s="109">
        <v>168513</v>
      </c>
      <c r="C312" s="110">
        <v>0.84400000000000008</v>
      </c>
      <c r="D312" s="109">
        <f t="shared" si="26"/>
        <v>9425</v>
      </c>
      <c r="E312" s="115"/>
      <c r="F312" s="111"/>
      <c r="G312" s="119">
        <f t="shared" si="28"/>
        <v>955.4</v>
      </c>
      <c r="H312" s="119">
        <f t="shared" si="30"/>
        <v>43876</v>
      </c>
      <c r="I312" s="147">
        <f t="shared" si="32"/>
        <v>10513</v>
      </c>
      <c r="J312" s="119"/>
      <c r="K312" s="109">
        <v>29278</v>
      </c>
      <c r="L312" s="110">
        <v>0.44500000000000001</v>
      </c>
      <c r="M312" s="109">
        <f t="shared" si="27"/>
        <v>3100</v>
      </c>
      <c r="N312" s="115"/>
      <c r="O312" s="111"/>
      <c r="P312" s="119">
        <f t="shared" si="29"/>
        <v>3212</v>
      </c>
      <c r="Q312" s="119">
        <f t="shared" si="25"/>
        <v>15287</v>
      </c>
      <c r="R312" s="147">
        <f t="shared" si="31"/>
        <v>8496</v>
      </c>
      <c r="S312" s="119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</row>
    <row r="313" spans="1:38">
      <c r="A313" s="108">
        <v>42207</v>
      </c>
      <c r="B313" s="109">
        <v>155202</v>
      </c>
      <c r="C313" s="110">
        <v>0.77700000000000002</v>
      </c>
      <c r="D313" s="109">
        <f t="shared" si="26"/>
        <v>9425</v>
      </c>
      <c r="E313" s="115"/>
      <c r="F313" s="111"/>
      <c r="G313" s="119">
        <f t="shared" si="28"/>
        <v>1206.5999999999999</v>
      </c>
      <c r="H313" s="119">
        <f t="shared" si="30"/>
        <v>-13311</v>
      </c>
      <c r="I313" s="147">
        <f t="shared" si="32"/>
        <v>-521</v>
      </c>
      <c r="J313" s="119"/>
      <c r="K313" s="109">
        <v>46339</v>
      </c>
      <c r="L313" s="110">
        <v>0.70400000000000007</v>
      </c>
      <c r="M313" s="109">
        <f t="shared" si="27"/>
        <v>3100</v>
      </c>
      <c r="N313" s="115"/>
      <c r="O313" s="111"/>
      <c r="P313" s="119">
        <f t="shared" si="29"/>
        <v>671.8</v>
      </c>
      <c r="Q313" s="119">
        <f t="shared" si="25"/>
        <v>17061</v>
      </c>
      <c r="R313" s="147">
        <f t="shared" si="31"/>
        <v>24865</v>
      </c>
      <c r="S313" s="119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</row>
    <row r="314" spans="1:38">
      <c r="A314" s="108">
        <v>42214</v>
      </c>
      <c r="B314" s="109">
        <v>58562</v>
      </c>
      <c r="C314" s="110">
        <v>0.76600000000000001</v>
      </c>
      <c r="D314" s="109">
        <f t="shared" si="26"/>
        <v>3600</v>
      </c>
      <c r="E314" s="115"/>
      <c r="F314" s="111"/>
      <c r="G314" s="119">
        <f t="shared" si="28"/>
        <v>-28225</v>
      </c>
      <c r="H314" s="119">
        <f t="shared" si="30"/>
        <v>-96640</v>
      </c>
      <c r="I314" s="147">
        <f t="shared" si="32"/>
        <v>-107055</v>
      </c>
      <c r="J314" s="119"/>
      <c r="K314" s="109">
        <v>6050</v>
      </c>
      <c r="L314" s="110">
        <v>0.64400000000000002</v>
      </c>
      <c r="M314" s="109">
        <f t="shared" si="27"/>
        <v>450</v>
      </c>
      <c r="N314" s="115"/>
      <c r="O314" s="111"/>
      <c r="P314" s="119">
        <f t="shared" si="29"/>
        <v>-9252.4</v>
      </c>
      <c r="Q314" s="119">
        <f t="shared" si="25"/>
        <v>-40289</v>
      </c>
      <c r="R314" s="147">
        <f t="shared" si="31"/>
        <v>-17407</v>
      </c>
      <c r="S314" s="119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</row>
    <row r="315" spans="1:38">
      <c r="A315" s="108">
        <v>42221</v>
      </c>
      <c r="B315" s="109">
        <v>102721</v>
      </c>
      <c r="C315" s="110"/>
      <c r="D315" s="109" t="str">
        <f t="shared" si="26"/>
        <v/>
      </c>
      <c r="E315" s="115"/>
      <c r="F315" s="111"/>
      <c r="G315" s="119">
        <f t="shared" si="28"/>
        <v>21025.200000000001</v>
      </c>
      <c r="H315" s="119">
        <f t="shared" si="30"/>
        <v>44159</v>
      </c>
      <c r="I315" s="147">
        <f t="shared" si="32"/>
        <v>-28454</v>
      </c>
      <c r="J315" s="119"/>
      <c r="K315" s="109">
        <v>23120</v>
      </c>
      <c r="L315" s="110"/>
      <c r="M315" s="109" t="str">
        <f t="shared" si="27"/>
        <v/>
      </c>
      <c r="N315" s="115"/>
      <c r="O315" s="111"/>
      <c r="P315" s="119">
        <f t="shared" si="29"/>
        <v>6210.4</v>
      </c>
      <c r="Q315" s="119">
        <f t="shared" si="25"/>
        <v>17070</v>
      </c>
      <c r="R315" s="147">
        <f t="shared" si="31"/>
        <v>6330</v>
      </c>
      <c r="S315" s="119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</row>
    <row r="316" spans="1:38">
      <c r="A316" s="108">
        <v>42228</v>
      </c>
      <c r="B316" s="109">
        <v>131237</v>
      </c>
      <c r="C316" s="110">
        <v>0.65700000000000003</v>
      </c>
      <c r="D316" s="109">
        <f t="shared" si="26"/>
        <v>9425</v>
      </c>
      <c r="E316" s="115"/>
      <c r="F316" s="111"/>
      <c r="G316" s="119">
        <f t="shared" si="28"/>
        <v>-16412.2</v>
      </c>
      <c r="H316" s="119">
        <f t="shared" si="30"/>
        <v>28516</v>
      </c>
      <c r="I316" s="147">
        <f t="shared" si="32"/>
        <v>-3780</v>
      </c>
      <c r="J316" s="119"/>
      <c r="K316" s="109">
        <v>36931</v>
      </c>
      <c r="L316" s="110">
        <v>0.56100000000000005</v>
      </c>
      <c r="M316" s="109">
        <f t="shared" si="27"/>
        <v>3100</v>
      </c>
      <c r="N316" s="115"/>
      <c r="O316" s="111"/>
      <c r="P316" s="119">
        <f t="shared" si="29"/>
        <v>-1578.8</v>
      </c>
      <c r="Q316" s="119">
        <f t="shared" si="25"/>
        <v>13811</v>
      </c>
      <c r="R316" s="147">
        <f t="shared" si="31"/>
        <v>21665</v>
      </c>
      <c r="S316" s="119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</row>
    <row r="317" spans="1:38">
      <c r="A317" s="108">
        <v>42235</v>
      </c>
      <c r="B317" s="109">
        <v>124972</v>
      </c>
      <c r="C317" s="110">
        <v>0.626</v>
      </c>
      <c r="D317" s="109">
        <f t="shared" si="26"/>
        <v>9400</v>
      </c>
      <c r="E317" s="115"/>
      <c r="F317" s="111"/>
      <c r="G317" s="119">
        <f t="shared" si="28"/>
        <v>-12629</v>
      </c>
      <c r="H317" s="119">
        <f t="shared" si="30"/>
        <v>-6265</v>
      </c>
      <c r="I317" s="147">
        <f t="shared" si="32"/>
        <v>1460</v>
      </c>
      <c r="J317" s="119"/>
      <c r="K317" s="109">
        <v>47887</v>
      </c>
      <c r="L317" s="110">
        <v>0.72799999999999998</v>
      </c>
      <c r="M317" s="109">
        <f t="shared" si="27"/>
        <v>3100</v>
      </c>
      <c r="N317" s="115"/>
      <c r="O317" s="111"/>
      <c r="P317" s="119">
        <f t="shared" si="29"/>
        <v>-1512.2</v>
      </c>
      <c r="Q317" s="119">
        <f t="shared" si="25"/>
        <v>10956</v>
      </c>
      <c r="R317" s="147">
        <f t="shared" si="31"/>
        <v>27140</v>
      </c>
      <c r="S317" s="119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</row>
    <row r="318" spans="1:38">
      <c r="A318" s="108">
        <v>42242</v>
      </c>
      <c r="B318" s="109">
        <v>129676</v>
      </c>
      <c r="C318" s="110">
        <v>0.64900000000000002</v>
      </c>
      <c r="D318" s="109">
        <f t="shared" si="26"/>
        <v>9425</v>
      </c>
      <c r="E318" s="115"/>
      <c r="F318" s="111"/>
      <c r="G318" s="119">
        <f t="shared" si="28"/>
        <v>-1487.8</v>
      </c>
      <c r="H318" s="119">
        <f t="shared" si="30"/>
        <v>4704</v>
      </c>
      <c r="I318" s="147">
        <f t="shared" si="32"/>
        <v>17614</v>
      </c>
      <c r="J318" s="119"/>
      <c r="K318" s="109">
        <v>44887</v>
      </c>
      <c r="L318" s="110">
        <v>0.68200000000000005</v>
      </c>
      <c r="M318" s="109">
        <f t="shared" si="27"/>
        <v>3100</v>
      </c>
      <c r="N318" s="115"/>
      <c r="O318" s="111"/>
      <c r="P318" s="119">
        <f t="shared" si="29"/>
        <v>2205</v>
      </c>
      <c r="Q318" s="119">
        <f t="shared" si="25"/>
        <v>-3000</v>
      </c>
      <c r="R318" s="147">
        <f t="shared" si="31"/>
        <v>13038</v>
      </c>
      <c r="S318" s="119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</row>
    <row r="319" spans="1:38">
      <c r="A319" s="108">
        <v>42249</v>
      </c>
      <c r="B319" s="109">
        <v>141536</v>
      </c>
      <c r="C319" s="110">
        <v>0.70799999999999996</v>
      </c>
      <c r="D319" s="109">
        <f t="shared" si="26"/>
        <v>9425</v>
      </c>
      <c r="E319" s="115"/>
      <c r="F319" s="111"/>
      <c r="G319" s="119">
        <f t="shared" si="28"/>
        <v>20336.8</v>
      </c>
      <c r="H319" s="119">
        <f t="shared" si="30"/>
        <v>11860</v>
      </c>
      <c r="I319" s="147">
        <f t="shared" si="32"/>
        <v>19008</v>
      </c>
      <c r="J319" s="119"/>
      <c r="K319" s="109">
        <v>20616</v>
      </c>
      <c r="L319" s="110">
        <v>0.313</v>
      </c>
      <c r="M319" s="109">
        <f t="shared" si="27"/>
        <v>3100</v>
      </c>
      <c r="N319" s="115"/>
      <c r="O319" s="111"/>
      <c r="P319" s="119">
        <f t="shared" si="29"/>
        <v>-4592.8</v>
      </c>
      <c r="Q319" s="119">
        <f t="shared" si="25"/>
        <v>-24271</v>
      </c>
      <c r="R319" s="147">
        <f t="shared" si="31"/>
        <v>7750</v>
      </c>
      <c r="S319" s="119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</row>
    <row r="320" spans="1:38">
      <c r="A320" s="108">
        <v>42256</v>
      </c>
      <c r="B320" s="109">
        <v>136076</v>
      </c>
      <c r="C320" s="110">
        <v>0.68099999999999994</v>
      </c>
      <c r="D320" s="109">
        <f t="shared" si="26"/>
        <v>9425</v>
      </c>
      <c r="E320" s="115"/>
      <c r="F320" s="111"/>
      <c r="G320" s="119">
        <f t="shared" si="28"/>
        <v>9939.4</v>
      </c>
      <c r="H320" s="119">
        <f t="shared" si="30"/>
        <v>-5460</v>
      </c>
      <c r="I320" s="147">
        <f t="shared" si="32"/>
        <v>1260</v>
      </c>
      <c r="J320" s="119"/>
      <c r="K320" s="109">
        <v>38624</v>
      </c>
      <c r="L320" s="110">
        <v>0.58700000000000008</v>
      </c>
      <c r="M320" s="109">
        <f t="shared" si="27"/>
        <v>3100</v>
      </c>
      <c r="N320" s="115"/>
      <c r="O320" s="111"/>
      <c r="P320" s="119">
        <f t="shared" si="29"/>
        <v>2634.6</v>
      </c>
      <c r="Q320" s="119">
        <f t="shared" si="25"/>
        <v>18008</v>
      </c>
      <c r="R320" s="147">
        <f t="shared" si="31"/>
        <v>26919</v>
      </c>
      <c r="S320" s="119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</row>
    <row r="321" spans="1:38">
      <c r="A321" s="108">
        <v>42263</v>
      </c>
      <c r="B321" s="109">
        <v>121942</v>
      </c>
      <c r="C321" s="110">
        <v>0.61</v>
      </c>
      <c r="D321" s="109">
        <f t="shared" si="26"/>
        <v>9425</v>
      </c>
      <c r="E321" s="115"/>
      <c r="F321" s="111"/>
      <c r="G321" s="119">
        <f t="shared" si="28"/>
        <v>10715.4</v>
      </c>
      <c r="H321" s="119">
        <f t="shared" si="30"/>
        <v>-14134</v>
      </c>
      <c r="I321" s="147">
        <f t="shared" si="32"/>
        <v>-21614</v>
      </c>
      <c r="J321" s="119"/>
      <c r="K321" s="109">
        <v>25841</v>
      </c>
      <c r="L321" s="110">
        <v>0.39299999999999996</v>
      </c>
      <c r="M321" s="109">
        <f t="shared" si="27"/>
        <v>3100</v>
      </c>
      <c r="N321" s="115"/>
      <c r="O321" s="111"/>
      <c r="P321" s="119">
        <f t="shared" si="29"/>
        <v>1646.4</v>
      </c>
      <c r="Q321" s="119">
        <f t="shared" si="25"/>
        <v>-12783</v>
      </c>
      <c r="R321" s="147">
        <f t="shared" si="31"/>
        <v>5497</v>
      </c>
      <c r="S321" s="119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</row>
    <row r="322" spans="1:38">
      <c r="A322" s="108">
        <v>42270</v>
      </c>
      <c r="B322" s="109">
        <v>133604</v>
      </c>
      <c r="C322" s="110">
        <v>0.66900000000000004</v>
      </c>
      <c r="D322" s="109">
        <f t="shared" si="26"/>
        <v>9425</v>
      </c>
      <c r="E322" s="115"/>
      <c r="F322" s="111"/>
      <c r="G322" s="119">
        <f t="shared" si="28"/>
        <v>-2571.6</v>
      </c>
      <c r="H322" s="119">
        <f t="shared" si="30"/>
        <v>11662</v>
      </c>
      <c r="I322" s="147">
        <f t="shared" si="32"/>
        <v>-1100</v>
      </c>
      <c r="J322" s="119"/>
      <c r="K322" s="109">
        <v>38846</v>
      </c>
      <c r="L322" s="110">
        <v>0.59</v>
      </c>
      <c r="M322" s="109">
        <f t="shared" si="27"/>
        <v>3100</v>
      </c>
      <c r="N322" s="115"/>
      <c r="O322" s="111"/>
      <c r="P322" s="119">
        <f t="shared" si="29"/>
        <v>-3437.4</v>
      </c>
      <c r="Q322" s="119">
        <f t="shared" si="25"/>
        <v>13005</v>
      </c>
      <c r="R322" s="147">
        <f t="shared" si="31"/>
        <v>24701</v>
      </c>
      <c r="S322" s="119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</row>
    <row r="323" spans="1:38">
      <c r="A323" s="108">
        <v>42277</v>
      </c>
      <c r="B323" s="109">
        <v>165368</v>
      </c>
      <c r="C323" s="110">
        <v>0.82799999999999996</v>
      </c>
      <c r="D323" s="109">
        <f t="shared" si="26"/>
        <v>9425</v>
      </c>
      <c r="E323" s="115"/>
      <c r="F323" s="111"/>
      <c r="G323" s="119">
        <f t="shared" si="28"/>
        <v>7576.2</v>
      </c>
      <c r="H323" s="119">
        <f t="shared" si="30"/>
        <v>31764</v>
      </c>
      <c r="I323" s="147">
        <f t="shared" si="32"/>
        <v>12397</v>
      </c>
      <c r="J323" s="119"/>
      <c r="K323" s="109">
        <v>30850</v>
      </c>
      <c r="L323" s="110">
        <v>0.46899999999999997</v>
      </c>
      <c r="M323" s="109">
        <f t="shared" si="27"/>
        <v>3100</v>
      </c>
      <c r="N323" s="115"/>
      <c r="O323" s="111"/>
      <c r="P323" s="119">
        <f t="shared" si="29"/>
        <v>3243</v>
      </c>
      <c r="Q323" s="119">
        <f t="shared" ref="Q323:Q386" si="33">K323-K322</f>
        <v>-7996</v>
      </c>
      <c r="R323" s="147">
        <f t="shared" si="31"/>
        <v>2466</v>
      </c>
      <c r="S323" s="119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</row>
    <row r="324" spans="1:38">
      <c r="A324" s="108">
        <v>42284</v>
      </c>
      <c r="B324" s="109">
        <v>184493</v>
      </c>
      <c r="C324" s="110">
        <v>0.92400000000000004</v>
      </c>
      <c r="D324" s="109">
        <f t="shared" ref="D324:D387" si="34">IF(B324="","",IF(C324="","",MROUND((B324/C324)/(A324-A323)*330/1000,25)))</f>
        <v>9425</v>
      </c>
      <c r="E324" s="115"/>
      <c r="F324" s="111"/>
      <c r="G324" s="119">
        <f t="shared" si="28"/>
        <v>3156.8</v>
      </c>
      <c r="H324" s="119">
        <f t="shared" si="30"/>
        <v>19125</v>
      </c>
      <c r="I324" s="147">
        <f t="shared" si="32"/>
        <v>36397</v>
      </c>
      <c r="J324" s="119"/>
      <c r="K324" s="109">
        <v>30482</v>
      </c>
      <c r="L324" s="110">
        <v>0.46299999999999997</v>
      </c>
      <c r="M324" s="109">
        <f t="shared" ref="M324:M387" si="35">IF(K324="","",IF(L324="","",MROUND((K324/L324)/(A324-A323)*330/1000,25)))</f>
        <v>3100</v>
      </c>
      <c r="N324" s="115"/>
      <c r="O324" s="111"/>
      <c r="P324" s="119">
        <f t="shared" si="29"/>
        <v>4608.8</v>
      </c>
      <c r="Q324" s="119">
        <f t="shared" si="33"/>
        <v>-368</v>
      </c>
      <c r="R324" s="147">
        <f t="shared" si="31"/>
        <v>4808</v>
      </c>
      <c r="S324" s="119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</row>
    <row r="325" spans="1:38">
      <c r="A325" s="108">
        <v>42291</v>
      </c>
      <c r="B325" s="109">
        <v>168681</v>
      </c>
      <c r="C325" s="110">
        <v>0.84400000000000008</v>
      </c>
      <c r="D325" s="109">
        <f t="shared" si="34"/>
        <v>9425</v>
      </c>
      <c r="E325" s="115"/>
      <c r="F325" s="111"/>
      <c r="G325" s="119">
        <f t="shared" si="28"/>
        <v>-4003</v>
      </c>
      <c r="H325" s="119">
        <f t="shared" si="30"/>
        <v>-15812</v>
      </c>
      <c r="I325" s="147">
        <f t="shared" si="32"/>
        <v>26252</v>
      </c>
      <c r="J325" s="119"/>
      <c r="K325" s="109">
        <v>33898</v>
      </c>
      <c r="L325" s="110">
        <v>0.51500000000000001</v>
      </c>
      <c r="M325" s="109">
        <f t="shared" si="35"/>
        <v>3100</v>
      </c>
      <c r="N325" s="115"/>
      <c r="O325" s="111"/>
      <c r="P325" s="119">
        <f t="shared" si="29"/>
        <v>2569</v>
      </c>
      <c r="Q325" s="119">
        <f t="shared" si="33"/>
        <v>3416</v>
      </c>
      <c r="R325" s="147">
        <f t="shared" si="31"/>
        <v>-7258</v>
      </c>
      <c r="S325" s="119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</row>
    <row r="326" spans="1:38">
      <c r="A326" s="108">
        <v>42298</v>
      </c>
      <c r="B326" s="109">
        <v>159925</v>
      </c>
      <c r="C326" s="110">
        <v>0.80099999999999993</v>
      </c>
      <c r="D326" s="109">
        <f t="shared" si="34"/>
        <v>9400</v>
      </c>
      <c r="E326" s="115"/>
      <c r="F326" s="111"/>
      <c r="G326" s="119">
        <f t="shared" si="28"/>
        <v>3577.2</v>
      </c>
      <c r="H326" s="119">
        <f t="shared" si="30"/>
        <v>-8756</v>
      </c>
      <c r="I326" s="147">
        <f t="shared" si="32"/>
        <v>10789</v>
      </c>
      <c r="J326" s="119"/>
      <c r="K326" s="109">
        <v>52669</v>
      </c>
      <c r="L326" s="110">
        <v>0.8</v>
      </c>
      <c r="M326" s="109">
        <f t="shared" si="35"/>
        <v>3100</v>
      </c>
      <c r="N326" s="115"/>
      <c r="O326" s="111"/>
      <c r="P326" s="119">
        <f t="shared" si="29"/>
        <v>5549.2</v>
      </c>
      <c r="Q326" s="119">
        <f t="shared" si="33"/>
        <v>18771</v>
      </c>
      <c r="R326" s="147">
        <f t="shared" si="31"/>
        <v>4168</v>
      </c>
      <c r="S326" s="119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</row>
    <row r="327" spans="1:38">
      <c r="A327" s="108">
        <v>42305</v>
      </c>
      <c r="B327" s="109">
        <v>148981</v>
      </c>
      <c r="C327" s="110">
        <v>0.746</v>
      </c>
      <c r="D327" s="109">
        <f t="shared" si="34"/>
        <v>9425</v>
      </c>
      <c r="E327" s="115"/>
      <c r="F327" s="111"/>
      <c r="G327" s="119">
        <f t="shared" si="28"/>
        <v>-1952.4</v>
      </c>
      <c r="H327" s="119">
        <f t="shared" si="30"/>
        <v>-10944</v>
      </c>
      <c r="I327" s="147">
        <f t="shared" si="32"/>
        <v>15994</v>
      </c>
      <c r="J327" s="119"/>
      <c r="K327" s="109">
        <v>57405</v>
      </c>
      <c r="L327" s="110">
        <v>0.872</v>
      </c>
      <c r="M327" s="109">
        <f t="shared" si="35"/>
        <v>3100</v>
      </c>
      <c r="N327" s="115"/>
      <c r="O327" s="111"/>
      <c r="P327" s="119">
        <f t="shared" si="29"/>
        <v>-2931.2</v>
      </c>
      <c r="Q327" s="119">
        <f t="shared" si="33"/>
        <v>4736</v>
      </c>
      <c r="R327" s="147">
        <f t="shared" si="31"/>
        <v>10226</v>
      </c>
      <c r="S327" s="119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</row>
    <row r="328" spans="1:38">
      <c r="A328" s="108">
        <v>42312</v>
      </c>
      <c r="B328" s="109">
        <v>159290</v>
      </c>
      <c r="C328" s="110">
        <v>0.79700000000000004</v>
      </c>
      <c r="D328" s="109">
        <f t="shared" si="34"/>
        <v>9425</v>
      </c>
      <c r="E328" s="115"/>
      <c r="F328" s="111"/>
      <c r="G328" s="119">
        <f t="shared" si="28"/>
        <v>-3139.2</v>
      </c>
      <c r="H328" s="119">
        <f t="shared" si="30"/>
        <v>10309</v>
      </c>
      <c r="I328" s="147">
        <f t="shared" si="32"/>
        <v>30680</v>
      </c>
      <c r="J328" s="119"/>
      <c r="K328" s="109">
        <v>39045</v>
      </c>
      <c r="L328" s="110">
        <v>0.59299999999999997</v>
      </c>
      <c r="M328" s="109">
        <f t="shared" si="35"/>
        <v>3100</v>
      </c>
      <c r="N328" s="115"/>
      <c r="O328" s="111"/>
      <c r="P328" s="119">
        <f t="shared" si="29"/>
        <v>-561</v>
      </c>
      <c r="Q328" s="119">
        <f t="shared" si="33"/>
        <v>-18360</v>
      </c>
      <c r="R328" s="147">
        <f t="shared" si="31"/>
        <v>8888</v>
      </c>
      <c r="S328" s="119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</row>
    <row r="329" spans="1:38">
      <c r="A329" s="108">
        <v>42319</v>
      </c>
      <c r="B329" s="109">
        <v>158783</v>
      </c>
      <c r="C329" s="110">
        <v>0.79500000000000004</v>
      </c>
      <c r="D329" s="109">
        <f t="shared" si="34"/>
        <v>9425</v>
      </c>
      <c r="E329" s="115"/>
      <c r="F329" s="111"/>
      <c r="G329" s="119">
        <f t="shared" si="28"/>
        <v>3498</v>
      </c>
      <c r="H329" s="119">
        <f t="shared" si="30"/>
        <v>-507</v>
      </c>
      <c r="I329" s="147">
        <f t="shared" si="32"/>
        <v>26867</v>
      </c>
      <c r="J329" s="119"/>
      <c r="K329" s="109">
        <v>37632</v>
      </c>
      <c r="L329" s="110">
        <v>0.57200000000000006</v>
      </c>
      <c r="M329" s="109">
        <f t="shared" si="35"/>
        <v>3100</v>
      </c>
      <c r="N329" s="115"/>
      <c r="O329" s="111"/>
      <c r="P329" s="119">
        <f t="shared" si="29"/>
        <v>-2591</v>
      </c>
      <c r="Q329" s="119">
        <f t="shared" si="33"/>
        <v>-1413</v>
      </c>
      <c r="R329" s="147">
        <f t="shared" si="31"/>
        <v>1633</v>
      </c>
      <c r="S329" s="119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</row>
    <row r="330" spans="1:38">
      <c r="A330" s="108">
        <v>42326</v>
      </c>
      <c r="B330" s="109">
        <v>156900</v>
      </c>
      <c r="C330" s="110">
        <v>0.78500000000000003</v>
      </c>
      <c r="D330" s="109">
        <f t="shared" si="34"/>
        <v>9425</v>
      </c>
      <c r="E330" s="115"/>
      <c r="F330" s="111"/>
      <c r="G330" s="119">
        <f t="shared" si="28"/>
        <v>-6997</v>
      </c>
      <c r="H330" s="119">
        <f t="shared" si="30"/>
        <v>-1883</v>
      </c>
      <c r="I330" s="147">
        <f t="shared" si="32"/>
        <v>35131</v>
      </c>
      <c r="J330" s="119"/>
      <c r="K330" s="109">
        <v>49697</v>
      </c>
      <c r="L330" s="110">
        <v>0.755</v>
      </c>
      <c r="M330" s="109">
        <f t="shared" si="35"/>
        <v>3100</v>
      </c>
      <c r="N330" s="115"/>
      <c r="O330" s="111"/>
      <c r="P330" s="119">
        <f t="shared" si="29"/>
        <v>6242.2</v>
      </c>
      <c r="Q330" s="119">
        <f t="shared" si="33"/>
        <v>12065</v>
      </c>
      <c r="R330" s="147">
        <f t="shared" si="31"/>
        <v>-1723</v>
      </c>
      <c r="S330" s="119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</row>
    <row r="331" spans="1:38">
      <c r="A331" s="108">
        <v>42333</v>
      </c>
      <c r="B331" s="109">
        <v>162214</v>
      </c>
      <c r="C331" s="110">
        <v>0.81200000000000006</v>
      </c>
      <c r="D331" s="109">
        <f t="shared" si="34"/>
        <v>9425</v>
      </c>
      <c r="E331" s="115"/>
      <c r="F331" s="111"/>
      <c r="G331" s="119">
        <f t="shared" si="28"/>
        <v>-3810.4</v>
      </c>
      <c r="H331" s="119">
        <f t="shared" si="30"/>
        <v>5314</v>
      </c>
      <c r="I331" s="147">
        <f t="shared" si="32"/>
        <v>37910</v>
      </c>
      <c r="J331" s="119"/>
      <c r="K331" s="109">
        <v>52345</v>
      </c>
      <c r="L331" s="110">
        <v>0.79599999999999993</v>
      </c>
      <c r="M331" s="109">
        <f t="shared" si="35"/>
        <v>3100</v>
      </c>
      <c r="N331" s="115"/>
      <c r="O331" s="111"/>
      <c r="P331" s="119">
        <f t="shared" si="29"/>
        <v>-112.8</v>
      </c>
      <c r="Q331" s="119">
        <f t="shared" si="33"/>
        <v>2648</v>
      </c>
      <c r="R331" s="147">
        <f t="shared" si="31"/>
        <v>8936</v>
      </c>
      <c r="S331" s="119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</row>
    <row r="332" spans="1:38">
      <c r="A332" s="108">
        <v>42340</v>
      </c>
      <c r="B332" s="109">
        <v>170935</v>
      </c>
      <c r="C332" s="110">
        <v>0.85599999999999998</v>
      </c>
      <c r="D332" s="109">
        <f t="shared" si="34"/>
        <v>9425</v>
      </c>
      <c r="E332" s="115"/>
      <c r="F332" s="111"/>
      <c r="G332" s="119">
        <f t="shared" si="28"/>
        <v>5468.4</v>
      </c>
      <c r="H332" s="119">
        <f t="shared" si="30"/>
        <v>8721</v>
      </c>
      <c r="I332" s="147">
        <f t="shared" si="32"/>
        <v>37556</v>
      </c>
      <c r="J332" s="119"/>
      <c r="K332" s="109">
        <v>46092</v>
      </c>
      <c r="L332" s="110">
        <v>0.7</v>
      </c>
      <c r="M332" s="109">
        <f t="shared" si="35"/>
        <v>3100</v>
      </c>
      <c r="N332" s="115"/>
      <c r="O332" s="111"/>
      <c r="P332" s="119">
        <f t="shared" si="29"/>
        <v>-412</v>
      </c>
      <c r="Q332" s="119">
        <f t="shared" si="33"/>
        <v>-6253</v>
      </c>
      <c r="R332" s="147">
        <f t="shared" si="31"/>
        <v>1316</v>
      </c>
      <c r="S332" s="119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</row>
    <row r="333" spans="1:38">
      <c r="A333" s="108">
        <v>42347</v>
      </c>
      <c r="B333" s="109">
        <v>177139</v>
      </c>
      <c r="C333" s="110">
        <v>0.88700000000000001</v>
      </c>
      <c r="D333" s="109">
        <f t="shared" si="34"/>
        <v>9425</v>
      </c>
      <c r="E333" s="115"/>
      <c r="F333" s="111"/>
      <c r="G333" s="119">
        <f t="shared" si="28"/>
        <v>2604.6</v>
      </c>
      <c r="H333" s="119">
        <f t="shared" si="30"/>
        <v>6204</v>
      </c>
      <c r="I333" s="147">
        <f t="shared" si="32"/>
        <v>32120</v>
      </c>
      <c r="J333" s="119"/>
      <c r="K333" s="109">
        <v>32485</v>
      </c>
      <c r="L333" s="110">
        <v>0.49399999999999999</v>
      </c>
      <c r="M333" s="109">
        <f t="shared" si="35"/>
        <v>3100</v>
      </c>
      <c r="N333" s="115"/>
      <c r="O333" s="111"/>
      <c r="P333" s="119">
        <f t="shared" si="29"/>
        <v>-5560.2</v>
      </c>
      <c r="Q333" s="119">
        <f t="shared" si="33"/>
        <v>-13607</v>
      </c>
      <c r="R333" s="147">
        <f t="shared" si="31"/>
        <v>-3534</v>
      </c>
      <c r="S333" s="119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</row>
    <row r="334" spans="1:38">
      <c r="A334" s="108">
        <v>42354</v>
      </c>
      <c r="B334" s="109">
        <v>172124</v>
      </c>
      <c r="C334" s="110">
        <v>0.86199999999999999</v>
      </c>
      <c r="D334" s="109">
        <f t="shared" si="34"/>
        <v>9425</v>
      </c>
      <c r="E334" s="115"/>
      <c r="F334" s="111"/>
      <c r="G334" s="119">
        <f t="shared" si="28"/>
        <v>2843.2</v>
      </c>
      <c r="H334" s="119">
        <f t="shared" si="30"/>
        <v>-5015</v>
      </c>
      <c r="I334" s="147">
        <f t="shared" si="32"/>
        <v>35788</v>
      </c>
      <c r="J334" s="119"/>
      <c r="K334" s="109">
        <v>38724</v>
      </c>
      <c r="L334" s="110">
        <v>0.58899999999999997</v>
      </c>
      <c r="M334" s="109">
        <f t="shared" si="35"/>
        <v>3100</v>
      </c>
      <c r="N334" s="115"/>
      <c r="O334" s="111"/>
      <c r="P334" s="119">
        <f t="shared" si="29"/>
        <v>1581.2</v>
      </c>
      <c r="Q334" s="119">
        <f t="shared" si="33"/>
        <v>6239</v>
      </c>
      <c r="R334" s="147">
        <f t="shared" si="31"/>
        <v>-7733</v>
      </c>
      <c r="S334" s="119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</row>
    <row r="335" spans="1:38">
      <c r="A335" s="108">
        <v>42361</v>
      </c>
      <c r="B335" s="109">
        <v>153619</v>
      </c>
      <c r="C335" s="110">
        <v>0.76900000000000002</v>
      </c>
      <c r="D335" s="109">
        <f t="shared" si="34"/>
        <v>9425</v>
      </c>
      <c r="E335" s="115"/>
      <c r="F335" s="111"/>
      <c r="G335" s="119">
        <f t="shared" si="28"/>
        <v>-2291.4</v>
      </c>
      <c r="H335" s="119">
        <f t="shared" si="30"/>
        <v>-18505</v>
      </c>
      <c r="I335" s="147">
        <f t="shared" si="32"/>
        <v>9561</v>
      </c>
      <c r="J335" s="119"/>
      <c r="K335" s="109">
        <v>55073</v>
      </c>
      <c r="L335" s="110">
        <v>0.83700000000000008</v>
      </c>
      <c r="M335" s="109">
        <f t="shared" si="35"/>
        <v>3100</v>
      </c>
      <c r="N335" s="115"/>
      <c r="O335" s="111"/>
      <c r="P335" s="119">
        <f t="shared" si="29"/>
        <v>305.39999999999998</v>
      </c>
      <c r="Q335" s="119">
        <f t="shared" si="33"/>
        <v>16349</v>
      </c>
      <c r="R335" s="147">
        <f t="shared" si="31"/>
        <v>12684</v>
      </c>
      <c r="S335" s="119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</row>
    <row r="336" spans="1:38">
      <c r="A336" s="108">
        <v>42368</v>
      </c>
      <c r="B336" s="109">
        <v>165243</v>
      </c>
      <c r="C336" s="110">
        <v>0.82700000000000007</v>
      </c>
      <c r="D336" s="109">
        <f t="shared" si="34"/>
        <v>9425</v>
      </c>
      <c r="E336" s="115"/>
      <c r="F336" s="111"/>
      <c r="G336" s="119">
        <f t="shared" si="28"/>
        <v>-5603</v>
      </c>
      <c r="H336" s="119">
        <f t="shared" si="30"/>
        <v>11624</v>
      </c>
      <c r="I336" s="147">
        <f t="shared" si="32"/>
        <v>34142</v>
      </c>
      <c r="J336" s="119"/>
      <c r="K336" s="109">
        <v>52755</v>
      </c>
      <c r="L336" s="110">
        <v>0.80200000000000005</v>
      </c>
      <c r="M336" s="109">
        <f t="shared" si="35"/>
        <v>3100</v>
      </c>
      <c r="N336" s="115"/>
      <c r="O336" s="111"/>
      <c r="P336" s="119">
        <f t="shared" si="29"/>
        <v>-2994.2</v>
      </c>
      <c r="Q336" s="119">
        <f t="shared" si="33"/>
        <v>-2318</v>
      </c>
      <c r="R336" s="147">
        <f t="shared" si="31"/>
        <v>7120</v>
      </c>
      <c r="S336" s="119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</row>
    <row r="337" spans="1:38">
      <c r="A337" s="108">
        <v>42375</v>
      </c>
      <c r="B337" s="109">
        <v>156109</v>
      </c>
      <c r="C337" s="110">
        <v>0.75599999999999989</v>
      </c>
      <c r="D337" s="109">
        <f t="shared" si="34"/>
        <v>9725</v>
      </c>
      <c r="E337" s="115"/>
      <c r="F337" s="111"/>
      <c r="G337" s="119">
        <f t="shared" si="28"/>
        <v>-702.4</v>
      </c>
      <c r="H337" s="119">
        <f t="shared" si="30"/>
        <v>-9134</v>
      </c>
      <c r="I337" s="147">
        <f t="shared" si="32"/>
        <v>28472</v>
      </c>
      <c r="J337" s="119"/>
      <c r="K337" s="109">
        <v>35450</v>
      </c>
      <c r="L337" s="110">
        <v>0.53900000000000003</v>
      </c>
      <c r="M337" s="109">
        <f t="shared" si="35"/>
        <v>3100</v>
      </c>
      <c r="N337" s="115"/>
      <c r="O337" s="111"/>
      <c r="P337" s="119">
        <f t="shared" si="29"/>
        <v>814.8</v>
      </c>
      <c r="Q337" s="119">
        <f t="shared" si="33"/>
        <v>-17305</v>
      </c>
      <c r="R337" s="147">
        <f t="shared" si="31"/>
        <v>-4628</v>
      </c>
      <c r="S337" s="119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</row>
    <row r="338" spans="1:38">
      <c r="A338" s="108">
        <v>42382</v>
      </c>
      <c r="B338" s="109">
        <v>162831</v>
      </c>
      <c r="C338" s="110">
        <v>0.78799999999999992</v>
      </c>
      <c r="D338" s="109">
        <f t="shared" si="34"/>
        <v>9750</v>
      </c>
      <c r="E338" s="115"/>
      <c r="F338" s="111"/>
      <c r="G338" s="119">
        <f t="shared" si="28"/>
        <v>-304.39999999999998</v>
      </c>
      <c r="H338" s="119">
        <f t="shared" si="30"/>
        <v>6722</v>
      </c>
      <c r="I338" s="147">
        <f t="shared" si="32"/>
        <v>17490</v>
      </c>
      <c r="J338" s="119"/>
      <c r="K338" s="109">
        <v>37415</v>
      </c>
      <c r="L338" s="110">
        <v>0.56899999999999995</v>
      </c>
      <c r="M338" s="109">
        <f t="shared" si="35"/>
        <v>3100</v>
      </c>
      <c r="N338" s="115"/>
      <c r="O338" s="111"/>
      <c r="P338" s="119">
        <f t="shared" si="29"/>
        <v>-2065.4</v>
      </c>
      <c r="Q338" s="119">
        <f t="shared" si="33"/>
        <v>1965</v>
      </c>
      <c r="R338" s="147">
        <f t="shared" si="31"/>
        <v>7229</v>
      </c>
      <c r="S338" s="119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</row>
    <row r="339" spans="1:38">
      <c r="A339" s="108">
        <v>42389</v>
      </c>
      <c r="B339" s="109">
        <v>166772</v>
      </c>
      <c r="C339" s="110">
        <v>0.80700000000000005</v>
      </c>
      <c r="D339" s="109">
        <f t="shared" si="34"/>
        <v>9750</v>
      </c>
      <c r="E339" s="115"/>
      <c r="F339" s="111"/>
      <c r="G339" s="119">
        <f t="shared" si="28"/>
        <v>4011.8</v>
      </c>
      <c r="H339" s="119">
        <f t="shared" si="30"/>
        <v>3941</v>
      </c>
      <c r="I339" s="147">
        <f t="shared" si="32"/>
        <v>13670</v>
      </c>
      <c r="J339" s="119"/>
      <c r="K339" s="109">
        <v>29451</v>
      </c>
      <c r="L339" s="110">
        <v>0.44799999999999995</v>
      </c>
      <c r="M339" s="109">
        <f t="shared" si="35"/>
        <v>3100</v>
      </c>
      <c r="N339" s="115"/>
      <c r="O339" s="111"/>
      <c r="P339" s="119">
        <f t="shared" si="29"/>
        <v>3023.6</v>
      </c>
      <c r="Q339" s="119">
        <f t="shared" si="33"/>
        <v>-7964</v>
      </c>
      <c r="R339" s="147">
        <f t="shared" si="31"/>
        <v>-1285</v>
      </c>
      <c r="S339" s="119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</row>
    <row r="340" spans="1:38">
      <c r="A340" s="108">
        <v>42396</v>
      </c>
      <c r="B340" s="109">
        <v>144553</v>
      </c>
      <c r="C340" s="110">
        <v>0.7</v>
      </c>
      <c r="D340" s="109">
        <f t="shared" si="34"/>
        <v>9725</v>
      </c>
      <c r="E340" s="115"/>
      <c r="F340" s="111"/>
      <c r="G340" s="119">
        <f t="shared" si="28"/>
        <v>-2372.8000000000002</v>
      </c>
      <c r="H340" s="119">
        <f t="shared" si="30"/>
        <v>-22219</v>
      </c>
      <c r="I340" s="147">
        <f t="shared" si="32"/>
        <v>-5218</v>
      </c>
      <c r="J340" s="119"/>
      <c r="K340" s="109">
        <v>48194</v>
      </c>
      <c r="L340" s="110">
        <v>0.63600000000000001</v>
      </c>
      <c r="M340" s="109">
        <f t="shared" si="35"/>
        <v>3575</v>
      </c>
      <c r="N340" s="115"/>
      <c r="O340" s="111"/>
      <c r="P340" s="119">
        <f t="shared" si="29"/>
        <v>-1768.4</v>
      </c>
      <c r="Q340" s="119">
        <f t="shared" si="33"/>
        <v>18743</v>
      </c>
      <c r="R340" s="147">
        <f t="shared" si="31"/>
        <v>12518</v>
      </c>
      <c r="S340" s="119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</row>
    <row r="341" spans="1:38">
      <c r="A341" s="108">
        <v>42403</v>
      </c>
      <c r="B341" s="109">
        <v>154213</v>
      </c>
      <c r="C341" s="110">
        <v>0.747</v>
      </c>
      <c r="D341" s="109">
        <f t="shared" si="34"/>
        <v>9725</v>
      </c>
      <c r="E341" s="115"/>
      <c r="F341" s="111"/>
      <c r="G341" s="119">
        <f t="shared" si="28"/>
        <v>5917.6</v>
      </c>
      <c r="H341" s="119">
        <f t="shared" si="30"/>
        <v>9660</v>
      </c>
      <c r="I341" s="147">
        <f t="shared" si="32"/>
        <v>9297</v>
      </c>
      <c r="J341" s="119"/>
      <c r="K341" s="109">
        <v>49068</v>
      </c>
      <c r="L341" s="110">
        <v>0.746</v>
      </c>
      <c r="M341" s="109">
        <f t="shared" si="35"/>
        <v>3100</v>
      </c>
      <c r="N341" s="115"/>
      <c r="O341" s="111"/>
      <c r="P341" s="119">
        <f t="shared" si="29"/>
        <v>1870.6</v>
      </c>
      <c r="Q341" s="119">
        <f t="shared" si="33"/>
        <v>874</v>
      </c>
      <c r="R341" s="147">
        <f t="shared" si="31"/>
        <v>4691</v>
      </c>
      <c r="S341" s="119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</row>
    <row r="342" spans="1:38">
      <c r="A342" s="108">
        <v>42410</v>
      </c>
      <c r="B342" s="109">
        <v>162067</v>
      </c>
      <c r="C342" s="110">
        <v>0.78500000000000003</v>
      </c>
      <c r="D342" s="109">
        <f t="shared" si="34"/>
        <v>9725</v>
      </c>
      <c r="E342" s="115"/>
      <c r="F342" s="111"/>
      <c r="G342" s="119">
        <f t="shared" si="28"/>
        <v>-1202.2</v>
      </c>
      <c r="H342" s="119">
        <f t="shared" si="30"/>
        <v>7854</v>
      </c>
      <c r="I342" s="147">
        <f t="shared" si="32"/>
        <v>25849</v>
      </c>
      <c r="J342" s="119"/>
      <c r="K342" s="109">
        <v>39150</v>
      </c>
      <c r="L342" s="110">
        <v>0.59499999999999997</v>
      </c>
      <c r="M342" s="109">
        <f t="shared" si="35"/>
        <v>3100</v>
      </c>
      <c r="N342" s="115"/>
      <c r="O342" s="111"/>
      <c r="P342" s="119">
        <f t="shared" si="29"/>
        <v>4345</v>
      </c>
      <c r="Q342" s="119">
        <f t="shared" si="33"/>
        <v>-9918</v>
      </c>
      <c r="R342" s="147">
        <f t="shared" si="31"/>
        <v>-7351</v>
      </c>
      <c r="S342" s="119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</row>
    <row r="343" spans="1:38">
      <c r="A343" s="108">
        <v>42417</v>
      </c>
      <c r="B343" s="109">
        <v>173594</v>
      </c>
      <c r="C343" s="110">
        <v>0.84</v>
      </c>
      <c r="D343" s="109">
        <f t="shared" si="34"/>
        <v>9750</v>
      </c>
      <c r="E343" s="115"/>
      <c r="F343" s="111"/>
      <c r="G343" s="119">
        <f t="shared" si="28"/>
        <v>-4779.6000000000004</v>
      </c>
      <c r="H343" s="119">
        <f t="shared" si="30"/>
        <v>11527</v>
      </c>
      <c r="I343" s="147">
        <f t="shared" si="32"/>
        <v>42573</v>
      </c>
      <c r="J343" s="119"/>
      <c r="K343" s="109">
        <v>24961</v>
      </c>
      <c r="L343" s="110">
        <v>0.379</v>
      </c>
      <c r="M343" s="109">
        <f t="shared" si="35"/>
        <v>3100</v>
      </c>
      <c r="N343" s="115"/>
      <c r="O343" s="111"/>
      <c r="P343" s="119">
        <f t="shared" si="29"/>
        <v>-4448.8</v>
      </c>
      <c r="Q343" s="119">
        <f t="shared" si="33"/>
        <v>-14189</v>
      </c>
      <c r="R343" s="147">
        <f t="shared" si="31"/>
        <v>-6658</v>
      </c>
      <c r="S343" s="119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</row>
    <row r="344" spans="1:38">
      <c r="A344" s="108">
        <v>42424</v>
      </c>
      <c r="B344" s="109">
        <v>179039</v>
      </c>
      <c r="C344" s="110">
        <v>0.86699999999999999</v>
      </c>
      <c r="D344" s="109">
        <f t="shared" si="34"/>
        <v>9725</v>
      </c>
      <c r="E344" s="115"/>
      <c r="F344" s="111"/>
      <c r="G344" s="119">
        <f t="shared" si="28"/>
        <v>-1436.2</v>
      </c>
      <c r="H344" s="119">
        <f t="shared" si="30"/>
        <v>5445</v>
      </c>
      <c r="I344" s="147">
        <f t="shared" si="32"/>
        <v>30493</v>
      </c>
      <c r="J344" s="119"/>
      <c r="K344" s="109">
        <v>26639</v>
      </c>
      <c r="L344" s="110">
        <v>0.40500000000000003</v>
      </c>
      <c r="M344" s="109">
        <f t="shared" si="35"/>
        <v>3100</v>
      </c>
      <c r="N344" s="115"/>
      <c r="O344" s="111"/>
      <c r="P344" s="119">
        <f t="shared" si="29"/>
        <v>-2575.8000000000002</v>
      </c>
      <c r="Q344" s="119">
        <f t="shared" si="33"/>
        <v>1678</v>
      </c>
      <c r="R344" s="147">
        <f t="shared" si="31"/>
        <v>8652</v>
      </c>
      <c r="S344" s="119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</row>
    <row r="345" spans="1:38">
      <c r="A345" s="108">
        <v>42431</v>
      </c>
      <c r="B345" s="109">
        <v>155550</v>
      </c>
      <c r="C345" s="110">
        <v>0.753</v>
      </c>
      <c r="D345" s="109">
        <f t="shared" si="34"/>
        <v>9750</v>
      </c>
      <c r="E345" s="115"/>
      <c r="F345" s="111"/>
      <c r="G345" s="119">
        <f t="shared" si="28"/>
        <v>7679.6</v>
      </c>
      <c r="H345" s="119">
        <f t="shared" si="30"/>
        <v>-23489</v>
      </c>
      <c r="I345" s="147">
        <f t="shared" si="32"/>
        <v>1615</v>
      </c>
      <c r="J345" s="119"/>
      <c r="K345" s="109">
        <v>42146</v>
      </c>
      <c r="L345" s="110">
        <v>0.6409999999999999</v>
      </c>
      <c r="M345" s="109">
        <f t="shared" si="35"/>
        <v>3100</v>
      </c>
      <c r="N345" s="115"/>
      <c r="O345" s="111"/>
      <c r="P345" s="119">
        <f t="shared" si="29"/>
        <v>275.60000000000002</v>
      </c>
      <c r="Q345" s="119">
        <f t="shared" si="33"/>
        <v>15507</v>
      </c>
      <c r="R345" s="147">
        <f t="shared" si="31"/>
        <v>12558</v>
      </c>
      <c r="S345" s="119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</row>
    <row r="346" spans="1:38">
      <c r="A346" s="108">
        <v>42438</v>
      </c>
      <c r="B346" s="109">
        <v>158219</v>
      </c>
      <c r="C346" s="110">
        <v>0.7659999999999999</v>
      </c>
      <c r="D346" s="109">
        <f t="shared" si="34"/>
        <v>9725</v>
      </c>
      <c r="E346" s="115"/>
      <c r="F346" s="111"/>
      <c r="G346" s="119">
        <f t="shared" si="28"/>
        <v>-4243.8</v>
      </c>
      <c r="H346" s="119">
        <f t="shared" si="30"/>
        <v>2669</v>
      </c>
      <c r="I346" s="147">
        <f t="shared" si="32"/>
        <v>25175</v>
      </c>
      <c r="J346" s="119"/>
      <c r="K346" s="109">
        <v>40840</v>
      </c>
      <c r="L346" s="110">
        <v>0.621</v>
      </c>
      <c r="M346" s="109">
        <f t="shared" si="35"/>
        <v>3100</v>
      </c>
      <c r="N346" s="115"/>
      <c r="O346" s="111"/>
      <c r="P346" s="119">
        <f t="shared" si="29"/>
        <v>2395.4</v>
      </c>
      <c r="Q346" s="119">
        <f t="shared" si="33"/>
        <v>-1306</v>
      </c>
      <c r="R346" s="147">
        <f t="shared" si="31"/>
        <v>13914</v>
      </c>
      <c r="S346" s="119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</row>
    <row r="347" spans="1:38">
      <c r="A347" s="108">
        <v>42445</v>
      </c>
      <c r="B347" s="109">
        <v>188081</v>
      </c>
      <c r="C347" s="110">
        <v>0.91099999999999992</v>
      </c>
      <c r="D347" s="109">
        <f t="shared" si="34"/>
        <v>9725</v>
      </c>
      <c r="E347" s="115"/>
      <c r="F347" s="111"/>
      <c r="G347" s="119">
        <f t="shared" si="28"/>
        <v>7465.2</v>
      </c>
      <c r="H347" s="119">
        <f t="shared" si="30"/>
        <v>29862</v>
      </c>
      <c r="I347" s="147">
        <f t="shared" si="32"/>
        <v>27896</v>
      </c>
      <c r="J347" s="119"/>
      <c r="K347" s="109">
        <v>24944</v>
      </c>
      <c r="L347" s="110">
        <v>0.379</v>
      </c>
      <c r="M347" s="109">
        <f t="shared" si="35"/>
        <v>3100</v>
      </c>
      <c r="N347" s="115"/>
      <c r="O347" s="111"/>
      <c r="P347" s="119">
        <f t="shared" si="29"/>
        <v>-1642.2</v>
      </c>
      <c r="Q347" s="119">
        <f t="shared" si="33"/>
        <v>-15896</v>
      </c>
      <c r="R347" s="147">
        <f t="shared" si="31"/>
        <v>6454</v>
      </c>
      <c r="S347" s="119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</row>
    <row r="348" spans="1:38">
      <c r="A348" s="108">
        <v>42452</v>
      </c>
      <c r="B348" s="109">
        <v>172614</v>
      </c>
      <c r="C348" s="110">
        <v>0.83599999999999997</v>
      </c>
      <c r="D348" s="109">
        <f t="shared" si="34"/>
        <v>9725</v>
      </c>
      <c r="E348" s="115"/>
      <c r="F348" s="111"/>
      <c r="G348" s="119">
        <f t="shared" si="28"/>
        <v>1400</v>
      </c>
      <c r="H348" s="119">
        <f t="shared" si="30"/>
        <v>-15467</v>
      </c>
      <c r="I348" s="147">
        <f t="shared" si="32"/>
        <v>10448</v>
      </c>
      <c r="J348" s="119"/>
      <c r="K348" s="109">
        <v>23417</v>
      </c>
      <c r="L348" s="110">
        <v>0.35600000000000004</v>
      </c>
      <c r="M348" s="109">
        <f t="shared" si="35"/>
        <v>3100</v>
      </c>
      <c r="N348" s="115"/>
      <c r="O348" s="111"/>
      <c r="P348" s="119">
        <f t="shared" si="29"/>
        <v>529.4</v>
      </c>
      <c r="Q348" s="119">
        <f t="shared" si="33"/>
        <v>-1527</v>
      </c>
      <c r="R348" s="147">
        <f t="shared" si="31"/>
        <v>-4927</v>
      </c>
      <c r="S348" s="119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</row>
    <row r="349" spans="1:38">
      <c r="A349" s="108">
        <v>42459</v>
      </c>
      <c r="B349" s="109">
        <v>161312</v>
      </c>
      <c r="C349" s="110">
        <v>0.78099999999999992</v>
      </c>
      <c r="D349" s="109">
        <f t="shared" si="34"/>
        <v>9725</v>
      </c>
      <c r="E349" s="115"/>
      <c r="F349" s="111"/>
      <c r="G349" s="119">
        <f t="shared" ref="G349:G412" si="36">AVERAGE(B297-B296,B245-B244,B193-B192,B141-B140,B89-B88)</f>
        <v>-9812</v>
      </c>
      <c r="H349" s="119">
        <f t="shared" si="30"/>
        <v>-11302</v>
      </c>
      <c r="I349" s="147">
        <f t="shared" si="32"/>
        <v>22444</v>
      </c>
      <c r="J349" s="119"/>
      <c r="K349" s="109">
        <v>44526</v>
      </c>
      <c r="L349" s="110">
        <v>0.67700000000000005</v>
      </c>
      <c r="M349" s="109">
        <f t="shared" si="35"/>
        <v>3100</v>
      </c>
      <c r="N349" s="115"/>
      <c r="O349" s="111"/>
      <c r="P349" s="119">
        <f t="shared" si="29"/>
        <v>319.60000000000002</v>
      </c>
      <c r="Q349" s="119">
        <f t="shared" si="33"/>
        <v>21109</v>
      </c>
      <c r="R349" s="147">
        <f t="shared" si="31"/>
        <v>1275</v>
      </c>
      <c r="S349" s="119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</row>
    <row r="350" spans="1:38">
      <c r="A350" s="108">
        <v>42466</v>
      </c>
      <c r="B350" s="109">
        <v>143296</v>
      </c>
      <c r="C350" s="110">
        <v>0.69400000000000006</v>
      </c>
      <c r="D350" s="109">
        <f t="shared" si="34"/>
        <v>9725</v>
      </c>
      <c r="E350" s="115"/>
      <c r="F350" s="111"/>
      <c r="G350" s="119">
        <f t="shared" si="36"/>
        <v>4110.6000000000004</v>
      </c>
      <c r="H350" s="119">
        <f t="shared" si="30"/>
        <v>-18016</v>
      </c>
      <c r="I350" s="147">
        <f t="shared" si="32"/>
        <v>10257</v>
      </c>
      <c r="J350" s="119"/>
      <c r="K350" s="109">
        <v>49240</v>
      </c>
      <c r="L350" s="110">
        <v>0.748</v>
      </c>
      <c r="M350" s="109">
        <f t="shared" si="35"/>
        <v>3100</v>
      </c>
      <c r="N350" s="115"/>
      <c r="O350" s="111"/>
      <c r="P350" s="119">
        <f t="shared" ref="P350:P413" si="37">AVERAGE(K298-K297,K246-K245,K194-K193,K142-K141,K90-K89)</f>
        <v>2018.4</v>
      </c>
      <c r="Q350" s="119">
        <f t="shared" si="33"/>
        <v>4714</v>
      </c>
      <c r="R350" s="147">
        <f t="shared" si="31"/>
        <v>10</v>
      </c>
      <c r="S350" s="119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</row>
    <row r="351" spans="1:38">
      <c r="A351" s="108">
        <v>42473</v>
      </c>
      <c r="B351" s="109">
        <v>151762</v>
      </c>
      <c r="C351" s="110">
        <v>0.73499999999999999</v>
      </c>
      <c r="D351" s="109">
        <f t="shared" si="34"/>
        <v>9725</v>
      </c>
      <c r="E351" s="115"/>
      <c r="F351" s="111"/>
      <c r="G351" s="119">
        <f t="shared" si="36"/>
        <v>-5094.6000000000004</v>
      </c>
      <c r="H351" s="119">
        <f t="shared" si="30"/>
        <v>8466</v>
      </c>
      <c r="I351" s="147">
        <f t="shared" si="32"/>
        <v>14138</v>
      </c>
      <c r="J351" s="119"/>
      <c r="K351" s="109">
        <v>27246</v>
      </c>
      <c r="L351" s="110">
        <v>0.41399999999999998</v>
      </c>
      <c r="M351" s="109">
        <f t="shared" si="35"/>
        <v>3100</v>
      </c>
      <c r="N351" s="115"/>
      <c r="O351" s="111"/>
      <c r="P351" s="119">
        <f t="shared" si="37"/>
        <v>-701.2</v>
      </c>
      <c r="Q351" s="119">
        <f t="shared" si="33"/>
        <v>-21994</v>
      </c>
      <c r="R351" s="147">
        <f t="shared" si="31"/>
        <v>-19370</v>
      </c>
      <c r="S351" s="119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</row>
    <row r="352" spans="1:38">
      <c r="A352" s="108">
        <v>42480</v>
      </c>
      <c r="B352" s="109">
        <v>180078</v>
      </c>
      <c r="C352" s="110">
        <v>0.872</v>
      </c>
      <c r="D352" s="109">
        <f t="shared" si="34"/>
        <v>9725</v>
      </c>
      <c r="E352" s="115"/>
      <c r="F352" s="111"/>
      <c r="G352" s="119">
        <f t="shared" si="36"/>
        <v>9121.6</v>
      </c>
      <c r="H352" s="119">
        <f t="shared" si="30"/>
        <v>28316</v>
      </c>
      <c r="I352" s="147">
        <f t="shared" si="32"/>
        <v>29140</v>
      </c>
      <c r="J352" s="119"/>
      <c r="K352" s="109">
        <v>27299</v>
      </c>
      <c r="L352" s="110">
        <v>0.41499999999999998</v>
      </c>
      <c r="M352" s="109">
        <f t="shared" si="35"/>
        <v>3100</v>
      </c>
      <c r="N352" s="115"/>
      <c r="O352" s="111"/>
      <c r="P352" s="119">
        <f t="shared" si="37"/>
        <v>-3770.4</v>
      </c>
      <c r="Q352" s="119">
        <f t="shared" si="33"/>
        <v>53</v>
      </c>
      <c r="R352" s="147">
        <f t="shared" si="31"/>
        <v>-1127</v>
      </c>
      <c r="S352" s="119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</row>
    <row r="353" spans="1:38">
      <c r="A353" s="108">
        <v>42487</v>
      </c>
      <c r="B353" s="109">
        <v>110909</v>
      </c>
      <c r="C353" s="110">
        <v>0.53700000000000003</v>
      </c>
      <c r="D353" s="109">
        <f t="shared" si="34"/>
        <v>9725</v>
      </c>
      <c r="E353" s="115"/>
      <c r="F353" s="111"/>
      <c r="G353" s="119">
        <f t="shared" si="36"/>
        <v>-15518.2</v>
      </c>
      <c r="H353" s="119">
        <f t="shared" si="30"/>
        <v>-69169</v>
      </c>
      <c r="I353" s="147">
        <f t="shared" si="32"/>
        <v>-16008</v>
      </c>
      <c r="J353" s="119"/>
      <c r="K353" s="109">
        <v>42262</v>
      </c>
      <c r="L353" s="110">
        <v>0.64200000000000002</v>
      </c>
      <c r="M353" s="109">
        <f t="shared" si="35"/>
        <v>3100</v>
      </c>
      <c r="N353" s="115"/>
      <c r="O353" s="111"/>
      <c r="P353" s="119">
        <f t="shared" si="37"/>
        <v>-1904.6</v>
      </c>
      <c r="Q353" s="119">
        <f t="shared" si="33"/>
        <v>14963</v>
      </c>
      <c r="R353" s="147">
        <f t="shared" si="31"/>
        <v>9518</v>
      </c>
      <c r="S353" s="119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</row>
    <row r="354" spans="1:38">
      <c r="A354" s="108">
        <v>42494</v>
      </c>
      <c r="B354" s="109">
        <v>131251</v>
      </c>
      <c r="C354" s="110">
        <v>0.63500000000000001</v>
      </c>
      <c r="D354" s="109">
        <f t="shared" si="34"/>
        <v>9750</v>
      </c>
      <c r="E354" s="115"/>
      <c r="F354" s="111"/>
      <c r="G354" s="119">
        <f t="shared" si="36"/>
        <v>-12813.8</v>
      </c>
      <c r="H354" s="119">
        <f t="shared" si="30"/>
        <v>20342</v>
      </c>
      <c r="I354" s="147">
        <f t="shared" si="32"/>
        <v>28890</v>
      </c>
      <c r="J354" s="119"/>
      <c r="K354" s="109">
        <v>45567</v>
      </c>
      <c r="L354" s="110">
        <v>0.69299999999999995</v>
      </c>
      <c r="M354" s="109">
        <f t="shared" si="35"/>
        <v>3100</v>
      </c>
      <c r="N354" s="115"/>
      <c r="O354" s="111"/>
      <c r="P354" s="119">
        <f t="shared" si="37"/>
        <v>2755.6</v>
      </c>
      <c r="Q354" s="119">
        <f t="shared" si="33"/>
        <v>3305</v>
      </c>
      <c r="R354" s="147">
        <f t="shared" si="31"/>
        <v>12173</v>
      </c>
      <c r="S354" s="119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</row>
    <row r="355" spans="1:38">
      <c r="A355" s="108">
        <v>42501</v>
      </c>
      <c r="B355" s="109">
        <v>139108</v>
      </c>
      <c r="C355" s="110">
        <v>0.67299999999999993</v>
      </c>
      <c r="D355" s="109">
        <f t="shared" si="34"/>
        <v>9750</v>
      </c>
      <c r="E355" s="115"/>
      <c r="F355" s="111"/>
      <c r="G355" s="119">
        <f t="shared" si="36"/>
        <v>8934.6</v>
      </c>
      <c r="H355" s="119">
        <f t="shared" si="30"/>
        <v>7857</v>
      </c>
      <c r="I355" s="147">
        <f t="shared" si="32"/>
        <v>11775</v>
      </c>
      <c r="J355" s="119"/>
      <c r="K355" s="109">
        <v>44252</v>
      </c>
      <c r="L355" s="110">
        <v>0.67299999999999993</v>
      </c>
      <c r="M355" s="109">
        <f t="shared" si="35"/>
        <v>3100</v>
      </c>
      <c r="N355" s="115"/>
      <c r="O355" s="111"/>
      <c r="P355" s="119">
        <f t="shared" si="37"/>
        <v>1165.4000000000001</v>
      </c>
      <c r="Q355" s="119">
        <f t="shared" si="33"/>
        <v>-1315</v>
      </c>
      <c r="R355" s="147">
        <f t="shared" si="31"/>
        <v>3637</v>
      </c>
      <c r="S355" s="119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</row>
    <row r="356" spans="1:38">
      <c r="A356" s="108">
        <v>42508</v>
      </c>
      <c r="B356" s="109">
        <v>162508</v>
      </c>
      <c r="C356" s="110">
        <v>0.78700000000000003</v>
      </c>
      <c r="D356" s="109">
        <f t="shared" si="34"/>
        <v>9725</v>
      </c>
      <c r="E356" s="115"/>
      <c r="F356" s="111"/>
      <c r="G356" s="119">
        <f t="shared" si="36"/>
        <v>8716.6</v>
      </c>
      <c r="H356" s="119">
        <f t="shared" si="30"/>
        <v>23400</v>
      </c>
      <c r="I356" s="147">
        <f t="shared" si="32"/>
        <v>25527</v>
      </c>
      <c r="J356" s="119"/>
      <c r="K356" s="109">
        <v>30654</v>
      </c>
      <c r="L356" s="110">
        <v>0.46600000000000003</v>
      </c>
      <c r="M356" s="109">
        <f t="shared" si="35"/>
        <v>3100</v>
      </c>
      <c r="N356" s="115"/>
      <c r="O356" s="111"/>
      <c r="P356" s="119">
        <f t="shared" si="37"/>
        <v>1403.4</v>
      </c>
      <c r="Q356" s="119">
        <f t="shared" si="33"/>
        <v>-13598</v>
      </c>
      <c r="R356" s="147">
        <f t="shared" si="31"/>
        <v>-14292</v>
      </c>
      <c r="S356" s="119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</row>
    <row r="357" spans="1:38">
      <c r="A357" s="108">
        <v>42515</v>
      </c>
      <c r="B357" s="109">
        <v>179485</v>
      </c>
      <c r="C357" s="110">
        <v>0.86900000000000011</v>
      </c>
      <c r="D357" s="109">
        <f t="shared" si="34"/>
        <v>9725</v>
      </c>
      <c r="E357" s="115"/>
      <c r="F357" s="111"/>
      <c r="G357" s="119">
        <f t="shared" si="36"/>
        <v>-18914.8</v>
      </c>
      <c r="H357" s="119">
        <f t="shared" si="30"/>
        <v>16977</v>
      </c>
      <c r="I357" s="147">
        <f t="shared" si="32"/>
        <v>30665</v>
      </c>
      <c r="J357" s="119"/>
      <c r="K357" s="109">
        <v>25330</v>
      </c>
      <c r="L357" s="110">
        <v>0.38500000000000001</v>
      </c>
      <c r="M357" s="109">
        <f t="shared" si="35"/>
        <v>3100</v>
      </c>
      <c r="N357" s="115"/>
      <c r="O357" s="111"/>
      <c r="P357" s="119">
        <f t="shared" si="37"/>
        <v>-5117</v>
      </c>
      <c r="Q357" s="119">
        <f t="shared" si="33"/>
        <v>-5324</v>
      </c>
      <c r="R357" s="147">
        <f t="shared" si="31"/>
        <v>-11191</v>
      </c>
      <c r="S357" s="119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</row>
    <row r="358" spans="1:38">
      <c r="A358" s="108">
        <v>42522</v>
      </c>
      <c r="B358" s="109">
        <v>139987</v>
      </c>
      <c r="C358" s="110">
        <v>0.67799999999999994</v>
      </c>
      <c r="D358" s="109">
        <f t="shared" si="34"/>
        <v>9725</v>
      </c>
      <c r="E358" s="115"/>
      <c r="F358" s="111"/>
      <c r="G358" s="119">
        <f t="shared" si="36"/>
        <v>-8363.7999999999993</v>
      </c>
      <c r="H358" s="119">
        <f t="shared" si="30"/>
        <v>-39498</v>
      </c>
      <c r="I358" s="147">
        <f t="shared" si="32"/>
        <v>-14061</v>
      </c>
      <c r="J358" s="119"/>
      <c r="K358" s="109">
        <v>14688</v>
      </c>
      <c r="L358" s="110">
        <v>0.223</v>
      </c>
      <c r="M358" s="109">
        <f t="shared" si="35"/>
        <v>3100</v>
      </c>
      <c r="N358" s="115"/>
      <c r="O358" s="111"/>
      <c r="P358" s="119">
        <f t="shared" si="37"/>
        <v>-2819.6</v>
      </c>
      <c r="Q358" s="119">
        <f t="shared" si="33"/>
        <v>-10642</v>
      </c>
      <c r="R358" s="147">
        <f t="shared" si="31"/>
        <v>-8156</v>
      </c>
      <c r="S358" s="119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</row>
    <row r="359" spans="1:38">
      <c r="A359" s="108">
        <v>42529</v>
      </c>
      <c r="B359" s="109">
        <v>173873</v>
      </c>
      <c r="C359" s="110">
        <v>0.84200000000000008</v>
      </c>
      <c r="D359" s="109">
        <f t="shared" si="34"/>
        <v>9725</v>
      </c>
      <c r="E359" s="115"/>
      <c r="F359" s="111"/>
      <c r="G359" s="119">
        <f t="shared" si="36"/>
        <v>12760.2</v>
      </c>
      <c r="H359" s="119">
        <f t="shared" si="30"/>
        <v>33886</v>
      </c>
      <c r="I359" s="147">
        <f t="shared" si="32"/>
        <v>25463</v>
      </c>
      <c r="J359" s="119"/>
      <c r="K359" s="109">
        <v>30121</v>
      </c>
      <c r="L359" s="110">
        <v>0.45799999999999996</v>
      </c>
      <c r="M359" s="109">
        <f t="shared" si="35"/>
        <v>3100</v>
      </c>
      <c r="N359" s="115"/>
      <c r="O359" s="111"/>
      <c r="P359" s="119">
        <f t="shared" si="37"/>
        <v>2047.4</v>
      </c>
      <c r="Q359" s="119">
        <f t="shared" si="33"/>
        <v>15433</v>
      </c>
      <c r="R359" s="147">
        <f t="shared" si="31"/>
        <v>-2155</v>
      </c>
      <c r="S359" s="119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</row>
    <row r="360" spans="1:38">
      <c r="A360" s="108">
        <v>42536</v>
      </c>
      <c r="B360" s="109">
        <v>158453</v>
      </c>
      <c r="C360" s="110">
        <v>0.76700000000000002</v>
      </c>
      <c r="D360" s="109">
        <f t="shared" si="34"/>
        <v>9750</v>
      </c>
      <c r="E360" s="115"/>
      <c r="F360" s="111"/>
      <c r="G360" s="119">
        <f t="shared" si="36"/>
        <v>2017</v>
      </c>
      <c r="H360" s="119">
        <f t="shared" si="30"/>
        <v>-15420</v>
      </c>
      <c r="I360" s="147">
        <f t="shared" si="32"/>
        <v>28070</v>
      </c>
      <c r="J360" s="119"/>
      <c r="K360" s="109">
        <v>40609</v>
      </c>
      <c r="L360" s="110">
        <v>0.61699999999999999</v>
      </c>
      <c r="M360" s="109">
        <f t="shared" si="35"/>
        <v>3100</v>
      </c>
      <c r="N360" s="115"/>
      <c r="O360" s="111"/>
      <c r="P360" s="119">
        <f t="shared" si="37"/>
        <v>-1463</v>
      </c>
      <c r="Q360" s="119">
        <f t="shared" si="33"/>
        <v>10488</v>
      </c>
      <c r="R360" s="147">
        <f t="shared" si="31"/>
        <v>3628</v>
      </c>
      <c r="S360" s="119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</row>
    <row r="361" spans="1:38">
      <c r="A361" s="108">
        <v>42543</v>
      </c>
      <c r="B361" s="109">
        <v>153555</v>
      </c>
      <c r="C361" s="110">
        <v>0.74299999999999999</v>
      </c>
      <c r="D361" s="109">
        <f t="shared" si="34"/>
        <v>9750</v>
      </c>
      <c r="E361" s="115"/>
      <c r="F361" s="111"/>
      <c r="G361" s="119">
        <f t="shared" si="36"/>
        <v>16561.8</v>
      </c>
      <c r="H361" s="119">
        <f t="shared" si="30"/>
        <v>-4898</v>
      </c>
      <c r="I361" s="147">
        <f t="shared" si="32"/>
        <v>2046</v>
      </c>
      <c r="J361" s="119"/>
      <c r="K361" s="109">
        <v>26285</v>
      </c>
      <c r="L361" s="110">
        <v>0.39899999999999997</v>
      </c>
      <c r="M361" s="109">
        <f t="shared" si="35"/>
        <v>3100</v>
      </c>
      <c r="N361" s="115"/>
      <c r="O361" s="111"/>
      <c r="P361" s="119">
        <f t="shared" si="37"/>
        <v>-1643.6</v>
      </c>
      <c r="Q361" s="119">
        <f t="shared" si="33"/>
        <v>-14324</v>
      </c>
      <c r="R361" s="147">
        <f t="shared" si="31"/>
        <v>10525</v>
      </c>
      <c r="S361" s="119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</row>
    <row r="362" spans="1:38">
      <c r="A362" s="108">
        <v>42550</v>
      </c>
      <c r="B362" s="109">
        <v>182615</v>
      </c>
      <c r="C362" s="110">
        <v>0.88400000000000001</v>
      </c>
      <c r="D362" s="109">
        <f t="shared" si="34"/>
        <v>9750</v>
      </c>
      <c r="E362" s="115"/>
      <c r="F362" s="111"/>
      <c r="G362" s="119">
        <f t="shared" si="36"/>
        <v>555.4</v>
      </c>
      <c r="H362" s="119">
        <f t="shared" si="30"/>
        <v>29060</v>
      </c>
      <c r="I362" s="147">
        <f t="shared" si="32"/>
        <v>27092</v>
      </c>
      <c r="J362" s="119"/>
      <c r="K362" s="109">
        <v>16384</v>
      </c>
      <c r="L362" s="110">
        <v>0.249</v>
      </c>
      <c r="M362" s="109">
        <f t="shared" si="35"/>
        <v>3100</v>
      </c>
      <c r="N362" s="115"/>
      <c r="O362" s="111"/>
      <c r="P362" s="119">
        <f t="shared" si="37"/>
        <v>-1001.4</v>
      </c>
      <c r="Q362" s="119">
        <f t="shared" si="33"/>
        <v>-9901</v>
      </c>
      <c r="R362" s="147">
        <f t="shared" si="31"/>
        <v>-176</v>
      </c>
      <c r="S362" s="119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</row>
    <row r="363" spans="1:38">
      <c r="A363" s="108">
        <v>42557</v>
      </c>
      <c r="B363" s="109">
        <v>174034</v>
      </c>
      <c r="C363" s="110">
        <v>0.84299999999999997</v>
      </c>
      <c r="D363" s="109">
        <f t="shared" si="34"/>
        <v>9725</v>
      </c>
      <c r="E363" s="115"/>
      <c r="F363" s="111"/>
      <c r="G363" s="119">
        <f t="shared" si="36"/>
        <v>-4541.2</v>
      </c>
      <c r="H363" s="119">
        <f t="shared" si="30"/>
        <v>-8581</v>
      </c>
      <c r="I363" s="147">
        <f t="shared" si="32"/>
        <v>49397</v>
      </c>
      <c r="J363" s="119"/>
      <c r="K363" s="109">
        <v>45042</v>
      </c>
      <c r="L363" s="110">
        <v>0.68500000000000005</v>
      </c>
      <c r="M363" s="109">
        <f t="shared" si="35"/>
        <v>3100</v>
      </c>
      <c r="N363" s="115"/>
      <c r="O363" s="111"/>
      <c r="P363" s="119">
        <f t="shared" si="37"/>
        <v>369.2</v>
      </c>
      <c r="Q363" s="119">
        <f t="shared" si="33"/>
        <v>28658</v>
      </c>
      <c r="R363" s="147">
        <f t="shared" si="31"/>
        <v>31051</v>
      </c>
      <c r="S363" s="119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</row>
    <row r="364" spans="1:38">
      <c r="A364" s="108">
        <v>42564</v>
      </c>
      <c r="B364" s="109">
        <v>191451</v>
      </c>
      <c r="C364" s="110">
        <v>0.92700000000000005</v>
      </c>
      <c r="D364" s="109">
        <f t="shared" si="34"/>
        <v>9725</v>
      </c>
      <c r="E364" s="115"/>
      <c r="F364" s="111"/>
      <c r="G364" s="119">
        <f t="shared" si="36"/>
        <v>8743.4</v>
      </c>
      <c r="H364" s="119">
        <f t="shared" si="30"/>
        <v>17417</v>
      </c>
      <c r="I364" s="147">
        <f t="shared" si="32"/>
        <v>22938</v>
      </c>
      <c r="J364" s="119"/>
      <c r="K364" s="109">
        <v>32485</v>
      </c>
      <c r="L364" s="110">
        <v>0.49399999999999999</v>
      </c>
      <c r="M364" s="109">
        <f t="shared" si="35"/>
        <v>3100</v>
      </c>
      <c r="N364" s="115"/>
      <c r="O364" s="111"/>
      <c r="P364" s="119">
        <f t="shared" si="37"/>
        <v>6591.6</v>
      </c>
      <c r="Q364" s="119">
        <f t="shared" si="33"/>
        <v>-12557</v>
      </c>
      <c r="R364" s="147">
        <f t="shared" si="31"/>
        <v>3207</v>
      </c>
      <c r="S364" s="119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</row>
    <row r="365" spans="1:38">
      <c r="A365" s="108">
        <v>42571</v>
      </c>
      <c r="B365" s="109">
        <v>181980</v>
      </c>
      <c r="C365" s="110">
        <v>0.88099999999999989</v>
      </c>
      <c r="D365" s="109">
        <f t="shared" si="34"/>
        <v>9750</v>
      </c>
      <c r="E365" s="115"/>
      <c r="F365" s="111"/>
      <c r="G365" s="119">
        <f t="shared" si="36"/>
        <v>-1864.2</v>
      </c>
      <c r="H365" s="119">
        <f t="shared" si="30"/>
        <v>-9471</v>
      </c>
      <c r="I365" s="147">
        <f t="shared" si="32"/>
        <v>26778</v>
      </c>
      <c r="J365" s="119"/>
      <c r="K365" s="109">
        <v>33669</v>
      </c>
      <c r="L365" s="110">
        <v>0.51200000000000001</v>
      </c>
      <c r="M365" s="109">
        <f t="shared" si="35"/>
        <v>3100</v>
      </c>
      <c r="N365" s="115"/>
      <c r="O365" s="111"/>
      <c r="P365" s="119">
        <f t="shared" si="37"/>
        <v>3584.4</v>
      </c>
      <c r="Q365" s="119">
        <f t="shared" si="33"/>
        <v>1184</v>
      </c>
      <c r="R365" s="147">
        <f t="shared" si="31"/>
        <v>-12670</v>
      </c>
      <c r="S365" s="119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</row>
    <row r="366" spans="1:38">
      <c r="A366" s="108">
        <v>42578</v>
      </c>
      <c r="B366" s="109">
        <v>159884</v>
      </c>
      <c r="C366" s="110">
        <v>0.77400000000000002</v>
      </c>
      <c r="D366" s="109">
        <f t="shared" si="34"/>
        <v>9750</v>
      </c>
      <c r="E366" s="115"/>
      <c r="F366" s="111"/>
      <c r="G366" s="119">
        <f t="shared" si="36"/>
        <v>-37516.800000000003</v>
      </c>
      <c r="H366" s="119">
        <f t="shared" si="30"/>
        <v>-22096</v>
      </c>
      <c r="I366" s="147">
        <f t="shared" si="32"/>
        <v>101322</v>
      </c>
      <c r="J366" s="119"/>
      <c r="K366" s="109">
        <v>46782</v>
      </c>
      <c r="L366" s="110">
        <v>0.71099999999999997</v>
      </c>
      <c r="M366" s="109">
        <f t="shared" si="35"/>
        <v>3100</v>
      </c>
      <c r="N366" s="115"/>
      <c r="O366" s="111"/>
      <c r="P366" s="119">
        <f t="shared" si="37"/>
        <v>-15258.6</v>
      </c>
      <c r="Q366" s="119">
        <f t="shared" si="33"/>
        <v>13113</v>
      </c>
      <c r="R366" s="147">
        <f t="shared" si="31"/>
        <v>40732</v>
      </c>
      <c r="S366" s="119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</row>
    <row r="367" spans="1:38">
      <c r="A367" s="108">
        <v>42585</v>
      </c>
      <c r="B367" s="109">
        <v>65747</v>
      </c>
      <c r="C367" s="110"/>
      <c r="D367" s="109" t="str">
        <f t="shared" si="34"/>
        <v/>
      </c>
      <c r="E367" s="115"/>
      <c r="F367" s="111"/>
      <c r="G367" s="119">
        <f t="shared" si="36"/>
        <v>20096.8</v>
      </c>
      <c r="H367" s="119">
        <f t="shared" si="30"/>
        <v>-94137</v>
      </c>
      <c r="I367" s="147">
        <f t="shared" si="32"/>
        <v>-36974</v>
      </c>
      <c r="J367" s="119"/>
      <c r="K367" s="109">
        <v>11950</v>
      </c>
      <c r="L367" s="110"/>
      <c r="M367" s="109" t="str">
        <f t="shared" si="35"/>
        <v/>
      </c>
      <c r="N367" s="115"/>
      <c r="O367" s="111"/>
      <c r="P367" s="119">
        <f t="shared" si="37"/>
        <v>6996.6</v>
      </c>
      <c r="Q367" s="119">
        <f t="shared" si="33"/>
        <v>-34832</v>
      </c>
      <c r="R367" s="147">
        <f t="shared" si="31"/>
        <v>-11170</v>
      </c>
      <c r="S367" s="119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</row>
    <row r="368" spans="1:38">
      <c r="A368" s="108">
        <v>42592</v>
      </c>
      <c r="B368" s="109">
        <v>135971</v>
      </c>
      <c r="C368" s="110">
        <v>0.63600000000000001</v>
      </c>
      <c r="D368" s="109">
        <f t="shared" si="34"/>
        <v>10075</v>
      </c>
      <c r="E368" s="115"/>
      <c r="F368" s="111"/>
      <c r="G368" s="119">
        <f t="shared" si="36"/>
        <v>-5630.4</v>
      </c>
      <c r="H368" s="119">
        <f t="shared" si="30"/>
        <v>70224</v>
      </c>
      <c r="I368" s="147">
        <f t="shared" si="32"/>
        <v>4734</v>
      </c>
      <c r="J368" s="119"/>
      <c r="K368" s="109">
        <v>34942</v>
      </c>
      <c r="L368" s="110">
        <v>0.53100000000000003</v>
      </c>
      <c r="M368" s="109">
        <f t="shared" si="35"/>
        <v>3100</v>
      </c>
      <c r="N368" s="115"/>
      <c r="O368" s="111"/>
      <c r="P368" s="119">
        <f t="shared" si="37"/>
        <v>2667.8</v>
      </c>
      <c r="Q368" s="119">
        <f t="shared" si="33"/>
        <v>22992</v>
      </c>
      <c r="R368" s="147">
        <f t="shared" si="31"/>
        <v>-1989</v>
      </c>
      <c r="S368" s="119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</row>
    <row r="369" spans="1:38">
      <c r="A369" s="108">
        <v>42599</v>
      </c>
      <c r="B369" s="109">
        <v>139197</v>
      </c>
      <c r="C369" s="110">
        <v>0.65099999999999991</v>
      </c>
      <c r="D369" s="109">
        <f t="shared" si="34"/>
        <v>10075</v>
      </c>
      <c r="E369" s="115"/>
      <c r="F369" s="111"/>
      <c r="G369" s="119">
        <f t="shared" si="36"/>
        <v>-13496.4</v>
      </c>
      <c r="H369" s="119">
        <f t="shared" si="30"/>
        <v>3226</v>
      </c>
      <c r="I369" s="147">
        <f t="shared" si="32"/>
        <v>14225</v>
      </c>
      <c r="J369" s="119"/>
      <c r="K369" s="109">
        <v>48502</v>
      </c>
      <c r="L369" s="110">
        <v>0.73699999999999999</v>
      </c>
      <c r="M369" s="109">
        <f t="shared" si="35"/>
        <v>3100</v>
      </c>
      <c r="N369" s="115"/>
      <c r="O369" s="111"/>
      <c r="P369" s="119">
        <f t="shared" si="37"/>
        <v>2206</v>
      </c>
      <c r="Q369" s="119">
        <f t="shared" si="33"/>
        <v>13560</v>
      </c>
      <c r="R369" s="147">
        <f t="shared" si="31"/>
        <v>615</v>
      </c>
      <c r="S369" s="119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</row>
    <row r="370" spans="1:38">
      <c r="A370" s="108">
        <v>42606</v>
      </c>
      <c r="B370" s="109">
        <v>134602</v>
      </c>
      <c r="C370" s="110">
        <v>0.63</v>
      </c>
      <c r="D370" s="109">
        <f t="shared" si="34"/>
        <v>10075</v>
      </c>
      <c r="E370" s="115"/>
      <c r="F370" s="111"/>
      <c r="G370" s="119">
        <f t="shared" si="36"/>
        <v>-4570.8</v>
      </c>
      <c r="H370" s="119">
        <f t="shared" si="30"/>
        <v>-4595</v>
      </c>
      <c r="I370" s="147">
        <f t="shared" si="32"/>
        <v>4926</v>
      </c>
      <c r="J370" s="119"/>
      <c r="K370" s="109">
        <v>39079</v>
      </c>
      <c r="L370" s="110">
        <v>0.59399999999999997</v>
      </c>
      <c r="M370" s="109">
        <f t="shared" si="35"/>
        <v>3100</v>
      </c>
      <c r="N370" s="115"/>
      <c r="O370" s="111"/>
      <c r="P370" s="119">
        <f t="shared" si="37"/>
        <v>907.6</v>
      </c>
      <c r="Q370" s="119">
        <f t="shared" si="33"/>
        <v>-9423</v>
      </c>
      <c r="R370" s="147">
        <f t="shared" si="31"/>
        <v>-5808</v>
      </c>
      <c r="S370" s="119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</row>
    <row r="371" spans="1:38">
      <c r="A371" s="108">
        <v>42613</v>
      </c>
      <c r="B371" s="109">
        <v>158833</v>
      </c>
      <c r="C371" s="110">
        <v>0.74299999999999999</v>
      </c>
      <c r="D371" s="109">
        <f t="shared" si="34"/>
        <v>10075</v>
      </c>
      <c r="E371" s="115"/>
      <c r="F371" s="111"/>
      <c r="G371" s="119">
        <f t="shared" si="36"/>
        <v>20724.8</v>
      </c>
      <c r="H371" s="119">
        <f t="shared" si="30"/>
        <v>24231</v>
      </c>
      <c r="I371" s="147">
        <f t="shared" si="32"/>
        <v>17297</v>
      </c>
      <c r="J371" s="119"/>
      <c r="K371" s="109">
        <v>27677</v>
      </c>
      <c r="L371" s="110">
        <v>0.42100000000000004</v>
      </c>
      <c r="M371" s="109">
        <f t="shared" si="35"/>
        <v>3100</v>
      </c>
      <c r="N371" s="115"/>
      <c r="O371" s="111"/>
      <c r="P371" s="119">
        <f t="shared" si="37"/>
        <v>-11620</v>
      </c>
      <c r="Q371" s="119">
        <f t="shared" si="33"/>
        <v>-11402</v>
      </c>
      <c r="R371" s="147">
        <f t="shared" si="31"/>
        <v>7061</v>
      </c>
      <c r="S371" s="119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</row>
    <row r="372" spans="1:38">
      <c r="A372" s="108">
        <v>42620</v>
      </c>
      <c r="B372" s="109">
        <v>169173</v>
      </c>
      <c r="C372" s="110">
        <v>0.79099999999999993</v>
      </c>
      <c r="D372" s="109">
        <f t="shared" si="34"/>
        <v>10075</v>
      </c>
      <c r="E372" s="115"/>
      <c r="F372" s="111"/>
      <c r="G372" s="119">
        <f t="shared" si="36"/>
        <v>10759.6</v>
      </c>
      <c r="H372" s="119">
        <f t="shared" ref="H372:H435" si="38">B372-B371</f>
        <v>10340</v>
      </c>
      <c r="I372" s="147">
        <f t="shared" si="32"/>
        <v>33097</v>
      </c>
      <c r="J372" s="119"/>
      <c r="K372" s="109">
        <v>47544</v>
      </c>
      <c r="L372" s="110">
        <v>0.72299999999999998</v>
      </c>
      <c r="M372" s="109">
        <f t="shared" si="35"/>
        <v>3100</v>
      </c>
      <c r="N372" s="115"/>
      <c r="O372" s="111"/>
      <c r="P372" s="119">
        <f t="shared" si="37"/>
        <v>6246.6</v>
      </c>
      <c r="Q372" s="119">
        <f t="shared" si="33"/>
        <v>19867</v>
      </c>
      <c r="R372" s="147">
        <f t="shared" si="31"/>
        <v>8920</v>
      </c>
      <c r="S372" s="119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</row>
    <row r="373" spans="1:38">
      <c r="A373" s="108">
        <v>42627</v>
      </c>
      <c r="B373" s="109">
        <v>179296</v>
      </c>
      <c r="C373" s="110">
        <v>0.83900000000000008</v>
      </c>
      <c r="D373" s="109">
        <f t="shared" si="34"/>
        <v>10075</v>
      </c>
      <c r="E373" s="115"/>
      <c r="F373" s="111"/>
      <c r="G373" s="119">
        <f t="shared" si="36"/>
        <v>8516.2000000000007</v>
      </c>
      <c r="H373" s="119">
        <f t="shared" si="38"/>
        <v>10123</v>
      </c>
      <c r="I373" s="147">
        <f t="shared" si="32"/>
        <v>57354</v>
      </c>
      <c r="J373" s="119"/>
      <c r="K373" s="109">
        <v>35607</v>
      </c>
      <c r="L373" s="110">
        <v>0.54100000000000004</v>
      </c>
      <c r="M373" s="109">
        <f t="shared" si="35"/>
        <v>3100</v>
      </c>
      <c r="N373" s="115"/>
      <c r="O373" s="111"/>
      <c r="P373" s="119">
        <f t="shared" si="37"/>
        <v>292.39999999999998</v>
      </c>
      <c r="Q373" s="119">
        <f t="shared" si="33"/>
        <v>-11937</v>
      </c>
      <c r="R373" s="147">
        <f t="shared" si="31"/>
        <v>9766</v>
      </c>
      <c r="S373" s="119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</row>
    <row r="374" spans="1:38">
      <c r="A374" s="108">
        <v>42634</v>
      </c>
      <c r="B374" s="109">
        <v>190623</v>
      </c>
      <c r="C374" s="110">
        <v>0.89200000000000002</v>
      </c>
      <c r="D374" s="109">
        <f t="shared" si="34"/>
        <v>10075</v>
      </c>
      <c r="E374" s="115"/>
      <c r="F374" s="111"/>
      <c r="G374" s="119">
        <f t="shared" si="36"/>
        <v>1518.6</v>
      </c>
      <c r="H374" s="119">
        <f t="shared" si="38"/>
        <v>11327</v>
      </c>
      <c r="I374" s="147">
        <f t="shared" si="32"/>
        <v>57019</v>
      </c>
      <c r="J374" s="119"/>
      <c r="K374" s="109">
        <v>14631</v>
      </c>
      <c r="L374" s="110">
        <v>0.222</v>
      </c>
      <c r="M374" s="109">
        <f t="shared" si="35"/>
        <v>3100</v>
      </c>
      <c r="N374" s="115"/>
      <c r="O374" s="111"/>
      <c r="P374" s="119">
        <f t="shared" si="37"/>
        <v>-1980.6</v>
      </c>
      <c r="Q374" s="119">
        <f t="shared" si="33"/>
        <v>-20976</v>
      </c>
      <c r="R374" s="147">
        <f t="shared" ref="R374:R437" si="39">K374-K322</f>
        <v>-24215</v>
      </c>
      <c r="S374" s="119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</row>
    <row r="375" spans="1:38">
      <c r="A375" s="108">
        <v>42641</v>
      </c>
      <c r="B375" s="109">
        <v>175131</v>
      </c>
      <c r="C375" s="110">
        <v>0.81900000000000006</v>
      </c>
      <c r="D375" s="109">
        <f t="shared" si="34"/>
        <v>10075</v>
      </c>
      <c r="E375" s="115"/>
      <c r="F375" s="111"/>
      <c r="G375" s="119">
        <f t="shared" si="36"/>
        <v>10510.8</v>
      </c>
      <c r="H375" s="119">
        <f t="shared" si="38"/>
        <v>-15492</v>
      </c>
      <c r="I375" s="147">
        <f t="shared" ref="I375:I438" si="40">B375-B323</f>
        <v>9763</v>
      </c>
      <c r="J375" s="119"/>
      <c r="K375" s="109">
        <v>35707</v>
      </c>
      <c r="L375" s="110">
        <v>0.54299999999999993</v>
      </c>
      <c r="M375" s="109">
        <f t="shared" si="35"/>
        <v>3100</v>
      </c>
      <c r="N375" s="115"/>
      <c r="O375" s="111"/>
      <c r="P375" s="119">
        <f t="shared" si="37"/>
        <v>2596.1999999999998</v>
      </c>
      <c r="Q375" s="119">
        <f t="shared" si="33"/>
        <v>21076</v>
      </c>
      <c r="R375" s="147">
        <f t="shared" si="39"/>
        <v>4857</v>
      </c>
      <c r="S375" s="119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</row>
    <row r="376" spans="1:38">
      <c r="A376" s="108">
        <v>42648</v>
      </c>
      <c r="B376" s="109">
        <v>177792</v>
      </c>
      <c r="C376" s="110">
        <v>0.83200000000000007</v>
      </c>
      <c r="D376" s="109">
        <f t="shared" si="34"/>
        <v>10075</v>
      </c>
      <c r="E376" s="115"/>
      <c r="F376" s="111"/>
      <c r="G376" s="119">
        <f t="shared" si="36"/>
        <v>4969.2</v>
      </c>
      <c r="H376" s="119">
        <f t="shared" si="38"/>
        <v>2661</v>
      </c>
      <c r="I376" s="147">
        <f t="shared" si="40"/>
        <v>-6701</v>
      </c>
      <c r="J376" s="119">
        <f>AVERAGE(B323-B271,B271-B219,B219-B167,B167-B115,B115-B64)</f>
        <v>8283</v>
      </c>
      <c r="K376" s="109">
        <v>49234</v>
      </c>
      <c r="L376" s="110">
        <v>0.748</v>
      </c>
      <c r="M376" s="109">
        <f t="shared" si="35"/>
        <v>3100</v>
      </c>
      <c r="N376" s="115"/>
      <c r="O376" s="111"/>
      <c r="P376" s="119">
        <f t="shared" si="37"/>
        <v>3463.2</v>
      </c>
      <c r="Q376" s="119">
        <f t="shared" si="33"/>
        <v>13527</v>
      </c>
      <c r="R376" s="147">
        <f t="shared" si="39"/>
        <v>18752</v>
      </c>
      <c r="S376" s="119">
        <f>AVERAGE(K323-K271,K271-K219,K219-K167,K167-K115,K115-K64)</f>
        <v>263.39999999999998</v>
      </c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</row>
    <row r="377" spans="1:38">
      <c r="A377" s="108">
        <v>42655</v>
      </c>
      <c r="B377" s="109">
        <v>172241</v>
      </c>
      <c r="C377" s="110">
        <v>0.80599999999999994</v>
      </c>
      <c r="D377" s="109">
        <f t="shared" si="34"/>
        <v>10075</v>
      </c>
      <c r="E377" s="115"/>
      <c r="F377" s="111"/>
      <c r="G377" s="119">
        <f t="shared" si="36"/>
        <v>-8649.6</v>
      </c>
      <c r="H377" s="119">
        <f t="shared" si="38"/>
        <v>-5551</v>
      </c>
      <c r="I377" s="147">
        <f t="shared" si="40"/>
        <v>3560</v>
      </c>
      <c r="J377" s="119">
        <f t="shared" ref="J377:J439" si="41">AVERAGE(B324-B272,B272-B220,B220-B168,B168-B116,B116-B65)</f>
        <v>10623.8</v>
      </c>
      <c r="K377" s="109">
        <v>45873</v>
      </c>
      <c r="L377" s="110">
        <v>0.69700000000000006</v>
      </c>
      <c r="M377" s="109">
        <f t="shared" si="35"/>
        <v>3100</v>
      </c>
      <c r="N377" s="115"/>
      <c r="O377" s="111"/>
      <c r="P377" s="119">
        <f t="shared" si="37"/>
        <v>3630.4</v>
      </c>
      <c r="Q377" s="119">
        <f t="shared" si="33"/>
        <v>-3361</v>
      </c>
      <c r="R377" s="147">
        <f t="shared" si="39"/>
        <v>11975</v>
      </c>
      <c r="S377" s="119">
        <f t="shared" ref="S377:S440" si="42">AVERAGE(K324-K272,K272-K220,K220-K168,K168-K116,K116-K65)</f>
        <v>568</v>
      </c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</row>
    <row r="378" spans="1:38">
      <c r="A378" s="108">
        <v>42662</v>
      </c>
      <c r="B378" s="109">
        <v>183320</v>
      </c>
      <c r="C378" s="110">
        <v>0.85799999999999998</v>
      </c>
      <c r="D378" s="109">
        <f t="shared" si="34"/>
        <v>10075</v>
      </c>
      <c r="E378" s="115"/>
      <c r="F378" s="111"/>
      <c r="G378" s="119">
        <f t="shared" si="36"/>
        <v>1874.6</v>
      </c>
      <c r="H378" s="119">
        <f t="shared" si="38"/>
        <v>11079</v>
      </c>
      <c r="I378" s="147">
        <f t="shared" si="40"/>
        <v>23395</v>
      </c>
      <c r="J378" s="119">
        <f t="shared" si="41"/>
        <v>7510</v>
      </c>
      <c r="K378" s="109">
        <v>41207</v>
      </c>
      <c r="L378" s="110">
        <v>0.626</v>
      </c>
      <c r="M378" s="109">
        <f t="shared" si="35"/>
        <v>3100</v>
      </c>
      <c r="N378" s="115"/>
      <c r="O378" s="111"/>
      <c r="P378" s="119">
        <f t="shared" si="37"/>
        <v>9129.6</v>
      </c>
      <c r="Q378" s="119">
        <f t="shared" si="33"/>
        <v>-4666</v>
      </c>
      <c r="R378" s="147">
        <f t="shared" si="39"/>
        <v>-11462</v>
      </c>
      <c r="S378" s="119">
        <f t="shared" si="42"/>
        <v>1077.4000000000001</v>
      </c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</row>
    <row r="379" spans="1:38">
      <c r="A379" s="108">
        <v>42669</v>
      </c>
      <c r="B379" s="109">
        <v>198859</v>
      </c>
      <c r="C379" s="110">
        <v>0.93</v>
      </c>
      <c r="D379" s="109">
        <f t="shared" si="34"/>
        <v>10075</v>
      </c>
      <c r="E379" s="115"/>
      <c r="F379" s="111"/>
      <c r="G379" s="119">
        <f t="shared" si="36"/>
        <v>-2463</v>
      </c>
      <c r="H379" s="119">
        <f t="shared" si="38"/>
        <v>15539</v>
      </c>
      <c r="I379" s="147">
        <f t="shared" si="40"/>
        <v>49878</v>
      </c>
      <c r="J379" s="119">
        <f t="shared" si="41"/>
        <v>7437</v>
      </c>
      <c r="K379" s="109">
        <v>28914</v>
      </c>
      <c r="L379" s="110">
        <v>0.439</v>
      </c>
      <c r="M379" s="109">
        <f t="shared" si="35"/>
        <v>3100</v>
      </c>
      <c r="N379" s="115"/>
      <c r="O379" s="111"/>
      <c r="P379" s="119">
        <f t="shared" si="37"/>
        <v>-1255.2</v>
      </c>
      <c r="Q379" s="119">
        <f t="shared" si="33"/>
        <v>-12293</v>
      </c>
      <c r="R379" s="147">
        <f t="shared" si="39"/>
        <v>-28491</v>
      </c>
      <c r="S379" s="119">
        <f t="shared" si="42"/>
        <v>5560.4</v>
      </c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</row>
    <row r="380" spans="1:38">
      <c r="A380" s="108">
        <v>42676</v>
      </c>
      <c r="B380" s="109">
        <v>171190</v>
      </c>
      <c r="C380" s="110">
        <v>0.80099999999999993</v>
      </c>
      <c r="D380" s="109">
        <f t="shared" si="34"/>
        <v>10075</v>
      </c>
      <c r="E380" s="115"/>
      <c r="F380" s="111"/>
      <c r="G380" s="119">
        <f t="shared" si="36"/>
        <v>-1377</v>
      </c>
      <c r="H380" s="119">
        <f t="shared" si="38"/>
        <v>-27669</v>
      </c>
      <c r="I380" s="147">
        <f t="shared" si="40"/>
        <v>11900</v>
      </c>
      <c r="J380" s="119">
        <f t="shared" si="41"/>
        <v>4948.6000000000004</v>
      </c>
      <c r="K380" s="109">
        <v>45228</v>
      </c>
      <c r="L380" s="110">
        <v>0.68700000000000006</v>
      </c>
      <c r="M380" s="109">
        <f t="shared" si="35"/>
        <v>3100</v>
      </c>
      <c r="N380" s="115"/>
      <c r="O380" s="111"/>
      <c r="P380" s="119">
        <f t="shared" si="37"/>
        <v>-5395.6</v>
      </c>
      <c r="Q380" s="119">
        <f t="shared" si="33"/>
        <v>16314</v>
      </c>
      <c r="R380" s="147">
        <f t="shared" si="39"/>
        <v>6183</v>
      </c>
      <c r="S380" s="119">
        <f t="shared" si="42"/>
        <v>5345</v>
      </c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</row>
    <row r="381" spans="1:38">
      <c r="A381" s="108">
        <v>42683</v>
      </c>
      <c r="B381" s="109">
        <v>181266</v>
      </c>
      <c r="C381" s="110">
        <v>0.84799999999999998</v>
      </c>
      <c r="D381" s="109">
        <f t="shared" si="34"/>
        <v>10075</v>
      </c>
      <c r="E381" s="115"/>
      <c r="F381" s="111"/>
      <c r="G381" s="119">
        <f t="shared" si="36"/>
        <v>3236.2</v>
      </c>
      <c r="H381" s="119">
        <f t="shared" si="38"/>
        <v>10076</v>
      </c>
      <c r="I381" s="147">
        <f t="shared" si="40"/>
        <v>22483</v>
      </c>
      <c r="J381" s="119">
        <f t="shared" si="41"/>
        <v>6850</v>
      </c>
      <c r="K381" s="109">
        <v>40688</v>
      </c>
      <c r="L381" s="110">
        <v>0.61799999999999999</v>
      </c>
      <c r="M381" s="109">
        <f t="shared" si="35"/>
        <v>3100</v>
      </c>
      <c r="N381" s="115"/>
      <c r="O381" s="111"/>
      <c r="P381" s="119">
        <f t="shared" si="37"/>
        <v>-2385.6</v>
      </c>
      <c r="Q381" s="119">
        <f t="shared" si="33"/>
        <v>-4540</v>
      </c>
      <c r="R381" s="147">
        <f t="shared" si="39"/>
        <v>3056</v>
      </c>
      <c r="S381" s="119">
        <f t="shared" si="42"/>
        <v>2161</v>
      </c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</row>
    <row r="382" spans="1:38">
      <c r="A382" s="108">
        <v>42690</v>
      </c>
      <c r="B382" s="109">
        <v>203951</v>
      </c>
      <c r="C382" s="110">
        <v>0.95400000000000007</v>
      </c>
      <c r="D382" s="109">
        <f t="shared" si="34"/>
        <v>10075</v>
      </c>
      <c r="E382" s="115"/>
      <c r="F382" s="111"/>
      <c r="G382" s="119">
        <f t="shared" si="36"/>
        <v>-7384.4</v>
      </c>
      <c r="H382" s="119">
        <f t="shared" si="38"/>
        <v>22685</v>
      </c>
      <c r="I382" s="147">
        <f t="shared" si="40"/>
        <v>47051</v>
      </c>
      <c r="J382" s="119">
        <f t="shared" si="41"/>
        <v>6737.8</v>
      </c>
      <c r="K382" s="109">
        <v>31351</v>
      </c>
      <c r="L382" s="110">
        <v>0.47600000000000003</v>
      </c>
      <c r="M382" s="109">
        <f t="shared" si="35"/>
        <v>3100</v>
      </c>
      <c r="N382" s="115"/>
      <c r="O382" s="111"/>
      <c r="P382" s="119">
        <f t="shared" si="37"/>
        <v>8292.4</v>
      </c>
      <c r="Q382" s="119">
        <f t="shared" si="33"/>
        <v>-9337</v>
      </c>
      <c r="R382" s="147">
        <f t="shared" si="39"/>
        <v>-18346</v>
      </c>
      <c r="S382" s="119">
        <f t="shared" si="42"/>
        <v>1515.6</v>
      </c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</row>
    <row r="383" spans="1:38">
      <c r="A383" s="108">
        <v>42697</v>
      </c>
      <c r="B383" s="109">
        <v>180876</v>
      </c>
      <c r="C383" s="110">
        <v>0.84599999999999997</v>
      </c>
      <c r="D383" s="109">
        <f t="shared" si="34"/>
        <v>10075</v>
      </c>
      <c r="E383" s="115"/>
      <c r="F383" s="111"/>
      <c r="G383" s="119">
        <f t="shared" si="36"/>
        <v>-1168</v>
      </c>
      <c r="H383" s="119">
        <f t="shared" si="38"/>
        <v>-23075</v>
      </c>
      <c r="I383" s="147">
        <f t="shared" si="40"/>
        <v>18662</v>
      </c>
      <c r="J383" s="119">
        <f t="shared" si="41"/>
        <v>7940.8</v>
      </c>
      <c r="K383" s="109">
        <v>50023</v>
      </c>
      <c r="L383" s="110">
        <v>0.76</v>
      </c>
      <c r="M383" s="109">
        <f t="shared" si="35"/>
        <v>3100</v>
      </c>
      <c r="N383" s="115"/>
      <c r="O383" s="111"/>
      <c r="P383" s="119">
        <f t="shared" si="37"/>
        <v>1932.6</v>
      </c>
      <c r="Q383" s="119">
        <f t="shared" si="33"/>
        <v>18672</v>
      </c>
      <c r="R383" s="147">
        <f t="shared" si="39"/>
        <v>-2322</v>
      </c>
      <c r="S383" s="119">
        <f t="shared" si="42"/>
        <v>5444.4</v>
      </c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</row>
    <row r="384" spans="1:38">
      <c r="A384" s="108">
        <v>42704</v>
      </c>
      <c r="B384" s="109">
        <v>187745</v>
      </c>
      <c r="C384" s="110">
        <v>0.878</v>
      </c>
      <c r="D384" s="109">
        <f t="shared" si="34"/>
        <v>10075</v>
      </c>
      <c r="E384" s="115"/>
      <c r="F384" s="111"/>
      <c r="G384" s="119">
        <f t="shared" si="36"/>
        <v>6267.2</v>
      </c>
      <c r="H384" s="119">
        <f t="shared" si="38"/>
        <v>6869</v>
      </c>
      <c r="I384" s="147">
        <f t="shared" si="40"/>
        <v>16810</v>
      </c>
      <c r="J384" s="119">
        <f t="shared" si="41"/>
        <v>8058.2</v>
      </c>
      <c r="K384" s="109">
        <v>41862</v>
      </c>
      <c r="L384" s="110">
        <v>0.63600000000000001</v>
      </c>
      <c r="M384" s="109">
        <f t="shared" si="35"/>
        <v>3100</v>
      </c>
      <c r="N384" s="115"/>
      <c r="O384" s="111"/>
      <c r="P384" s="119">
        <f t="shared" si="37"/>
        <v>-2451.8000000000002</v>
      </c>
      <c r="Q384" s="119">
        <f t="shared" si="33"/>
        <v>-8161</v>
      </c>
      <c r="R384" s="147">
        <f t="shared" si="39"/>
        <v>-4230</v>
      </c>
      <c r="S384" s="119">
        <f t="shared" si="42"/>
        <v>5184.8</v>
      </c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</row>
    <row r="385" spans="1:38">
      <c r="A385" s="108">
        <v>42711</v>
      </c>
      <c r="B385" s="109">
        <v>199684</v>
      </c>
      <c r="C385" s="110">
        <v>0.93400000000000005</v>
      </c>
      <c r="D385" s="109">
        <f t="shared" si="34"/>
        <v>10075</v>
      </c>
      <c r="E385" s="115"/>
      <c r="F385" s="111"/>
      <c r="G385" s="119">
        <f t="shared" si="36"/>
        <v>5211.6000000000004</v>
      </c>
      <c r="H385" s="119">
        <f t="shared" si="38"/>
        <v>11939</v>
      </c>
      <c r="I385" s="147">
        <f t="shared" si="40"/>
        <v>22545</v>
      </c>
      <c r="J385" s="119">
        <f t="shared" si="41"/>
        <v>11168.6</v>
      </c>
      <c r="K385" s="109">
        <v>28940</v>
      </c>
      <c r="L385" s="110">
        <v>0.44</v>
      </c>
      <c r="M385" s="109">
        <f t="shared" si="35"/>
        <v>3100</v>
      </c>
      <c r="N385" s="115"/>
      <c r="O385" s="111"/>
      <c r="P385" s="119">
        <f t="shared" si="37"/>
        <v>-7982</v>
      </c>
      <c r="Q385" s="119">
        <f t="shared" si="33"/>
        <v>-12922</v>
      </c>
      <c r="R385" s="147">
        <f t="shared" si="39"/>
        <v>-3545</v>
      </c>
      <c r="S385" s="119">
        <f t="shared" si="42"/>
        <v>4233.8</v>
      </c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</row>
    <row r="386" spans="1:38">
      <c r="A386" s="108">
        <v>42718</v>
      </c>
      <c r="B386" s="109">
        <v>178485</v>
      </c>
      <c r="C386" s="110">
        <v>0.83499999999999996</v>
      </c>
      <c r="D386" s="109">
        <f t="shared" si="34"/>
        <v>10075</v>
      </c>
      <c r="E386" s="115"/>
      <c r="F386" s="111"/>
      <c r="G386" s="119">
        <f t="shared" si="36"/>
        <v>467.6</v>
      </c>
      <c r="H386" s="119">
        <f t="shared" si="38"/>
        <v>-21199</v>
      </c>
      <c r="I386" s="147">
        <f t="shared" si="40"/>
        <v>6361</v>
      </c>
      <c r="J386" s="119">
        <f t="shared" si="41"/>
        <v>11036.8</v>
      </c>
      <c r="K386" s="109">
        <v>36180</v>
      </c>
      <c r="L386" s="110">
        <v>0.55000000000000004</v>
      </c>
      <c r="M386" s="109">
        <f t="shared" si="35"/>
        <v>3100</v>
      </c>
      <c r="N386" s="115"/>
      <c r="O386" s="111"/>
      <c r="P386" s="119">
        <f t="shared" si="37"/>
        <v>2407.4</v>
      </c>
      <c r="Q386" s="119">
        <f t="shared" si="33"/>
        <v>7240</v>
      </c>
      <c r="R386" s="147">
        <f t="shared" si="39"/>
        <v>-2544</v>
      </c>
      <c r="S386" s="119">
        <f t="shared" si="42"/>
        <v>1090.8</v>
      </c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</row>
    <row r="387" spans="1:38">
      <c r="A387" s="108">
        <v>42725</v>
      </c>
      <c r="B387" s="109">
        <v>172415</v>
      </c>
      <c r="C387" s="110">
        <v>0.80700000000000005</v>
      </c>
      <c r="D387" s="109">
        <f t="shared" si="34"/>
        <v>10075</v>
      </c>
      <c r="E387" s="115"/>
      <c r="F387" s="111"/>
      <c r="G387" s="119">
        <f t="shared" si="36"/>
        <v>-3974.2</v>
      </c>
      <c r="H387" s="119">
        <f t="shared" si="38"/>
        <v>-6070</v>
      </c>
      <c r="I387" s="147">
        <f t="shared" si="40"/>
        <v>18796</v>
      </c>
      <c r="J387" s="119">
        <f t="shared" si="41"/>
        <v>12052</v>
      </c>
      <c r="K387" s="109">
        <v>47102</v>
      </c>
      <c r="L387" s="110">
        <v>0.71599999999999997</v>
      </c>
      <c r="M387" s="109">
        <f t="shared" si="35"/>
        <v>3100</v>
      </c>
      <c r="N387" s="115"/>
      <c r="O387" s="111"/>
      <c r="P387" s="119">
        <f t="shared" si="37"/>
        <v>3279.8</v>
      </c>
      <c r="Q387" s="119">
        <f t="shared" ref="Q387:Q450" si="43">K387-K386</f>
        <v>10922</v>
      </c>
      <c r="R387" s="147">
        <f t="shared" si="39"/>
        <v>-7971</v>
      </c>
      <c r="S387" s="119">
        <f t="shared" si="42"/>
        <v>2043.2</v>
      </c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</row>
    <row r="388" spans="1:38">
      <c r="A388" s="108">
        <v>42732</v>
      </c>
      <c r="B388" s="109">
        <v>195920</v>
      </c>
      <c r="C388" s="110">
        <v>0.91599999999999993</v>
      </c>
      <c r="D388" s="109">
        <f t="shared" ref="D388:D451" si="44">IF(B388="","",IF(C388="","",MROUND((B388/C388)/(A388-A387)*330/1000,25)))</f>
        <v>10075</v>
      </c>
      <c r="E388" s="115"/>
      <c r="F388" s="111"/>
      <c r="G388" s="119">
        <f t="shared" si="36"/>
        <v>-2894</v>
      </c>
      <c r="H388" s="119">
        <f t="shared" si="38"/>
        <v>23505</v>
      </c>
      <c r="I388" s="147">
        <f t="shared" si="40"/>
        <v>30677</v>
      </c>
      <c r="J388" s="119">
        <f t="shared" si="41"/>
        <v>8735.2000000000007</v>
      </c>
      <c r="K388" s="109">
        <v>29074</v>
      </c>
      <c r="L388" s="110">
        <v>0.442</v>
      </c>
      <c r="M388" s="109">
        <f t="shared" ref="M388:M451" si="45">IF(K388="","",IF(L388="","",MROUND((K388/L388)/(A388-A387)*330/1000,25)))</f>
        <v>3100</v>
      </c>
      <c r="N388" s="115"/>
      <c r="O388" s="111"/>
      <c r="P388" s="119">
        <f t="shared" si="37"/>
        <v>-2019.8</v>
      </c>
      <c r="Q388" s="119">
        <f t="shared" si="43"/>
        <v>-18028</v>
      </c>
      <c r="R388" s="147">
        <f t="shared" si="39"/>
        <v>-23681</v>
      </c>
      <c r="S388" s="119">
        <f t="shared" si="42"/>
        <v>6751</v>
      </c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</row>
    <row r="389" spans="1:38">
      <c r="A389" s="108">
        <v>42739</v>
      </c>
      <c r="B389" s="109">
        <v>139197</v>
      </c>
      <c r="C389" s="110">
        <v>0.65099999999999991</v>
      </c>
      <c r="D389" s="109">
        <f t="shared" si="44"/>
        <v>10075</v>
      </c>
      <c r="E389" s="115"/>
      <c r="F389" s="111"/>
      <c r="G389" s="119">
        <f t="shared" si="36"/>
        <v>-3844.2</v>
      </c>
      <c r="H389" s="119">
        <f t="shared" si="38"/>
        <v>-56723</v>
      </c>
      <c r="I389" s="147">
        <f t="shared" si="40"/>
        <v>-16912</v>
      </c>
      <c r="J389" s="119">
        <f t="shared" si="41"/>
        <v>9745</v>
      </c>
      <c r="K389" s="109">
        <v>29750</v>
      </c>
      <c r="L389" s="110">
        <v>0.45200000000000001</v>
      </c>
      <c r="M389" s="109">
        <f t="shared" si="45"/>
        <v>3100</v>
      </c>
      <c r="N389" s="115"/>
      <c r="O389" s="111"/>
      <c r="P389" s="119">
        <f t="shared" si="37"/>
        <v>-4059.6</v>
      </c>
      <c r="Q389" s="119">
        <f t="shared" si="43"/>
        <v>676</v>
      </c>
      <c r="R389" s="147">
        <f t="shared" si="39"/>
        <v>-5700</v>
      </c>
      <c r="S389" s="119">
        <f t="shared" si="42"/>
        <v>4874</v>
      </c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</row>
    <row r="390" spans="1:38">
      <c r="A390" s="108">
        <v>42746</v>
      </c>
      <c r="B390" s="109">
        <v>134602</v>
      </c>
      <c r="C390" s="110">
        <v>0.63</v>
      </c>
      <c r="D390" s="109">
        <f t="shared" si="44"/>
        <v>10075</v>
      </c>
      <c r="E390" s="115"/>
      <c r="F390" s="111"/>
      <c r="G390" s="119">
        <f t="shared" si="36"/>
        <v>1779.6</v>
      </c>
      <c r="H390" s="119">
        <f t="shared" si="38"/>
        <v>-4595</v>
      </c>
      <c r="I390" s="147">
        <f t="shared" si="40"/>
        <v>-28229</v>
      </c>
      <c r="J390" s="119">
        <f t="shared" si="41"/>
        <v>8657.7999999999993</v>
      </c>
      <c r="K390" s="109">
        <v>47500</v>
      </c>
      <c r="L390" s="110">
        <v>0.72199999999999998</v>
      </c>
      <c r="M390" s="109">
        <f t="shared" si="45"/>
        <v>3100</v>
      </c>
      <c r="N390" s="115"/>
      <c r="O390" s="111"/>
      <c r="P390" s="119">
        <f t="shared" si="37"/>
        <v>-1116.8</v>
      </c>
      <c r="Q390" s="119">
        <f t="shared" si="43"/>
        <v>17750</v>
      </c>
      <c r="R390" s="147">
        <f t="shared" si="39"/>
        <v>10085</v>
      </c>
      <c r="S390" s="119">
        <f t="shared" si="42"/>
        <v>1968.6</v>
      </c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</row>
    <row r="391" spans="1:38">
      <c r="A391" s="108">
        <v>42753</v>
      </c>
      <c r="B391" s="109">
        <v>158833</v>
      </c>
      <c r="C391" s="110">
        <v>0.74299999999999999</v>
      </c>
      <c r="D391" s="109">
        <f t="shared" si="44"/>
        <v>10075</v>
      </c>
      <c r="E391" s="115"/>
      <c r="F391" s="111"/>
      <c r="G391" s="119">
        <f t="shared" si="36"/>
        <v>4615</v>
      </c>
      <c r="H391" s="119">
        <f t="shared" si="38"/>
        <v>24231</v>
      </c>
      <c r="I391" s="147">
        <f t="shared" si="40"/>
        <v>-7939</v>
      </c>
      <c r="J391" s="119">
        <f t="shared" si="41"/>
        <v>9817.2000000000007</v>
      </c>
      <c r="K391" s="109">
        <v>44414</v>
      </c>
      <c r="L391" s="110">
        <v>0.67500000000000004</v>
      </c>
      <c r="M391" s="109">
        <f t="shared" si="45"/>
        <v>3100</v>
      </c>
      <c r="N391" s="115"/>
      <c r="O391" s="111"/>
      <c r="P391" s="119">
        <f t="shared" si="37"/>
        <v>1737.6</v>
      </c>
      <c r="Q391" s="119">
        <f t="shared" si="43"/>
        <v>-3086</v>
      </c>
      <c r="R391" s="147">
        <f t="shared" si="39"/>
        <v>14963</v>
      </c>
      <c r="S391" s="119">
        <f t="shared" si="42"/>
        <v>2668.4</v>
      </c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</row>
    <row r="392" spans="1:38">
      <c r="A392" s="108">
        <v>42760</v>
      </c>
      <c r="B392" s="109">
        <v>169173</v>
      </c>
      <c r="C392" s="110">
        <v>0.79099999999999993</v>
      </c>
      <c r="D392" s="109">
        <f t="shared" si="44"/>
        <v>10075</v>
      </c>
      <c r="E392" s="115"/>
      <c r="F392" s="111"/>
      <c r="G392" s="119">
        <f t="shared" si="36"/>
        <v>-7746.2</v>
      </c>
      <c r="H392" s="119">
        <f t="shared" si="38"/>
        <v>10340</v>
      </c>
      <c r="I392" s="147">
        <f t="shared" si="40"/>
        <v>24620</v>
      </c>
      <c r="J392" s="119">
        <f t="shared" si="41"/>
        <v>9675.7999999999993</v>
      </c>
      <c r="K392" s="109">
        <v>27539</v>
      </c>
      <c r="L392" s="110">
        <v>0.41899999999999998</v>
      </c>
      <c r="M392" s="109">
        <f t="shared" si="45"/>
        <v>3100</v>
      </c>
      <c r="N392" s="115"/>
      <c r="O392" s="111"/>
      <c r="P392" s="119">
        <f t="shared" si="37"/>
        <v>2313.1999999999998</v>
      </c>
      <c r="Q392" s="119">
        <f t="shared" si="43"/>
        <v>-16875</v>
      </c>
      <c r="R392" s="147">
        <f t="shared" si="39"/>
        <v>-20655</v>
      </c>
      <c r="S392" s="119">
        <f t="shared" si="42"/>
        <v>1408.6</v>
      </c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</row>
    <row r="393" spans="1:38">
      <c r="A393" s="108">
        <v>42767</v>
      </c>
      <c r="B393" s="109">
        <v>179296</v>
      </c>
      <c r="C393" s="110">
        <v>0.83900000000000008</v>
      </c>
      <c r="D393" s="109">
        <f t="shared" si="44"/>
        <v>10075</v>
      </c>
      <c r="E393" s="115"/>
      <c r="F393" s="111"/>
      <c r="G393" s="119">
        <f t="shared" si="36"/>
        <v>6721.2</v>
      </c>
      <c r="H393" s="119">
        <f t="shared" si="38"/>
        <v>10123</v>
      </c>
      <c r="I393" s="147">
        <f t="shared" si="40"/>
        <v>25083</v>
      </c>
      <c r="J393" s="119">
        <f t="shared" si="41"/>
        <v>4103.6000000000004</v>
      </c>
      <c r="K393" s="109">
        <v>29863</v>
      </c>
      <c r="L393" s="110">
        <v>0.45399999999999996</v>
      </c>
      <c r="M393" s="109">
        <f t="shared" si="45"/>
        <v>3100</v>
      </c>
      <c r="N393" s="115"/>
      <c r="O393" s="111"/>
      <c r="P393" s="119">
        <f t="shared" si="37"/>
        <v>1515.4</v>
      </c>
      <c r="Q393" s="119">
        <f t="shared" si="43"/>
        <v>2324</v>
      </c>
      <c r="R393" s="147">
        <f t="shared" si="39"/>
        <v>-19205</v>
      </c>
      <c r="S393" s="119">
        <f t="shared" si="42"/>
        <v>4627.2</v>
      </c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</row>
    <row r="394" spans="1:38">
      <c r="A394" s="108">
        <v>42774</v>
      </c>
      <c r="B394" s="109">
        <v>190623</v>
      </c>
      <c r="C394" s="110">
        <v>0.89200000000000002</v>
      </c>
      <c r="D394" s="109">
        <f t="shared" si="44"/>
        <v>10075</v>
      </c>
      <c r="E394" s="115"/>
      <c r="F394" s="111"/>
      <c r="G394" s="119">
        <f t="shared" si="36"/>
        <v>2193.8000000000002</v>
      </c>
      <c r="H394" s="119">
        <f t="shared" si="38"/>
        <v>11327</v>
      </c>
      <c r="I394" s="147">
        <f t="shared" si="40"/>
        <v>28556</v>
      </c>
      <c r="J394" s="119">
        <f t="shared" si="41"/>
        <v>7860.8</v>
      </c>
      <c r="K394" s="109">
        <v>44644</v>
      </c>
      <c r="L394" s="110">
        <v>0.67799999999999994</v>
      </c>
      <c r="M394" s="109">
        <f t="shared" si="45"/>
        <v>3100</v>
      </c>
      <c r="N394" s="115"/>
      <c r="O394" s="111"/>
      <c r="P394" s="119">
        <f t="shared" si="37"/>
        <v>2230.1999999999998</v>
      </c>
      <c r="Q394" s="119">
        <f t="shared" si="43"/>
        <v>14781</v>
      </c>
      <c r="R394" s="147">
        <f t="shared" si="39"/>
        <v>5494</v>
      </c>
      <c r="S394" s="119">
        <f t="shared" si="42"/>
        <v>4670.8</v>
      </c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</row>
    <row r="395" spans="1:38">
      <c r="A395" s="108">
        <v>42781</v>
      </c>
      <c r="B395" s="109">
        <v>175131</v>
      </c>
      <c r="C395" s="110">
        <v>0.81900000000000006</v>
      </c>
      <c r="D395" s="109">
        <f t="shared" si="44"/>
        <v>10075</v>
      </c>
      <c r="E395" s="115"/>
      <c r="F395" s="111"/>
      <c r="G395" s="119">
        <f t="shared" si="36"/>
        <v>-3319.4</v>
      </c>
      <c r="H395" s="119">
        <f t="shared" si="38"/>
        <v>-15492</v>
      </c>
      <c r="I395" s="147">
        <f t="shared" si="40"/>
        <v>1537</v>
      </c>
      <c r="J395" s="119">
        <f t="shared" si="41"/>
        <v>8586.4</v>
      </c>
      <c r="K395" s="109">
        <v>38505</v>
      </c>
      <c r="L395" s="110">
        <v>0.58499999999999996</v>
      </c>
      <c r="M395" s="109">
        <f t="shared" si="45"/>
        <v>3100</v>
      </c>
      <c r="N395" s="115"/>
      <c r="O395" s="111"/>
      <c r="P395" s="119">
        <f t="shared" si="37"/>
        <v>-7549.6</v>
      </c>
      <c r="Q395" s="119">
        <f t="shared" si="43"/>
        <v>-6139</v>
      </c>
      <c r="R395" s="147">
        <f t="shared" si="39"/>
        <v>13544</v>
      </c>
      <c r="S395" s="119">
        <f t="shared" si="42"/>
        <v>2424.1999999999998</v>
      </c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</row>
    <row r="396" spans="1:38">
      <c r="A396" s="108">
        <v>42788</v>
      </c>
      <c r="B396" s="109">
        <v>177792</v>
      </c>
      <c r="C396" s="110">
        <v>0.83200000000000007</v>
      </c>
      <c r="D396" s="109">
        <f t="shared" si="44"/>
        <v>10075</v>
      </c>
      <c r="E396" s="115"/>
      <c r="F396" s="111"/>
      <c r="G396" s="119">
        <f t="shared" si="36"/>
        <v>2518</v>
      </c>
      <c r="H396" s="119">
        <f t="shared" si="38"/>
        <v>2661</v>
      </c>
      <c r="I396" s="147">
        <f t="shared" si="40"/>
        <v>-1247</v>
      </c>
      <c r="J396" s="119">
        <f t="shared" si="41"/>
        <v>13757</v>
      </c>
      <c r="K396" s="109">
        <v>27673</v>
      </c>
      <c r="L396" s="110">
        <v>0.42100000000000004</v>
      </c>
      <c r="M396" s="109">
        <f t="shared" si="45"/>
        <v>3100</v>
      </c>
      <c r="N396" s="115"/>
      <c r="O396" s="111"/>
      <c r="P396" s="119">
        <f t="shared" si="37"/>
        <v>-1566</v>
      </c>
      <c r="Q396" s="119">
        <f t="shared" si="43"/>
        <v>-10832</v>
      </c>
      <c r="R396" s="147">
        <f t="shared" si="39"/>
        <v>1034</v>
      </c>
      <c r="S396" s="119">
        <f t="shared" si="42"/>
        <v>260.60000000000002</v>
      </c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</row>
    <row r="397" spans="1:38">
      <c r="A397" s="108">
        <v>42795</v>
      </c>
      <c r="B397" s="109">
        <v>172241</v>
      </c>
      <c r="C397" s="110">
        <v>0.80599999999999994</v>
      </c>
      <c r="D397" s="109">
        <f t="shared" si="44"/>
        <v>10075</v>
      </c>
      <c r="E397" s="115"/>
      <c r="F397" s="111"/>
      <c r="G397" s="119">
        <f t="shared" si="36"/>
        <v>475.6</v>
      </c>
      <c r="H397" s="119">
        <f t="shared" si="38"/>
        <v>-5551</v>
      </c>
      <c r="I397" s="147">
        <f t="shared" si="40"/>
        <v>16691</v>
      </c>
      <c r="J397" s="119">
        <f t="shared" si="41"/>
        <v>12339.8</v>
      </c>
      <c r="K397" s="109">
        <v>33356</v>
      </c>
      <c r="L397" s="110">
        <v>0.50700000000000001</v>
      </c>
      <c r="M397" s="109">
        <f t="shared" si="45"/>
        <v>3100</v>
      </c>
      <c r="N397" s="115"/>
      <c r="O397" s="111"/>
      <c r="P397" s="119">
        <f t="shared" si="37"/>
        <v>2477.1999999999998</v>
      </c>
      <c r="Q397" s="119">
        <f t="shared" si="43"/>
        <v>5683</v>
      </c>
      <c r="R397" s="147">
        <f t="shared" si="39"/>
        <v>-8790</v>
      </c>
      <c r="S397" s="119">
        <f t="shared" si="42"/>
        <v>-303.60000000000002</v>
      </c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</row>
    <row r="398" spans="1:38">
      <c r="A398" s="108">
        <v>42802</v>
      </c>
      <c r="B398" s="109">
        <v>183320</v>
      </c>
      <c r="C398" s="110">
        <v>0.85799999999999998</v>
      </c>
      <c r="D398" s="109">
        <f t="shared" si="44"/>
        <v>10075</v>
      </c>
      <c r="E398" s="115"/>
      <c r="F398" s="111"/>
      <c r="G398" s="119">
        <f t="shared" si="36"/>
        <v>-4268</v>
      </c>
      <c r="H398" s="119">
        <f t="shared" si="38"/>
        <v>11079</v>
      </c>
      <c r="I398" s="147">
        <f t="shared" si="40"/>
        <v>25101</v>
      </c>
      <c r="J398" s="119">
        <f t="shared" si="41"/>
        <v>7084</v>
      </c>
      <c r="K398" s="109">
        <v>45410</v>
      </c>
      <c r="L398" s="110">
        <v>0.69</v>
      </c>
      <c r="M398" s="109">
        <f t="shared" si="45"/>
        <v>3100</v>
      </c>
      <c r="N398" s="115"/>
      <c r="O398" s="111"/>
      <c r="P398" s="119">
        <f t="shared" si="37"/>
        <v>1955.6</v>
      </c>
      <c r="Q398" s="119">
        <f t="shared" si="43"/>
        <v>12054</v>
      </c>
      <c r="R398" s="147">
        <f t="shared" si="39"/>
        <v>4570</v>
      </c>
      <c r="S398" s="119">
        <f t="shared" si="42"/>
        <v>2619.1999999999998</v>
      </c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</row>
    <row r="399" spans="1:38">
      <c r="A399" s="108">
        <v>42809</v>
      </c>
      <c r="B399" s="109">
        <v>198859</v>
      </c>
      <c r="C399" s="110">
        <v>0.93</v>
      </c>
      <c r="D399" s="109">
        <f t="shared" si="44"/>
        <v>10075</v>
      </c>
      <c r="E399" s="115"/>
      <c r="F399" s="111"/>
      <c r="G399" s="119">
        <f t="shared" si="36"/>
        <v>11796.2</v>
      </c>
      <c r="H399" s="119">
        <f t="shared" si="38"/>
        <v>15539</v>
      </c>
      <c r="I399" s="147">
        <f t="shared" si="40"/>
        <v>10778</v>
      </c>
      <c r="J399" s="119">
        <f t="shared" si="41"/>
        <v>5976.4</v>
      </c>
      <c r="K399" s="109">
        <v>35312</v>
      </c>
      <c r="L399" s="110">
        <v>0.53700000000000003</v>
      </c>
      <c r="M399" s="109">
        <f t="shared" si="45"/>
        <v>3100</v>
      </c>
      <c r="N399" s="115"/>
      <c r="O399" s="111"/>
      <c r="P399" s="119">
        <f t="shared" si="37"/>
        <v>-4851.3999999999996</v>
      </c>
      <c r="Q399" s="119">
        <f t="shared" si="43"/>
        <v>-10098</v>
      </c>
      <c r="R399" s="147">
        <f t="shared" si="39"/>
        <v>10368</v>
      </c>
      <c r="S399" s="119">
        <f t="shared" si="42"/>
        <v>2328</v>
      </c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</row>
    <row r="400" spans="1:38">
      <c r="A400" s="108">
        <v>42816</v>
      </c>
      <c r="B400" s="109">
        <v>171190</v>
      </c>
      <c r="C400" s="110">
        <v>0.80099999999999993</v>
      </c>
      <c r="D400" s="109">
        <f t="shared" si="44"/>
        <v>10075</v>
      </c>
      <c r="E400" s="115"/>
      <c r="F400" s="111"/>
      <c r="G400" s="119">
        <f t="shared" si="36"/>
        <v>-989.8</v>
      </c>
      <c r="H400" s="119">
        <f t="shared" si="38"/>
        <v>-27669</v>
      </c>
      <c r="I400" s="147">
        <f t="shared" si="40"/>
        <v>-1424</v>
      </c>
      <c r="J400" s="119">
        <f t="shared" si="41"/>
        <v>12652.4</v>
      </c>
      <c r="K400" s="109">
        <v>25053</v>
      </c>
      <c r="L400" s="110">
        <v>0.38100000000000001</v>
      </c>
      <c r="M400" s="109">
        <f t="shared" si="45"/>
        <v>3100</v>
      </c>
      <c r="N400" s="115"/>
      <c r="O400" s="111"/>
      <c r="P400" s="119">
        <f t="shared" si="37"/>
        <v>327.2</v>
      </c>
      <c r="Q400" s="119">
        <f t="shared" si="43"/>
        <v>-10259</v>
      </c>
      <c r="R400" s="147">
        <f t="shared" si="39"/>
        <v>1636</v>
      </c>
      <c r="S400" s="119">
        <f t="shared" si="42"/>
        <v>-748</v>
      </c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</row>
    <row r="401" spans="1:38">
      <c r="A401" s="108">
        <v>42823</v>
      </c>
      <c r="B401" s="109">
        <v>181266</v>
      </c>
      <c r="C401" s="110">
        <v>0.84799999999999998</v>
      </c>
      <c r="D401" s="109">
        <f t="shared" si="44"/>
        <v>10075</v>
      </c>
      <c r="E401" s="115"/>
      <c r="F401" s="111"/>
      <c r="G401" s="119">
        <f t="shared" si="36"/>
        <v>-8841.7999999999993</v>
      </c>
      <c r="H401" s="119">
        <f t="shared" si="38"/>
        <v>10076</v>
      </c>
      <c r="I401" s="147">
        <f t="shared" si="40"/>
        <v>19954</v>
      </c>
      <c r="J401" s="119">
        <f t="shared" si="41"/>
        <v>12789.6</v>
      </c>
      <c r="K401" s="109">
        <v>30611</v>
      </c>
      <c r="L401" s="110">
        <v>0.46500000000000002</v>
      </c>
      <c r="M401" s="109">
        <f t="shared" si="45"/>
        <v>3100</v>
      </c>
      <c r="N401" s="115"/>
      <c r="O401" s="111"/>
      <c r="P401" s="119">
        <f t="shared" si="37"/>
        <v>5263.8</v>
      </c>
      <c r="Q401" s="119">
        <f t="shared" si="43"/>
        <v>5558</v>
      </c>
      <c r="R401" s="147">
        <f t="shared" si="39"/>
        <v>-13915</v>
      </c>
      <c r="S401" s="119">
        <f t="shared" si="42"/>
        <v>-331</v>
      </c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</row>
    <row r="402" spans="1:38">
      <c r="A402" s="108">
        <v>42830</v>
      </c>
      <c r="B402" s="109">
        <v>203951</v>
      </c>
      <c r="C402" s="110">
        <v>0.95400000000000007</v>
      </c>
      <c r="D402" s="109">
        <f t="shared" si="44"/>
        <v>10075</v>
      </c>
      <c r="E402" s="115"/>
      <c r="F402" s="111"/>
      <c r="G402" s="119">
        <f t="shared" si="36"/>
        <v>-1254.2</v>
      </c>
      <c r="H402" s="119">
        <f t="shared" si="38"/>
        <v>22685</v>
      </c>
      <c r="I402" s="147">
        <f t="shared" si="40"/>
        <v>60655</v>
      </c>
      <c r="J402" s="119">
        <f t="shared" si="41"/>
        <v>8767.6</v>
      </c>
      <c r="K402" s="109">
        <v>47088</v>
      </c>
      <c r="L402" s="110">
        <v>0.71599999999999997</v>
      </c>
      <c r="M402" s="109">
        <f t="shared" si="45"/>
        <v>3100</v>
      </c>
      <c r="N402" s="115"/>
      <c r="O402" s="111"/>
      <c r="P402" s="119">
        <f t="shared" si="37"/>
        <v>1829</v>
      </c>
      <c r="Q402" s="119">
        <f t="shared" si="43"/>
        <v>16477</v>
      </c>
      <c r="R402" s="147">
        <f t="shared" si="39"/>
        <v>-2152</v>
      </c>
      <c r="S402" s="119">
        <f t="shared" si="42"/>
        <v>2758.6</v>
      </c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</row>
    <row r="403" spans="1:38">
      <c r="A403" s="108">
        <v>42837</v>
      </c>
      <c r="B403" s="109">
        <v>180876</v>
      </c>
      <c r="C403" s="110">
        <v>0.84599999999999997</v>
      </c>
      <c r="D403" s="109">
        <f t="shared" si="44"/>
        <v>10075</v>
      </c>
      <c r="E403" s="115"/>
      <c r="F403" s="111"/>
      <c r="G403" s="119">
        <f t="shared" si="36"/>
        <v>-4355.2</v>
      </c>
      <c r="H403" s="119">
        <f t="shared" si="38"/>
        <v>-23075</v>
      </c>
      <c r="I403" s="147">
        <f t="shared" si="40"/>
        <v>29114</v>
      </c>
      <c r="J403" s="119">
        <f t="shared" si="41"/>
        <v>4210.6000000000004</v>
      </c>
      <c r="K403" s="109">
        <v>28716</v>
      </c>
      <c r="L403" s="110">
        <v>0.436</v>
      </c>
      <c r="M403" s="109">
        <f t="shared" si="45"/>
        <v>3100</v>
      </c>
      <c r="N403" s="115"/>
      <c r="O403" s="111"/>
      <c r="P403" s="119">
        <f t="shared" si="37"/>
        <v>-4890.6000000000004</v>
      </c>
      <c r="Q403" s="119">
        <f t="shared" si="43"/>
        <v>-18372</v>
      </c>
      <c r="R403" s="147">
        <f t="shared" si="39"/>
        <v>1470</v>
      </c>
      <c r="S403" s="119">
        <f t="shared" si="42"/>
        <v>3910.8</v>
      </c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</row>
    <row r="404" spans="1:38">
      <c r="A404" s="108">
        <v>42844</v>
      </c>
      <c r="B404" s="109">
        <v>187745</v>
      </c>
      <c r="C404" s="110">
        <v>0.878</v>
      </c>
      <c r="D404" s="109">
        <f t="shared" si="44"/>
        <v>10075</v>
      </c>
      <c r="E404" s="115"/>
      <c r="F404" s="111"/>
      <c r="G404" s="119">
        <f t="shared" si="36"/>
        <v>14630.8</v>
      </c>
      <c r="H404" s="119">
        <f t="shared" si="38"/>
        <v>6869</v>
      </c>
      <c r="I404" s="147">
        <f t="shared" si="40"/>
        <v>7667</v>
      </c>
      <c r="J404" s="119">
        <f t="shared" si="41"/>
        <v>5749.8</v>
      </c>
      <c r="K404" s="109">
        <v>44824</v>
      </c>
      <c r="L404" s="110">
        <v>0.68099999999999994</v>
      </c>
      <c r="M404" s="109">
        <f t="shared" si="45"/>
        <v>3100</v>
      </c>
      <c r="N404" s="115"/>
      <c r="O404" s="111"/>
      <c r="P404" s="119">
        <f t="shared" si="37"/>
        <v>-2773.2</v>
      </c>
      <c r="Q404" s="119">
        <f t="shared" si="43"/>
        <v>16108</v>
      </c>
      <c r="R404" s="147">
        <f t="shared" si="39"/>
        <v>17525</v>
      </c>
      <c r="S404" s="119">
        <f t="shared" si="42"/>
        <v>498.6</v>
      </c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</row>
    <row r="405" spans="1:38">
      <c r="A405" s="108">
        <v>42851</v>
      </c>
      <c r="B405" s="109">
        <v>199684</v>
      </c>
      <c r="C405" s="110">
        <v>0.93400000000000005</v>
      </c>
      <c r="D405" s="109">
        <f t="shared" si="44"/>
        <v>10075</v>
      </c>
      <c r="E405" s="115"/>
      <c r="F405" s="111"/>
      <c r="G405" s="119">
        <f t="shared" si="36"/>
        <v>-26510</v>
      </c>
      <c r="H405" s="119">
        <f t="shared" si="38"/>
        <v>11939</v>
      </c>
      <c r="I405" s="147">
        <f t="shared" si="40"/>
        <v>88775</v>
      </c>
      <c r="J405" s="119">
        <f t="shared" si="41"/>
        <v>14255</v>
      </c>
      <c r="K405" s="109">
        <v>27817</v>
      </c>
      <c r="L405" s="110">
        <v>0.42299999999999999</v>
      </c>
      <c r="M405" s="109">
        <f t="shared" si="45"/>
        <v>3100</v>
      </c>
      <c r="N405" s="115"/>
      <c r="O405" s="111"/>
      <c r="P405" s="119">
        <f t="shared" si="37"/>
        <v>996.6</v>
      </c>
      <c r="Q405" s="119">
        <f t="shared" si="43"/>
        <v>-17007</v>
      </c>
      <c r="R405" s="147">
        <f t="shared" si="39"/>
        <v>-14445</v>
      </c>
      <c r="S405" s="119">
        <f t="shared" si="42"/>
        <v>417.8</v>
      </c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</row>
    <row r="406" spans="1:38">
      <c r="A406" s="108">
        <v>42858</v>
      </c>
      <c r="B406" s="109">
        <v>178485</v>
      </c>
      <c r="C406" s="110">
        <v>0.83499999999999996</v>
      </c>
      <c r="D406" s="109">
        <f t="shared" si="44"/>
        <v>10075</v>
      </c>
      <c r="E406" s="115"/>
      <c r="F406" s="111"/>
      <c r="G406" s="119">
        <f t="shared" si="36"/>
        <v>-10206.200000000001</v>
      </c>
      <c r="H406" s="119">
        <f t="shared" si="38"/>
        <v>-21199</v>
      </c>
      <c r="I406" s="147">
        <f t="shared" si="40"/>
        <v>47234</v>
      </c>
      <c r="J406" s="119">
        <f t="shared" si="41"/>
        <v>-1039.5999999999999</v>
      </c>
      <c r="K406" s="109">
        <v>39229</v>
      </c>
      <c r="L406" s="110">
        <v>0.59599999999999997</v>
      </c>
      <c r="M406" s="109">
        <f t="shared" si="45"/>
        <v>3100</v>
      </c>
      <c r="N406" s="115"/>
      <c r="O406" s="111"/>
      <c r="P406" s="119">
        <f t="shared" si="37"/>
        <v>2577.1999999999998</v>
      </c>
      <c r="Q406" s="119">
        <f t="shared" si="43"/>
        <v>11412</v>
      </c>
      <c r="R406" s="147">
        <f t="shared" si="39"/>
        <v>-6338</v>
      </c>
      <c r="S406" s="119">
        <f t="shared" si="42"/>
        <v>2571</v>
      </c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</row>
    <row r="407" spans="1:38">
      <c r="A407" s="108">
        <v>42865</v>
      </c>
      <c r="B407" s="109">
        <v>172415</v>
      </c>
      <c r="C407" s="110">
        <v>0.80700000000000005</v>
      </c>
      <c r="D407" s="109">
        <f t="shared" si="44"/>
        <v>10075</v>
      </c>
      <c r="E407" s="115"/>
      <c r="F407" s="111"/>
      <c r="G407" s="119">
        <f t="shared" si="36"/>
        <v>12357.8</v>
      </c>
      <c r="H407" s="119">
        <f t="shared" si="38"/>
        <v>-6070</v>
      </c>
      <c r="I407" s="147">
        <f t="shared" si="40"/>
        <v>33307</v>
      </c>
      <c r="J407" s="119">
        <f t="shared" si="41"/>
        <v>4880.6000000000004</v>
      </c>
      <c r="K407" s="109">
        <v>27557</v>
      </c>
      <c r="L407" s="110">
        <v>0.41899999999999998</v>
      </c>
      <c r="M407" s="109">
        <f t="shared" si="45"/>
        <v>3100</v>
      </c>
      <c r="N407" s="115"/>
      <c r="O407" s="111"/>
      <c r="P407" s="119">
        <f t="shared" si="37"/>
        <v>1224.5999999999999</v>
      </c>
      <c r="Q407" s="119">
        <f t="shared" si="43"/>
        <v>-11672</v>
      </c>
      <c r="R407" s="147">
        <f t="shared" si="39"/>
        <v>-16695</v>
      </c>
      <c r="S407" s="119">
        <f t="shared" si="42"/>
        <v>3554.2</v>
      </c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</row>
    <row r="408" spans="1:38">
      <c r="A408" s="108">
        <v>42872</v>
      </c>
      <c r="B408" s="109">
        <v>195920</v>
      </c>
      <c r="C408" s="110">
        <v>0.91599999999999993</v>
      </c>
      <c r="D408" s="109">
        <f t="shared" si="44"/>
        <v>10075</v>
      </c>
      <c r="E408" s="115"/>
      <c r="F408" s="111"/>
      <c r="G408" s="119">
        <f t="shared" si="36"/>
        <v>11422.6</v>
      </c>
      <c r="H408" s="119">
        <f t="shared" si="38"/>
        <v>23505</v>
      </c>
      <c r="I408" s="147">
        <f t="shared" si="40"/>
        <v>33412</v>
      </c>
      <c r="J408" s="119">
        <f t="shared" si="41"/>
        <v>4478</v>
      </c>
      <c r="K408" s="109">
        <v>44287</v>
      </c>
      <c r="L408" s="110">
        <v>0.67299999999999993</v>
      </c>
      <c r="M408" s="109">
        <f t="shared" si="45"/>
        <v>3100</v>
      </c>
      <c r="N408" s="115"/>
      <c r="O408" s="111"/>
      <c r="P408" s="119">
        <f t="shared" si="37"/>
        <v>-1595.2</v>
      </c>
      <c r="Q408" s="119">
        <f t="shared" si="43"/>
        <v>16730</v>
      </c>
      <c r="R408" s="147">
        <f t="shared" si="39"/>
        <v>13633</v>
      </c>
      <c r="S408" s="119">
        <f t="shared" si="42"/>
        <v>3012.2</v>
      </c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</row>
    <row r="409" spans="1:38">
      <c r="A409" s="108">
        <v>42879</v>
      </c>
      <c r="B409" s="109">
        <v>200294</v>
      </c>
      <c r="C409" s="110">
        <v>0.93700000000000006</v>
      </c>
      <c r="D409" s="109">
        <f t="shared" si="44"/>
        <v>10075</v>
      </c>
      <c r="E409" s="115"/>
      <c r="F409" s="111"/>
      <c r="G409" s="119">
        <f t="shared" si="36"/>
        <v>-10341.799999999999</v>
      </c>
      <c r="H409" s="119">
        <f t="shared" si="38"/>
        <v>4374</v>
      </c>
      <c r="I409" s="147">
        <f t="shared" si="40"/>
        <v>20809</v>
      </c>
      <c r="J409" s="119">
        <f t="shared" si="41"/>
        <v>14335.6</v>
      </c>
      <c r="K409" s="109">
        <v>27822</v>
      </c>
      <c r="L409" s="110">
        <v>0.42299999999999999</v>
      </c>
      <c r="M409" s="109">
        <f t="shared" si="45"/>
        <v>3100</v>
      </c>
      <c r="N409" s="115"/>
      <c r="O409" s="111"/>
      <c r="P409" s="119">
        <f t="shared" si="37"/>
        <v>-5433.6</v>
      </c>
      <c r="Q409" s="119">
        <f t="shared" si="43"/>
        <v>-16465</v>
      </c>
      <c r="R409" s="147">
        <f t="shared" si="39"/>
        <v>2492</v>
      </c>
      <c r="S409" s="119">
        <f t="shared" si="42"/>
        <v>1040.8</v>
      </c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</row>
    <row r="410" spans="1:38">
      <c r="A410" s="108">
        <v>42886</v>
      </c>
      <c r="B410" s="109">
        <v>171500</v>
      </c>
      <c r="C410" s="110">
        <v>0.80200000000000005</v>
      </c>
      <c r="D410" s="109">
        <f t="shared" si="44"/>
        <v>10075</v>
      </c>
      <c r="E410" s="115"/>
      <c r="F410" s="111"/>
      <c r="G410" s="119">
        <f t="shared" si="36"/>
        <v>-15388.8</v>
      </c>
      <c r="H410" s="119">
        <f t="shared" si="38"/>
        <v>-28794</v>
      </c>
      <c r="I410" s="147">
        <f t="shared" si="40"/>
        <v>31513</v>
      </c>
      <c r="J410" s="119">
        <f t="shared" si="41"/>
        <v>18605.599999999999</v>
      </c>
      <c r="K410" s="109">
        <v>43793</v>
      </c>
      <c r="L410" s="110">
        <v>0.66599999999999993</v>
      </c>
      <c r="M410" s="109">
        <f t="shared" si="45"/>
        <v>3100</v>
      </c>
      <c r="N410" s="115"/>
      <c r="O410" s="111"/>
      <c r="P410" s="119">
        <f t="shared" si="37"/>
        <v>-5136.2</v>
      </c>
      <c r="Q410" s="119">
        <f t="shared" si="43"/>
        <v>15971</v>
      </c>
      <c r="R410" s="147">
        <f t="shared" si="39"/>
        <v>29105</v>
      </c>
      <c r="S410" s="119">
        <f t="shared" si="42"/>
        <v>-212.2</v>
      </c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</row>
    <row r="411" spans="1:38">
      <c r="A411" s="108">
        <v>42893</v>
      </c>
      <c r="B411" s="109">
        <v>157532</v>
      </c>
      <c r="C411" s="110">
        <v>0.73699999999999999</v>
      </c>
      <c r="D411" s="109">
        <f t="shared" si="44"/>
        <v>10075</v>
      </c>
      <c r="E411" s="115"/>
      <c r="F411" s="111"/>
      <c r="G411" s="119">
        <f t="shared" si="36"/>
        <v>15108</v>
      </c>
      <c r="H411" s="119">
        <f t="shared" si="38"/>
        <v>-13968</v>
      </c>
      <c r="I411" s="147">
        <f t="shared" si="40"/>
        <v>-16341</v>
      </c>
      <c r="J411" s="119">
        <f t="shared" si="41"/>
        <v>6276.6</v>
      </c>
      <c r="K411" s="109">
        <v>26276</v>
      </c>
      <c r="L411" s="110">
        <v>0.39899999999999997</v>
      </c>
      <c r="M411" s="109">
        <f t="shared" si="45"/>
        <v>3100</v>
      </c>
      <c r="N411" s="115"/>
      <c r="O411" s="111"/>
      <c r="P411" s="119">
        <f t="shared" si="37"/>
        <v>5287.8</v>
      </c>
      <c r="Q411" s="119">
        <f t="shared" si="43"/>
        <v>-17517</v>
      </c>
      <c r="R411" s="147">
        <f t="shared" si="39"/>
        <v>-3845</v>
      </c>
      <c r="S411" s="119">
        <f t="shared" si="42"/>
        <v>-2186.8000000000002</v>
      </c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</row>
    <row r="412" spans="1:38">
      <c r="A412" s="108">
        <v>42900</v>
      </c>
      <c r="B412" s="109">
        <v>185576</v>
      </c>
      <c r="C412" s="110">
        <v>0.86799999999999999</v>
      </c>
      <c r="D412" s="109">
        <f t="shared" si="44"/>
        <v>10075</v>
      </c>
      <c r="E412" s="115"/>
      <c r="F412" s="111"/>
      <c r="G412" s="119">
        <f t="shared" si="36"/>
        <v>-3847</v>
      </c>
      <c r="H412" s="119">
        <f t="shared" si="38"/>
        <v>28044</v>
      </c>
      <c r="I412" s="147">
        <f t="shared" si="40"/>
        <v>27123</v>
      </c>
      <c r="J412" s="119">
        <f t="shared" si="41"/>
        <v>10273.799999999999</v>
      </c>
      <c r="K412" s="109">
        <v>44239</v>
      </c>
      <c r="L412" s="110">
        <v>0.67200000000000004</v>
      </c>
      <c r="M412" s="109">
        <f t="shared" si="45"/>
        <v>3100</v>
      </c>
      <c r="N412" s="115"/>
      <c r="O412" s="111"/>
      <c r="P412" s="119">
        <f t="shared" si="37"/>
        <v>3024.8</v>
      </c>
      <c r="Q412" s="119">
        <f t="shared" si="43"/>
        <v>17963</v>
      </c>
      <c r="R412" s="147">
        <f t="shared" si="39"/>
        <v>3630</v>
      </c>
      <c r="S412" s="119">
        <f t="shared" si="42"/>
        <v>3290</v>
      </c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</row>
    <row r="413" spans="1:38">
      <c r="A413" s="108">
        <v>42907</v>
      </c>
      <c r="B413" s="109">
        <v>188392</v>
      </c>
      <c r="C413" s="110">
        <v>0.88099999999999989</v>
      </c>
      <c r="D413" s="109">
        <f t="shared" si="44"/>
        <v>10075</v>
      </c>
      <c r="E413" s="115"/>
      <c r="F413" s="111"/>
      <c r="G413" s="119">
        <f t="shared" ref="G413:G476" si="46">AVERAGE(B361-B360,B309-B308,B257-B256,B205-B204,B153-B152)</f>
        <v>17892.400000000001</v>
      </c>
      <c r="H413" s="119">
        <f t="shared" si="38"/>
        <v>2816</v>
      </c>
      <c r="I413" s="147">
        <f t="shared" si="40"/>
        <v>34837</v>
      </c>
      <c r="J413" s="119">
        <f t="shared" si="41"/>
        <v>9500</v>
      </c>
      <c r="K413" s="109">
        <v>27482</v>
      </c>
      <c r="L413" s="110">
        <v>0.41799999999999998</v>
      </c>
      <c r="M413" s="109">
        <f t="shared" si="45"/>
        <v>3100</v>
      </c>
      <c r="N413" s="115"/>
      <c r="O413" s="111"/>
      <c r="P413" s="119">
        <f t="shared" si="37"/>
        <v>-7452.6</v>
      </c>
      <c r="Q413" s="119">
        <f t="shared" si="43"/>
        <v>-16757</v>
      </c>
      <c r="R413" s="147">
        <f t="shared" si="39"/>
        <v>1197</v>
      </c>
      <c r="S413" s="119">
        <f t="shared" si="42"/>
        <v>2443.4</v>
      </c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</row>
    <row r="414" spans="1:38">
      <c r="A414" s="108">
        <v>42914</v>
      </c>
      <c r="B414" s="109">
        <v>182085</v>
      </c>
      <c r="C414" s="110">
        <v>0.85199999999999998</v>
      </c>
      <c r="D414" s="109">
        <f t="shared" si="44"/>
        <v>10075</v>
      </c>
      <c r="E414" s="115"/>
      <c r="F414" s="111"/>
      <c r="G414" s="119">
        <f t="shared" si="46"/>
        <v>5269</v>
      </c>
      <c r="H414" s="119">
        <f t="shared" si="38"/>
        <v>-6307</v>
      </c>
      <c r="I414" s="147">
        <f t="shared" si="40"/>
        <v>-530</v>
      </c>
      <c r="J414" s="119">
        <f t="shared" si="41"/>
        <v>7422</v>
      </c>
      <c r="K414" s="109">
        <v>41915</v>
      </c>
      <c r="L414" s="110">
        <v>0.63700000000000001</v>
      </c>
      <c r="M414" s="109">
        <f t="shared" si="45"/>
        <v>3100</v>
      </c>
      <c r="N414" s="115"/>
      <c r="O414" s="111"/>
      <c r="P414" s="119">
        <f t="shared" ref="P414:P477" si="47">AVERAGE(K362-K361,K310-K309,K258-K257,K206-K205,K154-K153)</f>
        <v>-843.4</v>
      </c>
      <c r="Q414" s="119">
        <f t="shared" si="43"/>
        <v>14433</v>
      </c>
      <c r="R414" s="147">
        <f t="shared" si="39"/>
        <v>25531</v>
      </c>
      <c r="S414" s="119">
        <f t="shared" si="42"/>
        <v>1716.8</v>
      </c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</row>
    <row r="415" spans="1:38">
      <c r="A415" s="108">
        <v>42921</v>
      </c>
      <c r="B415" s="109">
        <v>178910</v>
      </c>
      <c r="C415" s="110">
        <v>0.83700000000000008</v>
      </c>
      <c r="D415" s="109">
        <f t="shared" si="44"/>
        <v>10075</v>
      </c>
      <c r="E415" s="115"/>
      <c r="F415" s="111"/>
      <c r="G415" s="119">
        <f t="shared" si="46"/>
        <v>-5281.2</v>
      </c>
      <c r="H415" s="119">
        <f t="shared" si="38"/>
        <v>-3175</v>
      </c>
      <c r="I415" s="147">
        <f t="shared" si="40"/>
        <v>4876</v>
      </c>
      <c r="J415" s="119">
        <f t="shared" si="41"/>
        <v>14210.2</v>
      </c>
      <c r="K415" s="109">
        <v>31825</v>
      </c>
      <c r="L415" s="110">
        <v>0.48399999999999999</v>
      </c>
      <c r="M415" s="109">
        <f t="shared" si="45"/>
        <v>3100</v>
      </c>
      <c r="N415" s="115"/>
      <c r="O415" s="111"/>
      <c r="P415" s="119">
        <f t="shared" si="47"/>
        <v>6652.8</v>
      </c>
      <c r="Q415" s="119">
        <f t="shared" si="43"/>
        <v>-10090</v>
      </c>
      <c r="R415" s="147">
        <f t="shared" si="39"/>
        <v>-13217</v>
      </c>
      <c r="S415" s="119">
        <f t="shared" si="42"/>
        <v>288.60000000000002</v>
      </c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</row>
    <row r="416" spans="1:38">
      <c r="A416" s="108">
        <v>42928</v>
      </c>
      <c r="B416" s="109">
        <v>201410</v>
      </c>
      <c r="C416" s="110">
        <v>0.94200000000000006</v>
      </c>
      <c r="D416" s="109">
        <f t="shared" si="44"/>
        <v>10075</v>
      </c>
      <c r="E416" s="115"/>
      <c r="F416" s="111"/>
      <c r="G416" s="119">
        <f t="shared" si="46"/>
        <v>10388.799999999999</v>
      </c>
      <c r="H416" s="119">
        <f t="shared" si="38"/>
        <v>22500</v>
      </c>
      <c r="I416" s="147">
        <f t="shared" si="40"/>
        <v>9959</v>
      </c>
      <c r="J416" s="119">
        <f t="shared" si="41"/>
        <v>10656</v>
      </c>
      <c r="K416" s="109">
        <v>35646</v>
      </c>
      <c r="L416" s="110">
        <v>0.54200000000000004</v>
      </c>
      <c r="M416" s="109">
        <f t="shared" si="45"/>
        <v>3100</v>
      </c>
      <c r="N416" s="115"/>
      <c r="O416" s="111"/>
      <c r="P416" s="119">
        <f t="shared" si="47"/>
        <v>2905</v>
      </c>
      <c r="Q416" s="119">
        <f t="shared" si="43"/>
        <v>3821</v>
      </c>
      <c r="R416" s="147">
        <f t="shared" si="39"/>
        <v>3161</v>
      </c>
      <c r="S416" s="119">
        <f t="shared" si="42"/>
        <v>4845</v>
      </c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</row>
    <row r="417" spans="1:38">
      <c r="A417" s="108">
        <v>42935</v>
      </c>
      <c r="B417" s="109">
        <v>183613</v>
      </c>
      <c r="C417" s="110">
        <v>0.8590000000000001</v>
      </c>
      <c r="D417" s="109">
        <f t="shared" si="44"/>
        <v>10075</v>
      </c>
      <c r="E417" s="115"/>
      <c r="F417" s="111"/>
      <c r="G417" s="119">
        <f t="shared" si="46"/>
        <v>-4836.3999999999996</v>
      </c>
      <c r="H417" s="119">
        <f t="shared" si="38"/>
        <v>-17797</v>
      </c>
      <c r="I417" s="147">
        <f t="shared" si="40"/>
        <v>1633</v>
      </c>
      <c r="J417" s="119">
        <f t="shared" si="41"/>
        <v>13061.4</v>
      </c>
      <c r="K417" s="109">
        <v>16367</v>
      </c>
      <c r="L417" s="110">
        <v>0.249</v>
      </c>
      <c r="M417" s="109">
        <f t="shared" si="45"/>
        <v>3100</v>
      </c>
      <c r="N417" s="115"/>
      <c r="O417" s="111"/>
      <c r="P417" s="119">
        <f t="shared" si="47"/>
        <v>2228</v>
      </c>
      <c r="Q417" s="119">
        <f t="shared" si="43"/>
        <v>-19279</v>
      </c>
      <c r="R417" s="147">
        <f t="shared" si="39"/>
        <v>-17302</v>
      </c>
      <c r="S417" s="119">
        <f t="shared" si="42"/>
        <v>740.4</v>
      </c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</row>
    <row r="418" spans="1:38">
      <c r="A418" s="108">
        <v>42942</v>
      </c>
      <c r="B418" s="109">
        <v>173363</v>
      </c>
      <c r="C418" s="110">
        <v>0.81099999999999994</v>
      </c>
      <c r="D418" s="109">
        <f t="shared" si="44"/>
        <v>10075</v>
      </c>
      <c r="E418" s="115"/>
      <c r="F418" s="111"/>
      <c r="G418" s="119">
        <f t="shared" si="46"/>
        <v>-26735.8</v>
      </c>
      <c r="H418" s="119">
        <f t="shared" si="38"/>
        <v>-10250</v>
      </c>
      <c r="I418" s="147">
        <f t="shared" si="40"/>
        <v>13479</v>
      </c>
      <c r="J418" s="119">
        <f t="shared" si="41"/>
        <v>26367.4</v>
      </c>
      <c r="K418" s="109">
        <v>37209</v>
      </c>
      <c r="L418" s="110">
        <v>0.56499999999999995</v>
      </c>
      <c r="M418" s="109">
        <f t="shared" si="45"/>
        <v>3100</v>
      </c>
      <c r="N418" s="115"/>
      <c r="O418" s="111"/>
      <c r="P418" s="119">
        <f t="shared" si="47"/>
        <v>-8971.7999999999993</v>
      </c>
      <c r="Q418" s="119">
        <f t="shared" si="43"/>
        <v>20842</v>
      </c>
      <c r="R418" s="147">
        <f t="shared" si="39"/>
        <v>-9573</v>
      </c>
      <c r="S418" s="119">
        <f t="shared" si="42"/>
        <v>4641.3999999999996</v>
      </c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</row>
    <row r="419" spans="1:38">
      <c r="A419" s="108">
        <v>42949</v>
      </c>
      <c r="B419" s="109">
        <v>180860</v>
      </c>
      <c r="C419" s="110">
        <v>0.84599999999999997</v>
      </c>
      <c r="D419" s="109">
        <f t="shared" si="44"/>
        <v>10075</v>
      </c>
      <c r="E419" s="115"/>
      <c r="F419" s="111"/>
      <c r="G419" s="119">
        <f t="shared" si="46"/>
        <v>-11707.6</v>
      </c>
      <c r="H419" s="119">
        <f t="shared" si="38"/>
        <v>7497</v>
      </c>
      <c r="I419" s="147">
        <f t="shared" si="40"/>
        <v>115113</v>
      </c>
      <c r="J419" s="119">
        <f t="shared" si="41"/>
        <v>8971.2000000000007</v>
      </c>
      <c r="K419" s="109">
        <v>10009</v>
      </c>
      <c r="L419" s="110"/>
      <c r="M419" s="109" t="str">
        <f t="shared" si="45"/>
        <v/>
      </c>
      <c r="N419" s="115"/>
      <c r="O419" s="111"/>
      <c r="P419" s="119">
        <f t="shared" si="47"/>
        <v>-3062.6</v>
      </c>
      <c r="Q419" s="119">
        <f t="shared" si="43"/>
        <v>-27200</v>
      </c>
      <c r="R419" s="147">
        <f t="shared" si="39"/>
        <v>-1941</v>
      </c>
      <c r="S419" s="119">
        <f t="shared" si="42"/>
        <v>4171.2</v>
      </c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</row>
    <row r="420" spans="1:38">
      <c r="A420" s="108">
        <v>42956</v>
      </c>
      <c r="B420" s="109">
        <v>208268</v>
      </c>
      <c r="C420" s="110">
        <v>0.97400000000000009</v>
      </c>
      <c r="D420" s="109">
        <f t="shared" si="44"/>
        <v>10075</v>
      </c>
      <c r="E420" s="115"/>
      <c r="F420" s="111"/>
      <c r="G420" s="119">
        <f t="shared" si="46"/>
        <v>9344.2000000000007</v>
      </c>
      <c r="H420" s="119">
        <f t="shared" si="38"/>
        <v>27408</v>
      </c>
      <c r="I420" s="147">
        <f t="shared" si="40"/>
        <v>72297</v>
      </c>
      <c r="J420" s="119">
        <f t="shared" si="41"/>
        <v>-8926.4</v>
      </c>
      <c r="K420" s="109">
        <v>46223</v>
      </c>
      <c r="L420" s="110">
        <v>0.70200000000000007</v>
      </c>
      <c r="M420" s="109">
        <f t="shared" si="45"/>
        <v>3100</v>
      </c>
      <c r="N420" s="115"/>
      <c r="O420" s="111"/>
      <c r="P420" s="119">
        <f t="shared" si="47"/>
        <v>7137.8</v>
      </c>
      <c r="Q420" s="119">
        <f t="shared" si="43"/>
        <v>36214</v>
      </c>
      <c r="R420" s="147">
        <f t="shared" si="39"/>
        <v>11281</v>
      </c>
      <c r="S420" s="119">
        <f t="shared" si="42"/>
        <v>-2923.6</v>
      </c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</row>
    <row r="421" spans="1:38">
      <c r="A421" s="108">
        <v>42963</v>
      </c>
      <c r="B421" s="109">
        <v>185366</v>
      </c>
      <c r="C421" s="110">
        <v>0.86699999999999999</v>
      </c>
      <c r="D421" s="109">
        <f t="shared" si="44"/>
        <v>10075</v>
      </c>
      <c r="E421" s="115"/>
      <c r="F421" s="111"/>
      <c r="G421" s="119">
        <f t="shared" si="46"/>
        <v>-7983.2</v>
      </c>
      <c r="H421" s="119">
        <f t="shared" si="38"/>
        <v>-22902</v>
      </c>
      <c r="I421" s="147">
        <f t="shared" si="40"/>
        <v>46169</v>
      </c>
      <c r="J421" s="119">
        <f t="shared" si="41"/>
        <v>9986.4</v>
      </c>
      <c r="K421" s="109">
        <v>17319</v>
      </c>
      <c r="L421" s="110">
        <v>0.26300000000000001</v>
      </c>
      <c r="M421" s="109">
        <f t="shared" si="45"/>
        <v>3100</v>
      </c>
      <c r="N421" s="115"/>
      <c r="O421" s="111"/>
      <c r="P421" s="119">
        <f t="shared" si="47"/>
        <v>5599.6</v>
      </c>
      <c r="Q421" s="119">
        <f t="shared" si="43"/>
        <v>-28904</v>
      </c>
      <c r="R421" s="147">
        <f t="shared" si="39"/>
        <v>-31183</v>
      </c>
      <c r="S421" s="119">
        <f t="shared" si="42"/>
        <v>2356.4</v>
      </c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</row>
    <row r="422" spans="1:38">
      <c r="A422" s="108">
        <v>42970</v>
      </c>
      <c r="B422" s="109">
        <v>166807</v>
      </c>
      <c r="C422" s="110">
        <v>0.78</v>
      </c>
      <c r="D422" s="109">
        <f t="shared" si="44"/>
        <v>10075</v>
      </c>
      <c r="E422" s="115"/>
      <c r="F422" s="111"/>
      <c r="G422" s="119">
        <f t="shared" si="46"/>
        <v>-2994</v>
      </c>
      <c r="H422" s="119">
        <f t="shared" si="38"/>
        <v>-18559</v>
      </c>
      <c r="I422" s="147">
        <f t="shared" si="40"/>
        <v>32205</v>
      </c>
      <c r="J422" s="119">
        <f t="shared" si="41"/>
        <v>13127.4</v>
      </c>
      <c r="K422" s="109">
        <v>28302</v>
      </c>
      <c r="L422" s="110">
        <v>0.43</v>
      </c>
      <c r="M422" s="109">
        <f t="shared" si="45"/>
        <v>3100</v>
      </c>
      <c r="N422" s="115"/>
      <c r="O422" s="111"/>
      <c r="P422" s="119">
        <f t="shared" si="47"/>
        <v>-267.2</v>
      </c>
      <c r="Q422" s="119">
        <f t="shared" si="43"/>
        <v>10983</v>
      </c>
      <c r="R422" s="147">
        <f t="shared" si="39"/>
        <v>-10777</v>
      </c>
      <c r="S422" s="119">
        <f t="shared" si="42"/>
        <v>5778.2</v>
      </c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</row>
    <row r="423" spans="1:38">
      <c r="A423" s="108">
        <v>42977</v>
      </c>
      <c r="B423" s="109">
        <v>192611</v>
      </c>
      <c r="C423" s="110">
        <v>0.90099999999999991</v>
      </c>
      <c r="D423" s="109">
        <f t="shared" si="44"/>
        <v>10075</v>
      </c>
      <c r="E423" s="115"/>
      <c r="F423" s="111"/>
      <c r="G423" s="119">
        <f t="shared" si="46"/>
        <v>17949.2</v>
      </c>
      <c r="H423" s="119">
        <f t="shared" si="38"/>
        <v>25804</v>
      </c>
      <c r="I423" s="147">
        <f t="shared" si="40"/>
        <v>33778</v>
      </c>
      <c r="J423" s="119">
        <f t="shared" si="41"/>
        <v>4586.6000000000004</v>
      </c>
      <c r="K423" s="109">
        <v>32285</v>
      </c>
      <c r="L423" s="110">
        <v>0.49099999999999999</v>
      </c>
      <c r="M423" s="109">
        <f t="shared" si="45"/>
        <v>3100</v>
      </c>
      <c r="N423" s="115"/>
      <c r="O423" s="111"/>
      <c r="P423" s="119">
        <f t="shared" si="47"/>
        <v>-14472.6</v>
      </c>
      <c r="Q423" s="119">
        <f t="shared" si="43"/>
        <v>3983</v>
      </c>
      <c r="R423" s="147">
        <f t="shared" si="39"/>
        <v>4608</v>
      </c>
      <c r="S423" s="119">
        <f t="shared" si="42"/>
        <v>3321.4</v>
      </c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</row>
    <row r="424" spans="1:38">
      <c r="A424" s="108">
        <v>42984</v>
      </c>
      <c r="B424" s="109">
        <v>172994</v>
      </c>
      <c r="C424" s="110">
        <v>0.80900000000000005</v>
      </c>
      <c r="D424" s="109">
        <f t="shared" si="44"/>
        <v>10075</v>
      </c>
      <c r="E424" s="115"/>
      <c r="F424" s="111"/>
      <c r="G424" s="119">
        <f t="shared" si="46"/>
        <v>12124.6</v>
      </c>
      <c r="H424" s="119">
        <f t="shared" si="38"/>
        <v>-19617</v>
      </c>
      <c r="I424" s="147">
        <f t="shared" si="40"/>
        <v>3821</v>
      </c>
      <c r="J424" s="119">
        <f t="shared" si="41"/>
        <v>8729.7999999999993</v>
      </c>
      <c r="K424" s="109">
        <v>40924</v>
      </c>
      <c r="L424" s="110">
        <v>0.622</v>
      </c>
      <c r="M424" s="109">
        <f t="shared" si="45"/>
        <v>3100</v>
      </c>
      <c r="N424" s="115"/>
      <c r="O424" s="111"/>
      <c r="P424" s="119">
        <f t="shared" si="47"/>
        <v>10236.4</v>
      </c>
      <c r="Q424" s="119">
        <f t="shared" si="43"/>
        <v>8639</v>
      </c>
      <c r="R424" s="147">
        <f t="shared" si="39"/>
        <v>-6620</v>
      </c>
      <c r="S424" s="119">
        <f t="shared" si="42"/>
        <v>1057.4000000000001</v>
      </c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</row>
    <row r="425" spans="1:38">
      <c r="A425" s="108">
        <v>42991</v>
      </c>
      <c r="B425" s="109">
        <v>182011</v>
      </c>
      <c r="C425" s="110">
        <v>0.85099999999999998</v>
      </c>
      <c r="D425" s="109">
        <f t="shared" si="44"/>
        <v>10075</v>
      </c>
      <c r="E425" s="115"/>
      <c r="F425" s="111"/>
      <c r="G425" s="119">
        <f t="shared" si="46"/>
        <v>7178.8</v>
      </c>
      <c r="H425" s="119">
        <f t="shared" si="38"/>
        <v>9017</v>
      </c>
      <c r="I425" s="147">
        <f t="shared" si="40"/>
        <v>2715</v>
      </c>
      <c r="J425" s="119">
        <f t="shared" si="41"/>
        <v>7435.8</v>
      </c>
      <c r="K425" s="109">
        <v>26970</v>
      </c>
      <c r="L425" s="110">
        <v>0.41</v>
      </c>
      <c r="M425" s="109">
        <f t="shared" si="45"/>
        <v>3100</v>
      </c>
      <c r="N425" s="115"/>
      <c r="O425" s="111"/>
      <c r="P425" s="119">
        <f t="shared" si="47"/>
        <v>-2658</v>
      </c>
      <c r="Q425" s="119">
        <f t="shared" si="43"/>
        <v>-13954</v>
      </c>
      <c r="R425" s="147">
        <f t="shared" si="39"/>
        <v>-8637</v>
      </c>
      <c r="S425" s="119">
        <f t="shared" si="42"/>
        <v>4467.8</v>
      </c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</row>
    <row r="426" spans="1:38">
      <c r="A426" s="108">
        <v>42998</v>
      </c>
      <c r="B426" s="109">
        <v>146610</v>
      </c>
      <c r="C426" s="110">
        <v>0.68599999999999994</v>
      </c>
      <c r="D426" s="109">
        <f t="shared" si="44"/>
        <v>10075</v>
      </c>
      <c r="E426" s="115"/>
      <c r="F426" s="111"/>
      <c r="G426" s="119">
        <f t="shared" si="46"/>
        <v>6040.2</v>
      </c>
      <c r="H426" s="119">
        <f t="shared" si="38"/>
        <v>-35401</v>
      </c>
      <c r="I426" s="147">
        <f t="shared" si="40"/>
        <v>-44013</v>
      </c>
      <c r="J426" s="119">
        <f t="shared" si="41"/>
        <v>11716.6</v>
      </c>
      <c r="K426" s="109">
        <v>27839</v>
      </c>
      <c r="L426" s="110">
        <v>0.42299999999999999</v>
      </c>
      <c r="M426" s="109">
        <f t="shared" si="45"/>
        <v>3100</v>
      </c>
      <c r="N426" s="115"/>
      <c r="O426" s="111"/>
      <c r="P426" s="119">
        <f t="shared" si="47"/>
        <v>-4704.6000000000004</v>
      </c>
      <c r="Q426" s="119">
        <f t="shared" si="43"/>
        <v>869</v>
      </c>
      <c r="R426" s="147">
        <f t="shared" si="39"/>
        <v>13208</v>
      </c>
      <c r="S426" s="119">
        <f t="shared" si="42"/>
        <v>3551.6</v>
      </c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</row>
    <row r="427" spans="1:38">
      <c r="A427" s="108">
        <v>43005</v>
      </c>
      <c r="B427" s="109">
        <v>170057</v>
      </c>
      <c r="C427" s="110">
        <v>0.79599999999999993</v>
      </c>
      <c r="D427" s="109">
        <f t="shared" si="44"/>
        <v>10075</v>
      </c>
      <c r="E427" s="115"/>
      <c r="F427" s="111"/>
      <c r="G427" s="119">
        <f t="shared" si="46"/>
        <v>7318</v>
      </c>
      <c r="H427" s="119">
        <f t="shared" si="38"/>
        <v>23447</v>
      </c>
      <c r="I427" s="147">
        <f t="shared" si="40"/>
        <v>-5074</v>
      </c>
      <c r="J427" s="119">
        <f t="shared" si="41"/>
        <v>13887.6</v>
      </c>
      <c r="K427" s="109">
        <v>31260</v>
      </c>
      <c r="L427" s="110">
        <v>0.47499999999999998</v>
      </c>
      <c r="M427" s="109">
        <f t="shared" si="45"/>
        <v>3100</v>
      </c>
      <c r="N427" s="115"/>
      <c r="O427" s="111"/>
      <c r="P427" s="119">
        <f t="shared" si="47"/>
        <v>6844.2</v>
      </c>
      <c r="Q427" s="119">
        <f t="shared" si="43"/>
        <v>3421</v>
      </c>
      <c r="R427" s="147">
        <f t="shared" si="39"/>
        <v>-4447</v>
      </c>
      <c r="S427" s="119">
        <f t="shared" si="42"/>
        <v>-610.79999999999995</v>
      </c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</row>
    <row r="428" spans="1:38">
      <c r="A428" s="108">
        <v>43012</v>
      </c>
      <c r="B428" s="109">
        <v>149800</v>
      </c>
      <c r="C428" s="110">
        <v>0.70099999999999996</v>
      </c>
      <c r="D428" s="109">
        <f t="shared" si="44"/>
        <v>10075</v>
      </c>
      <c r="E428" s="115"/>
      <c r="F428" s="111"/>
      <c r="G428" s="119">
        <f t="shared" si="46"/>
        <v>4871</v>
      </c>
      <c r="H428" s="119">
        <f t="shared" si="38"/>
        <v>-20257</v>
      </c>
      <c r="I428" s="147">
        <f t="shared" si="40"/>
        <v>-27992</v>
      </c>
      <c r="J428" s="119">
        <f t="shared" si="41"/>
        <v>10158.799999999999</v>
      </c>
      <c r="K428" s="109">
        <v>48331</v>
      </c>
      <c r="L428" s="110">
        <v>0.73499999999999999</v>
      </c>
      <c r="M428" s="109">
        <f t="shared" si="45"/>
        <v>3100</v>
      </c>
      <c r="N428" s="115"/>
      <c r="O428" s="111"/>
      <c r="P428" s="119">
        <f t="shared" si="47"/>
        <v>4156</v>
      </c>
      <c r="Q428" s="119">
        <f t="shared" si="43"/>
        <v>17071</v>
      </c>
      <c r="R428" s="147">
        <f t="shared" si="39"/>
        <v>-903</v>
      </c>
      <c r="S428" s="119">
        <f t="shared" si="42"/>
        <v>1591.8</v>
      </c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</row>
    <row r="429" spans="1:38">
      <c r="A429" s="108">
        <v>43019</v>
      </c>
      <c r="B429" s="109">
        <v>159098</v>
      </c>
      <c r="C429" s="110">
        <v>0.74400000000000011</v>
      </c>
      <c r="D429" s="109">
        <f t="shared" si="44"/>
        <v>10075</v>
      </c>
      <c r="E429" s="115"/>
      <c r="F429" s="111"/>
      <c r="G429" s="119">
        <f t="shared" si="46"/>
        <v>-7960</v>
      </c>
      <c r="H429" s="119">
        <f t="shared" si="38"/>
        <v>9298</v>
      </c>
      <c r="I429" s="147">
        <f t="shared" si="40"/>
        <v>-13143</v>
      </c>
      <c r="J429" s="119">
        <f t="shared" si="41"/>
        <v>12490.8</v>
      </c>
      <c r="K429" s="109">
        <v>32388</v>
      </c>
      <c r="L429" s="110">
        <v>0.49200000000000005</v>
      </c>
      <c r="M429" s="109">
        <f t="shared" si="45"/>
        <v>3100</v>
      </c>
      <c r="N429" s="115"/>
      <c r="O429" s="111"/>
      <c r="P429" s="119">
        <f t="shared" si="47"/>
        <v>2764.4</v>
      </c>
      <c r="Q429" s="119">
        <f t="shared" si="43"/>
        <v>-15943</v>
      </c>
      <c r="R429" s="147">
        <f t="shared" si="39"/>
        <v>-13485</v>
      </c>
      <c r="S429" s="119">
        <f t="shared" si="42"/>
        <v>4103.3999999999996</v>
      </c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</row>
    <row r="430" spans="1:38">
      <c r="A430" s="108">
        <v>43026</v>
      </c>
      <c r="B430" s="109">
        <v>139069</v>
      </c>
      <c r="C430" s="110">
        <v>0.65099999999999991</v>
      </c>
      <c r="D430" s="109">
        <f t="shared" si="44"/>
        <v>10075</v>
      </c>
      <c r="E430" s="115"/>
      <c r="F430" s="111"/>
      <c r="G430" s="119">
        <f t="shared" si="46"/>
        <v>1821.8</v>
      </c>
      <c r="H430" s="119">
        <f t="shared" si="38"/>
        <v>-20029</v>
      </c>
      <c r="I430" s="147">
        <f t="shared" si="40"/>
        <v>-44251</v>
      </c>
      <c r="J430" s="119">
        <f t="shared" si="41"/>
        <v>9112</v>
      </c>
      <c r="K430" s="109">
        <v>42094</v>
      </c>
      <c r="L430" s="110">
        <v>0.64</v>
      </c>
      <c r="M430" s="109">
        <f t="shared" si="45"/>
        <v>3100</v>
      </c>
      <c r="N430" s="115"/>
      <c r="O430" s="111"/>
      <c r="P430" s="119">
        <f t="shared" si="47"/>
        <v>7953.2</v>
      </c>
      <c r="Q430" s="119">
        <f t="shared" si="43"/>
        <v>9706</v>
      </c>
      <c r="R430" s="147">
        <f t="shared" si="39"/>
        <v>887</v>
      </c>
      <c r="S430" s="119">
        <f t="shared" si="42"/>
        <v>3188</v>
      </c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</row>
    <row r="431" spans="1:38">
      <c r="A431" s="108">
        <v>43033</v>
      </c>
      <c r="B431" s="109">
        <v>159372</v>
      </c>
      <c r="C431" s="110">
        <v>0.746</v>
      </c>
      <c r="D431" s="109">
        <f t="shared" si="44"/>
        <v>10075</v>
      </c>
      <c r="E431" s="115"/>
      <c r="F431" s="111"/>
      <c r="G431" s="119">
        <f t="shared" si="46"/>
        <v>-2369.8000000000002</v>
      </c>
      <c r="H431" s="119">
        <f t="shared" si="38"/>
        <v>20303</v>
      </c>
      <c r="I431" s="147">
        <f t="shared" si="40"/>
        <v>-39487</v>
      </c>
      <c r="J431" s="119">
        <f t="shared" si="41"/>
        <v>8313.2000000000007</v>
      </c>
      <c r="K431" s="109">
        <v>36302</v>
      </c>
      <c r="L431" s="110">
        <v>0.55200000000000005</v>
      </c>
      <c r="M431" s="109">
        <f t="shared" si="45"/>
        <v>3100</v>
      </c>
      <c r="N431" s="115"/>
      <c r="O431" s="111"/>
      <c r="P431" s="119">
        <f t="shared" si="47"/>
        <v>-3255.4</v>
      </c>
      <c r="Q431" s="119">
        <f t="shared" si="43"/>
        <v>-5792</v>
      </c>
      <c r="R431" s="147">
        <f t="shared" si="39"/>
        <v>7388</v>
      </c>
      <c r="S431" s="119">
        <f t="shared" si="42"/>
        <v>2713.2</v>
      </c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</row>
    <row r="432" spans="1:38">
      <c r="A432" s="108">
        <v>43040</v>
      </c>
      <c r="B432" s="109">
        <v>173306</v>
      </c>
      <c r="C432" s="110">
        <v>0.81099999999999994</v>
      </c>
      <c r="D432" s="109">
        <f t="shared" si="44"/>
        <v>10075</v>
      </c>
      <c r="E432" s="115"/>
      <c r="F432" s="111"/>
      <c r="G432" s="119">
        <f t="shared" si="46"/>
        <v>-3714</v>
      </c>
      <c r="H432" s="119">
        <f t="shared" si="38"/>
        <v>13934</v>
      </c>
      <c r="I432" s="147">
        <f t="shared" si="40"/>
        <v>2116</v>
      </c>
      <c r="J432" s="119">
        <f t="shared" si="41"/>
        <v>14617.8</v>
      </c>
      <c r="K432" s="109">
        <v>52837</v>
      </c>
      <c r="L432" s="110">
        <v>0.80299999999999994</v>
      </c>
      <c r="M432" s="109">
        <f t="shared" si="45"/>
        <v>3100</v>
      </c>
      <c r="N432" s="115"/>
      <c r="O432" s="111"/>
      <c r="P432" s="119">
        <f t="shared" si="47"/>
        <v>-2473</v>
      </c>
      <c r="Q432" s="119">
        <f t="shared" si="43"/>
        <v>16535</v>
      </c>
      <c r="R432" s="147">
        <f t="shared" si="39"/>
        <v>7609</v>
      </c>
      <c r="S432" s="119">
        <f t="shared" si="42"/>
        <v>-85.6</v>
      </c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</row>
    <row r="433" spans="1:38">
      <c r="A433" s="108">
        <v>43047</v>
      </c>
      <c r="B433" s="109">
        <v>173417</v>
      </c>
      <c r="C433" s="110">
        <v>0.81099999999999994</v>
      </c>
      <c r="D433" s="109">
        <f t="shared" si="44"/>
        <v>10075</v>
      </c>
      <c r="E433" s="115"/>
      <c r="F433" s="111"/>
      <c r="G433" s="119">
        <f t="shared" si="46"/>
        <v>4211</v>
      </c>
      <c r="H433" s="119">
        <f t="shared" si="38"/>
        <v>111</v>
      </c>
      <c r="I433" s="147">
        <f t="shared" si="40"/>
        <v>-7849</v>
      </c>
      <c r="J433" s="119">
        <f t="shared" si="41"/>
        <v>8043.6</v>
      </c>
      <c r="K433" s="109">
        <v>31845</v>
      </c>
      <c r="L433" s="110">
        <v>0.48399999999999999</v>
      </c>
      <c r="M433" s="109">
        <f t="shared" si="45"/>
        <v>3100</v>
      </c>
      <c r="N433" s="115"/>
      <c r="O433" s="111"/>
      <c r="P433" s="119">
        <f t="shared" si="47"/>
        <v>-2856.6</v>
      </c>
      <c r="Q433" s="119">
        <f t="shared" si="43"/>
        <v>-20992</v>
      </c>
      <c r="R433" s="147">
        <f t="shared" si="39"/>
        <v>-8843</v>
      </c>
      <c r="S433" s="119">
        <f t="shared" si="42"/>
        <v>3614.2</v>
      </c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</row>
    <row r="434" spans="1:38">
      <c r="A434" s="108">
        <v>43054</v>
      </c>
      <c r="B434" s="109">
        <v>173490</v>
      </c>
      <c r="C434" s="110">
        <v>0.81200000000000006</v>
      </c>
      <c r="D434" s="109">
        <f t="shared" si="44"/>
        <v>10075</v>
      </c>
      <c r="E434" s="115"/>
      <c r="F434" s="111"/>
      <c r="G434" s="119">
        <f t="shared" si="46"/>
        <v>-3074</v>
      </c>
      <c r="H434" s="119">
        <f t="shared" si="38"/>
        <v>73</v>
      </c>
      <c r="I434" s="147">
        <f t="shared" si="40"/>
        <v>-30461</v>
      </c>
      <c r="J434" s="119">
        <f t="shared" si="41"/>
        <v>9832.2000000000007</v>
      </c>
      <c r="K434" s="109">
        <v>50909</v>
      </c>
      <c r="L434" s="110">
        <v>0.77400000000000002</v>
      </c>
      <c r="M434" s="109">
        <f t="shared" si="45"/>
        <v>3100</v>
      </c>
      <c r="N434" s="115"/>
      <c r="O434" s="111"/>
      <c r="P434" s="119">
        <f t="shared" si="47"/>
        <v>6291.4</v>
      </c>
      <c r="Q434" s="119">
        <f t="shared" si="43"/>
        <v>19064</v>
      </c>
      <c r="R434" s="147">
        <f t="shared" si="39"/>
        <v>19558</v>
      </c>
      <c r="S434" s="119">
        <f t="shared" si="42"/>
        <v>2572.6</v>
      </c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</row>
    <row r="435" spans="1:38">
      <c r="A435" s="108">
        <v>43061</v>
      </c>
      <c r="B435" s="109">
        <v>184756</v>
      </c>
      <c r="C435" s="110">
        <v>0.8640000000000001</v>
      </c>
      <c r="D435" s="109">
        <f t="shared" si="44"/>
        <v>10075</v>
      </c>
      <c r="E435" s="115"/>
      <c r="F435" s="111"/>
      <c r="G435" s="119">
        <f t="shared" si="46"/>
        <v>-5996.2</v>
      </c>
      <c r="H435" s="119">
        <f t="shared" si="38"/>
        <v>11266</v>
      </c>
      <c r="I435" s="147">
        <f t="shared" si="40"/>
        <v>3880</v>
      </c>
      <c r="J435" s="119">
        <f t="shared" si="41"/>
        <v>14156</v>
      </c>
      <c r="K435" s="109">
        <v>32309</v>
      </c>
      <c r="L435" s="110">
        <v>0.49099999999999999</v>
      </c>
      <c r="M435" s="109">
        <f t="shared" si="45"/>
        <v>3100</v>
      </c>
      <c r="N435" s="115"/>
      <c r="O435" s="111"/>
      <c r="P435" s="119">
        <f t="shared" si="47"/>
        <v>6152.2</v>
      </c>
      <c r="Q435" s="119">
        <f t="shared" si="43"/>
        <v>-18600</v>
      </c>
      <c r="R435" s="147">
        <f t="shared" si="39"/>
        <v>-17714</v>
      </c>
      <c r="S435" s="119">
        <f t="shared" si="42"/>
        <v>1190.4000000000001</v>
      </c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</row>
    <row r="436" spans="1:38">
      <c r="A436" s="108">
        <v>43068</v>
      </c>
      <c r="B436" s="109">
        <v>163588</v>
      </c>
      <c r="C436" s="110">
        <v>0.76500000000000001</v>
      </c>
      <c r="D436" s="109">
        <f t="shared" si="44"/>
        <v>10075</v>
      </c>
      <c r="E436" s="115"/>
      <c r="F436" s="111"/>
      <c r="G436" s="119">
        <f t="shared" si="46"/>
        <v>7980.2</v>
      </c>
      <c r="H436" s="119">
        <f t="shared" ref="H436:H499" si="48">B436-B435</f>
        <v>-21168</v>
      </c>
      <c r="I436" s="147">
        <f t="shared" si="40"/>
        <v>-24157</v>
      </c>
      <c r="J436" s="119">
        <f t="shared" si="41"/>
        <v>9880.2000000000007</v>
      </c>
      <c r="K436" s="109">
        <v>51135</v>
      </c>
      <c r="L436" s="110">
        <v>0.77700000000000002</v>
      </c>
      <c r="M436" s="109">
        <f t="shared" si="45"/>
        <v>3100</v>
      </c>
      <c r="N436" s="115"/>
      <c r="O436" s="111"/>
      <c r="P436" s="119">
        <f t="shared" si="47"/>
        <v>-4975.6000000000004</v>
      </c>
      <c r="Q436" s="119">
        <f t="shared" si="43"/>
        <v>18826</v>
      </c>
      <c r="R436" s="147">
        <f t="shared" si="39"/>
        <v>9273</v>
      </c>
      <c r="S436" s="119">
        <f t="shared" si="42"/>
        <v>4033.2</v>
      </c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</row>
    <row r="437" spans="1:38">
      <c r="A437" s="108">
        <v>43075</v>
      </c>
      <c r="B437" s="109">
        <v>174382</v>
      </c>
      <c r="C437" s="110">
        <v>0.81599999999999995</v>
      </c>
      <c r="D437" s="109">
        <f t="shared" si="44"/>
        <v>10075</v>
      </c>
      <c r="E437" s="115"/>
      <c r="F437" s="111"/>
      <c r="G437" s="119">
        <f t="shared" si="46"/>
        <v>6971.4</v>
      </c>
      <c r="H437" s="119">
        <f t="shared" si="48"/>
        <v>10794</v>
      </c>
      <c r="I437" s="147">
        <f t="shared" si="40"/>
        <v>-25302</v>
      </c>
      <c r="J437" s="119">
        <f t="shared" si="41"/>
        <v>10626</v>
      </c>
      <c r="K437" s="109">
        <v>32763</v>
      </c>
      <c r="L437" s="110">
        <v>0.498</v>
      </c>
      <c r="M437" s="109">
        <f t="shared" si="45"/>
        <v>3100</v>
      </c>
      <c r="N437" s="115"/>
      <c r="O437" s="111"/>
      <c r="P437" s="119">
        <f t="shared" si="47"/>
        <v>-10168.4</v>
      </c>
      <c r="Q437" s="119">
        <f t="shared" si="43"/>
        <v>-18372</v>
      </c>
      <c r="R437" s="147">
        <f t="shared" si="39"/>
        <v>3823</v>
      </c>
      <c r="S437" s="119">
        <f t="shared" si="42"/>
        <v>2799</v>
      </c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</row>
    <row r="438" spans="1:38">
      <c r="A438" s="108">
        <v>43082</v>
      </c>
      <c r="B438" s="109">
        <v>141544</v>
      </c>
      <c r="C438" s="110">
        <v>0.66200000000000003</v>
      </c>
      <c r="D438" s="109">
        <f t="shared" si="44"/>
        <v>10075</v>
      </c>
      <c r="E438" s="115"/>
      <c r="F438" s="111"/>
      <c r="G438" s="119">
        <f t="shared" si="46"/>
        <v>-3865.8</v>
      </c>
      <c r="H438" s="119">
        <f t="shared" si="48"/>
        <v>-32838</v>
      </c>
      <c r="I438" s="147">
        <f t="shared" si="40"/>
        <v>-36941</v>
      </c>
      <c r="J438" s="119">
        <f t="shared" si="41"/>
        <v>12920.2</v>
      </c>
      <c r="K438" s="109">
        <v>50025</v>
      </c>
      <c r="L438" s="110">
        <v>0.76</v>
      </c>
      <c r="M438" s="109">
        <f t="shared" si="45"/>
        <v>3100</v>
      </c>
      <c r="N438" s="115"/>
      <c r="O438" s="111"/>
      <c r="P438" s="119">
        <f t="shared" si="47"/>
        <v>3624</v>
      </c>
      <c r="Q438" s="119">
        <f t="shared" si="43"/>
        <v>17262</v>
      </c>
      <c r="R438" s="147">
        <f t="shared" ref="R438:R501" si="49">K438-K386</f>
        <v>13845</v>
      </c>
      <c r="S438" s="119">
        <f t="shared" si="42"/>
        <v>-16.8</v>
      </c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</row>
    <row r="439" spans="1:38">
      <c r="A439" s="108">
        <v>43089</v>
      </c>
      <c r="B439" s="109">
        <v>201677</v>
      </c>
      <c r="C439" s="110">
        <v>0.90900000000000003</v>
      </c>
      <c r="D439" s="109">
        <f t="shared" si="44"/>
        <v>10450</v>
      </c>
      <c r="E439" s="115"/>
      <c r="F439" s="111"/>
      <c r="G439" s="119">
        <f t="shared" si="46"/>
        <v>-5941.6</v>
      </c>
      <c r="H439" s="119">
        <f t="shared" si="48"/>
        <v>60133</v>
      </c>
      <c r="I439" s="147">
        <f t="shared" ref="I439:I502" si="50">B439-B387</f>
        <v>29262</v>
      </c>
      <c r="J439" s="119">
        <f t="shared" si="41"/>
        <v>7927</v>
      </c>
      <c r="K439" s="109">
        <v>31042</v>
      </c>
      <c r="L439" s="110">
        <v>0.47200000000000003</v>
      </c>
      <c r="M439" s="109">
        <f t="shared" si="45"/>
        <v>3100</v>
      </c>
      <c r="N439" s="115"/>
      <c r="O439" s="111"/>
      <c r="P439" s="119">
        <f t="shared" si="47"/>
        <v>5501.4</v>
      </c>
      <c r="Q439" s="119">
        <f t="shared" si="43"/>
        <v>-18983</v>
      </c>
      <c r="R439" s="147">
        <f t="shared" si="49"/>
        <v>-16060</v>
      </c>
      <c r="S439" s="119">
        <f t="shared" si="42"/>
        <v>1468.4</v>
      </c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</row>
    <row r="440" spans="1:38">
      <c r="A440" s="108">
        <v>43096</v>
      </c>
      <c r="B440" s="109">
        <v>156866</v>
      </c>
      <c r="C440" s="110">
        <v>0.70799999999999996</v>
      </c>
      <c r="D440" s="109">
        <f t="shared" si="44"/>
        <v>10450</v>
      </c>
      <c r="E440" s="115"/>
      <c r="F440" s="111"/>
      <c r="G440" s="119">
        <f t="shared" si="46"/>
        <v>1342.6</v>
      </c>
      <c r="H440" s="119">
        <f t="shared" si="48"/>
        <v>-44811</v>
      </c>
      <c r="I440" s="147">
        <f t="shared" si="50"/>
        <v>-39054</v>
      </c>
      <c r="J440" s="119">
        <f t="shared" ref="J440:J503" si="51">AVERAGE(B387-B335,B335-B283,B283-B231,B231-B179,B179-B128)</f>
        <v>6248.6</v>
      </c>
      <c r="K440" s="109">
        <v>45974</v>
      </c>
      <c r="L440" s="110">
        <v>0.69900000000000007</v>
      </c>
      <c r="M440" s="109">
        <f t="shared" si="45"/>
        <v>3100</v>
      </c>
      <c r="N440" s="115"/>
      <c r="O440" s="111"/>
      <c r="P440" s="119">
        <f t="shared" si="47"/>
        <v>-4612.8</v>
      </c>
      <c r="Q440" s="119">
        <f t="shared" si="43"/>
        <v>14932</v>
      </c>
      <c r="R440" s="147">
        <f t="shared" si="49"/>
        <v>16900</v>
      </c>
      <c r="S440" s="119">
        <f t="shared" si="42"/>
        <v>4665.3999999999996</v>
      </c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</row>
    <row r="441" spans="1:38">
      <c r="A441" s="108">
        <v>43103</v>
      </c>
      <c r="B441" s="109">
        <v>142239</v>
      </c>
      <c r="C441" s="110">
        <v>0.66099999999999992</v>
      </c>
      <c r="D441" s="109">
        <f t="shared" si="44"/>
        <v>10150</v>
      </c>
      <c r="E441" s="115"/>
      <c r="F441" s="111"/>
      <c r="G441" s="119">
        <f t="shared" si="46"/>
        <v>-14935.6</v>
      </c>
      <c r="H441" s="119">
        <f t="shared" si="48"/>
        <v>-14627</v>
      </c>
      <c r="I441" s="147">
        <f t="shared" si="50"/>
        <v>3042</v>
      </c>
      <c r="J441" s="119">
        <f t="shared" si="51"/>
        <v>11202.8</v>
      </c>
      <c r="K441" s="109">
        <v>28901</v>
      </c>
      <c r="L441" s="110">
        <v>0.439</v>
      </c>
      <c r="M441" s="109">
        <f t="shared" si="45"/>
        <v>3100</v>
      </c>
      <c r="N441" s="115"/>
      <c r="O441" s="111"/>
      <c r="P441" s="119">
        <f t="shared" si="47"/>
        <v>-4893.6000000000004</v>
      </c>
      <c r="Q441" s="119">
        <f t="shared" si="43"/>
        <v>-17073</v>
      </c>
      <c r="R441" s="147">
        <f t="shared" si="49"/>
        <v>-849</v>
      </c>
      <c r="S441" s="119">
        <f t="shared" ref="S441:S504" si="52">AVERAGE(K388-K336,K336-K284,K284-K232,K232-K180,K180-K129)</f>
        <v>90.6</v>
      </c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</row>
    <row r="442" spans="1:38">
      <c r="A442" s="108">
        <v>43110</v>
      </c>
      <c r="B442" s="109">
        <v>112154</v>
      </c>
      <c r="C442" s="110">
        <v>0.50600000000000001</v>
      </c>
      <c r="D442" s="109">
        <f t="shared" si="44"/>
        <v>10450</v>
      </c>
      <c r="E442" s="115"/>
      <c r="F442" s="111"/>
      <c r="G442" s="119">
        <f t="shared" si="46"/>
        <v>3838.2</v>
      </c>
      <c r="H442" s="119">
        <f t="shared" si="48"/>
        <v>-30085</v>
      </c>
      <c r="I442" s="147">
        <f t="shared" si="50"/>
        <v>-22448</v>
      </c>
      <c r="J442" s="119">
        <f t="shared" si="51"/>
        <v>2835.8</v>
      </c>
      <c r="K442" s="109">
        <v>41583</v>
      </c>
      <c r="L442" s="110">
        <v>0.63200000000000001</v>
      </c>
      <c r="M442" s="109">
        <f t="shared" si="45"/>
        <v>3100</v>
      </c>
      <c r="N442" s="115"/>
      <c r="O442" s="111"/>
      <c r="P442" s="119">
        <f t="shared" si="47"/>
        <v>2795</v>
      </c>
      <c r="Q442" s="119">
        <f t="shared" si="43"/>
        <v>12682</v>
      </c>
      <c r="R442" s="147">
        <f t="shared" si="49"/>
        <v>-5917</v>
      </c>
      <c r="S442" s="119">
        <f t="shared" si="52"/>
        <v>587.6</v>
      </c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</row>
    <row r="443" spans="1:38">
      <c r="A443" s="108">
        <v>43117</v>
      </c>
      <c r="B443" s="109">
        <v>143867</v>
      </c>
      <c r="C443" s="110">
        <v>0.64900000000000002</v>
      </c>
      <c r="D443" s="109">
        <f t="shared" si="44"/>
        <v>10450</v>
      </c>
      <c r="E443" s="115"/>
      <c r="F443" s="111"/>
      <c r="G443" s="119">
        <f t="shared" si="46"/>
        <v>8468.7999999999993</v>
      </c>
      <c r="H443" s="119">
        <f t="shared" si="48"/>
        <v>31713</v>
      </c>
      <c r="I443" s="147">
        <f t="shared" si="50"/>
        <v>-14966</v>
      </c>
      <c r="J443" s="119">
        <f t="shared" si="51"/>
        <v>924.4</v>
      </c>
      <c r="K443" s="109">
        <v>29547</v>
      </c>
      <c r="L443" s="110">
        <v>0.44900000000000001</v>
      </c>
      <c r="M443" s="109">
        <f t="shared" si="45"/>
        <v>3100</v>
      </c>
      <c r="N443" s="115"/>
      <c r="O443" s="111"/>
      <c r="P443" s="119">
        <f t="shared" si="47"/>
        <v>972.2</v>
      </c>
      <c r="Q443" s="119">
        <f t="shared" si="43"/>
        <v>-12036</v>
      </c>
      <c r="R443" s="147">
        <f t="shared" si="49"/>
        <v>-14867</v>
      </c>
      <c r="S443" s="119">
        <f t="shared" si="52"/>
        <v>3989.4</v>
      </c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</row>
    <row r="444" spans="1:38">
      <c r="A444" s="108">
        <v>43124</v>
      </c>
      <c r="B444" s="109">
        <v>155144</v>
      </c>
      <c r="C444" s="110">
        <v>0.7</v>
      </c>
      <c r="D444" s="109">
        <f t="shared" si="44"/>
        <v>10450</v>
      </c>
      <c r="E444" s="115"/>
      <c r="F444" s="111"/>
      <c r="G444" s="119">
        <f t="shared" si="46"/>
        <v>-5545.4</v>
      </c>
      <c r="H444" s="119">
        <f t="shared" si="48"/>
        <v>11277</v>
      </c>
      <c r="I444" s="147">
        <f t="shared" si="50"/>
        <v>-14029</v>
      </c>
      <c r="J444" s="119">
        <f t="shared" si="51"/>
        <v>5903.4</v>
      </c>
      <c r="K444" s="109">
        <v>47391</v>
      </c>
      <c r="L444" s="110">
        <v>0.72</v>
      </c>
      <c r="M444" s="109">
        <f t="shared" si="45"/>
        <v>3100</v>
      </c>
      <c r="N444" s="115"/>
      <c r="O444" s="111"/>
      <c r="P444" s="119">
        <f t="shared" si="47"/>
        <v>-798.6</v>
      </c>
      <c r="Q444" s="119">
        <f t="shared" si="43"/>
        <v>17844</v>
      </c>
      <c r="R444" s="147">
        <f t="shared" si="49"/>
        <v>19852</v>
      </c>
      <c r="S444" s="119">
        <f t="shared" si="52"/>
        <v>3635.4</v>
      </c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</row>
    <row r="445" spans="1:38">
      <c r="A445" s="108">
        <v>43131</v>
      </c>
      <c r="B445" s="109">
        <v>176184</v>
      </c>
      <c r="C445" s="110">
        <v>0.79500000000000004</v>
      </c>
      <c r="D445" s="109">
        <f t="shared" si="44"/>
        <v>10450</v>
      </c>
      <c r="E445" s="115"/>
      <c r="F445" s="111"/>
      <c r="G445" s="119">
        <f t="shared" si="46"/>
        <v>2678.6</v>
      </c>
      <c r="H445" s="119">
        <f t="shared" si="48"/>
        <v>21040</v>
      </c>
      <c r="I445" s="147">
        <f t="shared" si="50"/>
        <v>-3112</v>
      </c>
      <c r="J445" s="119">
        <f t="shared" si="51"/>
        <v>1904.2</v>
      </c>
      <c r="K445" s="109">
        <v>33264</v>
      </c>
      <c r="L445" s="110">
        <v>0.50600000000000001</v>
      </c>
      <c r="M445" s="109">
        <f t="shared" si="45"/>
        <v>3100</v>
      </c>
      <c r="N445" s="115"/>
      <c r="O445" s="111"/>
      <c r="P445" s="119">
        <f t="shared" si="47"/>
        <v>1899.2</v>
      </c>
      <c r="Q445" s="119">
        <f t="shared" si="43"/>
        <v>-14127</v>
      </c>
      <c r="R445" s="147">
        <f t="shared" si="49"/>
        <v>3401</v>
      </c>
      <c r="S445" s="119">
        <f t="shared" si="52"/>
        <v>179.4</v>
      </c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</row>
    <row r="446" spans="1:38">
      <c r="A446" s="108">
        <v>43138</v>
      </c>
      <c r="B446" s="109">
        <v>169720</v>
      </c>
      <c r="C446" s="110">
        <v>0.7659999999999999</v>
      </c>
      <c r="D446" s="109">
        <f t="shared" si="44"/>
        <v>10450</v>
      </c>
      <c r="E446" s="115"/>
      <c r="F446" s="111"/>
      <c r="G446" s="119">
        <f t="shared" si="46"/>
        <v>5544.6</v>
      </c>
      <c r="H446" s="119">
        <f t="shared" si="48"/>
        <v>-6464</v>
      </c>
      <c r="I446" s="147">
        <f t="shared" si="50"/>
        <v>-20903</v>
      </c>
      <c r="J446" s="119">
        <f t="shared" si="51"/>
        <v>5014.2</v>
      </c>
      <c r="K446" s="109">
        <v>51770</v>
      </c>
      <c r="L446" s="110">
        <v>0.78700000000000003</v>
      </c>
      <c r="M446" s="109">
        <f t="shared" si="45"/>
        <v>3100</v>
      </c>
      <c r="N446" s="115"/>
      <c r="O446" s="111"/>
      <c r="P446" s="119">
        <f t="shared" si="47"/>
        <v>4796.2</v>
      </c>
      <c r="Q446" s="119">
        <f t="shared" si="43"/>
        <v>18506</v>
      </c>
      <c r="R446" s="147">
        <f t="shared" si="49"/>
        <v>7126</v>
      </c>
      <c r="S446" s="119">
        <f t="shared" si="52"/>
        <v>254</v>
      </c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</row>
    <row r="447" spans="1:38">
      <c r="A447" s="108">
        <v>43145</v>
      </c>
      <c r="B447" s="109">
        <v>184831</v>
      </c>
      <c r="C447" s="110">
        <v>0.83400000000000007</v>
      </c>
      <c r="D447" s="109">
        <f t="shared" si="44"/>
        <v>10450</v>
      </c>
      <c r="E447" s="115"/>
      <c r="F447" s="111"/>
      <c r="G447" s="119">
        <f t="shared" si="46"/>
        <v>-4851.6000000000004</v>
      </c>
      <c r="H447" s="119">
        <f t="shared" si="48"/>
        <v>15111</v>
      </c>
      <c r="I447" s="147">
        <f t="shared" si="50"/>
        <v>9700</v>
      </c>
      <c r="J447" s="119">
        <f t="shared" si="51"/>
        <v>8845.7999999999993</v>
      </c>
      <c r="K447" s="109">
        <v>33022</v>
      </c>
      <c r="L447" s="110">
        <v>0.502</v>
      </c>
      <c r="M447" s="109">
        <f t="shared" si="45"/>
        <v>3100</v>
      </c>
      <c r="N447" s="115"/>
      <c r="O447" s="111"/>
      <c r="P447" s="119">
        <f t="shared" si="47"/>
        <v>-9052.6</v>
      </c>
      <c r="Q447" s="119">
        <f t="shared" si="43"/>
        <v>-18748</v>
      </c>
      <c r="R447" s="147">
        <f t="shared" si="49"/>
        <v>-5483</v>
      </c>
      <c r="S447" s="119">
        <f t="shared" si="52"/>
        <v>2935</v>
      </c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</row>
    <row r="448" spans="1:38">
      <c r="A448" s="108">
        <v>43152</v>
      </c>
      <c r="B448" s="109">
        <v>197153</v>
      </c>
      <c r="C448" s="110">
        <v>0.89</v>
      </c>
      <c r="D448" s="109">
        <f t="shared" si="44"/>
        <v>10450</v>
      </c>
      <c r="E448" s="115"/>
      <c r="F448" s="111"/>
      <c r="G448" s="119">
        <f t="shared" si="46"/>
        <v>7096.2</v>
      </c>
      <c r="H448" s="119">
        <f t="shared" si="48"/>
        <v>12322</v>
      </c>
      <c r="I448" s="147">
        <f t="shared" si="50"/>
        <v>19361</v>
      </c>
      <c r="J448" s="119">
        <f t="shared" si="51"/>
        <v>9793.4</v>
      </c>
      <c r="K448" s="109">
        <v>41836</v>
      </c>
      <c r="L448" s="110">
        <v>0.63600000000000001</v>
      </c>
      <c r="M448" s="109">
        <f t="shared" si="45"/>
        <v>3100</v>
      </c>
      <c r="N448" s="115"/>
      <c r="O448" s="111"/>
      <c r="P448" s="119">
        <f t="shared" si="47"/>
        <v>-5569.2</v>
      </c>
      <c r="Q448" s="119">
        <f t="shared" si="43"/>
        <v>8814</v>
      </c>
      <c r="R448" s="147">
        <f t="shared" si="49"/>
        <v>14163</v>
      </c>
      <c r="S448" s="119">
        <f t="shared" si="52"/>
        <v>-129.6</v>
      </c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</row>
    <row r="449" spans="1:38">
      <c r="A449" s="108">
        <v>43159</v>
      </c>
      <c r="B449" s="109">
        <v>204820</v>
      </c>
      <c r="C449" s="110">
        <v>0.92400000000000004</v>
      </c>
      <c r="D449" s="109">
        <f t="shared" si="44"/>
        <v>10450</v>
      </c>
      <c r="E449" s="115"/>
      <c r="F449" s="111"/>
      <c r="G449" s="119">
        <f t="shared" si="46"/>
        <v>-4341.2</v>
      </c>
      <c r="H449" s="119">
        <f t="shared" si="48"/>
        <v>7667</v>
      </c>
      <c r="I449" s="147">
        <f t="shared" si="50"/>
        <v>32579</v>
      </c>
      <c r="J449" s="119">
        <f t="shared" si="51"/>
        <v>6619</v>
      </c>
      <c r="K449" s="109">
        <v>28674</v>
      </c>
      <c r="L449" s="110">
        <v>0.436</v>
      </c>
      <c r="M449" s="109">
        <f t="shared" si="45"/>
        <v>3100</v>
      </c>
      <c r="N449" s="115"/>
      <c r="O449" s="111"/>
      <c r="P449" s="119">
        <f t="shared" si="47"/>
        <v>4954.3999999999996</v>
      </c>
      <c r="Q449" s="119">
        <f t="shared" si="43"/>
        <v>-13162</v>
      </c>
      <c r="R449" s="147">
        <f t="shared" si="49"/>
        <v>-4682</v>
      </c>
      <c r="S449" s="119">
        <f t="shared" si="52"/>
        <v>-955.4</v>
      </c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</row>
    <row r="450" spans="1:38">
      <c r="A450" s="108">
        <v>43166</v>
      </c>
      <c r="B450" s="109">
        <v>187047</v>
      </c>
      <c r="C450" s="110">
        <v>0.84299999999999997</v>
      </c>
      <c r="D450" s="109">
        <f t="shared" si="44"/>
        <v>10450</v>
      </c>
      <c r="E450" s="115"/>
      <c r="F450" s="111"/>
      <c r="G450" s="119">
        <f t="shared" si="46"/>
        <v>-3174</v>
      </c>
      <c r="H450" s="119">
        <f t="shared" si="48"/>
        <v>-17773</v>
      </c>
      <c r="I450" s="147">
        <f t="shared" si="50"/>
        <v>3727</v>
      </c>
      <c r="J450" s="119">
        <f t="shared" si="51"/>
        <v>4387</v>
      </c>
      <c r="K450" s="109">
        <v>49318</v>
      </c>
      <c r="L450" s="110">
        <v>0.72</v>
      </c>
      <c r="M450" s="109">
        <f t="shared" si="45"/>
        <v>3225</v>
      </c>
      <c r="N450" s="115"/>
      <c r="O450" s="111"/>
      <c r="P450" s="119">
        <f t="shared" si="47"/>
        <v>5617.4</v>
      </c>
      <c r="Q450" s="119">
        <f t="shared" si="43"/>
        <v>20644</v>
      </c>
      <c r="R450" s="147">
        <f t="shared" si="49"/>
        <v>3908</v>
      </c>
      <c r="S450" s="119">
        <f t="shared" si="52"/>
        <v>1432.2</v>
      </c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</row>
    <row r="451" spans="1:38">
      <c r="A451" s="108">
        <v>43173</v>
      </c>
      <c r="B451" s="109">
        <v>196592</v>
      </c>
      <c r="C451" s="110">
        <v>0.88700000000000001</v>
      </c>
      <c r="D451" s="109">
        <f t="shared" si="44"/>
        <v>10450</v>
      </c>
      <c r="E451" s="115"/>
      <c r="F451" s="111"/>
      <c r="G451" s="119">
        <f t="shared" si="46"/>
        <v>15309.6</v>
      </c>
      <c r="H451" s="119">
        <f t="shared" si="48"/>
        <v>9545</v>
      </c>
      <c r="I451" s="147">
        <f t="shared" si="50"/>
        <v>-2267</v>
      </c>
      <c r="J451" s="119">
        <f t="shared" si="51"/>
        <v>7008.4</v>
      </c>
      <c r="K451" s="109">
        <v>28298</v>
      </c>
      <c r="L451" s="110">
        <v>0.43</v>
      </c>
      <c r="M451" s="109">
        <f t="shared" si="45"/>
        <v>3100</v>
      </c>
      <c r="N451" s="115"/>
      <c r="O451" s="111"/>
      <c r="P451" s="119">
        <f t="shared" si="47"/>
        <v>-7097.2</v>
      </c>
      <c r="Q451" s="119">
        <f t="shared" ref="Q451:Q514" si="53">K451-K450</f>
        <v>-21020</v>
      </c>
      <c r="R451" s="147">
        <f t="shared" si="49"/>
        <v>-7014</v>
      </c>
      <c r="S451" s="119">
        <f t="shared" si="52"/>
        <v>3616.8</v>
      </c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</row>
    <row r="452" spans="1:38">
      <c r="A452" s="108">
        <v>43180</v>
      </c>
      <c r="B452" s="109">
        <v>186758</v>
      </c>
      <c r="C452" s="110">
        <v>0.84200000000000008</v>
      </c>
      <c r="D452" s="109">
        <f t="shared" ref="D452:D515" si="54">IF(B452="","",IF(C452="","",MROUND((B452/C452)/(A452-A451)*330/1000,25)))</f>
        <v>10450</v>
      </c>
      <c r="E452" s="115"/>
      <c r="F452" s="111"/>
      <c r="G452" s="119">
        <f t="shared" si="46"/>
        <v>-7172.4</v>
      </c>
      <c r="H452" s="119">
        <f t="shared" si="48"/>
        <v>-9834</v>
      </c>
      <c r="I452" s="147">
        <f t="shared" si="50"/>
        <v>15568</v>
      </c>
      <c r="J452" s="119">
        <f t="shared" si="51"/>
        <v>9467.4</v>
      </c>
      <c r="K452" s="109">
        <v>42142</v>
      </c>
      <c r="L452" s="110">
        <v>0.64</v>
      </c>
      <c r="M452" s="109">
        <f t="shared" ref="M452:M515" si="55">IF(K452="","",IF(L452="","",MROUND((K452/L452)/(A452-A451)*330/1000,25)))</f>
        <v>3100</v>
      </c>
      <c r="N452" s="115"/>
      <c r="O452" s="111"/>
      <c r="P452" s="119">
        <f t="shared" si="47"/>
        <v>-2049.6</v>
      </c>
      <c r="Q452" s="119">
        <f t="shared" si="53"/>
        <v>13844</v>
      </c>
      <c r="R452" s="147">
        <f t="shared" si="49"/>
        <v>17089</v>
      </c>
      <c r="S452" s="119">
        <f t="shared" si="52"/>
        <v>1272.2</v>
      </c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</row>
    <row r="453" spans="1:38">
      <c r="A453" s="108">
        <v>43187</v>
      </c>
      <c r="B453" s="109">
        <v>195171</v>
      </c>
      <c r="C453" s="110">
        <v>0.88</v>
      </c>
      <c r="D453" s="109">
        <f t="shared" si="54"/>
        <v>10450</v>
      </c>
      <c r="E453" s="115"/>
      <c r="F453" s="111"/>
      <c r="G453" s="119">
        <f t="shared" si="46"/>
        <v>-5073</v>
      </c>
      <c r="H453" s="119">
        <f t="shared" si="48"/>
        <v>8413</v>
      </c>
      <c r="I453" s="147">
        <f t="shared" si="50"/>
        <v>13905</v>
      </c>
      <c r="J453" s="119">
        <f t="shared" si="51"/>
        <v>5687.2</v>
      </c>
      <c r="K453" s="109">
        <v>32111</v>
      </c>
      <c r="L453" s="110">
        <v>0.48799999999999999</v>
      </c>
      <c r="M453" s="109">
        <f t="shared" si="55"/>
        <v>3100</v>
      </c>
      <c r="N453" s="115"/>
      <c r="O453" s="111"/>
      <c r="P453" s="119">
        <f t="shared" si="47"/>
        <v>6713.2</v>
      </c>
      <c r="Q453" s="119">
        <f t="shared" si="53"/>
        <v>-10031</v>
      </c>
      <c r="R453" s="147">
        <f t="shared" si="49"/>
        <v>1500</v>
      </c>
      <c r="S453" s="119">
        <f t="shared" si="52"/>
        <v>-441.8</v>
      </c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</row>
    <row r="454" spans="1:38">
      <c r="A454" s="108">
        <v>43194</v>
      </c>
      <c r="B454" s="109">
        <v>176517</v>
      </c>
      <c r="C454" s="110">
        <v>0.79599999999999993</v>
      </c>
      <c r="D454" s="109">
        <f t="shared" si="54"/>
        <v>10450</v>
      </c>
      <c r="E454" s="115"/>
      <c r="F454" s="111"/>
      <c r="G454" s="119">
        <f t="shared" si="46"/>
        <v>2087.1999999999998</v>
      </c>
      <c r="H454" s="119">
        <f t="shared" si="48"/>
        <v>-18654</v>
      </c>
      <c r="I454" s="147">
        <f t="shared" si="50"/>
        <v>-27434</v>
      </c>
      <c r="J454" s="119">
        <f t="shared" si="51"/>
        <v>6506.8</v>
      </c>
      <c r="K454" s="109">
        <v>47766</v>
      </c>
      <c r="L454" s="110">
        <v>0.72599999999999998</v>
      </c>
      <c r="M454" s="109">
        <f t="shared" si="55"/>
        <v>3100</v>
      </c>
      <c r="N454" s="115"/>
      <c r="O454" s="111"/>
      <c r="P454" s="119">
        <f t="shared" si="47"/>
        <v>4835.3999999999996</v>
      </c>
      <c r="Q454" s="119">
        <f t="shared" si="53"/>
        <v>15655</v>
      </c>
      <c r="R454" s="147">
        <f t="shared" si="49"/>
        <v>678</v>
      </c>
      <c r="S454" s="119">
        <f t="shared" si="52"/>
        <v>380.8</v>
      </c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</row>
    <row r="455" spans="1:38">
      <c r="A455" s="108">
        <v>43201</v>
      </c>
      <c r="B455" s="109">
        <v>197599</v>
      </c>
      <c r="C455" s="110">
        <v>0.8909999999999999</v>
      </c>
      <c r="D455" s="109">
        <f t="shared" si="54"/>
        <v>10450</v>
      </c>
      <c r="E455" s="115"/>
      <c r="F455" s="111"/>
      <c r="G455" s="119">
        <f t="shared" si="46"/>
        <v>-7578.4</v>
      </c>
      <c r="H455" s="119">
        <f t="shared" si="48"/>
        <v>21082</v>
      </c>
      <c r="I455" s="147">
        <f t="shared" si="50"/>
        <v>16723</v>
      </c>
      <c r="J455" s="119">
        <f t="shared" si="51"/>
        <v>12435.6</v>
      </c>
      <c r="K455" s="109">
        <v>31606</v>
      </c>
      <c r="L455" s="110">
        <v>0.48</v>
      </c>
      <c r="M455" s="109">
        <f t="shared" si="55"/>
        <v>3100</v>
      </c>
      <c r="N455" s="115"/>
      <c r="O455" s="111"/>
      <c r="P455" s="119">
        <f t="shared" si="47"/>
        <v>-7716.4</v>
      </c>
      <c r="Q455" s="119">
        <f t="shared" si="53"/>
        <v>-16160</v>
      </c>
      <c r="R455" s="147">
        <f t="shared" si="49"/>
        <v>2890</v>
      </c>
      <c r="S455" s="119">
        <f t="shared" si="52"/>
        <v>4524.8</v>
      </c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</row>
    <row r="456" spans="1:38">
      <c r="A456" s="108">
        <v>43208</v>
      </c>
      <c r="B456" s="109">
        <v>186297</v>
      </c>
      <c r="C456" s="110">
        <v>0.84</v>
      </c>
      <c r="D456" s="109">
        <f t="shared" si="54"/>
        <v>10450</v>
      </c>
      <c r="E456" s="115"/>
      <c r="F456" s="111"/>
      <c r="G456" s="119">
        <f t="shared" si="46"/>
        <v>14541.4</v>
      </c>
      <c r="H456" s="119">
        <f t="shared" si="48"/>
        <v>-11302</v>
      </c>
      <c r="I456" s="147">
        <f t="shared" si="50"/>
        <v>-1448</v>
      </c>
      <c r="J456" s="119">
        <f t="shared" si="51"/>
        <v>6357.4</v>
      </c>
      <c r="K456" s="109">
        <v>46845</v>
      </c>
      <c r="L456" s="110">
        <v>0.71200000000000008</v>
      </c>
      <c r="M456" s="109">
        <f t="shared" si="55"/>
        <v>3100</v>
      </c>
      <c r="N456" s="115"/>
      <c r="O456" s="111"/>
      <c r="P456" s="119">
        <f t="shared" si="47"/>
        <v>250.2</v>
      </c>
      <c r="Q456" s="119">
        <f t="shared" si="53"/>
        <v>15239</v>
      </c>
      <c r="R456" s="147">
        <f t="shared" si="49"/>
        <v>2021</v>
      </c>
      <c r="S456" s="119">
        <f t="shared" si="52"/>
        <v>652.20000000000005</v>
      </c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</row>
    <row r="457" spans="1:38">
      <c r="A457" s="108">
        <v>43215</v>
      </c>
      <c r="B457" s="109">
        <v>196846</v>
      </c>
      <c r="C457" s="110">
        <v>0.88800000000000001</v>
      </c>
      <c r="D457" s="109">
        <f t="shared" si="54"/>
        <v>10450</v>
      </c>
      <c r="E457" s="115"/>
      <c r="F457" s="111"/>
      <c r="G457" s="119">
        <f t="shared" si="46"/>
        <v>-22474.2</v>
      </c>
      <c r="H457" s="119">
        <f t="shared" si="48"/>
        <v>10549</v>
      </c>
      <c r="I457" s="147">
        <f t="shared" si="50"/>
        <v>-2838</v>
      </c>
      <c r="J457" s="119">
        <f t="shared" si="51"/>
        <v>9379.2000000000007</v>
      </c>
      <c r="K457" s="109">
        <v>44393</v>
      </c>
      <c r="L457" s="110">
        <v>0.67500000000000004</v>
      </c>
      <c r="M457" s="109">
        <f t="shared" si="55"/>
        <v>3100</v>
      </c>
      <c r="N457" s="115"/>
      <c r="O457" s="111"/>
      <c r="P457" s="119">
        <f t="shared" si="47"/>
        <v>-2220.6</v>
      </c>
      <c r="Q457" s="119">
        <f t="shared" si="53"/>
        <v>-2452</v>
      </c>
      <c r="R457" s="147">
        <f t="shared" si="49"/>
        <v>16576</v>
      </c>
      <c r="S457" s="119">
        <f t="shared" si="52"/>
        <v>4058</v>
      </c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</row>
    <row r="458" spans="1:38">
      <c r="A458" s="108">
        <v>43222</v>
      </c>
      <c r="B458" s="109">
        <v>182592</v>
      </c>
      <c r="C458" s="110">
        <v>0.82299999999999995</v>
      </c>
      <c r="D458" s="109">
        <f t="shared" si="54"/>
        <v>10450</v>
      </c>
      <c r="E458" s="115"/>
      <c r="F458" s="111"/>
      <c r="G458" s="119">
        <f t="shared" si="46"/>
        <v>-9682.6</v>
      </c>
      <c r="H458" s="119">
        <f t="shared" si="48"/>
        <v>-14254</v>
      </c>
      <c r="I458" s="147">
        <f t="shared" si="50"/>
        <v>4107</v>
      </c>
      <c r="J458" s="119">
        <f t="shared" si="51"/>
        <v>16530.400000000001</v>
      </c>
      <c r="K458" s="109">
        <v>50397</v>
      </c>
      <c r="L458" s="110">
        <v>0.7659999999999999</v>
      </c>
      <c r="M458" s="109">
        <f t="shared" si="55"/>
        <v>3100</v>
      </c>
      <c r="N458" s="115"/>
      <c r="O458" s="111"/>
      <c r="P458" s="119">
        <f t="shared" si="47"/>
        <v>4004.8</v>
      </c>
      <c r="Q458" s="119">
        <f t="shared" si="53"/>
        <v>6004</v>
      </c>
      <c r="R458" s="147">
        <f t="shared" si="49"/>
        <v>11168</v>
      </c>
      <c r="S458" s="119">
        <f t="shared" si="52"/>
        <v>-198.2</v>
      </c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</row>
    <row r="459" spans="1:38">
      <c r="A459" s="108">
        <v>43229</v>
      </c>
      <c r="B459" s="109">
        <v>201677</v>
      </c>
      <c r="C459" s="110">
        <v>0.90900000000000003</v>
      </c>
      <c r="D459" s="109">
        <f t="shared" si="54"/>
        <v>10450</v>
      </c>
      <c r="E459" s="115"/>
      <c r="F459" s="111"/>
      <c r="G459" s="119">
        <f t="shared" si="46"/>
        <v>9722</v>
      </c>
      <c r="H459" s="119">
        <f t="shared" si="48"/>
        <v>19085</v>
      </c>
      <c r="I459" s="147">
        <f t="shared" si="50"/>
        <v>29262</v>
      </c>
      <c r="J459" s="119">
        <f t="shared" si="51"/>
        <v>10868.8</v>
      </c>
      <c r="K459" s="109">
        <v>31675</v>
      </c>
      <c r="L459" s="110">
        <v>0.48100000000000004</v>
      </c>
      <c r="M459" s="109">
        <f t="shared" si="55"/>
        <v>3100</v>
      </c>
      <c r="N459" s="115"/>
      <c r="O459" s="111"/>
      <c r="P459" s="119">
        <f t="shared" si="47"/>
        <v>-1077.4000000000001</v>
      </c>
      <c r="Q459" s="119">
        <f t="shared" si="53"/>
        <v>-18722</v>
      </c>
      <c r="R459" s="147">
        <f t="shared" si="49"/>
        <v>4118</v>
      </c>
      <c r="S459" s="119">
        <f t="shared" si="52"/>
        <v>2116.6</v>
      </c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</row>
    <row r="460" spans="1:38">
      <c r="A460" s="108">
        <v>43236</v>
      </c>
      <c r="B460" s="109">
        <v>178712</v>
      </c>
      <c r="C460" s="110">
        <v>0.80599999999999994</v>
      </c>
      <c r="D460" s="109">
        <f t="shared" si="54"/>
        <v>10450</v>
      </c>
      <c r="E460" s="115"/>
      <c r="F460" s="111"/>
      <c r="G460" s="119">
        <f t="shared" si="46"/>
        <v>16235.6</v>
      </c>
      <c r="H460" s="119">
        <f t="shared" si="48"/>
        <v>-22965</v>
      </c>
      <c r="I460" s="147">
        <f t="shared" si="50"/>
        <v>-17208</v>
      </c>
      <c r="J460" s="119">
        <f t="shared" si="51"/>
        <v>9766.7999999999993</v>
      </c>
      <c r="K460" s="109">
        <v>51106</v>
      </c>
      <c r="L460" s="110">
        <v>0.77700000000000002</v>
      </c>
      <c r="M460" s="109">
        <f t="shared" si="55"/>
        <v>3100</v>
      </c>
      <c r="N460" s="115"/>
      <c r="O460" s="111"/>
      <c r="P460" s="119">
        <f t="shared" si="47"/>
        <v>2485.6</v>
      </c>
      <c r="Q460" s="119">
        <f t="shared" si="53"/>
        <v>19431</v>
      </c>
      <c r="R460" s="147">
        <f t="shared" si="49"/>
        <v>6819</v>
      </c>
      <c r="S460" s="119">
        <f t="shared" si="52"/>
        <v>517</v>
      </c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</row>
    <row r="461" spans="1:38">
      <c r="A461" s="108">
        <v>43243</v>
      </c>
      <c r="B461" s="109">
        <v>174189</v>
      </c>
      <c r="C461" s="110">
        <v>0.78500000000000003</v>
      </c>
      <c r="D461" s="109">
        <f t="shared" si="54"/>
        <v>10450</v>
      </c>
      <c r="E461" s="115"/>
      <c r="F461" s="111"/>
      <c r="G461" s="119">
        <f t="shared" si="46"/>
        <v>-5177.6000000000004</v>
      </c>
      <c r="H461" s="119">
        <f t="shared" si="48"/>
        <v>-4523</v>
      </c>
      <c r="I461" s="147">
        <f t="shared" si="50"/>
        <v>-26105</v>
      </c>
      <c r="J461" s="119">
        <f t="shared" si="51"/>
        <v>18757.2</v>
      </c>
      <c r="K461" s="109">
        <v>31805</v>
      </c>
      <c r="L461" s="110">
        <v>0.48299999999999998</v>
      </c>
      <c r="M461" s="109">
        <f t="shared" si="55"/>
        <v>3100</v>
      </c>
      <c r="N461" s="115"/>
      <c r="O461" s="111"/>
      <c r="P461" s="119">
        <f t="shared" si="47"/>
        <v>-6983</v>
      </c>
      <c r="Q461" s="119">
        <f t="shared" si="53"/>
        <v>-19301</v>
      </c>
      <c r="R461" s="147">
        <f t="shared" si="49"/>
        <v>3983</v>
      </c>
      <c r="S461" s="119">
        <f t="shared" si="52"/>
        <v>5606.6</v>
      </c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</row>
    <row r="462" spans="1:38">
      <c r="A462" s="108">
        <v>43250</v>
      </c>
      <c r="B462" s="109">
        <v>162125</v>
      </c>
      <c r="C462" s="110">
        <v>0.73099999999999998</v>
      </c>
      <c r="D462" s="109">
        <f t="shared" si="54"/>
        <v>10450</v>
      </c>
      <c r="E462" s="115"/>
      <c r="F462" s="111"/>
      <c r="G462" s="119">
        <f t="shared" si="46"/>
        <v>-15764.6</v>
      </c>
      <c r="H462" s="119">
        <f t="shared" si="48"/>
        <v>-12064</v>
      </c>
      <c r="I462" s="147">
        <f t="shared" si="50"/>
        <v>-9375</v>
      </c>
      <c r="J462" s="119">
        <f t="shared" si="51"/>
        <v>25015</v>
      </c>
      <c r="K462" s="109">
        <v>51721</v>
      </c>
      <c r="L462" s="110">
        <v>0.78599999999999992</v>
      </c>
      <c r="M462" s="109">
        <f t="shared" si="55"/>
        <v>3100</v>
      </c>
      <c r="N462" s="115"/>
      <c r="O462" s="111"/>
      <c r="P462" s="119">
        <f t="shared" si="47"/>
        <v>-3998.6</v>
      </c>
      <c r="Q462" s="119">
        <f t="shared" si="53"/>
        <v>19916</v>
      </c>
      <c r="R462" s="147">
        <f t="shared" si="49"/>
        <v>7928</v>
      </c>
      <c r="S462" s="119">
        <f t="shared" si="52"/>
        <v>257</v>
      </c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</row>
    <row r="463" spans="1:38">
      <c r="A463" s="108">
        <v>43257</v>
      </c>
      <c r="B463" s="109">
        <v>157170</v>
      </c>
      <c r="C463" s="110">
        <v>0.70900000000000007</v>
      </c>
      <c r="D463" s="109">
        <f t="shared" si="54"/>
        <v>10450</v>
      </c>
      <c r="E463" s="115"/>
      <c r="F463" s="111"/>
      <c r="G463" s="119">
        <f t="shared" si="46"/>
        <v>7522</v>
      </c>
      <c r="H463" s="119">
        <f t="shared" si="48"/>
        <v>-4955</v>
      </c>
      <c r="I463" s="147">
        <f t="shared" si="50"/>
        <v>-362</v>
      </c>
      <c r="J463" s="119">
        <f t="shared" si="51"/>
        <v>14463.8</v>
      </c>
      <c r="K463" s="109">
        <v>32441</v>
      </c>
      <c r="L463" s="110">
        <v>0.49299999999999999</v>
      </c>
      <c r="M463" s="109">
        <f t="shared" si="55"/>
        <v>3100</v>
      </c>
      <c r="N463" s="115"/>
      <c r="O463" s="111"/>
      <c r="P463" s="119">
        <f t="shared" si="47"/>
        <v>880.4</v>
      </c>
      <c r="Q463" s="119">
        <f t="shared" si="53"/>
        <v>-19280</v>
      </c>
      <c r="R463" s="147">
        <f t="shared" si="49"/>
        <v>6165</v>
      </c>
      <c r="S463" s="119">
        <f t="shared" si="52"/>
        <v>2547.1999999999998</v>
      </c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</row>
    <row r="464" spans="1:38">
      <c r="A464" s="108">
        <v>43264</v>
      </c>
      <c r="B464" s="109">
        <v>181669</v>
      </c>
      <c r="C464" s="110">
        <v>0.81900000000000006</v>
      </c>
      <c r="D464" s="109">
        <f t="shared" si="54"/>
        <v>10450</v>
      </c>
      <c r="E464" s="115"/>
      <c r="F464" s="111"/>
      <c r="G464" s="119">
        <f t="shared" si="46"/>
        <v>-2306.6</v>
      </c>
      <c r="H464" s="119">
        <f t="shared" si="48"/>
        <v>24499</v>
      </c>
      <c r="I464" s="147">
        <f t="shared" si="50"/>
        <v>-3907</v>
      </c>
      <c r="J464" s="119">
        <f t="shared" si="51"/>
        <v>7601.8</v>
      </c>
      <c r="K464" s="109">
        <v>50042</v>
      </c>
      <c r="L464" s="110">
        <v>0.7609999999999999</v>
      </c>
      <c r="M464" s="109">
        <f t="shared" si="55"/>
        <v>3100</v>
      </c>
      <c r="N464" s="115"/>
      <c r="O464" s="111"/>
      <c r="P464" s="119">
        <f t="shared" si="47"/>
        <v>6815.6</v>
      </c>
      <c r="Q464" s="119">
        <f t="shared" si="53"/>
        <v>17601</v>
      </c>
      <c r="R464" s="147">
        <f t="shared" si="49"/>
        <v>5803</v>
      </c>
      <c r="S464" s="119">
        <f t="shared" si="52"/>
        <v>-758</v>
      </c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</row>
    <row r="465" spans="1:38">
      <c r="A465" s="108">
        <v>43271</v>
      </c>
      <c r="B465" s="109">
        <v>184379</v>
      </c>
      <c r="C465" s="110">
        <v>0.83099999999999996</v>
      </c>
      <c r="D465" s="109">
        <f t="shared" si="54"/>
        <v>10450</v>
      </c>
      <c r="E465" s="115"/>
      <c r="F465" s="111"/>
      <c r="G465" s="119">
        <f t="shared" si="46"/>
        <v>15798.4</v>
      </c>
      <c r="H465" s="119">
        <f t="shared" si="48"/>
        <v>2710</v>
      </c>
      <c r="I465" s="147">
        <f t="shared" si="50"/>
        <v>-4013</v>
      </c>
      <c r="J465" s="119">
        <f t="shared" si="51"/>
        <v>10553.4</v>
      </c>
      <c r="K465" s="109">
        <v>28906</v>
      </c>
      <c r="L465" s="110">
        <v>0.439</v>
      </c>
      <c r="M465" s="109">
        <f t="shared" si="55"/>
        <v>3100</v>
      </c>
      <c r="N465" s="115"/>
      <c r="O465" s="111"/>
      <c r="P465" s="119">
        <f t="shared" si="47"/>
        <v>-10099.6</v>
      </c>
      <c r="Q465" s="119">
        <f t="shared" si="53"/>
        <v>-21136</v>
      </c>
      <c r="R465" s="147">
        <f t="shared" si="49"/>
        <v>1424</v>
      </c>
      <c r="S465" s="119">
        <f t="shared" si="52"/>
        <v>3539</v>
      </c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</row>
    <row r="466" spans="1:38">
      <c r="A466" s="108">
        <v>43278</v>
      </c>
      <c r="B466" s="109">
        <v>168100</v>
      </c>
      <c r="C466" s="110">
        <v>0.75800000000000001</v>
      </c>
      <c r="D466" s="109">
        <f t="shared" si="54"/>
        <v>10450</v>
      </c>
      <c r="E466" s="115"/>
      <c r="F466" s="111"/>
      <c r="G466" s="119">
        <f t="shared" si="46"/>
        <v>3918.2</v>
      </c>
      <c r="H466" s="119">
        <f t="shared" si="48"/>
        <v>-16279</v>
      </c>
      <c r="I466" s="147">
        <f t="shared" si="50"/>
        <v>-13985</v>
      </c>
      <c r="J466" s="119">
        <f t="shared" si="51"/>
        <v>11027.2</v>
      </c>
      <c r="K466" s="109">
        <v>51033</v>
      </c>
      <c r="L466" s="110">
        <v>0.77599999999999991</v>
      </c>
      <c r="M466" s="109">
        <f t="shared" si="55"/>
        <v>3100</v>
      </c>
      <c r="N466" s="115"/>
      <c r="O466" s="111"/>
      <c r="P466" s="119">
        <f t="shared" si="47"/>
        <v>4903.3999999999996</v>
      </c>
      <c r="Q466" s="119">
        <f t="shared" si="53"/>
        <v>22127</v>
      </c>
      <c r="R466" s="147">
        <f t="shared" si="49"/>
        <v>9118</v>
      </c>
      <c r="S466" s="119">
        <f t="shared" si="52"/>
        <v>3047.8</v>
      </c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</row>
    <row r="467" spans="1:38">
      <c r="A467" s="108">
        <v>43285</v>
      </c>
      <c r="B467" s="109">
        <v>166245</v>
      </c>
      <c r="C467" s="110">
        <v>0.75</v>
      </c>
      <c r="D467" s="109">
        <f t="shared" si="54"/>
        <v>10450</v>
      </c>
      <c r="E467" s="115"/>
      <c r="F467" s="111"/>
      <c r="G467" s="119">
        <f t="shared" si="46"/>
        <v>-7926.4</v>
      </c>
      <c r="H467" s="119">
        <f t="shared" si="48"/>
        <v>-1855</v>
      </c>
      <c r="I467" s="147">
        <f t="shared" si="50"/>
        <v>-12665</v>
      </c>
      <c r="J467" s="119">
        <f t="shared" si="51"/>
        <v>7755.6</v>
      </c>
      <c r="K467" s="109">
        <v>33948</v>
      </c>
      <c r="L467" s="110">
        <v>0.51600000000000001</v>
      </c>
      <c r="M467" s="109">
        <f t="shared" si="55"/>
        <v>3100</v>
      </c>
      <c r="N467" s="115"/>
      <c r="O467" s="111"/>
      <c r="P467" s="119">
        <f t="shared" si="47"/>
        <v>1290</v>
      </c>
      <c r="Q467" s="119">
        <f t="shared" si="53"/>
        <v>-17085</v>
      </c>
      <c r="R467" s="147">
        <f t="shared" si="49"/>
        <v>2123</v>
      </c>
      <c r="S467" s="119">
        <f t="shared" si="52"/>
        <v>2589.6</v>
      </c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</row>
    <row r="468" spans="1:38">
      <c r="A468" s="108">
        <v>43292</v>
      </c>
      <c r="B468" s="109">
        <v>154592</v>
      </c>
      <c r="C468" s="110">
        <v>0.69700000000000006</v>
      </c>
      <c r="D468" s="109">
        <f t="shared" si="54"/>
        <v>10450</v>
      </c>
      <c r="E468" s="115"/>
      <c r="F468" s="111"/>
      <c r="G468" s="119">
        <f t="shared" si="46"/>
        <v>18923</v>
      </c>
      <c r="H468" s="119">
        <f t="shared" si="48"/>
        <v>-11653</v>
      </c>
      <c r="I468" s="147">
        <f t="shared" si="50"/>
        <v>-46818</v>
      </c>
      <c r="J468" s="119">
        <f t="shared" si="51"/>
        <v>11154.8</v>
      </c>
      <c r="K468" s="109">
        <v>41744</v>
      </c>
      <c r="L468" s="110">
        <v>0.63400000000000001</v>
      </c>
      <c r="M468" s="109">
        <f t="shared" si="55"/>
        <v>3100</v>
      </c>
      <c r="N468" s="115"/>
      <c r="O468" s="111"/>
      <c r="P468" s="119">
        <f t="shared" si="47"/>
        <v>3356</v>
      </c>
      <c r="Q468" s="119">
        <f t="shared" si="53"/>
        <v>7796</v>
      </c>
      <c r="R468" s="147">
        <f t="shared" si="49"/>
        <v>6098</v>
      </c>
      <c r="S468" s="119">
        <f t="shared" si="52"/>
        <v>258.39999999999998</v>
      </c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</row>
    <row r="469" spans="1:38">
      <c r="A469" s="108">
        <v>43299</v>
      </c>
      <c r="B469" s="109">
        <v>187957</v>
      </c>
      <c r="C469" s="110">
        <v>0.84799999999999998</v>
      </c>
      <c r="D469" s="109">
        <f t="shared" si="54"/>
        <v>10450</v>
      </c>
      <c r="E469" s="115"/>
      <c r="F469" s="111"/>
      <c r="G469" s="119">
        <f t="shared" si="46"/>
        <v>-9848.2000000000007</v>
      </c>
      <c r="H469" s="119">
        <f t="shared" si="48"/>
        <v>33365</v>
      </c>
      <c r="I469" s="147">
        <f t="shared" si="50"/>
        <v>4344</v>
      </c>
      <c r="J469" s="119">
        <f t="shared" si="51"/>
        <v>14202.4</v>
      </c>
      <c r="K469" s="109">
        <v>19091</v>
      </c>
      <c r="L469" s="110">
        <v>0.28999999999999998</v>
      </c>
      <c r="M469" s="109">
        <f t="shared" si="55"/>
        <v>3100</v>
      </c>
      <c r="N469" s="115"/>
      <c r="O469" s="111"/>
      <c r="P469" s="119">
        <f t="shared" si="47"/>
        <v>-1571</v>
      </c>
      <c r="Q469" s="119">
        <f t="shared" si="53"/>
        <v>-22653</v>
      </c>
      <c r="R469" s="147">
        <f t="shared" si="49"/>
        <v>2724</v>
      </c>
      <c r="S469" s="119">
        <f t="shared" si="52"/>
        <v>1079.4000000000001</v>
      </c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</row>
    <row r="470" spans="1:38">
      <c r="A470" s="108">
        <v>43306</v>
      </c>
      <c r="B470" s="109">
        <v>184599</v>
      </c>
      <c r="C470" s="110">
        <v>0.83200000000000007</v>
      </c>
      <c r="D470" s="109">
        <f t="shared" si="54"/>
        <v>10450</v>
      </c>
      <c r="E470" s="115"/>
      <c r="F470" s="111"/>
      <c r="G470" s="119">
        <f t="shared" si="46"/>
        <v>-27735.4</v>
      </c>
      <c r="H470" s="119">
        <f t="shared" si="48"/>
        <v>-3358</v>
      </c>
      <c r="I470" s="147">
        <f t="shared" si="50"/>
        <v>11236</v>
      </c>
      <c r="J470" s="119">
        <f t="shared" si="51"/>
        <v>11693.4</v>
      </c>
      <c r="K470" s="109">
        <v>40299</v>
      </c>
      <c r="L470" s="110">
        <v>0.61199999999999999</v>
      </c>
      <c r="M470" s="109">
        <f t="shared" si="55"/>
        <v>3100</v>
      </c>
      <c r="N470" s="115"/>
      <c r="O470" s="111"/>
      <c r="P470" s="119">
        <f t="shared" si="47"/>
        <v>-3273.6</v>
      </c>
      <c r="Q470" s="119">
        <f t="shared" si="53"/>
        <v>21208</v>
      </c>
      <c r="R470" s="147">
        <f t="shared" si="49"/>
        <v>3090</v>
      </c>
      <c r="S470" s="119">
        <f t="shared" si="52"/>
        <v>-1246.5999999999999</v>
      </c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</row>
    <row r="471" spans="1:38">
      <c r="A471" s="108">
        <v>43313</v>
      </c>
      <c r="B471" s="109">
        <v>180410</v>
      </c>
      <c r="C471" s="110">
        <v>0.81400000000000006</v>
      </c>
      <c r="D471" s="109">
        <f t="shared" si="54"/>
        <v>10450</v>
      </c>
      <c r="E471" s="115"/>
      <c r="F471" s="111"/>
      <c r="G471" s="119">
        <f t="shared" si="46"/>
        <v>-14812.4</v>
      </c>
      <c r="H471" s="119">
        <f t="shared" si="48"/>
        <v>-4189</v>
      </c>
      <c r="I471" s="147">
        <f t="shared" si="50"/>
        <v>-450</v>
      </c>
      <c r="J471" s="119">
        <f t="shared" si="51"/>
        <v>5039.2</v>
      </c>
      <c r="K471" s="109">
        <v>3983</v>
      </c>
      <c r="L471" s="110"/>
      <c r="M471" s="109" t="str">
        <f t="shared" si="55"/>
        <v/>
      </c>
      <c r="N471" s="115"/>
      <c r="O471" s="111"/>
      <c r="P471" s="119">
        <f t="shared" si="47"/>
        <v>-10064.4</v>
      </c>
      <c r="Q471" s="119">
        <f t="shared" si="53"/>
        <v>-36316</v>
      </c>
      <c r="R471" s="147">
        <f t="shared" si="49"/>
        <v>-6026</v>
      </c>
      <c r="S471" s="119">
        <f t="shared" si="52"/>
        <v>1360</v>
      </c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</row>
    <row r="472" spans="1:38">
      <c r="A472" s="108">
        <v>43320</v>
      </c>
      <c r="B472" s="109">
        <v>192792</v>
      </c>
      <c r="C472" s="110">
        <v>0.86900000000000011</v>
      </c>
      <c r="D472" s="109">
        <f t="shared" si="54"/>
        <v>10450</v>
      </c>
      <c r="E472" s="115"/>
      <c r="F472" s="111"/>
      <c r="G472" s="119">
        <f t="shared" si="46"/>
        <v>19924.400000000001</v>
      </c>
      <c r="H472" s="119">
        <f t="shared" si="48"/>
        <v>12382</v>
      </c>
      <c r="I472" s="147">
        <f t="shared" si="50"/>
        <v>-15476</v>
      </c>
      <c r="J472" s="119">
        <f t="shared" si="51"/>
        <v>11637.2</v>
      </c>
      <c r="K472" s="109">
        <v>45899</v>
      </c>
      <c r="L472" s="110">
        <v>0.69799999999999995</v>
      </c>
      <c r="M472" s="109">
        <f t="shared" si="55"/>
        <v>3100</v>
      </c>
      <c r="N472" s="115"/>
      <c r="O472" s="111"/>
      <c r="P472" s="119">
        <f t="shared" si="47"/>
        <v>14822.6</v>
      </c>
      <c r="Q472" s="119">
        <f t="shared" si="53"/>
        <v>41916</v>
      </c>
      <c r="R472" s="147">
        <f t="shared" si="49"/>
        <v>-324</v>
      </c>
      <c r="S472" s="119">
        <f t="shared" si="52"/>
        <v>-3638</v>
      </c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</row>
    <row r="473" spans="1:38">
      <c r="A473" s="108">
        <v>43327</v>
      </c>
      <c r="B473" s="109">
        <v>194144</v>
      </c>
      <c r="C473" s="110">
        <v>0.875</v>
      </c>
      <c r="D473" s="109">
        <f t="shared" si="54"/>
        <v>10450</v>
      </c>
      <c r="E473" s="115"/>
      <c r="F473" s="111"/>
      <c r="G473" s="119">
        <f t="shared" si="46"/>
        <v>-7464</v>
      </c>
      <c r="H473" s="119">
        <f t="shared" si="48"/>
        <v>1352</v>
      </c>
      <c r="I473" s="147">
        <f t="shared" si="50"/>
        <v>8778</v>
      </c>
      <c r="J473" s="119">
        <f t="shared" si="51"/>
        <v>22218.400000000001</v>
      </c>
      <c r="K473" s="109">
        <v>30619</v>
      </c>
      <c r="L473" s="110">
        <v>0.46500000000000002</v>
      </c>
      <c r="M473" s="109">
        <f t="shared" si="55"/>
        <v>3100</v>
      </c>
      <c r="N473" s="115"/>
      <c r="O473" s="111"/>
      <c r="P473" s="119">
        <f t="shared" si="47"/>
        <v>266.2</v>
      </c>
      <c r="Q473" s="119">
        <f t="shared" si="53"/>
        <v>-15280</v>
      </c>
      <c r="R473" s="147">
        <f t="shared" si="49"/>
        <v>13300</v>
      </c>
      <c r="S473" s="119">
        <f t="shared" si="52"/>
        <v>4052.2</v>
      </c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</row>
    <row r="474" spans="1:38">
      <c r="A474" s="108">
        <v>43334</v>
      </c>
      <c r="B474" s="109">
        <v>175668</v>
      </c>
      <c r="C474" s="110">
        <v>0.79200000000000004</v>
      </c>
      <c r="D474" s="109">
        <f t="shared" si="54"/>
        <v>10450</v>
      </c>
      <c r="E474" s="115"/>
      <c r="F474" s="111"/>
      <c r="G474" s="119">
        <f t="shared" si="46"/>
        <v>-6156.6</v>
      </c>
      <c r="H474" s="119">
        <f t="shared" si="48"/>
        <v>-18476</v>
      </c>
      <c r="I474" s="147">
        <f t="shared" si="50"/>
        <v>8861</v>
      </c>
      <c r="J474" s="119">
        <f t="shared" si="51"/>
        <v>18187.2</v>
      </c>
      <c r="K474" s="109">
        <v>46133</v>
      </c>
      <c r="L474" s="110">
        <v>0.70099999999999996</v>
      </c>
      <c r="M474" s="109">
        <f t="shared" si="55"/>
        <v>3100</v>
      </c>
      <c r="N474" s="115"/>
      <c r="O474" s="111"/>
      <c r="P474" s="119">
        <f t="shared" si="47"/>
        <v>1710.6</v>
      </c>
      <c r="Q474" s="119">
        <f t="shared" si="53"/>
        <v>15514</v>
      </c>
      <c r="R474" s="147">
        <f t="shared" si="49"/>
        <v>17831</v>
      </c>
      <c r="S474" s="119">
        <f t="shared" si="52"/>
        <v>-1947.4</v>
      </c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</row>
    <row r="475" spans="1:38">
      <c r="A475" s="108">
        <v>43341</v>
      </c>
      <c r="B475" s="109">
        <v>193731</v>
      </c>
      <c r="C475" s="110">
        <v>0.87400000000000011</v>
      </c>
      <c r="D475" s="109">
        <f t="shared" si="54"/>
        <v>10450</v>
      </c>
      <c r="E475" s="115"/>
      <c r="F475" s="111"/>
      <c r="G475" s="119">
        <f t="shared" si="46"/>
        <v>18438.599999999999</v>
      </c>
      <c r="H475" s="119">
        <f t="shared" si="48"/>
        <v>18063</v>
      </c>
      <c r="I475" s="147">
        <f t="shared" si="50"/>
        <v>1120</v>
      </c>
      <c r="J475" s="119">
        <f t="shared" si="51"/>
        <v>9804</v>
      </c>
      <c r="K475" s="109">
        <v>25198</v>
      </c>
      <c r="L475" s="110">
        <v>0.38299999999999995</v>
      </c>
      <c r="M475" s="109">
        <f t="shared" si="55"/>
        <v>3100</v>
      </c>
      <c r="N475" s="115"/>
      <c r="O475" s="111"/>
      <c r="P475" s="119">
        <f t="shared" si="47"/>
        <v>-12452.2</v>
      </c>
      <c r="Q475" s="119">
        <f t="shared" si="53"/>
        <v>-20935</v>
      </c>
      <c r="R475" s="147">
        <f t="shared" si="49"/>
        <v>-7087</v>
      </c>
      <c r="S475" s="119">
        <f t="shared" si="52"/>
        <v>1473</v>
      </c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</row>
    <row r="476" spans="1:38">
      <c r="A476" s="108">
        <v>43348</v>
      </c>
      <c r="B476" s="109">
        <v>187497</v>
      </c>
      <c r="C476" s="110">
        <v>0.84499999999999997</v>
      </c>
      <c r="D476" s="109">
        <f t="shared" si="54"/>
        <v>10450</v>
      </c>
      <c r="E476" s="115"/>
      <c r="F476" s="111"/>
      <c r="G476" s="119">
        <f t="shared" si="46"/>
        <v>4646.6000000000004</v>
      </c>
      <c r="H476" s="119">
        <f t="shared" si="48"/>
        <v>-6234</v>
      </c>
      <c r="I476" s="147">
        <f t="shared" si="50"/>
        <v>14503</v>
      </c>
      <c r="J476" s="119">
        <f t="shared" si="51"/>
        <v>11410.2</v>
      </c>
      <c r="K476" s="109">
        <v>43788</v>
      </c>
      <c r="L476" s="110">
        <v>0.66500000000000004</v>
      </c>
      <c r="M476" s="109">
        <f t="shared" si="55"/>
        <v>3100</v>
      </c>
      <c r="N476" s="115"/>
      <c r="O476" s="111"/>
      <c r="P476" s="119">
        <f t="shared" si="47"/>
        <v>10366.799999999999</v>
      </c>
      <c r="Q476" s="119">
        <f t="shared" si="53"/>
        <v>18590</v>
      </c>
      <c r="R476" s="147">
        <f t="shared" si="49"/>
        <v>2864</v>
      </c>
      <c r="S476" s="119">
        <f t="shared" si="52"/>
        <v>672.2</v>
      </c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</row>
    <row r="477" spans="1:38">
      <c r="A477" s="108">
        <v>43355</v>
      </c>
      <c r="B477" s="109">
        <v>168459</v>
      </c>
      <c r="C477" s="110">
        <v>0.76</v>
      </c>
      <c r="D477" s="109">
        <f t="shared" si="54"/>
        <v>10450</v>
      </c>
      <c r="E477" s="115"/>
      <c r="F477" s="111"/>
      <c r="G477" s="119">
        <f t="shared" ref="G477:G540" si="56">AVERAGE(B425-B424,B373-B372,B321-B320,B269-B268,B217-B216)</f>
        <v>6067.4</v>
      </c>
      <c r="H477" s="119">
        <f t="shared" si="48"/>
        <v>-19038</v>
      </c>
      <c r="I477" s="147">
        <f t="shared" si="50"/>
        <v>-13552</v>
      </c>
      <c r="J477" s="119">
        <f t="shared" si="51"/>
        <v>4572</v>
      </c>
      <c r="K477" s="109">
        <v>30381</v>
      </c>
      <c r="L477" s="110">
        <v>0.46200000000000002</v>
      </c>
      <c r="M477" s="109">
        <f t="shared" si="55"/>
        <v>3100</v>
      </c>
      <c r="N477" s="115"/>
      <c r="O477" s="111"/>
      <c r="P477" s="119">
        <f t="shared" si="47"/>
        <v>-5408.2</v>
      </c>
      <c r="Q477" s="119">
        <f t="shared" si="53"/>
        <v>-13407</v>
      </c>
      <c r="R477" s="147">
        <f t="shared" si="49"/>
        <v>3411</v>
      </c>
      <c r="S477" s="119">
        <f t="shared" si="52"/>
        <v>2440.6</v>
      </c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</row>
    <row r="478" spans="1:38">
      <c r="A478" s="108">
        <v>43362</v>
      </c>
      <c r="B478" s="109">
        <v>169632</v>
      </c>
      <c r="C478" s="110">
        <v>0.76500000000000001</v>
      </c>
      <c r="D478" s="109">
        <f t="shared" si="54"/>
        <v>10450</v>
      </c>
      <c r="E478" s="115"/>
      <c r="F478" s="111"/>
      <c r="G478" s="119">
        <f t="shared" si="56"/>
        <v>-462</v>
      </c>
      <c r="H478" s="119">
        <f t="shared" si="48"/>
        <v>1173</v>
      </c>
      <c r="I478" s="147">
        <f t="shared" si="50"/>
        <v>23022</v>
      </c>
      <c r="J478" s="119">
        <f t="shared" si="51"/>
        <v>6953.4</v>
      </c>
      <c r="K478" s="109">
        <v>14618</v>
      </c>
      <c r="L478" s="110">
        <v>0.222</v>
      </c>
      <c r="M478" s="109">
        <f t="shared" si="55"/>
        <v>3100</v>
      </c>
      <c r="N478" s="115"/>
      <c r="O478" s="111"/>
      <c r="P478" s="119">
        <f t="shared" ref="P478:P541" si="57">AVERAGE(K426-K425,K374-K373,K322-K321,K270-K269,K218-K217)</f>
        <v>-4226.6000000000004</v>
      </c>
      <c r="Q478" s="119">
        <f t="shared" si="53"/>
        <v>-15763</v>
      </c>
      <c r="R478" s="147">
        <f t="shared" si="49"/>
        <v>-13221</v>
      </c>
      <c r="S478" s="119">
        <f t="shared" si="52"/>
        <v>-46</v>
      </c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</row>
    <row r="479" spans="1:38">
      <c r="A479" s="108">
        <v>43369</v>
      </c>
      <c r="B479" s="109">
        <v>170589</v>
      </c>
      <c r="C479" s="110">
        <v>0.76900000000000002</v>
      </c>
      <c r="D479" s="109">
        <f t="shared" si="54"/>
        <v>10450</v>
      </c>
      <c r="E479" s="115"/>
      <c r="F479" s="111"/>
      <c r="G479" s="119">
        <f t="shared" si="56"/>
        <v>10900</v>
      </c>
      <c r="H479" s="119">
        <f t="shared" si="48"/>
        <v>957</v>
      </c>
      <c r="I479" s="147">
        <f t="shared" si="50"/>
        <v>532</v>
      </c>
      <c r="J479" s="119">
        <f t="shared" si="51"/>
        <v>-1234.2</v>
      </c>
      <c r="K479" s="109">
        <v>38028</v>
      </c>
      <c r="L479" s="110">
        <v>0.57799999999999996</v>
      </c>
      <c r="M479" s="109">
        <f t="shared" si="55"/>
        <v>3100</v>
      </c>
      <c r="N479" s="115"/>
      <c r="O479" s="111"/>
      <c r="P479" s="119">
        <f t="shared" si="57"/>
        <v>7980.4</v>
      </c>
      <c r="Q479" s="119">
        <f t="shared" si="53"/>
        <v>23410</v>
      </c>
      <c r="R479" s="147">
        <f t="shared" si="49"/>
        <v>6768</v>
      </c>
      <c r="S479" s="119">
        <f t="shared" si="52"/>
        <v>579.79999999999995</v>
      </c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</row>
    <row r="480" spans="1:38">
      <c r="A480" s="108">
        <v>43376</v>
      </c>
      <c r="B480" s="109">
        <v>161532</v>
      </c>
      <c r="C480" s="110">
        <v>0.72799999999999998</v>
      </c>
      <c r="D480" s="109">
        <f t="shared" si="54"/>
        <v>10450</v>
      </c>
      <c r="E480" s="115"/>
      <c r="F480" s="111"/>
      <c r="G480" s="119">
        <f t="shared" si="56"/>
        <v>288.39999999999998</v>
      </c>
      <c r="H480" s="119">
        <f t="shared" si="48"/>
        <v>-9057</v>
      </c>
      <c r="I480" s="147">
        <f t="shared" si="50"/>
        <v>11732</v>
      </c>
      <c r="J480" s="119">
        <f t="shared" si="51"/>
        <v>2924</v>
      </c>
      <c r="K480" s="109">
        <v>32093</v>
      </c>
      <c r="L480" s="110">
        <v>0.48799999999999999</v>
      </c>
      <c r="M480" s="109">
        <f t="shared" si="55"/>
        <v>3100</v>
      </c>
      <c r="N480" s="115"/>
      <c r="O480" s="111"/>
      <c r="P480" s="119">
        <f t="shared" si="57"/>
        <v>6545.8</v>
      </c>
      <c r="Q480" s="119">
        <f t="shared" si="53"/>
        <v>-5935</v>
      </c>
      <c r="R480" s="147">
        <f t="shared" si="49"/>
        <v>-16238</v>
      </c>
      <c r="S480" s="119">
        <f t="shared" si="52"/>
        <v>239.6</v>
      </c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</row>
    <row r="481" spans="1:38">
      <c r="A481" s="108">
        <v>43383</v>
      </c>
      <c r="B481" s="109">
        <v>190665</v>
      </c>
      <c r="C481" s="110">
        <v>0.86</v>
      </c>
      <c r="D481" s="109">
        <f t="shared" si="54"/>
        <v>10450</v>
      </c>
      <c r="E481" s="115"/>
      <c r="F481" s="111"/>
      <c r="G481" s="119">
        <f t="shared" si="56"/>
        <v>-4599.6000000000004</v>
      </c>
      <c r="H481" s="119">
        <f t="shared" si="48"/>
        <v>29133</v>
      </c>
      <c r="I481" s="147">
        <f t="shared" si="50"/>
        <v>31567</v>
      </c>
      <c r="J481" s="119">
        <f t="shared" si="51"/>
        <v>373.4</v>
      </c>
      <c r="K481" s="109">
        <v>45888</v>
      </c>
      <c r="L481" s="110">
        <v>0.69700000000000006</v>
      </c>
      <c r="M481" s="109">
        <f t="shared" si="55"/>
        <v>3100</v>
      </c>
      <c r="N481" s="115"/>
      <c r="O481" s="111"/>
      <c r="P481" s="119">
        <f t="shared" si="57"/>
        <v>-449.2</v>
      </c>
      <c r="Q481" s="119">
        <f t="shared" si="53"/>
        <v>13795</v>
      </c>
      <c r="R481" s="147">
        <f t="shared" si="49"/>
        <v>13500</v>
      </c>
      <c r="S481" s="119">
        <f t="shared" si="52"/>
        <v>3628.8</v>
      </c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</row>
    <row r="482" spans="1:38">
      <c r="A482" s="108">
        <v>43390</v>
      </c>
      <c r="B482" s="109">
        <v>173445</v>
      </c>
      <c r="C482" s="110">
        <v>0.78200000000000003</v>
      </c>
      <c r="D482" s="109">
        <f t="shared" si="54"/>
        <v>10450</v>
      </c>
      <c r="E482" s="115"/>
      <c r="F482" s="111"/>
      <c r="G482" s="119">
        <f t="shared" si="56"/>
        <v>-3645.2</v>
      </c>
      <c r="H482" s="119">
        <f t="shared" si="48"/>
        <v>-17220</v>
      </c>
      <c r="I482" s="147">
        <f t="shared" si="50"/>
        <v>34376</v>
      </c>
      <c r="J482" s="119">
        <f t="shared" si="51"/>
        <v>771.8</v>
      </c>
      <c r="K482" s="109">
        <v>34918</v>
      </c>
      <c r="L482" s="110">
        <v>0.53100000000000003</v>
      </c>
      <c r="M482" s="109">
        <f t="shared" si="55"/>
        <v>3100</v>
      </c>
      <c r="N482" s="115"/>
      <c r="O482" s="111"/>
      <c r="P482" s="119">
        <f t="shared" si="57"/>
        <v>9886.2000000000007</v>
      </c>
      <c r="Q482" s="119">
        <f t="shared" si="53"/>
        <v>-10970</v>
      </c>
      <c r="R482" s="147">
        <f t="shared" si="49"/>
        <v>-7176</v>
      </c>
      <c r="S482" s="119">
        <f t="shared" si="52"/>
        <v>432</v>
      </c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</row>
    <row r="483" spans="1:38">
      <c r="A483" s="108">
        <v>43397</v>
      </c>
      <c r="B483" s="109">
        <v>182690</v>
      </c>
      <c r="C483" s="110">
        <v>0.82400000000000007</v>
      </c>
      <c r="D483" s="109">
        <f t="shared" si="54"/>
        <v>10450</v>
      </c>
      <c r="E483" s="115"/>
      <c r="F483" s="111"/>
      <c r="G483" s="119">
        <f t="shared" si="56"/>
        <v>2910.6</v>
      </c>
      <c r="H483" s="119">
        <f t="shared" si="48"/>
        <v>9245</v>
      </c>
      <c r="I483" s="147">
        <f t="shared" si="50"/>
        <v>23318</v>
      </c>
      <c r="J483" s="119">
        <f t="shared" si="51"/>
        <v>-2014.2</v>
      </c>
      <c r="K483" s="109">
        <v>50816</v>
      </c>
      <c r="L483" s="110">
        <v>0.77200000000000002</v>
      </c>
      <c r="M483" s="109">
        <f t="shared" si="55"/>
        <v>3100</v>
      </c>
      <c r="N483" s="115"/>
      <c r="O483" s="111"/>
      <c r="P483" s="119">
        <f t="shared" si="57"/>
        <v>-3862</v>
      </c>
      <c r="Q483" s="119">
        <f t="shared" si="53"/>
        <v>15898</v>
      </c>
      <c r="R483" s="147">
        <f t="shared" si="49"/>
        <v>14514</v>
      </c>
      <c r="S483" s="119">
        <f t="shared" si="52"/>
        <v>2925</v>
      </c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</row>
    <row r="484" spans="1:38">
      <c r="A484" s="108">
        <v>43404</v>
      </c>
      <c r="B484" s="109">
        <v>165303</v>
      </c>
      <c r="C484" s="110">
        <v>0.745</v>
      </c>
      <c r="D484" s="109">
        <f t="shared" si="54"/>
        <v>10450</v>
      </c>
      <c r="E484" s="115"/>
      <c r="F484" s="111"/>
      <c r="G484" s="119">
        <f t="shared" si="56"/>
        <v>-570.79999999999995</v>
      </c>
      <c r="H484" s="119">
        <f t="shared" si="48"/>
        <v>-17387</v>
      </c>
      <c r="I484" s="147">
        <f t="shared" si="50"/>
        <v>-8003</v>
      </c>
      <c r="J484" s="119">
        <f t="shared" si="51"/>
        <v>2402.8000000000002</v>
      </c>
      <c r="K484" s="109">
        <v>46671</v>
      </c>
      <c r="L484" s="110">
        <v>0.70900000000000007</v>
      </c>
      <c r="M484" s="109">
        <f t="shared" si="55"/>
        <v>3100</v>
      </c>
      <c r="N484" s="115"/>
      <c r="O484" s="111"/>
      <c r="P484" s="119">
        <f t="shared" si="57"/>
        <v>112</v>
      </c>
      <c r="Q484" s="119">
        <f t="shared" si="53"/>
        <v>-4145</v>
      </c>
      <c r="R484" s="147">
        <f t="shared" si="49"/>
        <v>-6166</v>
      </c>
      <c r="S484" s="119">
        <f t="shared" si="52"/>
        <v>1044.5999999999999</v>
      </c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</row>
    <row r="485" spans="1:38">
      <c r="A485" s="108">
        <v>43411</v>
      </c>
      <c r="B485" s="109">
        <v>177630</v>
      </c>
      <c r="C485" s="110">
        <v>0.80099999999999993</v>
      </c>
      <c r="D485" s="109">
        <f t="shared" si="54"/>
        <v>10450</v>
      </c>
      <c r="E485" s="115"/>
      <c r="F485" s="111"/>
      <c r="G485" s="119">
        <f t="shared" si="56"/>
        <v>2889.4</v>
      </c>
      <c r="H485" s="119">
        <f t="shared" si="48"/>
        <v>12327</v>
      </c>
      <c r="I485" s="147">
        <f t="shared" si="50"/>
        <v>4213</v>
      </c>
      <c r="J485" s="119">
        <f t="shared" si="51"/>
        <v>3845.8</v>
      </c>
      <c r="K485" s="109">
        <v>46925</v>
      </c>
      <c r="L485" s="110">
        <v>0.71299999999999997</v>
      </c>
      <c r="M485" s="109">
        <f t="shared" si="55"/>
        <v>3100</v>
      </c>
      <c r="N485" s="115"/>
      <c r="O485" s="111"/>
      <c r="P485" s="119">
        <f t="shared" si="57"/>
        <v>-7148.8</v>
      </c>
      <c r="Q485" s="119">
        <f t="shared" si="53"/>
        <v>254</v>
      </c>
      <c r="R485" s="147">
        <f t="shared" si="49"/>
        <v>15080</v>
      </c>
      <c r="S485" s="119">
        <f t="shared" si="52"/>
        <v>4257.8</v>
      </c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</row>
    <row r="486" spans="1:38">
      <c r="A486" s="108">
        <v>43418</v>
      </c>
      <c r="B486" s="109">
        <v>167052</v>
      </c>
      <c r="C486" s="110">
        <v>0.753</v>
      </c>
      <c r="D486" s="109">
        <f t="shared" si="54"/>
        <v>10450</v>
      </c>
      <c r="E486" s="115"/>
      <c r="F486" s="111"/>
      <c r="G486" s="119">
        <f t="shared" si="56"/>
        <v>175.8</v>
      </c>
      <c r="H486" s="119">
        <f t="shared" si="48"/>
        <v>-10578</v>
      </c>
      <c r="I486" s="147">
        <f t="shared" si="50"/>
        <v>-6438</v>
      </c>
      <c r="J486" s="119">
        <f t="shared" si="51"/>
        <v>7103.2</v>
      </c>
      <c r="K486" s="109">
        <v>47156</v>
      </c>
      <c r="L486" s="110">
        <v>0.71700000000000008</v>
      </c>
      <c r="M486" s="109">
        <f t="shared" si="55"/>
        <v>3100</v>
      </c>
      <c r="N486" s="115"/>
      <c r="O486" s="111"/>
      <c r="P486" s="119">
        <f t="shared" si="57"/>
        <v>9579</v>
      </c>
      <c r="Q486" s="119">
        <f t="shared" si="53"/>
        <v>231</v>
      </c>
      <c r="R486" s="147">
        <f t="shared" si="49"/>
        <v>-3753</v>
      </c>
      <c r="S486" s="119">
        <f t="shared" si="52"/>
        <v>-465.8</v>
      </c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</row>
    <row r="487" spans="1:38">
      <c r="A487" s="108">
        <v>43425</v>
      </c>
      <c r="B487" s="109">
        <v>183095</v>
      </c>
      <c r="C487" s="110">
        <v>0.82599999999999996</v>
      </c>
      <c r="D487" s="109">
        <f t="shared" si="54"/>
        <v>10450</v>
      </c>
      <c r="E487" s="115"/>
      <c r="F487" s="111"/>
      <c r="G487" s="119">
        <f t="shared" si="56"/>
        <v>-1124.5999999999999</v>
      </c>
      <c r="H487" s="119">
        <f t="shared" si="48"/>
        <v>16043</v>
      </c>
      <c r="I487" s="147">
        <f t="shared" si="50"/>
        <v>-1661</v>
      </c>
      <c r="J487" s="119">
        <f t="shared" si="51"/>
        <v>9736.2000000000007</v>
      </c>
      <c r="K487" s="109">
        <v>38658</v>
      </c>
      <c r="L487" s="110">
        <v>0.58799999999999997</v>
      </c>
      <c r="M487" s="109">
        <f t="shared" si="55"/>
        <v>3100</v>
      </c>
      <c r="N487" s="115"/>
      <c r="O487" s="111"/>
      <c r="P487" s="119">
        <f t="shared" si="57"/>
        <v>18.8</v>
      </c>
      <c r="Q487" s="119">
        <f t="shared" si="53"/>
        <v>-8498</v>
      </c>
      <c r="R487" s="147">
        <f t="shared" si="49"/>
        <v>6349</v>
      </c>
      <c r="S487" s="119">
        <f t="shared" si="52"/>
        <v>933.6</v>
      </c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</row>
    <row r="488" spans="1:38">
      <c r="A488" s="108">
        <v>43432</v>
      </c>
      <c r="B488" s="109">
        <v>170722</v>
      </c>
      <c r="C488" s="110">
        <v>0.77</v>
      </c>
      <c r="D488" s="109">
        <f t="shared" si="54"/>
        <v>10450</v>
      </c>
      <c r="E488" s="115"/>
      <c r="F488" s="111"/>
      <c r="G488" s="119">
        <f t="shared" si="56"/>
        <v>2323</v>
      </c>
      <c r="H488" s="119">
        <f t="shared" si="48"/>
        <v>-12373</v>
      </c>
      <c r="I488" s="147">
        <f t="shared" si="50"/>
        <v>7134</v>
      </c>
      <c r="J488" s="119">
        <f t="shared" si="51"/>
        <v>10565.8</v>
      </c>
      <c r="K488" s="109">
        <v>45025</v>
      </c>
      <c r="L488" s="110">
        <v>0.68400000000000005</v>
      </c>
      <c r="M488" s="109">
        <f t="shared" si="55"/>
        <v>3100</v>
      </c>
      <c r="N488" s="115"/>
      <c r="O488" s="111"/>
      <c r="P488" s="119">
        <f t="shared" si="57"/>
        <v>531.4</v>
      </c>
      <c r="Q488" s="119">
        <f t="shared" si="53"/>
        <v>6367</v>
      </c>
      <c r="R488" s="147">
        <f t="shared" si="49"/>
        <v>-6110</v>
      </c>
      <c r="S488" s="119">
        <f t="shared" si="52"/>
        <v>-1044.5999999999999</v>
      </c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</row>
    <row r="489" spans="1:38">
      <c r="A489" s="108">
        <v>43439</v>
      </c>
      <c r="B489" s="109">
        <v>200734</v>
      </c>
      <c r="C489" s="110">
        <v>0.90500000000000003</v>
      </c>
      <c r="D489" s="109">
        <f t="shared" si="54"/>
        <v>10450</v>
      </c>
      <c r="E489" s="115"/>
      <c r="F489" s="111"/>
      <c r="G489" s="119">
        <f t="shared" si="56"/>
        <v>6464</v>
      </c>
      <c r="H489" s="119">
        <f t="shared" si="48"/>
        <v>30012</v>
      </c>
      <c r="I489" s="147">
        <f t="shared" si="50"/>
        <v>26352</v>
      </c>
      <c r="J489" s="119">
        <f t="shared" si="51"/>
        <v>3666</v>
      </c>
      <c r="K489" s="109">
        <v>54852</v>
      </c>
      <c r="L489" s="110">
        <v>0.83400000000000007</v>
      </c>
      <c r="M489" s="109">
        <f t="shared" si="55"/>
        <v>3100</v>
      </c>
      <c r="N489" s="115"/>
      <c r="O489" s="111"/>
      <c r="P489" s="119">
        <f t="shared" si="57"/>
        <v>-12452.2</v>
      </c>
      <c r="Q489" s="119">
        <f t="shared" si="53"/>
        <v>9827</v>
      </c>
      <c r="R489" s="147">
        <f t="shared" si="49"/>
        <v>22089</v>
      </c>
      <c r="S489" s="119">
        <f t="shared" si="52"/>
        <v>4111.2</v>
      </c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</row>
    <row r="490" spans="1:38">
      <c r="A490" s="108">
        <v>43446</v>
      </c>
      <c r="B490" s="109">
        <v>179525</v>
      </c>
      <c r="C490" s="110">
        <v>0.81</v>
      </c>
      <c r="D490" s="109">
        <f t="shared" si="54"/>
        <v>10450</v>
      </c>
      <c r="E490" s="115"/>
      <c r="F490" s="111"/>
      <c r="G490" s="119">
        <f t="shared" si="56"/>
        <v>-11314</v>
      </c>
      <c r="H490" s="119">
        <f t="shared" si="48"/>
        <v>-21209</v>
      </c>
      <c r="I490" s="147">
        <f t="shared" si="50"/>
        <v>37981</v>
      </c>
      <c r="J490" s="119">
        <f t="shared" si="51"/>
        <v>4944.2</v>
      </c>
      <c r="K490" s="109">
        <v>50539</v>
      </c>
      <c r="L490" s="110">
        <v>0.76800000000000002</v>
      </c>
      <c r="M490" s="109">
        <f t="shared" si="55"/>
        <v>3100</v>
      </c>
      <c r="N490" s="115"/>
      <c r="O490" s="111"/>
      <c r="P490" s="119">
        <f t="shared" si="57"/>
        <v>7140.8</v>
      </c>
      <c r="Q490" s="119">
        <f t="shared" si="53"/>
        <v>-4313</v>
      </c>
      <c r="R490" s="147">
        <f t="shared" si="49"/>
        <v>514</v>
      </c>
      <c r="S490" s="119">
        <f t="shared" si="52"/>
        <v>501.2</v>
      </c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</row>
    <row r="491" spans="1:38">
      <c r="A491" s="108">
        <v>43453</v>
      </c>
      <c r="B491" s="109">
        <v>200885</v>
      </c>
      <c r="C491" s="110">
        <v>0.90099999999999991</v>
      </c>
      <c r="D491" s="109">
        <f t="shared" si="54"/>
        <v>10500</v>
      </c>
      <c r="E491" s="115"/>
      <c r="F491" s="111"/>
      <c r="G491" s="119">
        <f t="shared" si="56"/>
        <v>5902.4</v>
      </c>
      <c r="H491" s="119">
        <f t="shared" si="48"/>
        <v>21360</v>
      </c>
      <c r="I491" s="147">
        <f t="shared" si="50"/>
        <v>-792</v>
      </c>
      <c r="J491" s="119">
        <f t="shared" si="51"/>
        <v>-1806</v>
      </c>
      <c r="K491" s="109">
        <v>36328</v>
      </c>
      <c r="L491" s="110">
        <v>0.55200000000000005</v>
      </c>
      <c r="M491" s="109">
        <f t="shared" si="55"/>
        <v>3100</v>
      </c>
      <c r="N491" s="115"/>
      <c r="O491" s="111"/>
      <c r="P491" s="119">
        <f t="shared" si="57"/>
        <v>1999.2</v>
      </c>
      <c r="Q491" s="119">
        <f t="shared" si="53"/>
        <v>-14211</v>
      </c>
      <c r="R491" s="147">
        <f t="shared" si="49"/>
        <v>5286</v>
      </c>
      <c r="S491" s="119">
        <f t="shared" si="52"/>
        <v>4248</v>
      </c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</row>
    <row r="492" spans="1:38">
      <c r="A492" s="108">
        <v>43460</v>
      </c>
      <c r="B492" s="109">
        <v>177086</v>
      </c>
      <c r="C492" s="110">
        <v>0.79900000000000004</v>
      </c>
      <c r="D492" s="109">
        <f t="shared" si="54"/>
        <v>10450</v>
      </c>
      <c r="E492" s="115"/>
      <c r="F492" s="111"/>
      <c r="G492" s="119">
        <f t="shared" si="56"/>
        <v>-5276.4</v>
      </c>
      <c r="H492" s="119">
        <f t="shared" si="48"/>
        <v>-23799</v>
      </c>
      <c r="I492" s="147">
        <f t="shared" si="50"/>
        <v>20220</v>
      </c>
      <c r="J492" s="119">
        <f t="shared" si="51"/>
        <v>12563.8</v>
      </c>
      <c r="K492" s="109">
        <v>51159</v>
      </c>
      <c r="L492" s="110">
        <v>0.77700000000000002</v>
      </c>
      <c r="M492" s="109">
        <f t="shared" si="55"/>
        <v>3100</v>
      </c>
      <c r="N492" s="115"/>
      <c r="O492" s="111"/>
      <c r="P492" s="119">
        <f t="shared" si="57"/>
        <v>-839.2</v>
      </c>
      <c r="Q492" s="119">
        <f t="shared" si="53"/>
        <v>14831</v>
      </c>
      <c r="R492" s="147">
        <f t="shared" si="49"/>
        <v>5185</v>
      </c>
      <c r="S492" s="119">
        <f t="shared" si="52"/>
        <v>1238.5999999999999</v>
      </c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</row>
    <row r="493" spans="1:38">
      <c r="A493" s="108">
        <v>43467</v>
      </c>
      <c r="B493" s="109">
        <v>188880</v>
      </c>
      <c r="C493" s="110">
        <v>0.85199999999999998</v>
      </c>
      <c r="D493" s="109">
        <f t="shared" si="54"/>
        <v>10450</v>
      </c>
      <c r="E493" s="115"/>
      <c r="F493" s="111"/>
      <c r="G493" s="119">
        <f t="shared" si="56"/>
        <v>-16702.2</v>
      </c>
      <c r="H493" s="119">
        <f t="shared" si="48"/>
        <v>11794</v>
      </c>
      <c r="I493" s="147">
        <f t="shared" si="50"/>
        <v>46641</v>
      </c>
      <c r="J493" s="119">
        <f t="shared" si="51"/>
        <v>4760.3999999999996</v>
      </c>
      <c r="K493" s="109">
        <v>48174</v>
      </c>
      <c r="L493" s="110">
        <v>0.73199999999999998</v>
      </c>
      <c r="M493" s="109">
        <f t="shared" si="55"/>
        <v>3100</v>
      </c>
      <c r="N493" s="115"/>
      <c r="O493" s="111"/>
      <c r="P493" s="119">
        <f t="shared" si="57"/>
        <v>-8838.6</v>
      </c>
      <c r="Q493" s="119">
        <f t="shared" si="53"/>
        <v>-2985</v>
      </c>
      <c r="R493" s="147">
        <f t="shared" si="49"/>
        <v>19273</v>
      </c>
      <c r="S493" s="119">
        <f t="shared" si="52"/>
        <v>3694.6</v>
      </c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</row>
    <row r="494" spans="1:38">
      <c r="A494" s="108">
        <v>43474</v>
      </c>
      <c r="B494" s="109">
        <v>131199</v>
      </c>
      <c r="C494" s="110">
        <v>0.59200000000000008</v>
      </c>
      <c r="D494" s="109">
        <f t="shared" si="54"/>
        <v>10450</v>
      </c>
      <c r="E494" s="115"/>
      <c r="F494" s="111"/>
      <c r="G494" s="119">
        <f t="shared" si="56"/>
        <v>-1730.8</v>
      </c>
      <c r="H494" s="119">
        <f t="shared" si="48"/>
        <v>-57681</v>
      </c>
      <c r="I494" s="147">
        <f t="shared" si="50"/>
        <v>19045</v>
      </c>
      <c r="J494" s="119">
        <f t="shared" si="51"/>
        <v>2283</v>
      </c>
      <c r="K494" s="109">
        <v>31571</v>
      </c>
      <c r="L494" s="110">
        <v>0.48</v>
      </c>
      <c r="M494" s="109">
        <f t="shared" si="55"/>
        <v>3100</v>
      </c>
      <c r="N494" s="115"/>
      <c r="O494" s="111"/>
      <c r="P494" s="119">
        <f t="shared" si="57"/>
        <v>5165</v>
      </c>
      <c r="Q494" s="119">
        <f t="shared" si="53"/>
        <v>-16603</v>
      </c>
      <c r="R494" s="147">
        <f t="shared" si="49"/>
        <v>-10012</v>
      </c>
      <c r="S494" s="119">
        <f t="shared" si="52"/>
        <v>113.6</v>
      </c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</row>
    <row r="495" spans="1:38">
      <c r="A495" s="108">
        <v>43481</v>
      </c>
      <c r="B495" s="109">
        <v>155526</v>
      </c>
      <c r="C495" s="110">
        <v>0.70099999999999996</v>
      </c>
      <c r="D495" s="109">
        <f t="shared" si="54"/>
        <v>10450</v>
      </c>
      <c r="E495" s="115"/>
      <c r="F495" s="111"/>
      <c r="G495" s="119">
        <f t="shared" si="56"/>
        <v>12440</v>
      </c>
      <c r="H495" s="119">
        <f t="shared" si="48"/>
        <v>24327</v>
      </c>
      <c r="I495" s="147">
        <f t="shared" si="50"/>
        <v>11659</v>
      </c>
      <c r="J495" s="119">
        <f t="shared" si="51"/>
        <v>-6105.4</v>
      </c>
      <c r="K495" s="109">
        <v>50147</v>
      </c>
      <c r="L495" s="110">
        <v>0.76200000000000001</v>
      </c>
      <c r="M495" s="109">
        <f t="shared" si="55"/>
        <v>3100</v>
      </c>
      <c r="N495" s="115"/>
      <c r="O495" s="111"/>
      <c r="P495" s="119">
        <f t="shared" si="57"/>
        <v>-2922.4</v>
      </c>
      <c r="Q495" s="119">
        <f t="shared" si="53"/>
        <v>18576</v>
      </c>
      <c r="R495" s="147">
        <f t="shared" si="49"/>
        <v>20600</v>
      </c>
      <c r="S495" s="119">
        <f t="shared" si="52"/>
        <v>1162.5999999999999</v>
      </c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</row>
    <row r="496" spans="1:38">
      <c r="A496" s="108">
        <v>43488</v>
      </c>
      <c r="B496" s="109">
        <v>181481</v>
      </c>
      <c r="C496" s="110">
        <v>0.81799999999999995</v>
      </c>
      <c r="D496" s="109">
        <f t="shared" si="54"/>
        <v>10450</v>
      </c>
      <c r="E496" s="115"/>
      <c r="F496" s="111"/>
      <c r="G496" s="119">
        <f t="shared" si="56"/>
        <v>2158.6</v>
      </c>
      <c r="H496" s="119">
        <f t="shared" si="48"/>
        <v>25955</v>
      </c>
      <c r="I496" s="147">
        <f t="shared" si="50"/>
        <v>26337</v>
      </c>
      <c r="J496" s="119">
        <f t="shared" si="51"/>
        <v>5685.8</v>
      </c>
      <c r="K496" s="109">
        <v>47231</v>
      </c>
      <c r="L496" s="110">
        <v>0.71799999999999997</v>
      </c>
      <c r="M496" s="109">
        <f t="shared" si="55"/>
        <v>3100</v>
      </c>
      <c r="N496" s="115"/>
      <c r="O496" s="111"/>
      <c r="P496" s="119">
        <f t="shared" si="57"/>
        <v>2213.1999999999998</v>
      </c>
      <c r="Q496" s="119">
        <f t="shared" si="53"/>
        <v>-2916</v>
      </c>
      <c r="R496" s="147">
        <f t="shared" si="49"/>
        <v>-160</v>
      </c>
      <c r="S496" s="119">
        <f t="shared" si="52"/>
        <v>-1801.6</v>
      </c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</row>
    <row r="497" spans="1:38">
      <c r="A497" s="108">
        <v>43495</v>
      </c>
      <c r="B497" s="109">
        <v>167189</v>
      </c>
      <c r="C497" s="110">
        <v>0.754</v>
      </c>
      <c r="D497" s="109">
        <f t="shared" si="54"/>
        <v>10450</v>
      </c>
      <c r="E497" s="115"/>
      <c r="F497" s="111"/>
      <c r="G497" s="119">
        <f t="shared" si="56"/>
        <v>5575.2</v>
      </c>
      <c r="H497" s="119">
        <f t="shared" si="48"/>
        <v>-14292</v>
      </c>
      <c r="I497" s="147">
        <f t="shared" si="50"/>
        <v>-8995</v>
      </c>
      <c r="J497" s="119">
        <f t="shared" si="51"/>
        <v>6629.8</v>
      </c>
      <c r="K497" s="109">
        <v>29026</v>
      </c>
      <c r="L497" s="110">
        <v>0.441</v>
      </c>
      <c r="M497" s="109">
        <f t="shared" si="55"/>
        <v>3100</v>
      </c>
      <c r="N497" s="115"/>
      <c r="O497" s="111"/>
      <c r="P497" s="119">
        <f t="shared" si="57"/>
        <v>-859.8</v>
      </c>
      <c r="Q497" s="119">
        <f t="shared" si="53"/>
        <v>-18205</v>
      </c>
      <c r="R497" s="147">
        <f t="shared" si="49"/>
        <v>-4238</v>
      </c>
      <c r="S497" s="119">
        <f t="shared" si="52"/>
        <v>1833.6</v>
      </c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</row>
    <row r="498" spans="1:38">
      <c r="A498" s="108">
        <v>43502</v>
      </c>
      <c r="B498" s="109">
        <v>166792</v>
      </c>
      <c r="C498" s="110">
        <v>0.752</v>
      </c>
      <c r="D498" s="109">
        <f t="shared" si="54"/>
        <v>10450</v>
      </c>
      <c r="E498" s="115"/>
      <c r="F498" s="111"/>
      <c r="G498" s="119">
        <f t="shared" si="56"/>
        <v>684.4</v>
      </c>
      <c r="H498" s="119">
        <f t="shared" si="48"/>
        <v>-397</v>
      </c>
      <c r="I498" s="147">
        <f t="shared" si="50"/>
        <v>-2928</v>
      </c>
      <c r="J498" s="119">
        <f t="shared" si="51"/>
        <v>7270.4</v>
      </c>
      <c r="K498" s="109">
        <v>47745</v>
      </c>
      <c r="L498" s="110">
        <v>0.72599999999999998</v>
      </c>
      <c r="M498" s="109">
        <f t="shared" si="55"/>
        <v>3100</v>
      </c>
      <c r="N498" s="115"/>
      <c r="O498" s="111"/>
      <c r="P498" s="119">
        <f t="shared" si="57"/>
        <v>8651</v>
      </c>
      <c r="Q498" s="119">
        <f t="shared" si="53"/>
        <v>18719</v>
      </c>
      <c r="R498" s="147">
        <f t="shared" si="49"/>
        <v>-4025</v>
      </c>
      <c r="S498" s="119">
        <f t="shared" si="52"/>
        <v>-838.2</v>
      </c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</row>
    <row r="499" spans="1:38">
      <c r="A499" s="108">
        <v>43509</v>
      </c>
      <c r="B499" s="109">
        <v>143140</v>
      </c>
      <c r="C499" s="110">
        <v>0.64500000000000002</v>
      </c>
      <c r="D499" s="109">
        <f t="shared" si="54"/>
        <v>10450</v>
      </c>
      <c r="E499" s="115"/>
      <c r="F499" s="111"/>
      <c r="G499" s="119">
        <f t="shared" si="56"/>
        <v>8</v>
      </c>
      <c r="H499" s="119">
        <f t="shared" si="48"/>
        <v>-23652</v>
      </c>
      <c r="I499" s="147">
        <f t="shared" si="50"/>
        <v>-41691</v>
      </c>
      <c r="J499" s="119">
        <f t="shared" si="51"/>
        <v>7815</v>
      </c>
      <c r="K499" s="109">
        <v>43726</v>
      </c>
      <c r="L499" s="110">
        <v>0.66500000000000004</v>
      </c>
      <c r="M499" s="109">
        <f t="shared" si="55"/>
        <v>3100</v>
      </c>
      <c r="N499" s="115"/>
      <c r="O499" s="111"/>
      <c r="P499" s="119">
        <f t="shared" si="57"/>
        <v>-11353</v>
      </c>
      <c r="Q499" s="119">
        <f t="shared" si="53"/>
        <v>-4019</v>
      </c>
      <c r="R499" s="147">
        <f t="shared" si="49"/>
        <v>10704</v>
      </c>
      <c r="S499" s="119">
        <f t="shared" si="52"/>
        <v>4312.2</v>
      </c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</row>
    <row r="500" spans="1:38">
      <c r="A500" s="108">
        <v>43516</v>
      </c>
      <c r="B500" s="109">
        <v>169998</v>
      </c>
      <c r="C500" s="110">
        <v>0.76700000000000002</v>
      </c>
      <c r="D500" s="109">
        <f t="shared" si="54"/>
        <v>10450</v>
      </c>
      <c r="E500" s="115"/>
      <c r="F500" s="111"/>
      <c r="G500" s="119">
        <f t="shared" si="56"/>
        <v>8042.8</v>
      </c>
      <c r="H500" s="119">
        <f t="shared" ref="H500:H563" si="58">B500-B499</f>
        <v>26858</v>
      </c>
      <c r="I500" s="147">
        <f t="shared" si="50"/>
        <v>-27155</v>
      </c>
      <c r="J500" s="119">
        <f t="shared" si="51"/>
        <v>9319.4</v>
      </c>
      <c r="K500" s="109">
        <v>34229</v>
      </c>
      <c r="L500" s="110">
        <v>0.52</v>
      </c>
      <c r="M500" s="109">
        <f t="shared" si="55"/>
        <v>3100</v>
      </c>
      <c r="N500" s="115"/>
      <c r="O500" s="111"/>
      <c r="P500" s="119">
        <f t="shared" si="57"/>
        <v>-3594.6</v>
      </c>
      <c r="Q500" s="119">
        <f t="shared" si="53"/>
        <v>-9497</v>
      </c>
      <c r="R500" s="147">
        <f t="shared" si="49"/>
        <v>-7607</v>
      </c>
      <c r="S500" s="119">
        <f t="shared" si="52"/>
        <v>774.4</v>
      </c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</row>
    <row r="501" spans="1:38">
      <c r="A501" s="108">
        <v>43523</v>
      </c>
      <c r="B501" s="109">
        <v>170779</v>
      </c>
      <c r="C501" s="110">
        <v>0.77</v>
      </c>
      <c r="D501" s="109">
        <f t="shared" si="54"/>
        <v>10450</v>
      </c>
      <c r="E501" s="115"/>
      <c r="F501" s="111"/>
      <c r="G501" s="119">
        <f t="shared" si="56"/>
        <v>-1538.2</v>
      </c>
      <c r="H501" s="119">
        <f t="shared" si="58"/>
        <v>781</v>
      </c>
      <c r="I501" s="147">
        <f t="shared" si="50"/>
        <v>-34041</v>
      </c>
      <c r="J501" s="119">
        <f t="shared" si="51"/>
        <v>13053.4</v>
      </c>
      <c r="K501" s="109">
        <v>47190</v>
      </c>
      <c r="L501" s="110">
        <v>0.71700000000000008</v>
      </c>
      <c r="M501" s="109">
        <f t="shared" si="55"/>
        <v>3100</v>
      </c>
      <c r="N501" s="115"/>
      <c r="O501" s="111"/>
      <c r="P501" s="119">
        <f t="shared" si="57"/>
        <v>2338.1999999999998</v>
      </c>
      <c r="Q501" s="119">
        <f t="shared" si="53"/>
        <v>12961</v>
      </c>
      <c r="R501" s="147">
        <f t="shared" si="49"/>
        <v>18516</v>
      </c>
      <c r="S501" s="119">
        <f t="shared" si="52"/>
        <v>2553.4</v>
      </c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</row>
    <row r="502" spans="1:38">
      <c r="A502" s="108">
        <v>43530</v>
      </c>
      <c r="B502" s="109">
        <v>179737</v>
      </c>
      <c r="C502" s="110">
        <v>0.81099999999999994</v>
      </c>
      <c r="D502" s="109">
        <f t="shared" si="54"/>
        <v>10450</v>
      </c>
      <c r="E502" s="115"/>
      <c r="F502" s="111"/>
      <c r="G502" s="119">
        <f t="shared" si="56"/>
        <v>-6922.6</v>
      </c>
      <c r="H502" s="119">
        <f t="shared" si="58"/>
        <v>8958</v>
      </c>
      <c r="I502" s="147">
        <f t="shared" si="50"/>
        <v>-7310</v>
      </c>
      <c r="J502" s="119">
        <f t="shared" si="51"/>
        <v>14392.8</v>
      </c>
      <c r="K502" s="109">
        <v>46393</v>
      </c>
      <c r="L502" s="110">
        <v>0.70499999999999996</v>
      </c>
      <c r="M502" s="109">
        <f t="shared" si="55"/>
        <v>3100</v>
      </c>
      <c r="N502" s="115"/>
      <c r="O502" s="111"/>
      <c r="P502" s="119">
        <f t="shared" si="57"/>
        <v>8618.2000000000007</v>
      </c>
      <c r="Q502" s="119">
        <f t="shared" si="53"/>
        <v>-797</v>
      </c>
      <c r="R502" s="147">
        <f t="shared" ref="R502:R565" si="59">K502-K450</f>
        <v>-2925</v>
      </c>
      <c r="S502" s="119">
        <f t="shared" si="52"/>
        <v>-1207</v>
      </c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</row>
    <row r="503" spans="1:38">
      <c r="A503" s="108">
        <v>43537</v>
      </c>
      <c r="B503" s="109">
        <v>158541</v>
      </c>
      <c r="C503" s="110">
        <v>0.71499999999999997</v>
      </c>
      <c r="D503" s="109">
        <f t="shared" si="54"/>
        <v>10450</v>
      </c>
      <c r="E503" s="115"/>
      <c r="F503" s="111"/>
      <c r="G503" s="119">
        <f t="shared" si="56"/>
        <v>17425.599999999999</v>
      </c>
      <c r="H503" s="119">
        <f t="shared" si="58"/>
        <v>-21196</v>
      </c>
      <c r="I503" s="147">
        <f t="shared" ref="I503:I566" si="60">B503-B451</f>
        <v>-38051</v>
      </c>
      <c r="J503" s="119">
        <f t="shared" si="51"/>
        <v>11045.2</v>
      </c>
      <c r="K503" s="109">
        <v>36710</v>
      </c>
      <c r="L503" s="110">
        <v>0.55799999999999994</v>
      </c>
      <c r="M503" s="109">
        <f t="shared" si="55"/>
        <v>3100</v>
      </c>
      <c r="N503" s="115"/>
      <c r="O503" s="111"/>
      <c r="P503" s="119">
        <f t="shared" si="57"/>
        <v>-12393.6</v>
      </c>
      <c r="Q503" s="119">
        <f t="shared" si="53"/>
        <v>-9683</v>
      </c>
      <c r="R503" s="147">
        <f t="shared" si="59"/>
        <v>8412</v>
      </c>
      <c r="S503" s="119">
        <f t="shared" si="52"/>
        <v>1829.4</v>
      </c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</row>
    <row r="504" spans="1:38">
      <c r="A504" s="108">
        <v>43544</v>
      </c>
      <c r="B504" s="109">
        <v>194385</v>
      </c>
      <c r="C504" s="110">
        <v>0.877</v>
      </c>
      <c r="D504" s="109">
        <f t="shared" si="54"/>
        <v>10450</v>
      </c>
      <c r="E504" s="115"/>
      <c r="F504" s="111"/>
      <c r="G504" s="119">
        <f t="shared" si="56"/>
        <v>-9239</v>
      </c>
      <c r="H504" s="119">
        <f t="shared" si="58"/>
        <v>35844</v>
      </c>
      <c r="I504" s="147">
        <f t="shared" si="60"/>
        <v>7627</v>
      </c>
      <c r="J504" s="119">
        <f t="shared" ref="J504:J567" si="61">AVERAGE(B451-B399,B399-B347,B347-B295,B295-B243,B243-B192)</f>
        <v>12854.4</v>
      </c>
      <c r="K504" s="109">
        <v>31395</v>
      </c>
      <c r="L504" s="110">
        <v>0.47700000000000004</v>
      </c>
      <c r="M504" s="109">
        <f t="shared" si="55"/>
        <v>3100</v>
      </c>
      <c r="N504" s="115"/>
      <c r="O504" s="111"/>
      <c r="P504" s="119">
        <f t="shared" si="57"/>
        <v>817.4</v>
      </c>
      <c r="Q504" s="119">
        <f t="shared" si="53"/>
        <v>-5315</v>
      </c>
      <c r="R504" s="147">
        <f t="shared" si="59"/>
        <v>-10747</v>
      </c>
      <c r="S504" s="119">
        <f t="shared" si="52"/>
        <v>-2276.4</v>
      </c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</row>
    <row r="505" spans="1:38">
      <c r="A505" s="108">
        <v>43551</v>
      </c>
      <c r="B505" s="109">
        <v>172275</v>
      </c>
      <c r="C505" s="110">
        <v>0.77700000000000002</v>
      </c>
      <c r="D505" s="109">
        <f t="shared" si="54"/>
        <v>10450</v>
      </c>
      <c r="E505" s="115"/>
      <c r="F505" s="111"/>
      <c r="G505" s="119">
        <f t="shared" si="56"/>
        <v>-3019</v>
      </c>
      <c r="H505" s="119">
        <f t="shared" si="58"/>
        <v>-22110</v>
      </c>
      <c r="I505" s="147">
        <f t="shared" si="60"/>
        <v>-22896</v>
      </c>
      <c r="J505" s="119">
        <f t="shared" si="61"/>
        <v>11259</v>
      </c>
      <c r="K505" s="109">
        <v>44598</v>
      </c>
      <c r="L505" s="110">
        <v>0.67799999999999994</v>
      </c>
      <c r="M505" s="109">
        <f t="shared" si="55"/>
        <v>3100</v>
      </c>
      <c r="N505" s="115"/>
      <c r="O505" s="111"/>
      <c r="P505" s="119">
        <f t="shared" si="57"/>
        <v>6603</v>
      </c>
      <c r="Q505" s="119">
        <f t="shared" si="53"/>
        <v>13203</v>
      </c>
      <c r="R505" s="147">
        <f t="shared" si="59"/>
        <v>12487</v>
      </c>
      <c r="S505" s="119">
        <f t="shared" ref="S505:S568" si="62">AVERAGE(K452-K400,K400-K348,K348-K296,K296-K244,K244-K193)</f>
        <v>2388.4</v>
      </c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</row>
    <row r="506" spans="1:38">
      <c r="A506" s="108">
        <v>43558</v>
      </c>
      <c r="B506" s="109">
        <v>187361</v>
      </c>
      <c r="C506" s="110">
        <v>0.84499999999999997</v>
      </c>
      <c r="D506" s="109">
        <f t="shared" si="54"/>
        <v>10450</v>
      </c>
      <c r="E506" s="115"/>
      <c r="F506" s="111"/>
      <c r="G506" s="119">
        <f t="shared" si="56"/>
        <v>-4374.3999999999996</v>
      </c>
      <c r="H506" s="119">
        <f t="shared" si="58"/>
        <v>15086</v>
      </c>
      <c r="I506" s="147">
        <f t="shared" si="60"/>
        <v>10844</v>
      </c>
      <c r="J506" s="119">
        <f t="shared" si="61"/>
        <v>10210.799999999999</v>
      </c>
      <c r="K506" s="109">
        <v>42529</v>
      </c>
      <c r="L506" s="110">
        <v>0.64599999999999991</v>
      </c>
      <c r="M506" s="109">
        <f t="shared" si="55"/>
        <v>3100</v>
      </c>
      <c r="N506" s="115"/>
      <c r="O506" s="111"/>
      <c r="P506" s="119">
        <f t="shared" si="57"/>
        <v>8670.2000000000007</v>
      </c>
      <c r="Q506" s="119">
        <f t="shared" si="53"/>
        <v>-2069</v>
      </c>
      <c r="R506" s="147">
        <f t="shared" si="59"/>
        <v>-5237</v>
      </c>
      <c r="S506" s="119">
        <f t="shared" si="62"/>
        <v>1086</v>
      </c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</row>
    <row r="507" spans="1:38">
      <c r="A507" s="108">
        <v>43565</v>
      </c>
      <c r="B507" s="109">
        <v>194552</v>
      </c>
      <c r="C507" s="110">
        <v>0.877</v>
      </c>
      <c r="D507" s="109">
        <f t="shared" si="54"/>
        <v>10450</v>
      </c>
      <c r="E507" s="115"/>
      <c r="F507" s="111"/>
      <c r="G507" s="119">
        <f t="shared" si="56"/>
        <v>1451.2</v>
      </c>
      <c r="H507" s="119">
        <f t="shared" si="58"/>
        <v>7191</v>
      </c>
      <c r="I507" s="147">
        <f t="shared" si="60"/>
        <v>-3047</v>
      </c>
      <c r="J507" s="119">
        <f t="shared" si="61"/>
        <v>11293.2</v>
      </c>
      <c r="K507" s="109">
        <v>30933</v>
      </c>
      <c r="L507" s="110">
        <v>0.47</v>
      </c>
      <c r="M507" s="109">
        <f t="shared" si="55"/>
        <v>3100</v>
      </c>
      <c r="N507" s="115"/>
      <c r="O507" s="111"/>
      <c r="P507" s="119">
        <f t="shared" si="57"/>
        <v>-11625.2</v>
      </c>
      <c r="Q507" s="119">
        <f t="shared" si="53"/>
        <v>-11596</v>
      </c>
      <c r="R507" s="147">
        <f t="shared" si="59"/>
        <v>-673</v>
      </c>
      <c r="S507" s="119">
        <f t="shared" si="62"/>
        <v>3540.2</v>
      </c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</row>
    <row r="508" spans="1:38">
      <c r="A508" s="108">
        <v>43572</v>
      </c>
      <c r="B508" s="109">
        <v>191022</v>
      </c>
      <c r="C508" s="110">
        <v>0.86099999999999999</v>
      </c>
      <c r="D508" s="109">
        <f t="shared" si="54"/>
        <v>10450</v>
      </c>
      <c r="E508" s="115"/>
      <c r="F508" s="111"/>
      <c r="G508" s="119">
        <f t="shared" si="56"/>
        <v>7172</v>
      </c>
      <c r="H508" s="119">
        <f t="shared" si="58"/>
        <v>-3530</v>
      </c>
      <c r="I508" s="147">
        <f t="shared" si="60"/>
        <v>4725</v>
      </c>
      <c r="J508" s="119">
        <f t="shared" si="61"/>
        <v>10400.6</v>
      </c>
      <c r="K508" s="109">
        <v>48431</v>
      </c>
      <c r="L508" s="110">
        <v>0.73599999999999999</v>
      </c>
      <c r="M508" s="109">
        <f t="shared" si="55"/>
        <v>3100</v>
      </c>
      <c r="N508" s="115"/>
      <c r="O508" s="111"/>
      <c r="P508" s="119">
        <f t="shared" si="57"/>
        <v>3591.6</v>
      </c>
      <c r="Q508" s="119">
        <f t="shared" si="53"/>
        <v>17498</v>
      </c>
      <c r="R508" s="147">
        <f t="shared" si="59"/>
        <v>1586</v>
      </c>
      <c r="S508" s="119">
        <f t="shared" si="62"/>
        <v>601.79999999999995</v>
      </c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</row>
    <row r="509" spans="1:38">
      <c r="A509" s="108">
        <v>43579</v>
      </c>
      <c r="B509" s="109">
        <v>192528</v>
      </c>
      <c r="C509" s="110">
        <v>0.86799999999999999</v>
      </c>
      <c r="D509" s="109">
        <f t="shared" si="54"/>
        <v>10450</v>
      </c>
      <c r="E509" s="115"/>
      <c r="F509" s="111"/>
      <c r="G509" s="119">
        <f t="shared" si="56"/>
        <v>-14237.6</v>
      </c>
      <c r="H509" s="119">
        <f t="shared" si="58"/>
        <v>1506</v>
      </c>
      <c r="I509" s="147">
        <f t="shared" si="60"/>
        <v>-4318</v>
      </c>
      <c r="J509" s="119">
        <f t="shared" si="61"/>
        <v>14267</v>
      </c>
      <c r="K509" s="109">
        <v>35484</v>
      </c>
      <c r="L509" s="110">
        <v>0.53900000000000003</v>
      </c>
      <c r="M509" s="109">
        <f t="shared" si="55"/>
        <v>3100</v>
      </c>
      <c r="N509" s="115"/>
      <c r="O509" s="111"/>
      <c r="P509" s="119">
        <f t="shared" si="57"/>
        <v>-2167.4</v>
      </c>
      <c r="Q509" s="119">
        <f t="shared" si="53"/>
        <v>-12947</v>
      </c>
      <c r="R509" s="147">
        <f t="shared" si="59"/>
        <v>-8909</v>
      </c>
      <c r="S509" s="119">
        <f t="shared" si="62"/>
        <v>4193.2</v>
      </c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</row>
    <row r="510" spans="1:38">
      <c r="A510" s="108">
        <v>43586</v>
      </c>
      <c r="B510" s="109">
        <v>179539</v>
      </c>
      <c r="C510" s="110">
        <v>0.81</v>
      </c>
      <c r="D510" s="109">
        <f t="shared" si="54"/>
        <v>10450</v>
      </c>
      <c r="E510" s="115"/>
      <c r="F510" s="111"/>
      <c r="G510" s="119">
        <f t="shared" si="56"/>
        <v>-8242.6</v>
      </c>
      <c r="H510" s="119">
        <f t="shared" si="58"/>
        <v>-12989</v>
      </c>
      <c r="I510" s="147">
        <f t="shared" si="60"/>
        <v>-3053</v>
      </c>
      <c r="J510" s="119">
        <f t="shared" si="61"/>
        <v>20667.599999999999</v>
      </c>
      <c r="K510" s="109">
        <v>45643</v>
      </c>
      <c r="L510" s="110">
        <v>0.69400000000000006</v>
      </c>
      <c r="M510" s="109">
        <f t="shared" si="55"/>
        <v>3100</v>
      </c>
      <c r="N510" s="115"/>
      <c r="O510" s="111"/>
      <c r="P510" s="119">
        <f t="shared" si="57"/>
        <v>4248.3999999999996</v>
      </c>
      <c r="Q510" s="119">
        <f t="shared" si="53"/>
        <v>10159</v>
      </c>
      <c r="R510" s="147">
        <f t="shared" si="59"/>
        <v>-4754</v>
      </c>
      <c r="S510" s="119">
        <f t="shared" si="62"/>
        <v>2745.6</v>
      </c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</row>
    <row r="511" spans="1:38">
      <c r="A511" s="108">
        <v>43593</v>
      </c>
      <c r="B511" s="109">
        <v>200885</v>
      </c>
      <c r="C511" s="110">
        <v>0.90099999999999991</v>
      </c>
      <c r="D511" s="109">
        <f t="shared" si="54"/>
        <v>10500</v>
      </c>
      <c r="E511" s="115"/>
      <c r="F511" s="111"/>
      <c r="G511" s="119">
        <f t="shared" si="56"/>
        <v>12157.6</v>
      </c>
      <c r="H511" s="119">
        <f t="shared" si="58"/>
        <v>21346</v>
      </c>
      <c r="I511" s="147">
        <f t="shared" si="60"/>
        <v>-792</v>
      </c>
      <c r="J511" s="119">
        <f t="shared" si="61"/>
        <v>16435.400000000001</v>
      </c>
      <c r="K511" s="109">
        <v>32629</v>
      </c>
      <c r="L511" s="110">
        <v>0.496</v>
      </c>
      <c r="M511" s="109">
        <f t="shared" si="55"/>
        <v>3100</v>
      </c>
      <c r="N511" s="115"/>
      <c r="O511" s="111"/>
      <c r="P511" s="119">
        <f t="shared" si="57"/>
        <v>-4516.6000000000004</v>
      </c>
      <c r="Q511" s="119">
        <f t="shared" si="53"/>
        <v>-13014</v>
      </c>
      <c r="R511" s="147">
        <f t="shared" si="59"/>
        <v>954</v>
      </c>
      <c r="S511" s="119">
        <f t="shared" si="62"/>
        <v>4251.6000000000004</v>
      </c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</row>
    <row r="512" spans="1:38">
      <c r="A512" s="108">
        <v>43600</v>
      </c>
      <c r="B512" s="109">
        <v>178600</v>
      </c>
      <c r="C512" s="110">
        <v>0.80099999999999993</v>
      </c>
      <c r="D512" s="109">
        <f t="shared" si="54"/>
        <v>10500</v>
      </c>
      <c r="E512" s="115"/>
      <c r="F512" s="111"/>
      <c r="G512" s="119">
        <f t="shared" si="56"/>
        <v>7601.8</v>
      </c>
      <c r="H512" s="119">
        <f t="shared" si="58"/>
        <v>-22285</v>
      </c>
      <c r="I512" s="147">
        <f t="shared" si="60"/>
        <v>-112</v>
      </c>
      <c r="J512" s="119">
        <f t="shared" si="61"/>
        <v>16211.6</v>
      </c>
      <c r="K512" s="109">
        <v>50118</v>
      </c>
      <c r="L512" s="110">
        <v>0.76200000000000001</v>
      </c>
      <c r="M512" s="109">
        <f t="shared" si="55"/>
        <v>3100</v>
      </c>
      <c r="N512" s="115"/>
      <c r="O512" s="111"/>
      <c r="P512" s="119">
        <f t="shared" si="57"/>
        <v>6289</v>
      </c>
      <c r="Q512" s="119">
        <f t="shared" si="53"/>
        <v>17489</v>
      </c>
      <c r="R512" s="147">
        <f t="shared" si="59"/>
        <v>-988</v>
      </c>
      <c r="S512" s="119">
        <f t="shared" si="62"/>
        <v>424.4</v>
      </c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</row>
    <row r="513" spans="1:38">
      <c r="A513" s="108">
        <v>43607</v>
      </c>
      <c r="B513" s="109">
        <v>187954</v>
      </c>
      <c r="C513" s="110">
        <v>0.84299999999999997</v>
      </c>
      <c r="D513" s="109">
        <f t="shared" si="54"/>
        <v>10500</v>
      </c>
      <c r="E513" s="115"/>
      <c r="F513" s="111"/>
      <c r="G513" s="119">
        <f t="shared" si="56"/>
        <v>-1519.4</v>
      </c>
      <c r="H513" s="119">
        <f t="shared" si="58"/>
        <v>9354</v>
      </c>
      <c r="I513" s="147">
        <f t="shared" si="60"/>
        <v>13765</v>
      </c>
      <c r="J513" s="119">
        <f t="shared" si="61"/>
        <v>16181.4</v>
      </c>
      <c r="K513" s="109">
        <v>32919</v>
      </c>
      <c r="L513" s="110">
        <v>0.5</v>
      </c>
      <c r="M513" s="109">
        <f t="shared" si="55"/>
        <v>3100</v>
      </c>
      <c r="N513" s="115"/>
      <c r="O513" s="111"/>
      <c r="P513" s="119">
        <f t="shared" si="57"/>
        <v>-9266.7999999999993</v>
      </c>
      <c r="Q513" s="119">
        <f t="shared" si="53"/>
        <v>-17199</v>
      </c>
      <c r="R513" s="147">
        <f t="shared" si="59"/>
        <v>1114</v>
      </c>
      <c r="S513" s="119">
        <f t="shared" si="62"/>
        <v>5887</v>
      </c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</row>
    <row r="514" spans="1:38">
      <c r="A514" s="108">
        <v>43614</v>
      </c>
      <c r="B514" s="109">
        <v>202855</v>
      </c>
      <c r="C514" s="110">
        <v>0.91</v>
      </c>
      <c r="D514" s="109">
        <f t="shared" si="54"/>
        <v>10500</v>
      </c>
      <c r="E514" s="115"/>
      <c r="F514" s="111"/>
      <c r="G514" s="119">
        <f t="shared" si="56"/>
        <v>-16549.400000000001</v>
      </c>
      <c r="H514" s="119">
        <f t="shared" si="58"/>
        <v>14901</v>
      </c>
      <c r="I514" s="147">
        <f t="shared" si="60"/>
        <v>40730</v>
      </c>
      <c r="J514" s="119">
        <f t="shared" si="61"/>
        <v>16904.8</v>
      </c>
      <c r="K514" s="109">
        <v>43880</v>
      </c>
      <c r="L514" s="110">
        <v>0.66700000000000004</v>
      </c>
      <c r="M514" s="109">
        <f t="shared" si="55"/>
        <v>3100</v>
      </c>
      <c r="N514" s="115"/>
      <c r="O514" s="111"/>
      <c r="P514" s="119">
        <f t="shared" si="57"/>
        <v>1381.2</v>
      </c>
      <c r="Q514" s="119">
        <f t="shared" si="53"/>
        <v>10961</v>
      </c>
      <c r="R514" s="147">
        <f t="shared" si="59"/>
        <v>-7841</v>
      </c>
      <c r="S514" s="119">
        <f t="shared" si="62"/>
        <v>3423.4</v>
      </c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</row>
    <row r="515" spans="1:38">
      <c r="A515" s="108">
        <v>43621</v>
      </c>
      <c r="B515" s="109">
        <v>172271</v>
      </c>
      <c r="C515" s="110">
        <v>0.77300000000000002</v>
      </c>
      <c r="D515" s="109">
        <f t="shared" si="54"/>
        <v>10500</v>
      </c>
      <c r="E515" s="115"/>
      <c r="F515" s="111"/>
      <c r="G515" s="119">
        <f t="shared" si="56"/>
        <v>3139.6</v>
      </c>
      <c r="H515" s="119">
        <f t="shared" si="58"/>
        <v>-30584</v>
      </c>
      <c r="I515" s="147">
        <f t="shared" si="60"/>
        <v>15101</v>
      </c>
      <c r="J515" s="119">
        <f t="shared" si="61"/>
        <v>11100.6</v>
      </c>
      <c r="K515" s="109">
        <v>37126</v>
      </c>
      <c r="L515" s="110">
        <v>0.56399999999999995</v>
      </c>
      <c r="M515" s="109">
        <f t="shared" si="55"/>
        <v>3100</v>
      </c>
      <c r="N515" s="115"/>
      <c r="O515" s="111"/>
      <c r="P515" s="119">
        <f t="shared" si="57"/>
        <v>-4633.6000000000004</v>
      </c>
      <c r="Q515" s="119">
        <f t="shared" ref="Q515:Q578" si="63">K515-K514</f>
        <v>-6754</v>
      </c>
      <c r="R515" s="147">
        <f t="shared" si="59"/>
        <v>4685</v>
      </c>
      <c r="S515" s="119">
        <f t="shared" si="62"/>
        <v>5748.6</v>
      </c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</row>
    <row r="516" spans="1:38">
      <c r="A516" s="108">
        <v>43628</v>
      </c>
      <c r="B516" s="109">
        <v>182470</v>
      </c>
      <c r="C516" s="110">
        <v>0.81799999999999995</v>
      </c>
      <c r="D516" s="109">
        <f t="shared" ref="D516:D579" si="64">IF(B516="","",IF(C516="","",MROUND((B516/C516)/(A516-A515)*330/1000,25)))</f>
        <v>10525</v>
      </c>
      <c r="E516" s="115"/>
      <c r="F516" s="111"/>
      <c r="G516" s="119">
        <f t="shared" si="56"/>
        <v>3343.8</v>
      </c>
      <c r="H516" s="119">
        <f t="shared" si="58"/>
        <v>10199</v>
      </c>
      <c r="I516" s="147">
        <f t="shared" si="60"/>
        <v>801</v>
      </c>
      <c r="J516" s="119">
        <f t="shared" si="61"/>
        <v>10860.2</v>
      </c>
      <c r="K516" s="109">
        <v>34919</v>
      </c>
      <c r="L516" s="110">
        <v>0.53100000000000003</v>
      </c>
      <c r="M516" s="109">
        <f t="shared" ref="M516:M579" si="65">IF(K516="","",IF(L516="","",MROUND((K516/L516)/(A516-A515)*330/1000,25)))</f>
        <v>3100</v>
      </c>
      <c r="N516" s="115"/>
      <c r="O516" s="111"/>
      <c r="P516" s="119">
        <f t="shared" si="57"/>
        <v>9672.2000000000007</v>
      </c>
      <c r="Q516" s="119">
        <f t="shared" si="63"/>
        <v>-2207</v>
      </c>
      <c r="R516" s="147">
        <f t="shared" si="59"/>
        <v>-15123</v>
      </c>
      <c r="S516" s="119">
        <f t="shared" si="62"/>
        <v>1229</v>
      </c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</row>
    <row r="517" spans="1:38">
      <c r="A517" s="108">
        <v>43635</v>
      </c>
      <c r="B517" s="109">
        <v>190002</v>
      </c>
      <c r="C517" s="110">
        <v>0.85199999999999998</v>
      </c>
      <c r="D517" s="109">
        <f t="shared" si="64"/>
        <v>10525</v>
      </c>
      <c r="E517" s="115"/>
      <c r="F517" s="111"/>
      <c r="G517" s="119">
        <f t="shared" si="56"/>
        <v>12328.8</v>
      </c>
      <c r="H517" s="119">
        <f t="shared" si="58"/>
        <v>7532</v>
      </c>
      <c r="I517" s="147">
        <f t="shared" si="60"/>
        <v>5623</v>
      </c>
      <c r="J517" s="119">
        <f t="shared" si="61"/>
        <v>11748.4</v>
      </c>
      <c r="K517" s="109">
        <v>17438</v>
      </c>
      <c r="L517" s="110">
        <v>0.26500000000000001</v>
      </c>
      <c r="M517" s="109">
        <f t="shared" si="65"/>
        <v>3100</v>
      </c>
      <c r="N517" s="115"/>
      <c r="O517" s="111"/>
      <c r="P517" s="119">
        <f t="shared" si="57"/>
        <v>-14669.4</v>
      </c>
      <c r="Q517" s="119">
        <f t="shared" si="63"/>
        <v>-17481</v>
      </c>
      <c r="R517" s="147">
        <f t="shared" si="59"/>
        <v>-11468</v>
      </c>
      <c r="S517" s="119">
        <f t="shared" si="62"/>
        <v>4406.6000000000004</v>
      </c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</row>
    <row r="518" spans="1:38">
      <c r="A518" s="108">
        <v>43642</v>
      </c>
      <c r="B518" s="109">
        <v>161415</v>
      </c>
      <c r="C518" s="110">
        <v>0.85199999999999998</v>
      </c>
      <c r="D518" s="109">
        <f t="shared" si="64"/>
        <v>8925</v>
      </c>
      <c r="E518" s="115"/>
      <c r="F518" s="111"/>
      <c r="G518" s="119">
        <f t="shared" si="56"/>
        <v>2036.4</v>
      </c>
      <c r="H518" s="119">
        <f t="shared" si="58"/>
        <v>-28587</v>
      </c>
      <c r="I518" s="147">
        <f t="shared" si="60"/>
        <v>-6685</v>
      </c>
      <c r="J518" s="119">
        <f t="shared" si="61"/>
        <v>13664.4</v>
      </c>
      <c r="K518" s="109">
        <v>38976</v>
      </c>
      <c r="L518" s="110">
        <v>0.59200000000000008</v>
      </c>
      <c r="M518" s="109">
        <f t="shared" si="65"/>
        <v>3100</v>
      </c>
      <c r="N518" s="115"/>
      <c r="O518" s="111"/>
      <c r="P518" s="119">
        <f t="shared" si="57"/>
        <v>9712.2000000000007</v>
      </c>
      <c r="Q518" s="119">
        <f t="shared" si="63"/>
        <v>21538</v>
      </c>
      <c r="R518" s="147">
        <f t="shared" si="59"/>
        <v>-12057</v>
      </c>
      <c r="S518" s="119">
        <f t="shared" si="62"/>
        <v>562.79999999999995</v>
      </c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</row>
    <row r="519" spans="1:38">
      <c r="A519" s="108">
        <v>43649</v>
      </c>
      <c r="B519" s="109">
        <v>171172</v>
      </c>
      <c r="C519" s="110">
        <v>0.76800000000000002</v>
      </c>
      <c r="D519" s="109">
        <f t="shared" si="64"/>
        <v>10500</v>
      </c>
      <c r="E519" s="115"/>
      <c r="F519" s="111"/>
      <c r="G519" s="119">
        <f t="shared" si="56"/>
        <v>-8226</v>
      </c>
      <c r="H519" s="119">
        <f t="shared" si="58"/>
        <v>9757</v>
      </c>
      <c r="I519" s="147">
        <f t="shared" si="60"/>
        <v>4927</v>
      </c>
      <c r="J519" s="119">
        <f t="shared" si="61"/>
        <v>10480</v>
      </c>
      <c r="K519" s="109">
        <v>29470</v>
      </c>
      <c r="L519" s="110">
        <v>0.44799999999999995</v>
      </c>
      <c r="M519" s="109">
        <f t="shared" si="65"/>
        <v>3100</v>
      </c>
      <c r="N519" s="115"/>
      <c r="O519" s="111"/>
      <c r="P519" s="119">
        <f t="shared" si="57"/>
        <v>-2571.4</v>
      </c>
      <c r="Q519" s="119">
        <f t="shared" si="63"/>
        <v>-9506</v>
      </c>
      <c r="R519" s="147">
        <f t="shared" si="59"/>
        <v>-4478</v>
      </c>
      <c r="S519" s="119">
        <f t="shared" si="62"/>
        <v>4543.8</v>
      </c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</row>
    <row r="520" spans="1:38">
      <c r="A520" s="108">
        <v>43656</v>
      </c>
      <c r="B520" s="109">
        <v>159215</v>
      </c>
      <c r="C520" s="110">
        <v>0.71400000000000008</v>
      </c>
      <c r="D520" s="109">
        <f t="shared" si="64"/>
        <v>10500</v>
      </c>
      <c r="E520" s="115"/>
      <c r="F520" s="111"/>
      <c r="G520" s="119">
        <f t="shared" si="56"/>
        <v>14998.8</v>
      </c>
      <c r="H520" s="119">
        <f t="shared" si="58"/>
        <v>-11957</v>
      </c>
      <c r="I520" s="147">
        <f t="shared" si="60"/>
        <v>4623</v>
      </c>
      <c r="J520" s="119">
        <f t="shared" si="61"/>
        <v>8515.4</v>
      </c>
      <c r="K520" s="109">
        <v>46078</v>
      </c>
      <c r="L520" s="110">
        <v>0.7</v>
      </c>
      <c r="M520" s="109">
        <f t="shared" si="65"/>
        <v>3100</v>
      </c>
      <c r="N520" s="115"/>
      <c r="O520" s="111"/>
      <c r="P520" s="119">
        <f t="shared" si="57"/>
        <v>2154</v>
      </c>
      <c r="Q520" s="119">
        <f t="shared" si="63"/>
        <v>16608</v>
      </c>
      <c r="R520" s="147">
        <f t="shared" si="59"/>
        <v>4334</v>
      </c>
      <c r="S520" s="119">
        <f t="shared" si="62"/>
        <v>-1634.4</v>
      </c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</row>
    <row r="521" spans="1:38">
      <c r="A521" s="108">
        <v>43663</v>
      </c>
      <c r="B521" s="109">
        <v>145573</v>
      </c>
      <c r="C521" s="110">
        <v>0.65300000000000002</v>
      </c>
      <c r="D521" s="109">
        <f t="shared" si="64"/>
        <v>10500</v>
      </c>
      <c r="E521" s="115"/>
      <c r="F521" s="111"/>
      <c r="G521" s="119">
        <f t="shared" si="56"/>
        <v>-1898.2</v>
      </c>
      <c r="H521" s="119">
        <f t="shared" si="58"/>
        <v>-13642</v>
      </c>
      <c r="I521" s="147">
        <f t="shared" si="60"/>
        <v>-42384</v>
      </c>
      <c r="J521" s="119">
        <f t="shared" si="61"/>
        <v>7461.8</v>
      </c>
      <c r="K521" s="109">
        <v>44772</v>
      </c>
      <c r="L521" s="110">
        <v>0.68</v>
      </c>
      <c r="M521" s="109">
        <f t="shared" si="65"/>
        <v>3100</v>
      </c>
      <c r="N521" s="115"/>
      <c r="O521" s="111"/>
      <c r="P521" s="119">
        <f t="shared" si="57"/>
        <v>-4599</v>
      </c>
      <c r="Q521" s="119">
        <f t="shared" si="63"/>
        <v>-1306</v>
      </c>
      <c r="R521" s="147">
        <f t="shared" si="59"/>
        <v>25681</v>
      </c>
      <c r="S521" s="119">
        <f t="shared" si="62"/>
        <v>1427.4</v>
      </c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</row>
    <row r="522" spans="1:38">
      <c r="A522" s="108">
        <v>43670</v>
      </c>
      <c r="B522" s="109">
        <v>142086</v>
      </c>
      <c r="C522" s="110">
        <v>0.63700000000000001</v>
      </c>
      <c r="D522" s="109">
        <f t="shared" si="64"/>
        <v>10525</v>
      </c>
      <c r="E522" s="115"/>
      <c r="F522" s="111"/>
      <c r="G522" s="119">
        <f t="shared" si="56"/>
        <v>-24490</v>
      </c>
      <c r="H522" s="119">
        <f t="shared" si="58"/>
        <v>-3487</v>
      </c>
      <c r="I522" s="147">
        <f t="shared" si="60"/>
        <v>-42513</v>
      </c>
      <c r="J522" s="119">
        <f t="shared" si="61"/>
        <v>18051.8</v>
      </c>
      <c r="K522" s="109">
        <v>33378</v>
      </c>
      <c r="L522" s="110">
        <v>0.50700000000000001</v>
      </c>
      <c r="M522" s="109">
        <f t="shared" si="65"/>
        <v>3100</v>
      </c>
      <c r="N522" s="115"/>
      <c r="O522" s="111"/>
      <c r="P522" s="119">
        <f t="shared" si="57"/>
        <v>3371.4</v>
      </c>
      <c r="Q522" s="119">
        <f t="shared" si="63"/>
        <v>-11394</v>
      </c>
      <c r="R522" s="147">
        <f t="shared" si="59"/>
        <v>-6921</v>
      </c>
      <c r="S522" s="119">
        <f t="shared" si="62"/>
        <v>-699.8</v>
      </c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</row>
    <row r="523" spans="1:38">
      <c r="A523" s="108">
        <v>43677</v>
      </c>
      <c r="B523" s="109">
        <v>142956</v>
      </c>
      <c r="C523" s="110">
        <v>0.6409999999999999</v>
      </c>
      <c r="D523" s="109">
        <f t="shared" si="64"/>
        <v>10525</v>
      </c>
      <c r="E523" s="115"/>
      <c r="F523" s="111"/>
      <c r="G523" s="119">
        <f t="shared" si="56"/>
        <v>-16222.4</v>
      </c>
      <c r="H523" s="119">
        <f t="shared" si="58"/>
        <v>870</v>
      </c>
      <c r="I523" s="147">
        <f t="shared" si="60"/>
        <v>-37454</v>
      </c>
      <c r="J523" s="119">
        <f t="shared" si="61"/>
        <v>16808</v>
      </c>
      <c r="K523" s="109">
        <v>29594</v>
      </c>
      <c r="L523" s="110">
        <v>0.45</v>
      </c>
      <c r="M523" s="109">
        <f t="shared" si="65"/>
        <v>3100</v>
      </c>
      <c r="N523" s="115"/>
      <c r="O523" s="111"/>
      <c r="P523" s="119">
        <f t="shared" si="57"/>
        <v>-17589</v>
      </c>
      <c r="Q523" s="119">
        <f t="shared" si="63"/>
        <v>-3784</v>
      </c>
      <c r="R523" s="147">
        <f t="shared" si="59"/>
        <v>25611</v>
      </c>
      <c r="S523" s="119">
        <f t="shared" si="62"/>
        <v>3280.4</v>
      </c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</row>
    <row r="524" spans="1:38">
      <c r="A524" s="108">
        <v>43684</v>
      </c>
      <c r="B524" s="109">
        <v>164307</v>
      </c>
      <c r="C524" s="110">
        <v>0.73699999999999999</v>
      </c>
      <c r="D524" s="109">
        <f t="shared" si="64"/>
        <v>10500</v>
      </c>
      <c r="E524" s="115"/>
      <c r="F524" s="111"/>
      <c r="G524" s="119">
        <f t="shared" si="56"/>
        <v>28474.400000000001</v>
      </c>
      <c r="H524" s="119">
        <f t="shared" si="58"/>
        <v>21351</v>
      </c>
      <c r="I524" s="147">
        <f t="shared" si="60"/>
        <v>-28485</v>
      </c>
      <c r="J524" s="119">
        <f t="shared" si="61"/>
        <v>22043.8</v>
      </c>
      <c r="K524" s="109">
        <v>47160</v>
      </c>
      <c r="L524" s="110"/>
      <c r="M524" s="109" t="str">
        <f t="shared" si="65"/>
        <v/>
      </c>
      <c r="N524" s="115"/>
      <c r="O524" s="111"/>
      <c r="P524" s="119">
        <f t="shared" si="57"/>
        <v>22681.8</v>
      </c>
      <c r="Q524" s="119">
        <f t="shared" si="63"/>
        <v>17566</v>
      </c>
      <c r="R524" s="147">
        <f t="shared" si="59"/>
        <v>1261</v>
      </c>
      <c r="S524" s="119">
        <f t="shared" si="62"/>
        <v>-4506.8</v>
      </c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</row>
    <row r="525" spans="1:38">
      <c r="A525" s="108">
        <v>43691</v>
      </c>
      <c r="B525" s="109">
        <v>168768</v>
      </c>
      <c r="C525" s="110">
        <v>0.75700000000000001</v>
      </c>
      <c r="D525" s="109">
        <f t="shared" si="64"/>
        <v>10500</v>
      </c>
      <c r="E525" s="115"/>
      <c r="F525" s="111"/>
      <c r="G525" s="119">
        <f t="shared" si="56"/>
        <v>-7218.8</v>
      </c>
      <c r="H525" s="119">
        <f t="shared" si="58"/>
        <v>4461</v>
      </c>
      <c r="I525" s="147">
        <f t="shared" si="60"/>
        <v>-25376</v>
      </c>
      <c r="J525" s="119">
        <f t="shared" si="61"/>
        <v>24495</v>
      </c>
      <c r="K525" s="109">
        <v>25622</v>
      </c>
      <c r="L525" s="110">
        <v>0.38900000000000001</v>
      </c>
      <c r="M525" s="109">
        <f t="shared" si="65"/>
        <v>3100</v>
      </c>
      <c r="N525" s="115"/>
      <c r="O525" s="111"/>
      <c r="P525" s="119">
        <f t="shared" si="57"/>
        <v>-2837.4</v>
      </c>
      <c r="Q525" s="119">
        <f t="shared" si="63"/>
        <v>-21538</v>
      </c>
      <c r="R525" s="147">
        <f t="shared" si="59"/>
        <v>-4997</v>
      </c>
      <c r="S525" s="119">
        <f t="shared" si="62"/>
        <v>3828.8</v>
      </c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</row>
    <row r="526" spans="1:38">
      <c r="A526" s="108">
        <v>43698</v>
      </c>
      <c r="B526" s="109">
        <v>189664</v>
      </c>
      <c r="C526" s="110">
        <v>0.85099999999999998</v>
      </c>
      <c r="D526" s="109">
        <f t="shared" si="64"/>
        <v>10500</v>
      </c>
      <c r="E526" s="115"/>
      <c r="F526" s="111"/>
      <c r="G526" s="119">
        <f t="shared" si="56"/>
        <v>-9675.2000000000007</v>
      </c>
      <c r="H526" s="119">
        <f t="shared" si="58"/>
        <v>20896</v>
      </c>
      <c r="I526" s="147">
        <f t="shared" si="60"/>
        <v>13996</v>
      </c>
      <c r="J526" s="119">
        <f t="shared" si="61"/>
        <v>24942</v>
      </c>
      <c r="K526" s="109">
        <v>23262</v>
      </c>
      <c r="L526" s="110">
        <v>0.35399999999999998</v>
      </c>
      <c r="M526" s="109">
        <f t="shared" si="65"/>
        <v>3100</v>
      </c>
      <c r="N526" s="115"/>
      <c r="O526" s="111"/>
      <c r="P526" s="119">
        <f t="shared" si="57"/>
        <v>5035.2</v>
      </c>
      <c r="Q526" s="119">
        <f t="shared" si="63"/>
        <v>-2360</v>
      </c>
      <c r="R526" s="147">
        <f t="shared" si="59"/>
        <v>-22871</v>
      </c>
      <c r="S526" s="119">
        <f t="shared" si="62"/>
        <v>994.6</v>
      </c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</row>
    <row r="527" spans="1:38">
      <c r="A527" s="108">
        <v>43705</v>
      </c>
      <c r="B527" s="109">
        <v>204135</v>
      </c>
      <c r="C527" s="110">
        <v>0.91500000000000004</v>
      </c>
      <c r="D527" s="109">
        <f t="shared" si="64"/>
        <v>10525</v>
      </c>
      <c r="E527" s="115"/>
      <c r="F527" s="111"/>
      <c r="G527" s="119">
        <f t="shared" si="56"/>
        <v>18084.8</v>
      </c>
      <c r="H527" s="119">
        <f t="shared" si="58"/>
        <v>14471</v>
      </c>
      <c r="I527" s="147">
        <f t="shared" si="60"/>
        <v>10404</v>
      </c>
      <c r="J527" s="119">
        <f t="shared" si="61"/>
        <v>17280.400000000001</v>
      </c>
      <c r="K527" s="109">
        <v>31209</v>
      </c>
      <c r="L527" s="110">
        <v>0.47399999999999998</v>
      </c>
      <c r="M527" s="109">
        <f t="shared" si="65"/>
        <v>3100</v>
      </c>
      <c r="N527" s="115"/>
      <c r="O527" s="111"/>
      <c r="P527" s="119">
        <f t="shared" si="57"/>
        <v>-14321.6</v>
      </c>
      <c r="Q527" s="119">
        <f t="shared" si="63"/>
        <v>7947</v>
      </c>
      <c r="R527" s="147">
        <f t="shared" si="59"/>
        <v>6011</v>
      </c>
      <c r="S527" s="119">
        <f t="shared" si="62"/>
        <v>6415</v>
      </c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</row>
    <row r="528" spans="1:38">
      <c r="A528" s="108">
        <v>43712</v>
      </c>
      <c r="B528" s="109">
        <v>183978</v>
      </c>
      <c r="C528" s="110">
        <v>0.82499999999999996</v>
      </c>
      <c r="D528" s="109">
        <f t="shared" si="64"/>
        <v>10525</v>
      </c>
      <c r="E528" s="115"/>
      <c r="F528" s="111"/>
      <c r="G528" s="119">
        <f t="shared" si="56"/>
        <v>-1736.6</v>
      </c>
      <c r="H528" s="119">
        <f t="shared" si="58"/>
        <v>-20157</v>
      </c>
      <c r="I528" s="147">
        <f t="shared" si="60"/>
        <v>-3519</v>
      </c>
      <c r="J528" s="119">
        <f t="shared" si="61"/>
        <v>15756.6</v>
      </c>
      <c r="K528" s="109">
        <v>39829</v>
      </c>
      <c r="L528" s="110">
        <v>0.60499999999999998</v>
      </c>
      <c r="M528" s="109">
        <f t="shared" si="65"/>
        <v>3100</v>
      </c>
      <c r="N528" s="115"/>
      <c r="O528" s="111"/>
      <c r="P528" s="119">
        <f t="shared" si="57"/>
        <v>12788.6</v>
      </c>
      <c r="Q528" s="119">
        <f t="shared" si="63"/>
        <v>8620</v>
      </c>
      <c r="R528" s="147">
        <f t="shared" si="59"/>
        <v>-3959</v>
      </c>
      <c r="S528" s="119">
        <f t="shared" si="62"/>
        <v>931.8</v>
      </c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</row>
    <row r="529" spans="1:38">
      <c r="A529" s="108">
        <v>43719</v>
      </c>
      <c r="B529" s="109">
        <v>176209</v>
      </c>
      <c r="C529" s="110">
        <v>0.79</v>
      </c>
      <c r="D529" s="109">
        <f t="shared" si="64"/>
        <v>10525</v>
      </c>
      <c r="E529" s="115"/>
      <c r="F529" s="111"/>
      <c r="G529" s="119">
        <f t="shared" si="56"/>
        <v>-1058.4000000000001</v>
      </c>
      <c r="H529" s="119">
        <f t="shared" si="58"/>
        <v>-7769</v>
      </c>
      <c r="I529" s="147">
        <f t="shared" si="60"/>
        <v>7750</v>
      </c>
      <c r="J529" s="119">
        <f t="shared" si="61"/>
        <v>11191.6</v>
      </c>
      <c r="K529" s="109">
        <v>26559</v>
      </c>
      <c r="L529" s="110">
        <v>0.40399999999999997</v>
      </c>
      <c r="M529" s="109">
        <f t="shared" si="65"/>
        <v>3100</v>
      </c>
      <c r="N529" s="115"/>
      <c r="O529" s="111"/>
      <c r="P529" s="119">
        <f t="shared" si="57"/>
        <v>-8688.4</v>
      </c>
      <c r="Q529" s="119">
        <f t="shared" si="63"/>
        <v>-13270</v>
      </c>
      <c r="R529" s="147">
        <f t="shared" si="59"/>
        <v>-3822</v>
      </c>
      <c r="S529" s="119">
        <f t="shared" si="62"/>
        <v>4051</v>
      </c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</row>
    <row r="530" spans="1:38">
      <c r="A530" s="108">
        <v>43726</v>
      </c>
      <c r="B530" s="109">
        <v>183087</v>
      </c>
      <c r="C530" s="110">
        <v>0.82099999999999995</v>
      </c>
      <c r="D530" s="109">
        <f t="shared" si="64"/>
        <v>10525</v>
      </c>
      <c r="E530" s="115"/>
      <c r="F530" s="111"/>
      <c r="G530" s="119">
        <f t="shared" si="56"/>
        <v>-4018.2</v>
      </c>
      <c r="H530" s="119">
        <f t="shared" si="58"/>
        <v>6878</v>
      </c>
      <c r="I530" s="147">
        <f t="shared" si="60"/>
        <v>13455</v>
      </c>
      <c r="J530" s="119">
        <f t="shared" si="61"/>
        <v>3593.2</v>
      </c>
      <c r="K530" s="109">
        <v>18785</v>
      </c>
      <c r="L530" s="110">
        <v>0.28499999999999998</v>
      </c>
      <c r="M530" s="109">
        <f t="shared" si="65"/>
        <v>3100</v>
      </c>
      <c r="N530" s="115"/>
      <c r="O530" s="111"/>
      <c r="P530" s="119">
        <f t="shared" si="57"/>
        <v>-5812.8</v>
      </c>
      <c r="Q530" s="119">
        <f t="shared" si="63"/>
        <v>-7774</v>
      </c>
      <c r="R530" s="147">
        <f t="shared" si="59"/>
        <v>4167</v>
      </c>
      <c r="S530" s="119">
        <f t="shared" si="62"/>
        <v>2936</v>
      </c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</row>
    <row r="531" spans="1:38">
      <c r="A531" s="108">
        <v>43733</v>
      </c>
      <c r="B531" s="109">
        <v>191627</v>
      </c>
      <c r="C531" s="110">
        <v>0.8590000000000001</v>
      </c>
      <c r="D531" s="109">
        <f t="shared" si="64"/>
        <v>10525</v>
      </c>
      <c r="E531" s="115"/>
      <c r="F531" s="111"/>
      <c r="G531" s="119">
        <f t="shared" si="56"/>
        <v>11788.6</v>
      </c>
      <c r="H531" s="119">
        <f t="shared" si="58"/>
        <v>8540</v>
      </c>
      <c r="I531" s="147">
        <f t="shared" si="60"/>
        <v>21038</v>
      </c>
      <c r="J531" s="119">
        <f t="shared" si="61"/>
        <v>4525</v>
      </c>
      <c r="K531" s="109">
        <v>30048</v>
      </c>
      <c r="L531" s="110">
        <v>0.45700000000000002</v>
      </c>
      <c r="M531" s="109">
        <f t="shared" si="65"/>
        <v>3100</v>
      </c>
      <c r="N531" s="115"/>
      <c r="O531" s="111"/>
      <c r="P531" s="119">
        <f t="shared" si="57"/>
        <v>10830</v>
      </c>
      <c r="Q531" s="119">
        <f t="shared" si="63"/>
        <v>11263</v>
      </c>
      <c r="R531" s="147">
        <f t="shared" si="59"/>
        <v>-7980</v>
      </c>
      <c r="S531" s="119">
        <f t="shared" si="62"/>
        <v>-2049</v>
      </c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</row>
    <row r="532" spans="1:38">
      <c r="A532" s="108">
        <v>43740</v>
      </c>
      <c r="B532" s="109">
        <v>168151</v>
      </c>
      <c r="C532" s="110">
        <v>0.754</v>
      </c>
      <c r="D532" s="109">
        <f t="shared" si="64"/>
        <v>10525</v>
      </c>
      <c r="E532" s="115"/>
      <c r="F532" s="111"/>
      <c r="G532" s="119">
        <f t="shared" si="56"/>
        <v>-2480.6</v>
      </c>
      <c r="H532" s="119">
        <f t="shared" si="58"/>
        <v>-23476</v>
      </c>
      <c r="I532" s="147">
        <f t="shared" si="60"/>
        <v>6619</v>
      </c>
      <c r="J532" s="119">
        <f t="shared" si="61"/>
        <v>3758.8</v>
      </c>
      <c r="K532" s="109">
        <v>34757</v>
      </c>
      <c r="L532" s="110">
        <v>0.52800000000000002</v>
      </c>
      <c r="M532" s="109">
        <f t="shared" si="65"/>
        <v>3100</v>
      </c>
      <c r="N532" s="115"/>
      <c r="O532" s="111"/>
      <c r="P532" s="119">
        <f t="shared" si="57"/>
        <v>4317</v>
      </c>
      <c r="Q532" s="119">
        <f t="shared" si="63"/>
        <v>4709</v>
      </c>
      <c r="R532" s="147">
        <f t="shared" si="59"/>
        <v>2664</v>
      </c>
      <c r="S532" s="119">
        <f t="shared" si="62"/>
        <v>1591.2</v>
      </c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</row>
    <row r="533" spans="1:38">
      <c r="A533" s="108">
        <v>43747</v>
      </c>
      <c r="B533" s="109">
        <v>193743</v>
      </c>
      <c r="C533" s="110">
        <v>0.86900000000000011</v>
      </c>
      <c r="D533" s="109">
        <f t="shared" si="64"/>
        <v>10500</v>
      </c>
      <c r="E533" s="115"/>
      <c r="F533" s="111"/>
      <c r="G533" s="119">
        <f t="shared" si="56"/>
        <v>2280.1999999999998</v>
      </c>
      <c r="H533" s="119">
        <f t="shared" si="58"/>
        <v>25592</v>
      </c>
      <c r="I533" s="147">
        <f t="shared" si="60"/>
        <v>3078</v>
      </c>
      <c r="J533" s="119">
        <f t="shared" si="61"/>
        <v>3000.6</v>
      </c>
      <c r="K533" s="109">
        <v>38653</v>
      </c>
      <c r="L533" s="110">
        <v>0.58700000000000008</v>
      </c>
      <c r="M533" s="109">
        <f t="shared" si="65"/>
        <v>3100</v>
      </c>
      <c r="N533" s="115"/>
      <c r="O533" s="111"/>
      <c r="P533" s="119">
        <f t="shared" si="57"/>
        <v>2677.8</v>
      </c>
      <c r="Q533" s="119">
        <f t="shared" si="63"/>
        <v>3896</v>
      </c>
      <c r="R533" s="147">
        <f t="shared" si="59"/>
        <v>-7235</v>
      </c>
      <c r="S533" s="119">
        <f t="shared" si="62"/>
        <v>772.2</v>
      </c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</row>
    <row r="534" spans="1:38">
      <c r="A534" s="108">
        <v>43754</v>
      </c>
      <c r="B534" s="109">
        <v>180980</v>
      </c>
      <c r="C534" s="110">
        <v>0.81200000000000006</v>
      </c>
      <c r="D534" s="109">
        <f t="shared" si="64"/>
        <v>10500</v>
      </c>
      <c r="E534" s="115"/>
      <c r="F534" s="111"/>
      <c r="G534" s="119">
        <f t="shared" si="56"/>
        <v>-5643.8</v>
      </c>
      <c r="H534" s="119">
        <f t="shared" si="58"/>
        <v>-12763</v>
      </c>
      <c r="I534" s="147">
        <f t="shared" si="60"/>
        <v>7535</v>
      </c>
      <c r="J534" s="119">
        <f t="shared" si="61"/>
        <v>10272.6</v>
      </c>
      <c r="K534" s="109">
        <v>32004</v>
      </c>
      <c r="L534" s="110">
        <v>0.48599999999999999</v>
      </c>
      <c r="M534" s="109">
        <f t="shared" si="65"/>
        <v>3100</v>
      </c>
      <c r="N534" s="115"/>
      <c r="O534" s="111"/>
      <c r="P534" s="119">
        <f t="shared" si="57"/>
        <v>4037.2</v>
      </c>
      <c r="Q534" s="119">
        <f t="shared" si="63"/>
        <v>-6649</v>
      </c>
      <c r="R534" s="147">
        <f t="shared" si="59"/>
        <v>-2914</v>
      </c>
      <c r="S534" s="119">
        <f t="shared" si="62"/>
        <v>-123.8</v>
      </c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</row>
    <row r="535" spans="1:38">
      <c r="A535" s="108">
        <v>43761</v>
      </c>
      <c r="B535" s="109">
        <v>172623</v>
      </c>
      <c r="C535" s="110">
        <v>0.77400000000000002</v>
      </c>
      <c r="D535" s="109">
        <f t="shared" si="64"/>
        <v>10525</v>
      </c>
      <c r="E535" s="115"/>
      <c r="F535" s="111"/>
      <c r="G535" s="119">
        <f t="shared" si="56"/>
        <v>3598.8</v>
      </c>
      <c r="H535" s="119">
        <f t="shared" si="58"/>
        <v>-8357</v>
      </c>
      <c r="I535" s="147">
        <f t="shared" si="60"/>
        <v>-10067</v>
      </c>
      <c r="J535" s="119">
        <f t="shared" si="61"/>
        <v>5667.8</v>
      </c>
      <c r="K535" s="109">
        <v>43481</v>
      </c>
      <c r="L535" s="110">
        <v>0.66099999999999992</v>
      </c>
      <c r="M535" s="109">
        <f t="shared" si="65"/>
        <v>3100</v>
      </c>
      <c r="N535" s="115"/>
      <c r="O535" s="111"/>
      <c r="P535" s="119">
        <f t="shared" si="57"/>
        <v>245.4</v>
      </c>
      <c r="Q535" s="119">
        <f t="shared" si="63"/>
        <v>11477</v>
      </c>
      <c r="R535" s="147">
        <f t="shared" si="59"/>
        <v>-7335</v>
      </c>
      <c r="S535" s="119">
        <f t="shared" si="62"/>
        <v>-1390</v>
      </c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</row>
    <row r="536" spans="1:38">
      <c r="A536" s="108">
        <v>43768</v>
      </c>
      <c r="B536" s="109">
        <v>147624</v>
      </c>
      <c r="C536" s="110">
        <v>0.66200000000000003</v>
      </c>
      <c r="D536" s="109">
        <f t="shared" si="64"/>
        <v>10525</v>
      </c>
      <c r="E536" s="115"/>
      <c r="F536" s="111"/>
      <c r="G536" s="119">
        <f t="shared" si="56"/>
        <v>-5038</v>
      </c>
      <c r="H536" s="119">
        <f t="shared" si="58"/>
        <v>-24999</v>
      </c>
      <c r="I536" s="147">
        <f t="shared" si="60"/>
        <v>-17679</v>
      </c>
      <c r="J536" s="119">
        <f t="shared" si="61"/>
        <v>6527</v>
      </c>
      <c r="K536" s="109">
        <v>28798</v>
      </c>
      <c r="L536" s="110">
        <v>0.43799999999999994</v>
      </c>
      <c r="M536" s="109">
        <f t="shared" si="65"/>
        <v>3100</v>
      </c>
      <c r="N536" s="115"/>
      <c r="O536" s="111"/>
      <c r="P536" s="119">
        <f t="shared" si="57"/>
        <v>-1335.6</v>
      </c>
      <c r="Q536" s="119">
        <f t="shared" si="63"/>
        <v>-14683</v>
      </c>
      <c r="R536" s="147">
        <f t="shared" si="59"/>
        <v>-17873</v>
      </c>
      <c r="S536" s="119">
        <f t="shared" si="62"/>
        <v>1171</v>
      </c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</row>
    <row r="537" spans="1:38">
      <c r="A537" s="108">
        <v>43775</v>
      </c>
      <c r="B537" s="109">
        <v>180367</v>
      </c>
      <c r="C537" s="110">
        <v>0.80900000000000005</v>
      </c>
      <c r="D537" s="109">
        <f t="shared" si="64"/>
        <v>10500</v>
      </c>
      <c r="E537" s="115"/>
      <c r="F537" s="111"/>
      <c r="G537" s="119">
        <f t="shared" si="56"/>
        <v>5062.6000000000004</v>
      </c>
      <c r="H537" s="119">
        <f t="shared" si="58"/>
        <v>32743</v>
      </c>
      <c r="I537" s="147">
        <f t="shared" si="60"/>
        <v>2737</v>
      </c>
      <c r="J537" s="119">
        <f t="shared" si="61"/>
        <v>2757.4</v>
      </c>
      <c r="K537" s="109">
        <v>45047</v>
      </c>
      <c r="L537" s="110">
        <v>0.68500000000000005</v>
      </c>
      <c r="M537" s="109">
        <f t="shared" si="65"/>
        <v>3100</v>
      </c>
      <c r="N537" s="115"/>
      <c r="O537" s="111"/>
      <c r="P537" s="119">
        <f t="shared" si="57"/>
        <v>-4169.8</v>
      </c>
      <c r="Q537" s="119">
        <f t="shared" si="63"/>
        <v>16249</v>
      </c>
      <c r="R537" s="147">
        <f t="shared" si="59"/>
        <v>-1878</v>
      </c>
      <c r="S537" s="119">
        <f t="shared" si="62"/>
        <v>3270.2</v>
      </c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</row>
    <row r="538" spans="1:38">
      <c r="A538" s="108">
        <v>43782</v>
      </c>
      <c r="B538" s="109">
        <v>182923</v>
      </c>
      <c r="C538" s="110">
        <v>0.82</v>
      </c>
      <c r="D538" s="109">
        <f t="shared" si="64"/>
        <v>10525</v>
      </c>
      <c r="E538" s="115"/>
      <c r="F538" s="111"/>
      <c r="G538" s="119">
        <f t="shared" si="56"/>
        <v>30</v>
      </c>
      <c r="H538" s="119">
        <f t="shared" si="58"/>
        <v>2556</v>
      </c>
      <c r="I538" s="147">
        <f t="shared" si="60"/>
        <v>15871</v>
      </c>
      <c r="J538" s="119">
        <f t="shared" si="61"/>
        <v>7192.6</v>
      </c>
      <c r="K538" s="109">
        <v>27233</v>
      </c>
      <c r="L538" s="110">
        <v>0.41399999999999998</v>
      </c>
      <c r="M538" s="109">
        <f t="shared" si="65"/>
        <v>3100</v>
      </c>
      <c r="N538" s="115"/>
      <c r="O538" s="111"/>
      <c r="P538" s="119">
        <f t="shared" si="57"/>
        <v>7488.8</v>
      </c>
      <c r="Q538" s="119">
        <f t="shared" si="63"/>
        <v>-17814</v>
      </c>
      <c r="R538" s="147">
        <f t="shared" si="59"/>
        <v>-19923</v>
      </c>
      <c r="S538" s="119">
        <f t="shared" si="62"/>
        <v>1184.5999999999999</v>
      </c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</row>
    <row r="539" spans="1:38">
      <c r="A539" s="108">
        <v>43789</v>
      </c>
      <c r="B539" s="109">
        <v>206747</v>
      </c>
      <c r="C539" s="110">
        <v>0.92700000000000005</v>
      </c>
      <c r="D539" s="109">
        <f t="shared" si="64"/>
        <v>10525</v>
      </c>
      <c r="E539" s="115"/>
      <c r="F539" s="111"/>
      <c r="G539" s="119">
        <f t="shared" si="56"/>
        <v>2416.6</v>
      </c>
      <c r="H539" s="119">
        <f t="shared" si="58"/>
        <v>23824</v>
      </c>
      <c r="I539" s="147">
        <f t="shared" si="60"/>
        <v>23652</v>
      </c>
      <c r="J539" s="119">
        <f t="shared" si="61"/>
        <v>5409.6</v>
      </c>
      <c r="K539" s="109">
        <v>41647</v>
      </c>
      <c r="L539" s="110">
        <v>0.63300000000000001</v>
      </c>
      <c r="M539" s="109">
        <f t="shared" si="65"/>
        <v>3100</v>
      </c>
      <c r="N539" s="115"/>
      <c r="O539" s="111"/>
      <c r="P539" s="119">
        <f t="shared" si="57"/>
        <v>-2757.8</v>
      </c>
      <c r="Q539" s="119">
        <f t="shared" si="63"/>
        <v>14414</v>
      </c>
      <c r="R539" s="147">
        <f t="shared" si="59"/>
        <v>2989</v>
      </c>
      <c r="S539" s="119">
        <f t="shared" si="62"/>
        <v>153.80000000000001</v>
      </c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</row>
    <row r="540" spans="1:38">
      <c r="A540" s="108">
        <v>43796</v>
      </c>
      <c r="B540" s="109">
        <v>186527</v>
      </c>
      <c r="C540" s="110">
        <v>0.83700000000000008</v>
      </c>
      <c r="D540" s="109">
        <f t="shared" si="64"/>
        <v>10500</v>
      </c>
      <c r="E540" s="115"/>
      <c r="F540" s="111"/>
      <c r="G540" s="119">
        <f t="shared" si="56"/>
        <v>-1775.2</v>
      </c>
      <c r="H540" s="119">
        <f t="shared" si="58"/>
        <v>-20220</v>
      </c>
      <c r="I540" s="147">
        <f t="shared" si="60"/>
        <v>15805</v>
      </c>
      <c r="J540" s="119">
        <f t="shared" si="61"/>
        <v>6994.6</v>
      </c>
      <c r="K540" s="109">
        <v>44528</v>
      </c>
      <c r="L540" s="110">
        <v>0.67700000000000005</v>
      </c>
      <c r="M540" s="109">
        <f t="shared" si="65"/>
        <v>3100</v>
      </c>
      <c r="N540" s="115"/>
      <c r="O540" s="111"/>
      <c r="P540" s="119">
        <f t="shared" si="57"/>
        <v>2429.1999999999998</v>
      </c>
      <c r="Q540" s="119">
        <f t="shared" si="63"/>
        <v>2881</v>
      </c>
      <c r="R540" s="147">
        <f t="shared" si="59"/>
        <v>-497</v>
      </c>
      <c r="S540" s="119">
        <f t="shared" si="62"/>
        <v>-921.4</v>
      </c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</row>
    <row r="541" spans="1:38">
      <c r="A541" s="108">
        <v>43803</v>
      </c>
      <c r="B541" s="109">
        <v>191188</v>
      </c>
      <c r="C541" s="110">
        <v>0.85699999999999998</v>
      </c>
      <c r="D541" s="109">
        <f t="shared" si="64"/>
        <v>10525</v>
      </c>
      <c r="E541" s="115"/>
      <c r="F541" s="111"/>
      <c r="G541" s="119">
        <f t="shared" ref="G541:G604" si="66">AVERAGE(B489-B488,B437-B436,B385-B384,B333-B332,B281-B280)</f>
        <v>14117.8</v>
      </c>
      <c r="H541" s="119">
        <f t="shared" si="58"/>
        <v>4661</v>
      </c>
      <c r="I541" s="147">
        <f t="shared" si="60"/>
        <v>-9546</v>
      </c>
      <c r="J541" s="119">
        <f t="shared" si="61"/>
        <v>6171.4</v>
      </c>
      <c r="K541" s="109">
        <v>25239</v>
      </c>
      <c r="L541" s="110">
        <v>0.38400000000000001</v>
      </c>
      <c r="M541" s="109">
        <f t="shared" si="65"/>
        <v>3100</v>
      </c>
      <c r="N541" s="115"/>
      <c r="O541" s="111"/>
      <c r="P541" s="119">
        <f t="shared" si="57"/>
        <v>-8766.2000000000007</v>
      </c>
      <c r="Q541" s="119">
        <f t="shared" si="63"/>
        <v>-19289</v>
      </c>
      <c r="R541" s="147">
        <f t="shared" si="59"/>
        <v>-29613</v>
      </c>
      <c r="S541" s="119">
        <f t="shared" si="62"/>
        <v>2072.6</v>
      </c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</row>
    <row r="542" spans="1:38">
      <c r="A542" s="108">
        <v>43810</v>
      </c>
      <c r="B542" s="109">
        <v>191156</v>
      </c>
      <c r="C542" s="110">
        <v>0.85699999999999998</v>
      </c>
      <c r="D542" s="109">
        <f t="shared" si="64"/>
        <v>10525</v>
      </c>
      <c r="E542" s="115"/>
      <c r="F542" s="111"/>
      <c r="G542" s="119">
        <f t="shared" si="66"/>
        <v>-17788.8</v>
      </c>
      <c r="H542" s="119">
        <f t="shared" si="58"/>
        <v>-32</v>
      </c>
      <c r="I542" s="147">
        <f t="shared" si="60"/>
        <v>11631</v>
      </c>
      <c r="J542" s="119">
        <f t="shared" si="61"/>
        <v>9940.7999999999993</v>
      </c>
      <c r="K542" s="109">
        <v>30679</v>
      </c>
      <c r="L542" s="110">
        <v>0.46600000000000003</v>
      </c>
      <c r="M542" s="109">
        <f t="shared" si="65"/>
        <v>3100</v>
      </c>
      <c r="N542" s="115"/>
      <c r="O542" s="111"/>
      <c r="P542" s="119">
        <f t="shared" ref="P542:P605" si="67">AVERAGE(K490-K489,K438-K437,K386-K385,K334-K333,K282-K281)</f>
        <v>7373.2</v>
      </c>
      <c r="Q542" s="119">
        <f t="shared" si="63"/>
        <v>5440</v>
      </c>
      <c r="R542" s="147">
        <f t="shared" si="59"/>
        <v>-19860</v>
      </c>
      <c r="S542" s="119">
        <f t="shared" si="62"/>
        <v>5133</v>
      </c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</row>
    <row r="543" spans="1:38">
      <c r="A543" s="108">
        <v>43817</v>
      </c>
      <c r="B543" s="109">
        <v>201531</v>
      </c>
      <c r="C543" s="110">
        <v>0.90400000000000003</v>
      </c>
      <c r="D543" s="109">
        <f t="shared" si="64"/>
        <v>10500</v>
      </c>
      <c r="E543" s="115"/>
      <c r="F543" s="111"/>
      <c r="G543" s="119">
        <f t="shared" si="66"/>
        <v>12928</v>
      </c>
      <c r="H543" s="119">
        <f t="shared" si="58"/>
        <v>10375</v>
      </c>
      <c r="I543" s="147">
        <f t="shared" si="60"/>
        <v>646</v>
      </c>
      <c r="J543" s="119">
        <f t="shared" si="61"/>
        <v>8452.6</v>
      </c>
      <c r="K543" s="109">
        <v>46941</v>
      </c>
      <c r="L543" s="110">
        <v>0.71299999999999997</v>
      </c>
      <c r="M543" s="109">
        <f t="shared" si="65"/>
        <v>3100</v>
      </c>
      <c r="N543" s="115"/>
      <c r="O543" s="111"/>
      <c r="P543" s="119">
        <f t="shared" si="67"/>
        <v>-1998.2</v>
      </c>
      <c r="Q543" s="119">
        <f t="shared" si="63"/>
        <v>16262</v>
      </c>
      <c r="R543" s="147">
        <f t="shared" si="59"/>
        <v>10613</v>
      </c>
      <c r="S543" s="119">
        <f t="shared" si="62"/>
        <v>3115.2</v>
      </c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</row>
    <row r="544" spans="1:38">
      <c r="A544" s="108">
        <v>43824</v>
      </c>
      <c r="B544" s="109">
        <v>181380</v>
      </c>
      <c r="C544" s="112" t="e">
        <v>#N/A</v>
      </c>
      <c r="D544" s="109">
        <v>10500</v>
      </c>
      <c r="E544" s="115"/>
      <c r="F544" s="111"/>
      <c r="G544" s="119">
        <f t="shared" si="66"/>
        <v>-9287.6</v>
      </c>
      <c r="H544" s="119">
        <f t="shared" si="58"/>
        <v>-20151</v>
      </c>
      <c r="I544" s="147">
        <f t="shared" si="60"/>
        <v>4294</v>
      </c>
      <c r="J544" s="119">
        <f t="shared" si="61"/>
        <v>13473.2</v>
      </c>
      <c r="K544" s="109">
        <v>31666</v>
      </c>
      <c r="L544" s="110">
        <v>0.48100000000000004</v>
      </c>
      <c r="M544" s="109">
        <f t="shared" si="65"/>
        <v>3100</v>
      </c>
      <c r="N544" s="115"/>
      <c r="O544" s="111"/>
      <c r="P544" s="119">
        <f t="shared" si="67"/>
        <v>2532.6</v>
      </c>
      <c r="Q544" s="119">
        <f t="shared" si="63"/>
        <v>-15275</v>
      </c>
      <c r="R544" s="147">
        <f t="shared" si="59"/>
        <v>-19493</v>
      </c>
      <c r="S544" s="119">
        <f t="shared" si="62"/>
        <v>678.6</v>
      </c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</row>
    <row r="545" spans="1:38">
      <c r="A545" s="108">
        <v>43831</v>
      </c>
      <c r="B545" s="109">
        <v>195143</v>
      </c>
      <c r="C545" s="110">
        <v>0.875</v>
      </c>
      <c r="D545" s="109">
        <f t="shared" si="64"/>
        <v>10525</v>
      </c>
      <c r="E545" s="115"/>
      <c r="F545" s="111"/>
      <c r="G545" s="119">
        <f t="shared" si="66"/>
        <v>-14430.8</v>
      </c>
      <c r="H545" s="119">
        <f t="shared" si="58"/>
        <v>13763</v>
      </c>
      <c r="I545" s="147">
        <f t="shared" si="60"/>
        <v>6263</v>
      </c>
      <c r="J545" s="119">
        <f t="shared" si="61"/>
        <v>8626</v>
      </c>
      <c r="K545" s="109">
        <v>46451</v>
      </c>
      <c r="L545" s="110">
        <v>0.70599999999999996</v>
      </c>
      <c r="M545" s="109">
        <f t="shared" si="65"/>
        <v>3100</v>
      </c>
      <c r="N545" s="115"/>
      <c r="O545" s="111"/>
      <c r="P545" s="119">
        <f t="shared" si="67"/>
        <v>-8448.7999999999993</v>
      </c>
      <c r="Q545" s="119">
        <f t="shared" si="63"/>
        <v>14785</v>
      </c>
      <c r="R545" s="147">
        <f t="shared" si="59"/>
        <v>-1723</v>
      </c>
      <c r="S545" s="119">
        <f t="shared" si="62"/>
        <v>4631.6000000000004</v>
      </c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</row>
    <row r="546" spans="1:38">
      <c r="A546" s="108">
        <v>43838</v>
      </c>
      <c r="B546" s="109">
        <v>176613</v>
      </c>
      <c r="C546" s="110">
        <v>0.79200000000000004</v>
      </c>
      <c r="D546" s="109">
        <f t="shared" si="64"/>
        <v>10525</v>
      </c>
      <c r="E546" s="115"/>
      <c r="F546" s="111"/>
      <c r="G546" s="119">
        <f t="shared" si="66"/>
        <v>-13587</v>
      </c>
      <c r="H546" s="119">
        <f t="shared" si="58"/>
        <v>-18530</v>
      </c>
      <c r="I546" s="147">
        <f t="shared" si="60"/>
        <v>45414</v>
      </c>
      <c r="J546" s="119">
        <f t="shared" si="61"/>
        <v>10664.8</v>
      </c>
      <c r="K546" s="109">
        <v>30653</v>
      </c>
      <c r="L546" s="110">
        <v>0.46600000000000003</v>
      </c>
      <c r="M546" s="109">
        <f t="shared" si="65"/>
        <v>3100</v>
      </c>
      <c r="N546" s="115"/>
      <c r="O546" s="111"/>
      <c r="P546" s="119">
        <f t="shared" si="67"/>
        <v>1180.4000000000001</v>
      </c>
      <c r="Q546" s="119">
        <f t="shared" si="63"/>
        <v>-15798</v>
      </c>
      <c r="R546" s="147">
        <f t="shared" si="59"/>
        <v>-918</v>
      </c>
      <c r="S546" s="119">
        <f t="shared" si="62"/>
        <v>3370.6</v>
      </c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</row>
    <row r="547" spans="1:38">
      <c r="A547" s="108">
        <v>43845</v>
      </c>
      <c r="B547" s="109">
        <v>198293</v>
      </c>
      <c r="C547" s="110">
        <v>0.88900000000000001</v>
      </c>
      <c r="D547" s="109">
        <f t="shared" si="64"/>
        <v>10525</v>
      </c>
      <c r="E547" s="115"/>
      <c r="F547" s="111"/>
      <c r="G547" s="119">
        <f t="shared" si="66"/>
        <v>18394.599999999999</v>
      </c>
      <c r="H547" s="119">
        <f t="shared" si="58"/>
        <v>21680</v>
      </c>
      <c r="I547" s="147">
        <f t="shared" si="60"/>
        <v>42767</v>
      </c>
      <c r="J547" s="119">
        <f t="shared" si="61"/>
        <v>217.8</v>
      </c>
      <c r="K547" s="109">
        <v>44258</v>
      </c>
      <c r="L547" s="110">
        <v>0.67299999999999993</v>
      </c>
      <c r="M547" s="109">
        <f t="shared" si="65"/>
        <v>3100</v>
      </c>
      <c r="N547" s="115"/>
      <c r="O547" s="111"/>
      <c r="P547" s="119">
        <f t="shared" si="67"/>
        <v>-792</v>
      </c>
      <c r="Q547" s="119">
        <f t="shared" si="63"/>
        <v>13605</v>
      </c>
      <c r="R547" s="147">
        <f t="shared" si="59"/>
        <v>-5889</v>
      </c>
      <c r="S547" s="119">
        <f t="shared" si="62"/>
        <v>-1534.8</v>
      </c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</row>
    <row r="548" spans="1:38">
      <c r="A548" s="108">
        <v>43852</v>
      </c>
      <c r="B548" s="109">
        <v>198860</v>
      </c>
      <c r="C548" s="110">
        <v>0.89200000000000002</v>
      </c>
      <c r="D548" s="109">
        <f t="shared" si="64"/>
        <v>10500</v>
      </c>
      <c r="E548" s="115"/>
      <c r="F548" s="111"/>
      <c r="G548" s="119">
        <f t="shared" si="66"/>
        <v>4404.3999999999996</v>
      </c>
      <c r="H548" s="119">
        <f t="shared" si="58"/>
        <v>567</v>
      </c>
      <c r="I548" s="147">
        <f t="shared" si="60"/>
        <v>17379</v>
      </c>
      <c r="J548" s="119">
        <f t="shared" si="61"/>
        <v>2138</v>
      </c>
      <c r="K548" s="109">
        <v>33703</v>
      </c>
      <c r="L548" s="110">
        <v>0.51200000000000001</v>
      </c>
      <c r="M548" s="109">
        <f t="shared" si="65"/>
        <v>3100</v>
      </c>
      <c r="N548" s="115"/>
      <c r="O548" s="111"/>
      <c r="P548" s="119">
        <f t="shared" si="67"/>
        <v>4347.2</v>
      </c>
      <c r="Q548" s="119">
        <f t="shared" si="63"/>
        <v>-10555</v>
      </c>
      <c r="R548" s="147">
        <f t="shared" si="59"/>
        <v>-13528</v>
      </c>
      <c r="S548" s="119">
        <f t="shared" si="62"/>
        <v>4897.6000000000004</v>
      </c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</row>
    <row r="549" spans="1:38">
      <c r="A549" s="108">
        <v>43859</v>
      </c>
      <c r="B549" s="109">
        <v>162862</v>
      </c>
      <c r="C549" s="110">
        <v>0.73</v>
      </c>
      <c r="D549" s="109">
        <f t="shared" si="64"/>
        <v>10525</v>
      </c>
      <c r="E549" s="115"/>
      <c r="F549" s="111"/>
      <c r="G549" s="119">
        <f t="shared" si="66"/>
        <v>4335.2</v>
      </c>
      <c r="H549" s="119">
        <f t="shared" si="58"/>
        <v>-35998</v>
      </c>
      <c r="I549" s="147">
        <f t="shared" si="60"/>
        <v>-4327</v>
      </c>
      <c r="J549" s="119">
        <f t="shared" si="61"/>
        <v>8947.4</v>
      </c>
      <c r="K549" s="109">
        <v>40084</v>
      </c>
      <c r="L549" s="110">
        <v>0.60899999999999999</v>
      </c>
      <c r="M549" s="109">
        <f t="shared" si="65"/>
        <v>3100</v>
      </c>
      <c r="N549" s="115"/>
      <c r="O549" s="111"/>
      <c r="P549" s="119">
        <f t="shared" si="67"/>
        <v>-4086.6</v>
      </c>
      <c r="Q549" s="119">
        <f t="shared" si="63"/>
        <v>6381</v>
      </c>
      <c r="R549" s="147">
        <f t="shared" si="59"/>
        <v>11058</v>
      </c>
      <c r="S549" s="119">
        <f t="shared" si="62"/>
        <v>4728.6000000000004</v>
      </c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</row>
    <row r="550" spans="1:38">
      <c r="A550" s="108">
        <v>43866</v>
      </c>
      <c r="B550" s="109">
        <v>151190</v>
      </c>
      <c r="C550" s="110">
        <v>0.67799999999999994</v>
      </c>
      <c r="D550" s="109">
        <f t="shared" si="64"/>
        <v>10525</v>
      </c>
      <c r="E550" s="115"/>
      <c r="F550" s="111"/>
      <c r="G550" s="119">
        <f t="shared" si="66"/>
        <v>724.4</v>
      </c>
      <c r="H550" s="119">
        <f t="shared" si="58"/>
        <v>-11672</v>
      </c>
      <c r="I550" s="147">
        <f t="shared" si="60"/>
        <v>-15602</v>
      </c>
      <c r="J550" s="119">
        <f t="shared" si="61"/>
        <v>6208.4</v>
      </c>
      <c r="K550" s="109">
        <v>33125</v>
      </c>
      <c r="L550" s="110">
        <v>0.503</v>
      </c>
      <c r="M550" s="109">
        <f t="shared" si="65"/>
        <v>3100</v>
      </c>
      <c r="N550" s="115"/>
      <c r="O550" s="111"/>
      <c r="P550" s="119">
        <f t="shared" si="67"/>
        <v>8842.4</v>
      </c>
      <c r="Q550" s="119">
        <f t="shared" si="63"/>
        <v>-6959</v>
      </c>
      <c r="R550" s="147">
        <f t="shared" si="59"/>
        <v>-14620</v>
      </c>
      <c r="S550" s="119">
        <f t="shared" si="62"/>
        <v>-2464.8000000000002</v>
      </c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</row>
    <row r="551" spans="1:38">
      <c r="A551" s="108">
        <v>43873</v>
      </c>
      <c r="B551" s="109">
        <v>182346</v>
      </c>
      <c r="C551" s="110">
        <v>0.81799999999999995</v>
      </c>
      <c r="D551" s="109">
        <f t="shared" si="64"/>
        <v>10500</v>
      </c>
      <c r="E551" s="115"/>
      <c r="F551" s="111"/>
      <c r="G551" s="119">
        <f t="shared" si="66"/>
        <v>-3540.6</v>
      </c>
      <c r="H551" s="119">
        <f t="shared" si="58"/>
        <v>31156</v>
      </c>
      <c r="I551" s="147">
        <f t="shared" si="60"/>
        <v>39206</v>
      </c>
      <c r="J551" s="119">
        <f t="shared" si="61"/>
        <v>7310.8</v>
      </c>
      <c r="K551" s="109">
        <v>36783</v>
      </c>
      <c r="L551" s="110">
        <v>0.55899999999999994</v>
      </c>
      <c r="M551" s="109">
        <f t="shared" si="65"/>
        <v>3100</v>
      </c>
      <c r="N551" s="115"/>
      <c r="O551" s="111"/>
      <c r="P551" s="119">
        <f t="shared" si="67"/>
        <v>-11595.4</v>
      </c>
      <c r="Q551" s="119">
        <f t="shared" si="63"/>
        <v>3658</v>
      </c>
      <c r="R551" s="147">
        <f t="shared" si="59"/>
        <v>-6943</v>
      </c>
      <c r="S551" s="119">
        <f t="shared" si="62"/>
        <v>1840.4</v>
      </c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</row>
    <row r="552" spans="1:38">
      <c r="A552" s="108">
        <v>43880</v>
      </c>
      <c r="B552" s="109">
        <v>194204</v>
      </c>
      <c r="C552" s="110">
        <v>0.871</v>
      </c>
      <c r="D552" s="109">
        <f t="shared" si="64"/>
        <v>10500</v>
      </c>
      <c r="E552" s="115"/>
      <c r="F552" s="111"/>
      <c r="G552" s="119">
        <f t="shared" si="66"/>
        <v>12962.2</v>
      </c>
      <c r="H552" s="119">
        <f t="shared" si="58"/>
        <v>11858</v>
      </c>
      <c r="I552" s="147">
        <f t="shared" si="60"/>
        <v>24206</v>
      </c>
      <c r="J552" s="119">
        <f t="shared" si="61"/>
        <v>2128.1999999999998</v>
      </c>
      <c r="K552" s="109">
        <v>29334</v>
      </c>
      <c r="L552" s="110">
        <v>0.44600000000000001</v>
      </c>
      <c r="M552" s="109">
        <f t="shared" si="65"/>
        <v>3100</v>
      </c>
      <c r="N552" s="115"/>
      <c r="O552" s="111"/>
      <c r="P552" s="119">
        <f t="shared" si="67"/>
        <v>-4693.8</v>
      </c>
      <c r="Q552" s="119">
        <f t="shared" si="63"/>
        <v>-7449</v>
      </c>
      <c r="R552" s="147">
        <f t="shared" si="59"/>
        <v>-4895</v>
      </c>
      <c r="S552" s="119">
        <f t="shared" si="62"/>
        <v>1836.8</v>
      </c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</row>
    <row r="553" spans="1:38">
      <c r="A553" s="108">
        <v>43887</v>
      </c>
      <c r="B553" s="109">
        <v>203251</v>
      </c>
      <c r="C553" s="110">
        <v>0.91200000000000003</v>
      </c>
      <c r="D553" s="109">
        <f t="shared" si="64"/>
        <v>10500</v>
      </c>
      <c r="E553" s="115"/>
      <c r="F553" s="111"/>
      <c r="G553" s="119">
        <f t="shared" si="66"/>
        <v>-3040.6</v>
      </c>
      <c r="H553" s="119">
        <f t="shared" si="58"/>
        <v>9047</v>
      </c>
      <c r="I553" s="147">
        <f t="shared" si="60"/>
        <v>32472</v>
      </c>
      <c r="J553" s="119">
        <f t="shared" si="61"/>
        <v>5841.2</v>
      </c>
      <c r="K553" s="109">
        <v>40111</v>
      </c>
      <c r="L553" s="110">
        <v>0.61</v>
      </c>
      <c r="M553" s="109">
        <f t="shared" si="65"/>
        <v>3100</v>
      </c>
      <c r="N553" s="115"/>
      <c r="O553" s="111"/>
      <c r="P553" s="119">
        <f t="shared" si="67"/>
        <v>6518</v>
      </c>
      <c r="Q553" s="119">
        <f t="shared" si="63"/>
        <v>10777</v>
      </c>
      <c r="R553" s="147">
        <f t="shared" si="59"/>
        <v>-7079</v>
      </c>
      <c r="S553" s="119">
        <f t="shared" si="62"/>
        <v>1525</v>
      </c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</row>
    <row r="554" spans="1:38">
      <c r="A554" s="108">
        <v>43894</v>
      </c>
      <c r="B554" s="109">
        <v>198512</v>
      </c>
      <c r="C554" s="110">
        <v>0.89</v>
      </c>
      <c r="D554" s="109">
        <f t="shared" si="64"/>
        <v>10525</v>
      </c>
      <c r="E554" s="115">
        <v>881384</v>
      </c>
      <c r="F554" s="111" t="s">
        <v>272</v>
      </c>
      <c r="G554" s="119">
        <f t="shared" si="66"/>
        <v>-3191.6</v>
      </c>
      <c r="H554" s="119">
        <f t="shared" si="58"/>
        <v>-4739</v>
      </c>
      <c r="I554" s="147">
        <f t="shared" si="60"/>
        <v>18775</v>
      </c>
      <c r="J554" s="119">
        <f t="shared" si="61"/>
        <v>7936.8</v>
      </c>
      <c r="K554" s="109">
        <v>29609</v>
      </c>
      <c r="L554" s="110">
        <v>0.45</v>
      </c>
      <c r="M554" s="109">
        <f t="shared" si="65"/>
        <v>3100</v>
      </c>
      <c r="N554" s="115">
        <v>150539</v>
      </c>
      <c r="O554" s="111" t="s">
        <v>272</v>
      </c>
      <c r="P554" s="119">
        <f t="shared" si="67"/>
        <v>5586.6</v>
      </c>
      <c r="Q554" s="119">
        <f t="shared" si="63"/>
        <v>-10502</v>
      </c>
      <c r="R554" s="147">
        <f t="shared" si="59"/>
        <v>-16784</v>
      </c>
      <c r="S554" s="119">
        <f t="shared" si="62"/>
        <v>1245</v>
      </c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</row>
    <row r="555" spans="1:38">
      <c r="A555" s="108">
        <v>43901</v>
      </c>
      <c r="B555" s="109">
        <v>197668</v>
      </c>
      <c r="C555" s="110">
        <v>0.8859999999999999</v>
      </c>
      <c r="D555" s="109">
        <f t="shared" si="64"/>
        <v>10525</v>
      </c>
      <c r="E555" s="115">
        <f>SUM(B554/7*6,B555,B556,B557,B558/7*4)</f>
        <v>881648.85714285716</v>
      </c>
      <c r="F555" s="111" t="s">
        <v>273</v>
      </c>
      <c r="G555" s="119">
        <f t="shared" si="66"/>
        <v>12178.2</v>
      </c>
      <c r="H555" s="119">
        <f t="shared" si="58"/>
        <v>-844</v>
      </c>
      <c r="I555" s="147">
        <f t="shared" si="60"/>
        <v>39127</v>
      </c>
      <c r="J555" s="119">
        <f t="shared" si="61"/>
        <v>8720.2000000000007</v>
      </c>
      <c r="K555" s="109">
        <v>38956</v>
      </c>
      <c r="L555" s="110">
        <v>0.59200000000000008</v>
      </c>
      <c r="M555" s="109">
        <f t="shared" si="65"/>
        <v>3100</v>
      </c>
      <c r="N555" s="115">
        <f>SUM(K554/7*6,K555,K556,K557,K558/7*4)</f>
        <v>159420.99999999997</v>
      </c>
      <c r="O555" s="111" t="s">
        <v>273</v>
      </c>
      <c r="P555" s="119">
        <f t="shared" si="67"/>
        <v>-13026.6</v>
      </c>
      <c r="Q555" s="119">
        <f t="shared" si="63"/>
        <v>9347</v>
      </c>
      <c r="R555" s="147">
        <f t="shared" si="59"/>
        <v>2246</v>
      </c>
      <c r="S555" s="119">
        <f t="shared" si="62"/>
        <v>2389.1999999999998</v>
      </c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</row>
    <row r="556" spans="1:38">
      <c r="A556" s="108">
        <v>43908</v>
      </c>
      <c r="B556" s="109">
        <v>204724</v>
      </c>
      <c r="C556" s="110">
        <v>0.91500000000000004</v>
      </c>
      <c r="D556" s="109">
        <f t="shared" si="64"/>
        <v>10550</v>
      </c>
      <c r="E556" s="115">
        <f>SUM(B554:B558)/35*31</f>
        <v>884266.14285714284</v>
      </c>
      <c r="F556" s="111" t="s">
        <v>274</v>
      </c>
      <c r="G556" s="119">
        <f t="shared" si="66"/>
        <v>-3029</v>
      </c>
      <c r="H556" s="119">
        <f t="shared" si="58"/>
        <v>7056</v>
      </c>
      <c r="I556" s="147">
        <f t="shared" si="60"/>
        <v>10339</v>
      </c>
      <c r="J556" s="119">
        <f t="shared" si="61"/>
        <v>3522.2</v>
      </c>
      <c r="K556" s="109">
        <v>33598</v>
      </c>
      <c r="L556" s="110">
        <v>0.51100000000000001</v>
      </c>
      <c r="M556" s="109">
        <f t="shared" si="65"/>
        <v>3100</v>
      </c>
      <c r="N556" s="115">
        <f>SUM(K554:K558)/35*31</f>
        <v>157696.11428571428</v>
      </c>
      <c r="O556" s="111" t="s">
        <v>274</v>
      </c>
      <c r="P556" s="119">
        <f t="shared" si="67"/>
        <v>1319.4</v>
      </c>
      <c r="Q556" s="119">
        <f t="shared" si="63"/>
        <v>-5358</v>
      </c>
      <c r="R556" s="147">
        <f t="shared" si="59"/>
        <v>2203</v>
      </c>
      <c r="S556" s="119">
        <f t="shared" si="62"/>
        <v>2017.6</v>
      </c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</row>
    <row r="557" spans="1:38">
      <c r="A557" s="108">
        <v>43915</v>
      </c>
      <c r="B557" s="109">
        <v>191294</v>
      </c>
      <c r="C557" s="110">
        <v>0.85499999999999998</v>
      </c>
      <c r="D557" s="109">
        <f t="shared" si="64"/>
        <v>10550</v>
      </c>
      <c r="E557" s="116">
        <f>E554-AVERAGE(E555:E556)</f>
        <v>-1573.5</v>
      </c>
      <c r="F557" s="116" t="s">
        <v>275</v>
      </c>
      <c r="G557" s="119">
        <f t="shared" si="66"/>
        <v>-7644.2</v>
      </c>
      <c r="H557" s="119">
        <f t="shared" si="58"/>
        <v>-13430</v>
      </c>
      <c r="I557" s="147">
        <f t="shared" si="60"/>
        <v>19019</v>
      </c>
      <c r="J557" s="119">
        <f t="shared" si="61"/>
        <v>10487.8</v>
      </c>
      <c r="K557" s="109">
        <v>42297</v>
      </c>
      <c r="L557" s="110">
        <v>0.64300000000000002</v>
      </c>
      <c r="M557" s="109">
        <f t="shared" si="65"/>
        <v>3100</v>
      </c>
      <c r="N557" s="116">
        <f>N554-AVERAGE(N555:N556)</f>
        <v>-8019.5571428571129</v>
      </c>
      <c r="O557" s="116" t="s">
        <v>275</v>
      </c>
      <c r="P557" s="119">
        <f t="shared" si="67"/>
        <v>8949.2000000000007</v>
      </c>
      <c r="Q557" s="119">
        <f t="shared" si="63"/>
        <v>8699</v>
      </c>
      <c r="R557" s="147">
        <f t="shared" si="59"/>
        <v>-2301</v>
      </c>
      <c r="S557" s="119">
        <f t="shared" si="62"/>
        <v>660.2</v>
      </c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</row>
    <row r="558" spans="1:38">
      <c r="A558" s="108">
        <v>43922</v>
      </c>
      <c r="B558" s="109">
        <v>206167</v>
      </c>
      <c r="C558" s="110">
        <v>0.92200000000000004</v>
      </c>
      <c r="D558" s="109">
        <f t="shared" si="64"/>
        <v>10550</v>
      </c>
      <c r="E558" s="115">
        <v>845459</v>
      </c>
      <c r="F558" s="111" t="s">
        <v>276</v>
      </c>
      <c r="G558" s="119">
        <f t="shared" si="66"/>
        <v>-945.6</v>
      </c>
      <c r="H558" s="119">
        <f t="shared" si="58"/>
        <v>14873</v>
      </c>
      <c r="I558" s="147">
        <f t="shared" si="60"/>
        <v>18806</v>
      </c>
      <c r="J558" s="119">
        <f t="shared" si="61"/>
        <v>6477.4</v>
      </c>
      <c r="K558" s="109">
        <v>33584</v>
      </c>
      <c r="L558" s="110">
        <v>0.51</v>
      </c>
      <c r="M558" s="109">
        <f t="shared" si="65"/>
        <v>3100</v>
      </c>
      <c r="N558" s="115">
        <v>162400</v>
      </c>
      <c r="O558" s="111" t="s">
        <v>276</v>
      </c>
      <c r="P558" s="119">
        <f t="shared" si="67"/>
        <v>8151.2</v>
      </c>
      <c r="Q558" s="119">
        <f t="shared" si="63"/>
        <v>-8713</v>
      </c>
      <c r="R558" s="147">
        <f t="shared" si="59"/>
        <v>-8945</v>
      </c>
      <c r="S558" s="119">
        <f t="shared" si="62"/>
        <v>3195.6</v>
      </c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</row>
    <row r="559" spans="1:38">
      <c r="A559" s="108">
        <v>43929</v>
      </c>
      <c r="B559" s="109">
        <v>179089</v>
      </c>
      <c r="C559" s="110">
        <v>0.80099999999999993</v>
      </c>
      <c r="D559" s="109">
        <f t="shared" si="64"/>
        <v>10550</v>
      </c>
      <c r="E559" s="115">
        <f>SUM(B558/7*3,B559,B560,B561,B562/7*6)</f>
        <v>842842.85714285704</v>
      </c>
      <c r="F559" s="111" t="s">
        <v>277</v>
      </c>
      <c r="G559" s="119">
        <f t="shared" si="66"/>
        <v>3649.8</v>
      </c>
      <c r="H559" s="119">
        <f t="shared" si="58"/>
        <v>-27078</v>
      </c>
      <c r="I559" s="147">
        <f t="shared" si="60"/>
        <v>-15463</v>
      </c>
      <c r="J559" s="119">
        <f t="shared" si="61"/>
        <v>10255</v>
      </c>
      <c r="K559" s="109">
        <v>35103</v>
      </c>
      <c r="L559" s="110">
        <v>0.53299999999999992</v>
      </c>
      <c r="M559" s="109">
        <f t="shared" si="65"/>
        <v>3100</v>
      </c>
      <c r="N559" s="115">
        <f>SUM(K558/7*3,K559,K560,K561,K562/7*6)</f>
        <v>162695.14285714284</v>
      </c>
      <c r="O559" s="111" t="s">
        <v>277</v>
      </c>
      <c r="P559" s="119">
        <f t="shared" si="67"/>
        <v>-14147.2</v>
      </c>
      <c r="Q559" s="119">
        <f t="shared" si="63"/>
        <v>1519</v>
      </c>
      <c r="R559" s="147">
        <f t="shared" si="59"/>
        <v>4170</v>
      </c>
      <c r="S559" s="119">
        <f t="shared" si="62"/>
        <v>2579</v>
      </c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</row>
    <row r="560" spans="1:38">
      <c r="A560" s="108">
        <v>43936</v>
      </c>
      <c r="B560" s="109">
        <v>190182</v>
      </c>
      <c r="C560" s="110">
        <v>0.85</v>
      </c>
      <c r="D560" s="109">
        <f t="shared" si="64"/>
        <v>10550</v>
      </c>
      <c r="E560" s="115">
        <f>SUM(B558:B562)/35*30</f>
        <v>848409.42857142852</v>
      </c>
      <c r="F560" s="111" t="s">
        <v>278</v>
      </c>
      <c r="G560" s="119">
        <f t="shared" si="66"/>
        <v>6733.4</v>
      </c>
      <c r="H560" s="119">
        <f t="shared" si="58"/>
        <v>11093</v>
      </c>
      <c r="I560" s="147">
        <f t="shared" si="60"/>
        <v>-840</v>
      </c>
      <c r="J560" s="119">
        <f t="shared" si="61"/>
        <v>11960.6</v>
      </c>
      <c r="K560" s="109">
        <v>45158</v>
      </c>
      <c r="L560" s="110">
        <v>0.68599999999999994</v>
      </c>
      <c r="M560" s="109">
        <f t="shared" si="65"/>
        <v>3100</v>
      </c>
      <c r="N560" s="115">
        <f>SUM(K558:K562)/35*30</f>
        <v>161431.71428571429</v>
      </c>
      <c r="O560" s="111" t="s">
        <v>278</v>
      </c>
      <c r="P560" s="119">
        <f t="shared" si="67"/>
        <v>6141.6</v>
      </c>
      <c r="Q560" s="119">
        <f t="shared" si="63"/>
        <v>10055</v>
      </c>
      <c r="R560" s="147">
        <f t="shared" si="59"/>
        <v>-3273</v>
      </c>
      <c r="S560" s="119">
        <f t="shared" si="62"/>
        <v>-689.8</v>
      </c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</row>
    <row r="561" spans="1:38">
      <c r="A561" s="108">
        <v>43943</v>
      </c>
      <c r="B561" s="109">
        <v>210264</v>
      </c>
      <c r="C561" s="110">
        <v>0.94</v>
      </c>
      <c r="D561" s="109">
        <f t="shared" si="64"/>
        <v>10550</v>
      </c>
      <c r="E561" s="116">
        <f>E558-AVERAGE(E559:E560)</f>
        <v>-167.1428571427241</v>
      </c>
      <c r="F561" s="116" t="s">
        <v>275</v>
      </c>
      <c r="G561" s="119">
        <f t="shared" si="66"/>
        <v>-13839.2</v>
      </c>
      <c r="H561" s="119">
        <f t="shared" si="58"/>
        <v>20082</v>
      </c>
      <c r="I561" s="147">
        <f t="shared" si="60"/>
        <v>17736</v>
      </c>
      <c r="J561" s="119">
        <f t="shared" si="61"/>
        <v>11351.8</v>
      </c>
      <c r="K561" s="109">
        <v>29335</v>
      </c>
      <c r="L561" s="110">
        <v>0.44600000000000001</v>
      </c>
      <c r="M561" s="109">
        <f t="shared" si="65"/>
        <v>3100</v>
      </c>
      <c r="N561" s="116">
        <f>N558-AVERAGE(N559:N560)</f>
        <v>336.57142857142026</v>
      </c>
      <c r="O561" s="116" t="s">
        <v>275</v>
      </c>
      <c r="P561" s="119">
        <f t="shared" si="67"/>
        <v>-2625</v>
      </c>
      <c r="Q561" s="119">
        <f t="shared" si="63"/>
        <v>-15823</v>
      </c>
      <c r="R561" s="147">
        <f t="shared" si="59"/>
        <v>-6149</v>
      </c>
      <c r="S561" s="119">
        <f t="shared" si="62"/>
        <v>4941.6000000000004</v>
      </c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</row>
    <row r="562" spans="1:38">
      <c r="A562" s="108">
        <v>43950</v>
      </c>
      <c r="B562" s="109">
        <v>204109</v>
      </c>
      <c r="C562" s="110">
        <v>0.90400000000000003</v>
      </c>
      <c r="D562" s="109">
        <f t="shared" si="64"/>
        <v>10650</v>
      </c>
      <c r="E562" s="115">
        <v>855008</v>
      </c>
      <c r="F562" s="111" t="s">
        <v>279</v>
      </c>
      <c r="G562" s="119">
        <f t="shared" si="66"/>
        <v>-10531.2</v>
      </c>
      <c r="H562" s="119">
        <f t="shared" si="58"/>
        <v>-6155</v>
      </c>
      <c r="I562" s="147">
        <f t="shared" si="60"/>
        <v>24570</v>
      </c>
      <c r="J562" s="119">
        <f t="shared" si="61"/>
        <v>11962.2</v>
      </c>
      <c r="K562" s="109">
        <v>45157</v>
      </c>
      <c r="L562" s="110">
        <v>0.68599999999999994</v>
      </c>
      <c r="M562" s="109">
        <f t="shared" si="65"/>
        <v>3100</v>
      </c>
      <c r="N562" s="115">
        <v>154032</v>
      </c>
      <c r="O562" s="111" t="s">
        <v>279</v>
      </c>
      <c r="P562" s="119">
        <f t="shared" si="67"/>
        <v>6306</v>
      </c>
      <c r="Q562" s="119">
        <f t="shared" si="63"/>
        <v>15822</v>
      </c>
      <c r="R562" s="147">
        <f t="shared" si="59"/>
        <v>-486</v>
      </c>
      <c r="S562" s="119">
        <f t="shared" si="62"/>
        <v>2378</v>
      </c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</row>
    <row r="563" spans="1:38">
      <c r="A563" s="108">
        <v>43957</v>
      </c>
      <c r="B563" s="109">
        <v>190349</v>
      </c>
      <c r="C563" s="110">
        <v>0.84299999999999997</v>
      </c>
      <c r="D563" s="109">
        <f t="shared" si="64"/>
        <v>10650</v>
      </c>
      <c r="E563" s="115">
        <f>SUM(B562/7,B563,B564,B565,B566,AVERAGE(B568,B566)/7*2)</f>
        <v>889860.42857142864</v>
      </c>
      <c r="F563" s="111" t="s">
        <v>280</v>
      </c>
      <c r="G563" s="119">
        <f t="shared" si="66"/>
        <v>13438</v>
      </c>
      <c r="H563" s="119">
        <f t="shared" si="58"/>
        <v>-13760</v>
      </c>
      <c r="I563" s="147">
        <f t="shared" si="60"/>
        <v>-10536</v>
      </c>
      <c r="J563" s="119">
        <f t="shared" si="61"/>
        <v>6375.6</v>
      </c>
      <c r="K563" s="109">
        <v>26472</v>
      </c>
      <c r="L563" s="110">
        <v>0.4</v>
      </c>
      <c r="M563" s="109">
        <f t="shared" si="65"/>
        <v>3125</v>
      </c>
      <c r="N563" s="115">
        <f>SUM(K562/7,K563,K564,K565,K566,AVERAGE(K568,K566)/7*2)</f>
        <v>156750.42857142858</v>
      </c>
      <c r="O563" s="111" t="s">
        <v>280</v>
      </c>
      <c r="P563" s="119">
        <f t="shared" si="67"/>
        <v>-7500.4</v>
      </c>
      <c r="Q563" s="119">
        <f t="shared" si="63"/>
        <v>-18685</v>
      </c>
      <c r="R563" s="147">
        <f t="shared" si="59"/>
        <v>-6157</v>
      </c>
      <c r="S563" s="119">
        <f t="shared" si="62"/>
        <v>4028.8</v>
      </c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</row>
    <row r="564" spans="1:38">
      <c r="A564" s="108">
        <v>43964</v>
      </c>
      <c r="B564" s="109">
        <v>222844</v>
      </c>
      <c r="C564" s="110">
        <v>0.98699999999999999</v>
      </c>
      <c r="D564" s="109">
        <f t="shared" si="64"/>
        <v>10650</v>
      </c>
      <c r="E564" s="115">
        <f>SUM(B563:B566)/28*31</f>
        <v>889346.82142857136</v>
      </c>
      <c r="F564" s="111" t="s">
        <v>281</v>
      </c>
      <c r="G564" s="119">
        <f t="shared" si="66"/>
        <v>2260.6</v>
      </c>
      <c r="H564" s="119">
        <f t="shared" ref="H564:H627" si="68">B564-B563</f>
        <v>32495</v>
      </c>
      <c r="I564" s="147">
        <f t="shared" si="60"/>
        <v>44244</v>
      </c>
      <c r="J564" s="119">
        <f t="shared" si="61"/>
        <v>9760.6</v>
      </c>
      <c r="K564" s="109">
        <v>46792</v>
      </c>
      <c r="L564" s="110">
        <v>0.71</v>
      </c>
      <c r="M564" s="109">
        <f t="shared" si="65"/>
        <v>3100</v>
      </c>
      <c r="N564" s="115">
        <f>SUM(K563:K566)/28*31</f>
        <v>154623.57142857145</v>
      </c>
      <c r="O564" s="111" t="s">
        <v>281</v>
      </c>
      <c r="P564" s="119">
        <f t="shared" si="67"/>
        <v>8876.6</v>
      </c>
      <c r="Q564" s="119">
        <f t="shared" si="63"/>
        <v>20320</v>
      </c>
      <c r="R564" s="147">
        <f t="shared" si="59"/>
        <v>-3326</v>
      </c>
      <c r="S564" s="119">
        <f t="shared" si="62"/>
        <v>515.79999999999995</v>
      </c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</row>
    <row r="565" spans="1:38">
      <c r="A565" s="108">
        <v>43971</v>
      </c>
      <c r="B565" s="109">
        <v>182330</v>
      </c>
      <c r="C565" s="110">
        <v>0.80799999999999994</v>
      </c>
      <c r="D565" s="109">
        <f t="shared" si="64"/>
        <v>10650</v>
      </c>
      <c r="E565" s="116">
        <f>E562-AVERAGE(E563:E564)</f>
        <v>-34595.625</v>
      </c>
      <c r="F565" s="116" t="s">
        <v>275</v>
      </c>
      <c r="G565" s="119">
        <f t="shared" si="66"/>
        <v>7604.2</v>
      </c>
      <c r="H565" s="119">
        <f t="shared" si="68"/>
        <v>-40514</v>
      </c>
      <c r="I565" s="147">
        <f t="shared" si="60"/>
        <v>-5624</v>
      </c>
      <c r="J565" s="119">
        <f t="shared" si="61"/>
        <v>12556.4</v>
      </c>
      <c r="K565" s="109">
        <v>25885</v>
      </c>
      <c r="L565" s="110">
        <v>0.39</v>
      </c>
      <c r="M565" s="109">
        <f t="shared" si="65"/>
        <v>3125</v>
      </c>
      <c r="N565" s="116">
        <f>N562-AVERAGE(N563:N564)</f>
        <v>-1655</v>
      </c>
      <c r="O565" s="116" t="s">
        <v>275</v>
      </c>
      <c r="P565" s="119">
        <f t="shared" si="67"/>
        <v>-13342.8</v>
      </c>
      <c r="Q565" s="119">
        <f t="shared" si="63"/>
        <v>-20907</v>
      </c>
      <c r="R565" s="147">
        <f t="shared" si="59"/>
        <v>-7034</v>
      </c>
      <c r="S565" s="119">
        <f t="shared" si="62"/>
        <v>3377.4</v>
      </c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</row>
    <row r="566" spans="1:38">
      <c r="A566" s="108">
        <v>43978</v>
      </c>
      <c r="B566" s="109">
        <v>207758</v>
      </c>
      <c r="C566" s="110">
        <v>0.92</v>
      </c>
      <c r="D566" s="109">
        <v>9225</v>
      </c>
      <c r="E566" s="115"/>
      <c r="F566" s="111"/>
      <c r="G566" s="119">
        <f t="shared" si="66"/>
        <v>-12045.4</v>
      </c>
      <c r="H566" s="119">
        <f t="shared" si="68"/>
        <v>25428</v>
      </c>
      <c r="I566" s="147">
        <f t="shared" si="60"/>
        <v>4903</v>
      </c>
      <c r="J566" s="119">
        <f t="shared" si="61"/>
        <v>15951</v>
      </c>
      <c r="K566" s="109">
        <v>40511</v>
      </c>
      <c r="L566" s="110">
        <v>0.50900000000000001</v>
      </c>
      <c r="M566" s="109">
        <f t="shared" si="65"/>
        <v>3750</v>
      </c>
      <c r="N566" s="115"/>
      <c r="O566" s="111"/>
      <c r="P566" s="119">
        <f t="shared" si="67"/>
        <v>4505.8</v>
      </c>
      <c r="Q566" s="119">
        <f t="shared" si="63"/>
        <v>14626</v>
      </c>
      <c r="R566" s="147">
        <f t="shared" ref="R566:R629" si="69">K566-K514</f>
        <v>-3369</v>
      </c>
      <c r="S566" s="119">
        <f t="shared" si="62"/>
        <v>870</v>
      </c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</row>
    <row r="567" spans="1:38">
      <c r="A567" s="108">
        <v>43985</v>
      </c>
      <c r="B567" s="109">
        <v>183604</v>
      </c>
      <c r="C567" s="110">
        <v>0.81200000000000006</v>
      </c>
      <c r="D567" s="109">
        <v>10650</v>
      </c>
      <c r="E567" s="115">
        <v>864559</v>
      </c>
      <c r="F567" s="111" t="s">
        <v>282</v>
      </c>
      <c r="G567" s="119">
        <f t="shared" si="66"/>
        <v>-4251.8</v>
      </c>
      <c r="H567" s="119">
        <f t="shared" si="68"/>
        <v>-24154</v>
      </c>
      <c r="I567" s="147">
        <f t="shared" ref="I567:I583" si="70">B567-B515</f>
        <v>11333</v>
      </c>
      <c r="J567" s="119">
        <f t="shared" si="61"/>
        <v>17656.599999999999</v>
      </c>
      <c r="K567" s="109">
        <v>33481</v>
      </c>
      <c r="L567" s="110">
        <v>0.50900000000000001</v>
      </c>
      <c r="M567" s="109">
        <f t="shared" si="65"/>
        <v>3100</v>
      </c>
      <c r="N567" s="115">
        <v>121711</v>
      </c>
      <c r="O567" s="111" t="s">
        <v>282</v>
      </c>
      <c r="P567" s="119">
        <f t="shared" si="67"/>
        <v>-3737.2</v>
      </c>
      <c r="Q567" s="119">
        <f t="shared" si="63"/>
        <v>-7030</v>
      </c>
      <c r="R567" s="147">
        <f t="shared" si="69"/>
        <v>-3645</v>
      </c>
      <c r="S567" s="119">
        <f t="shared" si="62"/>
        <v>5309.4</v>
      </c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</row>
    <row r="568" spans="1:38">
      <c r="A568" s="108">
        <v>43992</v>
      </c>
      <c r="B568" s="109">
        <v>194189</v>
      </c>
      <c r="C568" s="110">
        <v>0.8590000000000001</v>
      </c>
      <c r="D568" s="109">
        <f t="shared" si="64"/>
        <v>10650</v>
      </c>
      <c r="E568" s="115">
        <f>SUM(AVERAGE(B566,B568)/7*5,B568,B569,B570,B571/7*4)/30*30</f>
        <v>841283.35714285716</v>
      </c>
      <c r="F568" s="111" t="s">
        <v>283</v>
      </c>
      <c r="G568" s="119">
        <f t="shared" si="66"/>
        <v>5859</v>
      </c>
      <c r="H568" s="119">
        <f t="shared" si="68"/>
        <v>10585</v>
      </c>
      <c r="I568" s="147">
        <f t="shared" si="70"/>
        <v>11719</v>
      </c>
      <c r="J568" s="119">
        <f t="shared" ref="J568:J631" si="71">AVERAGE(B515-B463,B463-B411,B411-B359,B359-B307,B307-B256)</f>
        <v>12015.2</v>
      </c>
      <c r="K568" s="109">
        <v>33965</v>
      </c>
      <c r="L568" s="110">
        <v>0.52</v>
      </c>
      <c r="M568" s="109">
        <f t="shared" si="65"/>
        <v>3075</v>
      </c>
      <c r="N568" s="115">
        <f>SUM(AVERAGE(K566,K568)/7*5,K568,K569,K570,K571/7*4)/30*30</f>
        <v>127525.85714285712</v>
      </c>
      <c r="O568" s="111" t="s">
        <v>283</v>
      </c>
      <c r="P568" s="119">
        <f t="shared" si="67"/>
        <v>9710</v>
      </c>
      <c r="Q568" s="119">
        <f t="shared" si="63"/>
        <v>484</v>
      </c>
      <c r="R568" s="147">
        <f t="shared" si="69"/>
        <v>-954</v>
      </c>
      <c r="S568" s="119">
        <f t="shared" si="62"/>
        <v>4437.8</v>
      </c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</row>
    <row r="569" spans="1:38">
      <c r="A569" s="108">
        <v>43999</v>
      </c>
      <c r="B569" s="109">
        <v>195993</v>
      </c>
      <c r="C569" s="110">
        <v>0.86699999999999999</v>
      </c>
      <c r="D569" s="109">
        <f t="shared" si="64"/>
        <v>10650</v>
      </c>
      <c r="E569" s="115">
        <f>SUM(B568:B570)/21*30</f>
        <v>837051.42857142864</v>
      </c>
      <c r="F569" s="111" t="s">
        <v>284</v>
      </c>
      <c r="G569" s="119">
        <f t="shared" si="66"/>
        <v>5857.2</v>
      </c>
      <c r="H569" s="119">
        <f t="shared" si="68"/>
        <v>1804</v>
      </c>
      <c r="I569" s="147">
        <f t="shared" si="70"/>
        <v>5991</v>
      </c>
      <c r="J569" s="119">
        <f t="shared" si="71"/>
        <v>6077</v>
      </c>
      <c r="K569" s="109">
        <v>15478</v>
      </c>
      <c r="L569" s="110">
        <v>0.24</v>
      </c>
      <c r="M569" s="109">
        <f t="shared" si="65"/>
        <v>3050</v>
      </c>
      <c r="N569" s="115">
        <f>SUM(K568:K570)/21*30</f>
        <v>122487.14285714286</v>
      </c>
      <c r="O569" s="111" t="s">
        <v>284</v>
      </c>
      <c r="P569" s="119">
        <f t="shared" si="67"/>
        <v>-18183.8</v>
      </c>
      <c r="Q569" s="119">
        <f t="shared" si="63"/>
        <v>-18487</v>
      </c>
      <c r="R569" s="147">
        <f t="shared" si="69"/>
        <v>-1960</v>
      </c>
      <c r="S569" s="119">
        <f t="shared" ref="S569:S632" si="72">AVERAGE(K516-K464,K464-K412,K412-K360,K360-K308,K308-K257)</f>
        <v>3978.2</v>
      </c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</row>
    <row r="570" spans="1:38">
      <c r="A570" s="108">
        <v>44006</v>
      </c>
      <c r="B570" s="109">
        <v>195754</v>
      </c>
      <c r="C570" s="110">
        <v>0.86599999999999999</v>
      </c>
      <c r="D570" s="109">
        <f t="shared" si="64"/>
        <v>10650</v>
      </c>
      <c r="E570" s="116">
        <f>E567-AVERAGE(E568:E569)</f>
        <v>25391.607142857043</v>
      </c>
      <c r="F570" s="116" t="s">
        <v>275</v>
      </c>
      <c r="G570" s="119">
        <f t="shared" si="66"/>
        <v>-3619.8</v>
      </c>
      <c r="H570" s="119">
        <f t="shared" si="68"/>
        <v>-239</v>
      </c>
      <c r="I570" s="147">
        <f t="shared" si="70"/>
        <v>34339</v>
      </c>
      <c r="J570" s="119">
        <f t="shared" si="71"/>
        <v>7644.6</v>
      </c>
      <c r="K570" s="109">
        <v>36298</v>
      </c>
      <c r="L570" s="110">
        <v>0.55000000000000004</v>
      </c>
      <c r="M570" s="109">
        <f t="shared" si="65"/>
        <v>3100</v>
      </c>
      <c r="N570" s="116">
        <f>N567-AVERAGE(N568:N569)</f>
        <v>-3295.4999999999854</v>
      </c>
      <c r="O570" s="116" t="s">
        <v>275</v>
      </c>
      <c r="P570" s="119">
        <f t="shared" si="67"/>
        <v>9799.4</v>
      </c>
      <c r="Q570" s="119">
        <f t="shared" si="63"/>
        <v>20820</v>
      </c>
      <c r="R570" s="147">
        <f t="shared" si="69"/>
        <v>-2678</v>
      </c>
      <c r="S570" s="119">
        <f t="shared" si="72"/>
        <v>-3738.4</v>
      </c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</row>
    <row r="571" spans="1:38">
      <c r="A571" s="108">
        <v>44013</v>
      </c>
      <c r="B571" s="109">
        <v>195641</v>
      </c>
      <c r="C571" s="110">
        <v>0.86499999999999999</v>
      </c>
      <c r="D571" s="109">
        <f t="shared" si="64"/>
        <v>10675</v>
      </c>
      <c r="E571" s="115">
        <v>806868</v>
      </c>
      <c r="F571" s="111" t="s">
        <v>285</v>
      </c>
      <c r="G571" s="119">
        <f t="shared" si="66"/>
        <v>-6948</v>
      </c>
      <c r="H571" s="119">
        <f t="shared" si="68"/>
        <v>-113</v>
      </c>
      <c r="I571" s="147">
        <f t="shared" si="70"/>
        <v>24469</v>
      </c>
      <c r="J571" s="119">
        <f t="shared" si="71"/>
        <v>1253.8</v>
      </c>
      <c r="K571" s="109">
        <v>26576</v>
      </c>
      <c r="L571" s="110">
        <v>0.4</v>
      </c>
      <c r="M571" s="109">
        <f t="shared" si="65"/>
        <v>3125</v>
      </c>
      <c r="N571" s="115"/>
      <c r="O571" s="111" t="s">
        <v>285</v>
      </c>
      <c r="P571" s="119">
        <f t="shared" si="67"/>
        <v>-2118.4</v>
      </c>
      <c r="Q571" s="119">
        <f t="shared" si="63"/>
        <v>-9722</v>
      </c>
      <c r="R571" s="147">
        <f t="shared" si="69"/>
        <v>-2894</v>
      </c>
      <c r="S571" s="119">
        <f t="shared" si="72"/>
        <v>2923.4</v>
      </c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</row>
    <row r="572" spans="1:38">
      <c r="A572" s="108">
        <v>44020</v>
      </c>
      <c r="B572" s="109">
        <v>183879</v>
      </c>
      <c r="C572" s="110">
        <v>0.81299999999999994</v>
      </c>
      <c r="D572" s="109">
        <f t="shared" si="64"/>
        <v>10650</v>
      </c>
      <c r="E572" s="115">
        <f>SUM(B571/7*3,B572,B573,B574,B575)/31*31</f>
        <v>863218.14285714284</v>
      </c>
      <c r="F572" s="111" t="s">
        <v>286</v>
      </c>
      <c r="G572" s="119">
        <f t="shared" si="66"/>
        <v>12036.6</v>
      </c>
      <c r="H572" s="119">
        <f t="shared" si="68"/>
        <v>-11762</v>
      </c>
      <c r="I572" s="147">
        <f t="shared" si="70"/>
        <v>24664</v>
      </c>
      <c r="J572" s="119">
        <f t="shared" si="71"/>
        <v>2634.4</v>
      </c>
      <c r="K572" s="109">
        <v>29606</v>
      </c>
      <c r="L572" s="110">
        <v>0.45</v>
      </c>
      <c r="M572" s="109">
        <f t="shared" si="65"/>
        <v>3100</v>
      </c>
      <c r="N572" s="115">
        <f>SUM(K571/7*3,K572,K573,K574,K575)/31*31</f>
        <v>107355.71428571429</v>
      </c>
      <c r="O572" s="111" t="s">
        <v>286</v>
      </c>
      <c r="P572" s="119">
        <f t="shared" si="67"/>
        <v>6191</v>
      </c>
      <c r="Q572" s="119">
        <f t="shared" si="63"/>
        <v>3030</v>
      </c>
      <c r="R572" s="147">
        <f t="shared" si="69"/>
        <v>-16472</v>
      </c>
      <c r="S572" s="119">
        <f t="shared" si="72"/>
        <v>1737.6</v>
      </c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</row>
    <row r="573" spans="1:38">
      <c r="A573" s="108">
        <v>44027</v>
      </c>
      <c r="B573" s="109">
        <v>184857</v>
      </c>
      <c r="C573" s="110">
        <v>0.81700000000000006</v>
      </c>
      <c r="D573" s="109">
        <f t="shared" si="64"/>
        <v>10675</v>
      </c>
      <c r="E573" s="115">
        <f>SUM(B571:B575)/35*31</f>
        <v>863582.94285714289</v>
      </c>
      <c r="F573" s="111" t="s">
        <v>287</v>
      </c>
      <c r="G573" s="119">
        <f t="shared" si="66"/>
        <v>-4171.2</v>
      </c>
      <c r="H573" s="119">
        <f t="shared" si="68"/>
        <v>978</v>
      </c>
      <c r="I573" s="147">
        <f t="shared" si="70"/>
        <v>39284</v>
      </c>
      <c r="J573" s="119">
        <f t="shared" si="71"/>
        <v>698.4</v>
      </c>
      <c r="K573" s="109">
        <v>25462</v>
      </c>
      <c r="L573" s="110">
        <v>0.39</v>
      </c>
      <c r="M573" s="109">
        <f t="shared" si="65"/>
        <v>3075</v>
      </c>
      <c r="N573" s="115">
        <f>SUM(K571:K575)/35*31</f>
        <v>108537.2</v>
      </c>
      <c r="O573" s="111" t="s">
        <v>287</v>
      </c>
      <c r="P573" s="119">
        <f t="shared" si="67"/>
        <v>-4998.6000000000004</v>
      </c>
      <c r="Q573" s="119">
        <f t="shared" si="63"/>
        <v>-4144</v>
      </c>
      <c r="R573" s="147">
        <f t="shared" si="69"/>
        <v>-19310</v>
      </c>
      <c r="S573" s="119">
        <f t="shared" si="72"/>
        <v>4920.8</v>
      </c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</row>
    <row r="574" spans="1:38">
      <c r="A574" s="108">
        <v>44034</v>
      </c>
      <c r="B574" s="109">
        <v>212009</v>
      </c>
      <c r="C574" s="110">
        <v>0.93799999999999994</v>
      </c>
      <c r="D574" s="109">
        <f t="shared" si="64"/>
        <v>10650</v>
      </c>
      <c r="E574" s="116">
        <f>E571-AVERAGE(E572:E573)</f>
        <v>-56532.542857142864</v>
      </c>
      <c r="F574" s="116" t="s">
        <v>275</v>
      </c>
      <c r="G574" s="119">
        <f t="shared" si="66"/>
        <v>-27166.2</v>
      </c>
      <c r="H574" s="119">
        <f t="shared" si="68"/>
        <v>27152</v>
      </c>
      <c r="I574" s="147">
        <f t="shared" si="70"/>
        <v>69923</v>
      </c>
      <c r="J574" s="119">
        <f t="shared" si="71"/>
        <v>-4008.8</v>
      </c>
      <c r="K574" s="109">
        <v>31074</v>
      </c>
      <c r="L574" s="110">
        <v>0.47</v>
      </c>
      <c r="M574" s="109">
        <f t="shared" si="65"/>
        <v>3125</v>
      </c>
      <c r="N574" s="116">
        <f>N571-AVERAGE(N572:N573)</f>
        <v>-107946.45714285714</v>
      </c>
      <c r="O574" s="116" t="s">
        <v>275</v>
      </c>
      <c r="P574" s="119">
        <f t="shared" si="67"/>
        <v>696</v>
      </c>
      <c r="Q574" s="119">
        <f t="shared" si="63"/>
        <v>5612</v>
      </c>
      <c r="R574" s="147">
        <f t="shared" si="69"/>
        <v>-2304</v>
      </c>
      <c r="S574" s="119">
        <f t="shared" si="72"/>
        <v>4263</v>
      </c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</row>
    <row r="575" spans="1:38">
      <c r="A575" s="108">
        <v>44041</v>
      </c>
      <c r="B575" s="109">
        <v>198627</v>
      </c>
      <c r="C575" s="110">
        <v>0.878</v>
      </c>
      <c r="D575" s="109">
        <f t="shared" si="64"/>
        <v>10675</v>
      </c>
      <c r="E575" s="115"/>
      <c r="F575" s="111"/>
      <c r="G575" s="119">
        <f t="shared" si="66"/>
        <v>-9160</v>
      </c>
      <c r="H575" s="119">
        <f t="shared" si="68"/>
        <v>-13382</v>
      </c>
      <c r="I575" s="147">
        <f t="shared" si="70"/>
        <v>55671</v>
      </c>
      <c r="J575" s="119">
        <f t="shared" si="71"/>
        <v>2182.1999999999998</v>
      </c>
      <c r="K575" s="109">
        <v>9824</v>
      </c>
      <c r="L575" s="110">
        <v>0.52300000000000002</v>
      </c>
      <c r="M575" s="109">
        <f t="shared" si="65"/>
        <v>875</v>
      </c>
      <c r="N575" s="115"/>
      <c r="O575" s="111"/>
      <c r="P575" s="119">
        <f t="shared" si="67"/>
        <v>-17012.400000000001</v>
      </c>
      <c r="Q575" s="119">
        <f t="shared" si="63"/>
        <v>-21250</v>
      </c>
      <c r="R575" s="147">
        <f t="shared" si="69"/>
        <v>-19770</v>
      </c>
      <c r="S575" s="119">
        <f t="shared" si="72"/>
        <v>3317.6</v>
      </c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</row>
    <row r="576" spans="1:38">
      <c r="A576" s="108">
        <v>44048</v>
      </c>
      <c r="B576" s="109">
        <v>213975</v>
      </c>
      <c r="C576" s="110">
        <v>0.94599999999999995</v>
      </c>
      <c r="D576" s="109">
        <f t="shared" si="64"/>
        <v>10675</v>
      </c>
      <c r="E576" s="115">
        <v>830335</v>
      </c>
      <c r="F576" s="111" t="s">
        <v>288</v>
      </c>
      <c r="G576" s="119">
        <f t="shared" si="66"/>
        <v>31976.2</v>
      </c>
      <c r="H576" s="119">
        <f t="shared" si="68"/>
        <v>15348</v>
      </c>
      <c r="I576" s="147">
        <f t="shared" si="70"/>
        <v>49668</v>
      </c>
      <c r="J576" s="119">
        <f t="shared" si="71"/>
        <v>1587.8</v>
      </c>
      <c r="K576" s="109">
        <v>21288</v>
      </c>
      <c r="L576" s="110">
        <v>0.45299999999999996</v>
      </c>
      <c r="M576" s="109">
        <f t="shared" si="65"/>
        <v>2225</v>
      </c>
      <c r="N576" s="115">
        <v>135595</v>
      </c>
      <c r="O576" s="111" t="s">
        <v>288</v>
      </c>
      <c r="P576" s="119">
        <f t="shared" si="67"/>
        <v>26499.8</v>
      </c>
      <c r="Q576" s="119">
        <f t="shared" si="63"/>
        <v>11464</v>
      </c>
      <c r="R576" s="147">
        <f t="shared" si="69"/>
        <v>-25872</v>
      </c>
      <c r="S576" s="119">
        <f t="shared" si="72"/>
        <v>2865.6</v>
      </c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</row>
    <row r="577" spans="1:38">
      <c r="A577" s="108">
        <v>44055</v>
      </c>
      <c r="B577" s="109">
        <v>186025</v>
      </c>
      <c r="C577" s="110">
        <v>0.82299999999999995</v>
      </c>
      <c r="D577" s="109">
        <f t="shared" si="64"/>
        <v>10650</v>
      </c>
      <c r="E577" s="115">
        <f>SUM(B576:B580)/35*31</f>
        <v>875374.45714285714</v>
      </c>
      <c r="F577" s="111" t="s">
        <v>289</v>
      </c>
      <c r="G577" s="119">
        <f t="shared" si="66"/>
        <v>-4025.6</v>
      </c>
      <c r="H577" s="119">
        <f t="shared" si="68"/>
        <v>-27950</v>
      </c>
      <c r="I577" s="147">
        <f t="shared" si="70"/>
        <v>17257</v>
      </c>
      <c r="J577" s="119">
        <f t="shared" si="71"/>
        <v>8159</v>
      </c>
      <c r="K577" s="109">
        <v>38717</v>
      </c>
      <c r="L577" s="110">
        <v>0.58799999999999997</v>
      </c>
      <c r="M577" s="109">
        <f t="shared" si="65"/>
        <v>3100</v>
      </c>
      <c r="N577" s="115">
        <f>SUM(K576:K580)/35*31</f>
        <v>127556.14285714284</v>
      </c>
      <c r="O577" s="111" t="s">
        <v>289</v>
      </c>
      <c r="P577" s="119">
        <f t="shared" si="67"/>
        <v>-8241.2000000000007</v>
      </c>
      <c r="Q577" s="119">
        <f t="shared" si="63"/>
        <v>17429</v>
      </c>
      <c r="R577" s="147">
        <f t="shared" si="69"/>
        <v>13095</v>
      </c>
      <c r="S577" s="119">
        <f t="shared" si="72"/>
        <v>5282.6</v>
      </c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</row>
    <row r="578" spans="1:38">
      <c r="A578" s="108">
        <v>44062</v>
      </c>
      <c r="B578" s="109">
        <v>184648</v>
      </c>
      <c r="C578" s="110">
        <v>0.81700000000000006</v>
      </c>
      <c r="D578" s="109">
        <f t="shared" si="64"/>
        <v>10650</v>
      </c>
      <c r="E578" s="115">
        <f>SUM(B576:B579)+(B580/7*3)</f>
        <v>876111.71428571432</v>
      </c>
      <c r="F578" s="111" t="s">
        <v>290</v>
      </c>
      <c r="G578" s="119">
        <f t="shared" si="66"/>
        <v>-3206</v>
      </c>
      <c r="H578" s="119">
        <f t="shared" si="68"/>
        <v>-1377</v>
      </c>
      <c r="I578" s="147">
        <f t="shared" si="70"/>
        <v>-5016</v>
      </c>
      <c r="J578" s="119">
        <f t="shared" si="71"/>
        <v>11341.2</v>
      </c>
      <c r="K578" s="109">
        <v>21679</v>
      </c>
      <c r="L578" s="110">
        <v>0.32899999999999996</v>
      </c>
      <c r="M578" s="109">
        <f t="shared" si="65"/>
        <v>3100</v>
      </c>
      <c r="N578" s="115">
        <f>SUM(K576:K579)+(K580/7*3)</f>
        <v>127216.71428571429</v>
      </c>
      <c r="O578" s="111" t="s">
        <v>290</v>
      </c>
      <c r="P578" s="119">
        <f t="shared" si="67"/>
        <v>2342.8000000000002</v>
      </c>
      <c r="Q578" s="119">
        <f t="shared" si="63"/>
        <v>-17038</v>
      </c>
      <c r="R578" s="147">
        <f t="shared" si="69"/>
        <v>-1583</v>
      </c>
      <c r="S578" s="119">
        <f t="shared" si="72"/>
        <v>-1245.4000000000001</v>
      </c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</row>
    <row r="579" spans="1:38">
      <c r="A579" s="108">
        <v>44069</v>
      </c>
      <c r="B579" s="109">
        <v>207303</v>
      </c>
      <c r="C579" s="110">
        <v>0.91700000000000004</v>
      </c>
      <c r="D579" s="109">
        <f t="shared" si="64"/>
        <v>10650</v>
      </c>
      <c r="E579" s="116">
        <f>E576-AVERAGE(E577:E578)</f>
        <v>-45408.085714285728</v>
      </c>
      <c r="F579" s="116" t="s">
        <v>275</v>
      </c>
      <c r="G579" s="119">
        <f t="shared" si="66"/>
        <v>18885.8</v>
      </c>
      <c r="H579" s="119">
        <f t="shared" si="68"/>
        <v>22655</v>
      </c>
      <c r="I579" s="147">
        <f t="shared" si="70"/>
        <v>3168</v>
      </c>
      <c r="J579" s="119">
        <f t="shared" si="71"/>
        <v>13427.2</v>
      </c>
      <c r="K579" s="109">
        <v>32934</v>
      </c>
      <c r="L579" s="110">
        <v>0.501</v>
      </c>
      <c r="M579" s="109">
        <f t="shared" si="65"/>
        <v>3100</v>
      </c>
      <c r="N579" s="116">
        <f>N576-AVERAGE(N577:N578)</f>
        <v>8208.5714285714348</v>
      </c>
      <c r="O579" s="116" t="s">
        <v>275</v>
      </c>
      <c r="P579" s="119">
        <f t="shared" si="67"/>
        <v>-8935.6</v>
      </c>
      <c r="Q579" s="119">
        <f t="shared" ref="Q579:Q642" si="73">K579-K578</f>
        <v>11255</v>
      </c>
      <c r="R579" s="147">
        <f t="shared" si="69"/>
        <v>1725</v>
      </c>
      <c r="S579" s="119">
        <f t="shared" si="72"/>
        <v>2079.1999999999998</v>
      </c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</row>
    <row r="580" spans="1:38">
      <c r="A580" s="108">
        <v>44076</v>
      </c>
      <c r="B580" s="109">
        <v>196375</v>
      </c>
      <c r="C580" s="110">
        <v>0.86799999999999999</v>
      </c>
      <c r="D580" s="109">
        <f t="shared" ref="D580:D593" si="74">IF(B580="","",IF(C580="","",MROUND((B580/C580)/(A580-A579)*330/1000,25)))</f>
        <v>10675</v>
      </c>
      <c r="E580" s="115">
        <v>785725</v>
      </c>
      <c r="F580" s="111" t="s">
        <v>291</v>
      </c>
      <c r="G580" s="119">
        <f t="shared" si="66"/>
        <v>-8225.6</v>
      </c>
      <c r="H580" s="119">
        <f t="shared" si="68"/>
        <v>-10928</v>
      </c>
      <c r="I580" s="147">
        <f t="shared" si="70"/>
        <v>12397</v>
      </c>
      <c r="J580" s="119">
        <f t="shared" si="71"/>
        <v>13863.8</v>
      </c>
      <c r="K580" s="109">
        <v>29397</v>
      </c>
      <c r="L580" s="110">
        <v>0.44700000000000001</v>
      </c>
      <c r="M580" s="109">
        <f t="shared" ref="M580:M593" si="75">IF(K580="","",IF(L580="","",MROUND((K580/L580)/(A580-A579)*330/1000,25)))</f>
        <v>3100</v>
      </c>
      <c r="N580" s="115">
        <v>139438</v>
      </c>
      <c r="O580" s="111" t="s">
        <v>291</v>
      </c>
      <c r="P580" s="119">
        <f t="shared" si="67"/>
        <v>14744.8</v>
      </c>
      <c r="Q580" s="119">
        <f t="shared" si="73"/>
        <v>-3537</v>
      </c>
      <c r="R580" s="147">
        <f t="shared" si="69"/>
        <v>-10432</v>
      </c>
      <c r="S580" s="119">
        <f t="shared" si="72"/>
        <v>3900.8</v>
      </c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</row>
    <row r="581" spans="1:38">
      <c r="A581" s="108">
        <v>44083</v>
      </c>
      <c r="B581" s="109">
        <v>202287</v>
      </c>
      <c r="C581" s="110">
        <v>0.89500000000000002</v>
      </c>
      <c r="D581" s="109">
        <f t="shared" si="74"/>
        <v>10650</v>
      </c>
      <c r="E581" s="115">
        <f>SUM(B579:B584)/42*30</f>
        <v>849935.71428571432</v>
      </c>
      <c r="F581" s="111" t="s">
        <v>292</v>
      </c>
      <c r="G581" s="119">
        <f t="shared" si="66"/>
        <v>-4360.2</v>
      </c>
      <c r="H581" s="119">
        <f t="shared" si="68"/>
        <v>5912</v>
      </c>
      <c r="I581" s="147">
        <f t="shared" si="70"/>
        <v>26078</v>
      </c>
      <c r="J581" s="119">
        <f t="shared" si="71"/>
        <v>8084.4</v>
      </c>
      <c r="K581" s="109">
        <v>44362</v>
      </c>
      <c r="L581" s="110">
        <v>0.67400000000000004</v>
      </c>
      <c r="M581" s="109">
        <f t="shared" si="75"/>
        <v>3100</v>
      </c>
      <c r="N581" s="115">
        <f>SUM(K579:K584)/42*30</f>
        <v>138840</v>
      </c>
      <c r="O581" s="111" t="s">
        <v>292</v>
      </c>
      <c r="P581" s="119">
        <f t="shared" si="67"/>
        <v>-13070.2</v>
      </c>
      <c r="Q581" s="119">
        <f t="shared" si="73"/>
        <v>14965</v>
      </c>
      <c r="R581" s="147">
        <f t="shared" si="69"/>
        <v>17803</v>
      </c>
      <c r="S581" s="119">
        <f t="shared" si="72"/>
        <v>3897</v>
      </c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</row>
    <row r="582" spans="1:38">
      <c r="A582" s="108">
        <v>44090</v>
      </c>
      <c r="B582" s="109">
        <v>182562</v>
      </c>
      <c r="C582" s="110">
        <v>0.80700000000000005</v>
      </c>
      <c r="D582" s="109">
        <f t="shared" si="74"/>
        <v>10675</v>
      </c>
      <c r="E582" s="115">
        <f>(B580/7*4+SUM(B581,B582,B583)+B584/7*5)/30*30</f>
        <v>842151.42857142852</v>
      </c>
      <c r="F582" s="111" t="s">
        <v>293</v>
      </c>
      <c r="G582" s="119">
        <f t="shared" si="66"/>
        <v>-872.2</v>
      </c>
      <c r="H582" s="119">
        <f t="shared" si="68"/>
        <v>-19725</v>
      </c>
      <c r="I582" s="147">
        <f t="shared" si="70"/>
        <v>-525</v>
      </c>
      <c r="J582" s="119">
        <f t="shared" si="71"/>
        <v>8301</v>
      </c>
      <c r="K582" s="109">
        <v>25187</v>
      </c>
      <c r="L582" s="110">
        <v>0.38299999999999995</v>
      </c>
      <c r="M582" s="109">
        <f t="shared" si="75"/>
        <v>3100</v>
      </c>
      <c r="N582" s="115">
        <f>(K580/7*4+SUM(K581,K582,K583)+K584/7*5)/30*30</f>
        <v>139541.85714285713</v>
      </c>
      <c r="O582" s="111" t="s">
        <v>293</v>
      </c>
      <c r="P582" s="119">
        <f t="shared" si="67"/>
        <v>-6127.8</v>
      </c>
      <c r="Q582" s="119">
        <f t="shared" si="73"/>
        <v>-19175</v>
      </c>
      <c r="R582" s="147">
        <f t="shared" si="69"/>
        <v>6402</v>
      </c>
      <c r="S582" s="119">
        <f t="shared" si="72"/>
        <v>2482.8000000000002</v>
      </c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</row>
    <row r="583" spans="1:38">
      <c r="A583" s="108">
        <v>44097</v>
      </c>
      <c r="B583" s="109">
        <v>204351</v>
      </c>
      <c r="C583" s="110">
        <v>0.9</v>
      </c>
      <c r="D583" s="109">
        <v>10650</v>
      </c>
      <c r="E583" s="116">
        <f>E580-AVERAGE(E581:E582)</f>
        <v>-60318.571428571362</v>
      </c>
      <c r="F583" s="116" t="s">
        <v>275</v>
      </c>
      <c r="G583" s="119">
        <f t="shared" si="66"/>
        <v>9843.2000000000007</v>
      </c>
      <c r="H583" s="119">
        <f t="shared" si="68"/>
        <v>21789</v>
      </c>
      <c r="I583" s="147">
        <f t="shared" si="70"/>
        <v>12724</v>
      </c>
      <c r="J583" s="119">
        <f t="shared" si="71"/>
        <v>6023.2</v>
      </c>
      <c r="K583" s="109">
        <v>29941</v>
      </c>
      <c r="L583" s="110">
        <v>0.45500000000000002</v>
      </c>
      <c r="M583" s="109">
        <v>3100</v>
      </c>
      <c r="N583" s="116">
        <f>N580-AVERAGE(N581:N582)</f>
        <v>247.07142857142026</v>
      </c>
      <c r="O583" s="116" t="s">
        <v>275</v>
      </c>
      <c r="P583" s="119">
        <f t="shared" si="67"/>
        <v>10234.799999999999</v>
      </c>
      <c r="Q583" s="119">
        <f t="shared" si="73"/>
        <v>4754</v>
      </c>
      <c r="R583" s="147">
        <f t="shared" si="69"/>
        <v>-107</v>
      </c>
      <c r="S583" s="119">
        <f t="shared" si="72"/>
        <v>-1919.8</v>
      </c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</row>
    <row r="584" spans="1:38">
      <c r="A584" s="108">
        <v>44104</v>
      </c>
      <c r="B584" s="109">
        <v>197032</v>
      </c>
      <c r="C584" s="110">
        <v>0.87</v>
      </c>
      <c r="D584" s="109">
        <v>10650</v>
      </c>
      <c r="E584" s="115">
        <v>931060</v>
      </c>
      <c r="F584" s="111" t="s">
        <v>294</v>
      </c>
      <c r="G584" s="119">
        <f t="shared" si="66"/>
        <v>-6200.8</v>
      </c>
      <c r="H584" s="119">
        <f t="shared" si="68"/>
        <v>-7319</v>
      </c>
      <c r="I584" s="147">
        <f t="shared" ref="I584:I646" si="76">B584-B532</f>
        <v>28881</v>
      </c>
      <c r="J584" s="119">
        <f t="shared" si="71"/>
        <v>8706.2000000000007</v>
      </c>
      <c r="K584" s="109">
        <v>32555</v>
      </c>
      <c r="L584" s="110">
        <v>0.495</v>
      </c>
      <c r="M584" s="109">
        <v>3100</v>
      </c>
      <c r="N584" s="115">
        <v>160074</v>
      </c>
      <c r="O584" s="111" t="s">
        <v>294</v>
      </c>
      <c r="P584" s="119">
        <f t="shared" si="67"/>
        <v>5800.8</v>
      </c>
      <c r="Q584" s="119">
        <f t="shared" si="73"/>
        <v>2614</v>
      </c>
      <c r="R584" s="147">
        <f t="shared" si="69"/>
        <v>-2202</v>
      </c>
      <c r="S584" s="119">
        <f t="shared" si="72"/>
        <v>874.8</v>
      </c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</row>
    <row r="585" spans="1:38">
      <c r="A585" s="108">
        <v>44111</v>
      </c>
      <c r="B585" s="109">
        <v>206148</v>
      </c>
      <c r="C585" s="110">
        <v>0.91</v>
      </c>
      <c r="D585" s="109">
        <v>10650</v>
      </c>
      <c r="E585" s="115">
        <f>SUM(B583:B588)/42*31</f>
        <v>865804.16666666674</v>
      </c>
      <c r="F585" s="111" t="s">
        <v>295</v>
      </c>
      <c r="G585" s="119">
        <f t="shared" si="66"/>
        <v>8532</v>
      </c>
      <c r="H585" s="119">
        <f t="shared" si="68"/>
        <v>9116</v>
      </c>
      <c r="I585" s="147">
        <f t="shared" si="76"/>
        <v>12405</v>
      </c>
      <c r="J585" s="119">
        <f t="shared" si="71"/>
        <v>5144.3999999999996</v>
      </c>
      <c r="K585" s="109">
        <v>43106</v>
      </c>
      <c r="L585" s="110">
        <v>0.65500000000000003</v>
      </c>
      <c r="M585" s="109">
        <v>3100</v>
      </c>
      <c r="N585" s="115">
        <f>SUM(K583:K588)/42*31</f>
        <v>147286.90476190476</v>
      </c>
      <c r="O585" s="111" t="s">
        <v>295</v>
      </c>
      <c r="P585" s="119">
        <f t="shared" si="67"/>
        <v>360.6</v>
      </c>
      <c r="Q585" s="119">
        <f t="shared" si="73"/>
        <v>10551</v>
      </c>
      <c r="R585" s="147">
        <f t="shared" si="69"/>
        <v>4453</v>
      </c>
      <c r="S585" s="119">
        <f t="shared" si="72"/>
        <v>-1279.8</v>
      </c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</row>
    <row r="586" spans="1:38">
      <c r="A586" s="108">
        <v>44118</v>
      </c>
      <c r="B586" s="109">
        <v>173325</v>
      </c>
      <c r="C586" s="110">
        <v>0.88500000000000001</v>
      </c>
      <c r="D586" s="109">
        <v>10650</v>
      </c>
      <c r="E586" s="115">
        <f>SUM(B584/7*2,B585,B586,B587,B588)/30*31</f>
        <v>855534.75238095247</v>
      </c>
      <c r="F586" s="111" t="s">
        <v>296</v>
      </c>
      <c r="G586" s="119">
        <f t="shared" si="66"/>
        <v>-9537.7999999999993</v>
      </c>
      <c r="H586" s="119">
        <f t="shared" si="68"/>
        <v>-32823</v>
      </c>
      <c r="I586" s="147">
        <f t="shared" si="76"/>
        <v>-7655</v>
      </c>
      <c r="J586" s="119">
        <f t="shared" si="71"/>
        <v>8921.4</v>
      </c>
      <c r="K586" s="109">
        <v>29320</v>
      </c>
      <c r="L586" s="110">
        <v>0.44600000000000001</v>
      </c>
      <c r="M586" s="109">
        <v>3100</v>
      </c>
      <c r="N586" s="115">
        <f>SUM(K584/7*2,K585,K586,K587,K588)/30*31</f>
        <v>151233.94285714289</v>
      </c>
      <c r="O586" s="111" t="s">
        <v>296</v>
      </c>
      <c r="P586" s="119">
        <f t="shared" si="67"/>
        <v>1238.4000000000001</v>
      </c>
      <c r="Q586" s="119">
        <f t="shared" si="73"/>
        <v>-13786</v>
      </c>
      <c r="R586" s="147">
        <f t="shared" si="69"/>
        <v>-2684</v>
      </c>
      <c r="S586" s="119">
        <f t="shared" si="72"/>
        <v>-1969.6</v>
      </c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</row>
    <row r="587" spans="1:38">
      <c r="A587" s="108">
        <v>44125</v>
      </c>
      <c r="B587" s="109">
        <v>200083</v>
      </c>
      <c r="C587" s="110">
        <v>0.88500000000000001</v>
      </c>
      <c r="D587" s="109">
        <v>10700</v>
      </c>
      <c r="E587" s="116">
        <f>E584-AVERAGE(E585:E586)</f>
        <v>70390.540476190392</v>
      </c>
      <c r="F587" s="116" t="s">
        <v>275</v>
      </c>
      <c r="G587" s="119">
        <f t="shared" si="66"/>
        <v>5157.2</v>
      </c>
      <c r="H587" s="119">
        <f t="shared" si="68"/>
        <v>26758</v>
      </c>
      <c r="I587" s="147">
        <f t="shared" si="76"/>
        <v>27460</v>
      </c>
      <c r="J587" s="119">
        <f t="shared" si="71"/>
        <v>9598.6</v>
      </c>
      <c r="K587" s="109">
        <v>36594</v>
      </c>
      <c r="L587" s="110">
        <v>0.55600000000000005</v>
      </c>
      <c r="M587" s="109">
        <v>3100</v>
      </c>
      <c r="N587" s="116">
        <f>N584-AVERAGE(N585:N586)</f>
        <v>10813.576190476189</v>
      </c>
      <c r="O587" s="116" t="s">
        <v>275</v>
      </c>
      <c r="P587" s="119">
        <f t="shared" si="67"/>
        <v>2805.2</v>
      </c>
      <c r="Q587" s="119">
        <f t="shared" si="73"/>
        <v>7274</v>
      </c>
      <c r="R587" s="147">
        <f t="shared" si="69"/>
        <v>-6887</v>
      </c>
      <c r="S587" s="119">
        <f t="shared" si="72"/>
        <v>-3035</v>
      </c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</row>
    <row r="588" spans="1:38">
      <c r="A588" s="108">
        <v>44132</v>
      </c>
      <c r="B588" s="109">
        <v>192086</v>
      </c>
      <c r="C588" s="110">
        <v>0.85</v>
      </c>
      <c r="D588" s="109">
        <v>10700</v>
      </c>
      <c r="E588" s="115"/>
      <c r="F588" s="111"/>
      <c r="G588" s="119">
        <f t="shared" si="66"/>
        <v>-9162.4</v>
      </c>
      <c r="H588" s="119">
        <f t="shared" si="68"/>
        <v>-7997</v>
      </c>
      <c r="I588" s="147">
        <f t="shared" si="76"/>
        <v>44462</v>
      </c>
      <c r="J588" s="119">
        <f t="shared" si="71"/>
        <v>8802.6</v>
      </c>
      <c r="K588" s="109">
        <v>28034</v>
      </c>
      <c r="L588" s="110">
        <v>0.42599999999999999</v>
      </c>
      <c r="M588" s="109">
        <v>3100</v>
      </c>
      <c r="N588" s="115"/>
      <c r="O588" s="111"/>
      <c r="P588" s="119">
        <f t="shared" si="67"/>
        <v>-867.8</v>
      </c>
      <c r="Q588" s="119">
        <f t="shared" si="73"/>
        <v>-8560</v>
      </c>
      <c r="R588" s="147">
        <f t="shared" si="69"/>
        <v>-764</v>
      </c>
      <c r="S588" s="119">
        <f t="shared" si="72"/>
        <v>2664.8</v>
      </c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</row>
    <row r="589" spans="1:38">
      <c r="A589" s="108">
        <v>44139</v>
      </c>
      <c r="B589" s="109">
        <v>209177</v>
      </c>
      <c r="C589" s="110">
        <v>0.93</v>
      </c>
      <c r="D589" s="109">
        <v>10700</v>
      </c>
      <c r="E589" s="115">
        <v>917992</v>
      </c>
      <c r="F589" s="111" t="s">
        <v>297</v>
      </c>
      <c r="G589" s="119">
        <f t="shared" si="66"/>
        <v>10950</v>
      </c>
      <c r="H589" s="119">
        <f t="shared" si="68"/>
        <v>17091</v>
      </c>
      <c r="I589" s="147">
        <f t="shared" si="76"/>
        <v>28810</v>
      </c>
      <c r="J589" s="119">
        <f t="shared" si="71"/>
        <v>3141.6</v>
      </c>
      <c r="K589" s="109">
        <v>41036</v>
      </c>
      <c r="L589" s="110">
        <v>0.624</v>
      </c>
      <c r="M589" s="109">
        <v>3100</v>
      </c>
      <c r="N589" s="115">
        <v>148652</v>
      </c>
      <c r="O589" s="111" t="s">
        <v>297</v>
      </c>
      <c r="P589" s="119">
        <f t="shared" si="67"/>
        <v>-2088.4</v>
      </c>
      <c r="Q589" s="119">
        <f t="shared" si="73"/>
        <v>13002</v>
      </c>
      <c r="R589" s="147">
        <f t="shared" si="69"/>
        <v>-4011</v>
      </c>
      <c r="S589" s="119">
        <f t="shared" si="72"/>
        <v>-1440.2</v>
      </c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</row>
    <row r="590" spans="1:38">
      <c r="A590" s="108">
        <v>44146</v>
      </c>
      <c r="B590" s="109">
        <v>195170</v>
      </c>
      <c r="C590" s="110">
        <v>0.86</v>
      </c>
      <c r="D590" s="109">
        <v>10700</v>
      </c>
      <c r="E590" s="115">
        <f>SUM(B589:B593)/35*30</f>
        <v>826466.57142857148</v>
      </c>
      <c r="F590" s="111" t="s">
        <v>298</v>
      </c>
      <c r="G590" s="119">
        <f t="shared" si="66"/>
        <v>2570.6</v>
      </c>
      <c r="H590" s="119">
        <f t="shared" si="68"/>
        <v>-14007</v>
      </c>
      <c r="I590" s="147">
        <f t="shared" si="76"/>
        <v>12247</v>
      </c>
      <c r="J590" s="119">
        <f t="shared" si="71"/>
        <v>11719.6</v>
      </c>
      <c r="K590" s="109">
        <v>29972</v>
      </c>
      <c r="L590" s="110">
        <v>0.45600000000000002</v>
      </c>
      <c r="M590" s="109">
        <v>3100</v>
      </c>
      <c r="N590" s="115">
        <f>SUM(K589:K593)/35*30</f>
        <v>147610.28571428571</v>
      </c>
      <c r="O590" s="111" t="s">
        <v>298</v>
      </c>
      <c r="P590" s="119">
        <f t="shared" si="67"/>
        <v>841.8</v>
      </c>
      <c r="Q590" s="119">
        <f t="shared" si="73"/>
        <v>-11064</v>
      </c>
      <c r="R590" s="147">
        <f t="shared" si="69"/>
        <v>2739</v>
      </c>
      <c r="S590" s="119">
        <f t="shared" si="72"/>
        <v>-1274.5999999999999</v>
      </c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</row>
    <row r="591" spans="1:38">
      <c r="A591" s="108">
        <v>44153</v>
      </c>
      <c r="B591" s="109">
        <v>198485</v>
      </c>
      <c r="C591" s="110">
        <v>0.88</v>
      </c>
      <c r="D591" s="109">
        <v>10700</v>
      </c>
      <c r="E591" s="115">
        <f>SUM(B589/7*6,B590,B591,B592,B593/7*3)/30*30</f>
        <v>839298.85714285704</v>
      </c>
      <c r="F591" s="111" t="s">
        <v>299</v>
      </c>
      <c r="G591" s="119">
        <f t="shared" si="66"/>
        <v>6674.4</v>
      </c>
      <c r="H591" s="119">
        <f t="shared" si="68"/>
        <v>3315</v>
      </c>
      <c r="I591" s="147">
        <f t="shared" si="76"/>
        <v>-8262</v>
      </c>
      <c r="J591" s="119">
        <f t="shared" si="71"/>
        <v>11723.8</v>
      </c>
      <c r="K591" s="109">
        <v>33344</v>
      </c>
      <c r="L591" s="110">
        <v>0.50700000000000001</v>
      </c>
      <c r="M591" s="109">
        <v>3100</v>
      </c>
      <c r="N591" s="115">
        <f>SUM(K589/7*6,K590,K591,K592,K593/7*3)/30*30</f>
        <v>143556.57142857142</v>
      </c>
      <c r="O591" s="111" t="s">
        <v>299</v>
      </c>
      <c r="P591" s="119">
        <f t="shared" si="67"/>
        <v>1727.2</v>
      </c>
      <c r="Q591" s="119">
        <f t="shared" si="73"/>
        <v>3372</v>
      </c>
      <c r="R591" s="147">
        <f t="shared" si="69"/>
        <v>-8303</v>
      </c>
      <c r="S591" s="119">
        <f t="shared" si="72"/>
        <v>-3235.2</v>
      </c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</row>
    <row r="592" spans="1:38">
      <c r="A592" s="108">
        <v>44160</v>
      </c>
      <c r="B592" s="109">
        <v>195077</v>
      </c>
      <c r="C592" s="110">
        <v>0.86</v>
      </c>
      <c r="D592" s="109">
        <f t="shared" si="74"/>
        <v>10700</v>
      </c>
      <c r="E592" s="116">
        <f>E589-AVERAGE(E590:E591)</f>
        <v>85109.285714285681</v>
      </c>
      <c r="F592" s="116" t="s">
        <v>275</v>
      </c>
      <c r="G592" s="119">
        <f t="shared" si="66"/>
        <v>-7634.2</v>
      </c>
      <c r="H592" s="119">
        <f t="shared" si="68"/>
        <v>-3408</v>
      </c>
      <c r="I592" s="147">
        <f t="shared" si="76"/>
        <v>8550</v>
      </c>
      <c r="J592" s="119">
        <f t="shared" si="71"/>
        <v>14673.6</v>
      </c>
      <c r="K592" s="109">
        <v>27972</v>
      </c>
      <c r="L592" s="110">
        <v>0.42499999999999999</v>
      </c>
      <c r="M592" s="109">
        <f t="shared" si="75"/>
        <v>3100</v>
      </c>
      <c r="N592" s="116">
        <f>N589-AVERAGE(N590:N591)</f>
        <v>3068.5714285714203</v>
      </c>
      <c r="O592" s="116" t="s">
        <v>275</v>
      </c>
      <c r="P592" s="119">
        <f t="shared" si="67"/>
        <v>2732</v>
      </c>
      <c r="Q592" s="119">
        <f t="shared" si="73"/>
        <v>-5372</v>
      </c>
      <c r="R592" s="147">
        <f t="shared" si="69"/>
        <v>-16556</v>
      </c>
      <c r="S592" s="119">
        <f t="shared" si="72"/>
        <v>-625.79999999999995</v>
      </c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</row>
    <row r="593" spans="1:38">
      <c r="A593" s="108">
        <v>44167</v>
      </c>
      <c r="B593" s="109">
        <v>166302</v>
      </c>
      <c r="C593" s="110">
        <v>0.74</v>
      </c>
      <c r="D593" s="109">
        <f t="shared" si="74"/>
        <v>10600</v>
      </c>
      <c r="E593" s="115">
        <v>904577</v>
      </c>
      <c r="F593" s="111" t="s">
        <v>300</v>
      </c>
      <c r="G593" s="119">
        <f t="shared" si="66"/>
        <v>12722</v>
      </c>
      <c r="H593" s="119">
        <f t="shared" si="68"/>
        <v>-28775</v>
      </c>
      <c r="I593" s="147">
        <f t="shared" si="76"/>
        <v>-24886</v>
      </c>
      <c r="J593" s="119">
        <f t="shared" si="71"/>
        <v>8301.6</v>
      </c>
      <c r="K593" s="109">
        <v>39888</v>
      </c>
      <c r="L593" s="110">
        <v>0.60599999999999998</v>
      </c>
      <c r="M593" s="109">
        <f t="shared" si="75"/>
        <v>3100</v>
      </c>
      <c r="N593" s="115">
        <v>153075</v>
      </c>
      <c r="O593" s="111" t="s">
        <v>300</v>
      </c>
      <c r="P593" s="119">
        <f t="shared" si="67"/>
        <v>-10872.6</v>
      </c>
      <c r="Q593" s="119">
        <f t="shared" si="73"/>
        <v>11916</v>
      </c>
      <c r="R593" s="147">
        <f t="shared" si="69"/>
        <v>14649</v>
      </c>
      <c r="S593" s="119">
        <f t="shared" si="72"/>
        <v>1701.8</v>
      </c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</row>
    <row r="594" spans="1:38">
      <c r="A594" s="108">
        <v>44174</v>
      </c>
      <c r="B594" s="109">
        <v>170761</v>
      </c>
      <c r="C594" s="110">
        <v>0.76</v>
      </c>
      <c r="D594" s="109">
        <f t="shared" ref="D594" si="77">IF(B594="","",IF(C594="","",MROUND((B594/C594)/(A594-A593)*330/1000,25)))</f>
        <v>10600</v>
      </c>
      <c r="E594" s="115">
        <f>SUM(B593:B597)/35*31</f>
        <v>777402.05714285711</v>
      </c>
      <c r="F594" s="111" t="s">
        <v>301</v>
      </c>
      <c r="G594" s="119">
        <f t="shared" si="66"/>
        <v>-16058.6</v>
      </c>
      <c r="H594" s="119">
        <f t="shared" si="68"/>
        <v>4459</v>
      </c>
      <c r="I594" s="147">
        <f t="shared" si="76"/>
        <v>-20395</v>
      </c>
      <c r="J594" s="119">
        <f t="shared" si="71"/>
        <v>10970.4</v>
      </c>
      <c r="K594" s="109">
        <v>28453</v>
      </c>
      <c r="L594" s="110">
        <v>0.43200000000000005</v>
      </c>
      <c r="M594" s="109">
        <f t="shared" ref="M594" si="78">IF(K594="","",IF(L594="","",MROUND((K594/L594)/(A594-A593)*330/1000,25)))</f>
        <v>3100</v>
      </c>
      <c r="N594" s="115">
        <f>SUM(K593:K597)/35*31</f>
        <v>151523.57142857145</v>
      </c>
      <c r="O594" s="111" t="s">
        <v>301</v>
      </c>
      <c r="P594" s="119">
        <f t="shared" si="67"/>
        <v>6373.6</v>
      </c>
      <c r="Q594" s="119">
        <f t="shared" si="73"/>
        <v>-11435</v>
      </c>
      <c r="R594" s="147">
        <f t="shared" si="69"/>
        <v>-2226</v>
      </c>
      <c r="S594" s="119">
        <f t="shared" si="72"/>
        <v>-4243.6000000000004</v>
      </c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</row>
    <row r="595" spans="1:38">
      <c r="A595" s="108">
        <v>44181</v>
      </c>
      <c r="B595" s="109">
        <v>207236</v>
      </c>
      <c r="C595" s="110">
        <v>0.91200000000000003</v>
      </c>
      <c r="D595" s="109">
        <f t="shared" ref="D595" si="79">IF(B595="","",IF(C595="","",MROUND((B595/C595)/(A595-A594)*330/1000,25)))</f>
        <v>10700</v>
      </c>
      <c r="E595" s="115">
        <f>SUM(B593/7*4,B594,B595,B596,B597/7*6)/31*31</f>
        <v>779295.42857142864</v>
      </c>
      <c r="F595" s="111" t="s">
        <v>302</v>
      </c>
      <c r="G595" s="119">
        <f t="shared" si="66"/>
        <v>13458.6</v>
      </c>
      <c r="H595" s="119">
        <f t="shared" si="68"/>
        <v>36475</v>
      </c>
      <c r="I595" s="147">
        <f t="shared" si="76"/>
        <v>5705</v>
      </c>
      <c r="J595" s="119">
        <f t="shared" si="71"/>
        <v>9419.6</v>
      </c>
      <c r="K595" s="109">
        <v>30411</v>
      </c>
      <c r="L595" s="110">
        <v>0.46200000000000002</v>
      </c>
      <c r="M595" s="109">
        <f t="shared" ref="M595" si="80">IF(K595="","",IF(L595="","",MROUND((K595/L595)/(A595-A594)*330/1000,25)))</f>
        <v>3100</v>
      </c>
      <c r="N595" s="115">
        <f>SUM(K593/7*4,K594,K595,K596,K597/7*6)/31*31</f>
        <v>147826.42857142858</v>
      </c>
      <c r="O595" s="111" t="s">
        <v>302</v>
      </c>
      <c r="P595" s="119">
        <f t="shared" si="67"/>
        <v>2067.8000000000002</v>
      </c>
      <c r="Q595" s="119">
        <f t="shared" si="73"/>
        <v>1958</v>
      </c>
      <c r="R595" s="147">
        <f t="shared" si="69"/>
        <v>-16530</v>
      </c>
      <c r="S595" s="119">
        <f t="shared" si="72"/>
        <v>-2342</v>
      </c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</row>
    <row r="596" spans="1:38">
      <c r="A596" s="108">
        <v>44188</v>
      </c>
      <c r="B596" s="109">
        <v>143403</v>
      </c>
      <c r="C596" s="110">
        <v>0.88800000000000001</v>
      </c>
      <c r="D596" s="109">
        <f t="shared" ref="D596:D597" si="81">IF(B596="","",IF(C596="","",MROUND((B596/C596)/(A596-A595)*330/1000,25)))</f>
        <v>7625</v>
      </c>
      <c r="E596" s="116">
        <f>E593-AVERAGE(E594:E595)</f>
        <v>126228.25714285718</v>
      </c>
      <c r="F596" s="116" t="s">
        <v>275</v>
      </c>
      <c r="G596" s="119">
        <f t="shared" si="66"/>
        <v>-10726.4</v>
      </c>
      <c r="H596" s="119">
        <f t="shared" si="68"/>
        <v>-63833</v>
      </c>
      <c r="I596" s="147">
        <f t="shared" si="76"/>
        <v>-37977</v>
      </c>
      <c r="J596" s="119">
        <f t="shared" si="71"/>
        <v>14086</v>
      </c>
      <c r="K596" s="109">
        <v>29247</v>
      </c>
      <c r="L596" s="110">
        <v>0.44400000000000001</v>
      </c>
      <c r="M596" s="109">
        <f t="shared" ref="M596:M597" si="82">IF(K596="","",IF(L596="","",MROUND((K596/L596)/(A596-A595)*330/1000,25)))</f>
        <v>3100</v>
      </c>
      <c r="N596" s="116">
        <f>N593-AVERAGE(N594:N595)</f>
        <v>3400</v>
      </c>
      <c r="O596" s="116" t="s">
        <v>275</v>
      </c>
      <c r="P596" s="119">
        <f t="shared" si="67"/>
        <v>-1171.5999999999999</v>
      </c>
      <c r="Q596" s="119">
        <f t="shared" si="73"/>
        <v>-1164</v>
      </c>
      <c r="R596" s="147">
        <f t="shared" si="69"/>
        <v>-2419</v>
      </c>
      <c r="S596" s="119">
        <f t="shared" si="72"/>
        <v>261.2</v>
      </c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</row>
    <row r="597" spans="1:38">
      <c r="A597" s="108">
        <v>44195</v>
      </c>
      <c r="B597" s="109">
        <v>190010</v>
      </c>
      <c r="C597" s="110">
        <v>0.84</v>
      </c>
      <c r="D597" s="109">
        <f t="shared" si="81"/>
        <v>10675</v>
      </c>
      <c r="E597" s="115">
        <v>915553</v>
      </c>
      <c r="F597" s="111" t="s">
        <v>303</v>
      </c>
      <c r="G597" s="119">
        <f t="shared" si="66"/>
        <v>-10985.4</v>
      </c>
      <c r="H597" s="119">
        <f t="shared" si="68"/>
        <v>46607</v>
      </c>
      <c r="I597" s="147">
        <f t="shared" si="76"/>
        <v>-5133</v>
      </c>
      <c r="J597" s="119">
        <f t="shared" si="71"/>
        <v>10748.6</v>
      </c>
      <c r="K597" s="109">
        <v>43076</v>
      </c>
      <c r="L597" s="110">
        <v>0.65500000000000003</v>
      </c>
      <c r="M597" s="109">
        <f t="shared" si="82"/>
        <v>3100</v>
      </c>
      <c r="N597" s="115">
        <v>141861</v>
      </c>
      <c r="O597" s="111" t="s">
        <v>303</v>
      </c>
      <c r="P597" s="119">
        <f t="shared" si="67"/>
        <v>-4380.3999999999996</v>
      </c>
      <c r="Q597" s="119">
        <f t="shared" si="73"/>
        <v>13829</v>
      </c>
      <c r="R597" s="147">
        <f t="shared" si="69"/>
        <v>-3375</v>
      </c>
      <c r="S597" s="119">
        <f t="shared" si="72"/>
        <v>-1682.4</v>
      </c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</row>
    <row r="598" spans="1:38">
      <c r="A598" s="108">
        <v>44202</v>
      </c>
      <c r="B598" s="109">
        <v>203569</v>
      </c>
      <c r="C598" s="110">
        <v>0.9</v>
      </c>
      <c r="D598" s="109">
        <f t="shared" ref="D598" si="83">IF(B598="","",IF(C598="","",MROUND((B598/C598)/(A598-A597)*330/1000,25)))</f>
        <v>10675</v>
      </c>
      <c r="E598" s="115">
        <f>SUM(B597:B602)/42*31</f>
        <v>807756.66666666674</v>
      </c>
      <c r="F598" s="111" t="s">
        <v>304</v>
      </c>
      <c r="G598" s="119">
        <f t="shared" si="66"/>
        <v>-20833.8</v>
      </c>
      <c r="H598" s="119">
        <f t="shared" si="68"/>
        <v>13559</v>
      </c>
      <c r="I598" s="147">
        <f t="shared" si="76"/>
        <v>26956</v>
      </c>
      <c r="J598" s="119">
        <f t="shared" si="71"/>
        <v>9960.4</v>
      </c>
      <c r="K598" s="109">
        <v>27567</v>
      </c>
      <c r="L598" s="110">
        <v>0.41899999999999998</v>
      </c>
      <c r="M598" s="109">
        <f t="shared" ref="M598" si="84">IF(K598="","",IF(L598="","",MROUND((K598/L598)/(A598-A597)*330/1000,25)))</f>
        <v>3100</v>
      </c>
      <c r="N598" s="115">
        <f>SUM(K597:K602)/42*31</f>
        <v>146723</v>
      </c>
      <c r="O598" s="111" t="s">
        <v>304</v>
      </c>
      <c r="P598" s="119">
        <f t="shared" si="67"/>
        <v>-0.8</v>
      </c>
      <c r="Q598" s="119">
        <f t="shared" si="73"/>
        <v>-15509</v>
      </c>
      <c r="R598" s="147">
        <f t="shared" si="69"/>
        <v>-3086</v>
      </c>
      <c r="S598" s="119">
        <f t="shared" si="72"/>
        <v>3253</v>
      </c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</row>
    <row r="599" spans="1:38">
      <c r="A599" s="108">
        <v>44209</v>
      </c>
      <c r="B599" s="109">
        <v>171189</v>
      </c>
      <c r="C599" s="110">
        <v>0.75700000000000001</v>
      </c>
      <c r="D599" s="109">
        <f t="shared" ref="D599" si="85">IF(B599="","",IF(C599="","",MROUND((B599/C599)/(A599-A598)*330/1000,25)))</f>
        <v>10650</v>
      </c>
      <c r="E599" s="115">
        <f>SUM(B597/7*1,B598,B599,B600,B601,B602/7*2)/31*31</f>
        <v>803422.14285714284</v>
      </c>
      <c r="F599" s="111" t="s">
        <v>305</v>
      </c>
      <c r="G599" s="119">
        <f t="shared" si="66"/>
        <v>21178.400000000001</v>
      </c>
      <c r="H599" s="119">
        <f t="shared" si="68"/>
        <v>-32380</v>
      </c>
      <c r="I599" s="147">
        <f t="shared" si="76"/>
        <v>-27104</v>
      </c>
      <c r="J599" s="119">
        <f t="shared" si="71"/>
        <v>4702.2</v>
      </c>
      <c r="K599" s="109">
        <v>35117</v>
      </c>
      <c r="L599" s="110">
        <v>0.53400000000000003</v>
      </c>
      <c r="M599" s="109">
        <f t="shared" ref="M599" si="86">IF(K599="","",IF(L599="","",MROUND((K599/L599)/(A599-A598)*330/1000,25)))</f>
        <v>3100</v>
      </c>
      <c r="N599" s="115">
        <f>SUM(K597/7*1,K598,K599,K600,K601,K602/7*2)/29*31</f>
        <v>151297.71428571429</v>
      </c>
      <c r="O599" s="111" t="s">
        <v>305</v>
      </c>
      <c r="P599" s="119">
        <f t="shared" si="67"/>
        <v>1819</v>
      </c>
      <c r="Q599" s="119">
        <f t="shared" si="73"/>
        <v>7550</v>
      </c>
      <c r="R599" s="147">
        <f t="shared" si="69"/>
        <v>-9141</v>
      </c>
      <c r="S599" s="119">
        <f t="shared" si="72"/>
        <v>-16.600000000000001</v>
      </c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</row>
    <row r="600" spans="1:38">
      <c r="A600" s="108">
        <v>44216</v>
      </c>
      <c r="B600" s="109">
        <v>159971</v>
      </c>
      <c r="C600" s="110">
        <v>0.70700000000000007</v>
      </c>
      <c r="D600" s="109">
        <f t="shared" ref="D600" si="87">IF(B600="","",IF(C600="","",MROUND((B600/C600)/(A600-A599)*330/1000,25)))</f>
        <v>10675</v>
      </c>
      <c r="E600" s="116">
        <f>E597-AVERAGE(E598:E599)</f>
        <v>109963.59523809515</v>
      </c>
      <c r="F600" s="116" t="s">
        <v>275</v>
      </c>
      <c r="G600" s="119">
        <f t="shared" si="66"/>
        <v>5184</v>
      </c>
      <c r="H600" s="119">
        <f t="shared" si="68"/>
        <v>-11218</v>
      </c>
      <c r="I600" s="147">
        <f t="shared" si="76"/>
        <v>-38889</v>
      </c>
      <c r="J600" s="119">
        <f t="shared" si="71"/>
        <v>9704.4</v>
      </c>
      <c r="K600" s="109">
        <v>26635</v>
      </c>
      <c r="L600" s="110">
        <v>0.40500000000000003</v>
      </c>
      <c r="M600" s="109">
        <f t="shared" ref="M600" si="88">IF(K600="","",IF(L600="","",MROUND((K600/L600)/(A600-A599)*330/1000,25)))</f>
        <v>3100</v>
      </c>
      <c r="N600" s="116">
        <f>N597-AVERAGE(N598:N599)</f>
        <v>-7149.3571428571595</v>
      </c>
      <c r="O600" s="116" t="s">
        <v>275</v>
      </c>
      <c r="P600" s="119">
        <f t="shared" si="67"/>
        <v>1248.2</v>
      </c>
      <c r="Q600" s="119">
        <f t="shared" si="73"/>
        <v>-8482</v>
      </c>
      <c r="R600" s="147">
        <f t="shared" si="69"/>
        <v>-7068</v>
      </c>
      <c r="S600" s="119">
        <f t="shared" si="72"/>
        <v>1716.4</v>
      </c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</row>
    <row r="601" spans="1:38">
      <c r="A601" s="108">
        <v>44223</v>
      </c>
      <c r="B601" s="109">
        <v>190312</v>
      </c>
      <c r="C601" s="110">
        <v>0.84200000000000008</v>
      </c>
      <c r="D601" s="109">
        <f t="shared" ref="D601" si="89">IF(B601="","",IF(C601="","",MROUND((B601/C601)/(A601-A600)*330/1000,25)))</f>
        <v>10650</v>
      </c>
      <c r="E601" s="115"/>
      <c r="F601" s="111"/>
      <c r="G601" s="119">
        <f t="shared" si="66"/>
        <v>-1893.4</v>
      </c>
      <c r="H601" s="119">
        <f t="shared" si="68"/>
        <v>30341</v>
      </c>
      <c r="I601" s="147">
        <f t="shared" si="76"/>
        <v>27450</v>
      </c>
      <c r="J601" s="119">
        <f t="shared" si="71"/>
        <v>10788.8</v>
      </c>
      <c r="K601" s="109">
        <v>37933</v>
      </c>
      <c r="L601" s="110">
        <v>0.57600000000000007</v>
      </c>
      <c r="M601" s="109">
        <f t="shared" ref="M601" si="90">IF(K601="","",IF(L601="","",MROUND((K601/L601)/(A601-A600)*330/1000,25)))</f>
        <v>3100</v>
      </c>
      <c r="N601" s="115"/>
      <c r="O601" s="111"/>
      <c r="P601" s="119">
        <f t="shared" si="67"/>
        <v>-4550.6000000000004</v>
      </c>
      <c r="Q601" s="119">
        <f t="shared" si="73"/>
        <v>11298</v>
      </c>
      <c r="R601" s="147">
        <f t="shared" si="69"/>
        <v>-2151</v>
      </c>
      <c r="S601" s="119">
        <f t="shared" si="72"/>
        <v>-2134.8000000000002</v>
      </c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</row>
    <row r="602" spans="1:38">
      <c r="A602" s="108">
        <v>44230</v>
      </c>
      <c r="B602" s="109">
        <v>179329</v>
      </c>
      <c r="C602" s="110">
        <v>0.79299999999999993</v>
      </c>
      <c r="D602" s="109">
        <f t="shared" ref="D602" si="91">IF(B602="","",IF(C602="","",MROUND((B602/C602)/(A602-A601)*330/1000,25)))</f>
        <v>10650</v>
      </c>
      <c r="E602" s="115">
        <v>797438</v>
      </c>
      <c r="F602" s="111" t="s">
        <v>306</v>
      </c>
      <c r="G602" s="119">
        <f t="shared" si="66"/>
        <v>129.6</v>
      </c>
      <c r="H602" s="119">
        <f t="shared" si="68"/>
        <v>-10983</v>
      </c>
      <c r="I602" s="147">
        <f t="shared" si="76"/>
        <v>28139</v>
      </c>
      <c r="J602" s="119">
        <f t="shared" si="71"/>
        <v>5328.8</v>
      </c>
      <c r="K602" s="109">
        <v>28458</v>
      </c>
      <c r="L602" s="110">
        <v>0.43200000000000005</v>
      </c>
      <c r="M602" s="109">
        <f t="shared" ref="M602" si="92">IF(K602="","",IF(L602="","",MROUND((K602/L602)/(A602-A601)*330/1000,25)))</f>
        <v>3100</v>
      </c>
      <c r="N602" s="115">
        <v>125966</v>
      </c>
      <c r="O602" s="111" t="s">
        <v>306</v>
      </c>
      <c r="P602" s="119">
        <f t="shared" si="67"/>
        <v>7025.8</v>
      </c>
      <c r="Q602" s="119">
        <f t="shared" si="73"/>
        <v>-9475</v>
      </c>
      <c r="R602" s="147">
        <f t="shared" si="69"/>
        <v>-4667</v>
      </c>
      <c r="S602" s="119">
        <f t="shared" si="72"/>
        <v>-1283.4000000000001</v>
      </c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</row>
    <row r="603" spans="1:38">
      <c r="A603" s="108">
        <v>44237</v>
      </c>
      <c r="B603" s="109">
        <v>179080</v>
      </c>
      <c r="C603" s="110">
        <v>0.79200000000000004</v>
      </c>
      <c r="D603" s="109">
        <f t="shared" ref="D603" si="93">IF(B603="","",IF(C603="","",MROUND((B603/C603)/(A603-A602)*330/1000,25)))</f>
        <v>10650</v>
      </c>
      <c r="E603" s="115">
        <f>SUM(B602:B606)/35*28</f>
        <v>770944.8</v>
      </c>
      <c r="F603" s="111" t="s">
        <v>307</v>
      </c>
      <c r="G603" s="119">
        <f t="shared" si="66"/>
        <v>3730</v>
      </c>
      <c r="H603" s="119">
        <f t="shared" si="68"/>
        <v>-249</v>
      </c>
      <c r="I603" s="147">
        <f t="shared" si="76"/>
        <v>-3266</v>
      </c>
      <c r="J603" s="119">
        <f t="shared" si="71"/>
        <v>4033.8</v>
      </c>
      <c r="K603" s="109">
        <v>36259</v>
      </c>
      <c r="L603" s="110">
        <v>0.55100000000000005</v>
      </c>
      <c r="M603" s="109">
        <f t="shared" ref="M603" si="94">IF(K603="","",IF(L603="","",MROUND((K603/L603)/(A603-A602)*330/1000,25)))</f>
        <v>3100</v>
      </c>
      <c r="N603" s="115">
        <f>SUM(K602:K606)/35*28</f>
        <v>127455.20000000001</v>
      </c>
      <c r="O603" s="111" t="s">
        <v>307</v>
      </c>
      <c r="P603" s="119">
        <f t="shared" si="67"/>
        <v>-7887.4</v>
      </c>
      <c r="Q603" s="119">
        <f t="shared" si="73"/>
        <v>7801</v>
      </c>
      <c r="R603" s="147">
        <f t="shared" si="69"/>
        <v>-524</v>
      </c>
      <c r="S603" s="119">
        <f t="shared" si="72"/>
        <v>301.2</v>
      </c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</row>
    <row r="604" spans="1:38">
      <c r="A604" s="108">
        <v>44244</v>
      </c>
      <c r="B604" s="109">
        <v>186030</v>
      </c>
      <c r="C604" s="110">
        <v>0.82299999999999995</v>
      </c>
      <c r="D604" s="109">
        <f t="shared" ref="D604" si="95">IF(B604="","",IF(C604="","",MROUND((B604/C604)/(A604-A603)*330/1000,25)))</f>
        <v>10650</v>
      </c>
      <c r="E604" s="115">
        <f>SUM(B602/7*5,B603,B604,B605,B606/7*2)/28*28</f>
        <v>752848.42857142852</v>
      </c>
      <c r="F604" s="111" t="s">
        <v>308</v>
      </c>
      <c r="G604" s="119">
        <f t="shared" si="66"/>
        <v>11828.8</v>
      </c>
      <c r="H604" s="119">
        <f t="shared" si="68"/>
        <v>6950</v>
      </c>
      <c r="I604" s="147">
        <f t="shared" si="76"/>
        <v>-8174</v>
      </c>
      <c r="J604" s="119">
        <f t="shared" si="71"/>
        <v>6760</v>
      </c>
      <c r="K604" s="109">
        <v>26460</v>
      </c>
      <c r="L604" s="110">
        <v>0.40200000000000002</v>
      </c>
      <c r="M604" s="109">
        <f t="shared" ref="M604" si="96">IF(K604="","",IF(L604="","",MROUND((K604/L604)/(A604-A603)*330/1000,25)))</f>
        <v>3100</v>
      </c>
      <c r="N604" s="115">
        <f>SUM(K602/7*5,K603,K604,K605,K606/7*2)/28*28</f>
        <v>121568.14285714284</v>
      </c>
      <c r="O604" s="111" t="s">
        <v>308</v>
      </c>
      <c r="P604" s="119">
        <f t="shared" si="67"/>
        <v>-3457.2</v>
      </c>
      <c r="Q604" s="119">
        <f t="shared" si="73"/>
        <v>-9799</v>
      </c>
      <c r="R604" s="147">
        <f t="shared" si="69"/>
        <v>-2874</v>
      </c>
      <c r="S604" s="119">
        <f t="shared" si="72"/>
        <v>3759.2</v>
      </c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</row>
    <row r="605" spans="1:38">
      <c r="A605" s="108">
        <v>44251</v>
      </c>
      <c r="B605" s="109">
        <v>195808</v>
      </c>
      <c r="C605" s="110">
        <v>0.86599999999999999</v>
      </c>
      <c r="D605" s="109">
        <v>10825</v>
      </c>
      <c r="E605" s="116">
        <f>E602-AVERAGE(E603:E604)</f>
        <v>35541.385714285774</v>
      </c>
      <c r="F605" s="116" t="s">
        <v>275</v>
      </c>
      <c r="G605" s="119">
        <f t="shared" ref="G605:G663" si="97">AVERAGE(B553-B552,B501-B500,B449-B448,B397-B396,B345-B344)</f>
        <v>-2309</v>
      </c>
      <c r="H605" s="119">
        <f t="shared" si="68"/>
        <v>9778</v>
      </c>
      <c r="I605" s="147">
        <f t="shared" si="76"/>
        <v>-7443</v>
      </c>
      <c r="J605" s="119">
        <f t="shared" si="71"/>
        <v>8053.8</v>
      </c>
      <c r="K605" s="109">
        <v>26674</v>
      </c>
      <c r="L605" s="110">
        <v>0.40500000000000003</v>
      </c>
      <c r="M605" s="109">
        <v>3100</v>
      </c>
      <c r="N605" s="116">
        <f>N602-AVERAGE(N603:N604)</f>
        <v>1454.3285714285739</v>
      </c>
      <c r="O605" s="116" t="s">
        <v>275</v>
      </c>
      <c r="P605" s="119">
        <f t="shared" si="67"/>
        <v>6353.2</v>
      </c>
      <c r="Q605" s="119">
        <f t="shared" si="73"/>
        <v>214</v>
      </c>
      <c r="R605" s="147">
        <f t="shared" si="69"/>
        <v>-13437</v>
      </c>
      <c r="S605" s="119">
        <f t="shared" si="72"/>
        <v>-50.8</v>
      </c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</row>
    <row r="606" spans="1:38">
      <c r="A606" s="108">
        <v>44258</v>
      </c>
      <c r="B606" s="109">
        <v>223434</v>
      </c>
      <c r="C606" s="110">
        <v>0.98799999999999999</v>
      </c>
      <c r="D606" s="109">
        <v>10850</v>
      </c>
      <c r="E606" s="115">
        <v>957952</v>
      </c>
      <c r="F606" s="111" t="s">
        <v>272</v>
      </c>
      <c r="G606" s="119">
        <f t="shared" si="97"/>
        <v>38.799999999999997</v>
      </c>
      <c r="H606" s="119">
        <f t="shared" si="68"/>
        <v>27626</v>
      </c>
      <c r="I606" s="147">
        <f t="shared" si="76"/>
        <v>24922</v>
      </c>
      <c r="J606" s="119">
        <f t="shared" si="71"/>
        <v>14041.4</v>
      </c>
      <c r="K606" s="109">
        <v>41468</v>
      </c>
      <c r="L606" s="110">
        <v>0.63</v>
      </c>
      <c r="M606" s="109">
        <v>3100</v>
      </c>
      <c r="N606" s="115">
        <v>139030</v>
      </c>
      <c r="O606" s="111" t="s">
        <v>272</v>
      </c>
      <c r="P606" s="119">
        <f t="shared" ref="P606:P669" si="98">AVERAGE(K554-K553,K502-K501,K450-K449,K398-K397,K346-K345)</f>
        <v>4018.6</v>
      </c>
      <c r="Q606" s="119">
        <f t="shared" si="73"/>
        <v>14794</v>
      </c>
      <c r="R606" s="147">
        <f t="shared" si="69"/>
        <v>11859</v>
      </c>
      <c r="S606" s="119">
        <f t="shared" si="72"/>
        <v>2637</v>
      </c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</row>
    <row r="607" spans="1:38">
      <c r="A607" s="108">
        <v>44265</v>
      </c>
      <c r="B607" s="109">
        <v>200578</v>
      </c>
      <c r="C607" s="110">
        <v>0.88300000000000001</v>
      </c>
      <c r="D607" s="109">
        <v>10825</v>
      </c>
      <c r="E607" s="115">
        <f>SUM(B606:B610)/35*31</f>
        <v>938959.88571428566</v>
      </c>
      <c r="F607" s="111" t="s">
        <v>273</v>
      </c>
      <c r="G607" s="119">
        <f t="shared" si="97"/>
        <v>6581.2</v>
      </c>
      <c r="H607" s="119">
        <f t="shared" si="68"/>
        <v>-22856</v>
      </c>
      <c r="I607" s="147">
        <f t="shared" si="76"/>
        <v>2910</v>
      </c>
      <c r="J607" s="119">
        <f t="shared" si="71"/>
        <v>7665.4</v>
      </c>
      <c r="K607" s="109">
        <v>26569</v>
      </c>
      <c r="L607" s="110">
        <v>0.40399999999999997</v>
      </c>
      <c r="M607" s="109">
        <v>3100</v>
      </c>
      <c r="N607" s="115">
        <f>SUM(K606:K610)/35*31</f>
        <v>146908.11428571428</v>
      </c>
      <c r="O607" s="111" t="s">
        <v>273</v>
      </c>
      <c r="P607" s="119">
        <f t="shared" si="98"/>
        <v>-9470</v>
      </c>
      <c r="Q607" s="119">
        <f t="shared" si="73"/>
        <v>-14899</v>
      </c>
      <c r="R607" s="147">
        <f t="shared" si="69"/>
        <v>-12387</v>
      </c>
      <c r="S607" s="119">
        <f t="shared" si="72"/>
        <v>2223.8000000000002</v>
      </c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</row>
    <row r="608" spans="1:38">
      <c r="A608" s="108">
        <v>44272</v>
      </c>
      <c r="B608" s="109">
        <v>218710</v>
      </c>
      <c r="C608" s="110">
        <v>0.96299999999999997</v>
      </c>
      <c r="D608" s="109">
        <v>10825</v>
      </c>
      <c r="E608" s="115">
        <f>SUM(B606/7*5,B607,B608,B609,B610/7*5)/31*31</f>
        <v>934444.28571428568</v>
      </c>
      <c r="F608" s="111" t="s">
        <v>274</v>
      </c>
      <c r="G608" s="119">
        <f t="shared" si="97"/>
        <v>-2014</v>
      </c>
      <c r="H608" s="119">
        <f t="shared" si="68"/>
        <v>18132</v>
      </c>
      <c r="I608" s="147">
        <f t="shared" si="76"/>
        <v>13986</v>
      </c>
      <c r="J608" s="119">
        <f t="shared" si="71"/>
        <v>7100.4</v>
      </c>
      <c r="K608" s="109">
        <v>33692</v>
      </c>
      <c r="L608" s="110">
        <v>0.51200000000000001</v>
      </c>
      <c r="M608" s="109">
        <v>3100</v>
      </c>
      <c r="N608" s="115">
        <f>SUM(K606/7*5,K607,K608,K609,K610/7*5)/31*31</f>
        <v>143383.71428571429</v>
      </c>
      <c r="O608" s="111" t="s">
        <v>274</v>
      </c>
      <c r="P608" s="119">
        <f t="shared" si="98"/>
        <v>-1723</v>
      </c>
      <c r="Q608" s="119">
        <f t="shared" si="73"/>
        <v>7123</v>
      </c>
      <c r="R608" s="147">
        <f t="shared" si="69"/>
        <v>94</v>
      </c>
      <c r="S608" s="119">
        <f t="shared" si="72"/>
        <v>2122.4</v>
      </c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</row>
    <row r="609" spans="1:38">
      <c r="A609" s="108">
        <v>44279</v>
      </c>
      <c r="B609" s="109">
        <v>200977</v>
      </c>
      <c r="C609" s="110">
        <v>0.88500000000000001</v>
      </c>
      <c r="D609" s="109">
        <v>10825</v>
      </c>
      <c r="E609" s="116">
        <f>E606-AVERAGE(E607:E608)</f>
        <v>21249.914285714272</v>
      </c>
      <c r="F609" s="116" t="s">
        <v>275</v>
      </c>
      <c r="G609" s="119">
        <f t="shared" si="97"/>
        <v>-5670.6</v>
      </c>
      <c r="H609" s="119">
        <f t="shared" si="68"/>
        <v>-17733</v>
      </c>
      <c r="I609" s="147">
        <f t="shared" si="76"/>
        <v>9683</v>
      </c>
      <c r="J609" s="119">
        <f t="shared" si="71"/>
        <v>13171.2</v>
      </c>
      <c r="K609" s="109">
        <v>26922</v>
      </c>
      <c r="L609" s="110">
        <v>0.40899999999999997</v>
      </c>
      <c r="M609" s="109">
        <v>3100</v>
      </c>
      <c r="N609" s="116">
        <f>N606-AVERAGE(N607:N608)</f>
        <v>-6115.9142857142724</v>
      </c>
      <c r="O609" s="116" t="s">
        <v>275</v>
      </c>
      <c r="P609" s="119">
        <f t="shared" si="98"/>
        <v>7707.6</v>
      </c>
      <c r="Q609" s="119">
        <f t="shared" si="73"/>
        <v>-6770</v>
      </c>
      <c r="R609" s="147">
        <f t="shared" si="69"/>
        <v>-15375</v>
      </c>
      <c r="S609" s="119">
        <f t="shared" si="72"/>
        <v>-1930.6</v>
      </c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</row>
    <row r="610" spans="1:38">
      <c r="A610" s="108">
        <v>44286</v>
      </c>
      <c r="B610" s="109">
        <v>216417</v>
      </c>
      <c r="C610" s="110">
        <v>0.95299999999999996</v>
      </c>
      <c r="D610" s="109">
        <v>10850</v>
      </c>
      <c r="E610" s="115">
        <v>901911</v>
      </c>
      <c r="F610" s="111" t="s">
        <v>276</v>
      </c>
      <c r="G610" s="119">
        <f t="shared" si="97"/>
        <v>3194.8</v>
      </c>
      <c r="H610" s="119">
        <f t="shared" si="68"/>
        <v>15440</v>
      </c>
      <c r="I610" s="147">
        <f t="shared" si="76"/>
        <v>10250</v>
      </c>
      <c r="J610" s="119">
        <f t="shared" si="71"/>
        <v>11651</v>
      </c>
      <c r="K610" s="109">
        <v>37213</v>
      </c>
      <c r="L610" s="110">
        <v>0.56600000000000006</v>
      </c>
      <c r="M610" s="109">
        <v>3100</v>
      </c>
      <c r="N610" s="115">
        <v>138624</v>
      </c>
      <c r="O610" s="111" t="s">
        <v>276</v>
      </c>
      <c r="P610" s="119">
        <f t="shared" si="98"/>
        <v>5212.8</v>
      </c>
      <c r="Q610" s="119">
        <f t="shared" si="73"/>
        <v>10291</v>
      </c>
      <c r="R610" s="147">
        <f t="shared" si="69"/>
        <v>3629</v>
      </c>
      <c r="S610" s="119">
        <f t="shared" si="72"/>
        <v>-1386.6</v>
      </c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</row>
    <row r="611" spans="1:38">
      <c r="A611" s="108">
        <v>44293</v>
      </c>
      <c r="B611" s="109">
        <v>211538</v>
      </c>
      <c r="C611" s="110">
        <v>0.93099999999999994</v>
      </c>
      <c r="D611" s="109">
        <v>10850</v>
      </c>
      <c r="E611" s="115">
        <f>SUM(B610:B614)/35*30</f>
        <v>911255.14285714284</v>
      </c>
      <c r="F611" s="111" t="s">
        <v>277</v>
      </c>
      <c r="G611" s="119">
        <f t="shared" si="97"/>
        <v>-2682.8</v>
      </c>
      <c r="H611" s="119">
        <f t="shared" si="68"/>
        <v>-4879</v>
      </c>
      <c r="I611" s="147">
        <f t="shared" si="76"/>
        <v>32449</v>
      </c>
      <c r="J611" s="119">
        <f t="shared" si="71"/>
        <v>13708.6</v>
      </c>
      <c r="K611" s="109">
        <v>26210</v>
      </c>
      <c r="L611" s="110">
        <v>0.39799999999999996</v>
      </c>
      <c r="M611" s="109">
        <v>3100</v>
      </c>
      <c r="N611" s="115">
        <f>SUM(K610:K614)/35*30</f>
        <v>136806.85714285716</v>
      </c>
      <c r="O611" s="111" t="s">
        <v>277</v>
      </c>
      <c r="P611" s="119">
        <f t="shared" si="98"/>
        <v>-13320.6</v>
      </c>
      <c r="Q611" s="119">
        <f t="shared" si="73"/>
        <v>-11003</v>
      </c>
      <c r="R611" s="147">
        <f t="shared" si="69"/>
        <v>-8893</v>
      </c>
      <c r="S611" s="119">
        <f t="shared" si="72"/>
        <v>-2606.4</v>
      </c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</row>
    <row r="612" spans="1:38">
      <c r="A612" s="108">
        <v>44300</v>
      </c>
      <c r="B612" s="109">
        <v>219830</v>
      </c>
      <c r="C612" s="110">
        <v>0.96799999999999997</v>
      </c>
      <c r="D612" s="109">
        <v>10825</v>
      </c>
      <c r="E612" s="115">
        <f>SUM(B610/7*2,B611,B612,B613,B614)/30*30</f>
        <v>908547.42857142864</v>
      </c>
      <c r="F612" s="111" t="s">
        <v>278</v>
      </c>
      <c r="G612" s="119">
        <f t="shared" si="97"/>
        <v>6289.2</v>
      </c>
      <c r="H612" s="119">
        <f t="shared" si="68"/>
        <v>8292</v>
      </c>
      <c r="I612" s="147">
        <f t="shared" si="76"/>
        <v>29648</v>
      </c>
      <c r="J612" s="119">
        <f t="shared" si="71"/>
        <v>5630.2</v>
      </c>
      <c r="K612" s="109">
        <v>26314</v>
      </c>
      <c r="L612" s="110">
        <v>0.4</v>
      </c>
      <c r="M612" s="109">
        <v>3100</v>
      </c>
      <c r="N612" s="115">
        <f>SUM(K610/7*2,K611,K612,K613,K614)/30*30</f>
        <v>133027.28571428571</v>
      </c>
      <c r="O612" s="111" t="s">
        <v>278</v>
      </c>
      <c r="P612" s="119">
        <f t="shared" si="98"/>
        <v>11790.6</v>
      </c>
      <c r="Q612" s="119">
        <f t="shared" si="73"/>
        <v>104</v>
      </c>
      <c r="R612" s="147">
        <f t="shared" si="69"/>
        <v>-18844</v>
      </c>
      <c r="S612" s="119">
        <f t="shared" si="72"/>
        <v>1335.4</v>
      </c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</row>
    <row r="613" spans="1:38">
      <c r="A613" s="108">
        <v>44307</v>
      </c>
      <c r="B613" s="109">
        <v>201076</v>
      </c>
      <c r="C613" s="110">
        <v>0.88500000000000001</v>
      </c>
      <c r="D613" s="109">
        <v>10825</v>
      </c>
      <c r="E613" s="116">
        <f>E610-AVERAGE(E611:E612)</f>
        <v>-7990.285714285681</v>
      </c>
      <c r="F613" s="116" t="s">
        <v>275</v>
      </c>
      <c r="G613" s="119">
        <f t="shared" si="97"/>
        <v>-5018.6000000000004</v>
      </c>
      <c r="H613" s="119">
        <f t="shared" si="68"/>
        <v>-18754</v>
      </c>
      <c r="I613" s="147">
        <f t="shared" si="76"/>
        <v>-9188</v>
      </c>
      <c r="J613" s="119">
        <f t="shared" si="71"/>
        <v>12653</v>
      </c>
      <c r="K613" s="109">
        <v>41452</v>
      </c>
      <c r="L613" s="110">
        <v>0.63</v>
      </c>
      <c r="M613" s="109">
        <v>3100</v>
      </c>
      <c r="N613" s="116">
        <f>N610-AVERAGE(N611:N612)</f>
        <v>3706.9285714285797</v>
      </c>
      <c r="O613" s="116" t="s">
        <v>275</v>
      </c>
      <c r="P613" s="119">
        <f t="shared" si="98"/>
        <v>-6653.2</v>
      </c>
      <c r="Q613" s="119">
        <f t="shared" si="73"/>
        <v>15138</v>
      </c>
      <c r="R613" s="147">
        <f t="shared" si="69"/>
        <v>12117</v>
      </c>
      <c r="S613" s="119">
        <f t="shared" si="72"/>
        <v>2482.8000000000002</v>
      </c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</row>
    <row r="614" spans="1:38">
      <c r="A614" s="108">
        <v>44314</v>
      </c>
      <c r="B614" s="109">
        <v>214270</v>
      </c>
      <c r="C614" s="110">
        <v>0.94299999999999995</v>
      </c>
      <c r="D614" s="109">
        <v>10825</v>
      </c>
      <c r="E614" s="115"/>
      <c r="F614" s="111"/>
      <c r="G614" s="119">
        <f t="shared" si="97"/>
        <v>-6851</v>
      </c>
      <c r="H614" s="119">
        <f t="shared" si="68"/>
        <v>13194</v>
      </c>
      <c r="I614" s="147">
        <f t="shared" si="76"/>
        <v>10161</v>
      </c>
      <c r="J614" s="119">
        <f t="shared" si="71"/>
        <v>21580.6</v>
      </c>
      <c r="K614" s="109">
        <v>28419</v>
      </c>
      <c r="L614" s="110">
        <v>0.43200000000000005</v>
      </c>
      <c r="M614" s="109">
        <v>3100</v>
      </c>
      <c r="N614" s="115"/>
      <c r="O614" s="111"/>
      <c r="P614" s="119">
        <f t="shared" si="98"/>
        <v>9340.4</v>
      </c>
      <c r="Q614" s="119">
        <f t="shared" si="73"/>
        <v>-13033</v>
      </c>
      <c r="R614" s="147">
        <f t="shared" si="69"/>
        <v>-16738</v>
      </c>
      <c r="S614" s="119">
        <f t="shared" si="72"/>
        <v>-811.8</v>
      </c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</row>
    <row r="615" spans="1:38">
      <c r="A615" s="108">
        <v>44321</v>
      </c>
      <c r="B615" s="109">
        <v>207236</v>
      </c>
      <c r="C615" s="110">
        <v>0.91200000000000003</v>
      </c>
      <c r="D615" s="109">
        <v>10825</v>
      </c>
      <c r="E615" s="115">
        <v>820250</v>
      </c>
      <c r="F615" s="111" t="s">
        <v>279</v>
      </c>
      <c r="G615" s="119">
        <f t="shared" si="97"/>
        <v>5691.6</v>
      </c>
      <c r="H615" s="119">
        <f t="shared" si="68"/>
        <v>-7034</v>
      </c>
      <c r="I615" s="147">
        <f t="shared" si="76"/>
        <v>16887</v>
      </c>
      <c r="J615" s="119">
        <f t="shared" si="71"/>
        <v>15355.2</v>
      </c>
      <c r="K615" s="109">
        <v>28436</v>
      </c>
      <c r="L615" s="110">
        <v>0.43200000000000005</v>
      </c>
      <c r="M615" s="109">
        <v>3100</v>
      </c>
      <c r="N615" s="115">
        <v>108072</v>
      </c>
      <c r="O615" s="111" t="s">
        <v>279</v>
      </c>
      <c r="P615" s="119">
        <f t="shared" si="98"/>
        <v>-12681.6</v>
      </c>
      <c r="Q615" s="119">
        <f t="shared" si="73"/>
        <v>17</v>
      </c>
      <c r="R615" s="147">
        <f t="shared" si="69"/>
        <v>1964</v>
      </c>
      <c r="S615" s="119">
        <f t="shared" si="72"/>
        <v>908.4</v>
      </c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</row>
    <row r="616" spans="1:38">
      <c r="A616" s="108">
        <v>44328</v>
      </c>
      <c r="B616" s="109">
        <v>193725</v>
      </c>
      <c r="C616" s="110">
        <v>0.85299999999999998</v>
      </c>
      <c r="D616" s="109">
        <v>10825</v>
      </c>
      <c r="E616" s="115">
        <f>SUM(B615:B619)/35*31</f>
        <v>876060.88571428566</v>
      </c>
      <c r="F616" s="111" t="s">
        <v>280</v>
      </c>
      <c r="G616" s="119">
        <f t="shared" si="97"/>
        <v>6830</v>
      </c>
      <c r="H616" s="119">
        <f t="shared" si="68"/>
        <v>-13511</v>
      </c>
      <c r="I616" s="147">
        <f t="shared" si="76"/>
        <v>-29119</v>
      </c>
      <c r="J616" s="119">
        <f t="shared" si="71"/>
        <v>10673.6</v>
      </c>
      <c r="K616" s="109">
        <v>16105</v>
      </c>
      <c r="L616" s="110">
        <v>0.245</v>
      </c>
      <c r="M616" s="109">
        <v>3100</v>
      </c>
      <c r="N616" s="115">
        <f>SUM(K615:K618)/28*31</f>
        <v>110611.32142857142</v>
      </c>
      <c r="O616" s="111" t="s">
        <v>280</v>
      </c>
      <c r="P616" s="119">
        <f t="shared" si="98"/>
        <v>12074.4</v>
      </c>
      <c r="Q616" s="119">
        <f t="shared" si="73"/>
        <v>-12331</v>
      </c>
      <c r="R616" s="147">
        <f t="shared" si="69"/>
        <v>-30687</v>
      </c>
      <c r="S616" s="119">
        <f t="shared" si="72"/>
        <v>-3694.8</v>
      </c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</row>
    <row r="617" spans="1:38">
      <c r="A617" s="108">
        <v>44335</v>
      </c>
      <c r="B617" s="109">
        <v>189258</v>
      </c>
      <c r="C617" s="110">
        <v>0.83299999999999996</v>
      </c>
      <c r="D617" s="109">
        <v>10850</v>
      </c>
      <c r="E617" s="115">
        <f>SUM(B615,B616,B617,B618,B619/7*3)/28*31</f>
        <v>969923.41326530615</v>
      </c>
      <c r="F617" s="111" t="s">
        <v>281</v>
      </c>
      <c r="G617" s="119">
        <f t="shared" si="97"/>
        <v>-2866.4</v>
      </c>
      <c r="H617" s="119">
        <f t="shared" si="68"/>
        <v>-4467</v>
      </c>
      <c r="I617" s="147">
        <f t="shared" si="76"/>
        <v>6928</v>
      </c>
      <c r="J617" s="119">
        <f t="shared" si="71"/>
        <v>14804.8</v>
      </c>
      <c r="K617" s="109">
        <v>28554</v>
      </c>
      <c r="L617" s="110">
        <v>0.434</v>
      </c>
      <c r="M617" s="109">
        <v>3100</v>
      </c>
      <c r="N617" s="115">
        <f>SUM(K615,K616,K617,K618)/28*31</f>
        <v>110611.32142857142</v>
      </c>
      <c r="O617" s="111" t="s">
        <v>281</v>
      </c>
      <c r="P617" s="119">
        <f t="shared" si="98"/>
        <v>-15839.2</v>
      </c>
      <c r="Q617" s="119">
        <f t="shared" si="73"/>
        <v>12449</v>
      </c>
      <c r="R617" s="147">
        <f t="shared" si="69"/>
        <v>2669</v>
      </c>
      <c r="S617" s="119">
        <f t="shared" si="72"/>
        <v>2054.1999999999998</v>
      </c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</row>
    <row r="618" spans="1:38">
      <c r="A618" s="108">
        <v>44342</v>
      </c>
      <c r="B618" s="109">
        <v>201060</v>
      </c>
      <c r="C618" s="110">
        <v>0.88500000000000001</v>
      </c>
      <c r="D618" s="109">
        <v>10825</v>
      </c>
      <c r="E618" s="116">
        <f>E615-AVERAGE(E616:E617)</f>
        <v>-102742.14948979591</v>
      </c>
      <c r="F618" s="116" t="s">
        <v>275</v>
      </c>
      <c r="G618" s="119">
        <f t="shared" si="97"/>
        <v>-8005.4</v>
      </c>
      <c r="H618" s="119">
        <f t="shared" si="68"/>
        <v>11802</v>
      </c>
      <c r="I618" s="147">
        <f t="shared" si="76"/>
        <v>-6698</v>
      </c>
      <c r="J618" s="119">
        <f t="shared" si="71"/>
        <v>5656.4</v>
      </c>
      <c r="K618" s="109">
        <v>26812</v>
      </c>
      <c r="L618" s="110">
        <v>0.40700000000000003</v>
      </c>
      <c r="M618" s="109">
        <v>3100</v>
      </c>
      <c r="N618" s="116">
        <f>N615-AVERAGE(N616:N617)</f>
        <v>-2539.3214285714203</v>
      </c>
      <c r="O618" s="116" t="s">
        <v>275</v>
      </c>
      <c r="P618" s="119">
        <f t="shared" si="98"/>
        <v>10166.4</v>
      </c>
      <c r="Q618" s="119">
        <f t="shared" si="73"/>
        <v>-1742</v>
      </c>
      <c r="R618" s="147">
        <f t="shared" si="69"/>
        <v>-13699</v>
      </c>
      <c r="S618" s="119">
        <f t="shared" si="72"/>
        <v>608.20000000000005</v>
      </c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</row>
    <row r="619" spans="1:38">
      <c r="A619" s="108">
        <v>44349</v>
      </c>
      <c r="B619" s="109">
        <v>197822</v>
      </c>
      <c r="C619" s="110">
        <v>0.871</v>
      </c>
      <c r="D619" s="109">
        <v>10825</v>
      </c>
      <c r="E619" s="115">
        <v>829846</v>
      </c>
      <c r="F619" s="111" t="s">
        <v>282</v>
      </c>
      <c r="G619" s="119">
        <f t="shared" si="97"/>
        <v>-7955</v>
      </c>
      <c r="H619" s="119">
        <f t="shared" si="68"/>
        <v>-3238</v>
      </c>
      <c r="I619" s="147">
        <f t="shared" si="76"/>
        <v>14218</v>
      </c>
      <c r="J619" s="119">
        <f t="shared" si="71"/>
        <v>11869.6</v>
      </c>
      <c r="K619" s="109">
        <v>26880</v>
      </c>
      <c r="L619" s="110">
        <v>0.40899999999999997</v>
      </c>
      <c r="M619" s="109">
        <v>3100</v>
      </c>
      <c r="N619" s="115">
        <v>109428</v>
      </c>
      <c r="O619" s="111" t="s">
        <v>282</v>
      </c>
      <c r="P619" s="119">
        <f t="shared" si="98"/>
        <v>-7029.6</v>
      </c>
      <c r="Q619" s="119">
        <f t="shared" si="73"/>
        <v>68</v>
      </c>
      <c r="R619" s="147">
        <f t="shared" si="69"/>
        <v>-6601</v>
      </c>
      <c r="S619" s="119">
        <f t="shared" si="72"/>
        <v>1647</v>
      </c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</row>
    <row r="620" spans="1:38">
      <c r="A620" s="108">
        <v>44356</v>
      </c>
      <c r="B620" s="109">
        <v>212736</v>
      </c>
      <c r="C620" s="110">
        <v>0.92599999999999993</v>
      </c>
      <c r="D620" s="109">
        <v>10825</v>
      </c>
      <c r="E620" s="115">
        <f>SUM(B619:B623)/35*30</f>
        <v>874877.14285714284</v>
      </c>
      <c r="F620" s="111" t="s">
        <v>283</v>
      </c>
      <c r="G620" s="119">
        <f t="shared" si="97"/>
        <v>11581.4</v>
      </c>
      <c r="H620" s="119">
        <f t="shared" si="68"/>
        <v>14914</v>
      </c>
      <c r="I620" s="147">
        <f t="shared" si="76"/>
        <v>18547</v>
      </c>
      <c r="J620" s="119">
        <f t="shared" si="71"/>
        <v>10644.2</v>
      </c>
      <c r="K620" s="109">
        <v>32642</v>
      </c>
      <c r="L620" s="110">
        <v>0.496</v>
      </c>
      <c r="M620" s="109">
        <v>3100</v>
      </c>
      <c r="N620" s="115">
        <f>SUM(K619:K623)/35*30</f>
        <v>109794</v>
      </c>
      <c r="O620" s="111" t="s">
        <v>283</v>
      </c>
      <c r="P620" s="119">
        <f t="shared" si="98"/>
        <v>8865.7999999999993</v>
      </c>
      <c r="Q620" s="119">
        <f t="shared" si="73"/>
        <v>5762</v>
      </c>
      <c r="R620" s="147">
        <f t="shared" si="69"/>
        <v>-1323</v>
      </c>
      <c r="S620" s="119">
        <f t="shared" si="72"/>
        <v>-700</v>
      </c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</row>
    <row r="621" spans="1:38">
      <c r="A621" s="108">
        <v>44363</v>
      </c>
      <c r="B621" s="109">
        <v>202619</v>
      </c>
      <c r="C621" s="110">
        <v>0.88200000000000001</v>
      </c>
      <c r="D621" s="109">
        <v>10825</v>
      </c>
      <c r="E621" s="115">
        <f>SUM(B619/7*4,B620,B621,B622,B623/7*5)/30*30</f>
        <v>881860.85714285716</v>
      </c>
      <c r="F621" s="111" t="s">
        <v>284</v>
      </c>
      <c r="G621" s="119">
        <f t="shared" si="97"/>
        <v>1992.8</v>
      </c>
      <c r="H621" s="119">
        <f t="shared" si="68"/>
        <v>-10117</v>
      </c>
      <c r="I621" s="147">
        <f t="shared" si="76"/>
        <v>6626</v>
      </c>
      <c r="J621" s="119">
        <f t="shared" si="71"/>
        <v>8536</v>
      </c>
      <c r="K621" s="109">
        <v>11200</v>
      </c>
      <c r="L621" s="110">
        <v>0.17</v>
      </c>
      <c r="M621" s="109">
        <v>3100</v>
      </c>
      <c r="N621" s="115">
        <f>SUM(K619/7*4,K620,K621,K622,K623/7*5)/30*30</f>
        <v>108651</v>
      </c>
      <c r="O621" s="111" t="s">
        <v>284</v>
      </c>
      <c r="P621" s="119">
        <f t="shared" si="98"/>
        <v>-17637</v>
      </c>
      <c r="Q621" s="119">
        <f t="shared" si="73"/>
        <v>-21442</v>
      </c>
      <c r="R621" s="147">
        <f t="shared" si="69"/>
        <v>-4278</v>
      </c>
      <c r="S621" s="119">
        <f t="shared" si="72"/>
        <v>3641</v>
      </c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</row>
    <row r="622" spans="1:38">
      <c r="A622" s="108">
        <v>44370</v>
      </c>
      <c r="B622" s="109">
        <v>218344</v>
      </c>
      <c r="C622" s="110">
        <v>0.95</v>
      </c>
      <c r="D622" s="109">
        <v>10850</v>
      </c>
      <c r="E622" s="116">
        <f>E619-AVERAGE(E620:E621)</f>
        <v>-48523</v>
      </c>
      <c r="F622" s="116" t="s">
        <v>275</v>
      </c>
      <c r="G622" s="119">
        <f t="shared" si="97"/>
        <v>-4470.3999999999996</v>
      </c>
      <c r="H622" s="119">
        <f t="shared" si="68"/>
        <v>15725</v>
      </c>
      <c r="I622" s="147">
        <f t="shared" si="76"/>
        <v>22590</v>
      </c>
      <c r="J622" s="119">
        <f t="shared" si="71"/>
        <v>8094</v>
      </c>
      <c r="K622" s="109">
        <v>29644</v>
      </c>
      <c r="L622" s="110">
        <v>0.45100000000000001</v>
      </c>
      <c r="M622" s="109">
        <v>3100</v>
      </c>
      <c r="N622" s="116">
        <f>N619-AVERAGE(N620:N621)</f>
        <v>205.5</v>
      </c>
      <c r="O622" s="116" t="s">
        <v>275</v>
      </c>
      <c r="P622" s="119">
        <f t="shared" si="98"/>
        <v>13803.4</v>
      </c>
      <c r="Q622" s="119">
        <f t="shared" si="73"/>
        <v>18444</v>
      </c>
      <c r="R622" s="147">
        <f t="shared" si="69"/>
        <v>-6654</v>
      </c>
      <c r="S622" s="119">
        <f t="shared" si="72"/>
        <v>-216.4</v>
      </c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</row>
    <row r="623" spans="1:38">
      <c r="A623" s="108">
        <v>44377</v>
      </c>
      <c r="B623" s="109">
        <v>189169</v>
      </c>
      <c r="C623" s="110">
        <v>0.82299999999999995</v>
      </c>
      <c r="D623" s="109">
        <v>10850</v>
      </c>
      <c r="E623" s="115">
        <v>832114</v>
      </c>
      <c r="F623" s="111" t="s">
        <v>285</v>
      </c>
      <c r="G623" s="119">
        <f t="shared" si="97"/>
        <v>-793.4</v>
      </c>
      <c r="H623" s="119">
        <f t="shared" si="68"/>
        <v>-29175</v>
      </c>
      <c r="I623" s="147">
        <f t="shared" si="76"/>
        <v>-6472</v>
      </c>
      <c r="J623" s="119">
        <f t="shared" si="71"/>
        <v>14223.4</v>
      </c>
      <c r="K623" s="109">
        <v>27727</v>
      </c>
      <c r="L623" s="110">
        <v>0.42100000000000004</v>
      </c>
      <c r="M623" s="109">
        <v>3100</v>
      </c>
      <c r="N623" s="115">
        <v>142464</v>
      </c>
      <c r="O623" s="111" t="s">
        <v>285</v>
      </c>
      <c r="P623" s="119">
        <f t="shared" si="98"/>
        <v>-3549</v>
      </c>
      <c r="Q623" s="119">
        <f t="shared" si="73"/>
        <v>-1917</v>
      </c>
      <c r="R623" s="147">
        <f t="shared" si="69"/>
        <v>1151</v>
      </c>
      <c r="S623" s="119">
        <f t="shared" si="72"/>
        <v>4461.3999999999996</v>
      </c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</row>
    <row r="624" spans="1:38">
      <c r="A624" s="108">
        <v>44384</v>
      </c>
      <c r="B624" s="109">
        <v>180511</v>
      </c>
      <c r="C624" s="110">
        <v>0.78500000000000003</v>
      </c>
      <c r="D624" s="109">
        <v>10825</v>
      </c>
      <c r="E624" s="115">
        <f>SUM(B623:B628)/42*31</f>
        <v>895580.40476190473</v>
      </c>
      <c r="F624" s="111" t="s">
        <v>286</v>
      </c>
      <c r="G624" s="119">
        <f t="shared" si="97"/>
        <v>909</v>
      </c>
      <c r="H624" s="119">
        <f t="shared" si="68"/>
        <v>-8658</v>
      </c>
      <c r="I624" s="147">
        <f t="shared" si="76"/>
        <v>-3368</v>
      </c>
      <c r="J624" s="119">
        <f t="shared" si="71"/>
        <v>5425.6</v>
      </c>
      <c r="K624" s="109">
        <v>40501</v>
      </c>
      <c r="L624" s="110">
        <v>0.61599999999999999</v>
      </c>
      <c r="M624" s="109">
        <v>3100</v>
      </c>
      <c r="N624" s="115">
        <f>SUM(K623:K628)/42*31</f>
        <v>135579.97619047618</v>
      </c>
      <c r="O624" s="111" t="s">
        <v>286</v>
      </c>
      <c r="P624" s="119">
        <f t="shared" si="98"/>
        <v>3739.6</v>
      </c>
      <c r="Q624" s="119">
        <f t="shared" si="73"/>
        <v>12774</v>
      </c>
      <c r="R624" s="147">
        <f t="shared" si="69"/>
        <v>10895</v>
      </c>
      <c r="S624" s="119">
        <f t="shared" si="72"/>
        <v>-540.4</v>
      </c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</row>
    <row r="625" spans="1:38">
      <c r="A625" s="108">
        <v>44391</v>
      </c>
      <c r="B625" s="109">
        <v>219759</v>
      </c>
      <c r="C625" s="110">
        <v>0.95599999999999996</v>
      </c>
      <c r="D625" s="109">
        <v>10825</v>
      </c>
      <c r="E625" s="115">
        <f>SUM(B623/7*2,B624,B625,B626,B627,B628/7*1)/31*31</f>
        <v>898845.42857142852</v>
      </c>
      <c r="F625" s="111" t="s">
        <v>287</v>
      </c>
      <c r="G625" s="119">
        <f t="shared" si="97"/>
        <v>-1313.4</v>
      </c>
      <c r="H625" s="119">
        <f t="shared" si="68"/>
        <v>39248</v>
      </c>
      <c r="I625" s="147">
        <f t="shared" si="76"/>
        <v>34902</v>
      </c>
      <c r="J625" s="119">
        <f t="shared" si="71"/>
        <v>5735.4</v>
      </c>
      <c r="K625" s="109">
        <v>27236</v>
      </c>
      <c r="L625" s="110">
        <v>0.41399999999999998</v>
      </c>
      <c r="M625" s="109">
        <v>3100</v>
      </c>
      <c r="N625" s="115">
        <f>SUM(K623/7*2,K624,K625,K626,K627,K628/7*1)/31*31</f>
        <v>141772.28571428571</v>
      </c>
      <c r="O625" s="111" t="s">
        <v>287</v>
      </c>
      <c r="P625" s="119">
        <f t="shared" si="98"/>
        <v>-9239.6</v>
      </c>
      <c r="Q625" s="119">
        <f t="shared" si="73"/>
        <v>-13265</v>
      </c>
      <c r="R625" s="147">
        <f t="shared" si="69"/>
        <v>1774</v>
      </c>
      <c r="S625" s="119">
        <f t="shared" si="72"/>
        <v>-3346.6</v>
      </c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</row>
    <row r="626" spans="1:38">
      <c r="A626" s="108">
        <v>44398</v>
      </c>
      <c r="B626" s="109">
        <v>189916</v>
      </c>
      <c r="C626" s="110">
        <v>0.82599999999999996</v>
      </c>
      <c r="D626" s="109">
        <v>10825</v>
      </c>
      <c r="E626" s="116">
        <f>E623-AVERAGE(E624:E625)</f>
        <v>-65098.916666666628</v>
      </c>
      <c r="F626" s="116" t="s">
        <v>275</v>
      </c>
      <c r="G626" s="119">
        <f t="shared" si="97"/>
        <v>-2407.8000000000002</v>
      </c>
      <c r="H626" s="119">
        <f t="shared" si="68"/>
        <v>-29843</v>
      </c>
      <c r="I626" s="147">
        <f t="shared" si="76"/>
        <v>-22093</v>
      </c>
      <c r="J626" s="119">
        <f t="shared" si="71"/>
        <v>25259</v>
      </c>
      <c r="K626" s="109">
        <v>36102</v>
      </c>
      <c r="L626" s="110">
        <v>0.54899999999999993</v>
      </c>
      <c r="M626" s="109">
        <v>3100</v>
      </c>
      <c r="N626" s="116">
        <f>N623-AVERAGE(N624:N625)</f>
        <v>3787.8690476190532</v>
      </c>
      <c r="O626" s="116" t="s">
        <v>275</v>
      </c>
      <c r="P626" s="119">
        <f t="shared" si="98"/>
        <v>9876.2000000000007</v>
      </c>
      <c r="Q626" s="119">
        <f t="shared" si="73"/>
        <v>8866</v>
      </c>
      <c r="R626" s="147">
        <f t="shared" si="69"/>
        <v>5028</v>
      </c>
      <c r="S626" s="119">
        <f t="shared" si="72"/>
        <v>3882.4</v>
      </c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</row>
    <row r="627" spans="1:38">
      <c r="A627" s="108">
        <v>44405</v>
      </c>
      <c r="B627" s="109">
        <v>224711</v>
      </c>
      <c r="C627" s="110">
        <v>0.97799999999999998</v>
      </c>
      <c r="D627" s="109">
        <v>10850</v>
      </c>
      <c r="E627" s="115"/>
      <c r="F627" s="111"/>
      <c r="G627" s="119">
        <f t="shared" si="97"/>
        <v>-20668.2</v>
      </c>
      <c r="H627" s="119">
        <f t="shared" si="68"/>
        <v>34795</v>
      </c>
      <c r="I627" s="147">
        <f t="shared" si="76"/>
        <v>26084</v>
      </c>
      <c r="J627" s="119">
        <f t="shared" si="71"/>
        <v>21857.599999999999</v>
      </c>
      <c r="K627" s="109">
        <v>26326</v>
      </c>
      <c r="L627" s="110">
        <v>0.4</v>
      </c>
      <c r="M627" s="109">
        <v>3100</v>
      </c>
      <c r="N627" s="115"/>
      <c r="O627" s="111"/>
      <c r="P627" s="119">
        <f t="shared" si="98"/>
        <v>-24676.400000000001</v>
      </c>
      <c r="Q627" s="119">
        <f t="shared" si="73"/>
        <v>-9776</v>
      </c>
      <c r="R627" s="147">
        <f t="shared" si="69"/>
        <v>16502</v>
      </c>
      <c r="S627" s="119">
        <f t="shared" si="72"/>
        <v>1590.8</v>
      </c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</row>
    <row r="628" spans="1:38">
      <c r="A628" s="108">
        <v>44412</v>
      </c>
      <c r="B628" s="109">
        <v>209301</v>
      </c>
      <c r="C628" s="110">
        <v>0.91099999999999992</v>
      </c>
      <c r="D628" s="109">
        <v>10925</v>
      </c>
      <c r="E628" s="115">
        <v>661968</v>
      </c>
      <c r="F628" s="111" t="s">
        <v>288</v>
      </c>
      <c r="G628" s="119">
        <f t="shared" si="97"/>
        <v>29342.6</v>
      </c>
      <c r="H628" s="119">
        <f t="shared" ref="H628:H658" si="99">B628-B627</f>
        <v>-15410</v>
      </c>
      <c r="I628" s="147">
        <f t="shared" si="76"/>
        <v>-4674</v>
      </c>
      <c r="J628" s="119">
        <f t="shared" si="71"/>
        <v>13478</v>
      </c>
      <c r="K628" s="109">
        <v>25797</v>
      </c>
      <c r="L628" s="110">
        <v>0.39100000000000001</v>
      </c>
      <c r="M628" s="109">
        <v>3100</v>
      </c>
      <c r="N628" s="115">
        <v>129048</v>
      </c>
      <c r="O628" s="111" t="s">
        <v>288</v>
      </c>
      <c r="P628" s="119">
        <f t="shared" si="98"/>
        <v>26030.400000000001</v>
      </c>
      <c r="Q628" s="119">
        <f t="shared" si="73"/>
        <v>-529</v>
      </c>
      <c r="R628" s="147">
        <f t="shared" si="69"/>
        <v>4509</v>
      </c>
      <c r="S628" s="119">
        <f t="shared" si="72"/>
        <v>-5421.4</v>
      </c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</row>
    <row r="629" spans="1:38">
      <c r="A629" s="108">
        <v>44419</v>
      </c>
      <c r="B629" s="109">
        <v>217149</v>
      </c>
      <c r="C629" s="110">
        <v>0.94499999999999995</v>
      </c>
      <c r="D629" s="109">
        <v>10850</v>
      </c>
      <c r="E629" s="115">
        <f>SUM(B628:B632)/35*31</f>
        <v>936424.97142857139</v>
      </c>
      <c r="F629" s="111" t="s">
        <v>289</v>
      </c>
      <c r="G629" s="119">
        <f t="shared" si="97"/>
        <v>-8362.6</v>
      </c>
      <c r="H629" s="119">
        <f t="shared" si="99"/>
        <v>7848</v>
      </c>
      <c r="I629" s="147">
        <f t="shared" si="76"/>
        <v>31124</v>
      </c>
      <c r="J629" s="119">
        <f t="shared" si="71"/>
        <v>17800.599999999999</v>
      </c>
      <c r="K629" s="109">
        <v>35864</v>
      </c>
      <c r="L629" s="110">
        <v>0.54500000000000004</v>
      </c>
      <c r="M629" s="109">
        <v>3100</v>
      </c>
      <c r="N629" s="115">
        <f>SUM(K628:K631)/28*31</f>
        <v>129488.10714285716</v>
      </c>
      <c r="O629" s="111" t="s">
        <v>289</v>
      </c>
      <c r="P629" s="119">
        <f t="shared" si="98"/>
        <v>-6946.6</v>
      </c>
      <c r="Q629" s="119">
        <f t="shared" si="73"/>
        <v>10067</v>
      </c>
      <c r="R629" s="147">
        <f t="shared" si="69"/>
        <v>-2853</v>
      </c>
      <c r="S629" s="119">
        <f t="shared" si="72"/>
        <v>-5319.8</v>
      </c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</row>
    <row r="630" spans="1:38">
      <c r="A630" s="108">
        <v>44426</v>
      </c>
      <c r="B630" s="109">
        <v>203695</v>
      </c>
      <c r="C630" s="110">
        <v>0.8859999999999999</v>
      </c>
      <c r="D630" s="109">
        <v>10850</v>
      </c>
      <c r="E630" s="115">
        <f>SUM(B628/7*6,B629,B630,B631,B632/7*4)/31*31</f>
        <v>933785.14285714284</v>
      </c>
      <c r="F630" s="111" t="s">
        <v>290</v>
      </c>
      <c r="G630" s="119">
        <f t="shared" si="97"/>
        <v>-4422.2</v>
      </c>
      <c r="H630" s="119">
        <f t="shared" si="99"/>
        <v>-13454</v>
      </c>
      <c r="I630" s="147">
        <f t="shared" si="76"/>
        <v>19047</v>
      </c>
      <c r="J630" s="119">
        <f t="shared" si="71"/>
        <v>11269.8</v>
      </c>
      <c r="K630" s="109">
        <v>20388</v>
      </c>
      <c r="L630" s="110">
        <v>0.31</v>
      </c>
      <c r="M630" s="109">
        <v>3100</v>
      </c>
      <c r="N630" s="115">
        <f>SUM(K628/7*6,K629,K630,K631)/27*31</f>
        <v>130052.708994709</v>
      </c>
      <c r="O630" s="111" t="s">
        <v>290</v>
      </c>
      <c r="P630" s="119">
        <f t="shared" si="98"/>
        <v>-464.8</v>
      </c>
      <c r="Q630" s="119">
        <f t="shared" si="73"/>
        <v>-15476</v>
      </c>
      <c r="R630" s="147">
        <f t="shared" ref="R630:R693" si="100">K630-K578</f>
        <v>-1291</v>
      </c>
      <c r="S630" s="119">
        <f t="shared" si="72"/>
        <v>-1234</v>
      </c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</row>
    <row r="631" spans="1:38">
      <c r="A631" s="108">
        <v>44433</v>
      </c>
      <c r="B631" s="109">
        <v>208782</v>
      </c>
      <c r="C631" s="110">
        <v>0.90799999999999992</v>
      </c>
      <c r="D631" s="109">
        <v>10850</v>
      </c>
      <c r="E631" s="116">
        <f>E628-AVERAGE(E629:E630)</f>
        <v>-273137.05714285711</v>
      </c>
      <c r="F631" s="116" t="s">
        <v>275</v>
      </c>
      <c r="G631" s="119">
        <f t="shared" si="97"/>
        <v>21044.799999999999</v>
      </c>
      <c r="H631" s="119">
        <f t="shared" si="99"/>
        <v>5087</v>
      </c>
      <c r="I631" s="147">
        <f t="shared" si="76"/>
        <v>1479</v>
      </c>
      <c r="J631" s="119">
        <f t="shared" si="71"/>
        <v>8622.4</v>
      </c>
      <c r="K631" s="109">
        <v>34908</v>
      </c>
      <c r="L631" s="110">
        <v>0.53100000000000003</v>
      </c>
      <c r="M631" s="109">
        <v>3100</v>
      </c>
      <c r="N631" s="116">
        <f>N628-AVERAGE(N629:N630)</f>
        <v>-722.40806878308649</v>
      </c>
      <c r="O631" s="116" t="s">
        <v>275</v>
      </c>
      <c r="P631" s="119">
        <f t="shared" si="98"/>
        <v>-1830.4</v>
      </c>
      <c r="Q631" s="119">
        <f t="shared" si="73"/>
        <v>14520</v>
      </c>
      <c r="R631" s="147">
        <f t="shared" si="100"/>
        <v>1974</v>
      </c>
      <c r="S631" s="119">
        <f t="shared" si="72"/>
        <v>212.6</v>
      </c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</row>
    <row r="632" spans="1:38">
      <c r="A632" s="108">
        <v>44440</v>
      </c>
      <c r="B632" s="109">
        <v>218327</v>
      </c>
      <c r="C632" s="110">
        <v>0.95</v>
      </c>
      <c r="D632" s="109">
        <v>10825</v>
      </c>
      <c r="E632" s="115">
        <v>778402</v>
      </c>
      <c r="F632" s="111" t="s">
        <v>291</v>
      </c>
      <c r="G632" s="119">
        <f t="shared" si="97"/>
        <v>-9319.2000000000007</v>
      </c>
      <c r="H632" s="119">
        <f t="shared" si="99"/>
        <v>9545</v>
      </c>
      <c r="I632" s="147">
        <f t="shared" si="76"/>
        <v>21952</v>
      </c>
      <c r="J632" s="119">
        <f t="shared" ref="J632:J658" si="101">AVERAGE(B579-B527,B527-B475,B475-B423,B423-B371,B371-B320)</f>
        <v>14245.4</v>
      </c>
      <c r="K632" s="109">
        <v>27283</v>
      </c>
      <c r="L632" s="110">
        <v>0.41499999999999998</v>
      </c>
      <c r="M632" s="109">
        <v>3100</v>
      </c>
      <c r="N632" s="115">
        <v>134094</v>
      </c>
      <c r="O632" s="111" t="s">
        <v>291</v>
      </c>
      <c r="P632" s="119">
        <f t="shared" si="98"/>
        <v>10435.799999999999</v>
      </c>
      <c r="Q632" s="119">
        <f t="shared" si="73"/>
        <v>-7625</v>
      </c>
      <c r="R632" s="147">
        <f t="shared" si="100"/>
        <v>-2114</v>
      </c>
      <c r="S632" s="119">
        <f t="shared" si="72"/>
        <v>-1138</v>
      </c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</row>
    <row r="633" spans="1:38">
      <c r="A633" s="108">
        <v>44447</v>
      </c>
      <c r="B633" s="109">
        <v>208709</v>
      </c>
      <c r="C633" s="110">
        <v>0.90799999999999992</v>
      </c>
      <c r="D633" s="109">
        <v>10825</v>
      </c>
      <c r="E633" s="115">
        <f>SUM(B632:B636)/35*30</f>
        <v>857681.14285714284</v>
      </c>
      <c r="F633" s="111" t="s">
        <v>292</v>
      </c>
      <c r="G633" s="119">
        <f t="shared" si="97"/>
        <v>-351</v>
      </c>
      <c r="H633" s="119">
        <f t="shared" si="99"/>
        <v>-9618</v>
      </c>
      <c r="I633" s="147">
        <f t="shared" si="76"/>
        <v>6422</v>
      </c>
      <c r="J633" s="119">
        <f t="shared" si="101"/>
        <v>14886.6</v>
      </c>
      <c r="K633" s="109">
        <v>27628</v>
      </c>
      <c r="L633" s="110">
        <v>0.42</v>
      </c>
      <c r="M633" s="109">
        <v>3100</v>
      </c>
      <c r="N633" s="115">
        <f>SUM(K632:K634)/21*30</f>
        <v>130825.71428571429</v>
      </c>
      <c r="O633" s="111" t="s">
        <v>292</v>
      </c>
      <c r="P633" s="119">
        <f t="shared" si="98"/>
        <v>-7520.6</v>
      </c>
      <c r="Q633" s="119">
        <f t="shared" si="73"/>
        <v>345</v>
      </c>
      <c r="R633" s="147">
        <f t="shared" si="100"/>
        <v>-16734</v>
      </c>
      <c r="S633" s="119">
        <f t="shared" ref="S633:S678" si="102">AVERAGE(K580-K528,K528-K476,K476-K424,K424-K372,K372-K321)</f>
        <v>711.2</v>
      </c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</row>
    <row r="634" spans="1:38">
      <c r="A634" s="108">
        <v>44454</v>
      </c>
      <c r="B634" s="109">
        <v>211858</v>
      </c>
      <c r="C634" s="110">
        <v>0.92200000000000004</v>
      </c>
      <c r="D634" s="109">
        <v>10825</v>
      </c>
      <c r="E634" s="115">
        <f>SUM(B632/7*3,B633,B634,B635,B636/7*6)/30*30</f>
        <v>851152.57142857148</v>
      </c>
      <c r="F634" s="111" t="s">
        <v>293</v>
      </c>
      <c r="G634" s="119">
        <f t="shared" si="97"/>
        <v>-7149.6</v>
      </c>
      <c r="H634" s="119">
        <f t="shared" si="99"/>
        <v>3149</v>
      </c>
      <c r="I634" s="147">
        <f t="shared" si="76"/>
        <v>29296</v>
      </c>
      <c r="J634" s="119">
        <f t="shared" si="101"/>
        <v>13736.6</v>
      </c>
      <c r="K634" s="109">
        <v>36667</v>
      </c>
      <c r="L634" s="110">
        <v>0.55700000000000005</v>
      </c>
      <c r="M634" s="109">
        <v>3100</v>
      </c>
      <c r="N634" s="115">
        <f>SUM(K632/7*3,K633,K634)/17*30</f>
        <v>134095.96638655465</v>
      </c>
      <c r="O634" s="111" t="s">
        <v>293</v>
      </c>
      <c r="P634" s="119">
        <f t="shared" si="98"/>
        <v>-12563.8</v>
      </c>
      <c r="Q634" s="119">
        <f t="shared" si="73"/>
        <v>9039</v>
      </c>
      <c r="R634" s="147">
        <f t="shared" si="100"/>
        <v>11480</v>
      </c>
      <c r="S634" s="119">
        <f t="shared" si="102"/>
        <v>1103.2</v>
      </c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</row>
    <row r="635" spans="1:38">
      <c r="A635" s="108">
        <v>44461</v>
      </c>
      <c r="B635" s="109">
        <v>188714</v>
      </c>
      <c r="C635" s="110">
        <v>0.82099999999999995</v>
      </c>
      <c r="D635" s="109">
        <v>10850</v>
      </c>
      <c r="E635" s="116">
        <f>E632-AVERAGE(E633:E634)</f>
        <v>-76014.857142857159</v>
      </c>
      <c r="F635" s="116" t="s">
        <v>275</v>
      </c>
      <c r="G635" s="119">
        <f t="shared" si="97"/>
        <v>7848.2</v>
      </c>
      <c r="H635" s="119">
        <f t="shared" si="99"/>
        <v>-23144</v>
      </c>
      <c r="I635" s="147">
        <f t="shared" si="76"/>
        <v>-15637</v>
      </c>
      <c r="J635" s="119">
        <f t="shared" si="101"/>
        <v>3438.8</v>
      </c>
      <c r="K635" s="109">
        <v>27084</v>
      </c>
      <c r="L635" s="110">
        <v>0.41200000000000003</v>
      </c>
      <c r="M635" s="109">
        <v>3100</v>
      </c>
      <c r="N635" s="116">
        <f>N632-AVERAGE(N633:N634)</f>
        <v>1633.1596638655174</v>
      </c>
      <c r="O635" s="116" t="s">
        <v>275</v>
      </c>
      <c r="P635" s="119">
        <f t="shared" si="98"/>
        <v>12784.8</v>
      </c>
      <c r="Q635" s="119">
        <f t="shared" si="73"/>
        <v>-9583</v>
      </c>
      <c r="R635" s="147">
        <f t="shared" si="100"/>
        <v>-2857</v>
      </c>
      <c r="S635" s="119">
        <f t="shared" si="102"/>
        <v>-1132.5999999999999</v>
      </c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</row>
    <row r="636" spans="1:38">
      <c r="A636" s="108">
        <v>44468</v>
      </c>
      <c r="B636" s="109">
        <v>173020</v>
      </c>
      <c r="C636" s="110">
        <v>0.753</v>
      </c>
      <c r="D636" s="109">
        <v>10850</v>
      </c>
      <c r="E636" s="115">
        <v>876127</v>
      </c>
      <c r="F636" s="111" t="s">
        <v>294</v>
      </c>
      <c r="G636" s="119">
        <f t="shared" si="97"/>
        <v>-11489.6</v>
      </c>
      <c r="H636" s="119">
        <f t="shared" si="99"/>
        <v>-15694</v>
      </c>
      <c r="I636" s="147">
        <f t="shared" si="76"/>
        <v>-24012</v>
      </c>
      <c r="J636" s="119">
        <f t="shared" si="101"/>
        <v>3971.6</v>
      </c>
      <c r="K636" s="109">
        <v>34574</v>
      </c>
      <c r="L636" s="110">
        <v>0.52500000000000002</v>
      </c>
      <c r="M636" s="109">
        <v>3100</v>
      </c>
      <c r="N636" s="115">
        <v>166839</v>
      </c>
      <c r="O636" s="111" t="s">
        <v>294</v>
      </c>
      <c r="P636" s="119">
        <f t="shared" si="98"/>
        <v>6397.2</v>
      </c>
      <c r="Q636" s="119">
        <f t="shared" si="73"/>
        <v>7490</v>
      </c>
      <c r="R636" s="147">
        <f t="shared" si="100"/>
        <v>2019</v>
      </c>
      <c r="S636" s="119">
        <f t="shared" si="102"/>
        <v>-108.2</v>
      </c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</row>
    <row r="637" spans="1:38">
      <c r="A637" s="108">
        <v>44475</v>
      </c>
      <c r="B637" s="109">
        <v>155644</v>
      </c>
      <c r="C637" s="110">
        <v>0.67700000000000005</v>
      </c>
      <c r="D637" s="109">
        <v>10825</v>
      </c>
      <c r="E637" s="115">
        <f>SUM(B636:B641)/42*31</f>
        <v>823096.5</v>
      </c>
      <c r="F637" s="111" t="s">
        <v>295</v>
      </c>
      <c r="G637" s="119">
        <f t="shared" si="97"/>
        <v>13517.6</v>
      </c>
      <c r="H637" s="119">
        <f t="shared" si="99"/>
        <v>-17376</v>
      </c>
      <c r="I637" s="147">
        <f t="shared" si="76"/>
        <v>-50504</v>
      </c>
      <c r="J637" s="119">
        <f t="shared" si="101"/>
        <v>5670.2</v>
      </c>
      <c r="K637" s="109">
        <v>27757</v>
      </c>
      <c r="L637" s="110">
        <v>0.42200000000000004</v>
      </c>
      <c r="M637" s="109">
        <v>3100</v>
      </c>
      <c r="N637" s="115">
        <f>SUM(K636:K641)/42*31</f>
        <v>160961.59523809524</v>
      </c>
      <c r="O637" s="111" t="s">
        <v>295</v>
      </c>
      <c r="P637" s="119">
        <f t="shared" si="98"/>
        <v>1787.6</v>
      </c>
      <c r="Q637" s="119">
        <f t="shared" si="73"/>
        <v>-6817</v>
      </c>
      <c r="R637" s="147">
        <f t="shared" si="100"/>
        <v>-15349</v>
      </c>
      <c r="S637" s="119">
        <f t="shared" si="102"/>
        <v>-268.60000000000002</v>
      </c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</row>
    <row r="638" spans="1:38">
      <c r="A638" s="108">
        <v>44482</v>
      </c>
      <c r="B638" s="109">
        <v>195155</v>
      </c>
      <c r="C638" s="110">
        <v>0.84900000000000009</v>
      </c>
      <c r="D638" s="109">
        <v>10850</v>
      </c>
      <c r="E638" s="115">
        <f>SUM(B636/7*1,B637,B638,B639,B640,B641/7*2)/31*31</f>
        <v>840958</v>
      </c>
      <c r="F638" s="111" t="s">
        <v>296</v>
      </c>
      <c r="G638" s="119">
        <f t="shared" si="97"/>
        <v>-14351.2</v>
      </c>
      <c r="H638" s="119">
        <f t="shared" si="99"/>
        <v>39511</v>
      </c>
      <c r="I638" s="147">
        <f t="shared" si="76"/>
        <v>21830</v>
      </c>
      <c r="J638" s="119">
        <f t="shared" si="101"/>
        <v>9244.6</v>
      </c>
      <c r="K638" s="109">
        <v>43073</v>
      </c>
      <c r="L638" s="110">
        <v>0.65500000000000003</v>
      </c>
      <c r="M638" s="109">
        <v>3100</v>
      </c>
      <c r="N638" s="115">
        <f>SUM(K636/7*1,K637,K638,K639,K640,K641/7*2)/31*31</f>
        <v>164359.28571428571</v>
      </c>
      <c r="O638" s="111" t="s">
        <v>296</v>
      </c>
      <c r="P638" s="119">
        <f t="shared" si="98"/>
        <v>-5273</v>
      </c>
      <c r="Q638" s="119">
        <f t="shared" si="73"/>
        <v>15316</v>
      </c>
      <c r="R638" s="147">
        <f t="shared" si="100"/>
        <v>13753</v>
      </c>
      <c r="S638" s="119">
        <f t="shared" si="102"/>
        <v>-1912.6</v>
      </c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</row>
    <row r="639" spans="1:38">
      <c r="A639" s="108">
        <v>44489</v>
      </c>
      <c r="B639" s="109">
        <v>225697</v>
      </c>
      <c r="C639" s="110">
        <v>0.98199999999999998</v>
      </c>
      <c r="D639" s="109">
        <v>10825</v>
      </c>
      <c r="E639" s="116">
        <f>E636-AVERAGE(E637:E638)</f>
        <v>44099.75</v>
      </c>
      <c r="F639" s="116" t="s">
        <v>275</v>
      </c>
      <c r="G639" s="119">
        <f t="shared" si="97"/>
        <v>12697.6</v>
      </c>
      <c r="H639" s="119">
        <f t="shared" si="99"/>
        <v>30542</v>
      </c>
      <c r="I639" s="147">
        <f t="shared" si="76"/>
        <v>25614</v>
      </c>
      <c r="J639" s="119">
        <f t="shared" si="101"/>
        <v>4868.8</v>
      </c>
      <c r="K639" s="109">
        <v>32009</v>
      </c>
      <c r="L639" s="110">
        <v>0.48599999999999999</v>
      </c>
      <c r="M639" s="109">
        <v>3100</v>
      </c>
      <c r="N639" s="116">
        <f>N636-AVERAGE(N637:N638)</f>
        <v>4178.5595238095266</v>
      </c>
      <c r="O639" s="116" t="s">
        <v>275</v>
      </c>
      <c r="P639" s="119">
        <f t="shared" si="98"/>
        <v>3312.8</v>
      </c>
      <c r="Q639" s="119">
        <f t="shared" si="73"/>
        <v>-11064</v>
      </c>
      <c r="R639" s="147">
        <f t="shared" si="100"/>
        <v>-4585</v>
      </c>
      <c r="S639" s="119">
        <f t="shared" si="102"/>
        <v>-5617</v>
      </c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</row>
    <row r="640" spans="1:38">
      <c r="A640" s="108">
        <v>44496</v>
      </c>
      <c r="B640" s="109">
        <v>189384</v>
      </c>
      <c r="C640" s="110">
        <v>0.82400000000000007</v>
      </c>
      <c r="D640" s="109">
        <v>10850</v>
      </c>
      <c r="E640" s="115"/>
      <c r="F640" s="111"/>
      <c r="G640" s="119">
        <f t="shared" si="97"/>
        <v>-12823.6</v>
      </c>
      <c r="H640" s="119">
        <f t="shared" si="99"/>
        <v>-36313</v>
      </c>
      <c r="I640" s="147">
        <f t="shared" si="76"/>
        <v>-2702</v>
      </c>
      <c r="J640" s="119">
        <f t="shared" si="101"/>
        <v>8158.6</v>
      </c>
      <c r="K640" s="109">
        <v>46948</v>
      </c>
      <c r="L640" s="110">
        <v>0.71299999999999997</v>
      </c>
      <c r="M640" s="109">
        <v>3100</v>
      </c>
      <c r="N640" s="115"/>
      <c r="O640" s="111"/>
      <c r="P640" s="119">
        <f t="shared" si="98"/>
        <v>1092.2</v>
      </c>
      <c r="Q640" s="119">
        <f t="shared" si="73"/>
        <v>14939</v>
      </c>
      <c r="R640" s="147">
        <f t="shared" si="100"/>
        <v>18914</v>
      </c>
      <c r="S640" s="119">
        <f t="shared" si="102"/>
        <v>-490.2</v>
      </c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</row>
    <row r="641" spans="1:38">
      <c r="A641" s="108">
        <v>44503</v>
      </c>
      <c r="B641" s="109">
        <v>176263</v>
      </c>
      <c r="C641" s="110">
        <v>0.76700000000000002</v>
      </c>
      <c r="D641" s="109">
        <v>10825</v>
      </c>
      <c r="E641" s="115">
        <v>781105</v>
      </c>
      <c r="F641" s="111" t="s">
        <v>297</v>
      </c>
      <c r="G641" s="119">
        <f t="shared" si="97"/>
        <v>14469.6</v>
      </c>
      <c r="H641" s="119">
        <f t="shared" si="99"/>
        <v>-13121</v>
      </c>
      <c r="I641" s="147">
        <f t="shared" si="76"/>
        <v>-32914</v>
      </c>
      <c r="J641" s="119">
        <f t="shared" si="101"/>
        <v>6660.6</v>
      </c>
      <c r="K641" s="109">
        <v>33716</v>
      </c>
      <c r="L641" s="110">
        <v>0.51200000000000001</v>
      </c>
      <c r="M641" s="109">
        <v>3100</v>
      </c>
      <c r="N641" s="115">
        <v>150509</v>
      </c>
      <c r="O641" s="111" t="s">
        <v>297</v>
      </c>
      <c r="P641" s="119">
        <f t="shared" si="98"/>
        <v>794.6</v>
      </c>
      <c r="Q641" s="119">
        <f t="shared" si="73"/>
        <v>-13232</v>
      </c>
      <c r="R641" s="147">
        <f t="shared" si="100"/>
        <v>-7320</v>
      </c>
      <c r="S641" s="119">
        <f t="shared" si="102"/>
        <v>-1919.6</v>
      </c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</row>
    <row r="642" spans="1:38">
      <c r="A642" s="108">
        <v>44510</v>
      </c>
      <c r="B642" s="109">
        <v>190814</v>
      </c>
      <c r="C642" s="110">
        <v>0.83</v>
      </c>
      <c r="D642" s="109">
        <v>10825</v>
      </c>
      <c r="E642" s="115">
        <f>SUM(B640:B645)/42*30</f>
        <v>805007.14285714284</v>
      </c>
      <c r="F642" s="111" t="s">
        <v>298</v>
      </c>
      <c r="G642" s="119">
        <f t="shared" si="97"/>
        <v>145.80000000000001</v>
      </c>
      <c r="H642" s="119">
        <f t="shared" si="99"/>
        <v>14551</v>
      </c>
      <c r="I642" s="147">
        <f t="shared" si="76"/>
        <v>-4356</v>
      </c>
      <c r="J642" s="119">
        <f t="shared" si="101"/>
        <v>10455.4</v>
      </c>
      <c r="K642" s="109">
        <v>42492</v>
      </c>
      <c r="L642" s="110">
        <v>0.64599999999999991</v>
      </c>
      <c r="M642" s="109">
        <v>3100</v>
      </c>
      <c r="N642" s="115">
        <f>SUM(K640:K645)/42*30</f>
        <v>161634.28571428571</v>
      </c>
      <c r="O642" s="111" t="s">
        <v>298</v>
      </c>
      <c r="P642" s="119">
        <f t="shared" si="98"/>
        <v>-3784</v>
      </c>
      <c r="Q642" s="119">
        <f t="shared" si="73"/>
        <v>8776</v>
      </c>
      <c r="R642" s="147">
        <f t="shared" si="100"/>
        <v>12520</v>
      </c>
      <c r="S642" s="119">
        <f t="shared" si="102"/>
        <v>-1732.2</v>
      </c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</row>
    <row r="643" spans="1:38">
      <c r="A643" s="108">
        <v>44517</v>
      </c>
      <c r="B643" s="109">
        <v>205562</v>
      </c>
      <c r="C643" s="110">
        <v>0.89400000000000002</v>
      </c>
      <c r="D643" s="109">
        <v>10825</v>
      </c>
      <c r="E643" s="115">
        <f>SUM(B641/7*5,B642,B643,B644,B645/7*4)/30*30</f>
        <v>812612.71428571432</v>
      </c>
      <c r="F643" s="111" t="s">
        <v>299</v>
      </c>
      <c r="G643" s="119">
        <f t="shared" si="97"/>
        <v>6274.6</v>
      </c>
      <c r="H643" s="119">
        <f t="shared" si="99"/>
        <v>14748</v>
      </c>
      <c r="I643" s="147">
        <f t="shared" si="76"/>
        <v>7077</v>
      </c>
      <c r="J643" s="119">
        <f t="shared" si="101"/>
        <v>6591.2</v>
      </c>
      <c r="K643" s="109">
        <v>26910</v>
      </c>
      <c r="L643" s="110">
        <v>0.40899999999999997</v>
      </c>
      <c r="M643" s="109">
        <v>3100</v>
      </c>
      <c r="N643" s="115">
        <f>SUM(K641/7*5,K642,K643,K644,K645/7*4)/30*30</f>
        <v>157022.85714285716</v>
      </c>
      <c r="O643" s="111" t="s">
        <v>299</v>
      </c>
      <c r="P643" s="119">
        <f t="shared" si="98"/>
        <v>1872</v>
      </c>
      <c r="Q643" s="119">
        <f t="shared" ref="Q643:Q658" si="103">K643-K642</f>
        <v>-15582</v>
      </c>
      <c r="R643" s="147">
        <f t="shared" si="100"/>
        <v>-6434</v>
      </c>
      <c r="S643" s="119">
        <f t="shared" si="102"/>
        <v>-4474.6000000000004</v>
      </c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</row>
    <row r="644" spans="1:38">
      <c r="A644" s="108">
        <v>44524</v>
      </c>
      <c r="B644" s="109">
        <v>190798</v>
      </c>
      <c r="C644" s="110">
        <v>0.83</v>
      </c>
      <c r="D644" s="109">
        <v>10850</v>
      </c>
      <c r="E644" s="116">
        <f>E641-AVERAGE(E642:E643)</f>
        <v>-27704.928571428638</v>
      </c>
      <c r="F644" s="116" t="s">
        <v>275</v>
      </c>
      <c r="G644" s="119">
        <f t="shared" si="97"/>
        <v>-10060</v>
      </c>
      <c r="H644" s="119">
        <f t="shared" si="99"/>
        <v>-14764</v>
      </c>
      <c r="I644" s="147">
        <f t="shared" si="76"/>
        <v>-4279</v>
      </c>
      <c r="J644" s="119">
        <f t="shared" si="101"/>
        <v>5510</v>
      </c>
      <c r="K644" s="109">
        <v>46626</v>
      </c>
      <c r="L644" s="110">
        <v>0.70900000000000007</v>
      </c>
      <c r="M644" s="109">
        <v>3100</v>
      </c>
      <c r="N644" s="116">
        <f>N641-AVERAGE(N642:N643)</f>
        <v>-8819.5714285714203</v>
      </c>
      <c r="O644" s="116" t="s">
        <v>275</v>
      </c>
      <c r="P644" s="119">
        <f t="shared" si="98"/>
        <v>2908.2</v>
      </c>
      <c r="Q644" s="119">
        <f t="shared" si="103"/>
        <v>19716</v>
      </c>
      <c r="R644" s="147">
        <f t="shared" si="100"/>
        <v>18654</v>
      </c>
      <c r="S644" s="119">
        <f t="shared" si="102"/>
        <v>-2549.6</v>
      </c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</row>
    <row r="645" spans="1:38">
      <c r="A645" s="108">
        <v>44531</v>
      </c>
      <c r="B645" s="109">
        <v>174189</v>
      </c>
      <c r="C645" s="110">
        <v>0.75800000000000001</v>
      </c>
      <c r="D645" s="109">
        <v>10825</v>
      </c>
      <c r="E645" s="115">
        <v>704696</v>
      </c>
      <c r="F645" s="111" t="s">
        <v>300</v>
      </c>
      <c r="G645" s="119">
        <f t="shared" si="97"/>
        <v>5726.2</v>
      </c>
      <c r="H645" s="119">
        <f t="shared" si="99"/>
        <v>-16609</v>
      </c>
      <c r="I645" s="147">
        <f t="shared" si="76"/>
        <v>7887</v>
      </c>
      <c r="J645" s="119">
        <f t="shared" si="101"/>
        <v>3587.6</v>
      </c>
      <c r="K645" s="109">
        <v>29596</v>
      </c>
      <c r="L645" s="110">
        <v>0.45</v>
      </c>
      <c r="M645" s="109">
        <v>3100</v>
      </c>
      <c r="N645" s="115">
        <v>162983</v>
      </c>
      <c r="O645" s="111" t="s">
        <v>300</v>
      </c>
      <c r="P645" s="119">
        <f t="shared" si="98"/>
        <v>-5768</v>
      </c>
      <c r="Q645" s="119">
        <f t="shared" si="103"/>
        <v>-17030</v>
      </c>
      <c r="R645" s="147">
        <f t="shared" si="100"/>
        <v>-10292</v>
      </c>
      <c r="S645" s="119">
        <f t="shared" si="102"/>
        <v>-902.6</v>
      </c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</row>
    <row r="646" spans="1:38">
      <c r="A646" s="108">
        <v>44538</v>
      </c>
      <c r="B646" s="109">
        <v>186296</v>
      </c>
      <c r="C646" s="110">
        <v>0.81099999999999994</v>
      </c>
      <c r="D646" s="109">
        <v>10825</v>
      </c>
      <c r="E646" s="115">
        <f>SUM(B644:B649)/42*31</f>
        <v>813710.88095238095</v>
      </c>
      <c r="F646" s="111" t="s">
        <v>301</v>
      </c>
      <c r="G646" s="119">
        <f t="shared" si="97"/>
        <v>-14163.8</v>
      </c>
      <c r="H646" s="119">
        <f t="shared" si="99"/>
        <v>12107</v>
      </c>
      <c r="I646" s="147">
        <f t="shared" si="76"/>
        <v>15535</v>
      </c>
      <c r="J646" s="119">
        <f t="shared" si="101"/>
        <v>-1164.4000000000001</v>
      </c>
      <c r="K646" s="109">
        <v>48339</v>
      </c>
      <c r="L646" s="110">
        <v>0.73499999999999999</v>
      </c>
      <c r="M646" s="109">
        <v>3100</v>
      </c>
      <c r="N646" s="115">
        <f>SUM(K644:K649)/42*31</f>
        <v>152259.4523809524</v>
      </c>
      <c r="O646" s="111" t="s">
        <v>301</v>
      </c>
      <c r="P646" s="119">
        <f t="shared" si="98"/>
        <v>2838.8</v>
      </c>
      <c r="Q646" s="119">
        <f t="shared" si="103"/>
        <v>18743</v>
      </c>
      <c r="R646" s="147">
        <f t="shared" si="100"/>
        <v>19886</v>
      </c>
      <c r="S646" s="119">
        <f t="shared" si="102"/>
        <v>232.8</v>
      </c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</row>
    <row r="647" spans="1:38">
      <c r="A647" s="108">
        <v>44545</v>
      </c>
      <c r="B647" s="109">
        <v>198395</v>
      </c>
      <c r="C647" s="110">
        <v>0.86299999999999999</v>
      </c>
      <c r="D647" s="109">
        <v>10825</v>
      </c>
      <c r="E647" s="115">
        <f>SUM(B645/7*3,B646,B647,B648,B649)/31*31</f>
        <v>812112.42857142864</v>
      </c>
      <c r="F647" s="111" t="s">
        <v>302</v>
      </c>
      <c r="G647" s="119">
        <f t="shared" si="97"/>
        <v>24454.6</v>
      </c>
      <c r="H647" s="119">
        <f t="shared" si="99"/>
        <v>12099</v>
      </c>
      <c r="I647" s="147">
        <f t="shared" ref="I647:I686" si="104">B647-B595</f>
        <v>-8841</v>
      </c>
      <c r="J647" s="119">
        <f t="shared" si="101"/>
        <v>3428.4</v>
      </c>
      <c r="K647" s="109">
        <v>28799</v>
      </c>
      <c r="L647" s="110">
        <v>0.43799999999999994</v>
      </c>
      <c r="M647" s="109">
        <v>3100</v>
      </c>
      <c r="N647" s="115">
        <f>SUM(K645/7*3,K646,K647,K648,K649)/31*31</f>
        <v>142749</v>
      </c>
      <c r="O647" s="111" t="s">
        <v>302</v>
      </c>
      <c r="P647" s="119">
        <f t="shared" si="98"/>
        <v>-810.4</v>
      </c>
      <c r="Q647" s="119">
        <f t="shared" si="103"/>
        <v>-19540</v>
      </c>
      <c r="R647" s="147">
        <f t="shared" si="100"/>
        <v>-1612</v>
      </c>
      <c r="S647" s="119">
        <f t="shared" si="102"/>
        <v>-5324</v>
      </c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</row>
    <row r="648" spans="1:38">
      <c r="A648" s="108">
        <v>44552</v>
      </c>
      <c r="B648" s="109">
        <v>197357</v>
      </c>
      <c r="C648" s="110">
        <v>0.85099999999999998</v>
      </c>
      <c r="D648" s="109">
        <v>10850</v>
      </c>
      <c r="E648" s="116">
        <f>E645-AVERAGE(E646:E647)</f>
        <v>-108215.65476190485</v>
      </c>
      <c r="F648" s="116" t="s">
        <v>275</v>
      </c>
      <c r="G648" s="119">
        <f t="shared" si="97"/>
        <v>-25817.8</v>
      </c>
      <c r="H648" s="119">
        <f t="shared" si="99"/>
        <v>-1038</v>
      </c>
      <c r="I648" s="147">
        <f t="shared" si="104"/>
        <v>53954</v>
      </c>
      <c r="J648" s="119">
        <f t="shared" si="101"/>
        <v>8398.6</v>
      </c>
      <c r="K648" s="109">
        <v>26325</v>
      </c>
      <c r="L648" s="110">
        <v>0.4</v>
      </c>
      <c r="M648" s="109">
        <v>3100</v>
      </c>
      <c r="N648" s="116">
        <f>N645-AVERAGE(N646:N647)</f>
        <v>15478.773809523787</v>
      </c>
      <c r="O648" s="116" t="s">
        <v>275</v>
      </c>
      <c r="P648" s="119">
        <f t="shared" si="98"/>
        <v>-940.8</v>
      </c>
      <c r="Q648" s="119">
        <f t="shared" si="103"/>
        <v>-2474</v>
      </c>
      <c r="R648" s="147">
        <f t="shared" si="100"/>
        <v>-2922</v>
      </c>
      <c r="S648" s="119">
        <f t="shared" si="102"/>
        <v>-4468.8</v>
      </c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</row>
    <row r="649" spans="1:38">
      <c r="A649" s="108">
        <v>44559</v>
      </c>
      <c r="B649" s="109">
        <v>155412</v>
      </c>
      <c r="C649" s="110">
        <v>0.67599999999999993</v>
      </c>
      <c r="D649" s="109">
        <v>10825</v>
      </c>
      <c r="E649" s="115"/>
      <c r="F649" s="111"/>
      <c r="G649" s="119">
        <f t="shared" si="97"/>
        <v>162.80000000000001</v>
      </c>
      <c r="H649" s="119">
        <f t="shared" si="99"/>
        <v>-41945</v>
      </c>
      <c r="I649" s="147">
        <f t="shared" si="104"/>
        <v>-34598</v>
      </c>
      <c r="J649" s="119">
        <f t="shared" si="101"/>
        <v>-2541.1999999999998</v>
      </c>
      <c r="K649" s="109">
        <v>26602</v>
      </c>
      <c r="L649" s="110">
        <v>0.40399999999999997</v>
      </c>
      <c r="M649" s="109">
        <v>3100</v>
      </c>
      <c r="N649" s="115"/>
      <c r="O649" s="111"/>
      <c r="P649" s="119">
        <f t="shared" si="98"/>
        <v>1846.4</v>
      </c>
      <c r="Q649" s="119">
        <f t="shared" si="103"/>
        <v>277</v>
      </c>
      <c r="R649" s="147">
        <f t="shared" si="100"/>
        <v>-16474</v>
      </c>
      <c r="S649" s="119">
        <f t="shared" si="102"/>
        <v>-1240.5999999999999</v>
      </c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</row>
    <row r="650" spans="1:38">
      <c r="A650" s="108">
        <v>44566</v>
      </c>
      <c r="B650" s="109">
        <v>151283</v>
      </c>
      <c r="C650" s="110">
        <v>0.65799999999999992</v>
      </c>
      <c r="D650" s="109">
        <v>10850</v>
      </c>
      <c r="E650" s="115">
        <v>651282</v>
      </c>
      <c r="F650" s="111" t="s">
        <v>303</v>
      </c>
      <c r="G650" s="119">
        <f t="shared" si="97"/>
        <v>-19466.400000000001</v>
      </c>
      <c r="H650" s="119">
        <f t="shared" si="99"/>
        <v>-4129</v>
      </c>
      <c r="I650" s="147">
        <f t="shared" si="104"/>
        <v>-52286</v>
      </c>
      <c r="J650" s="119">
        <f t="shared" si="101"/>
        <v>5435.8</v>
      </c>
      <c r="K650" s="109">
        <v>36240</v>
      </c>
      <c r="L650" s="110">
        <v>0.55100000000000005</v>
      </c>
      <c r="M650" s="109">
        <v>3100</v>
      </c>
      <c r="N650" s="115">
        <v>163540</v>
      </c>
      <c r="O650" s="111" t="s">
        <v>303</v>
      </c>
      <c r="P650" s="119">
        <f t="shared" si="98"/>
        <v>-3495.6</v>
      </c>
      <c r="Q650" s="119">
        <f t="shared" si="103"/>
        <v>9638</v>
      </c>
      <c r="R650" s="147">
        <f t="shared" si="100"/>
        <v>8673</v>
      </c>
      <c r="S650" s="119">
        <f t="shared" si="102"/>
        <v>1132.2</v>
      </c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</row>
    <row r="651" spans="1:38">
      <c r="A651" s="108">
        <v>44573</v>
      </c>
      <c r="B651" s="109">
        <v>116807</v>
      </c>
      <c r="C651" s="110">
        <v>0.50800000000000001</v>
      </c>
      <c r="D651" s="109">
        <v>10850</v>
      </c>
      <c r="E651" s="115">
        <f>SUM(B650:B654)/35*31</f>
        <v>653194.79999999993</v>
      </c>
      <c r="F651" s="111" t="s">
        <v>304</v>
      </c>
      <c r="G651" s="119">
        <f t="shared" si="97"/>
        <v>13914.2</v>
      </c>
      <c r="H651" s="119">
        <f t="shared" si="99"/>
        <v>-34476</v>
      </c>
      <c r="I651" s="147">
        <f t="shared" si="104"/>
        <v>-54382</v>
      </c>
      <c r="J651" s="119">
        <f t="shared" si="101"/>
        <v>7359.4</v>
      </c>
      <c r="K651" s="109">
        <v>39273</v>
      </c>
      <c r="L651" s="110">
        <v>0.59699999999999998</v>
      </c>
      <c r="M651" s="109">
        <v>3100</v>
      </c>
      <c r="N651" s="115">
        <f>SUM(K649:K654)/42*31</f>
        <v>153004.92857142855</v>
      </c>
      <c r="O651" s="111" t="s">
        <v>304</v>
      </c>
      <c r="P651" s="119">
        <f t="shared" si="98"/>
        <v>4921.8</v>
      </c>
      <c r="Q651" s="119">
        <f t="shared" si="103"/>
        <v>3033</v>
      </c>
      <c r="R651" s="147">
        <f t="shared" si="100"/>
        <v>4156</v>
      </c>
      <c r="S651" s="119">
        <f t="shared" si="102"/>
        <v>-376.8</v>
      </c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</row>
    <row r="652" spans="1:38">
      <c r="A652" s="108">
        <v>44580</v>
      </c>
      <c r="B652" s="109">
        <v>128437</v>
      </c>
      <c r="C652" s="110">
        <v>0.55899999999999994</v>
      </c>
      <c r="D652" s="109">
        <v>10850</v>
      </c>
      <c r="E652" s="115">
        <f>SUM(B650/7*5,B651,B652,B653,B654/7*5)/31*31</f>
        <v>644423.7142857142</v>
      </c>
      <c r="F652" s="111" t="s">
        <v>305</v>
      </c>
      <c r="G652" s="119">
        <f t="shared" si="97"/>
        <v>7384.2</v>
      </c>
      <c r="H652" s="119">
        <f t="shared" si="99"/>
        <v>11630</v>
      </c>
      <c r="I652" s="147">
        <f t="shared" si="104"/>
        <v>-31534</v>
      </c>
      <c r="J652" s="119">
        <f t="shared" si="101"/>
        <v>5327.2</v>
      </c>
      <c r="K652" s="109">
        <v>35781</v>
      </c>
      <c r="L652" s="110">
        <v>0.54400000000000004</v>
      </c>
      <c r="M652" s="109">
        <v>3100</v>
      </c>
      <c r="N652" s="115">
        <f>SUM(K650/7*3,K651,K652,K653,K654)/31*31</f>
        <v>159986.42857142858</v>
      </c>
      <c r="O652" s="111" t="s">
        <v>305</v>
      </c>
      <c r="P652" s="119">
        <f t="shared" si="98"/>
        <v>-4196.8</v>
      </c>
      <c r="Q652" s="119">
        <f t="shared" si="103"/>
        <v>-3492</v>
      </c>
      <c r="R652" s="147">
        <f t="shared" si="100"/>
        <v>9146</v>
      </c>
      <c r="S652" s="119">
        <f t="shared" si="102"/>
        <v>-2615.4</v>
      </c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</row>
    <row r="653" spans="1:38">
      <c r="A653" s="108">
        <v>44587</v>
      </c>
      <c r="B653" s="109">
        <v>166544</v>
      </c>
      <c r="C653" s="110">
        <v>0.72499999999999998</v>
      </c>
      <c r="D653" s="109">
        <v>10875</v>
      </c>
      <c r="E653" s="116">
        <f>E650-AVERAGE(E651:E652)</f>
        <v>2472.7428571429336</v>
      </c>
      <c r="F653" s="116" t="s">
        <v>275</v>
      </c>
      <c r="G653" s="119">
        <f t="shared" si="97"/>
        <v>2242.8000000000002</v>
      </c>
      <c r="H653" s="119">
        <f t="shared" si="99"/>
        <v>38107</v>
      </c>
      <c r="I653" s="147">
        <f t="shared" si="104"/>
        <v>-23768</v>
      </c>
      <c r="J653" s="119">
        <f t="shared" si="101"/>
        <v>1151.5999999999999</v>
      </c>
      <c r="K653" s="109">
        <v>32851</v>
      </c>
      <c r="L653" s="110">
        <v>0.499</v>
      </c>
      <c r="M653" s="109">
        <v>3100</v>
      </c>
      <c r="N653" s="116">
        <f>N650-AVERAGE(N651:N652)</f>
        <v>7044.3214285714203</v>
      </c>
      <c r="O653" s="116" t="s">
        <v>275</v>
      </c>
      <c r="P653" s="119">
        <f t="shared" si="98"/>
        <v>-2465.8000000000002</v>
      </c>
      <c r="Q653" s="119">
        <f t="shared" si="103"/>
        <v>-2930</v>
      </c>
      <c r="R653" s="147">
        <f t="shared" si="100"/>
        <v>-5082</v>
      </c>
      <c r="S653" s="119">
        <f t="shared" si="102"/>
        <v>-4486.6000000000004</v>
      </c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</row>
    <row r="654" spans="1:38">
      <c r="A654" s="108">
        <v>44594</v>
      </c>
      <c r="B654" s="109">
        <v>174407</v>
      </c>
      <c r="C654" s="110">
        <v>0.75900000000000001</v>
      </c>
      <c r="D654" s="109">
        <v>10875</v>
      </c>
      <c r="E654" s="115">
        <v>629153</v>
      </c>
      <c r="F654" s="111" t="s">
        <v>306</v>
      </c>
      <c r="G654" s="119">
        <f t="shared" si="97"/>
        <v>-3637.8</v>
      </c>
      <c r="H654" s="119">
        <f t="shared" si="99"/>
        <v>7863</v>
      </c>
      <c r="I654" s="147">
        <f t="shared" si="104"/>
        <v>-4922</v>
      </c>
      <c r="J654" s="119">
        <f t="shared" si="101"/>
        <v>5649</v>
      </c>
      <c r="K654" s="109">
        <v>36550</v>
      </c>
      <c r="L654" s="110">
        <v>0.55500000000000005</v>
      </c>
      <c r="M654" s="109">
        <v>3100</v>
      </c>
      <c r="N654" s="115">
        <v>140695</v>
      </c>
      <c r="O654" s="111" t="s">
        <v>306</v>
      </c>
      <c r="P654" s="119">
        <f t="shared" si="98"/>
        <v>7114.4</v>
      </c>
      <c r="Q654" s="119">
        <f t="shared" si="103"/>
        <v>3699</v>
      </c>
      <c r="R654" s="147">
        <f t="shared" si="100"/>
        <v>8092</v>
      </c>
      <c r="S654" s="119">
        <f t="shared" si="102"/>
        <v>-243.4</v>
      </c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</row>
    <row r="655" spans="1:38">
      <c r="A655" s="108">
        <v>44601</v>
      </c>
      <c r="B655" s="109">
        <v>179319</v>
      </c>
      <c r="C655" s="110">
        <v>0.78</v>
      </c>
      <c r="D655" s="109">
        <v>10875</v>
      </c>
      <c r="E655" s="115">
        <f>SUM(B654:B658)/35*28</f>
        <v>765363.20000000007</v>
      </c>
      <c r="F655" s="111" t="s">
        <v>307</v>
      </c>
      <c r="G655" s="119">
        <f t="shared" si="97"/>
        <v>1374.8</v>
      </c>
      <c r="H655" s="119">
        <f t="shared" si="99"/>
        <v>4912</v>
      </c>
      <c r="I655" s="147">
        <f t="shared" si="104"/>
        <v>239</v>
      </c>
      <c r="J655" s="119">
        <f t="shared" si="101"/>
        <v>1147</v>
      </c>
      <c r="K655" s="109">
        <v>30926</v>
      </c>
      <c r="L655" s="110">
        <v>0.47</v>
      </c>
      <c r="M655" s="109">
        <v>3100</v>
      </c>
      <c r="N655" s="115">
        <f>SUM(K654:K658)/35*28</f>
        <v>148822.39999999999</v>
      </c>
      <c r="O655" s="111" t="s">
        <v>307</v>
      </c>
      <c r="P655" s="119">
        <f t="shared" si="98"/>
        <v>-3489.4</v>
      </c>
      <c r="Q655" s="119">
        <f t="shared" si="103"/>
        <v>-5624</v>
      </c>
      <c r="R655" s="147">
        <f t="shared" si="100"/>
        <v>-5333</v>
      </c>
      <c r="S655" s="119">
        <f t="shared" si="102"/>
        <v>699.4</v>
      </c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</row>
    <row r="656" spans="1:38">
      <c r="A656" s="108">
        <v>44608</v>
      </c>
      <c r="B656" s="109">
        <v>197706</v>
      </c>
      <c r="C656" s="110">
        <v>0.86</v>
      </c>
      <c r="D656" s="109">
        <v>10875</v>
      </c>
      <c r="E656" s="115">
        <f>SUM(B654/7*2,B655,B656,B657,B658/7*5)/28*28</f>
        <v>774194.7142857142</v>
      </c>
      <c r="F656" s="111" t="s">
        <v>308</v>
      </c>
      <c r="G656" s="119">
        <f t="shared" si="97"/>
        <v>12129.8</v>
      </c>
      <c r="H656" s="119">
        <f t="shared" si="99"/>
        <v>18387</v>
      </c>
      <c r="I656" s="147">
        <f t="shared" si="104"/>
        <v>11676</v>
      </c>
      <c r="J656" s="119">
        <f t="shared" si="101"/>
        <v>8.1999999999999993</v>
      </c>
      <c r="K656" s="109">
        <v>40648</v>
      </c>
      <c r="L656" s="110">
        <v>0.61799999999999999</v>
      </c>
      <c r="M656" s="109">
        <v>3100</v>
      </c>
      <c r="N656" s="115">
        <f>SUM(K654/7*2,K655,K656,K657,K658/7*5)/28*28</f>
        <v>145620.85714285716</v>
      </c>
      <c r="O656" s="111" t="s">
        <v>308</v>
      </c>
      <c r="P656" s="119">
        <f t="shared" si="98"/>
        <v>-5752.6</v>
      </c>
      <c r="Q656" s="119">
        <f t="shared" si="103"/>
        <v>9722</v>
      </c>
      <c r="R656" s="147">
        <f t="shared" si="100"/>
        <v>14188</v>
      </c>
      <c r="S656" s="119">
        <f t="shared" si="102"/>
        <v>1924</v>
      </c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</row>
    <row r="657" spans="1:38">
      <c r="A657" s="108">
        <v>44615</v>
      </c>
      <c r="B657" s="109">
        <v>202507</v>
      </c>
      <c r="C657" s="110">
        <v>0.88099999999999989</v>
      </c>
      <c r="D657" s="109">
        <v>10875</v>
      </c>
      <c r="E657" s="116">
        <f>E654-AVERAGE(E655:E656)</f>
        <v>-140625.95714285714</v>
      </c>
      <c r="F657" s="116" t="s">
        <v>275</v>
      </c>
      <c r="G657" s="119">
        <f t="shared" si="97"/>
        <v>4344.3999999999996</v>
      </c>
      <c r="H657" s="119">
        <f t="shared" si="99"/>
        <v>4801</v>
      </c>
      <c r="I657" s="147">
        <f t="shared" si="104"/>
        <v>6699</v>
      </c>
      <c r="J657" s="119">
        <f t="shared" si="101"/>
        <v>6096</v>
      </c>
      <c r="K657" s="109">
        <v>27854</v>
      </c>
      <c r="L657" s="110">
        <v>0.42299999999999999</v>
      </c>
      <c r="M657" s="109">
        <v>3100</v>
      </c>
      <c r="N657" s="116">
        <f>N654-AVERAGE(N655:N656)</f>
        <v>-6526.6285714285914</v>
      </c>
      <c r="O657" s="116" t="s">
        <v>275</v>
      </c>
      <c r="P657" s="119">
        <f t="shared" si="98"/>
        <v>3294.6</v>
      </c>
      <c r="Q657" s="119">
        <f t="shared" si="103"/>
        <v>-12794</v>
      </c>
      <c r="R657" s="147">
        <f t="shared" si="100"/>
        <v>1180</v>
      </c>
      <c r="S657" s="119">
        <f t="shared" si="102"/>
        <v>-3137.2</v>
      </c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</row>
    <row r="658" spans="1:38">
      <c r="A658" s="108">
        <v>44622</v>
      </c>
      <c r="B658" s="109">
        <v>202765</v>
      </c>
      <c r="C658" s="110">
        <v>0.88200000000000001</v>
      </c>
      <c r="D658" s="109">
        <v>10875</v>
      </c>
      <c r="E658" s="115">
        <v>739879</v>
      </c>
      <c r="F658" s="111" t="s">
        <v>272</v>
      </c>
      <c r="G658" s="119">
        <f t="shared" si="97"/>
        <v>5030.2</v>
      </c>
      <c r="H658" s="119">
        <f t="shared" si="99"/>
        <v>258</v>
      </c>
      <c r="I658" s="147">
        <f t="shared" si="104"/>
        <v>-20669</v>
      </c>
      <c r="J658" s="119">
        <f t="shared" si="101"/>
        <v>7517.8</v>
      </c>
      <c r="K658" s="109">
        <v>50050</v>
      </c>
      <c r="L658" s="110">
        <v>0.7609999999999999</v>
      </c>
      <c r="M658" s="109">
        <v>3100</v>
      </c>
      <c r="N658" s="115">
        <v>167333</v>
      </c>
      <c r="O658" s="111" t="s">
        <v>272</v>
      </c>
      <c r="P658" s="119">
        <f t="shared" si="98"/>
        <v>7238.6</v>
      </c>
      <c r="Q658" s="119">
        <f t="shared" si="103"/>
        <v>22196</v>
      </c>
      <c r="R658" s="147">
        <f t="shared" si="100"/>
        <v>8582</v>
      </c>
      <c r="S658" s="119">
        <f t="shared" si="102"/>
        <v>-2833.2</v>
      </c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</row>
    <row r="659" spans="1:38">
      <c r="A659" s="108">
        <v>44629</v>
      </c>
      <c r="B659" s="109">
        <v>196993</v>
      </c>
      <c r="C659" s="110">
        <v>0.85699999999999998</v>
      </c>
      <c r="D659" s="109">
        <v>10875</v>
      </c>
      <c r="E659" s="115">
        <f>SUM(B658:B663)/42*31</f>
        <v>858945.04761904769</v>
      </c>
      <c r="F659" s="111" t="s">
        <v>273</v>
      </c>
      <c r="G659" s="119">
        <f t="shared" si="97"/>
        <v>-3962.4</v>
      </c>
      <c r="H659" s="119">
        <f>B659-B658</f>
        <v>-5772</v>
      </c>
      <c r="I659" s="147">
        <f t="shared" si="104"/>
        <v>-3585</v>
      </c>
      <c r="J659" s="119">
        <f t="shared" ref="J659:J669" si="105">AVERAGE(B606-B554,B554-B502,B502-B450,B450-B398,B398-B347)</f>
        <v>7070.6</v>
      </c>
      <c r="K659" s="109">
        <v>34373</v>
      </c>
      <c r="L659" s="110">
        <v>0.52200000000000002</v>
      </c>
      <c r="M659" s="109">
        <v>3100</v>
      </c>
      <c r="N659" s="115">
        <f>SUM(K658:K663)/42*31</f>
        <v>173109.90476190476</v>
      </c>
      <c r="O659" s="111" t="s">
        <v>273</v>
      </c>
      <c r="P659" s="119">
        <f t="shared" si="98"/>
        <v>-9270.6</v>
      </c>
      <c r="Q659" s="119">
        <f>K659-K658</f>
        <v>-15677</v>
      </c>
      <c r="R659" s="147">
        <f t="shared" si="100"/>
        <v>7804</v>
      </c>
      <c r="S659" s="119">
        <f t="shared" si="102"/>
        <v>3304.8</v>
      </c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</row>
    <row r="660" spans="1:38">
      <c r="A660" s="108">
        <v>44636</v>
      </c>
      <c r="B660" s="109">
        <v>189247</v>
      </c>
      <c r="C660" s="110">
        <v>0.82299999999999995</v>
      </c>
      <c r="D660" s="109">
        <v>10875</v>
      </c>
      <c r="E660" s="115">
        <f>SUM(B658/7*2,B659,B660,B661,B662,B663/7*1)/28*28</f>
        <v>862850.14285714284</v>
      </c>
      <c r="F660" s="111" t="s">
        <v>274</v>
      </c>
      <c r="G660" s="119">
        <f t="shared" si="97"/>
        <v>4705.8</v>
      </c>
      <c r="H660" s="119">
        <f t="shared" ref="H660:H669" si="106">B660-B659</f>
        <v>-7746</v>
      </c>
      <c r="I660" s="147">
        <f t="shared" si="104"/>
        <v>-29463</v>
      </c>
      <c r="J660" s="119">
        <f t="shared" si="105"/>
        <v>5592.8</v>
      </c>
      <c r="K660" s="109">
        <v>34654</v>
      </c>
      <c r="L660" s="110">
        <v>0.52700000000000002</v>
      </c>
      <c r="M660" s="109">
        <v>3100</v>
      </c>
      <c r="N660" s="115">
        <f>SUM(K658/7*2,K659,K660,K661,K662,K663/7*1)/28*28</f>
        <v>168882</v>
      </c>
      <c r="O660" s="111" t="s">
        <v>274</v>
      </c>
      <c r="P660" s="119">
        <f t="shared" si="98"/>
        <v>7</v>
      </c>
      <c r="Q660" s="119">
        <f t="shared" ref="Q660:Q678" si="107">K660-K659</f>
        <v>281</v>
      </c>
      <c r="R660" s="147">
        <f t="shared" si="100"/>
        <v>962</v>
      </c>
      <c r="S660" s="119">
        <f t="shared" si="102"/>
        <v>630.4</v>
      </c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</row>
    <row r="661" spans="1:38">
      <c r="A661" s="108">
        <v>44643</v>
      </c>
      <c r="B661" s="109">
        <v>201467</v>
      </c>
      <c r="C661" s="110">
        <v>0.877</v>
      </c>
      <c r="D661" s="109">
        <v>10875</v>
      </c>
      <c r="E661" s="116">
        <f>E658-AVERAGE(E659:E660)</f>
        <v>-121018.59523809527</v>
      </c>
      <c r="F661" s="116" t="s">
        <v>275</v>
      </c>
      <c r="G661" s="119">
        <f t="shared" si="97"/>
        <v>-6956.8</v>
      </c>
      <c r="H661" s="119">
        <f t="shared" si="106"/>
        <v>12220</v>
      </c>
      <c r="I661" s="147">
        <f t="shared" si="104"/>
        <v>490</v>
      </c>
      <c r="J661" s="119">
        <f t="shared" si="105"/>
        <v>11479.6</v>
      </c>
      <c r="K661" s="109">
        <v>32705</v>
      </c>
      <c r="L661" s="110">
        <v>0.49700000000000005</v>
      </c>
      <c r="M661" s="109">
        <v>3100</v>
      </c>
      <c r="N661" s="116">
        <f>N658-AVERAGE(N659:N660)</f>
        <v>-3662.9523809523671</v>
      </c>
      <c r="O661" s="116" t="s">
        <v>275</v>
      </c>
      <c r="P661" s="119">
        <f t="shared" si="98"/>
        <v>2131.8000000000002</v>
      </c>
      <c r="Q661" s="119">
        <f t="shared" si="107"/>
        <v>-1949</v>
      </c>
      <c r="R661" s="147">
        <f t="shared" si="100"/>
        <v>5783</v>
      </c>
      <c r="S661" s="119">
        <f t="shared" si="102"/>
        <v>-2166.8000000000002</v>
      </c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</row>
    <row r="662" spans="1:38">
      <c r="A662" s="108">
        <v>44650</v>
      </c>
      <c r="B662" s="109">
        <v>191202</v>
      </c>
      <c r="C662" s="110">
        <v>0.83200000000000007</v>
      </c>
      <c r="D662" s="109">
        <v>10875</v>
      </c>
      <c r="E662" s="115"/>
      <c r="F662" s="111"/>
      <c r="G662" s="119">
        <f t="shared" si="97"/>
        <v>9886</v>
      </c>
      <c r="H662" s="119">
        <f t="shared" si="106"/>
        <v>-10265</v>
      </c>
      <c r="I662" s="147">
        <f t="shared" si="104"/>
        <v>-25215</v>
      </c>
      <c r="J662" s="119">
        <f t="shared" si="105"/>
        <v>11536.2</v>
      </c>
      <c r="K662" s="109">
        <v>47866</v>
      </c>
      <c r="L662" s="110">
        <v>0.72699999999999998</v>
      </c>
      <c r="M662" s="109">
        <v>3100</v>
      </c>
      <c r="N662" s="115"/>
      <c r="O662" s="111"/>
      <c r="P662" s="119">
        <f t="shared" si="98"/>
        <v>6328.2</v>
      </c>
      <c r="Q662" s="119">
        <f t="shared" si="107"/>
        <v>15161</v>
      </c>
      <c r="R662" s="147">
        <f t="shared" si="100"/>
        <v>10653</v>
      </c>
      <c r="S662" s="119">
        <f t="shared" si="102"/>
        <v>-4463.6000000000004</v>
      </c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</row>
    <row r="663" spans="1:38">
      <c r="A663" s="108">
        <v>44657</v>
      </c>
      <c r="B663" s="109">
        <v>182058</v>
      </c>
      <c r="C663" s="110">
        <v>0.79200000000000004</v>
      </c>
      <c r="D663" s="109">
        <v>10875</v>
      </c>
      <c r="E663" s="115">
        <v>706762</v>
      </c>
      <c r="F663" s="111" t="s">
        <v>276</v>
      </c>
      <c r="G663" s="119">
        <f t="shared" si="97"/>
        <v>-5351.8</v>
      </c>
      <c r="H663" s="119">
        <f t="shared" si="106"/>
        <v>-9144</v>
      </c>
      <c r="I663" s="147">
        <f t="shared" si="104"/>
        <v>-29480</v>
      </c>
      <c r="J663" s="119">
        <f t="shared" si="105"/>
        <v>12931</v>
      </c>
      <c r="K663" s="109">
        <v>34888</v>
      </c>
      <c r="L663" s="110">
        <v>0.53</v>
      </c>
      <c r="M663" s="109">
        <v>3100</v>
      </c>
      <c r="N663" s="115">
        <v>172251</v>
      </c>
      <c r="O663" s="111" t="s">
        <v>276</v>
      </c>
      <c r="P663" s="119">
        <f t="shared" si="98"/>
        <v>-11122.4</v>
      </c>
      <c r="Q663" s="119">
        <f t="shared" si="107"/>
        <v>-12978</v>
      </c>
      <c r="R663" s="147">
        <f t="shared" si="100"/>
        <v>8678</v>
      </c>
      <c r="S663" s="119">
        <f t="shared" si="102"/>
        <v>1993.4</v>
      </c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</row>
    <row r="664" spans="1:38">
      <c r="A664" s="108">
        <v>44664</v>
      </c>
      <c r="B664" s="109">
        <v>162381</v>
      </c>
      <c r="C664" s="110">
        <v>0.70599999999999996</v>
      </c>
      <c r="D664" s="109">
        <v>10875</v>
      </c>
      <c r="E664" s="115">
        <f>SUM(B662:B667)/42*30</f>
        <v>741594.28571428568</v>
      </c>
      <c r="F664" s="111" t="s">
        <v>277</v>
      </c>
      <c r="G664" s="119">
        <f t="shared" ref="G664:G673" si="108">AVERAGE(B612-B611,B560-B559,B508-B507,B456-B455,B404-B403)</f>
        <v>2284.4</v>
      </c>
      <c r="H664" s="119">
        <f t="shared" si="106"/>
        <v>-19677</v>
      </c>
      <c r="I664" s="147">
        <f t="shared" si="104"/>
        <v>-57449</v>
      </c>
      <c r="J664" s="119">
        <f t="shared" si="105"/>
        <v>6292</v>
      </c>
      <c r="K664" s="109">
        <v>42680</v>
      </c>
      <c r="L664" s="110">
        <v>0.64900000000000002</v>
      </c>
      <c r="M664" s="109">
        <v>3100</v>
      </c>
      <c r="N664" s="115">
        <f>SUM(K662:K667)/42*30</f>
        <v>178898.57142857145</v>
      </c>
      <c r="O664" s="111" t="s">
        <v>277</v>
      </c>
      <c r="P664" s="119">
        <f t="shared" si="98"/>
        <v>11800.8</v>
      </c>
      <c r="Q664" s="119">
        <f t="shared" si="107"/>
        <v>7792</v>
      </c>
      <c r="R664" s="147">
        <f t="shared" si="100"/>
        <v>16366</v>
      </c>
      <c r="S664" s="119">
        <f t="shared" si="102"/>
        <v>-217.8</v>
      </c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</row>
    <row r="665" spans="1:38">
      <c r="A665" s="108">
        <v>44671</v>
      </c>
      <c r="B665" s="109">
        <v>181697</v>
      </c>
      <c r="C665" s="110">
        <v>0.79099999999999993</v>
      </c>
      <c r="D665" s="109">
        <v>10875</v>
      </c>
      <c r="E665" s="115">
        <f>SUM(B663/7*6,B664,B665,B666,B667/7*3)/30*30</f>
        <v>725663.42857142864</v>
      </c>
      <c r="F665" s="111" t="s">
        <v>278</v>
      </c>
      <c r="G665" s="119">
        <f t="shared" si="108"/>
        <v>5064.3999999999996</v>
      </c>
      <c r="H665" s="119">
        <f t="shared" si="106"/>
        <v>19316</v>
      </c>
      <c r="I665" s="147">
        <f t="shared" si="104"/>
        <v>-19379</v>
      </c>
      <c r="J665" s="119">
        <f t="shared" si="105"/>
        <v>21784.2</v>
      </c>
      <c r="K665" s="109">
        <v>32048</v>
      </c>
      <c r="L665" s="110">
        <v>0.48700000000000004</v>
      </c>
      <c r="M665" s="109">
        <v>3100</v>
      </c>
      <c r="N665" s="115">
        <f>SUM(K663/7*6,K664,K665,K666,K667/7*3)/28*28</f>
        <v>174844</v>
      </c>
      <c r="O665" s="111" t="s">
        <v>278</v>
      </c>
      <c r="P665" s="119">
        <f t="shared" si="98"/>
        <v>-6618.2</v>
      </c>
      <c r="Q665" s="119">
        <f t="shared" si="107"/>
        <v>-10632</v>
      </c>
      <c r="R665" s="147">
        <f t="shared" si="100"/>
        <v>-9404</v>
      </c>
      <c r="S665" s="119">
        <f t="shared" si="102"/>
        <v>-3189.6</v>
      </c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</row>
    <row r="666" spans="1:38">
      <c r="A666" s="108">
        <v>44678</v>
      </c>
      <c r="B666" s="109">
        <v>154017</v>
      </c>
      <c r="C666" s="110">
        <v>0.67</v>
      </c>
      <c r="D666" s="109">
        <v>10875</v>
      </c>
      <c r="E666" s="116">
        <f>E663-AVERAGE(E664:E665)</f>
        <v>-26866.857142857159</v>
      </c>
      <c r="F666" s="116" t="s">
        <v>275</v>
      </c>
      <c r="G666" s="119">
        <f t="shared" si="108"/>
        <v>-8280.6</v>
      </c>
      <c r="H666" s="119">
        <f t="shared" si="106"/>
        <v>-27680</v>
      </c>
      <c r="I666" s="147">
        <f t="shared" si="104"/>
        <v>-60253</v>
      </c>
      <c r="J666" s="119">
        <f t="shared" si="105"/>
        <v>13965</v>
      </c>
      <c r="K666" s="109">
        <v>53139</v>
      </c>
      <c r="L666" s="110">
        <v>0.80799999999999994</v>
      </c>
      <c r="M666" s="109">
        <v>3100</v>
      </c>
      <c r="N666" s="116">
        <f>N663-AVERAGE(N664:N665)</f>
        <v>-4620.2857142857392</v>
      </c>
      <c r="O666" s="116" t="s">
        <v>275</v>
      </c>
      <c r="P666" s="119">
        <f t="shared" si="98"/>
        <v>6072.8</v>
      </c>
      <c r="Q666" s="119">
        <f t="shared" si="107"/>
        <v>21091</v>
      </c>
      <c r="R666" s="147">
        <f t="shared" si="100"/>
        <v>24720</v>
      </c>
      <c r="S666" s="119">
        <f t="shared" si="102"/>
        <v>-823</v>
      </c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</row>
    <row r="667" spans="1:38">
      <c r="A667" s="108">
        <v>44685</v>
      </c>
      <c r="B667" s="109">
        <v>166877</v>
      </c>
      <c r="C667" s="110">
        <v>0.72599999999999998</v>
      </c>
      <c r="D667" s="109">
        <v>10875</v>
      </c>
      <c r="E667" s="115">
        <v>591780</v>
      </c>
      <c r="F667" s="111" t="s">
        <v>279</v>
      </c>
      <c r="G667" s="119">
        <f t="shared" si="108"/>
        <v>2713.4</v>
      </c>
      <c r="H667" s="119">
        <f t="shared" si="106"/>
        <v>12860</v>
      </c>
      <c r="I667" s="147">
        <f t="shared" si="104"/>
        <v>-40359</v>
      </c>
      <c r="J667" s="119">
        <f t="shared" si="105"/>
        <v>15032.4</v>
      </c>
      <c r="K667" s="109">
        <v>39837</v>
      </c>
      <c r="L667" s="110">
        <v>0.60499999999999998</v>
      </c>
      <c r="M667" s="109">
        <v>3100</v>
      </c>
      <c r="N667" s="115">
        <v>161424</v>
      </c>
      <c r="O667" s="111" t="s">
        <v>279</v>
      </c>
      <c r="P667" s="119">
        <f t="shared" si="98"/>
        <v>-12415.2</v>
      </c>
      <c r="Q667" s="119">
        <f t="shared" si="107"/>
        <v>-13302</v>
      </c>
      <c r="R667" s="147">
        <f t="shared" si="100"/>
        <v>11401</v>
      </c>
      <c r="S667" s="119">
        <f t="shared" si="102"/>
        <v>-3166.6</v>
      </c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</row>
    <row r="668" spans="1:38">
      <c r="A668" s="108">
        <v>44692</v>
      </c>
      <c r="B668" s="109">
        <v>175186</v>
      </c>
      <c r="C668" s="110">
        <v>0.76200000000000001</v>
      </c>
      <c r="D668" s="109">
        <v>10875</v>
      </c>
      <c r="E668" s="115">
        <f>SUM(B667:B671)/35*31</f>
        <v>701109.2857142858</v>
      </c>
      <c r="F668" s="111" t="s">
        <v>280</v>
      </c>
      <c r="G668" s="119">
        <f t="shared" si="108"/>
        <v>-552.20000000000005</v>
      </c>
      <c r="H668" s="119">
        <f t="shared" si="106"/>
        <v>8309</v>
      </c>
      <c r="I668" s="147">
        <f t="shared" si="104"/>
        <v>-18539</v>
      </c>
      <c r="J668" s="119">
        <f t="shared" si="105"/>
        <v>8945.6</v>
      </c>
      <c r="K668" s="109">
        <v>47988</v>
      </c>
      <c r="L668" s="110">
        <v>0.72900000000000009</v>
      </c>
      <c r="M668" s="109">
        <v>3100</v>
      </c>
      <c r="N668" s="115">
        <f>SUM(K667:K671)/35*31</f>
        <v>162634.85714285716</v>
      </c>
      <c r="O668" s="111" t="s">
        <v>280</v>
      </c>
      <c r="P668" s="119">
        <f t="shared" si="98"/>
        <v>12327.8</v>
      </c>
      <c r="Q668" s="119">
        <f t="shared" si="107"/>
        <v>8151</v>
      </c>
      <c r="R668" s="147">
        <f t="shared" si="100"/>
        <v>31883</v>
      </c>
      <c r="S668" s="119">
        <f t="shared" si="102"/>
        <v>-443.6</v>
      </c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</row>
    <row r="669" spans="1:38">
      <c r="A669" s="108">
        <v>44699</v>
      </c>
      <c r="B669" s="109">
        <v>168038</v>
      </c>
      <c r="C669" s="110">
        <v>0.73099999999999998</v>
      </c>
      <c r="D669" s="109">
        <v>10875</v>
      </c>
      <c r="E669" s="115">
        <f>SUM(B667/7*4,B668,B669,B670,B671/7*6)/31*31</f>
        <v>700047.14285714284</v>
      </c>
      <c r="F669" s="111" t="s">
        <v>281</v>
      </c>
      <c r="G669" s="119">
        <f t="shared" si="108"/>
        <v>-7155.2</v>
      </c>
      <c r="H669" s="119">
        <f t="shared" si="106"/>
        <v>-7148</v>
      </c>
      <c r="I669" s="147">
        <f t="shared" si="104"/>
        <v>-21220</v>
      </c>
      <c r="J669" s="119">
        <f t="shared" si="105"/>
        <v>2848</v>
      </c>
      <c r="K669" s="109">
        <v>29645</v>
      </c>
      <c r="L669" s="110">
        <v>0.45100000000000001</v>
      </c>
      <c r="M669" s="109">
        <v>3100</v>
      </c>
      <c r="N669" s="115">
        <f>SUM(K667/7*4,K668,K669,K670,K671/7*6)/28*28</f>
        <v>162374.71428571429</v>
      </c>
      <c r="O669" s="111" t="s">
        <v>281</v>
      </c>
      <c r="P669" s="119">
        <f t="shared" si="98"/>
        <v>-12284.6</v>
      </c>
      <c r="Q669" s="119">
        <f t="shared" si="107"/>
        <v>-18343</v>
      </c>
      <c r="R669" s="147">
        <f t="shared" si="100"/>
        <v>1091</v>
      </c>
      <c r="S669" s="119">
        <f t="shared" si="102"/>
        <v>-1845</v>
      </c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</row>
    <row r="670" spans="1:38">
      <c r="A670" s="108">
        <v>44706</v>
      </c>
      <c r="B670" s="109">
        <v>141410</v>
      </c>
      <c r="C670" s="110">
        <v>0.61499999999999999</v>
      </c>
      <c r="D670" s="109">
        <v>10875</v>
      </c>
      <c r="E670" s="116">
        <f>E667-AVERAGE(E668:E669)</f>
        <v>-108798.21428571432</v>
      </c>
      <c r="F670" s="116" t="s">
        <v>275</v>
      </c>
      <c r="G670" s="119">
        <f t="shared" si="108"/>
        <v>2254.6</v>
      </c>
      <c r="H670" s="119">
        <f t="shared" ref="H670:H671" si="109">B670-B669</f>
        <v>-26628</v>
      </c>
      <c r="I670" s="147">
        <f t="shared" si="104"/>
        <v>-59650</v>
      </c>
      <c r="J670" s="119">
        <f t="shared" ref="J670:J671" si="110">AVERAGE(B617-B565,B565-B513,B513-B461,B461-B409,B409-B358)</f>
        <v>9854.2000000000007</v>
      </c>
      <c r="K670" s="109">
        <v>36944</v>
      </c>
      <c r="L670" s="110">
        <v>0.56100000000000005</v>
      </c>
      <c r="M670" s="109">
        <v>3100</v>
      </c>
      <c r="N670" s="116">
        <f>N667-AVERAGE(N668:N669)</f>
        <v>-1080.7857142857392</v>
      </c>
      <c r="O670" s="116" t="s">
        <v>275</v>
      </c>
      <c r="P670" s="119">
        <f t="shared" ref="P670:P673" si="111">AVERAGE(K618-K617,K566-K565,K514-K513,K462-K461,K410-K409)</f>
        <v>11946.4</v>
      </c>
      <c r="Q670" s="119">
        <f t="shared" si="107"/>
        <v>7299</v>
      </c>
      <c r="R670" s="147">
        <f t="shared" si="100"/>
        <v>10132</v>
      </c>
      <c r="S670" s="119">
        <f t="shared" si="102"/>
        <v>2773.2</v>
      </c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</row>
    <row r="671" spans="1:38">
      <c r="A671" s="108">
        <v>44713</v>
      </c>
      <c r="B671" s="109">
        <v>140064</v>
      </c>
      <c r="C671" s="110">
        <v>0.60899999999999999</v>
      </c>
      <c r="D671" s="109">
        <v>10875</v>
      </c>
      <c r="E671" s="115">
        <v>660215</v>
      </c>
      <c r="F671" s="111" t="s">
        <v>282</v>
      </c>
      <c r="G671" s="119">
        <f t="shared" si="108"/>
        <v>-15379.8</v>
      </c>
      <c r="H671" s="119">
        <f t="shared" si="109"/>
        <v>-1346</v>
      </c>
      <c r="I671" s="147">
        <f t="shared" si="104"/>
        <v>-57758</v>
      </c>
      <c r="J671" s="119">
        <f t="shared" si="110"/>
        <v>5437.4</v>
      </c>
      <c r="K671" s="109">
        <v>29206</v>
      </c>
      <c r="L671" s="110">
        <v>0.44400000000000001</v>
      </c>
      <c r="M671" s="109">
        <v>3100</v>
      </c>
      <c r="N671" s="115">
        <v>136398</v>
      </c>
      <c r="O671" s="111" t="s">
        <v>282</v>
      </c>
      <c r="P671" s="119">
        <f t="shared" si="111"/>
        <v>-10102.6</v>
      </c>
      <c r="Q671" s="119">
        <f t="shared" si="107"/>
        <v>-7738</v>
      </c>
      <c r="R671" s="147">
        <f t="shared" si="100"/>
        <v>2326</v>
      </c>
      <c r="S671" s="119">
        <f t="shared" si="102"/>
        <v>-661.8</v>
      </c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</row>
    <row r="672" spans="1:38">
      <c r="A672" s="108">
        <v>44720</v>
      </c>
      <c r="B672" s="109">
        <v>145991</v>
      </c>
      <c r="C672" s="110">
        <v>0.63500000000000001</v>
      </c>
      <c r="D672" s="109">
        <v>10875</v>
      </c>
      <c r="E672" s="115">
        <f>SUM(B671:B676)/42*30</f>
        <v>642492.14285714296</v>
      </c>
      <c r="F672" s="111" t="s">
        <v>283</v>
      </c>
      <c r="G672" s="119">
        <f t="shared" si="108"/>
        <v>17648.2</v>
      </c>
      <c r="H672" s="119">
        <f t="shared" ref="H672" si="112">B672-B671</f>
        <v>5927</v>
      </c>
      <c r="I672" s="147">
        <f t="shared" si="104"/>
        <v>-66745</v>
      </c>
      <c r="J672" s="119">
        <f t="shared" ref="J672" si="113">AVERAGE(B619-B567,B567-B515,B515-B463,B463-B411,B411-B360)</f>
        <v>7873.8</v>
      </c>
      <c r="K672" s="109">
        <v>21370</v>
      </c>
      <c r="L672" s="110">
        <v>0.32500000000000001</v>
      </c>
      <c r="M672" s="109">
        <v>3100</v>
      </c>
      <c r="N672" s="115">
        <f>SUM(K671:K676)/42*30</f>
        <v>134820.71428571426</v>
      </c>
      <c r="O672" s="111" t="s">
        <v>283</v>
      </c>
      <c r="P672" s="119">
        <f t="shared" si="111"/>
        <v>7920.6</v>
      </c>
      <c r="Q672" s="119">
        <f t="shared" si="107"/>
        <v>-7836</v>
      </c>
      <c r="R672" s="147">
        <f t="shared" si="100"/>
        <v>-11272</v>
      </c>
      <c r="S672" s="119">
        <f t="shared" si="102"/>
        <v>-2745.8</v>
      </c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</row>
    <row r="673" spans="1:38">
      <c r="A673" s="108">
        <v>44727</v>
      </c>
      <c r="B673" s="109">
        <v>158601</v>
      </c>
      <c r="C673" s="110">
        <v>0.68700000000000006</v>
      </c>
      <c r="D673" s="109">
        <v>10875</v>
      </c>
      <c r="E673" s="115">
        <f>SUM(B671/7*1,B672,B673,B674,B675,B676/7*2)/31*31</f>
        <v>659905.57142857136</v>
      </c>
      <c r="F673" s="111" t="s">
        <v>284</v>
      </c>
      <c r="G673" s="119">
        <f t="shared" si="108"/>
        <v>949</v>
      </c>
      <c r="H673" s="119">
        <f t="shared" ref="H673" si="114">B673-B672</f>
        <v>12610</v>
      </c>
      <c r="I673" s="147">
        <f t="shared" si="104"/>
        <v>-44018</v>
      </c>
      <c r="J673" s="119">
        <f t="shared" ref="J673" si="115">AVERAGE(B620-B568,B568-B516,B516-B464,B464-B412,B412-B361)</f>
        <v>11836.2</v>
      </c>
      <c r="K673" s="109">
        <v>29682</v>
      </c>
      <c r="L673" s="110">
        <v>0.45100000000000001</v>
      </c>
      <c r="M673" s="109">
        <v>3100</v>
      </c>
      <c r="N673" s="115">
        <f>SUM(K671/7*1,K672,K673,K674,K675,K676/7*2)/31*31</f>
        <v>141613.85714285713</v>
      </c>
      <c r="O673" s="111" t="s">
        <v>284</v>
      </c>
      <c r="P673" s="119">
        <f t="shared" si="111"/>
        <v>-19060.599999999999</v>
      </c>
      <c r="Q673" s="119">
        <f t="shared" si="107"/>
        <v>8312</v>
      </c>
      <c r="R673" s="147">
        <f t="shared" si="100"/>
        <v>18482</v>
      </c>
      <c r="S673" s="119">
        <f t="shared" si="102"/>
        <v>1271.4000000000001</v>
      </c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</row>
    <row r="674" spans="1:38">
      <c r="A674" s="108">
        <v>44734</v>
      </c>
      <c r="B674" s="109">
        <v>139029</v>
      </c>
      <c r="C674" s="110">
        <v>0.60199999999999998</v>
      </c>
      <c r="D674" s="109">
        <v>10875</v>
      </c>
      <c r="E674" s="116">
        <f>E671-AVERAGE(E672:E673)</f>
        <v>9016.1428571428405</v>
      </c>
      <c r="F674" s="116" t="s">
        <v>275</v>
      </c>
      <c r="G674" s="119">
        <f>AVERAGE(B622-B621,B570-B569,B518-B517,B466-B465,B414-B413)</f>
        <v>-7137.4</v>
      </c>
      <c r="H674" s="119">
        <f t="shared" ref="H674" si="116">B674-B673</f>
        <v>-19572</v>
      </c>
      <c r="I674" s="147">
        <f t="shared" si="104"/>
        <v>-79315</v>
      </c>
      <c r="J674" s="119">
        <f t="shared" ref="J674" si="117">AVERAGE(B621-B569,B569-B517,B517-B465,B465-B413,B413-B362)</f>
        <v>4000.8</v>
      </c>
      <c r="K674" s="109">
        <v>24873</v>
      </c>
      <c r="L674" s="110">
        <v>0.37799999999999995</v>
      </c>
      <c r="M674" s="109">
        <v>3100</v>
      </c>
      <c r="N674" s="116">
        <f>N671-AVERAGE(N672:N673)</f>
        <v>-1819.285714285681</v>
      </c>
      <c r="O674" s="116" t="s">
        <v>275</v>
      </c>
      <c r="P674" s="119">
        <f>AVERAGE(K622-K621,K570-K569,K518-K517,K466-K465,K414-K413)</f>
        <v>19472.400000000001</v>
      </c>
      <c r="Q674" s="119">
        <f t="shared" si="107"/>
        <v>-4809</v>
      </c>
      <c r="R674" s="147">
        <f t="shared" si="100"/>
        <v>-4771</v>
      </c>
      <c r="S674" s="119">
        <f t="shared" si="102"/>
        <v>-1036.8</v>
      </c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</row>
    <row r="675" spans="1:38">
      <c r="A675" s="108">
        <v>44741</v>
      </c>
      <c r="B675" s="109">
        <v>148464</v>
      </c>
      <c r="C675" s="110">
        <v>0.64300000000000002</v>
      </c>
      <c r="D675" s="109">
        <v>10875</v>
      </c>
      <c r="E675" s="115"/>
      <c r="F675" s="111"/>
      <c r="G675" s="119">
        <f>AVERAGE(B623-B622,B571-B570,B519-B518,B467-B466,B415-B414)</f>
        <v>-4912.2</v>
      </c>
      <c r="H675" s="119">
        <f t="shared" ref="H675" si="118">B675-B674</f>
        <v>9435</v>
      </c>
      <c r="I675" s="147">
        <f t="shared" si="104"/>
        <v>-40705</v>
      </c>
      <c r="J675" s="119">
        <f t="shared" ref="J675" si="119">AVERAGE(B622-B570,B570-B518,B518-B466,B466-B414,B414-B363)</f>
        <v>8862</v>
      </c>
      <c r="K675" s="109">
        <v>52676</v>
      </c>
      <c r="L675" s="110">
        <v>0.80099999999999993</v>
      </c>
      <c r="M675" s="109">
        <v>3100</v>
      </c>
      <c r="N675" s="115"/>
      <c r="O675" s="111"/>
      <c r="P675" s="119">
        <f>AVERAGE(K623-K622,K571-K570,K519-K518,K467-K466,K415-K414)</f>
        <v>-9664</v>
      </c>
      <c r="Q675" s="119">
        <f t="shared" si="107"/>
        <v>27803</v>
      </c>
      <c r="R675" s="147">
        <f t="shared" si="100"/>
        <v>24949</v>
      </c>
      <c r="S675" s="119">
        <f t="shared" si="102"/>
        <v>-3079.6</v>
      </c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</row>
    <row r="676" spans="1:38">
      <c r="A676" s="108">
        <v>44748</v>
      </c>
      <c r="B676" s="109">
        <v>167340</v>
      </c>
      <c r="C676" s="110">
        <v>0.72499999999999998</v>
      </c>
      <c r="D676" s="109">
        <v>10875</v>
      </c>
      <c r="E676" s="115">
        <v>773998</v>
      </c>
      <c r="F676" s="111" t="s">
        <v>285</v>
      </c>
      <c r="G676" s="119">
        <f t="shared" ref="G676:G739" si="120">AVERAGE(B624-B623,B572-B571,B520-B519,B468-B467,B416-B415)</f>
        <v>-4306</v>
      </c>
      <c r="H676" s="119">
        <f t="shared" ref="H676" si="121">B676-B675</f>
        <v>18876</v>
      </c>
      <c r="I676" s="147">
        <f t="shared" si="104"/>
        <v>-13171</v>
      </c>
      <c r="J676" s="119">
        <f t="shared" ref="J676" si="122">AVERAGE(B623-B571,B571-B519,B519-B467,B467-B415,B415-B364)</f>
        <v>-456.4</v>
      </c>
      <c r="K676" s="109">
        <v>30942</v>
      </c>
      <c r="L676" s="110">
        <v>0.47</v>
      </c>
      <c r="M676" s="109">
        <v>3100</v>
      </c>
      <c r="N676" s="115">
        <v>160176</v>
      </c>
      <c r="O676" s="111" t="s">
        <v>285</v>
      </c>
      <c r="P676" s="119">
        <f t="shared" ref="P676:P679" si="123">AVERAGE(K624-K623,K572-K571,K520-K519,K468-K467,K416-K415)</f>
        <v>8805.7999999999993</v>
      </c>
      <c r="Q676" s="119">
        <f t="shared" si="107"/>
        <v>-21734</v>
      </c>
      <c r="R676" s="147">
        <f t="shared" si="100"/>
        <v>-9559</v>
      </c>
      <c r="S676" s="119">
        <f t="shared" si="102"/>
        <v>-951.6</v>
      </c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</row>
    <row r="677" spans="1:38">
      <c r="A677" s="108">
        <v>44755</v>
      </c>
      <c r="B677" s="109">
        <v>173988</v>
      </c>
      <c r="C677" s="110">
        <v>0.754</v>
      </c>
      <c r="D677" s="109">
        <v>10875</v>
      </c>
      <c r="E677" s="115">
        <f>SUM(B675:B680)/42*31</f>
        <v>714502.76190476189</v>
      </c>
      <c r="F677" s="111" t="s">
        <v>286</v>
      </c>
      <c r="G677" s="119">
        <f t="shared" si="120"/>
        <v>8430.4</v>
      </c>
      <c r="H677" s="119">
        <f t="shared" ref="H677" si="124">B677-B676</f>
        <v>6648</v>
      </c>
      <c r="I677" s="147">
        <f t="shared" si="104"/>
        <v>-45771</v>
      </c>
      <c r="J677" s="119">
        <f t="shared" ref="J677" si="125">AVERAGE(B624-B572,B572-B520,B520-B468,B468-B416,B416-B365)</f>
        <v>-293.8</v>
      </c>
      <c r="K677" s="109">
        <v>32394</v>
      </c>
      <c r="L677" s="110">
        <v>0.49200000000000005</v>
      </c>
      <c r="M677" s="109">
        <v>3100</v>
      </c>
      <c r="N677" s="115">
        <f>SUM(K675:K680)/42*31</f>
        <v>174019.23809523808</v>
      </c>
      <c r="O677" s="111" t="s">
        <v>286</v>
      </c>
      <c r="P677" s="119">
        <f t="shared" si="123"/>
        <v>-12129.4</v>
      </c>
      <c r="Q677" s="119">
        <f t="shared" si="107"/>
        <v>1452</v>
      </c>
      <c r="R677" s="147">
        <f t="shared" si="100"/>
        <v>5158</v>
      </c>
      <c r="S677" s="119">
        <f t="shared" si="102"/>
        <v>1366.4</v>
      </c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</row>
    <row r="678" spans="1:38">
      <c r="A678" s="108">
        <v>44762</v>
      </c>
      <c r="B678" s="109">
        <v>136332</v>
      </c>
      <c r="C678" s="110">
        <v>0.59099999999999997</v>
      </c>
      <c r="D678" s="109">
        <v>10875</v>
      </c>
      <c r="E678" s="115">
        <f>SUM(B676/7*6,B677,B678,B679,B680/7*4)/31*31</f>
        <v>723117.7142857142</v>
      </c>
      <c r="F678" s="111" t="s">
        <v>287</v>
      </c>
      <c r="G678" s="119">
        <f t="shared" si="120"/>
        <v>-3957.2</v>
      </c>
      <c r="H678" s="119">
        <f t="shared" ref="H678" si="126">B678-B677</f>
        <v>-37656</v>
      </c>
      <c r="I678" s="147">
        <f t="shared" si="104"/>
        <v>-53584</v>
      </c>
      <c r="J678" s="119">
        <f t="shared" ref="J678" si="127">AVERAGE(B625-B573,B573-B521,B521-B469,B469-B417,B417-B366)</f>
        <v>11975</v>
      </c>
      <c r="K678" s="109">
        <v>43539</v>
      </c>
      <c r="L678" s="110">
        <v>0.66200000000000003</v>
      </c>
      <c r="M678" s="109">
        <v>3100</v>
      </c>
      <c r="N678" s="115">
        <f>SUM(K676/7*6,K677,K678,K679,K680/7*4)/31*31</f>
        <v>159425.42857142858</v>
      </c>
      <c r="O678" s="111" t="s">
        <v>287</v>
      </c>
      <c r="P678" s="119">
        <f t="shared" si="123"/>
        <v>9026.7999999999993</v>
      </c>
      <c r="Q678" s="119">
        <f t="shared" si="107"/>
        <v>11145</v>
      </c>
      <c r="R678" s="147">
        <f t="shared" si="100"/>
        <v>7437</v>
      </c>
      <c r="S678" s="119">
        <f t="shared" si="102"/>
        <v>-3909.2</v>
      </c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</row>
    <row r="679" spans="1:38">
      <c r="A679" s="108">
        <v>44769</v>
      </c>
      <c r="B679" s="109">
        <v>172632</v>
      </c>
      <c r="C679" s="110">
        <v>0.748</v>
      </c>
      <c r="D679" s="109">
        <v>10875</v>
      </c>
      <c r="E679" s="116">
        <f>E676-AVERAGE(E677:E678)</f>
        <v>55187.761904761894</v>
      </c>
      <c r="F679" s="116" t="s">
        <v>275</v>
      </c>
      <c r="G679" s="119">
        <f t="shared" si="120"/>
        <v>5118.2</v>
      </c>
      <c r="H679" s="119">
        <f t="shared" ref="H679" si="128">B679-B678</f>
        <v>36300</v>
      </c>
      <c r="I679" s="147">
        <f t="shared" si="104"/>
        <v>-52079</v>
      </c>
      <c r="J679" s="119">
        <f t="shared" ref="J679" si="129">AVERAGE(B626-B574,B574-B522,B522-B470,B470-B418,B418-B367)</f>
        <v>24833.8</v>
      </c>
      <c r="K679" s="109">
        <v>31309</v>
      </c>
      <c r="L679" s="110">
        <v>0.47600000000000003</v>
      </c>
      <c r="M679" s="109">
        <v>3100</v>
      </c>
      <c r="N679" s="116">
        <f>N676-AVERAGE(N677:N678)</f>
        <v>-6546.3333333333139</v>
      </c>
      <c r="O679" s="116" t="s">
        <v>275</v>
      </c>
      <c r="P679" s="119">
        <f t="shared" si="123"/>
        <v>-19665.2</v>
      </c>
      <c r="Q679" s="119">
        <f t="shared" ref="Q679" si="130">K679-K678</f>
        <v>-12230</v>
      </c>
      <c r="R679" s="147">
        <f t="shared" si="100"/>
        <v>4983</v>
      </c>
      <c r="S679" s="119">
        <f t="shared" ref="S679" si="131">AVERAGE(K626-K574,K574-K522,K522-K470,K470-K418,K418-K367)</f>
        <v>4830.3999999999996</v>
      </c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</row>
    <row r="680" spans="1:38">
      <c r="A680" s="108">
        <v>44776</v>
      </c>
      <c r="B680" s="109">
        <v>169280</v>
      </c>
      <c r="C680" s="110">
        <v>0.7340000000000001</v>
      </c>
      <c r="D680" s="109">
        <v>10875</v>
      </c>
      <c r="E680" s="115">
        <v>632962</v>
      </c>
      <c r="F680" s="111" t="s">
        <v>288</v>
      </c>
      <c r="G680" s="119">
        <f>AVERAGE(B628-B627,B576-B575,B524-B523,B472-B471,B420-B419)</f>
        <v>12215.8</v>
      </c>
      <c r="H680" s="119">
        <f t="shared" ref="H680" si="132">B680-B679</f>
        <v>-3352</v>
      </c>
      <c r="I680" s="147">
        <f t="shared" si="104"/>
        <v>-40021</v>
      </c>
      <c r="J680" s="119">
        <f t="shared" ref="J680" si="133">AVERAGE(B627-B575,B575-B523,B523-B471,B471-B419,B419-B368)</f>
        <v>17748</v>
      </c>
      <c r="K680" s="109">
        <v>44908</v>
      </c>
      <c r="L680" s="110">
        <v>0.68200000000000005</v>
      </c>
      <c r="M680" s="109">
        <v>3100</v>
      </c>
      <c r="N680" s="115">
        <v>141397</v>
      </c>
      <c r="O680" s="111" t="s">
        <v>288</v>
      </c>
      <c r="P680" s="119">
        <f>AVERAGE(K628-K627,K576-K575,K524-K523,K472-K471,K420-K419)</f>
        <v>21326.2</v>
      </c>
      <c r="Q680" s="119">
        <f t="shared" ref="Q680" si="134">K680-K679</f>
        <v>13599</v>
      </c>
      <c r="R680" s="147">
        <f t="shared" si="100"/>
        <v>19111</v>
      </c>
      <c r="S680" s="119">
        <f t="shared" ref="S680" si="135">AVERAGE(K627-K575,K575-K523,K523-K471,K471-K419,K419-K368)</f>
        <v>-1723.2</v>
      </c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</row>
    <row r="681" spans="1:38">
      <c r="A681" s="108">
        <v>44783</v>
      </c>
      <c r="B681" s="109">
        <v>176361</v>
      </c>
      <c r="C681" s="110">
        <v>0.76400000000000001</v>
      </c>
      <c r="D681" s="109">
        <v>10875</v>
      </c>
      <c r="E681" s="115">
        <f>SUM(B680:B684)/35*31</f>
        <v>754342.48571428575</v>
      </c>
      <c r="F681" s="111" t="s">
        <v>289</v>
      </c>
      <c r="G681" s="119">
        <f t="shared" si="120"/>
        <v>-7438.2</v>
      </c>
      <c r="H681" s="119">
        <f t="shared" ref="H681" si="136">B681-B680</f>
        <v>7081</v>
      </c>
      <c r="I681" s="147">
        <f t="shared" si="104"/>
        <v>-40788</v>
      </c>
      <c r="J681" s="119">
        <f t="shared" ref="J681" si="137">AVERAGE(B628-B576,B576-B524,B524-B472,B472-B420,B420-B369)</f>
        <v>14020.8</v>
      </c>
      <c r="K681" s="109">
        <v>36910</v>
      </c>
      <c r="L681" s="110">
        <v>0.56100000000000005</v>
      </c>
      <c r="M681" s="109">
        <v>3100</v>
      </c>
      <c r="N681" s="115">
        <f>SUM(K680:K684)/35*31</f>
        <v>147017.94285714286</v>
      </c>
      <c r="O681" s="111" t="s">
        <v>289</v>
      </c>
      <c r="P681" s="119">
        <f t="shared" ref="P681:P682" si="138">AVERAGE(K629-K628,K577-K576,K525-K524,K473-K472,K421-K420)</f>
        <v>-7645.2</v>
      </c>
      <c r="Q681" s="119">
        <f t="shared" ref="Q681" si="139">K681-K680</f>
        <v>-7998</v>
      </c>
      <c r="R681" s="147">
        <f t="shared" si="100"/>
        <v>1046</v>
      </c>
      <c r="S681" s="119">
        <f t="shared" ref="S681" si="140">AVERAGE(K628-K576,K576-K524,K524-K472,K472-K420,K420-K369)</f>
        <v>-4541</v>
      </c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</row>
    <row r="682" spans="1:38">
      <c r="A682" s="108">
        <v>44790</v>
      </c>
      <c r="B682" s="109">
        <v>157363</v>
      </c>
      <c r="C682" s="110">
        <v>0.68200000000000005</v>
      </c>
      <c r="D682" s="109">
        <v>10875</v>
      </c>
      <c r="E682" s="115">
        <f>SUM(B680/7*3,B681,B682,B683,B684)/31*31</f>
        <v>754945.57142857136</v>
      </c>
      <c r="F682" s="111" t="s">
        <v>290</v>
      </c>
      <c r="G682" s="119">
        <f t="shared" si="120"/>
        <v>-6194</v>
      </c>
      <c r="H682" s="119">
        <f t="shared" ref="H682" si="141">B682-B681</f>
        <v>-18998</v>
      </c>
      <c r="I682" s="147">
        <f t="shared" si="104"/>
        <v>-46332</v>
      </c>
      <c r="J682" s="119">
        <f t="shared" ref="J682" si="142">AVERAGE(B629-B577,B577-B525,B525-B473,B473-B421,B421-B370)</f>
        <v>16509.400000000001</v>
      </c>
      <c r="K682" s="109">
        <v>34532</v>
      </c>
      <c r="L682" s="110">
        <v>0.52500000000000002</v>
      </c>
      <c r="M682" s="109">
        <v>3100</v>
      </c>
      <c r="N682" s="115">
        <f>SUM(K680/7*3,K681,K682,K683,K684)/31*31</f>
        <v>140326.28571428571</v>
      </c>
      <c r="O682" s="111" t="s">
        <v>290</v>
      </c>
      <c r="P682" s="119">
        <f t="shared" si="138"/>
        <v>-1675.4</v>
      </c>
      <c r="Q682" s="119">
        <f t="shared" ref="Q682" si="143">K682-K681</f>
        <v>-2378</v>
      </c>
      <c r="R682" s="147">
        <f t="shared" si="100"/>
        <v>14144</v>
      </c>
      <c r="S682" s="119">
        <f t="shared" ref="S682" si="144">AVERAGE(K629-K577,K577-K525,K525-K473,K473-K421,K421-K370)</f>
        <v>-643</v>
      </c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</row>
    <row r="683" spans="1:38">
      <c r="A683" s="108">
        <v>44797</v>
      </c>
      <c r="B683" s="109">
        <v>167353</v>
      </c>
      <c r="C683" s="110">
        <v>0.72499999999999998</v>
      </c>
      <c r="D683" s="109">
        <v>10875</v>
      </c>
      <c r="E683" s="116">
        <f>E680-AVERAGE(E681:E682)</f>
        <v>-121682.0285714285</v>
      </c>
      <c r="F683" s="116" t="s">
        <v>275</v>
      </c>
      <c r="G683" s="119">
        <f>AVERAGE(B631-B630,B579-B578,B527-B526,B475-B474,B423-B422)</f>
        <v>17216</v>
      </c>
      <c r="H683" s="119">
        <f t="shared" ref="H683" si="145">B683-B682</f>
        <v>9990</v>
      </c>
      <c r="I683" s="147">
        <f t="shared" si="104"/>
        <v>-41429</v>
      </c>
      <c r="J683" s="119">
        <f t="shared" ref="J683" si="146">AVERAGE(B630-B578,B578-B526,B526-B474,B474-B422,B422-B371)</f>
        <v>8972.4</v>
      </c>
      <c r="K683" s="109">
        <v>22845</v>
      </c>
      <c r="L683" s="110">
        <v>0.34700000000000003</v>
      </c>
      <c r="M683" s="109">
        <v>3100</v>
      </c>
      <c r="N683" s="116">
        <f>N680-AVERAGE(N681:N682)</f>
        <v>-2275.1142857142841</v>
      </c>
      <c r="O683" s="116" t="s">
        <v>275</v>
      </c>
      <c r="P683" s="119">
        <f>AVERAGE(K631-K630,K579-K578,K527-K526,K475-K474,K423-K422)</f>
        <v>3354</v>
      </c>
      <c r="Q683" s="119">
        <f t="shared" ref="Q683" si="147">K683-K682</f>
        <v>-11687</v>
      </c>
      <c r="R683" s="147">
        <f t="shared" si="100"/>
        <v>-12063</v>
      </c>
      <c r="S683" s="119">
        <f t="shared" ref="S683" si="148">AVERAGE(K630-K578,K578-K526,K526-K474,K474-K422,K422-K371)</f>
        <v>-1457.8</v>
      </c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</row>
    <row r="684" spans="1:38">
      <c r="A684" s="108">
        <v>44804</v>
      </c>
      <c r="B684" s="109">
        <v>181320</v>
      </c>
      <c r="C684" s="110">
        <v>0.78599999999999992</v>
      </c>
      <c r="D684" s="109">
        <v>10875</v>
      </c>
      <c r="E684" s="115"/>
      <c r="F684" s="111"/>
      <c r="G684" s="119">
        <f t="shared" si="120"/>
        <v>-9478.2000000000007</v>
      </c>
      <c r="H684" s="119">
        <f t="shared" ref="H684" si="149">B684-B683</f>
        <v>13967</v>
      </c>
      <c r="I684" s="147">
        <f t="shared" si="104"/>
        <v>-37007</v>
      </c>
      <c r="J684" s="119">
        <f t="shared" ref="J684" si="150">AVERAGE(B631-B579,B579-B527,B527-B475,B475-B423,B423-B372)</f>
        <v>7921.8</v>
      </c>
      <c r="K684" s="109">
        <v>26793</v>
      </c>
      <c r="L684" s="110">
        <v>0.40700000000000003</v>
      </c>
      <c r="M684" s="109">
        <v>3100</v>
      </c>
      <c r="N684" s="115"/>
      <c r="O684" s="111"/>
      <c r="P684" s="119">
        <f t="shared" ref="P684:P741" si="151">AVERAGE(K632-K631,K580-K579,K528-K527,K476-K475,K424-K423)</f>
        <v>4937.3999999999996</v>
      </c>
      <c r="Q684" s="119">
        <f t="shared" ref="Q684" si="152">K684-K683</f>
        <v>3948</v>
      </c>
      <c r="R684" s="147">
        <f t="shared" si="100"/>
        <v>-490</v>
      </c>
      <c r="S684" s="119">
        <f t="shared" ref="S684" si="153">AVERAGE(K631-K579,K579-K527,K527-K475,K475-K423,K423-K372)</f>
        <v>-2527.1999999999998</v>
      </c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</row>
    <row r="685" spans="1:38">
      <c r="A685" s="108">
        <v>44811</v>
      </c>
      <c r="B685" s="109">
        <v>173113</v>
      </c>
      <c r="C685" s="110">
        <v>0.75</v>
      </c>
      <c r="D685" s="109">
        <v>10875</v>
      </c>
      <c r="E685" s="115">
        <v>793876</v>
      </c>
      <c r="F685" s="111" t="s">
        <v>291</v>
      </c>
      <c r="G685" s="119">
        <f t="shared" si="120"/>
        <v>-4299.2</v>
      </c>
      <c r="H685" s="119">
        <f t="shared" ref="H685:H686" si="154">B685-B684</f>
        <v>-8207</v>
      </c>
      <c r="I685" s="147">
        <f t="shared" si="104"/>
        <v>-35596</v>
      </c>
      <c r="J685" s="119">
        <f t="shared" ref="J685:J686" si="155">AVERAGE(B632-B580,B580-B528,B528-B476,B476-B424,B424-B373)</f>
        <v>7806.2</v>
      </c>
      <c r="K685" s="109">
        <v>18805</v>
      </c>
      <c r="L685" s="110">
        <v>0.28600000000000003</v>
      </c>
      <c r="M685" s="109">
        <v>3100</v>
      </c>
      <c r="N685" s="115">
        <v>140012</v>
      </c>
      <c r="O685" s="111" t="s">
        <v>291</v>
      </c>
      <c r="P685" s="119">
        <f t="shared" si="151"/>
        <v>-5064.2</v>
      </c>
      <c r="Q685" s="119">
        <f t="shared" ref="Q685:Q687" si="156">K685-K684</f>
        <v>-7988</v>
      </c>
      <c r="R685" s="147">
        <f t="shared" si="100"/>
        <v>-8823</v>
      </c>
      <c r="S685" s="119">
        <f t="shared" ref="S685:S687" si="157">AVERAGE(K632-K580,K580-K528,K528-K476,K476-K424,K424-K373)</f>
        <v>-1664.8</v>
      </c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</row>
    <row r="686" spans="1:38">
      <c r="A686" s="108">
        <v>44818</v>
      </c>
      <c r="B686" s="109">
        <v>138406</v>
      </c>
      <c r="C686" s="110">
        <v>0.6</v>
      </c>
      <c r="D686" s="109">
        <v>10875</v>
      </c>
      <c r="E686" s="115">
        <f>SUM(B685:B689)/35*30</f>
        <v>609169.71428571432</v>
      </c>
      <c r="F686" s="111" t="s">
        <v>292</v>
      </c>
      <c r="G686" s="119">
        <f t="shared" si="120"/>
        <v>-8785.2000000000007</v>
      </c>
      <c r="H686" s="119">
        <f t="shared" si="154"/>
        <v>-34707</v>
      </c>
      <c r="I686" s="147">
        <f t="shared" si="104"/>
        <v>-73452</v>
      </c>
      <c r="J686" s="119">
        <f t="shared" si="155"/>
        <v>3617.2</v>
      </c>
      <c r="K686" s="109">
        <v>41507</v>
      </c>
      <c r="L686" s="110">
        <v>0.63100000000000001</v>
      </c>
      <c r="M686" s="109">
        <v>3100</v>
      </c>
      <c r="N686" s="115">
        <f>SUM(K685:K689)/35*30</f>
        <v>143190</v>
      </c>
      <c r="O686" s="111" t="s">
        <v>292</v>
      </c>
      <c r="P686" s="119">
        <f t="shared" si="151"/>
        <v>-6560.8</v>
      </c>
      <c r="Q686" s="119">
        <f t="shared" si="156"/>
        <v>22702</v>
      </c>
      <c r="R686" s="147">
        <f t="shared" si="100"/>
        <v>4840</v>
      </c>
      <c r="S686" s="119">
        <f t="shared" si="157"/>
        <v>2599.4</v>
      </c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</row>
    <row r="687" spans="1:38">
      <c r="A687" s="108">
        <v>44825</v>
      </c>
      <c r="B687" s="109">
        <v>151580</v>
      </c>
      <c r="C687" s="110">
        <v>0.65700000000000003</v>
      </c>
      <c r="D687" s="109">
        <v>10875</v>
      </c>
      <c r="E687" s="115">
        <f>SUM(B685,B686,B687,B688,B689/7*2)/30*30</f>
        <v>626769.42857142852</v>
      </c>
      <c r="F687" s="111" t="s">
        <v>293</v>
      </c>
      <c r="G687" s="119">
        <f t="shared" si="120"/>
        <v>6317.8</v>
      </c>
      <c r="H687" s="119">
        <f t="shared" ref="H687" si="158">B687-B686</f>
        <v>13174</v>
      </c>
      <c r="I687" s="147">
        <f t="shared" ref="I687:I708" si="159">B687-B635</f>
        <v>-37134</v>
      </c>
      <c r="J687" s="119">
        <f t="shared" ref="J687" si="160">AVERAGE(B634-B582,B582-B530,B530-B478,B478-B426,B426-B375)</f>
        <v>7345.4</v>
      </c>
      <c r="K687" s="109">
        <v>31144</v>
      </c>
      <c r="L687" s="110">
        <v>0.47299999999999998</v>
      </c>
      <c r="M687" s="109">
        <v>3100</v>
      </c>
      <c r="N687" s="115">
        <f>SUM(K685,K686,K687,K688,K689/7*2)/30*30</f>
        <v>140177.14285714287</v>
      </c>
      <c r="O687" s="111" t="s">
        <v>293</v>
      </c>
      <c r="P687" s="119">
        <f t="shared" si="151"/>
        <v>6653</v>
      </c>
      <c r="Q687" s="119">
        <f t="shared" si="156"/>
        <v>-10363</v>
      </c>
      <c r="R687" s="147">
        <f t="shared" si="100"/>
        <v>4060</v>
      </c>
      <c r="S687" s="119">
        <f t="shared" si="157"/>
        <v>192</v>
      </c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</row>
    <row r="688" spans="1:38">
      <c r="A688" s="108">
        <v>44832</v>
      </c>
      <c r="B688" s="109">
        <v>130099</v>
      </c>
      <c r="C688" s="110">
        <v>0.56399999999999995</v>
      </c>
      <c r="D688" s="109">
        <v>10875</v>
      </c>
      <c r="E688" s="116">
        <f>E685-AVERAGE(E686:E687)</f>
        <v>175906.42857142864</v>
      </c>
      <c r="F688" s="116" t="s">
        <v>275</v>
      </c>
      <c r="G688" s="119">
        <f t="shared" si="120"/>
        <v>-15160.6</v>
      </c>
      <c r="H688" s="119">
        <f t="shared" ref="H688" si="161">B688-B687</f>
        <v>-21481</v>
      </c>
      <c r="I688" s="147">
        <f t="shared" si="159"/>
        <v>-42921</v>
      </c>
      <c r="J688" s="119">
        <f t="shared" ref="J688" si="162">AVERAGE(B635-B583,B583-B531,B531-B479,B479-B427,B427-B376)</f>
        <v>2184.4</v>
      </c>
      <c r="K688" s="109">
        <v>37970</v>
      </c>
      <c r="L688" s="110">
        <v>0.57700000000000007</v>
      </c>
      <c r="M688" s="109">
        <v>3100</v>
      </c>
      <c r="N688" s="116">
        <f>N685-AVERAGE(N686:N687)</f>
        <v>-1671.5714285714203</v>
      </c>
      <c r="O688" s="116" t="s">
        <v>275</v>
      </c>
      <c r="P688" s="119">
        <f t="shared" si="151"/>
        <v>5189.8</v>
      </c>
      <c r="Q688" s="119">
        <f t="shared" ref="Q688:Q691" si="163">K688-K687</f>
        <v>6826</v>
      </c>
      <c r="R688" s="147">
        <f t="shared" si="100"/>
        <v>3396</v>
      </c>
      <c r="S688" s="119">
        <f t="shared" ref="S688:S691" si="164">AVERAGE(K635-K583,K583-K531,K531-K479,K479-K427,K427-K376)</f>
        <v>-4430</v>
      </c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</row>
    <row r="689" spans="1:38">
      <c r="A689" s="108">
        <v>44839</v>
      </c>
      <c r="B689" s="109">
        <v>117500</v>
      </c>
      <c r="C689" s="110">
        <v>0.50900000000000001</v>
      </c>
      <c r="D689" s="109">
        <v>10875</v>
      </c>
      <c r="E689" s="115">
        <v>885331</v>
      </c>
      <c r="F689" s="111" t="s">
        <v>294</v>
      </c>
      <c r="G689" s="119">
        <f t="shared" si="120"/>
        <v>11152.6</v>
      </c>
      <c r="H689" s="119">
        <f t="shared" ref="H689:H690" si="165">B689-B688</f>
        <v>-12599</v>
      </c>
      <c r="I689" s="147">
        <f t="shared" si="159"/>
        <v>-38144</v>
      </c>
      <c r="J689" s="119">
        <f t="shared" ref="J689:J690" si="166">AVERAGE(B636-B584,B584-B532,B532-B480,B480-B428,B428-B377)</f>
        <v>155.80000000000001</v>
      </c>
      <c r="K689" s="109">
        <v>37629</v>
      </c>
      <c r="L689" s="110">
        <v>0.57200000000000006</v>
      </c>
      <c r="M689" s="109">
        <v>3100</v>
      </c>
      <c r="N689" s="115"/>
      <c r="O689" s="111" t="s">
        <v>294</v>
      </c>
      <c r="P689" s="119">
        <f t="shared" si="151"/>
        <v>1096.4000000000001</v>
      </c>
      <c r="Q689" s="119">
        <f t="shared" si="163"/>
        <v>-341</v>
      </c>
      <c r="R689" s="147">
        <f t="shared" si="100"/>
        <v>9872</v>
      </c>
      <c r="S689" s="119">
        <f t="shared" si="164"/>
        <v>-2259.8000000000002</v>
      </c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</row>
    <row r="690" spans="1:38">
      <c r="A690" s="108">
        <v>44846</v>
      </c>
      <c r="B690" s="109">
        <v>148732</v>
      </c>
      <c r="C690" s="110">
        <v>0.64500000000000002</v>
      </c>
      <c r="D690" s="109">
        <v>10875</v>
      </c>
      <c r="E690" s="115">
        <f>SUM(B689:B693)/35*31</f>
        <v>661503.6857142857</v>
      </c>
      <c r="F690" s="111" t="s">
        <v>295</v>
      </c>
      <c r="G690" s="119">
        <f t="shared" si="120"/>
        <v>-8664.7999999999993</v>
      </c>
      <c r="H690" s="119">
        <f t="shared" si="165"/>
        <v>31232</v>
      </c>
      <c r="I690" s="147">
        <f t="shared" si="159"/>
        <v>-46423</v>
      </c>
      <c r="J690" s="119">
        <f t="shared" si="166"/>
        <v>-5535.2</v>
      </c>
      <c r="K690" s="109">
        <v>41076</v>
      </c>
      <c r="L690" s="110">
        <v>0.624</v>
      </c>
      <c r="M690" s="109">
        <v>3100</v>
      </c>
      <c r="N690" s="115">
        <f>SUM(K689:K693)/35*31</f>
        <v>161408.14285714284</v>
      </c>
      <c r="O690" s="111" t="s">
        <v>295</v>
      </c>
      <c r="P690" s="119">
        <f t="shared" si="151"/>
        <v>-1276.5999999999999</v>
      </c>
      <c r="Q690" s="119">
        <f t="shared" si="163"/>
        <v>3447</v>
      </c>
      <c r="R690" s="147">
        <f t="shared" si="100"/>
        <v>-1997</v>
      </c>
      <c r="S690" s="119">
        <f t="shared" si="164"/>
        <v>-2690</v>
      </c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</row>
    <row r="691" spans="1:38">
      <c r="A691" s="108">
        <v>44853</v>
      </c>
      <c r="B691" s="109">
        <v>140442</v>
      </c>
      <c r="C691" s="110">
        <v>0.60899999999999999</v>
      </c>
      <c r="D691" s="109">
        <v>10875</v>
      </c>
      <c r="E691" s="115">
        <f>SUM(B689/7*5,B690,B691,B692,B693/7*5)/31*31</f>
        <v>664935.85714285704</v>
      </c>
      <c r="F691" s="111" t="s">
        <v>296</v>
      </c>
      <c r="G691" s="119">
        <f t="shared" si="120"/>
        <v>15698.2</v>
      </c>
      <c r="H691" s="119">
        <f t="shared" ref="H691" si="167">B691-B690</f>
        <v>-8290</v>
      </c>
      <c r="I691" s="147">
        <f t="shared" si="159"/>
        <v>-85255</v>
      </c>
      <c r="J691" s="119">
        <f t="shared" ref="J691" si="168">AVERAGE(B638-B586,B586-B534,B534-B482,B482-B430,B430-B379)</f>
        <v>-740.8</v>
      </c>
      <c r="K691" s="109">
        <v>31915</v>
      </c>
      <c r="L691" s="110">
        <v>0.48499999999999999</v>
      </c>
      <c r="M691" s="109">
        <v>3100</v>
      </c>
      <c r="N691" s="115">
        <f>SUM(K689/7*5,K690,K691,K692,K693/7*5)/31*31</f>
        <v>163029.85714285716</v>
      </c>
      <c r="O691" s="111" t="s">
        <v>296</v>
      </c>
      <c r="P691" s="119">
        <f t="shared" si="151"/>
        <v>3558.6</v>
      </c>
      <c r="Q691" s="119">
        <f t="shared" si="163"/>
        <v>-9161</v>
      </c>
      <c r="R691" s="147">
        <f t="shared" si="100"/>
        <v>-94</v>
      </c>
      <c r="S691" s="119">
        <f t="shared" si="164"/>
        <v>2831.8</v>
      </c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</row>
    <row r="692" spans="1:38">
      <c r="A692" s="108">
        <v>44860</v>
      </c>
      <c r="B692" s="109">
        <v>170954</v>
      </c>
      <c r="C692" s="110">
        <v>0.74099999999999999</v>
      </c>
      <c r="D692" s="109">
        <v>10875</v>
      </c>
      <c r="E692" s="116">
        <f>E689-AVERAGE(E690:E691)</f>
        <v>222111.22857142868</v>
      </c>
      <c r="F692" s="116" t="s">
        <v>275</v>
      </c>
      <c r="G692" s="119">
        <f t="shared" si="120"/>
        <v>-14552.4</v>
      </c>
      <c r="H692" s="119">
        <f t="shared" ref="H692" si="169">B692-B691</f>
        <v>30512</v>
      </c>
      <c r="I692" s="147">
        <f t="shared" si="159"/>
        <v>-18430</v>
      </c>
      <c r="J692" s="119">
        <f t="shared" ref="J692" si="170">AVERAGE(B639-B587,B587-B535,B535-B483,B483-B431,B431-B380)</f>
        <v>10901.4</v>
      </c>
      <c r="K692" s="109">
        <v>42026</v>
      </c>
      <c r="L692" s="110">
        <v>0.63900000000000001</v>
      </c>
      <c r="M692" s="109">
        <v>3100</v>
      </c>
      <c r="N692" s="115"/>
      <c r="O692" s="111"/>
      <c r="P692" s="119">
        <f t="shared" si="151"/>
        <v>817.2</v>
      </c>
      <c r="Q692" s="119">
        <f t="shared" ref="Q692:Q694" si="171">K692-K691</f>
        <v>10111</v>
      </c>
      <c r="R692" s="147">
        <f t="shared" si="100"/>
        <v>-4922</v>
      </c>
      <c r="S692" s="119">
        <f t="shared" ref="S692:S694" si="172">AVERAGE(K639-K587,K587-K535,K535-K483,K483-K431,K431-K380)</f>
        <v>-2643.8</v>
      </c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</row>
    <row r="693" spans="1:38">
      <c r="A693" s="108">
        <v>44867</v>
      </c>
      <c r="B693" s="109">
        <v>169231</v>
      </c>
      <c r="C693" s="110">
        <v>0.73299999999999998</v>
      </c>
      <c r="D693" s="109">
        <v>10875</v>
      </c>
      <c r="E693" s="115">
        <v>877405</v>
      </c>
      <c r="F693" s="111" t="s">
        <v>297</v>
      </c>
      <c r="G693" s="119">
        <f t="shared" si="120"/>
        <v>9830.2000000000007</v>
      </c>
      <c r="H693" s="119">
        <f t="shared" ref="H693:H694" si="173">B693-B692</f>
        <v>-1723</v>
      </c>
      <c r="I693" s="147">
        <f t="shared" si="159"/>
        <v>-7032</v>
      </c>
      <c r="J693" s="119">
        <f t="shared" ref="J693:J694" si="174">AVERAGE(B640-B588,B588-B536,B536-B484,B484-B432,B432-B381)</f>
        <v>1623.6</v>
      </c>
      <c r="K693" s="109">
        <v>29589</v>
      </c>
      <c r="L693" s="110">
        <v>0.45</v>
      </c>
      <c r="M693" s="109">
        <v>3100</v>
      </c>
      <c r="N693" s="115"/>
      <c r="O693" s="111" t="s">
        <v>297</v>
      </c>
      <c r="P693" s="119">
        <f t="shared" si="151"/>
        <v>-943.8</v>
      </c>
      <c r="Q693" s="119">
        <f t="shared" si="171"/>
        <v>-12437</v>
      </c>
      <c r="R693" s="147">
        <f t="shared" si="100"/>
        <v>-4127</v>
      </c>
      <c r="S693" s="119">
        <f t="shared" si="172"/>
        <v>1252</v>
      </c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</row>
    <row r="694" spans="1:38">
      <c r="A694" s="108">
        <v>44874</v>
      </c>
      <c r="B694" s="109">
        <v>151522</v>
      </c>
      <c r="C694" s="110">
        <v>0.65700000000000003</v>
      </c>
      <c r="D694" s="109">
        <v>10875</v>
      </c>
      <c r="E694" s="115">
        <f>SUM(B693:B697)/35*30</f>
        <v>689710.28571428568</v>
      </c>
      <c r="F694" s="111" t="s">
        <v>298</v>
      </c>
      <c r="G694" s="119">
        <f t="shared" si="120"/>
        <v>-1481</v>
      </c>
      <c r="H694" s="119">
        <f t="shared" si="173"/>
        <v>-17709</v>
      </c>
      <c r="I694" s="147">
        <f t="shared" si="159"/>
        <v>-39292</v>
      </c>
      <c r="J694" s="119">
        <f t="shared" si="174"/>
        <v>-5537.6</v>
      </c>
      <c r="K694" s="109">
        <v>44249</v>
      </c>
      <c r="L694" s="110">
        <v>0.67200000000000004</v>
      </c>
      <c r="M694" s="109">
        <v>3100</v>
      </c>
      <c r="N694" s="115">
        <f>SUM(K693:K697)/35*30</f>
        <v>152129.14285714287</v>
      </c>
      <c r="O694" s="111" t="s">
        <v>298</v>
      </c>
      <c r="P694" s="119">
        <f t="shared" si="151"/>
        <v>-161.4</v>
      </c>
      <c r="Q694" s="119">
        <f t="shared" si="171"/>
        <v>14660</v>
      </c>
      <c r="R694" s="147">
        <f t="shared" ref="R694:R757" si="175">K694-K642</f>
        <v>1757</v>
      </c>
      <c r="S694" s="119">
        <f t="shared" si="172"/>
        <v>473</v>
      </c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</row>
    <row r="695" spans="1:38">
      <c r="A695" s="108">
        <v>44881</v>
      </c>
      <c r="B695" s="109">
        <v>115883</v>
      </c>
      <c r="C695" s="110">
        <v>0.502</v>
      </c>
      <c r="D695" s="109">
        <v>10875</v>
      </c>
      <c r="E695" s="115">
        <f>SUM(B693/7*2,B694,B695,B696,B697)/30*30</f>
        <v>683782.71428571432</v>
      </c>
      <c r="F695" s="111" t="s">
        <v>299</v>
      </c>
      <c r="G695" s="119">
        <f t="shared" si="120"/>
        <v>13839.2</v>
      </c>
      <c r="H695" s="119">
        <f t="shared" ref="H695:H697" si="176">B695-B694</f>
        <v>-35639</v>
      </c>
      <c r="I695" s="147">
        <f t="shared" si="159"/>
        <v>-89679</v>
      </c>
      <c r="J695" s="119">
        <f t="shared" ref="J695:J697" si="177">AVERAGE(B642-B590,B590-B538,B538-B486,B486-B434,B434-B383)</f>
        <v>1987.6</v>
      </c>
      <c r="K695" s="109">
        <v>30314</v>
      </c>
      <c r="L695" s="110">
        <v>0.46100000000000002</v>
      </c>
      <c r="M695" s="109">
        <v>3100</v>
      </c>
      <c r="N695" s="115">
        <f>SUM(K693/7*2,K694,K695,K696,K697)/30*30</f>
        <v>156349</v>
      </c>
      <c r="O695" s="111" t="s">
        <v>299</v>
      </c>
      <c r="P695" s="119">
        <f t="shared" si="151"/>
        <v>-4978.8</v>
      </c>
      <c r="Q695" s="119">
        <f t="shared" ref="Q695:Q701" si="178">K695-K694</f>
        <v>-13935</v>
      </c>
      <c r="R695" s="147">
        <f t="shared" si="175"/>
        <v>3404</v>
      </c>
      <c r="S695" s="119">
        <f t="shared" ref="S695:S701" si="179">AVERAGE(K642-K590,K590-K538,K538-K486,K486-K434,K434-K383)</f>
        <v>-1506.2</v>
      </c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</row>
    <row r="696" spans="1:38">
      <c r="A696" s="108">
        <v>44888</v>
      </c>
      <c r="B696" s="109">
        <v>178893</v>
      </c>
      <c r="C696" s="110">
        <v>0.77500000000000002</v>
      </c>
      <c r="D696" s="109">
        <v>10875</v>
      </c>
      <c r="E696" s="116">
        <f>E693-AVERAGE(E694:E695)</f>
        <v>190658.5</v>
      </c>
      <c r="F696" s="116" t="s">
        <v>275</v>
      </c>
      <c r="G696" s="119">
        <f t="shared" si="120"/>
        <v>-14386.6</v>
      </c>
      <c r="H696" s="119">
        <f t="shared" si="176"/>
        <v>63010</v>
      </c>
      <c r="I696" s="147">
        <f t="shared" si="159"/>
        <v>-11905</v>
      </c>
      <c r="J696" s="119">
        <f t="shared" si="177"/>
        <v>3563.4</v>
      </c>
      <c r="K696" s="109">
        <v>41017</v>
      </c>
      <c r="L696" s="110">
        <v>0.623</v>
      </c>
      <c r="M696" s="109">
        <v>3100</v>
      </c>
      <c r="N696" s="115"/>
      <c r="O696" s="111"/>
      <c r="P696" s="119">
        <f t="shared" si="151"/>
        <v>8483.6</v>
      </c>
      <c r="Q696" s="119">
        <f t="shared" si="178"/>
        <v>10703</v>
      </c>
      <c r="R696" s="147">
        <f t="shared" si="175"/>
        <v>-5609</v>
      </c>
      <c r="S696" s="119">
        <f t="shared" si="179"/>
        <v>-2990.4</v>
      </c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</row>
    <row r="697" spans="1:38">
      <c r="A697" s="108">
        <v>44895</v>
      </c>
      <c r="B697" s="109">
        <v>189133</v>
      </c>
      <c r="C697" s="110">
        <v>0.82</v>
      </c>
      <c r="D697" s="109">
        <v>10875</v>
      </c>
      <c r="E697" s="115"/>
      <c r="F697" s="115"/>
      <c r="G697" s="119">
        <f t="shared" si="120"/>
        <v>16.600000000000001</v>
      </c>
      <c r="H697" s="119">
        <f t="shared" si="176"/>
        <v>10240</v>
      </c>
      <c r="I697" s="147">
        <f t="shared" si="159"/>
        <v>14944</v>
      </c>
      <c r="J697" s="119">
        <f t="shared" si="177"/>
        <v>-1777.2</v>
      </c>
      <c r="K697" s="109">
        <v>32315</v>
      </c>
      <c r="L697" s="110">
        <v>0.49099999999999999</v>
      </c>
      <c r="M697" s="109">
        <v>3100</v>
      </c>
      <c r="N697" s="115"/>
      <c r="O697" s="111"/>
      <c r="P697" s="119">
        <f t="shared" si="151"/>
        <v>-6589.6</v>
      </c>
      <c r="Q697" s="119">
        <f t="shared" si="178"/>
        <v>-8702</v>
      </c>
      <c r="R697" s="147">
        <f t="shared" si="175"/>
        <v>2719</v>
      </c>
      <c r="S697" s="119">
        <f t="shared" si="179"/>
        <v>3537.2</v>
      </c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</row>
    <row r="698" spans="1:38">
      <c r="A698" s="108">
        <v>44902</v>
      </c>
      <c r="B698" s="109">
        <v>174553</v>
      </c>
      <c r="C698" s="110">
        <v>0.75599999999999989</v>
      </c>
      <c r="D698" s="109">
        <v>10875</v>
      </c>
      <c r="E698" s="115">
        <v>826445</v>
      </c>
      <c r="F698" s="111" t="s">
        <v>300</v>
      </c>
      <c r="G698" s="119">
        <f t="shared" si="120"/>
        <v>-7502.6</v>
      </c>
      <c r="H698" s="119">
        <f t="shared" ref="H698:H699" si="180">B698-B697</f>
        <v>-14580</v>
      </c>
      <c r="I698" s="147">
        <f t="shared" si="159"/>
        <v>-11743</v>
      </c>
      <c r="J698" s="119">
        <f t="shared" ref="J698:J699" si="181">AVERAGE(B645-B593,B593-B541,B541-B489,B489-B437,B437-B386)</f>
        <v>-859.2</v>
      </c>
      <c r="K698" s="109">
        <v>37505</v>
      </c>
      <c r="L698" s="110">
        <v>0.56999999999999995</v>
      </c>
      <c r="M698" s="109">
        <v>3100</v>
      </c>
      <c r="N698" s="115"/>
      <c r="O698" s="111" t="s">
        <v>300</v>
      </c>
      <c r="P698" s="119">
        <f t="shared" si="151"/>
        <v>5139.3999999999996</v>
      </c>
      <c r="Q698" s="119">
        <f t="shared" si="178"/>
        <v>5190</v>
      </c>
      <c r="R698" s="147">
        <f t="shared" si="175"/>
        <v>-10834</v>
      </c>
      <c r="S698" s="119">
        <f t="shared" si="179"/>
        <v>-1316.8</v>
      </c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</row>
    <row r="699" spans="1:38">
      <c r="A699" s="108">
        <v>44909</v>
      </c>
      <c r="B699" s="109">
        <v>171033</v>
      </c>
      <c r="C699" s="110">
        <v>0.74099999999999999</v>
      </c>
      <c r="D699" s="109">
        <v>10875</v>
      </c>
      <c r="E699" s="115">
        <f>SUM(B698:B702)/35*31</f>
        <v>713321.51428571425</v>
      </c>
      <c r="F699" s="111" t="s">
        <v>301</v>
      </c>
      <c r="G699" s="119">
        <f t="shared" si="120"/>
        <v>28088.400000000001</v>
      </c>
      <c r="H699" s="119">
        <f t="shared" si="180"/>
        <v>-3520</v>
      </c>
      <c r="I699" s="147">
        <f t="shared" si="159"/>
        <v>-27362</v>
      </c>
      <c r="J699" s="119">
        <f t="shared" si="181"/>
        <v>2776.2</v>
      </c>
      <c r="K699" s="109">
        <v>38680</v>
      </c>
      <c r="L699" s="110">
        <v>0.58799999999999997</v>
      </c>
      <c r="M699" s="109">
        <v>3100</v>
      </c>
      <c r="N699" s="115">
        <f>SUM(K698:K702)/35*31</f>
        <v>158026.48571428572</v>
      </c>
      <c r="O699" s="111" t="s">
        <v>301</v>
      </c>
      <c r="P699" s="119">
        <f t="shared" si="151"/>
        <v>-6902.8</v>
      </c>
      <c r="Q699" s="119">
        <f t="shared" si="178"/>
        <v>1175</v>
      </c>
      <c r="R699" s="147">
        <f t="shared" si="175"/>
        <v>9881</v>
      </c>
      <c r="S699" s="119">
        <f t="shared" si="179"/>
        <v>247.4</v>
      </c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</row>
    <row r="700" spans="1:38">
      <c r="A700" s="108">
        <v>44916</v>
      </c>
      <c r="B700" s="109">
        <v>151673</v>
      </c>
      <c r="C700" s="110">
        <v>0.65700000000000003</v>
      </c>
      <c r="D700" s="109">
        <v>10875</v>
      </c>
      <c r="E700" s="115">
        <f>SUM(B698,B699,B700,B701,B702/7*3)/31*31</f>
        <v>725125.28571428568</v>
      </c>
      <c r="F700" s="111" t="s">
        <v>302</v>
      </c>
      <c r="G700" s="119">
        <f t="shared" si="120"/>
        <v>-30726.400000000001</v>
      </c>
      <c r="H700" s="119">
        <f t="shared" ref="H700:H701" si="182">B700-B699</f>
        <v>-19360</v>
      </c>
      <c r="I700" s="147">
        <f t="shared" si="159"/>
        <v>-45684</v>
      </c>
      <c r="J700" s="119">
        <f t="shared" ref="J700:J701" si="183">AVERAGE(B647-B595,B595-B543,B543-B491,B491-B439,B439-B388)</f>
        <v>495</v>
      </c>
      <c r="K700" s="109">
        <v>31829</v>
      </c>
      <c r="L700" s="110">
        <v>0.48399999999999999</v>
      </c>
      <c r="M700" s="109">
        <v>3100</v>
      </c>
      <c r="N700" s="115">
        <f>SUM(K698,K699,K700,K701,K702/7*3)/31*31</f>
        <v>162998.14285714287</v>
      </c>
      <c r="O700" s="111" t="s">
        <v>302</v>
      </c>
      <c r="P700" s="119">
        <f t="shared" si="151"/>
        <v>2170</v>
      </c>
      <c r="Q700" s="119">
        <f t="shared" si="178"/>
        <v>-6851</v>
      </c>
      <c r="R700" s="147">
        <f t="shared" si="175"/>
        <v>5504</v>
      </c>
      <c r="S700" s="119">
        <f t="shared" si="179"/>
        <v>-55</v>
      </c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</row>
    <row r="701" spans="1:38">
      <c r="A701" s="108">
        <v>44923</v>
      </c>
      <c r="B701" s="109">
        <v>167688</v>
      </c>
      <c r="C701" s="110">
        <v>0.72699999999999998</v>
      </c>
      <c r="D701" s="109">
        <v>10875</v>
      </c>
      <c r="E701" s="116">
        <f>E698-AVERAGE(E699:E700)</f>
        <v>107221.60000000009</v>
      </c>
      <c r="F701" s="116" t="s">
        <v>275</v>
      </c>
      <c r="G701" s="119">
        <f t="shared" si="120"/>
        <v>3118.4</v>
      </c>
      <c r="H701" s="119">
        <f t="shared" si="182"/>
        <v>16015</v>
      </c>
      <c r="I701" s="147">
        <f t="shared" si="159"/>
        <v>12276</v>
      </c>
      <c r="J701" s="119">
        <f t="shared" si="183"/>
        <v>11632</v>
      </c>
      <c r="K701" s="109">
        <v>43420</v>
      </c>
      <c r="L701" s="110">
        <v>0.66</v>
      </c>
      <c r="M701" s="109">
        <v>3100</v>
      </c>
      <c r="N701" s="115"/>
      <c r="O701" s="111"/>
      <c r="P701" s="119">
        <f t="shared" si="151"/>
        <v>1766.6</v>
      </c>
      <c r="Q701" s="119">
        <f t="shared" si="178"/>
        <v>11591</v>
      </c>
      <c r="R701" s="147">
        <f t="shared" si="175"/>
        <v>16818</v>
      </c>
      <c r="S701" s="119">
        <f t="shared" si="179"/>
        <v>-685</v>
      </c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</row>
    <row r="702" spans="1:38">
      <c r="A702" s="108">
        <v>44930</v>
      </c>
      <c r="B702" s="109">
        <v>140416</v>
      </c>
      <c r="C702" s="110">
        <v>0.60899999999999999</v>
      </c>
      <c r="D702" s="109">
        <v>10875</v>
      </c>
      <c r="E702" s="115">
        <v>875315</v>
      </c>
      <c r="F702" s="111" t="s">
        <v>303</v>
      </c>
      <c r="G702" s="119">
        <f t="shared" si="120"/>
        <v>-19373.2</v>
      </c>
      <c r="H702" s="119">
        <f t="shared" ref="H702" si="184">B702-B701</f>
        <v>-27272</v>
      </c>
      <c r="I702" s="147">
        <f t="shared" si="159"/>
        <v>-10867</v>
      </c>
      <c r="J702" s="119">
        <f t="shared" ref="J702" si="185">AVERAGE(B649-B597,B597-B545,B545-B493,B493-B441,B441-B390)</f>
        <v>4162</v>
      </c>
      <c r="K702" s="109">
        <v>26983</v>
      </c>
      <c r="L702" s="110">
        <v>0.41</v>
      </c>
      <c r="M702" s="109">
        <v>3100</v>
      </c>
      <c r="N702" s="115"/>
      <c r="O702" s="111" t="s">
        <v>303</v>
      </c>
      <c r="P702" s="119">
        <f t="shared" si="151"/>
        <v>-5118</v>
      </c>
      <c r="Q702" s="119">
        <f t="shared" ref="Q702" si="186">K702-K701</f>
        <v>-16437</v>
      </c>
      <c r="R702" s="147">
        <f t="shared" si="175"/>
        <v>-9257</v>
      </c>
      <c r="S702" s="119">
        <f t="shared" ref="S702" si="187">AVERAGE(K649-K597,K597-K545,K545-K493,K493-K441,K441-K390)</f>
        <v>-4179.6000000000004</v>
      </c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</row>
    <row r="703" spans="1:38">
      <c r="A703" s="108">
        <v>44937</v>
      </c>
      <c r="B703" s="109">
        <v>128124</v>
      </c>
      <c r="C703" s="110">
        <v>0.55500000000000005</v>
      </c>
      <c r="D703" s="109">
        <v>10875</v>
      </c>
      <c r="E703" s="115">
        <f>SUM(B702:B706)/35*31</f>
        <v>656386.02857142861</v>
      </c>
      <c r="F703" s="111" t="s">
        <v>304</v>
      </c>
      <c r="G703" s="119">
        <f t="shared" si="120"/>
        <v>2172.8000000000002</v>
      </c>
      <c r="H703" s="119">
        <f t="shared" ref="H703:H704" si="188">B703-B702</f>
        <v>-12292</v>
      </c>
      <c r="I703" s="147">
        <f t="shared" si="159"/>
        <v>11317</v>
      </c>
      <c r="J703" s="119">
        <f t="shared" ref="J703:J704" si="189">AVERAGE(B650-B598,B598-B546,B546-B494,B494-B442,B442-B391)</f>
        <v>-1510</v>
      </c>
      <c r="K703" s="109">
        <v>46223</v>
      </c>
      <c r="L703" s="110">
        <v>0.70200000000000007</v>
      </c>
      <c r="M703" s="109">
        <v>3100</v>
      </c>
      <c r="N703" s="115">
        <f>SUM(K702:K706)/35*31</f>
        <v>160318.71428571429</v>
      </c>
      <c r="O703" s="111" t="s">
        <v>304</v>
      </c>
      <c r="P703" s="119">
        <f t="shared" si="151"/>
        <v>6145.6</v>
      </c>
      <c r="Q703" s="119">
        <f t="shared" ref="Q703:Q704" si="190">K703-K702</f>
        <v>19240</v>
      </c>
      <c r="R703" s="147">
        <f t="shared" si="175"/>
        <v>6950</v>
      </c>
      <c r="S703" s="119">
        <f t="shared" ref="S703:S704" si="191">AVERAGE(K650-K598,K598-K546,K546-K494,K494-K442,K442-K391)</f>
        <v>-1634.8</v>
      </c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</row>
    <row r="704" spans="1:38">
      <c r="A704" s="108">
        <v>44944</v>
      </c>
      <c r="B704" s="109">
        <v>121976</v>
      </c>
      <c r="C704" s="110">
        <v>0.52900000000000003</v>
      </c>
      <c r="D704" s="109">
        <f t="shared" ref="D704" si="192">IF(B704="","",IF(C704="","",MROUND((B704/C704)/(A704-A703)*330/1000,25)))</f>
        <v>10875</v>
      </c>
      <c r="E704" s="115">
        <f>SUM(B702/7*4,B703,B704,B705,B706/7*6)/31*31</f>
        <v>657103.71428571432</v>
      </c>
      <c r="F704" s="111" t="s">
        <v>305</v>
      </c>
      <c r="G704" s="119">
        <f t="shared" si="120"/>
        <v>7642.2</v>
      </c>
      <c r="H704" s="119">
        <f t="shared" si="188"/>
        <v>-6148</v>
      </c>
      <c r="I704" s="147">
        <f t="shared" si="159"/>
        <v>-6461</v>
      </c>
      <c r="J704" s="119">
        <f t="shared" si="189"/>
        <v>-10473.200000000001</v>
      </c>
      <c r="K704" s="109">
        <v>30104</v>
      </c>
      <c r="L704" s="110">
        <v>0.45799999999999996</v>
      </c>
      <c r="M704" s="109">
        <v>3100</v>
      </c>
      <c r="N704" s="115">
        <f>SUM(K702/7*4,K703,K704,K705,K706/7*6)/31*31</f>
        <v>163641.28571428571</v>
      </c>
      <c r="O704" s="111" t="s">
        <v>305</v>
      </c>
      <c r="P704" s="119">
        <f t="shared" si="151"/>
        <v>-1520.2</v>
      </c>
      <c r="Q704" s="119">
        <f t="shared" si="190"/>
        <v>-16119</v>
      </c>
      <c r="R704" s="147">
        <f t="shared" si="175"/>
        <v>-5677</v>
      </c>
      <c r="S704" s="119">
        <f t="shared" si="191"/>
        <v>2346.8000000000002</v>
      </c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</row>
    <row r="705" spans="1:38">
      <c r="A705" s="108">
        <v>44951</v>
      </c>
      <c r="B705" s="109">
        <v>183972</v>
      </c>
      <c r="C705" s="110">
        <v>0.79700000000000004</v>
      </c>
      <c r="D705" s="109">
        <f t="shared" ref="D705" si="193">IF(B705="","",IF(C705="","",MROUND((B705/C705)/(A705-A704)*330/1000,25)))</f>
        <v>10875</v>
      </c>
      <c r="E705" s="116">
        <f>E702-AVERAGE(E703:E704)</f>
        <v>218570.12857142859</v>
      </c>
      <c r="F705" s="116" t="s">
        <v>275</v>
      </c>
      <c r="G705" s="119">
        <f t="shared" si="120"/>
        <v>7839.6</v>
      </c>
      <c r="H705" s="119">
        <f t="shared" ref="H705" si="194">B705-B704</f>
        <v>61996</v>
      </c>
      <c r="I705" s="147">
        <f t="shared" si="159"/>
        <v>17428</v>
      </c>
      <c r="J705" s="119">
        <f t="shared" ref="J705" si="195">AVERAGE(B652-B600,B600-B548,B548-B496,B496-B444,B444-B393)</f>
        <v>-10171.799999999999</v>
      </c>
      <c r="K705" s="109">
        <v>37098</v>
      </c>
      <c r="L705" s="110">
        <v>0.56399999999999995</v>
      </c>
      <c r="M705" s="109">
        <v>3100</v>
      </c>
      <c r="N705" s="115"/>
      <c r="O705" s="111"/>
      <c r="P705" s="119">
        <f t="shared" si="151"/>
        <v>-3516.6</v>
      </c>
      <c r="Q705" s="119">
        <f t="shared" ref="Q705" si="196">K705-K704</f>
        <v>6994</v>
      </c>
      <c r="R705" s="147">
        <f t="shared" si="175"/>
        <v>4247</v>
      </c>
      <c r="S705" s="119">
        <f t="shared" ref="S705" si="197">AVERAGE(K652-K600,K600-K548,K548-K496,K496-K444,K444-K393)</f>
        <v>1183.5999999999999</v>
      </c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</row>
    <row r="706" spans="1:38">
      <c r="A706" s="108">
        <v>44958</v>
      </c>
      <c r="B706" s="109">
        <v>166593</v>
      </c>
      <c r="C706" s="110">
        <v>0.72199999999999998</v>
      </c>
      <c r="D706" s="109">
        <f t="shared" ref="D706" si="198">IF(B706="","",IF(C706="","",MROUND((B706/C706)/(A706-A705)*330/1000,25)))</f>
        <v>10875</v>
      </c>
      <c r="E706" s="115">
        <v>812001</v>
      </c>
      <c r="F706" s="111" t="s">
        <v>306</v>
      </c>
      <c r="G706" s="119">
        <f t="shared" si="120"/>
        <v>-4330.6000000000004</v>
      </c>
      <c r="H706" s="119">
        <f t="shared" ref="H706" si="199">B706-B705</f>
        <v>-17379</v>
      </c>
      <c r="I706" s="147">
        <f t="shared" si="159"/>
        <v>-7814</v>
      </c>
      <c r="J706" s="119">
        <f t="shared" ref="J706" si="200">AVERAGE(B653-B601,B601-B549,B549-B497,B497-B445,B445-B394)</f>
        <v>-4815.8</v>
      </c>
      <c r="K706" s="109">
        <v>40597</v>
      </c>
      <c r="L706" s="110">
        <v>0.61699999999999999</v>
      </c>
      <c r="M706" s="109">
        <v>3100</v>
      </c>
      <c r="N706" s="115"/>
      <c r="O706" s="111" t="s">
        <v>306</v>
      </c>
      <c r="P706" s="119">
        <f t="shared" si="151"/>
        <v>4898</v>
      </c>
      <c r="Q706" s="119">
        <f t="shared" ref="Q706" si="201">K706-K705</f>
        <v>3499</v>
      </c>
      <c r="R706" s="147">
        <f t="shared" si="175"/>
        <v>4047</v>
      </c>
      <c r="S706" s="119">
        <f t="shared" ref="S706" si="202">AVERAGE(K653-K601,K601-K549,K549-K497,K497-K445,K445-K394)</f>
        <v>-2358.6</v>
      </c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</row>
    <row r="707" spans="1:38">
      <c r="A707" s="108">
        <v>44965</v>
      </c>
      <c r="B707" s="109">
        <v>200724</v>
      </c>
      <c r="C707" s="110">
        <v>0.87</v>
      </c>
      <c r="D707" s="109">
        <f t="shared" ref="D707" si="203">IF(B707="","",IF(C707="","",MROUND((B707/C707)/(A707-A706)*330/1000,25)))</f>
        <v>10875</v>
      </c>
      <c r="E707" s="115">
        <f>SUM(B706:B710)/35*28</f>
        <v>751280</v>
      </c>
      <c r="F707" s="111" t="s">
        <v>307</v>
      </c>
      <c r="G707" s="119">
        <f t="shared" si="120"/>
        <v>5455.6</v>
      </c>
      <c r="H707" s="119">
        <f t="shared" ref="H707:H711" si="204">B707-B706</f>
        <v>34131</v>
      </c>
      <c r="I707" s="147">
        <f t="shared" si="159"/>
        <v>21405</v>
      </c>
      <c r="J707" s="119">
        <f t="shared" ref="J707:J711" si="205">AVERAGE(B654-B602,B602-B550,B550-B498,B498-B446,B446-B395)</f>
        <v>-144.80000000000001</v>
      </c>
      <c r="K707" s="109">
        <v>27571</v>
      </c>
      <c r="L707" s="110">
        <v>0.41899999999999998</v>
      </c>
      <c r="M707" s="109">
        <v>3100</v>
      </c>
      <c r="N707" s="115">
        <f>SUM(K706:K710)/35*28</f>
        <v>145103.20000000001</v>
      </c>
      <c r="O707" s="111" t="s">
        <v>307</v>
      </c>
      <c r="P707" s="119">
        <f t="shared" si="151"/>
        <v>-3386.4</v>
      </c>
      <c r="Q707" s="119">
        <f t="shared" ref="Q707:Q711" si="206">K707-K706</f>
        <v>-13026</v>
      </c>
      <c r="R707" s="147">
        <f t="shared" si="175"/>
        <v>-3355</v>
      </c>
      <c r="S707" s="119">
        <f t="shared" ref="S707:S711" si="207">AVERAGE(K654-K602,K602-K550,K550-K498,K498-K446,K446-K395)</f>
        <v>-391</v>
      </c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</row>
    <row r="708" spans="1:38">
      <c r="A708" s="108">
        <v>44972</v>
      </c>
      <c r="B708" s="109">
        <v>193142</v>
      </c>
      <c r="C708" s="110">
        <v>0.83700000000000008</v>
      </c>
      <c r="D708" s="109">
        <f t="shared" ref="D708" si="208">IF(B708="","",IF(C708="","",MROUND((B708/C708)/(A708-A707)*330/1000,25)))</f>
        <v>10875</v>
      </c>
      <c r="E708" s="115">
        <f>SUM(B706/7*1,B707,B708,B709,B710/7*6)/28*28</f>
        <v>770936.85714285716</v>
      </c>
      <c r="F708" s="111" t="s">
        <v>308</v>
      </c>
      <c r="G708" s="119">
        <f t="shared" si="120"/>
        <v>15275</v>
      </c>
      <c r="H708" s="119">
        <f t="shared" si="204"/>
        <v>-7582</v>
      </c>
      <c r="I708" s="147">
        <f t="shared" si="159"/>
        <v>-4564</v>
      </c>
      <c r="J708" s="119">
        <f t="shared" si="205"/>
        <v>305.39999999999998</v>
      </c>
      <c r="K708" s="109">
        <v>36367</v>
      </c>
      <c r="L708" s="110">
        <v>0.55299999999999994</v>
      </c>
      <c r="M708" s="109">
        <v>3100</v>
      </c>
      <c r="N708" s="115">
        <f>SUM(K706/7*1,K707,K708,K709,K710/7*6)/28*28</f>
        <v>142624.85714285713</v>
      </c>
      <c r="O708" s="111" t="s">
        <v>308</v>
      </c>
      <c r="P708" s="119">
        <f t="shared" si="151"/>
        <v>-1641.8</v>
      </c>
      <c r="Q708" s="119">
        <f t="shared" si="206"/>
        <v>8796</v>
      </c>
      <c r="R708" s="147">
        <f t="shared" si="175"/>
        <v>-4281</v>
      </c>
      <c r="S708" s="119">
        <f t="shared" si="207"/>
        <v>650.6</v>
      </c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</row>
    <row r="709" spans="1:38">
      <c r="A709" s="108">
        <v>44979</v>
      </c>
      <c r="B709" s="109">
        <v>201057</v>
      </c>
      <c r="C709" s="110">
        <v>0.871</v>
      </c>
      <c r="D709" s="109">
        <v>10950</v>
      </c>
      <c r="E709" s="116">
        <f>E706-AVERAGE(E707:E708)</f>
        <v>50892.571428571362</v>
      </c>
      <c r="F709" s="116" t="s">
        <v>275</v>
      </c>
      <c r="G709" s="119">
        <f t="shared" si="120"/>
        <v>6414.8</v>
      </c>
      <c r="H709" s="119">
        <f t="shared" si="204"/>
        <v>7915</v>
      </c>
      <c r="I709" s="147">
        <f t="shared" ref="I709:I742" si="209">B709-B657</f>
        <v>-1450</v>
      </c>
      <c r="J709" s="119">
        <f t="shared" si="205"/>
        <v>5093</v>
      </c>
      <c r="K709" s="109">
        <v>49147</v>
      </c>
      <c r="L709" s="110">
        <v>0.747</v>
      </c>
      <c r="M709" s="109">
        <v>3100</v>
      </c>
      <c r="N709" s="115"/>
      <c r="O709" s="111"/>
      <c r="P709" s="119">
        <f t="shared" si="151"/>
        <v>-400.8</v>
      </c>
      <c r="Q709" s="119">
        <f t="shared" si="206"/>
        <v>12780</v>
      </c>
      <c r="R709" s="147">
        <f t="shared" si="175"/>
        <v>21293</v>
      </c>
      <c r="S709" s="119">
        <f t="shared" si="207"/>
        <v>1458.4</v>
      </c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</row>
    <row r="710" spans="1:38">
      <c r="A710" s="108">
        <v>44986</v>
      </c>
      <c r="B710" s="109">
        <v>177584</v>
      </c>
      <c r="C710" s="110">
        <v>0.77</v>
      </c>
      <c r="D710" s="109">
        <v>10975</v>
      </c>
      <c r="E710" s="115">
        <v>922944</v>
      </c>
      <c r="F710" s="111" t="s">
        <v>272</v>
      </c>
      <c r="G710" s="119">
        <f t="shared" si="120"/>
        <v>2866</v>
      </c>
      <c r="H710" s="119">
        <f t="shared" si="204"/>
        <v>-23473</v>
      </c>
      <c r="I710" s="147">
        <f t="shared" si="209"/>
        <v>-25181</v>
      </c>
      <c r="J710" s="119">
        <f t="shared" si="205"/>
        <v>3837.4</v>
      </c>
      <c r="K710" s="109">
        <v>27697</v>
      </c>
      <c r="L710" s="110">
        <v>0.42100000000000004</v>
      </c>
      <c r="M710" s="109">
        <v>3100</v>
      </c>
      <c r="N710" s="115"/>
      <c r="O710" s="111" t="s">
        <v>272</v>
      </c>
      <c r="P710" s="119">
        <f t="shared" si="151"/>
        <v>9267</v>
      </c>
      <c r="Q710" s="119">
        <f t="shared" si="206"/>
        <v>-21450</v>
      </c>
      <c r="R710" s="147">
        <f t="shared" si="175"/>
        <v>-22353</v>
      </c>
      <c r="S710" s="119">
        <f t="shared" si="207"/>
        <v>-3511.2</v>
      </c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</row>
    <row r="711" spans="1:38">
      <c r="A711" s="108">
        <v>44993</v>
      </c>
      <c r="B711" s="109">
        <v>206463</v>
      </c>
      <c r="C711" s="110">
        <v>0.89500000000000002</v>
      </c>
      <c r="D711" s="109">
        <v>10950</v>
      </c>
      <c r="E711" s="115">
        <f>SUM(B710:B715)/42*31</f>
        <v>886083.33333333326</v>
      </c>
      <c r="F711" s="111" t="s">
        <v>273</v>
      </c>
      <c r="G711" s="119">
        <f t="shared" si="120"/>
        <v>-8224.6</v>
      </c>
      <c r="H711" s="119">
        <f t="shared" si="204"/>
        <v>28879</v>
      </c>
      <c r="I711" s="147">
        <f t="shared" si="209"/>
        <v>9470</v>
      </c>
      <c r="J711" s="119">
        <f t="shared" si="205"/>
        <v>781.2</v>
      </c>
      <c r="K711" s="109">
        <v>36787</v>
      </c>
      <c r="L711" s="110">
        <v>0.55899999999999994</v>
      </c>
      <c r="M711" s="109">
        <v>3100</v>
      </c>
      <c r="N711" s="115">
        <f>SUM(K710:K715)/42*31</f>
        <v>159539.28571428571</v>
      </c>
      <c r="O711" s="111" t="s">
        <v>273</v>
      </c>
      <c r="P711" s="119">
        <f t="shared" si="151"/>
        <v>-10386.4</v>
      </c>
      <c r="Q711" s="119">
        <f t="shared" si="206"/>
        <v>9090</v>
      </c>
      <c r="R711" s="147">
        <f t="shared" si="175"/>
        <v>2414</v>
      </c>
      <c r="S711" s="119">
        <f t="shared" si="207"/>
        <v>2947.6</v>
      </c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</row>
    <row r="712" spans="1:38">
      <c r="A712" s="108">
        <v>45000</v>
      </c>
      <c r="B712" s="109">
        <v>198305</v>
      </c>
      <c r="C712" s="110">
        <v>0.8590000000000001</v>
      </c>
      <c r="D712" s="109">
        <v>10975</v>
      </c>
      <c r="E712" s="115">
        <f>SUM(B710/7*1,B711,B712,B713,B714,B715/7*2)/31*31</f>
        <v>898835.85714285716</v>
      </c>
      <c r="F712" s="111" t="s">
        <v>274</v>
      </c>
      <c r="G712" s="119">
        <f t="shared" si="120"/>
        <v>8690.4</v>
      </c>
      <c r="H712" s="119">
        <f t="shared" ref="H712:H713" si="210">B712-B711</f>
        <v>-8158</v>
      </c>
      <c r="I712" s="147">
        <f t="shared" si="209"/>
        <v>9058</v>
      </c>
      <c r="J712" s="119">
        <f t="shared" ref="J712:J713" si="211">AVERAGE(B659-B607,B607-B555,B555-B503,B503-B451,B451-B400)</f>
        <v>5160.6000000000004</v>
      </c>
      <c r="K712" s="109">
        <v>44004</v>
      </c>
      <c r="L712" s="110">
        <v>0.66900000000000004</v>
      </c>
      <c r="M712" s="109">
        <v>3100</v>
      </c>
      <c r="N712" s="115">
        <f>SUM(K710/7*1,K711,K712,K713,K714,K715/7*2)/31*31</f>
        <v>163659.71428571429</v>
      </c>
      <c r="O712" s="111" t="s">
        <v>274</v>
      </c>
      <c r="P712" s="119">
        <f t="shared" si="151"/>
        <v>2115</v>
      </c>
      <c r="Q712" s="119">
        <f t="shared" ref="Q712:Q713" si="212">K712-K711</f>
        <v>7217</v>
      </c>
      <c r="R712" s="147">
        <f t="shared" si="175"/>
        <v>9350</v>
      </c>
      <c r="S712" s="119">
        <f t="shared" ref="S712:S713" si="213">AVERAGE(K659-K607,K607-K555,K555-K503,K503-K451,K451-K400)</f>
        <v>1864</v>
      </c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</row>
    <row r="713" spans="1:38">
      <c r="A713" s="108">
        <v>45007</v>
      </c>
      <c r="B713" s="109">
        <v>209429</v>
      </c>
      <c r="C713" s="110">
        <v>0.90799999999999992</v>
      </c>
      <c r="D713" s="109">
        <v>10975</v>
      </c>
      <c r="E713" s="116">
        <f>E710-AVERAGE(E711:E712)</f>
        <v>30484.404761904851</v>
      </c>
      <c r="F713" s="116" t="s">
        <v>275</v>
      </c>
      <c r="G713" s="119">
        <f t="shared" si="120"/>
        <v>-6528</v>
      </c>
      <c r="H713" s="119">
        <f t="shared" si="210"/>
        <v>11124</v>
      </c>
      <c r="I713" s="147">
        <f t="shared" si="209"/>
        <v>7962</v>
      </c>
      <c r="J713" s="119">
        <f t="shared" si="211"/>
        <v>1596.2</v>
      </c>
      <c r="K713" s="109">
        <v>29697</v>
      </c>
      <c r="L713" s="110">
        <v>0.45100000000000001</v>
      </c>
      <c r="M713" s="109">
        <v>3100</v>
      </c>
      <c r="N713" s="115"/>
      <c r="O713" s="111"/>
      <c r="P713" s="119">
        <f t="shared" si="151"/>
        <v>630.4</v>
      </c>
      <c r="Q713" s="119">
        <f t="shared" si="212"/>
        <v>-14307</v>
      </c>
      <c r="R713" s="147">
        <f t="shared" si="175"/>
        <v>-3008</v>
      </c>
      <c r="S713" s="119">
        <f t="shared" si="213"/>
        <v>808.6</v>
      </c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</row>
    <row r="714" spans="1:38">
      <c r="A714" s="108">
        <v>45014</v>
      </c>
      <c r="B714" s="109">
        <v>199490</v>
      </c>
      <c r="C714" s="110">
        <v>0.86499999999999999</v>
      </c>
      <c r="D714" s="109">
        <v>10975</v>
      </c>
      <c r="E714" s="115"/>
      <c r="F714" s="111"/>
      <c r="G714" s="119">
        <f t="shared" si="120"/>
        <v>3296</v>
      </c>
      <c r="H714" s="119">
        <f t="shared" ref="H714" si="214">B714-B713</f>
        <v>-9939</v>
      </c>
      <c r="I714" s="147">
        <f t="shared" si="209"/>
        <v>8288</v>
      </c>
      <c r="J714" s="119">
        <f t="shared" ref="J714" si="215">AVERAGE(B661-B609,B609-B557,B557-B505,B505-B453,B453-B402)</f>
        <v>-496.8</v>
      </c>
      <c r="K714" s="109">
        <v>37715</v>
      </c>
      <c r="L714" s="110">
        <v>0.57299999999999995</v>
      </c>
      <c r="M714" s="109">
        <v>3100</v>
      </c>
      <c r="N714" s="115"/>
      <c r="O714" s="111"/>
      <c r="P714" s="119">
        <f t="shared" si="151"/>
        <v>6065</v>
      </c>
      <c r="Q714" s="119">
        <f t="shared" ref="Q714" si="216">K714-K713</f>
        <v>8018</v>
      </c>
      <c r="R714" s="147">
        <f t="shared" si="175"/>
        <v>-10151</v>
      </c>
      <c r="S714" s="119">
        <f t="shared" ref="S714" si="217">AVERAGE(K661-K609,K609-K557,K557-K505,K505-K453,K453-K402)</f>
        <v>-2876.6</v>
      </c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</row>
    <row r="715" spans="1:38">
      <c r="A715" s="108">
        <v>45021</v>
      </c>
      <c r="B715" s="109">
        <v>209229</v>
      </c>
      <c r="C715" s="110">
        <v>0.90700000000000003</v>
      </c>
      <c r="D715" s="109">
        <v>10950</v>
      </c>
      <c r="E715" s="115">
        <v>886489</v>
      </c>
      <c r="F715" s="111" t="s">
        <v>276</v>
      </c>
      <c r="G715" s="119">
        <f t="shared" si="120"/>
        <v>-2565.6</v>
      </c>
      <c r="H715" s="119">
        <f t="shared" ref="H715:H716" si="218">B715-B714</f>
        <v>9739</v>
      </c>
      <c r="I715" s="147">
        <f t="shared" si="209"/>
        <v>27171</v>
      </c>
      <c r="J715" s="119">
        <f t="shared" ref="J715:J716" si="219">AVERAGE(B662-B610,B610-B558,B558-B506,B506-B454,B454-B403)</f>
        <v>2065.1999999999998</v>
      </c>
      <c r="K715" s="109">
        <v>40250</v>
      </c>
      <c r="L715" s="110">
        <v>0.61199999999999999</v>
      </c>
      <c r="M715" s="109">
        <v>3100</v>
      </c>
      <c r="N715" s="115"/>
      <c r="O715" s="111" t="s">
        <v>276</v>
      </c>
      <c r="P715" s="119">
        <f t="shared" si="151"/>
        <v>-10043.6</v>
      </c>
      <c r="Q715" s="119">
        <f t="shared" ref="Q715:Q716" si="220">K715-K714</f>
        <v>2535</v>
      </c>
      <c r="R715" s="147">
        <f t="shared" si="175"/>
        <v>5362</v>
      </c>
      <c r="S715" s="119">
        <f t="shared" ref="S715:S716" si="221">AVERAGE(K662-K610,K610-K558,K558-K506,K506-K454,K454-K403)</f>
        <v>3830</v>
      </c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</row>
    <row r="716" spans="1:38">
      <c r="A716" s="108">
        <v>45028</v>
      </c>
      <c r="B716" s="109">
        <v>190578</v>
      </c>
      <c r="C716" s="110">
        <v>0.82599999999999996</v>
      </c>
      <c r="D716" s="109">
        <v>10975</v>
      </c>
      <c r="E716" s="115">
        <f>SUM(B715:B719)/35*30</f>
        <v>851053.71428571432</v>
      </c>
      <c r="F716" s="111" t="s">
        <v>277</v>
      </c>
      <c r="G716" s="119">
        <f t="shared" si="120"/>
        <v>-3024.8</v>
      </c>
      <c r="H716" s="119">
        <f t="shared" si="218"/>
        <v>-18651</v>
      </c>
      <c r="I716" s="147">
        <f t="shared" si="209"/>
        <v>28197</v>
      </c>
      <c r="J716" s="119">
        <f t="shared" si="219"/>
        <v>-1137.4000000000001</v>
      </c>
      <c r="K716" s="109">
        <v>31063</v>
      </c>
      <c r="L716" s="110">
        <v>0.47200000000000003</v>
      </c>
      <c r="M716" s="109">
        <v>3100</v>
      </c>
      <c r="N716" s="115">
        <f>SUM(K715:K719)/35*30</f>
        <v>159656.57142857142</v>
      </c>
      <c r="O716" s="111" t="s">
        <v>277</v>
      </c>
      <c r="P716" s="119">
        <f t="shared" si="151"/>
        <v>10137.6</v>
      </c>
      <c r="Q716" s="119">
        <f t="shared" si="220"/>
        <v>-9187</v>
      </c>
      <c r="R716" s="147">
        <f t="shared" si="175"/>
        <v>-11617</v>
      </c>
      <c r="S716" s="119">
        <f t="shared" si="221"/>
        <v>-1987.2</v>
      </c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</row>
    <row r="717" spans="1:38">
      <c r="A717" s="108">
        <v>45035</v>
      </c>
      <c r="B717" s="109">
        <v>209333</v>
      </c>
      <c r="C717" s="110">
        <v>0.90700000000000003</v>
      </c>
      <c r="D717" s="109">
        <v>10950</v>
      </c>
      <c r="E717" s="115">
        <f>SUM(B715/7*5,B716,B717,B718,B719/7*4)/30*30</f>
        <v>856216.42857142852</v>
      </c>
      <c r="F717" s="111" t="s">
        <v>278</v>
      </c>
      <c r="G717" s="119">
        <f t="shared" si="120"/>
        <v>6539.8</v>
      </c>
      <c r="H717" s="119">
        <f t="shared" ref="H717:H718" si="222">B717-B716</f>
        <v>18755</v>
      </c>
      <c r="I717" s="147">
        <f t="shared" si="209"/>
        <v>27636</v>
      </c>
      <c r="J717" s="119">
        <f t="shared" ref="J717:J718" si="223">AVERAGE(B664-B612,B612-B560,B560-B508,B508-B456,B456-B405)</f>
        <v>-7460.6</v>
      </c>
      <c r="K717" s="109">
        <v>34162</v>
      </c>
      <c r="L717" s="110">
        <v>0.51900000000000002</v>
      </c>
      <c r="M717" s="109">
        <v>3100</v>
      </c>
      <c r="N717" s="115">
        <f>SUM(K715/7*5,K716,K717,K718,K719/7*4)/30*30</f>
        <v>155907.14285714287</v>
      </c>
      <c r="O717" s="111" t="s">
        <v>278</v>
      </c>
      <c r="P717" s="119">
        <f t="shared" si="151"/>
        <v>-5343.2</v>
      </c>
      <c r="Q717" s="119">
        <f t="shared" ref="Q717:Q718" si="224">K717-K716</f>
        <v>3099</v>
      </c>
      <c r="R717" s="147">
        <f t="shared" si="175"/>
        <v>2114</v>
      </c>
      <c r="S717" s="119">
        <f t="shared" ref="S717:S718" si="225">AVERAGE(K664-K612,K612-K560,K560-K508,K508-K456,K456-K405)</f>
        <v>2972.6</v>
      </c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</row>
    <row r="718" spans="1:38">
      <c r="A718" s="108">
        <v>45042</v>
      </c>
      <c r="B718" s="109">
        <v>204323</v>
      </c>
      <c r="C718" s="110">
        <v>0.88500000000000001</v>
      </c>
      <c r="D718" s="109">
        <v>10950</v>
      </c>
      <c r="E718" s="116">
        <f>E715-AVERAGE(E716:E717)</f>
        <v>32853.928571428638</v>
      </c>
      <c r="F718" s="116" t="s">
        <v>275</v>
      </c>
      <c r="G718" s="119">
        <f t="shared" si="120"/>
        <v>-9576.7999999999993</v>
      </c>
      <c r="H718" s="119">
        <f t="shared" si="222"/>
        <v>-5010</v>
      </c>
      <c r="I718" s="147">
        <f t="shared" si="209"/>
        <v>50306</v>
      </c>
      <c r="J718" s="119">
        <f t="shared" si="223"/>
        <v>642.4</v>
      </c>
      <c r="K718" s="109">
        <v>36787</v>
      </c>
      <c r="L718" s="110">
        <v>0.74199999999999999</v>
      </c>
      <c r="M718" s="109">
        <v>3100</v>
      </c>
      <c r="N718" s="115"/>
      <c r="O718" s="111"/>
      <c r="P718" s="119">
        <f t="shared" si="151"/>
        <v>8008.6</v>
      </c>
      <c r="Q718" s="119">
        <f t="shared" si="224"/>
        <v>2625</v>
      </c>
      <c r="R718" s="147">
        <f t="shared" si="175"/>
        <v>-16352</v>
      </c>
      <c r="S718" s="119">
        <f t="shared" si="225"/>
        <v>-1436.2</v>
      </c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</row>
    <row r="719" spans="1:38">
      <c r="A719" s="108">
        <v>45049</v>
      </c>
      <c r="B719" s="109">
        <v>179433</v>
      </c>
      <c r="C719" s="110">
        <v>0.77800000000000002</v>
      </c>
      <c r="D719" s="109">
        <v>10975</v>
      </c>
      <c r="E719" s="115">
        <v>789942</v>
      </c>
      <c r="F719" s="111" t="s">
        <v>279</v>
      </c>
      <c r="G719" s="119">
        <f t="shared" si="120"/>
        <v>6499.4</v>
      </c>
      <c r="H719" s="119">
        <f t="shared" ref="H719:H720" si="226">B719-B718</f>
        <v>-24890</v>
      </c>
      <c r="I719" s="147">
        <f t="shared" si="209"/>
        <v>12556</v>
      </c>
      <c r="J719" s="119">
        <f t="shared" ref="J719:J720" si="227">AVERAGE(B666-B614,B614-B562,B562-B510,B510-B458,B458-B407)</f>
        <v>-3679.6</v>
      </c>
      <c r="K719" s="109">
        <v>44004</v>
      </c>
      <c r="L719" s="110">
        <v>0.441</v>
      </c>
      <c r="M719" s="109">
        <v>3800</v>
      </c>
      <c r="N719" s="115"/>
      <c r="O719" s="111" t="s">
        <v>279</v>
      </c>
      <c r="P719" s="119">
        <f t="shared" si="151"/>
        <v>-12741.2</v>
      </c>
      <c r="Q719" s="119">
        <f t="shared" ref="Q719:Q720" si="228">K719-K718</f>
        <v>7217</v>
      </c>
      <c r="R719" s="147">
        <f t="shared" si="175"/>
        <v>4167</v>
      </c>
      <c r="S719" s="119">
        <f t="shared" ref="S719:S720" si="229">AVERAGE(K666-K614,K614-K562,K562-K510,K510-K458,K458-K407)</f>
        <v>5116.3999999999996</v>
      </c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</row>
    <row r="720" spans="1:38">
      <c r="A720" s="108">
        <v>45056</v>
      </c>
      <c r="B720" s="109">
        <v>189618</v>
      </c>
      <c r="C720" s="110">
        <v>0.82200000000000006</v>
      </c>
      <c r="D720" s="109">
        <v>10975</v>
      </c>
      <c r="E720" s="115">
        <f>SUM(B719:B723)/35*31</f>
        <v>817734.82857142854</v>
      </c>
      <c r="F720" s="111" t="s">
        <v>280</v>
      </c>
      <c r="G720" s="119">
        <f t="shared" si="120"/>
        <v>-3591.4</v>
      </c>
      <c r="H720" s="119">
        <f t="shared" si="226"/>
        <v>10185</v>
      </c>
      <c r="I720" s="147">
        <f t="shared" si="209"/>
        <v>14432</v>
      </c>
      <c r="J720" s="119">
        <f t="shared" si="227"/>
        <v>-5808.6</v>
      </c>
      <c r="K720" s="109">
        <v>29697</v>
      </c>
      <c r="L720" s="110">
        <v>0.65900000000000003</v>
      </c>
      <c r="M720" s="109">
        <v>3125</v>
      </c>
      <c r="N720" s="115">
        <f>SUM(K719:K723)/35*31</f>
        <v>161845.6857142857</v>
      </c>
      <c r="O720" s="111" t="s">
        <v>280</v>
      </c>
      <c r="P720" s="119">
        <f t="shared" si="151"/>
        <v>10612</v>
      </c>
      <c r="Q720" s="119">
        <f t="shared" si="228"/>
        <v>-14307</v>
      </c>
      <c r="R720" s="147">
        <f t="shared" si="175"/>
        <v>-18291</v>
      </c>
      <c r="S720" s="119">
        <f t="shared" si="229"/>
        <v>-890</v>
      </c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</row>
    <row r="721" spans="1:38">
      <c r="A721" s="108">
        <v>45063</v>
      </c>
      <c r="B721" s="109">
        <v>163648</v>
      </c>
      <c r="C721" s="110">
        <v>0.70900000000000007</v>
      </c>
      <c r="D721" s="109">
        <v>10950</v>
      </c>
      <c r="E721" s="115">
        <f>SUM(B719/7*3,B720,B721,B722,B723)/31*31</f>
        <v>820715.85714285716</v>
      </c>
      <c r="F721" s="111" t="s">
        <v>281</v>
      </c>
      <c r="G721" s="119">
        <f t="shared" si="120"/>
        <v>-9459.6</v>
      </c>
      <c r="H721" s="119">
        <f t="shared" ref="H721" si="230">B721-B720</f>
        <v>-25970</v>
      </c>
      <c r="I721" s="147">
        <f t="shared" si="209"/>
        <v>-4390</v>
      </c>
      <c r="J721" s="119">
        <f t="shared" ref="J721" si="231">AVERAGE(B668-B616,B616-B564,B564-B512,B512-B460,B460-B409)</f>
        <v>-5021.6000000000004</v>
      </c>
      <c r="K721" s="109">
        <v>37715</v>
      </c>
      <c r="L721" s="110">
        <v>0.47200000000000003</v>
      </c>
      <c r="M721" s="109">
        <v>2525</v>
      </c>
      <c r="N721" s="115">
        <f>SUM(K719/7*3,K720,K721,K722,K723)/31*31</f>
        <v>157583.85714285716</v>
      </c>
      <c r="O721" s="111" t="s">
        <v>281</v>
      </c>
      <c r="P721" s="119">
        <f t="shared" si="151"/>
        <v>-12660.2</v>
      </c>
      <c r="Q721" s="119">
        <f t="shared" ref="Q721" si="232">K721-K720</f>
        <v>8018</v>
      </c>
      <c r="R721" s="147">
        <f t="shared" si="175"/>
        <v>8070</v>
      </c>
      <c r="S721" s="119">
        <f t="shared" ref="S721" si="233">AVERAGE(K668-K616,K616-K564,K564-K512,K512-K460,K460-K409)</f>
        <v>4033.2</v>
      </c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</row>
    <row r="722" spans="1:38">
      <c r="A722" s="108">
        <v>45070</v>
      </c>
      <c r="B722" s="109">
        <v>192519</v>
      </c>
      <c r="C722" s="110">
        <v>0.83400000000000007</v>
      </c>
      <c r="D722" s="109">
        <v>10975</v>
      </c>
      <c r="E722" s="116">
        <f>E719-AVERAGE(E720:E721)</f>
        <v>-29283.34285714291</v>
      </c>
      <c r="F722" s="116" t="s">
        <v>275</v>
      </c>
      <c r="G722" s="119">
        <f t="shared" si="120"/>
        <v>2687.8</v>
      </c>
      <c r="H722" s="119">
        <f t="shared" ref="H722:H723" si="234">B722-B721</f>
        <v>28871</v>
      </c>
      <c r="I722" s="147">
        <f t="shared" si="209"/>
        <v>51109</v>
      </c>
      <c r="J722" s="119">
        <f t="shared" ref="J722:J723" si="235">AVERAGE(B669-B617,B617-B565,B565-B513,B513-B461,B461-B410)</f>
        <v>-692.4</v>
      </c>
      <c r="K722" s="109">
        <v>40250</v>
      </c>
      <c r="L722" s="110">
        <v>0.47399999999999998</v>
      </c>
      <c r="M722" s="109">
        <v>3250</v>
      </c>
      <c r="N722" s="115"/>
      <c r="O722" s="111"/>
      <c r="P722" s="119">
        <f t="shared" si="151"/>
        <v>10212</v>
      </c>
      <c r="Q722" s="119">
        <f t="shared" ref="Q722:Q724" si="236">K722-K721</f>
        <v>2535</v>
      </c>
      <c r="R722" s="147">
        <f t="shared" si="175"/>
        <v>3306</v>
      </c>
      <c r="S722" s="119">
        <f t="shared" ref="S722:S724" si="237">AVERAGE(K669-K617,K617-K565,K565-K513,K513-K461,K461-K410)</f>
        <v>-2829.6</v>
      </c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</row>
    <row r="723" spans="1:38">
      <c r="A723" s="108">
        <v>45077</v>
      </c>
      <c r="B723" s="109">
        <v>198031</v>
      </c>
      <c r="C723" s="110">
        <v>0.85799999999999998</v>
      </c>
      <c r="D723" s="109">
        <v>10950</v>
      </c>
      <c r="E723" s="115"/>
      <c r="F723" s="111"/>
      <c r="G723" s="119">
        <f t="shared" si="120"/>
        <v>-12855.4</v>
      </c>
      <c r="H723" s="119">
        <f t="shared" si="234"/>
        <v>5512</v>
      </c>
      <c r="I723" s="147">
        <f t="shared" si="209"/>
        <v>57967</v>
      </c>
      <c r="J723" s="119">
        <f t="shared" si="235"/>
        <v>-3224.4</v>
      </c>
      <c r="K723" s="109">
        <v>31063</v>
      </c>
      <c r="L723" s="110">
        <v>0.39299999999999996</v>
      </c>
      <c r="M723" s="109">
        <v>2975</v>
      </c>
      <c r="N723" s="115"/>
      <c r="O723" s="111"/>
      <c r="P723" s="119">
        <f t="shared" si="151"/>
        <v>-8146.8</v>
      </c>
      <c r="Q723" s="119">
        <f t="shared" si="236"/>
        <v>-9187</v>
      </c>
      <c r="R723" s="147">
        <f t="shared" si="175"/>
        <v>1857</v>
      </c>
      <c r="S723" s="119">
        <f t="shared" si="237"/>
        <v>2133.6</v>
      </c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</row>
    <row r="724" spans="1:38">
      <c r="A724" s="108">
        <v>45084</v>
      </c>
      <c r="B724" s="109">
        <v>200446</v>
      </c>
      <c r="C724" s="110">
        <v>0.86900000000000011</v>
      </c>
      <c r="D724" s="109">
        <v>10950</v>
      </c>
      <c r="E724" s="115">
        <v>717036</v>
      </c>
      <c r="F724" s="111" t="s">
        <v>282</v>
      </c>
      <c r="G724" s="119">
        <f t="shared" si="120"/>
        <v>13224.8</v>
      </c>
      <c r="H724" s="119">
        <f t="shared" ref="H724" si="238">B724-B723</f>
        <v>2415</v>
      </c>
      <c r="I724" s="147">
        <f t="shared" si="209"/>
        <v>54455</v>
      </c>
      <c r="J724" s="119">
        <f t="shared" ref="J724" si="239">AVERAGE(B671-B619,B619-B567,B567-B515,B515-B463,B463-B412)</f>
        <v>-9102.4</v>
      </c>
      <c r="K724" s="109">
        <v>34162</v>
      </c>
      <c r="L724" s="110">
        <v>0.39299999999999996</v>
      </c>
      <c r="M724" s="109">
        <v>4100</v>
      </c>
      <c r="N724" s="115"/>
      <c r="O724" s="111" t="s">
        <v>282</v>
      </c>
      <c r="P724" s="119">
        <f t="shared" si="151"/>
        <v>2760.8</v>
      </c>
      <c r="Q724" s="119">
        <f t="shared" si="236"/>
        <v>3099</v>
      </c>
      <c r="R724" s="147">
        <f t="shared" si="175"/>
        <v>12792</v>
      </c>
      <c r="S724" s="119">
        <f t="shared" si="237"/>
        <v>-3006.6</v>
      </c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</row>
    <row r="725" spans="1:38">
      <c r="A725" s="108">
        <v>45091</v>
      </c>
      <c r="B725" s="109">
        <v>194881</v>
      </c>
      <c r="C725" s="110">
        <v>0.83799999999999997</v>
      </c>
      <c r="D725" s="109">
        <v>10950</v>
      </c>
      <c r="E725" s="115">
        <f>SUM(B724:B728)/35*30</f>
        <v>846965.14285714284</v>
      </c>
      <c r="F725" s="111" t="s">
        <v>283</v>
      </c>
      <c r="G725" s="119">
        <f t="shared" si="120"/>
        <v>2907.8</v>
      </c>
      <c r="H725" s="119">
        <f t="shared" ref="H725:H731" si="240">B725-B724</f>
        <v>-5565</v>
      </c>
      <c r="I725" s="147">
        <f t="shared" si="209"/>
        <v>36280</v>
      </c>
      <c r="J725" s="119">
        <f t="shared" ref="J725:J731" si="241">AVERAGE(B672-B620,B620-B568,B568-B516,B516-B464,B464-B413)</f>
        <v>-8480.2000000000007</v>
      </c>
      <c r="K725" s="109">
        <v>48820</v>
      </c>
      <c r="L725" s="110">
        <v>0.39600000000000002</v>
      </c>
      <c r="M725" s="109">
        <v>5800</v>
      </c>
      <c r="N725" s="115">
        <f>SUM(K724:K728)/35*30</f>
        <v>159840.85714285713</v>
      </c>
      <c r="O725" s="111" t="s">
        <v>283</v>
      </c>
      <c r="P725" s="119">
        <f t="shared" si="151"/>
        <v>-14046.8</v>
      </c>
      <c r="Q725" s="119">
        <f t="shared" ref="Q725:Q735" si="242">K725-K724</f>
        <v>14658</v>
      </c>
      <c r="R725" s="147">
        <f t="shared" si="175"/>
        <v>19138</v>
      </c>
      <c r="S725" s="119">
        <f t="shared" ref="S725:S735" si="243">AVERAGE(K672-K620,K620-K568,K568-K516,K516-K464,K464-K413)</f>
        <v>-1222.4000000000001</v>
      </c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</row>
    <row r="726" spans="1:38">
      <c r="A726" s="108">
        <v>45098</v>
      </c>
      <c r="B726" s="109">
        <v>189075</v>
      </c>
      <c r="C726" s="110">
        <v>0.81299999999999994</v>
      </c>
      <c r="D726" s="109">
        <v>10950</v>
      </c>
      <c r="E726" s="115">
        <f>SUM(B724,B725,B726,B727,B728/7*2)/30*30</f>
        <v>850398.14285714284</v>
      </c>
      <c r="F726" s="111" t="s">
        <v>284</v>
      </c>
      <c r="G726" s="119">
        <f t="shared" si="120"/>
        <v>-9790.4</v>
      </c>
      <c r="H726" s="119">
        <f t="shared" si="240"/>
        <v>-5806</v>
      </c>
      <c r="I726" s="147">
        <f t="shared" si="209"/>
        <v>50046</v>
      </c>
      <c r="J726" s="119">
        <f t="shared" si="241"/>
        <v>-4696.8</v>
      </c>
      <c r="K726" s="109">
        <v>29042</v>
      </c>
      <c r="L726" s="110">
        <v>0.24299999999999999</v>
      </c>
      <c r="M726" s="109">
        <v>5625</v>
      </c>
      <c r="N726" s="115">
        <f>SUM(K724,K725,K726,K727,K728/7*2)/30*30</f>
        <v>164289.57142857142</v>
      </c>
      <c r="O726" s="111" t="s">
        <v>284</v>
      </c>
      <c r="P726" s="119">
        <f t="shared" si="151"/>
        <v>15624</v>
      </c>
      <c r="Q726" s="119">
        <f t="shared" si="242"/>
        <v>-19778</v>
      </c>
      <c r="R726" s="147">
        <f t="shared" si="175"/>
        <v>4169</v>
      </c>
      <c r="S726" s="119">
        <f t="shared" si="243"/>
        <v>-2446.6</v>
      </c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</row>
    <row r="727" spans="1:38">
      <c r="A727" s="108">
        <v>45105</v>
      </c>
      <c r="B727" s="109">
        <v>210905</v>
      </c>
      <c r="C727" s="110">
        <v>0.90700000000000003</v>
      </c>
      <c r="D727" s="109">
        <v>10975</v>
      </c>
      <c r="E727" s="116">
        <f>E724-AVERAGE(E725:E726)</f>
        <v>-131645.64285714284</v>
      </c>
      <c r="F727" s="116" t="s">
        <v>275</v>
      </c>
      <c r="G727" s="119">
        <f t="shared" si="120"/>
        <v>-2390.1999999999998</v>
      </c>
      <c r="H727" s="119">
        <f t="shared" si="240"/>
        <v>21830</v>
      </c>
      <c r="I727" s="147">
        <f t="shared" si="209"/>
        <v>62441</v>
      </c>
      <c r="J727" s="119">
        <f t="shared" si="241"/>
        <v>-7976.2</v>
      </c>
      <c r="K727" s="109">
        <v>43389</v>
      </c>
      <c r="L727" s="110">
        <v>0.41399999999999998</v>
      </c>
      <c r="M727" s="109">
        <v>4950</v>
      </c>
      <c r="N727" s="115"/>
      <c r="O727" s="111"/>
      <c r="P727" s="119">
        <f t="shared" si="151"/>
        <v>-2085.4</v>
      </c>
      <c r="Q727" s="119">
        <f t="shared" si="242"/>
        <v>14347</v>
      </c>
      <c r="R727" s="147">
        <f t="shared" si="175"/>
        <v>-9287</v>
      </c>
      <c r="S727" s="119">
        <f t="shared" si="243"/>
        <v>-1390.4</v>
      </c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</row>
    <row r="728" spans="1:38">
      <c r="A728" s="108">
        <v>45112</v>
      </c>
      <c r="B728" s="109">
        <v>192819</v>
      </c>
      <c r="C728" s="110">
        <v>0.82900000000000007</v>
      </c>
      <c r="D728" s="109">
        <v>10975</v>
      </c>
      <c r="E728" s="115">
        <v>961683</v>
      </c>
      <c r="F728" s="111" t="s">
        <v>285</v>
      </c>
      <c r="G728" s="119">
        <f t="shared" si="120"/>
        <v>-5030.8</v>
      </c>
      <c r="H728" s="119">
        <f t="shared" si="240"/>
        <v>-18086</v>
      </c>
      <c r="I728" s="147">
        <f t="shared" si="209"/>
        <v>25479</v>
      </c>
      <c r="J728" s="119">
        <f t="shared" si="241"/>
        <v>-10589.2</v>
      </c>
      <c r="K728" s="109">
        <v>31068</v>
      </c>
      <c r="L728" s="110">
        <v>0.623</v>
      </c>
      <c r="M728" s="109">
        <v>2350</v>
      </c>
      <c r="N728" s="115"/>
      <c r="O728" s="111" t="s">
        <v>285</v>
      </c>
      <c r="P728" s="119">
        <f t="shared" si="151"/>
        <v>3694.8</v>
      </c>
      <c r="Q728" s="119">
        <f t="shared" si="242"/>
        <v>-12321</v>
      </c>
      <c r="R728" s="147">
        <f t="shared" si="175"/>
        <v>126</v>
      </c>
      <c r="S728" s="119">
        <f t="shared" si="243"/>
        <v>3406</v>
      </c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</row>
    <row r="729" spans="1:38">
      <c r="A729" s="108">
        <v>45119</v>
      </c>
      <c r="B729" s="109">
        <v>188481</v>
      </c>
      <c r="C729" s="110">
        <v>0.81099999999999994</v>
      </c>
      <c r="D729" s="109">
        <v>11025</v>
      </c>
      <c r="E729" s="115">
        <f>SUM(B728:B732)/35*31</f>
        <v>881905.7142857142</v>
      </c>
      <c r="F729" s="111" t="s">
        <v>286</v>
      </c>
      <c r="G729" s="119">
        <f t="shared" si="120"/>
        <v>13319.4</v>
      </c>
      <c r="H729" s="119">
        <f t="shared" si="240"/>
        <v>-4338</v>
      </c>
      <c r="I729" s="147">
        <f t="shared" si="209"/>
        <v>14493</v>
      </c>
      <c r="J729" s="119">
        <f t="shared" si="241"/>
        <v>-3254.6</v>
      </c>
      <c r="K729" s="109">
        <v>31210</v>
      </c>
      <c r="L729" s="110">
        <v>0.43799999999999994</v>
      </c>
      <c r="M729" s="109">
        <v>3350</v>
      </c>
      <c r="N729" s="115">
        <f>SUM(K728:K732)/35*31</f>
        <v>124223.2</v>
      </c>
      <c r="O729" s="111" t="s">
        <v>286</v>
      </c>
      <c r="P729" s="119">
        <f t="shared" si="151"/>
        <v>-7983.2</v>
      </c>
      <c r="Q729" s="119">
        <f t="shared" si="242"/>
        <v>142</v>
      </c>
      <c r="R729" s="147">
        <f t="shared" si="175"/>
        <v>-1184</v>
      </c>
      <c r="S729" s="119">
        <f t="shared" si="243"/>
        <v>2915</v>
      </c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</row>
    <row r="730" spans="1:38">
      <c r="A730" s="108">
        <v>45126</v>
      </c>
      <c r="B730" s="109">
        <v>207921</v>
      </c>
      <c r="C730" s="110">
        <v>0.89400000000000002</v>
      </c>
      <c r="D730" s="109">
        <v>11025</v>
      </c>
      <c r="E730" s="115">
        <f>SUM(B728/7*5,B729,B730,B731,B732/7*5)/31*31</f>
        <v>882599.71428571432</v>
      </c>
      <c r="F730" s="111" t="s">
        <v>287</v>
      </c>
      <c r="G730" s="119">
        <f t="shared" si="120"/>
        <v>-9438.4</v>
      </c>
      <c r="H730" s="119">
        <f t="shared" si="240"/>
        <v>19440</v>
      </c>
      <c r="I730" s="147">
        <f t="shared" si="209"/>
        <v>71589</v>
      </c>
      <c r="J730" s="119">
        <f t="shared" si="241"/>
        <v>125</v>
      </c>
      <c r="K730" s="109">
        <v>26066</v>
      </c>
      <c r="L730" s="110">
        <v>0.46399999999999997</v>
      </c>
      <c r="M730" s="109">
        <v>2650</v>
      </c>
      <c r="N730" s="115">
        <f>SUM(K728/7*5,K729,K730,K731,K732/7*2)/31*31</f>
        <v>112782.57142857143</v>
      </c>
      <c r="O730" s="111" t="s">
        <v>287</v>
      </c>
      <c r="P730" s="119">
        <f t="shared" si="151"/>
        <v>7087.4</v>
      </c>
      <c r="Q730" s="119">
        <f t="shared" si="242"/>
        <v>-5144</v>
      </c>
      <c r="R730" s="147">
        <f t="shared" si="175"/>
        <v>-17473</v>
      </c>
      <c r="S730" s="119">
        <f t="shared" si="243"/>
        <v>-963</v>
      </c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</row>
    <row r="731" spans="1:38">
      <c r="A731" s="108">
        <v>45133</v>
      </c>
      <c r="B731" s="109">
        <v>203447</v>
      </c>
      <c r="C731" s="110">
        <v>0.875</v>
      </c>
      <c r="D731" s="109">
        <v>10950</v>
      </c>
      <c r="E731" s="116">
        <f>E728-AVERAGE(E729:E730)</f>
        <v>79430.285714285681</v>
      </c>
      <c r="F731" s="116" t="s">
        <v>275</v>
      </c>
      <c r="G731" s="119">
        <f t="shared" si="120"/>
        <v>10878.8</v>
      </c>
      <c r="H731" s="119">
        <f t="shared" si="240"/>
        <v>-4474</v>
      </c>
      <c r="I731" s="147">
        <f t="shared" si="209"/>
        <v>30815</v>
      </c>
      <c r="J731" s="119">
        <f t="shared" si="241"/>
        <v>-8905.6</v>
      </c>
      <c r="K731" s="109">
        <v>25878</v>
      </c>
      <c r="L731" s="110">
        <v>0.66599999999999993</v>
      </c>
      <c r="M731" s="109">
        <v>1825</v>
      </c>
      <c r="N731" s="115"/>
      <c r="O731" s="111"/>
      <c r="P731" s="119">
        <f t="shared" si="151"/>
        <v>-16671.2</v>
      </c>
      <c r="Q731" s="119">
        <f t="shared" si="242"/>
        <v>-188</v>
      </c>
      <c r="R731" s="147">
        <f t="shared" si="175"/>
        <v>-5431</v>
      </c>
      <c r="S731" s="119">
        <f t="shared" si="243"/>
        <v>6706</v>
      </c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</row>
    <row r="732" spans="1:38">
      <c r="A732" s="108">
        <v>45140</v>
      </c>
      <c r="B732" s="109">
        <v>203032</v>
      </c>
      <c r="C732" s="110">
        <v>0.873</v>
      </c>
      <c r="D732" s="109">
        <v>10950</v>
      </c>
      <c r="E732" s="115"/>
      <c r="F732" s="111" t="s">
        <v>288</v>
      </c>
      <c r="G732" s="119">
        <f t="shared" si="120"/>
        <v>6063.8</v>
      </c>
      <c r="H732" s="119">
        <f>B732-B731</f>
        <v>-415</v>
      </c>
      <c r="I732" s="147">
        <f t="shared" si="209"/>
        <v>33752</v>
      </c>
      <c r="J732" s="119">
        <f>AVERAGE(B679-B627,B627-B575,B575-B523,B523-B471,B471-B420)</f>
        <v>-7127.2</v>
      </c>
      <c r="K732" s="109">
        <v>26030</v>
      </c>
      <c r="L732" s="110">
        <v>0.38900000000000001</v>
      </c>
      <c r="M732" s="109">
        <v>3150</v>
      </c>
      <c r="N732" s="115"/>
      <c r="O732" s="111" t="s">
        <v>288</v>
      </c>
      <c r="P732" s="119">
        <f t="shared" si="151"/>
        <v>16803.2</v>
      </c>
      <c r="Q732" s="119">
        <f t="shared" si="242"/>
        <v>152</v>
      </c>
      <c r="R732" s="147">
        <f t="shared" si="175"/>
        <v>-18878</v>
      </c>
      <c r="S732" s="119">
        <f t="shared" si="243"/>
        <v>-2982.8</v>
      </c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</row>
    <row r="733" spans="1:38">
      <c r="A733" s="108">
        <v>45147</v>
      </c>
      <c r="B733" s="109">
        <v>210244</v>
      </c>
      <c r="C733" s="110">
        <v>0.90400000000000003</v>
      </c>
      <c r="D733" s="109">
        <v>11050</v>
      </c>
      <c r="E733" s="115">
        <f>SUM(B732:B737)/42*31</f>
        <v>933029.88095238095</v>
      </c>
      <c r="F733" s="111" t="s">
        <v>289</v>
      </c>
      <c r="G733" s="119">
        <f t="shared" si="120"/>
        <v>-1441.6</v>
      </c>
      <c r="H733" s="119">
        <f t="shared" ref="H733:H735" si="244">B733-B732</f>
        <v>7212</v>
      </c>
      <c r="I733" s="147">
        <f t="shared" si="209"/>
        <v>33883</v>
      </c>
      <c r="J733" s="119">
        <f t="shared" ref="J733:J735" si="245">AVERAGE(B680-B628,B628-B576,B576-B524,B524-B472,B472-B421)</f>
        <v>-3217.2</v>
      </c>
      <c r="K733" s="109">
        <v>15995</v>
      </c>
      <c r="L733" s="110">
        <v>0.48499999999999999</v>
      </c>
      <c r="M733" s="109">
        <v>1550</v>
      </c>
      <c r="N733" s="115">
        <f>SUM(K732:K737)/42*31</f>
        <v>125147.73809523809</v>
      </c>
      <c r="O733" s="111" t="s">
        <v>289</v>
      </c>
      <c r="P733" s="119">
        <f t="shared" si="151"/>
        <v>-3464</v>
      </c>
      <c r="Q733" s="119">
        <f t="shared" si="242"/>
        <v>-10035</v>
      </c>
      <c r="R733" s="147">
        <f t="shared" si="175"/>
        <v>-20915</v>
      </c>
      <c r="S733" s="119">
        <f t="shared" si="243"/>
        <v>5517.8</v>
      </c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</row>
    <row r="734" spans="1:38">
      <c r="A734" s="108">
        <v>45154</v>
      </c>
      <c r="B734" s="109">
        <v>208613</v>
      </c>
      <c r="C734" s="110">
        <v>0.89700000000000002</v>
      </c>
      <c r="D734" s="109">
        <v>10950</v>
      </c>
      <c r="E734" s="115">
        <f>SUM(B732/7*2,B733,B734,B735,B736,B737/7*1)/31*31</f>
        <v>935956.14285714284</v>
      </c>
      <c r="F734" s="111" t="s">
        <v>290</v>
      </c>
      <c r="G734" s="119">
        <f t="shared" si="120"/>
        <v>-6281.8</v>
      </c>
      <c r="H734" s="119">
        <f t="shared" si="244"/>
        <v>-1631</v>
      </c>
      <c r="I734" s="147">
        <f t="shared" si="209"/>
        <v>51250</v>
      </c>
      <c r="J734" s="119">
        <f t="shared" si="245"/>
        <v>1910.8</v>
      </c>
      <c r="K734" s="109">
        <v>27218</v>
      </c>
      <c r="L734" s="110">
        <v>0.51900000000000002</v>
      </c>
      <c r="M734" s="109">
        <v>2475</v>
      </c>
      <c r="N734" s="115">
        <f>SUM(K732/7*2,K733,K734,K735,K736,K737/7*1)/31*31</f>
        <v>124818.42857142857</v>
      </c>
      <c r="O734" s="111" t="s">
        <v>290</v>
      </c>
      <c r="P734" s="119">
        <f t="shared" si="151"/>
        <v>-4347.6000000000004</v>
      </c>
      <c r="Q734" s="119">
        <f t="shared" si="242"/>
        <v>11223</v>
      </c>
      <c r="R734" s="147">
        <f t="shared" si="175"/>
        <v>-7314</v>
      </c>
      <c r="S734" s="119">
        <f t="shared" si="243"/>
        <v>1721.6</v>
      </c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</row>
    <row r="735" spans="1:38">
      <c r="A735" s="108">
        <v>45161</v>
      </c>
      <c r="B735" s="109">
        <v>205271</v>
      </c>
      <c r="C735" s="110">
        <v>0.88300000000000001</v>
      </c>
      <c r="D735" s="109">
        <v>10950</v>
      </c>
      <c r="E735" s="115"/>
      <c r="F735" s="111"/>
      <c r="G735" s="119">
        <f t="shared" si="120"/>
        <v>14053.2</v>
      </c>
      <c r="H735" s="119">
        <f t="shared" si="244"/>
        <v>-3342</v>
      </c>
      <c r="I735" s="147">
        <f t="shared" si="209"/>
        <v>37918</v>
      </c>
      <c r="J735" s="119">
        <f t="shared" si="245"/>
        <v>-7049.6</v>
      </c>
      <c r="K735" s="109">
        <v>41022</v>
      </c>
      <c r="L735" s="110">
        <v>0.249</v>
      </c>
      <c r="M735" s="109">
        <v>7775</v>
      </c>
      <c r="N735" s="115"/>
      <c r="O735" s="111"/>
      <c r="P735" s="119">
        <f t="shared" si="151"/>
        <v>220</v>
      </c>
      <c r="Q735" s="119">
        <f t="shared" si="242"/>
        <v>13804</v>
      </c>
      <c r="R735" s="147">
        <f t="shared" si="175"/>
        <v>18177</v>
      </c>
      <c r="S735" s="119">
        <f t="shared" si="243"/>
        <v>449.4</v>
      </c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</row>
    <row r="736" spans="1:38">
      <c r="A736" s="108">
        <v>45168</v>
      </c>
      <c r="B736" s="109">
        <v>223298</v>
      </c>
      <c r="C736" s="110">
        <v>0.96</v>
      </c>
      <c r="D736" s="109">
        <v>10950</v>
      </c>
      <c r="E736" s="111"/>
      <c r="F736" s="111"/>
      <c r="G736" s="119">
        <f t="shared" si="120"/>
        <v>-2761.4</v>
      </c>
      <c r="H736" s="119">
        <f t="shared" ref="H736:H737" si="246">B736-B735</f>
        <v>18027</v>
      </c>
      <c r="I736" s="147">
        <f t="shared" si="209"/>
        <v>41978</v>
      </c>
      <c r="J736" s="119">
        <f t="shared" ref="J736:J737" si="247">AVERAGE(B683-B631,B631-B579,B579-B527,B527-B475,B475-B424)</f>
        <v>-1128.2</v>
      </c>
      <c r="K736" s="109">
        <v>28789</v>
      </c>
      <c r="L736" s="110">
        <v>0.46799999999999997</v>
      </c>
      <c r="M736" s="109">
        <v>2900</v>
      </c>
      <c r="N736" s="115"/>
      <c r="O736" s="111"/>
      <c r="P736" s="119">
        <f t="shared" si="151"/>
        <v>3999.2</v>
      </c>
      <c r="Q736" s="119">
        <f t="shared" ref="Q736:Q737" si="248">K736-K735</f>
        <v>-12233</v>
      </c>
      <c r="R736" s="147">
        <f t="shared" si="175"/>
        <v>1996</v>
      </c>
      <c r="S736" s="119">
        <f t="shared" ref="S736:S737" si="249">AVERAGE(K683-K631,K631-K579,K579-K527,K527-K475,K475-K424)</f>
        <v>-3615.8</v>
      </c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</row>
    <row r="737" spans="1:38">
      <c r="A737" s="108">
        <v>45175</v>
      </c>
      <c r="B737" s="109">
        <v>213647</v>
      </c>
      <c r="C737" s="110">
        <v>0.91900000000000004</v>
      </c>
      <c r="D737" s="109">
        <v>10950</v>
      </c>
      <c r="E737" s="115"/>
      <c r="F737" s="111" t="s">
        <v>291</v>
      </c>
      <c r="G737" s="119">
        <f t="shared" si="120"/>
        <v>-7744</v>
      </c>
      <c r="H737" s="119">
        <f t="shared" si="246"/>
        <v>-9651</v>
      </c>
      <c r="I737" s="147">
        <f t="shared" si="209"/>
        <v>40534</v>
      </c>
      <c r="J737" s="119">
        <f t="shared" si="247"/>
        <v>-138.19999999999999</v>
      </c>
      <c r="K737" s="109">
        <v>30501</v>
      </c>
      <c r="L737" s="110">
        <v>0.53900000000000003</v>
      </c>
      <c r="M737" s="109">
        <v>2675</v>
      </c>
      <c r="N737" s="115"/>
      <c r="O737" s="111" t="s">
        <v>291</v>
      </c>
      <c r="P737" s="119">
        <f t="shared" si="151"/>
        <v>-3871</v>
      </c>
      <c r="Q737" s="119">
        <f t="shared" si="248"/>
        <v>1712</v>
      </c>
      <c r="R737" s="147">
        <f t="shared" si="175"/>
        <v>11696</v>
      </c>
      <c r="S737" s="119">
        <f t="shared" si="249"/>
        <v>-35.4</v>
      </c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</row>
    <row r="738" spans="1:38">
      <c r="A738" s="108">
        <v>45182</v>
      </c>
      <c r="B738" s="109">
        <v>188733</v>
      </c>
      <c r="C738" s="110">
        <v>0.81200000000000006</v>
      </c>
      <c r="D738" s="109">
        <v>10950</v>
      </c>
      <c r="E738" s="115">
        <f>SUM(B737:B741)/35*30</f>
        <v>773125.7142857142</v>
      </c>
      <c r="F738" s="111" t="s">
        <v>292</v>
      </c>
      <c r="G738" s="119">
        <f t="shared" si="120"/>
        <v>-8646.4</v>
      </c>
      <c r="H738" s="119">
        <f t="shared" ref="H738" si="250">B738-B737</f>
        <v>-24914</v>
      </c>
      <c r="I738" s="147">
        <f t="shared" si="209"/>
        <v>50327</v>
      </c>
      <c r="J738" s="119">
        <f t="shared" ref="J738" si="251">AVERAGE(B685-B633,B633-B581,B581-B529,B529-B477,B477-B426)</f>
        <v>5300.6</v>
      </c>
      <c r="K738" s="109">
        <v>43816</v>
      </c>
      <c r="L738" s="110">
        <v>0.45799999999999996</v>
      </c>
      <c r="M738" s="109">
        <v>4500</v>
      </c>
      <c r="N738" s="115">
        <f>SUM(K737:K741)/35*30</f>
        <v>142284.85714285713</v>
      </c>
      <c r="O738" s="111" t="s">
        <v>292</v>
      </c>
      <c r="P738" s="119">
        <f t="shared" si="151"/>
        <v>-2194.1999999999998</v>
      </c>
      <c r="Q738" s="119">
        <f t="shared" ref="Q738" si="252">K738-K737</f>
        <v>13315</v>
      </c>
      <c r="R738" s="147">
        <f t="shared" si="175"/>
        <v>2309</v>
      </c>
      <c r="S738" s="119">
        <f t="shared" ref="S738" si="253">AVERAGE(K685-K633,K633-K581,K581-K529,K529-K477,K477-K426)</f>
        <v>-1806.8</v>
      </c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</row>
    <row r="739" spans="1:38">
      <c r="A739" s="108">
        <v>45189</v>
      </c>
      <c r="B739" s="109">
        <v>175885</v>
      </c>
      <c r="C739" s="110">
        <v>0.75599999999999989</v>
      </c>
      <c r="D739" s="109">
        <f>IF(B739="","",IF(C739="","",MROUND((B739/C739)/(A739-A738)*330/1000,25)))</f>
        <v>10975</v>
      </c>
      <c r="E739" s="115">
        <f>SUM(B737/7*6,B738,B739,B740,B741/7*3)/30*30</f>
        <v>772752.14285714284</v>
      </c>
      <c r="F739" s="111" t="s">
        <v>293</v>
      </c>
      <c r="G739" s="119">
        <f t="shared" si="120"/>
        <v>4263.2</v>
      </c>
      <c r="H739" s="119">
        <f t="shared" ref="H739:H744" si="254">B739-B738</f>
        <v>-12848</v>
      </c>
      <c r="I739" s="147">
        <f t="shared" si="209"/>
        <v>24305</v>
      </c>
      <c r="J739" s="119">
        <f t="shared" ref="J739:J744" si="255">AVERAGE(B686-B634,B634-B582,B582-B530,B530-B478,B478-B427)</f>
        <v>-6330.2</v>
      </c>
      <c r="K739" s="109">
        <v>25613</v>
      </c>
      <c r="L739" s="110">
        <v>0.6409999999999999</v>
      </c>
      <c r="M739" s="109">
        <v>1875</v>
      </c>
      <c r="N739" s="115">
        <f>SUM(K737/7*6,K738,K739,K740,K741/7*3)/30*30</f>
        <v>142129.14285714287</v>
      </c>
      <c r="O739" s="111" t="s">
        <v>293</v>
      </c>
      <c r="P739" s="119">
        <f t="shared" si="151"/>
        <v>3896.2</v>
      </c>
      <c r="Q739" s="119">
        <f t="shared" ref="Q739:Q744" si="256">K739-K738</f>
        <v>-18203</v>
      </c>
      <c r="R739" s="147">
        <f t="shared" si="175"/>
        <v>-5531</v>
      </c>
      <c r="S739" s="119">
        <f t="shared" ref="S739:S744" si="257">AVERAGE(K686-K634,K634-K582,K582-K530,K530-K478,K478-K427)</f>
        <v>2049.4</v>
      </c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</row>
    <row r="740" spans="1:38">
      <c r="A740" s="108">
        <v>45196</v>
      </c>
      <c r="B740" s="109">
        <v>150978</v>
      </c>
      <c r="C740" s="110">
        <v>0.64900000000000002</v>
      </c>
      <c r="D740" s="109">
        <f>IF(B740="","",IF(C740="","",MROUND((B740/C740)/(A740-A739)*330/1000,25)))</f>
        <v>10975</v>
      </c>
      <c r="E740" s="111"/>
      <c r="F740" s="111"/>
      <c r="G740" s="119">
        <f t="shared" ref="G740:G741" si="258">AVERAGE(B688-B687,B636-B635,B584-B583,B532-B531,B480-B479)</f>
        <v>-15405.4</v>
      </c>
      <c r="H740" s="119">
        <f t="shared" si="254"/>
        <v>-24907</v>
      </c>
      <c r="I740" s="147">
        <f t="shared" si="209"/>
        <v>20879</v>
      </c>
      <c r="J740" s="119">
        <f t="shared" si="255"/>
        <v>356</v>
      </c>
      <c r="K740" s="109">
        <v>31922</v>
      </c>
      <c r="L740" s="110">
        <v>0.46600000000000003</v>
      </c>
      <c r="M740" s="109">
        <v>3225</v>
      </c>
      <c r="N740" s="115"/>
      <c r="O740" s="111"/>
      <c r="P740" s="119">
        <f t="shared" si="151"/>
        <v>3140.8</v>
      </c>
      <c r="Q740" s="119">
        <f t="shared" si="256"/>
        <v>6309</v>
      </c>
      <c r="R740" s="147">
        <f t="shared" si="175"/>
        <v>-6048</v>
      </c>
      <c r="S740" s="119">
        <f t="shared" si="257"/>
        <v>-3437.4</v>
      </c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</row>
    <row r="741" spans="1:38">
      <c r="A741" s="108">
        <v>45203</v>
      </c>
      <c r="B741" s="109">
        <v>172737</v>
      </c>
      <c r="C741" s="110">
        <v>0.73799999999999999</v>
      </c>
      <c r="D741" s="109">
        <f>IF(B741="","",IF(C741="","",MROUND((B741/C741)/(A741-A740)*330/1000,25)))</f>
        <v>11025</v>
      </c>
      <c r="E741" s="115"/>
      <c r="F741" s="111" t="s">
        <v>294</v>
      </c>
      <c r="G741" s="119">
        <f t="shared" si="258"/>
        <v>6773.2</v>
      </c>
      <c r="H741" s="119">
        <f t="shared" si="254"/>
        <v>21759</v>
      </c>
      <c r="I741" s="147">
        <f t="shared" si="209"/>
        <v>55237</v>
      </c>
      <c r="J741" s="119">
        <f t="shared" si="255"/>
        <v>-5799.8</v>
      </c>
      <c r="K741" s="109">
        <v>34147</v>
      </c>
      <c r="L741" s="113" t="e">
        <f ca="1">_xll.RHistory("CA-SOYCAP-COPA","NDA_RAW.Nda_last","START:"&amp;$A741&amp;" END:"&amp;$A741&amp;" INTERVAL:1W",,,)/100</f>
        <v>#NAME?</v>
      </c>
      <c r="M741" s="109">
        <v>3550</v>
      </c>
      <c r="N741" s="115"/>
      <c r="O741" s="111" t="s">
        <v>294</v>
      </c>
      <c r="P741" s="119">
        <f t="shared" si="151"/>
        <v>4216.8</v>
      </c>
      <c r="Q741" s="119">
        <f t="shared" si="256"/>
        <v>2225</v>
      </c>
      <c r="R741" s="147">
        <f t="shared" si="175"/>
        <v>-3482</v>
      </c>
      <c r="S741" s="119">
        <f t="shared" si="257"/>
        <v>1116.4000000000001</v>
      </c>
      <c r="T741" s="111"/>
      <c r="U741" s="111"/>
      <c r="V741" s="108">
        <v>45126</v>
      </c>
      <c r="W741" s="111">
        <v>208471</v>
      </c>
      <c r="X741" s="111">
        <v>0.8909999999999999</v>
      </c>
      <c r="Y741" s="111"/>
      <c r="Z741" s="115">
        <v>207921</v>
      </c>
      <c r="AA741" s="115">
        <f t="shared" ref="AA741:AA749" si="259">Z741-W741</f>
        <v>-550</v>
      </c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</row>
    <row r="742" spans="1:38">
      <c r="A742" s="108">
        <v>45210</v>
      </c>
      <c r="B742" s="109">
        <v>179598</v>
      </c>
      <c r="C742" s="110">
        <v>0.76700000000000002</v>
      </c>
      <c r="D742" s="109">
        <f>IF(B742="","",IF(C742="","",MROUND((B742/C742)/(A742-A741)*330/1000,25)))</f>
        <v>11050</v>
      </c>
      <c r="E742" s="115">
        <f>SUM(B740:B745)/42*31</f>
        <v>847703.85714285716</v>
      </c>
      <c r="F742" s="111" t="s">
        <v>295</v>
      </c>
      <c r="G742" s="119">
        <f>AVERAGE(B690-B689,B638-B637,B586-B585,B534-B533,B482-B481)</f>
        <v>1587.4</v>
      </c>
      <c r="H742" s="119">
        <f t="shared" si="254"/>
        <v>6861</v>
      </c>
      <c r="I742" s="147">
        <f t="shared" si="209"/>
        <v>30866</v>
      </c>
      <c r="J742" s="119">
        <f t="shared" si="255"/>
        <v>-4313.8</v>
      </c>
      <c r="K742" s="109">
        <v>16370</v>
      </c>
      <c r="L742" s="113" t="e">
        <f ca="1">_xll.RHistory("CA-SOYCAP-COPA","NDA_RAW.Nda_last","START:"&amp;$A742&amp;" END:"&amp;$A742&amp;" INTERVAL:1W",,,)/100</f>
        <v>#NAME?</v>
      </c>
      <c r="M742" s="109">
        <v>1025</v>
      </c>
      <c r="N742" s="115">
        <f>SUM(K740:K745)/42*31</f>
        <v>131967.73809523808</v>
      </c>
      <c r="O742" s="111" t="s">
        <v>295</v>
      </c>
      <c r="P742" s="119">
        <f t="shared" ref="P742:P773" si="260">AVERAGE(K690-K689,K638-K637,K586-K585,K534-K533,K482-K481)</f>
        <v>-2528.4</v>
      </c>
      <c r="Q742" s="119">
        <f t="shared" si="256"/>
        <v>-17777</v>
      </c>
      <c r="R742" s="147">
        <f t="shared" si="175"/>
        <v>-24706</v>
      </c>
      <c r="S742" s="119">
        <f t="shared" si="257"/>
        <v>-893</v>
      </c>
      <c r="T742" s="111"/>
      <c r="U742" s="111"/>
      <c r="V742" s="108">
        <v>45133</v>
      </c>
      <c r="W742" s="111">
        <v>157788</v>
      </c>
      <c r="X742" s="111">
        <v>0.67900000000000005</v>
      </c>
      <c r="Y742" s="111"/>
      <c r="Z742" s="115">
        <v>203447</v>
      </c>
      <c r="AA742" s="115">
        <f t="shared" si="259"/>
        <v>45659</v>
      </c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</row>
    <row r="743" spans="1:38">
      <c r="A743" s="108">
        <v>45217</v>
      </c>
      <c r="B743" s="109">
        <v>218455</v>
      </c>
      <c r="C743" s="113">
        <v>0.93299999999999994</v>
      </c>
      <c r="D743" s="109">
        <f t="shared" ref="D743:D761" si="261">IF(B743="","",IF(C743="","",MROUND((B743/C743)/(A743-A742)*330/1000,25)))</f>
        <v>11050</v>
      </c>
      <c r="E743" s="115">
        <f>SUM(B741/7*3,B742,B743,B744,B745/7*6)/31*31</f>
        <v>869352.42857142852</v>
      </c>
      <c r="F743" s="111" t="s">
        <v>296</v>
      </c>
      <c r="G743" s="119">
        <f t="shared" ref="G743:G793" si="262">AVERAGE(B691-B690,B639-B638,B587-B586,B535-B534,B483-B482)</f>
        <v>9979.6</v>
      </c>
      <c r="H743" s="119">
        <f t="shared" si="254"/>
        <v>38857</v>
      </c>
      <c r="I743" s="147">
        <f t="shared" ref="I743:I758" si="263">B743-B691</f>
        <v>78013</v>
      </c>
      <c r="J743" s="119">
        <f t="shared" si="255"/>
        <v>-2128</v>
      </c>
      <c r="K743" s="109">
        <v>30777</v>
      </c>
      <c r="L743" s="113" t="e">
        <f ca="1">_xll.RHistory("CA-SOYCAP-COPA","NDA_RAW.Nda_last","START:"&amp;$A743&amp;" END:"&amp;$A743&amp;" INTERVAL:1W",,,)/100</f>
        <v>#NAME?</v>
      </c>
      <c r="M743" s="109">
        <v>3325</v>
      </c>
      <c r="N743" s="115">
        <f>SUM(K741/7*3,K742,K743,K744,K745/7*6)/31*31</f>
        <v>123054.85714285716</v>
      </c>
      <c r="O743" s="111" t="s">
        <v>296</v>
      </c>
      <c r="P743" s="119">
        <f t="shared" si="260"/>
        <v>2884.8</v>
      </c>
      <c r="Q743" s="119">
        <f t="shared" si="256"/>
        <v>14407</v>
      </c>
      <c r="R743" s="147">
        <f t="shared" si="175"/>
        <v>-1138</v>
      </c>
      <c r="S743" s="119">
        <f t="shared" si="257"/>
        <v>954.8</v>
      </c>
      <c r="T743" s="111"/>
      <c r="U743" s="111"/>
      <c r="V743" s="108">
        <v>45140</v>
      </c>
      <c r="W743" s="111">
        <v>138042</v>
      </c>
      <c r="X743" s="111">
        <v>0.59399999999999997</v>
      </c>
      <c r="Y743" s="111"/>
      <c r="Z743" s="115">
        <v>203032</v>
      </c>
      <c r="AA743" s="115">
        <f t="shared" si="259"/>
        <v>64990</v>
      </c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</row>
    <row r="744" spans="1:38">
      <c r="A744" s="108">
        <v>45224</v>
      </c>
      <c r="B744" s="109">
        <v>220481</v>
      </c>
      <c r="C744" s="113">
        <v>0.94200000000000006</v>
      </c>
      <c r="D744" s="109">
        <f t="shared" si="261"/>
        <v>11025</v>
      </c>
      <c r="E744" s="115"/>
      <c r="F744" s="111"/>
      <c r="G744" s="119">
        <f t="shared" si="262"/>
        <v>-11236.8</v>
      </c>
      <c r="H744" s="119">
        <f t="shared" si="254"/>
        <v>2026</v>
      </c>
      <c r="I744" s="147">
        <f t="shared" si="263"/>
        <v>49527</v>
      </c>
      <c r="J744" s="119">
        <f t="shared" si="255"/>
        <v>-6572.8</v>
      </c>
      <c r="K744" s="109">
        <v>35440</v>
      </c>
      <c r="L744" s="113" t="e">
        <f ca="1">_xll.RHistory("CA-SOYCAP-COPA","NDA_RAW.Nda_last","START:"&amp;$A744&amp;" END:"&amp;$A744&amp;" INTERVAL:1W",,,)/100</f>
        <v>#NAME?</v>
      </c>
      <c r="M744" s="109">
        <v>3175</v>
      </c>
      <c r="N744" s="115"/>
      <c r="O744" s="111"/>
      <c r="P744" s="119">
        <f t="shared" si="260"/>
        <v>-467.6</v>
      </c>
      <c r="Q744" s="119">
        <f t="shared" si="256"/>
        <v>4663</v>
      </c>
      <c r="R744" s="147">
        <f t="shared" si="175"/>
        <v>-6586</v>
      </c>
      <c r="S744" s="119">
        <f t="shared" si="257"/>
        <v>-4184.3999999999996</v>
      </c>
      <c r="T744" s="111"/>
      <c r="U744" s="111"/>
      <c r="V744" s="108">
        <v>45147</v>
      </c>
      <c r="W744" s="111">
        <v>209550</v>
      </c>
      <c r="X744" s="111">
        <v>0.89500000000000002</v>
      </c>
      <c r="Y744" s="111"/>
      <c r="Z744" s="115">
        <v>210244</v>
      </c>
      <c r="AA744" s="115">
        <f t="shared" si="259"/>
        <v>694</v>
      </c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</row>
    <row r="745" spans="1:38">
      <c r="A745" s="108">
        <v>45231</v>
      </c>
      <c r="B745" s="109">
        <v>206253</v>
      </c>
      <c r="C745" s="113">
        <v>0.88099999999999989</v>
      </c>
      <c r="D745" s="109">
        <f t="shared" si="261"/>
        <v>11025</v>
      </c>
      <c r="E745" s="115"/>
      <c r="F745" s="111" t="s">
        <v>297</v>
      </c>
      <c r="G745" s="119">
        <f t="shared" si="262"/>
        <v>9463.4</v>
      </c>
      <c r="H745" s="119">
        <f>B745-B744</f>
        <v>-14228</v>
      </c>
      <c r="I745" s="147">
        <f t="shared" si="263"/>
        <v>37022</v>
      </c>
      <c r="J745" s="119">
        <f>AVERAGE(B692-B640,B640-B588,B588-B536,B536-B484,B484-B433)</f>
        <v>-492.6</v>
      </c>
      <c r="K745" s="109">
        <v>30139</v>
      </c>
      <c r="L745" s="113" t="e">
        <f ca="1">_xll.RHistory("CA-SOYCAP-COPA","NDA_RAW.Nda_last","START:"&amp;$A745&amp;" END:"&amp;$A745&amp;" INTERVAL:1W",,,)/100</f>
        <v>#NAME?</v>
      </c>
      <c r="M745" s="109">
        <v>2300</v>
      </c>
      <c r="N745" s="115"/>
      <c r="O745" s="111" t="s">
        <v>297</v>
      </c>
      <c r="P745" s="119">
        <f t="shared" si="260"/>
        <v>767.2</v>
      </c>
      <c r="Q745" s="119">
        <f>K745-K744</f>
        <v>-5301</v>
      </c>
      <c r="R745" s="147">
        <f t="shared" si="175"/>
        <v>550</v>
      </c>
      <c r="S745" s="119">
        <f>AVERAGE(K692-K640,K640-K588,K588-K536,K536-K484,K484-K433)</f>
        <v>2036.2</v>
      </c>
      <c r="T745" s="111"/>
      <c r="U745" s="111"/>
      <c r="V745" s="108">
        <v>45154</v>
      </c>
      <c r="W745" s="111">
        <v>213647</v>
      </c>
      <c r="X745" s="111">
        <v>0.91900000000000004</v>
      </c>
      <c r="Y745" s="111"/>
      <c r="Z745" s="115">
        <v>208613</v>
      </c>
      <c r="AA745" s="115">
        <f t="shared" si="259"/>
        <v>-5034</v>
      </c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</row>
    <row r="746" spans="1:38">
      <c r="A746" s="108">
        <v>45238</v>
      </c>
      <c r="B746" s="109">
        <v>205826</v>
      </c>
      <c r="C746" s="113">
        <v>0.879</v>
      </c>
      <c r="D746" s="109">
        <f t="shared" si="261"/>
        <v>11050</v>
      </c>
      <c r="E746" s="115">
        <f>SUM(B745:B750)/42*30</f>
        <v>895897.14285714284</v>
      </c>
      <c r="F746" s="111" t="s">
        <v>298</v>
      </c>
      <c r="G746" s="119">
        <f t="shared" si="262"/>
        <v>-5037.3999999999996</v>
      </c>
      <c r="H746" s="119">
        <f>B746-B745</f>
        <v>-427</v>
      </c>
      <c r="I746" s="147">
        <f t="shared" si="263"/>
        <v>54304</v>
      </c>
      <c r="J746" s="119">
        <f>AVERAGE(B693-B641,B641-B589,B589-B537,B537-B485,B485-B434)</f>
        <v>-851.8</v>
      </c>
      <c r="K746" s="109">
        <v>42190</v>
      </c>
      <c r="L746" s="113">
        <v>0.45799999999999996</v>
      </c>
      <c r="M746" s="109">
        <v>4350</v>
      </c>
      <c r="N746" s="115">
        <f>SUM(K744:K749)/42*31</f>
        <v>160659.71428571429</v>
      </c>
      <c r="O746" s="111" t="s">
        <v>298</v>
      </c>
      <c r="P746" s="119">
        <f t="shared" si="260"/>
        <v>-1042.2</v>
      </c>
      <c r="Q746" s="119">
        <f>K746-K745</f>
        <v>12051</v>
      </c>
      <c r="R746" s="147">
        <f t="shared" si="175"/>
        <v>-2059</v>
      </c>
      <c r="S746" s="119">
        <f>AVERAGE(K693-K641,K641-K589,K589-K537,K537-K485,K485-K434)</f>
        <v>-4264</v>
      </c>
      <c r="T746" s="111"/>
      <c r="U746" s="111"/>
      <c r="V746" s="108">
        <v>45161</v>
      </c>
      <c r="W746" s="111">
        <v>188733</v>
      </c>
      <c r="X746" s="111">
        <v>0.81200000000000006</v>
      </c>
      <c r="Y746" s="111"/>
      <c r="Z746" s="115">
        <v>205271</v>
      </c>
      <c r="AA746" s="115">
        <f t="shared" si="259"/>
        <v>16538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</row>
    <row r="747" spans="1:38">
      <c r="A747" s="108">
        <v>45245</v>
      </c>
      <c r="B747" s="109">
        <v>205645</v>
      </c>
      <c r="C747" s="113">
        <v>0.878</v>
      </c>
      <c r="D747" s="109">
        <f t="shared" si="261"/>
        <v>11050</v>
      </c>
      <c r="E747" s="115">
        <f>SUM(B745/7*1,B746,B747,B748,B749,B750/7*1)/30*30</f>
        <v>895116.57142857148</v>
      </c>
      <c r="F747" s="111" t="s">
        <v>299</v>
      </c>
      <c r="G747" s="119">
        <f t="shared" si="262"/>
        <v>4458.2</v>
      </c>
      <c r="H747" s="119">
        <f>B747-B746</f>
        <v>-181</v>
      </c>
      <c r="I747" s="147">
        <f t="shared" si="263"/>
        <v>89762</v>
      </c>
      <c r="J747" s="119">
        <f>AVERAGE(B694-B642,B642-B590,B590-B538,B538-B486,B486-B435)</f>
        <v>-6646.8</v>
      </c>
      <c r="K747" s="109">
        <v>30678</v>
      </c>
      <c r="L747" s="113">
        <v>0.66900000000000004</v>
      </c>
      <c r="M747" s="109">
        <v>2150</v>
      </c>
      <c r="N747" s="115">
        <f>SUM(K745/7*3,K746,K747,K748,K749/7*6)/31*31</f>
        <v>157968</v>
      </c>
      <c r="O747" s="111" t="s">
        <v>299</v>
      </c>
      <c r="P747" s="119">
        <f t="shared" si="260"/>
        <v>-4045.8</v>
      </c>
      <c r="Q747" s="119">
        <f>K747-K746</f>
        <v>-11512</v>
      </c>
      <c r="R747" s="147">
        <f t="shared" si="175"/>
        <v>364</v>
      </c>
      <c r="S747" s="119">
        <f>AVERAGE(K694-K642,K642-K590,K590-K538,K538-K486,K486-K435)</f>
        <v>2388</v>
      </c>
      <c r="T747" s="111"/>
      <c r="U747" s="111"/>
      <c r="V747" s="108">
        <v>45168</v>
      </c>
      <c r="W747" s="111">
        <v>223298</v>
      </c>
      <c r="X747" s="111">
        <v>0.96</v>
      </c>
      <c r="Y747" s="111"/>
      <c r="Z747" s="115">
        <v>223298</v>
      </c>
      <c r="AA747" s="115">
        <f t="shared" si="259"/>
        <v>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</row>
    <row r="748" spans="1:38">
      <c r="A748" s="108">
        <v>45252</v>
      </c>
      <c r="B748" s="109">
        <v>216902</v>
      </c>
      <c r="C748" s="113">
        <v>0.92700000000000005</v>
      </c>
      <c r="D748" s="109">
        <f t="shared" si="261"/>
        <v>11025</v>
      </c>
      <c r="E748" s="115"/>
      <c r="F748" s="111"/>
      <c r="G748" s="119">
        <f t="shared" si="262"/>
        <v>2449</v>
      </c>
      <c r="H748" s="119">
        <f>B748-B747</f>
        <v>11257</v>
      </c>
      <c r="I748" s="147">
        <f t="shared" si="263"/>
        <v>38009</v>
      </c>
      <c r="J748" s="119">
        <f>AVERAGE(B695-B643,B643-B591,B591-B539,B539-B487,B487-B436)</f>
        <v>-9541</v>
      </c>
      <c r="K748" s="109">
        <v>29957</v>
      </c>
      <c r="L748" s="113">
        <v>0.38100000000000001</v>
      </c>
      <c r="M748" s="109">
        <v>3700</v>
      </c>
      <c r="N748" s="115"/>
      <c r="O748" s="111"/>
      <c r="P748" s="119">
        <f t="shared" si="260"/>
        <v>6859</v>
      </c>
      <c r="Q748" s="119">
        <f>K748-K747</f>
        <v>-721</v>
      </c>
      <c r="R748" s="147">
        <f t="shared" si="175"/>
        <v>-11060</v>
      </c>
      <c r="S748" s="119">
        <f>AVERAGE(K695-K643,K643-K591,K591-K539,K539-K487,K487-K436)</f>
        <v>-4164.2</v>
      </c>
      <c r="T748" s="111"/>
      <c r="U748" s="111"/>
      <c r="V748" s="108">
        <v>45175</v>
      </c>
      <c r="W748" s="111">
        <v>213647</v>
      </c>
      <c r="X748" s="111">
        <v>0.91900000000000004</v>
      </c>
      <c r="Y748" s="111"/>
      <c r="Z748" s="115">
        <v>213647</v>
      </c>
      <c r="AA748" s="115">
        <f t="shared" si="259"/>
        <v>0</v>
      </c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</row>
    <row r="749" spans="1:38">
      <c r="A749" s="108">
        <v>45259</v>
      </c>
      <c r="B749" s="109">
        <v>206887</v>
      </c>
      <c r="C749" s="113">
        <v>0.88400000000000001</v>
      </c>
      <c r="D749" s="109">
        <f t="shared" si="261"/>
        <v>11025</v>
      </c>
      <c r="E749" s="115"/>
      <c r="F749" s="111"/>
      <c r="G749" s="119">
        <f t="shared" si="262"/>
        <v>-94.2</v>
      </c>
      <c r="H749" s="119">
        <f t="shared" ref="H749:H750" si="264">B749-B748</f>
        <v>-10015</v>
      </c>
      <c r="I749" s="147">
        <f t="shared" si="263"/>
        <v>17754</v>
      </c>
      <c r="J749" s="119">
        <f t="shared" ref="J749:J750" si="265">AVERAGE(B696-B644,B644-B592,B592-B540,B540-B488,B488-B437)</f>
        <v>902.2</v>
      </c>
      <c r="K749" s="109">
        <v>49264</v>
      </c>
      <c r="L749" s="113">
        <v>0.71099999999999997</v>
      </c>
      <c r="M749" s="109">
        <v>3275</v>
      </c>
      <c r="N749" s="115"/>
      <c r="O749" s="111"/>
      <c r="P749" s="119">
        <f t="shared" si="260"/>
        <v>-4655.6000000000004</v>
      </c>
      <c r="Q749" s="119">
        <f t="shared" ref="Q749:Q750" si="266">K749-K748</f>
        <v>19307</v>
      </c>
      <c r="R749" s="147">
        <f t="shared" si="175"/>
        <v>16949</v>
      </c>
      <c r="S749" s="119">
        <f t="shared" ref="S749:S750" si="267">AVERAGE(K696-K644,K644-K592,K592-K540,K540-K488,K488-K437)</f>
        <v>1650.8</v>
      </c>
      <c r="T749" s="111"/>
      <c r="U749" s="111"/>
      <c r="V749" s="108">
        <v>45182</v>
      </c>
      <c r="W749" s="111">
        <v>188733</v>
      </c>
      <c r="X749" s="111">
        <v>0.81200000000000006</v>
      </c>
      <c r="Y749" s="111"/>
      <c r="Z749" s="115">
        <v>188733</v>
      </c>
      <c r="AA749" s="115">
        <f t="shared" si="259"/>
        <v>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</row>
    <row r="750" spans="1:38">
      <c r="A750" s="108">
        <v>45266</v>
      </c>
      <c r="B750" s="109">
        <v>212743</v>
      </c>
      <c r="C750" s="113">
        <v>0.90900000000000003</v>
      </c>
      <c r="D750" s="109">
        <f t="shared" si="261"/>
        <v>11025</v>
      </c>
      <c r="E750" s="115"/>
      <c r="F750" s="111" t="s">
        <v>300</v>
      </c>
      <c r="G750" s="119">
        <f t="shared" si="262"/>
        <v>-3851</v>
      </c>
      <c r="H750" s="119">
        <f t="shared" si="264"/>
        <v>5856</v>
      </c>
      <c r="I750" s="147">
        <f t="shared" si="263"/>
        <v>38190</v>
      </c>
      <c r="J750" s="119">
        <f t="shared" si="265"/>
        <v>9517.7999999999993</v>
      </c>
      <c r="K750" s="109">
        <v>28696</v>
      </c>
      <c r="L750" s="113">
        <v>0.66</v>
      </c>
      <c r="M750" s="109">
        <v>2050</v>
      </c>
      <c r="N750" s="115"/>
      <c r="O750" s="111" t="s">
        <v>300</v>
      </c>
      <c r="P750" s="119">
        <f t="shared" si="260"/>
        <v>2725</v>
      </c>
      <c r="Q750" s="119">
        <f t="shared" si="266"/>
        <v>-20568</v>
      </c>
      <c r="R750" s="147">
        <f t="shared" si="175"/>
        <v>-8809</v>
      </c>
      <c r="S750" s="119">
        <f t="shared" si="267"/>
        <v>-3542</v>
      </c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</row>
    <row r="751" spans="1:38">
      <c r="A751" s="108">
        <v>45273</v>
      </c>
      <c r="B751" s="109">
        <v>204674</v>
      </c>
      <c r="C751" s="113">
        <v>0.87400000000000011</v>
      </c>
      <c r="D751" s="109">
        <f t="shared" si="261"/>
        <v>11050</v>
      </c>
      <c r="E751" s="115">
        <f>SUM(B750:B754)/35*31</f>
        <v>920593.7142857142</v>
      </c>
      <c r="F751" s="111" t="s">
        <v>301</v>
      </c>
      <c r="G751" s="119">
        <f t="shared" si="262"/>
        <v>15357.8</v>
      </c>
      <c r="H751" s="119">
        <f t="shared" ref="H751" si="268">B751-B750</f>
        <v>-8069</v>
      </c>
      <c r="I751" s="147">
        <f t="shared" si="263"/>
        <v>33641</v>
      </c>
      <c r="J751" s="119">
        <f t="shared" ref="J751" si="269">AVERAGE(B698-B646,B646-B594,B594-B542,B542-B490,B490-B439)</f>
        <v>-5424.8</v>
      </c>
      <c r="K751" s="109">
        <v>34556</v>
      </c>
      <c r="L751" s="113">
        <v>0.47700000000000004</v>
      </c>
      <c r="M751" s="109">
        <v>3425</v>
      </c>
      <c r="N751" s="115">
        <f>SUM(K750:K754)/35*31</f>
        <v>150172.85714285716</v>
      </c>
      <c r="O751" s="111" t="s">
        <v>301</v>
      </c>
      <c r="P751" s="119">
        <f t="shared" si="260"/>
        <v>-2871.2</v>
      </c>
      <c r="Q751" s="119">
        <f t="shared" ref="Q751" si="270">K751-K750</f>
        <v>5860</v>
      </c>
      <c r="R751" s="147">
        <f t="shared" si="175"/>
        <v>-4124</v>
      </c>
      <c r="S751" s="119">
        <f t="shared" ref="S751" si="271">AVERAGE(K698-K646,K646-K594,K594-K542,K542-K490,K490-K439)</f>
        <v>1292.5999999999999</v>
      </c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</row>
    <row r="752" spans="1:38">
      <c r="A752" s="108">
        <v>45280</v>
      </c>
      <c r="B752" s="109">
        <v>203041</v>
      </c>
      <c r="C752" s="113">
        <v>0.86699999999999999</v>
      </c>
      <c r="D752" s="109">
        <f t="shared" si="261"/>
        <v>11050</v>
      </c>
      <c r="E752" s="115">
        <f>SUM(B750/7*6,B751,B752,B753,B754/7*5)/31*31</f>
        <v>948737</v>
      </c>
      <c r="F752" s="111" t="s">
        <v>302</v>
      </c>
      <c r="G752" s="119">
        <f t="shared" si="262"/>
        <v>-25636.2</v>
      </c>
      <c r="H752" s="119">
        <f t="shared" ref="H752:H753" si="272">B752-B751</f>
        <v>-1633</v>
      </c>
      <c r="I752" s="147">
        <f t="shared" si="263"/>
        <v>51368</v>
      </c>
      <c r="J752" s="119">
        <f t="shared" ref="J752:J753" si="273">AVERAGE(B699-B647,B647-B595,B595-B543,B543-B491,B491-B440)</f>
        <v>2833.4</v>
      </c>
      <c r="K752" s="119">
        <v>27705</v>
      </c>
      <c r="L752" s="113">
        <v>0.68599999999999994</v>
      </c>
      <c r="M752" s="109">
        <v>1900</v>
      </c>
      <c r="N752" s="115">
        <f>SUM(K750/7*6,K751,K752,K753,K754/7*5)/31*31</f>
        <v>154222.85714285713</v>
      </c>
      <c r="O752" s="111" t="s">
        <v>302</v>
      </c>
      <c r="P752" s="119">
        <f t="shared" si="260"/>
        <v>-2186.6</v>
      </c>
      <c r="Q752" s="119">
        <f t="shared" ref="Q752:Q753" si="274">K752-K751</f>
        <v>-6851</v>
      </c>
      <c r="R752" s="147">
        <f t="shared" si="175"/>
        <v>-4124</v>
      </c>
      <c r="S752" s="119">
        <f t="shared" ref="S752:S753" si="275">AVERAGE(K699-K647,K647-K595,K595-K543,K543-K491,K491-K440)</f>
        <v>-1458.8</v>
      </c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</row>
    <row r="753" spans="1:38">
      <c r="A753" s="108">
        <v>45287</v>
      </c>
      <c r="B753" s="109">
        <v>208043</v>
      </c>
      <c r="C753" s="113">
        <v>0.88900000000000001</v>
      </c>
      <c r="D753" s="109">
        <f t="shared" si="261"/>
        <v>11025</v>
      </c>
      <c r="E753" s="115"/>
      <c r="F753" s="111"/>
      <c r="G753" s="119">
        <f t="shared" si="262"/>
        <v>9246.7999999999993</v>
      </c>
      <c r="H753" s="119">
        <f t="shared" si="272"/>
        <v>5002</v>
      </c>
      <c r="I753" s="147">
        <f t="shared" si="263"/>
        <v>40355</v>
      </c>
      <c r="J753" s="119">
        <f t="shared" si="273"/>
        <v>1886.8</v>
      </c>
      <c r="K753" s="119">
        <v>39296</v>
      </c>
      <c r="L753" s="113">
        <v>0.44</v>
      </c>
      <c r="M753" s="109">
        <v>4200</v>
      </c>
      <c r="N753" s="115"/>
      <c r="O753" s="111"/>
      <c r="P753" s="119">
        <f t="shared" si="260"/>
        <v>7499.4</v>
      </c>
      <c r="Q753" s="119">
        <f t="shared" si="274"/>
        <v>11591</v>
      </c>
      <c r="R753" s="147">
        <f t="shared" si="175"/>
        <v>-4124</v>
      </c>
      <c r="S753" s="119">
        <f t="shared" si="275"/>
        <v>585.6</v>
      </c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</row>
    <row r="754" spans="1:38">
      <c r="A754" s="108">
        <v>45294</v>
      </c>
      <c r="B754" s="109">
        <v>210879</v>
      </c>
      <c r="C754" s="113">
        <v>0.90099999999999991</v>
      </c>
      <c r="D754" s="109">
        <f t="shared" si="261"/>
        <v>11025</v>
      </c>
      <c r="E754" s="115"/>
      <c r="F754" s="111" t="s">
        <v>303</v>
      </c>
      <c r="G754" s="119">
        <f t="shared" si="262"/>
        <v>-18810.599999999999</v>
      </c>
      <c r="H754" s="119">
        <f t="shared" ref="H754" si="276">B754-B753</f>
        <v>2836</v>
      </c>
      <c r="I754" s="147">
        <f t="shared" si="263"/>
        <v>70463</v>
      </c>
      <c r="J754" s="119">
        <f t="shared" ref="J754" si="277">AVERAGE(B701-B649,B649-B597,B597-B545,B545-B493,B493-B442)</f>
        <v>11106.8</v>
      </c>
      <c r="K754" s="119">
        <v>39297</v>
      </c>
      <c r="L754" s="113">
        <v>0.58700000000000008</v>
      </c>
      <c r="M754" s="109">
        <v>3150</v>
      </c>
      <c r="N754" s="115"/>
      <c r="O754" s="111" t="s">
        <v>303</v>
      </c>
      <c r="P754" s="119">
        <f t="shared" si="260"/>
        <v>-10941.8</v>
      </c>
      <c r="Q754" s="119">
        <f t="shared" ref="Q754" si="278">K754-K753</f>
        <v>1</v>
      </c>
      <c r="R754" s="147">
        <f t="shared" si="175"/>
        <v>12314</v>
      </c>
      <c r="S754" s="119">
        <f t="shared" ref="S754" si="279">AVERAGE(K701-K649,K649-K597,K597-K545,K545-K493,K493-K442)</f>
        <v>367.4</v>
      </c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</row>
    <row r="755" spans="1:38">
      <c r="A755" s="108">
        <v>45301</v>
      </c>
      <c r="B755" s="109">
        <v>217527</v>
      </c>
      <c r="C755" s="113">
        <v>0.92900000000000005</v>
      </c>
      <c r="D755" s="109">
        <f t="shared" si="261"/>
        <v>11050</v>
      </c>
      <c r="E755" s="115">
        <f>SUM(B753:B758)/42*31</f>
        <v>915519.30952380958</v>
      </c>
      <c r="F755" s="111" t="s">
        <v>304</v>
      </c>
      <c r="G755" s="119">
        <f t="shared" si="262"/>
        <v>-6628.2</v>
      </c>
      <c r="H755" s="119">
        <f t="shared" ref="H755:H760" si="280">B755-B754</f>
        <v>6648</v>
      </c>
      <c r="I755" s="147">
        <f t="shared" si="263"/>
        <v>89403</v>
      </c>
      <c r="J755" s="119">
        <f t="shared" ref="J755:J760" si="281">AVERAGE(B702-B650,B650-B598,B598-B546,B546-B494,B494-B443)</f>
        <v>-690.2</v>
      </c>
      <c r="K755" s="109">
        <v>28681</v>
      </c>
      <c r="L755" s="113">
        <v>0.436</v>
      </c>
      <c r="M755" s="109">
        <v>3100</v>
      </c>
      <c r="N755" s="115">
        <f>SUM(K753:K758)/42*31</f>
        <v>159322.28571428571</v>
      </c>
      <c r="O755" s="111" t="s">
        <v>304</v>
      </c>
      <c r="P755" s="119">
        <f t="shared" si="260"/>
        <v>12400.8</v>
      </c>
      <c r="Q755" s="119">
        <f t="shared" ref="Q755:Q760" si="282">K755-K754</f>
        <v>-10616</v>
      </c>
      <c r="R755" s="147">
        <f t="shared" si="175"/>
        <v>-17542</v>
      </c>
      <c r="S755" s="119">
        <f t="shared" ref="S755:S760" si="283">AVERAGE(K702-K650,K650-K598,K598-K546,K546-K494,K494-K443)</f>
        <v>-512.79999999999995</v>
      </c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</row>
    <row r="756" spans="1:38">
      <c r="A756" s="108">
        <v>45308</v>
      </c>
      <c r="B756" s="109">
        <v>185491</v>
      </c>
      <c r="C756" s="113">
        <v>0.79200000000000004</v>
      </c>
      <c r="D756" s="109">
        <f t="shared" si="261"/>
        <v>11050</v>
      </c>
      <c r="E756" s="115">
        <f>SUM(B754/7*3,B755,B756,B757,B758/7*7)/31*31</f>
        <v>911835.71428571432</v>
      </c>
      <c r="F756" s="111" t="s">
        <v>305</v>
      </c>
      <c r="G756" s="119">
        <f t="shared" si="262"/>
        <v>4157.2</v>
      </c>
      <c r="H756" s="119">
        <f t="shared" si="280"/>
        <v>-32036</v>
      </c>
      <c r="I756" s="147">
        <f t="shared" si="263"/>
        <v>63515</v>
      </c>
      <c r="J756" s="119">
        <f t="shared" si="281"/>
        <v>-5404</v>
      </c>
      <c r="K756" s="109">
        <v>44839</v>
      </c>
      <c r="L756" s="113">
        <v>0.68099999999999994</v>
      </c>
      <c r="M756" s="109">
        <v>3100</v>
      </c>
      <c r="N756" s="115">
        <f>SUM(K754/7*3,K755,K756,K757,K758/7*7)/31*31</f>
        <v>154104.57142857142</v>
      </c>
      <c r="O756" s="111" t="s">
        <v>305</v>
      </c>
      <c r="P756" s="119">
        <f t="shared" si="260"/>
        <v>-8312.7999999999993</v>
      </c>
      <c r="Q756" s="119">
        <f t="shared" si="282"/>
        <v>16158</v>
      </c>
      <c r="R756" s="147">
        <f t="shared" si="175"/>
        <v>14735</v>
      </c>
      <c r="S756" s="119">
        <f t="shared" si="283"/>
        <v>-233.6</v>
      </c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</row>
    <row r="757" spans="1:38">
      <c r="A757" s="108">
        <v>45315</v>
      </c>
      <c r="B757" s="109">
        <v>212359</v>
      </c>
      <c r="C757" s="113">
        <v>0.90700000000000003</v>
      </c>
      <c r="D757" s="109">
        <f t="shared" si="261"/>
        <v>11050</v>
      </c>
      <c r="E757" s="115"/>
      <c r="F757" s="111"/>
      <c r="G757" s="119">
        <f t="shared" si="262"/>
        <v>16030.8</v>
      </c>
      <c r="H757" s="119">
        <f t="shared" si="280"/>
        <v>26868</v>
      </c>
      <c r="I757" s="147">
        <f t="shared" si="263"/>
        <v>28387</v>
      </c>
      <c r="J757" s="119">
        <f t="shared" si="281"/>
        <v>-10841.6</v>
      </c>
      <c r="K757" s="109">
        <v>29798</v>
      </c>
      <c r="L757" s="113">
        <v>0.45299999999999996</v>
      </c>
      <c r="M757" s="109">
        <v>3100</v>
      </c>
      <c r="N757" s="115"/>
      <c r="O757" s="111"/>
      <c r="P757" s="119">
        <f t="shared" si="260"/>
        <v>707.6</v>
      </c>
      <c r="Q757" s="119">
        <f t="shared" si="282"/>
        <v>-15041</v>
      </c>
      <c r="R757" s="147">
        <f t="shared" si="175"/>
        <v>-7300</v>
      </c>
      <c r="S757" s="119">
        <f t="shared" si="283"/>
        <v>-632</v>
      </c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</row>
    <row r="758" spans="1:38">
      <c r="A758" s="108">
        <v>45322</v>
      </c>
      <c r="B758" s="109">
        <v>206082</v>
      </c>
      <c r="C758" s="113">
        <v>0.8640000000000001</v>
      </c>
      <c r="D758" s="109">
        <f t="shared" si="261"/>
        <v>11250</v>
      </c>
      <c r="E758" s="115"/>
      <c r="F758" s="111"/>
      <c r="G758" s="119">
        <f t="shared" si="262"/>
        <v>-6513.6</v>
      </c>
      <c r="H758" s="119">
        <f t="shared" si="280"/>
        <v>-6277</v>
      </c>
      <c r="I758" s="147">
        <f t="shared" si="263"/>
        <v>39489</v>
      </c>
      <c r="J758" s="119">
        <f t="shared" si="281"/>
        <v>2850.4</v>
      </c>
      <c r="K758" s="109">
        <v>33945</v>
      </c>
      <c r="L758" s="113">
        <v>0.51600000000000001</v>
      </c>
      <c r="M758" s="109">
        <v>3100</v>
      </c>
      <c r="N758" s="115"/>
      <c r="O758" s="111"/>
      <c r="P758" s="119">
        <f t="shared" si="260"/>
        <v>1896.6</v>
      </c>
      <c r="Q758" s="119">
        <f t="shared" si="282"/>
        <v>4147</v>
      </c>
      <c r="R758" s="147">
        <f t="shared" ref="R758:R779" si="284">K758-K706</f>
        <v>-6652</v>
      </c>
      <c r="S758" s="119">
        <f t="shared" si="283"/>
        <v>-2934.4</v>
      </c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</row>
    <row r="759" spans="1:38">
      <c r="A759" s="108">
        <v>45329</v>
      </c>
      <c r="B759" s="109">
        <v>228309</v>
      </c>
      <c r="C759" s="113">
        <v>0.95700000000000007</v>
      </c>
      <c r="D759" s="109">
        <f t="shared" si="261"/>
        <v>11250</v>
      </c>
      <c r="E759" s="115"/>
      <c r="F759" s="111" t="s">
        <v>306</v>
      </c>
      <c r="G759" s="119">
        <f t="shared" si="262"/>
        <v>9259.6</v>
      </c>
      <c r="H759" s="119">
        <f t="shared" si="280"/>
        <v>22227</v>
      </c>
      <c r="I759" s="147">
        <f t="shared" ref="I759:I779" si="285">B759-B707</f>
        <v>27585</v>
      </c>
      <c r="J759" s="119">
        <f t="shared" si="281"/>
        <v>-3647.6</v>
      </c>
      <c r="K759" s="109">
        <v>29721</v>
      </c>
      <c r="L759" s="113">
        <v>0.45200000000000001</v>
      </c>
      <c r="M759" s="109">
        <v>3100</v>
      </c>
      <c r="N759" s="115"/>
      <c r="O759" s="111" t="s">
        <v>306</v>
      </c>
      <c r="P759" s="119">
        <f t="shared" si="260"/>
        <v>-2242</v>
      </c>
      <c r="Q759" s="119">
        <f t="shared" si="282"/>
        <v>-4224</v>
      </c>
      <c r="R759" s="147">
        <f t="shared" si="284"/>
        <v>2150</v>
      </c>
      <c r="S759" s="119">
        <f t="shared" si="283"/>
        <v>1515</v>
      </c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</row>
    <row r="760" spans="1:38">
      <c r="A760" s="108">
        <v>45336</v>
      </c>
      <c r="B760" s="109">
        <v>220735</v>
      </c>
      <c r="C760" s="113">
        <v>0.92500000000000004</v>
      </c>
      <c r="D760" s="109">
        <f t="shared" si="261"/>
        <v>11250</v>
      </c>
      <c r="E760" s="115">
        <f>SUM(B759:B763)/35*29</f>
        <v>881313.31428571418</v>
      </c>
      <c r="F760" s="111" t="s">
        <v>307</v>
      </c>
      <c r="G760" s="119">
        <f t="shared" si="262"/>
        <v>11294.2</v>
      </c>
      <c r="H760" s="119">
        <f t="shared" si="280"/>
        <v>-7574</v>
      </c>
      <c r="I760" s="147">
        <f t="shared" si="285"/>
        <v>27593</v>
      </c>
      <c r="J760" s="119">
        <f t="shared" si="281"/>
        <v>714.2</v>
      </c>
      <c r="K760" s="109">
        <v>32637</v>
      </c>
      <c r="L760" s="113">
        <v>0.496</v>
      </c>
      <c r="M760" s="109">
        <f t="shared" ref="M760:M777" si="286">IF(K760="","",IF(L760="","",MROUND((K760/L760)/(A760-A759)*330/1000,25)))</f>
        <v>3100</v>
      </c>
      <c r="N760" s="115">
        <f>SUM(K759:K763)/35*29</f>
        <v>146964.54285714286</v>
      </c>
      <c r="O760" s="111" t="s">
        <v>307</v>
      </c>
      <c r="P760" s="119">
        <f t="shared" si="260"/>
        <v>-1645.4</v>
      </c>
      <c r="Q760" s="119">
        <f t="shared" si="282"/>
        <v>2916</v>
      </c>
      <c r="R760" s="147">
        <f t="shared" si="284"/>
        <v>-3730</v>
      </c>
      <c r="S760" s="119">
        <f t="shared" si="283"/>
        <v>-2853</v>
      </c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</row>
    <row r="761" spans="1:38">
      <c r="A761" s="108">
        <v>45343</v>
      </c>
      <c r="B761" s="109">
        <v>209976</v>
      </c>
      <c r="C761" s="113">
        <v>0.88</v>
      </c>
      <c r="D761" s="109">
        <f t="shared" si="261"/>
        <v>11250</v>
      </c>
      <c r="E761" s="115">
        <f>SUM(B759/7*7,B760,B761,B762,B763/7*1)/29*29</f>
        <v>893074</v>
      </c>
      <c r="F761" s="111" t="s">
        <v>308</v>
      </c>
      <c r="G761" s="119">
        <f t="shared" si="262"/>
        <v>6464.4</v>
      </c>
      <c r="H761" s="147">
        <f t="shared" ref="H761:H777" si="287">B761-B760</f>
        <v>-10759</v>
      </c>
      <c r="I761" s="147">
        <f t="shared" si="285"/>
        <v>8919</v>
      </c>
      <c r="J761" s="147">
        <f t="shared" ref="J761:J777" si="288">AVERAGE(B708-B656,B656-B604,B604-B552,B552-B500,B500-B449)</f>
        <v>-2335.6</v>
      </c>
      <c r="K761" s="109">
        <v>43244</v>
      </c>
      <c r="L761" s="113">
        <v>0.65700000000000003</v>
      </c>
      <c r="M761" s="136">
        <f t="shared" si="286"/>
        <v>3100</v>
      </c>
      <c r="N761" s="115">
        <f>SUM(K759/7*7,K760,K761,K762,K763/7*1)/29*29</f>
        <v>143621</v>
      </c>
      <c r="O761" s="111" t="s">
        <v>308</v>
      </c>
      <c r="P761" s="119">
        <f t="shared" si="260"/>
        <v>4787.6000000000004</v>
      </c>
      <c r="Q761" s="147">
        <f t="shared" ref="Q761:Q777" si="289">K761-K760</f>
        <v>10607</v>
      </c>
      <c r="R761" s="147">
        <f t="shared" si="284"/>
        <v>-5903</v>
      </c>
      <c r="S761" s="147">
        <f t="shared" ref="S761:S777" si="290">AVERAGE(K708-K656,K656-K604,K604-K552,K552-K500,K500-K449)</f>
        <v>1538.6</v>
      </c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</row>
    <row r="762" spans="1:38">
      <c r="A762" s="108">
        <v>45350</v>
      </c>
      <c r="B762" s="109">
        <v>205624</v>
      </c>
      <c r="C762" s="110">
        <v>0.86199999999999999</v>
      </c>
      <c r="D762" s="109">
        <f t="shared" ref="D762:D777" si="291">IF(B762="","",IF(C762="","",MROUND((B762/C762)/(A762-A761)*330/1000,25)))</f>
        <v>11250</v>
      </c>
      <c r="E762" s="115"/>
      <c r="F762" s="111"/>
      <c r="G762" s="119">
        <f t="shared" si="262"/>
        <v>1726</v>
      </c>
      <c r="H762" s="147">
        <f t="shared" si="287"/>
        <v>-4352</v>
      </c>
      <c r="I762" s="147">
        <f t="shared" si="285"/>
        <v>28040</v>
      </c>
      <c r="J762" s="147">
        <f t="shared" si="288"/>
        <v>2802</v>
      </c>
      <c r="K762" s="136">
        <v>32394</v>
      </c>
      <c r="L762" s="145">
        <v>0.49200000000000005</v>
      </c>
      <c r="M762" s="136">
        <f t="shared" si="286"/>
        <v>3100</v>
      </c>
      <c r="N762" s="115"/>
      <c r="O762" s="111"/>
      <c r="P762" s="119">
        <f t="shared" si="260"/>
        <v>848.2</v>
      </c>
      <c r="Q762" s="147">
        <f t="shared" si="289"/>
        <v>-10850</v>
      </c>
      <c r="R762" s="147">
        <f t="shared" si="284"/>
        <v>4697</v>
      </c>
      <c r="S762" s="147">
        <f t="shared" si="290"/>
        <v>-34.200000000000003</v>
      </c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</row>
    <row r="763" spans="1:38">
      <c r="A763" s="108">
        <v>45357</v>
      </c>
      <c r="B763" s="109">
        <v>199010</v>
      </c>
      <c r="C763" s="110">
        <v>0.83400000000000007</v>
      </c>
      <c r="D763" s="109">
        <f t="shared" si="291"/>
        <v>11250</v>
      </c>
      <c r="E763" s="115"/>
      <c r="F763" s="111" t="s">
        <v>272</v>
      </c>
      <c r="G763" s="119">
        <f t="shared" si="262"/>
        <v>-4357.8</v>
      </c>
      <c r="H763" s="147">
        <f t="shared" si="287"/>
        <v>-6614</v>
      </c>
      <c r="I763" s="147">
        <f t="shared" si="285"/>
        <v>-7453</v>
      </c>
      <c r="J763" s="147">
        <f t="shared" si="288"/>
        <v>-3801.6</v>
      </c>
      <c r="K763" s="136">
        <v>39375</v>
      </c>
      <c r="L763" s="145">
        <v>0.59799999999999998</v>
      </c>
      <c r="M763" s="136">
        <f t="shared" si="286"/>
        <v>3100</v>
      </c>
      <c r="N763" s="115"/>
      <c r="O763" s="111" t="s">
        <v>272</v>
      </c>
      <c r="P763" s="119">
        <f t="shared" si="260"/>
        <v>-4364.3999999999996</v>
      </c>
      <c r="Q763" s="147">
        <f t="shared" si="289"/>
        <v>6981</v>
      </c>
      <c r="R763" s="147">
        <f t="shared" si="284"/>
        <v>2588</v>
      </c>
      <c r="S763" s="147">
        <f t="shared" si="290"/>
        <v>-120.2</v>
      </c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</row>
    <row r="764" spans="1:38">
      <c r="A764" s="108">
        <v>45364</v>
      </c>
      <c r="B764" s="109">
        <v>219931</v>
      </c>
      <c r="C764" s="110">
        <v>0.92200000000000004</v>
      </c>
      <c r="D764" s="109">
        <f t="shared" si="291"/>
        <v>11250</v>
      </c>
      <c r="E764" s="115">
        <f>SUM(B763:B767)/42*31</f>
        <v>815611.47619047621</v>
      </c>
      <c r="F764" s="111" t="s">
        <v>273</v>
      </c>
      <c r="G764" s="119">
        <f t="shared" si="262"/>
        <v>9025.6</v>
      </c>
      <c r="H764" s="147">
        <f t="shared" si="287"/>
        <v>20921</v>
      </c>
      <c r="I764" s="147">
        <f t="shared" si="285"/>
        <v>21626</v>
      </c>
      <c r="J764" s="147">
        <f t="shared" si="288"/>
        <v>3941</v>
      </c>
      <c r="K764" s="136">
        <v>29421</v>
      </c>
      <c r="L764" s="145">
        <v>0.44700000000000001</v>
      </c>
      <c r="M764" s="136">
        <f t="shared" si="286"/>
        <v>3100</v>
      </c>
      <c r="N764" s="115">
        <f>SUM(K763:K767)/42*31</f>
        <v>131798.71428571429</v>
      </c>
      <c r="O764" s="111" t="s">
        <v>273</v>
      </c>
      <c r="P764" s="119">
        <f t="shared" si="260"/>
        <v>789.6</v>
      </c>
      <c r="Q764" s="147">
        <f t="shared" si="289"/>
        <v>-9954</v>
      </c>
      <c r="R764" s="147">
        <f t="shared" si="284"/>
        <v>-14583</v>
      </c>
      <c r="S764" s="147">
        <f t="shared" si="290"/>
        <v>-1071</v>
      </c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</row>
    <row r="765" spans="1:38">
      <c r="A765" s="108">
        <v>45371</v>
      </c>
      <c r="B765" s="109">
        <v>215639</v>
      </c>
      <c r="C765" s="110">
        <v>0.90400000000000003</v>
      </c>
      <c r="D765" s="109">
        <f t="shared" si="291"/>
        <v>11250</v>
      </c>
      <c r="E765" s="115">
        <f>SUM(B764/7*3,B763,B765,B766,B767/7*7)/31*31</f>
        <v>979347.14285714284</v>
      </c>
      <c r="F765" s="111" t="s">
        <v>274</v>
      </c>
      <c r="G765" s="119">
        <f t="shared" si="262"/>
        <v>-5985.8</v>
      </c>
      <c r="H765" s="147">
        <f t="shared" si="287"/>
        <v>-4292</v>
      </c>
      <c r="I765" s="147">
        <f t="shared" si="285"/>
        <v>6210</v>
      </c>
      <c r="J765" s="147">
        <f t="shared" si="288"/>
        <v>626.79999999999995</v>
      </c>
      <c r="K765" s="136">
        <v>37755</v>
      </c>
      <c r="L765" s="145">
        <v>0.57399999999999995</v>
      </c>
      <c r="M765" s="136">
        <f t="shared" si="286"/>
        <v>3100</v>
      </c>
      <c r="N765" s="115">
        <f>SUM(K764/7*3,K763,K765,K766,K767/7*7)/31*31</f>
        <v>161754</v>
      </c>
      <c r="O765" s="111" t="s">
        <v>274</v>
      </c>
      <c r="P765" s="119">
        <f t="shared" si="260"/>
        <v>-224.8</v>
      </c>
      <c r="Q765" s="147">
        <f t="shared" si="289"/>
        <v>8334</v>
      </c>
      <c r="R765" s="147">
        <f t="shared" si="284"/>
        <v>8058</v>
      </c>
      <c r="S765" s="147">
        <f t="shared" si="290"/>
        <v>2378.6</v>
      </c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</row>
    <row r="766" spans="1:38">
      <c r="A766" s="108">
        <v>45378</v>
      </c>
      <c r="B766" s="109">
        <v>229221</v>
      </c>
      <c r="C766" s="110">
        <v>0.88300000000000001</v>
      </c>
      <c r="D766" s="109">
        <f t="shared" si="291"/>
        <v>12250</v>
      </c>
      <c r="G766" s="119">
        <f t="shared" si="262"/>
        <v>5039</v>
      </c>
      <c r="H766" s="147">
        <f t="shared" si="287"/>
        <v>13582</v>
      </c>
      <c r="I766" s="147">
        <f t="shared" si="285"/>
        <v>29731</v>
      </c>
      <c r="J766" s="147">
        <f t="shared" si="288"/>
        <v>6582.4</v>
      </c>
      <c r="K766" s="136">
        <v>43992</v>
      </c>
      <c r="L766" s="145">
        <v>0.66900000000000004</v>
      </c>
      <c r="M766" s="136">
        <f t="shared" si="286"/>
        <v>3100</v>
      </c>
      <c r="N766" s="143"/>
      <c r="O766" s="142"/>
      <c r="P766" s="119">
        <f t="shared" si="260"/>
        <v>4537.6000000000004</v>
      </c>
      <c r="Q766" s="147">
        <f t="shared" si="289"/>
        <v>6237</v>
      </c>
      <c r="R766" s="147">
        <f t="shared" si="284"/>
        <v>6277</v>
      </c>
      <c r="S766" s="147">
        <f t="shared" si="290"/>
        <v>-3613.8</v>
      </c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</row>
    <row r="767" spans="1:38">
      <c r="A767" s="108">
        <v>45385</v>
      </c>
      <c r="B767" s="109">
        <v>241221</v>
      </c>
      <c r="C767" s="145">
        <v>0.94400000000000006</v>
      </c>
      <c r="D767" s="136">
        <f t="shared" si="291"/>
        <v>12050</v>
      </c>
      <c r="E767" s="115"/>
      <c r="F767" s="111" t="s">
        <v>276</v>
      </c>
      <c r="G767" s="119">
        <f t="shared" si="262"/>
        <v>-4834.2</v>
      </c>
      <c r="H767" s="147">
        <f t="shared" si="287"/>
        <v>12000</v>
      </c>
      <c r="I767" s="147">
        <f t="shared" si="285"/>
        <v>31992</v>
      </c>
      <c r="J767" s="147">
        <f t="shared" si="288"/>
        <v>378.2</v>
      </c>
      <c r="K767" s="136">
        <v>28023</v>
      </c>
      <c r="L767" s="145">
        <v>0.42599999999999999</v>
      </c>
      <c r="M767" s="136">
        <f t="shared" si="286"/>
        <v>3100</v>
      </c>
      <c r="N767" s="115"/>
      <c r="O767" s="111" t="s">
        <v>276</v>
      </c>
      <c r="P767" s="119">
        <f t="shared" si="260"/>
        <v>-6304.6</v>
      </c>
      <c r="Q767" s="147">
        <f t="shared" si="289"/>
        <v>-15969</v>
      </c>
      <c r="R767" s="147">
        <f t="shared" si="284"/>
        <v>-12227</v>
      </c>
      <c r="S767" s="147">
        <f t="shared" si="290"/>
        <v>1221.8</v>
      </c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</row>
    <row r="768" spans="1:38">
      <c r="A768" s="108">
        <v>45392</v>
      </c>
      <c r="B768" s="109">
        <v>221493</v>
      </c>
      <c r="C768" s="145">
        <v>0.86699999999999999</v>
      </c>
      <c r="D768" s="136">
        <f t="shared" si="291"/>
        <v>12050</v>
      </c>
      <c r="E768" s="115">
        <f>SUM(B767:B771)/42*31</f>
        <v>806145.40476190473</v>
      </c>
      <c r="F768" s="111" t="s">
        <v>277</v>
      </c>
      <c r="G768" s="119">
        <f t="shared" si="262"/>
        <v>-4494.6000000000004</v>
      </c>
      <c r="H768" s="147">
        <f t="shared" si="287"/>
        <v>-19728</v>
      </c>
      <c r="I768" s="147">
        <f t="shared" si="285"/>
        <v>30915</v>
      </c>
      <c r="J768" s="147">
        <f t="shared" si="288"/>
        <v>4586.3999999999996</v>
      </c>
      <c r="K768" s="136">
        <v>33891</v>
      </c>
      <c r="L768" s="145">
        <v>0.51500000000000001</v>
      </c>
      <c r="M768" s="136">
        <f t="shared" si="286"/>
        <v>3100</v>
      </c>
      <c r="N768" s="115">
        <f>SUM(K767:K771)/42*31</f>
        <v>121830.73809523809</v>
      </c>
      <c r="O768" s="111" t="s">
        <v>277</v>
      </c>
      <c r="P768" s="119">
        <f t="shared" si="260"/>
        <v>5252.4</v>
      </c>
      <c r="Q768" s="147">
        <f t="shared" si="289"/>
        <v>5868</v>
      </c>
      <c r="R768" s="147">
        <f t="shared" si="284"/>
        <v>2828</v>
      </c>
      <c r="S768" s="147">
        <f t="shared" si="290"/>
        <v>-1319</v>
      </c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</row>
    <row r="769" spans="1:38">
      <c r="A769" s="108">
        <v>45399</v>
      </c>
      <c r="B769" s="109">
        <v>204459</v>
      </c>
      <c r="C769" s="145">
        <v>0.8</v>
      </c>
      <c r="D769" s="136">
        <f t="shared" si="291"/>
        <v>12050</v>
      </c>
      <c r="E769" s="115">
        <f>SUM(B769/7*3,B768,B770,B771,B772/7*7)/31*31</f>
        <v>942745.28571428568</v>
      </c>
      <c r="F769" s="111" t="s">
        <v>278</v>
      </c>
      <c r="G769" s="119">
        <f t="shared" si="262"/>
        <v>8181</v>
      </c>
      <c r="H769" s="147">
        <f t="shared" si="287"/>
        <v>-17034</v>
      </c>
      <c r="I769" s="147">
        <f t="shared" si="285"/>
        <v>-4874</v>
      </c>
      <c r="J769" s="147">
        <f t="shared" si="288"/>
        <v>-1253.5999999999999</v>
      </c>
      <c r="K769" s="136">
        <v>44275</v>
      </c>
      <c r="L769" s="145">
        <v>0.67299999999999993</v>
      </c>
      <c r="M769" s="136">
        <f t="shared" si="286"/>
        <v>3100</v>
      </c>
      <c r="N769" s="115">
        <f>SUM(K769/7*3,K768,K770,K771,K772/7*7)/31*31</f>
        <v>152288</v>
      </c>
      <c r="O769" s="111" t="s">
        <v>278</v>
      </c>
      <c r="P769" s="119">
        <f t="shared" si="260"/>
        <v>-4233</v>
      </c>
      <c r="Q769" s="147">
        <f t="shared" si="289"/>
        <v>10384</v>
      </c>
      <c r="R769" s="147">
        <f t="shared" si="284"/>
        <v>10113</v>
      </c>
      <c r="S769" s="147">
        <f t="shared" si="290"/>
        <v>-2666</v>
      </c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</row>
    <row r="770" spans="1:38">
      <c r="A770" s="108">
        <v>45406</v>
      </c>
      <c r="B770" s="109">
        <v>204395</v>
      </c>
      <c r="C770" s="145">
        <v>0.8</v>
      </c>
      <c r="D770" s="136">
        <f t="shared" si="291"/>
        <v>12050</v>
      </c>
      <c r="G770" s="119">
        <f t="shared" si="262"/>
        <v>-7728</v>
      </c>
      <c r="H770" s="147">
        <f t="shared" si="287"/>
        <v>-64</v>
      </c>
      <c r="I770" s="147">
        <f t="shared" si="285"/>
        <v>72</v>
      </c>
      <c r="J770" s="147">
        <f t="shared" si="288"/>
        <v>5348.2</v>
      </c>
      <c r="K770" s="136">
        <v>29317</v>
      </c>
      <c r="L770" s="145">
        <v>0.44600000000000001</v>
      </c>
      <c r="M770" s="136">
        <f t="shared" si="286"/>
        <v>3100</v>
      </c>
      <c r="N770" s="143"/>
      <c r="O770" s="142"/>
      <c r="P770" s="119">
        <f t="shared" si="260"/>
        <v>7332.8</v>
      </c>
      <c r="Q770" s="147">
        <f t="shared" si="289"/>
        <v>-14958</v>
      </c>
      <c r="R770" s="147">
        <f t="shared" si="284"/>
        <v>-7470</v>
      </c>
      <c r="S770" s="147">
        <f t="shared" si="290"/>
        <v>-3247</v>
      </c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</row>
    <row r="771" spans="1:38">
      <c r="A771" s="108">
        <v>45413</v>
      </c>
      <c r="B771" s="109">
        <v>220629</v>
      </c>
      <c r="C771" s="145">
        <v>0.8640000000000001</v>
      </c>
      <c r="D771" s="136">
        <f t="shared" si="291"/>
        <v>12050</v>
      </c>
      <c r="E771" s="115"/>
      <c r="F771" s="111" t="s">
        <v>279</v>
      </c>
      <c r="G771" s="119">
        <f t="shared" si="262"/>
        <v>-2295.6</v>
      </c>
      <c r="H771" s="147">
        <f t="shared" si="287"/>
        <v>16234</v>
      </c>
      <c r="I771" s="147">
        <f t="shared" si="285"/>
        <v>41196</v>
      </c>
      <c r="J771" s="147">
        <f t="shared" si="288"/>
        <v>529.20000000000005</v>
      </c>
      <c r="K771" s="136">
        <v>29555</v>
      </c>
      <c r="L771" s="145">
        <v>0.44900000000000001</v>
      </c>
      <c r="M771" s="136">
        <f t="shared" si="286"/>
        <v>3100</v>
      </c>
      <c r="N771" s="115"/>
      <c r="O771" s="111" t="s">
        <v>279</v>
      </c>
      <c r="P771" s="119">
        <f t="shared" si="260"/>
        <v>-7553.4</v>
      </c>
      <c r="Q771" s="147">
        <f t="shared" si="289"/>
        <v>238</v>
      </c>
      <c r="R771" s="147">
        <f t="shared" si="284"/>
        <v>-14449</v>
      </c>
      <c r="S771" s="147">
        <f t="shared" si="290"/>
        <v>1022.4</v>
      </c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</row>
    <row r="772" spans="1:38">
      <c r="A772" s="108">
        <v>45420</v>
      </c>
      <c r="B772" s="109">
        <v>208603</v>
      </c>
      <c r="C772" s="145">
        <v>0.81700000000000006</v>
      </c>
      <c r="D772" s="136">
        <f t="shared" si="291"/>
        <v>12025</v>
      </c>
      <c r="E772" s="115">
        <f>SUM(B771:B776)/42*31</f>
        <v>916297.26190476189</v>
      </c>
      <c r="F772" s="111" t="s">
        <v>280</v>
      </c>
      <c r="G772" s="119">
        <f t="shared" si="262"/>
        <v>3038.6</v>
      </c>
      <c r="H772" s="147">
        <f t="shared" si="287"/>
        <v>-12026</v>
      </c>
      <c r="I772" s="147">
        <f t="shared" si="285"/>
        <v>18985</v>
      </c>
      <c r="J772" s="147">
        <f t="shared" si="288"/>
        <v>144.19999999999999</v>
      </c>
      <c r="K772" s="136">
        <v>40550</v>
      </c>
      <c r="L772" s="145">
        <v>0.61599999999999999</v>
      </c>
      <c r="M772" s="136">
        <f t="shared" si="286"/>
        <v>3100</v>
      </c>
      <c r="N772" s="115">
        <f>SUM(K771:K776)/42*31</f>
        <v>139885.28571428571</v>
      </c>
      <c r="O772" s="111" t="s">
        <v>280</v>
      </c>
      <c r="P772" s="119">
        <f t="shared" si="260"/>
        <v>3864.4</v>
      </c>
      <c r="Q772" s="147">
        <f t="shared" si="289"/>
        <v>10995</v>
      </c>
      <c r="R772" s="147">
        <f t="shared" si="284"/>
        <v>10853</v>
      </c>
      <c r="S772" s="147">
        <f t="shared" si="290"/>
        <v>-1420.4</v>
      </c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</row>
    <row r="773" spans="1:38">
      <c r="A773" s="108">
        <v>45427</v>
      </c>
      <c r="B773" s="109">
        <v>220097</v>
      </c>
      <c r="C773" s="145">
        <v>0.86199999999999999</v>
      </c>
      <c r="D773" s="136">
        <f t="shared" si="291"/>
        <v>12025</v>
      </c>
      <c r="E773" s="115">
        <f>SUM(B772/7*7,B771,B773,B774,B775,B776/7*2)/31*31</f>
        <v>1099397.857142857</v>
      </c>
      <c r="F773" s="111" t="s">
        <v>281</v>
      </c>
      <c r="G773" s="119">
        <f t="shared" si="262"/>
        <v>-13749</v>
      </c>
      <c r="H773" s="147">
        <f t="shared" si="287"/>
        <v>11494</v>
      </c>
      <c r="I773" s="147">
        <f t="shared" si="285"/>
        <v>56449</v>
      </c>
      <c r="J773" s="147">
        <f t="shared" si="288"/>
        <v>3085.8</v>
      </c>
      <c r="K773" s="136">
        <v>30132</v>
      </c>
      <c r="L773" s="145">
        <v>0.45799999999999996</v>
      </c>
      <c r="M773" s="136">
        <f t="shared" si="286"/>
        <v>3100</v>
      </c>
      <c r="N773" s="115">
        <f>SUM(K772/7*7,K771,K773,K774,K775,K776/7*2)/31*31</f>
        <v>176945.57142857142</v>
      </c>
      <c r="O773" s="111" t="s">
        <v>281</v>
      </c>
      <c r="P773" s="119">
        <f t="shared" si="260"/>
        <v>-7196.4</v>
      </c>
      <c r="Q773" s="147">
        <f t="shared" si="289"/>
        <v>-10418</v>
      </c>
      <c r="R773" s="147">
        <f t="shared" si="284"/>
        <v>-7583</v>
      </c>
      <c r="S773" s="147">
        <f t="shared" si="290"/>
        <v>-421.6</v>
      </c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</row>
    <row r="774" spans="1:38">
      <c r="A774" s="108">
        <v>45434</v>
      </c>
      <c r="B774" s="136">
        <v>201529</v>
      </c>
      <c r="C774" s="145">
        <v>0.78900000000000003</v>
      </c>
      <c r="D774" s="136">
        <f t="shared" si="291"/>
        <v>12050</v>
      </c>
      <c r="G774" s="119">
        <f t="shared" si="262"/>
        <v>10874.8</v>
      </c>
      <c r="H774" s="147">
        <f t="shared" si="287"/>
        <v>-18568</v>
      </c>
      <c r="I774" s="147">
        <f t="shared" si="285"/>
        <v>9010</v>
      </c>
      <c r="J774" s="147">
        <f t="shared" si="288"/>
        <v>304.60000000000002</v>
      </c>
      <c r="K774" s="136">
        <v>42988</v>
      </c>
      <c r="L774" s="145">
        <v>0.65300000000000002</v>
      </c>
      <c r="M774" s="136">
        <f t="shared" si="286"/>
        <v>3100</v>
      </c>
      <c r="N774" s="143"/>
      <c r="O774" s="142"/>
      <c r="P774" s="119">
        <f t="shared" ref="P774:P793" si="292">AVERAGE(K722-K721,K670-K669,K618-K617,K566-K565,K514-K513)</f>
        <v>6735.8</v>
      </c>
      <c r="Q774" s="147">
        <f t="shared" si="289"/>
        <v>12856</v>
      </c>
      <c r="R774" s="147">
        <f t="shared" si="284"/>
        <v>2738</v>
      </c>
      <c r="S774" s="147">
        <f t="shared" si="290"/>
        <v>-2801.2</v>
      </c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</row>
    <row r="775" spans="1:38">
      <c r="A775" s="108">
        <v>45441</v>
      </c>
      <c r="B775" s="136">
        <v>191725</v>
      </c>
      <c r="C775" s="145">
        <v>0.75099999999999989</v>
      </c>
      <c r="D775" s="136">
        <f t="shared" si="291"/>
        <v>12025</v>
      </c>
      <c r="G775" s="119">
        <f t="shared" si="262"/>
        <v>-10762</v>
      </c>
      <c r="H775" s="147">
        <f t="shared" si="287"/>
        <v>-9804</v>
      </c>
      <c r="I775" s="147">
        <f t="shared" si="285"/>
        <v>-6306</v>
      </c>
      <c r="J775" s="147">
        <f t="shared" si="288"/>
        <v>7069.8</v>
      </c>
      <c r="K775" s="136">
        <v>28690</v>
      </c>
      <c r="L775" s="145">
        <v>0.436</v>
      </c>
      <c r="M775" s="136">
        <f t="shared" si="286"/>
        <v>3100</v>
      </c>
      <c r="N775" s="143"/>
      <c r="O775" s="142"/>
      <c r="P775" s="119">
        <f t="shared" si="292"/>
        <v>-6128.2</v>
      </c>
      <c r="Q775" s="147">
        <f t="shared" si="289"/>
        <v>-14298</v>
      </c>
      <c r="R775" s="147">
        <f t="shared" si="284"/>
        <v>-2373</v>
      </c>
      <c r="S775" s="147">
        <f t="shared" si="290"/>
        <v>1561.8</v>
      </c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</row>
    <row r="776" spans="1:38">
      <c r="A776" s="108">
        <v>45448</v>
      </c>
      <c r="B776" s="136">
        <v>198852</v>
      </c>
      <c r="C776" s="145">
        <v>0.77800000000000002</v>
      </c>
      <c r="D776" s="136">
        <f t="shared" si="291"/>
        <v>12050</v>
      </c>
      <c r="E776" s="141"/>
      <c r="F776" s="140" t="s">
        <v>282</v>
      </c>
      <c r="G776" s="119">
        <f t="shared" si="262"/>
        <v>8808</v>
      </c>
      <c r="H776" s="147">
        <f t="shared" si="287"/>
        <v>7127</v>
      </c>
      <c r="I776" s="147">
        <f t="shared" si="285"/>
        <v>-1594</v>
      </c>
      <c r="J776" s="147">
        <f t="shared" si="288"/>
        <v>3272.4</v>
      </c>
      <c r="K776" s="136">
        <v>17607</v>
      </c>
      <c r="L776" s="145">
        <v>0.26800000000000002</v>
      </c>
      <c r="M776" s="136">
        <f t="shared" si="286"/>
        <v>3100</v>
      </c>
      <c r="N776" s="115"/>
      <c r="O776" s="111" t="s">
        <v>282</v>
      </c>
      <c r="P776" s="119">
        <f t="shared" si="292"/>
        <v>-139.6</v>
      </c>
      <c r="Q776" s="147">
        <f t="shared" si="289"/>
        <v>-11083</v>
      </c>
      <c r="R776" s="147">
        <f t="shared" si="284"/>
        <v>-16555</v>
      </c>
      <c r="S776" s="147">
        <f t="shared" si="290"/>
        <v>-3795.8</v>
      </c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</row>
    <row r="777" spans="1:38">
      <c r="A777" s="108">
        <v>45455</v>
      </c>
      <c r="B777" s="136">
        <v>172355</v>
      </c>
      <c r="C777" s="145" t="e">
        <f ca="1">_xll.RHistory("CA-CANCAP-COPA","NDA_RAW.Nda_last","START:"&amp;$A777&amp;" END:"&amp;$A777&amp;" INTERVAL:1W",,,)/100</f>
        <v>#NAME?</v>
      </c>
      <c r="D777" s="136" t="e">
        <f t="shared" ca="1" si="291"/>
        <v>#NAME?</v>
      </c>
      <c r="E777" s="141">
        <f>SUM(B776:B780)/35*30</f>
        <v>799014</v>
      </c>
      <c r="F777" s="140" t="s">
        <v>283</v>
      </c>
      <c r="G777" s="119">
        <f t="shared" si="262"/>
        <v>1252.8</v>
      </c>
      <c r="H777" s="147">
        <f t="shared" si="287"/>
        <v>-26497</v>
      </c>
      <c r="I777" s="147">
        <f t="shared" si="285"/>
        <v>-22526</v>
      </c>
      <c r="J777" s="147">
        <f t="shared" si="288"/>
        <v>3213.4</v>
      </c>
      <c r="K777" s="136" t="e">
        <f ca="1">_xll.RHistory("CA-SOYCRU-COPA","NDA_RAW.Nda_last","START:"&amp;$A777&amp;" END:"&amp;$A777&amp;" INTERVAL:1W",,,)</f>
        <v>#NAME?</v>
      </c>
      <c r="L777" s="145" t="e">
        <f ca="1">_xll.RHistory("CA-SOYCAP-COPA","NDA_RAW.Nda_last","START:"&amp;$A777&amp;" END:"&amp;$A777&amp;" INTERVAL:1W",,,)/100</f>
        <v>#NAME?</v>
      </c>
      <c r="M777" s="136" t="e">
        <f t="shared" ca="1" si="286"/>
        <v>#NAME?</v>
      </c>
      <c r="N777" s="115" t="e">
        <f ca="1">SUM(K776:K780)/35*30</f>
        <v>#NAME?</v>
      </c>
      <c r="O777" s="111" t="s">
        <v>283</v>
      </c>
      <c r="P777" s="119">
        <f t="shared" si="292"/>
        <v>-6888</v>
      </c>
      <c r="Q777" s="147" t="e">
        <f t="shared" ca="1" si="289"/>
        <v>#NAME?</v>
      </c>
      <c r="R777" s="147" t="e">
        <f t="shared" ca="1" si="284"/>
        <v>#NAME?</v>
      </c>
      <c r="S777" s="147">
        <f t="shared" si="290"/>
        <v>1051.2</v>
      </c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</row>
    <row r="778" spans="1:38">
      <c r="A778" s="108">
        <v>45462</v>
      </c>
      <c r="B778" s="136">
        <v>157231</v>
      </c>
      <c r="C778" s="145" t="e">
        <f ca="1">_xll.RHistory("CA-CANCAP-COPA","NDA_RAW.Nda_last","START:"&amp;$A778&amp;" END:"&amp;$A778&amp;" INTERVAL:1W",,,)/100</f>
        <v>#NAME?</v>
      </c>
      <c r="D778" s="136" t="e">
        <f t="shared" ref="D778:D780" ca="1" si="293">IF(B778="","",IF(C778="","",MROUND((B778/C778)/(A778-A777)*330/1000,25)))</f>
        <v>#NAME?</v>
      </c>
      <c r="E778" s="141">
        <f>SUM(B776/7*2,B777,B778,B779,B780/7*4)/30*30</f>
        <v>697259</v>
      </c>
      <c r="F778" s="140" t="s">
        <v>284</v>
      </c>
      <c r="G778" s="119">
        <f t="shared" si="262"/>
        <v>-7695.8</v>
      </c>
      <c r="H778" s="147">
        <f t="shared" ref="H778:H780" si="294">B778-B777</f>
        <v>-15124</v>
      </c>
      <c r="I778" s="147">
        <f t="shared" si="285"/>
        <v>-31844</v>
      </c>
      <c r="J778" s="147">
        <f t="shared" ref="J778:J780" si="295">AVERAGE(B725-B673,B673-B621,B621-B569,B569-B517,B517-B466)</f>
        <v>5356.2</v>
      </c>
      <c r="K778" s="136" t="e">
        <f ca="1">_xll.RHistory("CA-SOYCRU-COPA","NDA_RAW.Nda_last","START:"&amp;$A778&amp;" END:"&amp;$A778&amp;" INTERVAL:1W",,,)</f>
        <v>#NAME?</v>
      </c>
      <c r="L778" s="145" t="e">
        <f ca="1">_xll.RHistory("CA-SOYCAP-COPA","NDA_RAW.Nda_last","START:"&amp;$A778&amp;" END:"&amp;$A778&amp;" INTERVAL:1W",,,)/100</f>
        <v>#NAME?</v>
      </c>
      <c r="M778" s="136" t="e">
        <f t="shared" ref="M778:M780" ca="1" si="296">IF(K778="","",IF(L778="","",MROUND((K778/L778)/(A778-A777)*330/1000,25)))</f>
        <v>#NAME?</v>
      </c>
      <c r="N778" s="115" t="e">
        <f ca="1">SUM(K776/7*2,K777,K778,K779,K780/7*4)/30*30</f>
        <v>#NAME?</v>
      </c>
      <c r="O778" s="111" t="s">
        <v>284</v>
      </c>
      <c r="P778" s="119">
        <f t="shared" si="292"/>
        <v>7243</v>
      </c>
      <c r="Q778" s="147" t="e">
        <f t="shared" ref="Q778:Q780" ca="1" si="297">K778-K777</f>
        <v>#NAME?</v>
      </c>
      <c r="R778" s="147" t="e">
        <f t="shared" ca="1" si="284"/>
        <v>#NAME?</v>
      </c>
      <c r="S778" s="147">
        <f t="shared" ref="S778:S780" si="298">AVERAGE(K725-K673,K673-K621,K621-K569,K569-K517,K517-K466)</f>
        <v>-442.6</v>
      </c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</row>
    <row r="779" spans="1:38">
      <c r="A779" s="108">
        <v>45469</v>
      </c>
      <c r="B779" s="136">
        <v>187009</v>
      </c>
      <c r="C779" s="145" t="e">
        <f ca="1">_xll.RHistory("CA-CANCAP-COPA","NDA_RAW.Nda_last","START:"&amp;$A779&amp;" END:"&amp;$A779&amp;" INTERVAL:1W",,,)/100</f>
        <v>#NAME?</v>
      </c>
      <c r="D779" s="136" t="e">
        <f t="shared" ca="1" si="293"/>
        <v>#NAME?</v>
      </c>
      <c r="G779" s="119">
        <f t="shared" si="262"/>
        <v>2346.8000000000002</v>
      </c>
      <c r="H779" s="147">
        <f t="shared" si="294"/>
        <v>29778</v>
      </c>
      <c r="I779" s="147">
        <f t="shared" si="285"/>
        <v>-23896</v>
      </c>
      <c r="J779" s="147">
        <f t="shared" si="295"/>
        <v>4566</v>
      </c>
      <c r="K779" s="136" t="e">
        <f ca="1">_xll.RHistory("CA-SOYCRU-COPA","NDA_RAW.Nda_last","START:"&amp;$A779&amp;" END:"&amp;$A779&amp;" INTERVAL:1W",,,)</f>
        <v>#NAME?</v>
      </c>
      <c r="L779" s="145" t="e">
        <f ca="1">_xll.RHistory("CA-SOYCAP-COPA","NDA_RAW.Nda_last","START:"&amp;$A779&amp;" END:"&amp;$A779&amp;" INTERVAL:1W",,,)/100</f>
        <v>#NAME?</v>
      </c>
      <c r="M779" s="136" t="e">
        <f t="shared" ca="1" si="296"/>
        <v>#NAME?</v>
      </c>
      <c r="N779" s="115"/>
      <c r="O779" s="111"/>
      <c r="P779" s="119">
        <f t="shared" si="292"/>
        <v>4201</v>
      </c>
      <c r="Q779" s="147" t="e">
        <f t="shared" ca="1" si="297"/>
        <v>#NAME?</v>
      </c>
      <c r="R779" s="147" t="e">
        <f t="shared" ca="1" si="284"/>
        <v>#NAME?</v>
      </c>
      <c r="S779" s="147">
        <f t="shared" si="298"/>
        <v>-981.2</v>
      </c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</row>
    <row r="780" spans="1:38">
      <c r="A780" s="108">
        <v>45476</v>
      </c>
      <c r="B780" s="136">
        <v>216736</v>
      </c>
      <c r="C780" s="145" t="e">
        <f ca="1">_xll.RHistory("CA-CANCAP-COPA","NDA_RAW.Nda_last","START:"&amp;$A780&amp;" END:"&amp;$A780&amp;" INTERVAL:1W",,,)/100</f>
        <v>#NAME?</v>
      </c>
      <c r="D780" s="136" t="e">
        <f t="shared" ca="1" si="293"/>
        <v>#NAME?</v>
      </c>
      <c r="G780" s="119">
        <f t="shared" si="262"/>
        <v>-6317.4</v>
      </c>
      <c r="H780" s="147">
        <f t="shared" si="294"/>
        <v>29727</v>
      </c>
      <c r="I780" s="147">
        <f>B780-B728</f>
        <v>23917</v>
      </c>
      <c r="J780" s="147">
        <f t="shared" si="295"/>
        <v>11262.6</v>
      </c>
      <c r="K780" s="136" t="e">
        <f ca="1">_xll.RHistory("CA-SOYCRU-COPA","NDA_RAW.Nda_last","START:"&amp;$A780&amp;" END:"&amp;$A780&amp;" INTERVAL:1W",,,)</f>
        <v>#NAME?</v>
      </c>
      <c r="L780" s="145" t="e">
        <f ca="1">_xll.RHistory("CA-SOYCAP-COPA","NDA_RAW.Nda_last","START:"&amp;$A780&amp;" END:"&amp;$A780&amp;" INTERVAL:1W",,,)/100</f>
        <v>#NAME?</v>
      </c>
      <c r="M780" s="136" t="e">
        <f t="shared" ca="1" si="296"/>
        <v>#NAME?</v>
      </c>
      <c r="N780" s="115"/>
      <c r="O780" s="111"/>
      <c r="P780" s="119">
        <f t="shared" si="292"/>
        <v>-328.6</v>
      </c>
      <c r="Q780" s="147" t="e">
        <f t="shared" ca="1" si="297"/>
        <v>#NAME?</v>
      </c>
      <c r="R780" s="147" t="e">
        <f ca="1">K780-K728</f>
        <v>#NAME?</v>
      </c>
      <c r="S780" s="147">
        <f t="shared" si="298"/>
        <v>329</v>
      </c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</row>
    <row r="781" spans="1:38">
      <c r="A781" s="108">
        <v>45483</v>
      </c>
      <c r="B781" s="136">
        <v>211223</v>
      </c>
      <c r="C781" s="145" t="e">
        <f ca="1">_xll.RHistory("CA-CANCAP-COPA","NDA_RAW.Nda_last","START:"&amp;$A781&amp;" END:"&amp;$A781&amp;" INTERVAL:1W",,,)/100</f>
        <v>#NAME?</v>
      </c>
      <c r="D781" s="136" t="e">
        <f t="shared" ref="D781:D785" ca="1" si="299">IF(B781="","",IF(C781="","",MROUND((B781/C781)/(A781-A780)*330/1000,25)))</f>
        <v>#NAME?</v>
      </c>
      <c r="E781" s="115"/>
      <c r="F781" s="111" t="s">
        <v>426</v>
      </c>
      <c r="G781" s="119">
        <f t="shared" si="262"/>
        <v>5778.8</v>
      </c>
      <c r="H781" s="111"/>
      <c r="I781" s="111"/>
      <c r="J781" s="111"/>
      <c r="K781" s="136" t="e">
        <f ca="1">_xll.RHistory("CA-SOYCRU-COPA","NDA_RAW.Nda_last","START:"&amp;$A781&amp;" END:"&amp;$A781&amp;" INTERVAL:1W",,,)</f>
        <v>#NAME?</v>
      </c>
      <c r="L781" s="145" t="e">
        <f ca="1">_xll.RHistory("CA-SOYCAP-COPA","NDA_RAW.Nda_last","START:"&amp;$A781&amp;" END:"&amp;$A781&amp;" INTERVAL:1W",,,)/100</f>
        <v>#NAME?</v>
      </c>
      <c r="M781" s="136" t="e">
        <f t="shared" ref="M781" ca="1" si="300">IF(K781="","",IF(L781="","",MROUND((K781/L781)/(A781-A780)*330/1000,25)))</f>
        <v>#NAME?</v>
      </c>
      <c r="N781" s="115"/>
      <c r="O781" s="111" t="s">
        <v>426</v>
      </c>
      <c r="P781" s="119">
        <f t="shared" si="292"/>
        <v>-3424.2</v>
      </c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</row>
    <row r="782" spans="1:38">
      <c r="A782" s="108">
        <v>45490</v>
      </c>
      <c r="B782" s="136">
        <v>216247</v>
      </c>
      <c r="C782" s="145" t="e">
        <f ca="1">_xll.RHistory("CA-CANCAP-COPA","NDA_RAW.Nda_last","START:"&amp;$A782&amp;" END:"&amp;$A782&amp;" INTERVAL:1W",,,)/100</f>
        <v>#NAME?</v>
      </c>
      <c r="D782" s="136" t="e">
        <f t="shared" ca="1" si="299"/>
        <v>#NAME?</v>
      </c>
      <c r="E782" s="115">
        <f>AVERAGE(E772:E773)</f>
        <v>1007847.5595238095</v>
      </c>
      <c r="F782" s="111">
        <f>MROUND(E782,5000)</f>
        <v>1010000</v>
      </c>
      <c r="G782" s="119">
        <f t="shared" si="262"/>
        <v>-4878.8</v>
      </c>
      <c r="H782" s="111"/>
      <c r="I782" s="111"/>
      <c r="J782" s="111"/>
      <c r="K782" s="136" t="e">
        <f ca="1">_xll.RHistory("CA-SOYCRU-COPA","NDA_RAW.Nda_last","START:"&amp;$A782&amp;" END:"&amp;$A782&amp;" INTERVAL:1W",,,)</f>
        <v>#NAME?</v>
      </c>
      <c r="L782" s="145" t="e">
        <f ca="1">_xll.RHistory("CA-SOYCAP-COPA","NDA_RAW.Nda_last","START:"&amp;$A782&amp;" END:"&amp;$A782&amp;" INTERVAL:1W",,,)/100</f>
        <v>#NAME?</v>
      </c>
      <c r="M782" s="111"/>
      <c r="N782" s="115">
        <f>AVERAGE(N772:N773)</f>
        <v>158415.42857142858</v>
      </c>
      <c r="O782" s="111">
        <f>MROUND(N782,5000)</f>
        <v>160000</v>
      </c>
      <c r="P782" s="119">
        <f t="shared" si="292"/>
        <v>1817</v>
      </c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</row>
    <row r="783" spans="1:38">
      <c r="A783" s="108">
        <v>45497</v>
      </c>
      <c r="B783" s="136">
        <v>227079</v>
      </c>
      <c r="C783" s="145" t="e">
        <f ca="1">_xll.RHistory("CA-CANCAP-COPA","NDA_RAW.Nda_last","START:"&amp;$A783&amp;" END:"&amp;$A783&amp;" INTERVAL:1W",,,)/100</f>
        <v>#NAME?</v>
      </c>
      <c r="D783" s="136" t="e">
        <f t="shared" ca="1" si="299"/>
        <v>#NAME?</v>
      </c>
      <c r="E783" s="115">
        <v>1007847.5595238095</v>
      </c>
      <c r="F783" s="111">
        <v>1010000</v>
      </c>
      <c r="G783" s="119">
        <f t="shared" si="262"/>
        <v>10821.8</v>
      </c>
      <c r="H783" s="111"/>
      <c r="I783" s="111"/>
      <c r="J783" s="111"/>
      <c r="K783" s="136" t="e">
        <f ca="1">_xll.RHistory("CA-SOYCRU-COPA","NDA_RAW.Nda_last","START:"&amp;$A783&amp;" END:"&amp;$A783&amp;" INTERVAL:1W",,,)</f>
        <v>#NAME?</v>
      </c>
      <c r="L783" s="145" t="e">
        <f ca="1">_xll.RHistory("CA-SOYCAP-COPA","NDA_RAW.Nda_last","START:"&amp;$A783&amp;" END:"&amp;$A783&amp;" INTERVAL:1W",,,)/100</f>
        <v>#NAME?</v>
      </c>
      <c r="M783" s="111"/>
      <c r="N783" s="115">
        <v>206776.17857142858</v>
      </c>
      <c r="O783" s="111">
        <v>205000</v>
      </c>
      <c r="P783" s="119">
        <f t="shared" si="292"/>
        <v>-9445.6</v>
      </c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</row>
    <row r="784" spans="1:38">
      <c r="A784" s="108">
        <v>45504</v>
      </c>
      <c r="B784" s="136">
        <v>230923</v>
      </c>
      <c r="C784" s="145" t="e">
        <f ca="1">_xll.RHistory("CA-CANCAP-COPA","NDA_RAW.Nda_last","START:"&amp;$A784&amp;" END:"&amp;$A784&amp;" INTERVAL:1W",,,)/100</f>
        <v>#NAME?</v>
      </c>
      <c r="D784" s="136" t="e">
        <f t="shared" ca="1" si="299"/>
        <v>#NAME?</v>
      </c>
      <c r="E784" s="117">
        <f>(E782/E783)-1</f>
        <v>0</v>
      </c>
      <c r="F784" s="118">
        <f>F782-F783</f>
        <v>0</v>
      </c>
      <c r="G784" s="119">
        <f t="shared" si="262"/>
        <v>3504.4</v>
      </c>
      <c r="H784" s="111"/>
      <c r="I784" s="111"/>
      <c r="J784" s="111"/>
      <c r="K784" s="136" t="e">
        <f ca="1">_xll.RHistory("CA-SOYCRU-COPA","NDA_RAW.Nda_last","START:"&amp;$A784&amp;" END:"&amp;$A784&amp;" INTERVAL:1W",,,)</f>
        <v>#NAME?</v>
      </c>
      <c r="L784" s="145" t="e">
        <f ca="1">_xll.RHistory("CA-SOYCAP-COPA","NDA_RAW.Nda_last","START:"&amp;$A784&amp;" END:"&amp;$A784&amp;" INTERVAL:1W",,,)/100</f>
        <v>#NAME?</v>
      </c>
      <c r="M784" s="111"/>
      <c r="N784" s="139">
        <f>(N782/N783)-1</f>
        <v>-0.23387969704302425</v>
      </c>
      <c r="O784" s="138">
        <f>O782-O783</f>
        <v>-45000</v>
      </c>
      <c r="P784" s="119">
        <f t="shared" si="292"/>
        <v>8450.4</v>
      </c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</row>
    <row r="785" spans="1:38">
      <c r="A785" s="108">
        <v>45511</v>
      </c>
      <c r="B785" s="136">
        <v>229230</v>
      </c>
      <c r="C785" s="145" t="e">
        <f ca="1">_xll.RHistory("CA-CANCAP-COPA","NDA_RAW.Nda_last","START:"&amp;$A785&amp;" END:"&amp;$A785&amp;" INTERVAL:1W",,,)/100</f>
        <v>#NAME?</v>
      </c>
      <c r="D785" s="136" t="e">
        <f t="shared" ca="1" si="299"/>
        <v>#NAME?</v>
      </c>
      <c r="E785" s="111"/>
      <c r="F785" s="118"/>
      <c r="G785" s="119">
        <f t="shared" si="262"/>
        <v>-269.60000000000002</v>
      </c>
      <c r="H785" s="111"/>
      <c r="I785" s="111"/>
      <c r="J785" s="111"/>
      <c r="K785" s="136" t="e">
        <f ca="1">_xll.RHistory("CA-SOYCRU-COPA","NDA_RAW.Nda_last","START:"&amp;$A785&amp;" END:"&amp;$A785&amp;" INTERVAL:1W",,,)</f>
        <v>#NAME?</v>
      </c>
      <c r="L785" s="145" t="e">
        <f ca="1">_xll.RHistory("CA-SOYCAP-COPA","NDA_RAW.Nda_last","START:"&amp;$A785&amp;" END:"&amp;$A785&amp;" INTERVAL:1W",,,)/100</f>
        <v>#NAME?</v>
      </c>
      <c r="M785" s="111"/>
      <c r="N785" s="140"/>
      <c r="O785" s="138"/>
      <c r="P785" s="119">
        <f t="shared" si="292"/>
        <v>-2415</v>
      </c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</row>
    <row r="786" spans="1:38">
      <c r="A786" s="108">
        <v>45518</v>
      </c>
      <c r="B786" s="136">
        <v>194805</v>
      </c>
      <c r="C786" s="111"/>
      <c r="D786" s="111"/>
      <c r="E786" s="115"/>
      <c r="F786" s="111" t="s">
        <v>427</v>
      </c>
      <c r="G786" s="119">
        <f t="shared" si="262"/>
        <v>-2912.8</v>
      </c>
      <c r="H786" s="111"/>
      <c r="I786" s="111"/>
      <c r="J786" s="111"/>
      <c r="K786" s="116" t="e">
        <f t="shared" ref="K786:K809" ca="1" si="301">K785+AVERAGE(K734-K733,K681-K680,K629-K628,K577-K576,K525-K524)</f>
        <v>#NAME?</v>
      </c>
      <c r="L786" s="145"/>
      <c r="M786" s="111"/>
      <c r="N786" s="115"/>
      <c r="O786" s="111" t="s">
        <v>427</v>
      </c>
      <c r="P786" s="119">
        <f t="shared" si="292"/>
        <v>-5205.8</v>
      </c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</row>
    <row r="787" spans="1:38">
      <c r="A787" s="108">
        <v>45525</v>
      </c>
      <c r="B787" s="136">
        <v>170028</v>
      </c>
      <c r="C787" s="111"/>
      <c r="D787" s="111"/>
      <c r="E787" s="141">
        <f>AVERAGE(E777:E778)</f>
        <v>748136.5</v>
      </c>
      <c r="F787" s="140">
        <f>MROUND(E787,5000)</f>
        <v>750000</v>
      </c>
      <c r="G787" s="119">
        <f t="shared" si="262"/>
        <v>9772.2000000000007</v>
      </c>
      <c r="H787" s="111"/>
      <c r="I787" s="111"/>
      <c r="J787" s="111"/>
      <c r="K787" s="116" t="e">
        <f t="shared" ca="1" si="301"/>
        <v>#NAME?</v>
      </c>
      <c r="L787" s="145"/>
      <c r="M787" s="111"/>
      <c r="N787" s="115" t="e">
        <f ca="1">AVERAGE(N777:N778)</f>
        <v>#NAME?</v>
      </c>
      <c r="O787" s="111" t="e">
        <f ca="1">MROUND(N787,5000)</f>
        <v>#NAME?</v>
      </c>
      <c r="P787" s="119">
        <f t="shared" si="292"/>
        <v>7167.8</v>
      </c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</row>
    <row r="788" spans="1:38">
      <c r="A788" s="108">
        <v>45532</v>
      </c>
      <c r="B788" s="136">
        <v>184896</v>
      </c>
      <c r="C788" s="111"/>
      <c r="D788" s="111"/>
      <c r="E788" s="141">
        <v>677324.95714285714</v>
      </c>
      <c r="F788" s="140">
        <v>675000</v>
      </c>
      <c r="G788" s="119">
        <f t="shared" si="262"/>
        <v>2090.8000000000002</v>
      </c>
      <c r="H788" s="111"/>
      <c r="I788" s="111"/>
      <c r="J788" s="111"/>
      <c r="K788" s="116" t="e">
        <f t="shared" ca="1" si="301"/>
        <v>#NAME?</v>
      </c>
      <c r="L788" s="145"/>
      <c r="M788" s="111"/>
      <c r="N788" s="115">
        <v>179859.14285714284</v>
      </c>
      <c r="O788" s="111">
        <v>180000</v>
      </c>
      <c r="P788" s="119">
        <f t="shared" si="292"/>
        <v>-2165.4</v>
      </c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</row>
    <row r="789" spans="1:38">
      <c r="A789" s="108">
        <v>45539</v>
      </c>
      <c r="B789" s="136">
        <v>191869</v>
      </c>
      <c r="C789" s="111"/>
      <c r="D789" s="111"/>
      <c r="E789" s="139">
        <f>(E787/E788)-1</f>
        <v>0.10454589353365251</v>
      </c>
      <c r="F789" s="138">
        <f>F787-F788</f>
        <v>75000</v>
      </c>
      <c r="G789" s="119">
        <f t="shared" si="262"/>
        <v>-5866.6</v>
      </c>
      <c r="H789" s="111"/>
      <c r="I789" s="111"/>
      <c r="J789" s="111"/>
      <c r="K789" s="116" t="e">
        <f t="shared" ca="1" si="301"/>
        <v>#NAME?</v>
      </c>
      <c r="L789" s="145"/>
      <c r="M789" s="111"/>
      <c r="N789" s="139" t="e">
        <f ca="1">(N787/N788)-1</f>
        <v>#NAME?</v>
      </c>
      <c r="O789" s="138" t="e">
        <f ca="1">O787-O788</f>
        <v>#NAME?</v>
      </c>
      <c r="P789" s="119">
        <f t="shared" si="292"/>
        <v>-847.2</v>
      </c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</row>
    <row r="790" spans="1:38">
      <c r="A790" s="108">
        <v>45546</v>
      </c>
      <c r="B790" s="136">
        <v>214545</v>
      </c>
      <c r="C790" s="111"/>
      <c r="D790" s="111"/>
      <c r="G790" s="119">
        <f t="shared" si="262"/>
        <v>-13863.8</v>
      </c>
      <c r="H790" s="111"/>
      <c r="I790" s="111"/>
      <c r="J790" s="111"/>
      <c r="K790" s="116" t="e">
        <f t="shared" ca="1" si="301"/>
        <v>#NAME?</v>
      </c>
      <c r="L790" s="145"/>
      <c r="M790" s="111"/>
      <c r="N790" s="115"/>
      <c r="O790" s="111"/>
      <c r="P790" s="119">
        <f t="shared" si="292"/>
        <v>3621.4</v>
      </c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</row>
    <row r="791" spans="1:38">
      <c r="A791" s="108">
        <v>45553</v>
      </c>
      <c r="B791" s="136">
        <v>220123</v>
      </c>
      <c r="C791" s="111"/>
      <c r="D791" s="111"/>
      <c r="E791" s="115"/>
      <c r="F791" s="140"/>
      <c r="G791" s="119">
        <f t="shared" si="262"/>
        <v>1502.2</v>
      </c>
      <c r="H791" s="111"/>
      <c r="I791" s="111"/>
      <c r="J791" s="111"/>
      <c r="K791" s="116" t="e">
        <f t="shared" ca="1" si="301"/>
        <v>#NAME?</v>
      </c>
      <c r="L791" s="145"/>
      <c r="M791" s="111"/>
      <c r="N791" s="115"/>
      <c r="O791" s="111"/>
      <c r="P791" s="119">
        <f t="shared" si="292"/>
        <v>-4426.3999999999996</v>
      </c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</row>
    <row r="792" spans="1:38">
      <c r="A792" s="108">
        <v>45560</v>
      </c>
      <c r="B792" s="136">
        <v>220063</v>
      </c>
      <c r="C792" s="111"/>
      <c r="D792" s="111"/>
      <c r="E792" s="141"/>
      <c r="F792" s="140" t="s">
        <v>285</v>
      </c>
      <c r="G792" s="119">
        <f t="shared" si="262"/>
        <v>-18575.400000000001</v>
      </c>
      <c r="H792" s="111"/>
      <c r="I792" s="111"/>
      <c r="J792" s="111"/>
      <c r="K792" s="116" t="e">
        <f t="shared" ca="1" si="301"/>
        <v>#NAME?</v>
      </c>
      <c r="L792" s="145"/>
      <c r="M792" s="111"/>
      <c r="N792" s="141"/>
      <c r="O792" s="140" t="s">
        <v>285</v>
      </c>
      <c r="P792" s="119">
        <f t="shared" si="292"/>
        <v>5589.6</v>
      </c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</row>
    <row r="793" spans="1:38">
      <c r="A793" s="108">
        <v>45567</v>
      </c>
      <c r="B793" s="136">
        <v>237391</v>
      </c>
      <c r="C793" s="111"/>
      <c r="D793" s="111"/>
      <c r="E793" s="141">
        <f>SUM(B779:B784)/42*31</f>
        <v>951564.92857142864</v>
      </c>
      <c r="F793" s="140" t="s">
        <v>286</v>
      </c>
      <c r="G793" s="119">
        <f t="shared" si="262"/>
        <v>5298.4</v>
      </c>
      <c r="H793" s="111"/>
      <c r="I793" s="111"/>
      <c r="J793" s="111"/>
      <c r="K793" s="116" t="e">
        <f t="shared" ca="1" si="301"/>
        <v>#NAME?</v>
      </c>
      <c r="L793" s="145"/>
      <c r="M793" s="111"/>
      <c r="N793" s="141" t="e">
        <f ca="1">SUM(K779:K784)/42*31</f>
        <v>#NAME?</v>
      </c>
      <c r="O793" s="140" t="s">
        <v>286</v>
      </c>
      <c r="P793" s="119">
        <f t="shared" si="292"/>
        <v>1902.8</v>
      </c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</row>
    <row r="794" spans="1:38">
      <c r="A794" s="108">
        <v>45574</v>
      </c>
      <c r="B794" s="136">
        <v>241202</v>
      </c>
      <c r="C794" s="111"/>
      <c r="D794" s="111"/>
      <c r="E794" s="141">
        <f>SUM(B780/7*3,B781,B782,B783,B784/7*7)/31*31</f>
        <v>978358.85714285716</v>
      </c>
      <c r="F794" s="140" t="s">
        <v>287</v>
      </c>
      <c r="G794" s="111"/>
      <c r="H794" s="111"/>
      <c r="I794" s="111"/>
      <c r="J794" s="111"/>
      <c r="K794" s="137" t="e">
        <f t="shared" ca="1" si="301"/>
        <v>#NAME?</v>
      </c>
      <c r="L794" s="145"/>
      <c r="M794" s="111"/>
      <c r="N794" s="141" t="e">
        <f ca="1">SUM(K780/7*3,K781,K782,K783,K784/7*7)/31*31</f>
        <v>#NAME?</v>
      </c>
      <c r="O794" s="140" t="s">
        <v>287</v>
      </c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</row>
    <row r="795" spans="1:38">
      <c r="A795" s="108">
        <v>45581</v>
      </c>
      <c r="B795" s="136">
        <v>232026</v>
      </c>
      <c r="C795" s="111"/>
      <c r="D795" s="111"/>
      <c r="E795" s="115"/>
      <c r="F795" s="111"/>
      <c r="G795" s="111"/>
      <c r="H795" s="111"/>
      <c r="I795" s="111"/>
      <c r="J795" s="111"/>
      <c r="K795" s="137" t="e">
        <f t="shared" ca="1" si="301"/>
        <v>#NAME?</v>
      </c>
      <c r="L795" s="145"/>
      <c r="M795" s="111"/>
      <c r="N795" s="115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</row>
    <row r="796" spans="1:38">
      <c r="A796" s="108">
        <v>45588</v>
      </c>
      <c r="B796" s="136">
        <v>246383</v>
      </c>
      <c r="C796" s="111"/>
      <c r="D796" s="111"/>
      <c r="G796" s="111"/>
      <c r="H796" s="111"/>
      <c r="I796" s="111"/>
      <c r="J796" s="111"/>
      <c r="K796" s="137" t="e">
        <f t="shared" ca="1" si="301"/>
        <v>#NAME?</v>
      </c>
      <c r="L796" s="145"/>
      <c r="M796" s="111"/>
      <c r="N796" s="115"/>
      <c r="O796" s="111" t="s">
        <v>428</v>
      </c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</row>
    <row r="797" spans="1:38">
      <c r="A797" s="108">
        <v>45595</v>
      </c>
      <c r="B797" s="136">
        <v>236911</v>
      </c>
      <c r="C797" s="111"/>
      <c r="D797" s="111"/>
      <c r="E797" s="115"/>
      <c r="F797" s="111" t="s">
        <v>428</v>
      </c>
      <c r="G797" s="111"/>
      <c r="H797" s="111"/>
      <c r="I797" s="111"/>
      <c r="J797" s="111"/>
      <c r="K797" s="137" t="e">
        <f t="shared" ca="1" si="301"/>
        <v>#NAME?</v>
      </c>
      <c r="L797" s="145"/>
      <c r="M797" s="111"/>
      <c r="N797" s="141" t="e">
        <f ca="1">AVERAGE(N793:N794)</f>
        <v>#NAME?</v>
      </c>
      <c r="O797" s="140" t="e">
        <f ca="1">MROUND(N797,5000)</f>
        <v>#NAME?</v>
      </c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</row>
    <row r="798" spans="1:38">
      <c r="A798" s="144">
        <v>45602</v>
      </c>
      <c r="B798" s="136">
        <v>240441</v>
      </c>
      <c r="E798" s="141">
        <f>AVERAGE(E793:E794)</f>
        <v>964961.89285714296</v>
      </c>
      <c r="F798" s="140">
        <f>MROUND(E798,5000)</f>
        <v>965000</v>
      </c>
      <c r="K798" s="137" t="e">
        <f t="shared" ca="1" si="301"/>
        <v>#NAME?</v>
      </c>
      <c r="L798" s="145"/>
      <c r="M798" s="73">
        <f>23*0.3</f>
        <v>6.8999999999999995</v>
      </c>
      <c r="N798" s="141">
        <v>86374.31904761905</v>
      </c>
      <c r="O798" s="140">
        <v>85000</v>
      </c>
    </row>
    <row r="799" spans="1:38">
      <c r="A799" s="144">
        <v>45609</v>
      </c>
      <c r="B799" s="136">
        <v>241399</v>
      </c>
      <c r="E799" s="141">
        <v>978083.46904761903</v>
      </c>
      <c r="F799" s="140">
        <v>980000</v>
      </c>
      <c r="K799" s="137" t="e">
        <f t="shared" ca="1" si="301"/>
        <v>#NAME?</v>
      </c>
      <c r="L799" s="145"/>
      <c r="M799" s="73">
        <v>23</v>
      </c>
      <c r="N799" s="139" t="e">
        <f ca="1">(N797/N798)-1</f>
        <v>#NAME?</v>
      </c>
      <c r="O799" s="138" t="e">
        <f ca="1">O797-O798</f>
        <v>#NAME?</v>
      </c>
    </row>
    <row r="800" spans="1:38">
      <c r="A800" s="144">
        <v>45616</v>
      </c>
      <c r="B800" s="136">
        <v>228334</v>
      </c>
      <c r="E800" s="139">
        <f>(E798/E799)-1</f>
        <v>-1.3415599594227667E-2</v>
      </c>
      <c r="F800" s="138">
        <f>F798-F799</f>
        <v>-15000</v>
      </c>
      <c r="K800" s="137" t="e">
        <f t="shared" ca="1" si="301"/>
        <v>#NAME?</v>
      </c>
      <c r="L800" s="145"/>
    </row>
    <row r="801" spans="1:12">
      <c r="A801" s="144">
        <v>45623</v>
      </c>
      <c r="B801" s="136">
        <v>221643</v>
      </c>
      <c r="D801" s="133"/>
      <c r="K801" s="137" t="e">
        <f t="shared" ca="1" si="301"/>
        <v>#NAME?</v>
      </c>
      <c r="L801" s="145"/>
    </row>
    <row r="802" spans="1:12">
      <c r="A802" s="144">
        <v>45630</v>
      </c>
      <c r="B802" s="136">
        <v>232049</v>
      </c>
      <c r="D802" s="73">
        <v>0</v>
      </c>
      <c r="E802" s="115"/>
      <c r="F802" s="111"/>
      <c r="K802" s="137" t="e">
        <f t="shared" ca="1" si="301"/>
        <v>#NAME?</v>
      </c>
      <c r="L802" s="145"/>
    </row>
    <row r="803" spans="1:12">
      <c r="A803" s="144">
        <v>45637</v>
      </c>
      <c r="B803" s="136">
        <v>227360</v>
      </c>
      <c r="E803" s="141"/>
      <c r="F803" s="140" t="s">
        <v>288</v>
      </c>
      <c r="K803" s="137" t="e">
        <f t="shared" ca="1" si="301"/>
        <v>#NAME?</v>
      </c>
      <c r="L803" s="145"/>
    </row>
    <row r="804" spans="1:12">
      <c r="A804" s="144">
        <v>45644</v>
      </c>
      <c r="B804" s="136">
        <v>230784</v>
      </c>
      <c r="E804" s="141">
        <f>SUM(B785:B789)/35*31</f>
        <v>859876.22857142857</v>
      </c>
      <c r="F804" s="140" t="s">
        <v>289</v>
      </c>
      <c r="K804" s="137" t="e">
        <f t="shared" ca="1" si="301"/>
        <v>#NAME?</v>
      </c>
      <c r="L804" s="145"/>
    </row>
    <row r="805" spans="1:12">
      <c r="A805" s="144">
        <v>45651</v>
      </c>
      <c r="B805" s="136">
        <v>205945</v>
      </c>
      <c r="E805" s="141">
        <f>SUM(B785/7*3,B786,B787,B788,B789/7*7)/31*31</f>
        <v>839839.42857142864</v>
      </c>
      <c r="F805" s="140" t="s">
        <v>290</v>
      </c>
      <c r="K805" s="137" t="e">
        <f t="shared" ca="1" si="301"/>
        <v>#NAME?</v>
      </c>
      <c r="L805" s="145"/>
    </row>
    <row r="806" spans="1:12">
      <c r="A806" s="144">
        <v>45658</v>
      </c>
      <c r="B806" s="136">
        <v>221975</v>
      </c>
      <c r="E806" s="115"/>
      <c r="F806" s="111"/>
      <c r="K806" s="137" t="e">
        <f t="shared" ca="1" si="301"/>
        <v>#NAME?</v>
      </c>
      <c r="L806" s="145"/>
    </row>
    <row r="807" spans="1:12">
      <c r="A807" s="144">
        <v>45665</v>
      </c>
      <c r="B807" s="136">
        <v>222815</v>
      </c>
      <c r="K807" s="137" t="e">
        <f t="shared" ca="1" si="301"/>
        <v>#NAME?</v>
      </c>
      <c r="L807" s="145"/>
    </row>
    <row r="808" spans="1:12">
      <c r="A808" s="144">
        <v>45672</v>
      </c>
      <c r="B808" s="136">
        <v>224638</v>
      </c>
      <c r="E808" s="115"/>
      <c r="F808" s="111" t="s">
        <v>436</v>
      </c>
      <c r="K808" s="137" t="e">
        <f t="shared" ca="1" si="301"/>
        <v>#NAME?</v>
      </c>
      <c r="L808" s="145"/>
    </row>
    <row r="809" spans="1:12">
      <c r="A809" s="144">
        <v>45679</v>
      </c>
      <c r="B809" s="136">
        <v>225869</v>
      </c>
      <c r="E809" s="141">
        <f>AVERAGE(E804:E805)</f>
        <v>849857.82857142854</v>
      </c>
      <c r="F809" s="140">
        <f>MROUND(E809,5000)</f>
        <v>850000</v>
      </c>
      <c r="K809" s="137" t="e">
        <f t="shared" ca="1" si="301"/>
        <v>#NAME?</v>
      </c>
      <c r="L809" s="145"/>
    </row>
    <row r="810" spans="1:12">
      <c r="A810" s="144">
        <v>45686</v>
      </c>
      <c r="B810" s="136">
        <v>221466</v>
      </c>
      <c r="E810" s="141">
        <v>939535.5285714285</v>
      </c>
      <c r="F810" s="140">
        <v>980000</v>
      </c>
      <c r="K810" s="137" t="e">
        <f t="shared" ref="K810:K841" ca="1" si="302">K809+AVERAGE(K758-K757,K705-K704,K653-K652,K601-K600,K549-K548)</f>
        <v>#NAME?</v>
      </c>
      <c r="L810" s="145"/>
    </row>
    <row r="811" spans="1:12">
      <c r="A811" s="144">
        <v>45693</v>
      </c>
      <c r="B811" s="136">
        <v>237083</v>
      </c>
      <c r="E811" s="139">
        <f>(E809/E810)-1</f>
        <v>-9.5448971617236866E-2</v>
      </c>
      <c r="F811" s="138">
        <f>F809-F810</f>
        <v>-130000</v>
      </c>
      <c r="K811" s="137" t="e">
        <f t="shared" ca="1" si="302"/>
        <v>#NAME?</v>
      </c>
      <c r="L811" s="145"/>
    </row>
    <row r="812" spans="1:12">
      <c r="A812" s="144">
        <v>45700</v>
      </c>
      <c r="B812" s="136" t="e">
        <f ca="1">_xll.RHistory("CA-CANCRU-COPA","NDA_RAW.Nda_last","START:"&amp;$A812&amp;" END:"&amp;$A812&amp;" INTERVAL:1W",,,)</f>
        <v>#NAME?</v>
      </c>
      <c r="E812" s="143"/>
      <c r="F812" s="142"/>
      <c r="K812" s="137" t="e">
        <f t="shared" ca="1" si="302"/>
        <v>#NAME?</v>
      </c>
      <c r="L812" s="145"/>
    </row>
    <row r="813" spans="1:12">
      <c r="A813" s="144">
        <v>45707</v>
      </c>
      <c r="B813" s="137" t="e">
        <f t="shared" ref="B813:B825" ca="1" si="303">B812+AVERAGE(B761-B760,B709-B708,B657-B656,B605-B604,B553-B552)</f>
        <v>#NAME?</v>
      </c>
      <c r="E813" s="143"/>
      <c r="F813" s="142"/>
      <c r="K813" s="137" t="e">
        <f t="shared" ca="1" si="302"/>
        <v>#NAME?</v>
      </c>
      <c r="L813" s="145"/>
    </row>
    <row r="814" spans="1:12">
      <c r="A814" s="144">
        <v>45714</v>
      </c>
      <c r="B814" s="137" t="e">
        <f t="shared" ca="1" si="303"/>
        <v>#NAME?</v>
      </c>
      <c r="E814" s="141"/>
      <c r="F814" s="140" t="s">
        <v>291</v>
      </c>
      <c r="K814" s="137" t="e">
        <f t="shared" ca="1" si="302"/>
        <v>#NAME?</v>
      </c>
      <c r="L814" s="145"/>
    </row>
    <row r="815" spans="1:12">
      <c r="A815" s="144">
        <v>45721</v>
      </c>
      <c r="B815" s="137" t="e">
        <f t="shared" ca="1" si="303"/>
        <v>#NAME?</v>
      </c>
      <c r="D815" s="73">
        <f>E820/E809-1</f>
        <v>0.12425335130563919</v>
      </c>
      <c r="E815" s="141">
        <f>SUM(B788:B793)/42*31</f>
        <v>936559.45238095231</v>
      </c>
      <c r="F815" s="140" t="s">
        <v>292</v>
      </c>
      <c r="K815" s="137" t="e">
        <f t="shared" ca="1" si="302"/>
        <v>#NAME?</v>
      </c>
      <c r="L815" s="145"/>
    </row>
    <row r="816" spans="1:12">
      <c r="A816" s="144">
        <v>45728</v>
      </c>
      <c r="B816" s="137" t="e">
        <f t="shared" ca="1" si="303"/>
        <v>#NAME?</v>
      </c>
      <c r="E816" s="141">
        <f>SUM(B789/7*3,B790,B791,B792,B793/7*7)/31*31</f>
        <v>974351.57142857136</v>
      </c>
      <c r="F816" s="140" t="s">
        <v>293</v>
      </c>
      <c r="K816" s="137" t="e">
        <f t="shared" ca="1" si="302"/>
        <v>#NAME?</v>
      </c>
      <c r="L816" s="145"/>
    </row>
    <row r="817" spans="1:12">
      <c r="A817" s="144">
        <v>45735</v>
      </c>
      <c r="B817" s="137" t="e">
        <f t="shared" ca="1" si="303"/>
        <v>#NAME?</v>
      </c>
      <c r="E817" s="115"/>
      <c r="F817" s="111"/>
      <c r="K817" s="137" t="e">
        <f t="shared" ca="1" si="302"/>
        <v>#NAME?</v>
      </c>
      <c r="L817" s="145"/>
    </row>
    <row r="818" spans="1:12">
      <c r="A818" s="144">
        <v>45742</v>
      </c>
      <c r="B818" s="137" t="e">
        <f t="shared" ca="1" si="303"/>
        <v>#NAME?</v>
      </c>
      <c r="K818" s="137" t="e">
        <f t="shared" ca="1" si="302"/>
        <v>#NAME?</v>
      </c>
      <c r="L818" s="145"/>
    </row>
    <row r="819" spans="1:12">
      <c r="A819" s="144">
        <v>45749</v>
      </c>
      <c r="B819" s="137" t="e">
        <f t="shared" ca="1" si="303"/>
        <v>#NAME?</v>
      </c>
      <c r="E819" s="115"/>
      <c r="F819" s="111" t="s">
        <v>437</v>
      </c>
      <c r="K819" s="137" t="e">
        <f t="shared" ca="1" si="302"/>
        <v>#NAME?</v>
      </c>
      <c r="L819" s="145"/>
    </row>
    <row r="820" spans="1:12">
      <c r="A820" s="144">
        <v>45756</v>
      </c>
      <c r="B820" s="137" t="e">
        <f t="shared" ca="1" si="303"/>
        <v>#NAME?</v>
      </c>
      <c r="E820" s="141">
        <f>AVERAGE(E815:E816)</f>
        <v>955455.51190476189</v>
      </c>
      <c r="F820" s="140">
        <f>MROUND(E820,5000)</f>
        <v>955000</v>
      </c>
      <c r="K820" s="137" t="e">
        <f t="shared" ca="1" si="302"/>
        <v>#NAME?</v>
      </c>
      <c r="L820" s="145"/>
    </row>
    <row r="821" spans="1:12">
      <c r="A821" s="144">
        <v>45763</v>
      </c>
      <c r="B821" s="137" t="e">
        <f t="shared" ca="1" si="303"/>
        <v>#NAME?</v>
      </c>
      <c r="E821" s="141">
        <v>939535.5285714285</v>
      </c>
      <c r="F821" s="140">
        <v>980000</v>
      </c>
      <c r="K821" s="137" t="e">
        <f t="shared" ca="1" si="302"/>
        <v>#NAME?</v>
      </c>
      <c r="L821" s="145"/>
    </row>
    <row r="822" spans="1:12">
      <c r="A822" s="144">
        <v>45770</v>
      </c>
      <c r="B822" s="137" t="e">
        <f t="shared" ca="1" si="303"/>
        <v>#NAME?</v>
      </c>
      <c r="E822" s="139">
        <f>(E820/E821)-1</f>
        <v>1.6944525086283635E-2</v>
      </c>
      <c r="F822" s="138">
        <f>F820-F821</f>
        <v>-25000</v>
      </c>
      <c r="K822" s="137" t="e">
        <f t="shared" ca="1" si="302"/>
        <v>#NAME?</v>
      </c>
      <c r="L822" s="145"/>
    </row>
    <row r="823" spans="1:12">
      <c r="A823" s="144">
        <v>45777</v>
      </c>
      <c r="B823" s="137" t="e">
        <f t="shared" ca="1" si="303"/>
        <v>#NAME?</v>
      </c>
      <c r="K823" s="137" t="e">
        <f t="shared" ca="1" si="302"/>
        <v>#NAME?</v>
      </c>
      <c r="L823" s="145"/>
    </row>
    <row r="824" spans="1:12">
      <c r="A824" s="144">
        <v>45784</v>
      </c>
      <c r="B824" s="137" t="e">
        <f t="shared" ca="1" si="303"/>
        <v>#NAME?</v>
      </c>
      <c r="E824" s="141"/>
      <c r="F824" s="140" t="s">
        <v>294</v>
      </c>
      <c r="K824" s="137" t="e">
        <f t="shared" ca="1" si="302"/>
        <v>#NAME?</v>
      </c>
      <c r="L824" s="145"/>
    </row>
    <row r="825" spans="1:12">
      <c r="A825" s="144">
        <v>45791</v>
      </c>
      <c r="B825" s="137" t="e">
        <f t="shared" ca="1" si="303"/>
        <v>#NAME?</v>
      </c>
      <c r="E825" s="141">
        <f>SUM(B793:B798)/42*31</f>
        <v>1058689.8571428573</v>
      </c>
      <c r="F825" s="140" t="s">
        <v>295</v>
      </c>
      <c r="K825" s="137" t="e">
        <f t="shared" ca="1" si="302"/>
        <v>#NAME?</v>
      </c>
      <c r="L825" s="145"/>
    </row>
    <row r="826" spans="1:12">
      <c r="A826" s="144">
        <v>45798</v>
      </c>
      <c r="B826" s="137" t="e">
        <f t="shared" ref="B826:B845" ca="1" si="304">B825+AVERAGE(B774-B773,B722-B721,B670-B669,B618-B617,B566-B565)</f>
        <v>#NAME?</v>
      </c>
      <c r="E826" s="141">
        <f>SUM(B793/7*3,B794,B795,B796,B797/7*7)/31*31</f>
        <v>1058261</v>
      </c>
      <c r="F826" s="140" t="s">
        <v>296</v>
      </c>
      <c r="K826" s="137" t="e">
        <f t="shared" ca="1" si="302"/>
        <v>#NAME?</v>
      </c>
      <c r="L826" s="145"/>
    </row>
    <row r="827" spans="1:12">
      <c r="A827" s="144">
        <v>45805</v>
      </c>
      <c r="B827" s="137" t="e">
        <f t="shared" ca="1" si="304"/>
        <v>#NAME?</v>
      </c>
      <c r="E827" s="115"/>
      <c r="F827" s="111"/>
      <c r="K827" s="137" t="e">
        <f t="shared" ca="1" si="302"/>
        <v>#NAME?</v>
      </c>
      <c r="L827" s="145"/>
    </row>
    <row r="828" spans="1:12">
      <c r="A828" s="144">
        <v>45812</v>
      </c>
      <c r="B828" s="137" t="e">
        <f t="shared" ca="1" si="304"/>
        <v>#NAME?</v>
      </c>
      <c r="K828" s="137" t="e">
        <f t="shared" ca="1" si="302"/>
        <v>#NAME?</v>
      </c>
      <c r="L828" s="145"/>
    </row>
    <row r="829" spans="1:12">
      <c r="A829" s="144">
        <v>45819</v>
      </c>
      <c r="B829" s="137" t="e">
        <f t="shared" ca="1" si="304"/>
        <v>#NAME?</v>
      </c>
      <c r="E829" s="115"/>
      <c r="F829" s="111" t="s">
        <v>439</v>
      </c>
      <c r="K829" s="137" t="e">
        <f t="shared" ca="1" si="302"/>
        <v>#NAME?</v>
      </c>
      <c r="L829" s="145"/>
    </row>
    <row r="830" spans="1:12">
      <c r="A830" s="144">
        <v>45826</v>
      </c>
      <c r="B830" s="137" t="e">
        <f t="shared" ca="1" si="304"/>
        <v>#NAME?</v>
      </c>
      <c r="E830" s="141">
        <f>AVERAGE(E825:E826)</f>
        <v>1058475.4285714286</v>
      </c>
      <c r="F830" s="140">
        <f>MROUND(E830,5000)</f>
        <v>1060000</v>
      </c>
      <c r="K830" s="137" t="e">
        <f t="shared" ca="1" si="302"/>
        <v>#NAME?</v>
      </c>
      <c r="L830" s="145"/>
    </row>
    <row r="831" spans="1:12">
      <c r="A831" s="144">
        <v>45833</v>
      </c>
      <c r="B831" s="137" t="e">
        <f t="shared" ca="1" si="304"/>
        <v>#NAME?</v>
      </c>
      <c r="E831" s="141">
        <f>SUM(B793/7*3,B794,B795,B796,B797/7*7)/31*31</f>
        <v>1058261</v>
      </c>
      <c r="F831" s="140">
        <f>MROUND(E831,5000)</f>
        <v>1060000</v>
      </c>
      <c r="K831" s="137" t="e">
        <f t="shared" ca="1" si="302"/>
        <v>#NAME?</v>
      </c>
      <c r="L831" s="145"/>
    </row>
    <row r="832" spans="1:12">
      <c r="A832" s="144">
        <v>45840</v>
      </c>
      <c r="B832" s="137" t="e">
        <f t="shared" ca="1" si="304"/>
        <v>#NAME?</v>
      </c>
      <c r="E832" s="139">
        <f>(E830/E831)-1</f>
        <v>2.0262352239064363E-4</v>
      </c>
      <c r="F832" s="138">
        <f>F830-F831</f>
        <v>0</v>
      </c>
      <c r="K832" s="137" t="e">
        <f t="shared" ca="1" si="302"/>
        <v>#NAME?</v>
      </c>
      <c r="L832" s="145"/>
    </row>
    <row r="833" spans="1:12">
      <c r="A833" s="144">
        <v>45847</v>
      </c>
      <c r="B833" s="137" t="e">
        <f t="shared" ca="1" si="304"/>
        <v>#NAME?</v>
      </c>
      <c r="K833" s="137" t="e">
        <f t="shared" ca="1" si="302"/>
        <v>#NAME?</v>
      </c>
      <c r="L833" s="145"/>
    </row>
    <row r="834" spans="1:12">
      <c r="A834" s="144">
        <v>45854</v>
      </c>
      <c r="B834" s="137" t="e">
        <f t="shared" ca="1" si="304"/>
        <v>#NAME?</v>
      </c>
      <c r="E834" s="141"/>
      <c r="F834" s="140" t="s">
        <v>297</v>
      </c>
      <c r="K834" s="137" t="e">
        <f t="shared" ca="1" si="302"/>
        <v>#NAME?</v>
      </c>
      <c r="L834" s="145"/>
    </row>
    <row r="835" spans="1:12">
      <c r="A835" s="144">
        <v>45861</v>
      </c>
      <c r="B835" s="137" t="e">
        <f t="shared" ca="1" si="304"/>
        <v>#NAME?</v>
      </c>
      <c r="E835" s="141">
        <f>SUM(B797:B802)/42*31</f>
        <v>1033906.8333333334</v>
      </c>
      <c r="F835" s="140" t="s">
        <v>298</v>
      </c>
      <c r="K835" s="137" t="e">
        <f t="shared" ca="1" si="302"/>
        <v>#NAME?</v>
      </c>
      <c r="L835" s="145"/>
    </row>
    <row r="836" spans="1:12">
      <c r="A836" s="144">
        <v>45868</v>
      </c>
      <c r="B836" s="137" t="e">
        <f t="shared" ca="1" si="304"/>
        <v>#NAME?</v>
      </c>
      <c r="E836" s="141">
        <f>SUM(B798/7*3,B799,B800,B801,B802/7*7)/31*31</f>
        <v>1026471.1428571427</v>
      </c>
      <c r="F836" s="140" t="s">
        <v>299</v>
      </c>
      <c r="K836" s="137" t="e">
        <f t="shared" ca="1" si="302"/>
        <v>#NAME?</v>
      </c>
      <c r="L836" s="145"/>
    </row>
    <row r="837" spans="1:12">
      <c r="A837" s="144">
        <v>45875</v>
      </c>
      <c r="B837" s="137" t="e">
        <f t="shared" ca="1" si="304"/>
        <v>#NAME?</v>
      </c>
      <c r="E837" s="115"/>
      <c r="F837" s="111"/>
      <c r="K837" s="137" t="e">
        <f t="shared" ca="1" si="302"/>
        <v>#NAME?</v>
      </c>
      <c r="L837" s="145"/>
    </row>
    <row r="838" spans="1:12">
      <c r="A838" s="144">
        <v>45882</v>
      </c>
      <c r="B838" s="137" t="e">
        <f t="shared" ca="1" si="304"/>
        <v>#NAME?</v>
      </c>
      <c r="K838" s="137" t="e">
        <f t="shared" ca="1" si="302"/>
        <v>#NAME?</v>
      </c>
      <c r="L838" s="145"/>
    </row>
    <row r="839" spans="1:12">
      <c r="A839" s="144">
        <v>45889</v>
      </c>
      <c r="B839" s="137" t="e">
        <f t="shared" ca="1" si="304"/>
        <v>#NAME?</v>
      </c>
      <c r="E839" s="115"/>
      <c r="F839" s="111" t="s">
        <v>440</v>
      </c>
      <c r="K839" s="137" t="e">
        <f t="shared" ca="1" si="302"/>
        <v>#NAME?</v>
      </c>
      <c r="L839" s="145"/>
    </row>
    <row r="840" spans="1:12">
      <c r="A840" s="144">
        <v>45896</v>
      </c>
      <c r="B840" s="137" t="e">
        <f t="shared" ca="1" si="304"/>
        <v>#NAME?</v>
      </c>
      <c r="E840" s="141">
        <f>AVERAGE(E835:E836)</f>
        <v>1030188.9880952381</v>
      </c>
      <c r="F840" s="140">
        <f>MROUND(E840,5000)</f>
        <v>1030000</v>
      </c>
      <c r="K840" s="137" t="e">
        <f t="shared" ca="1" si="302"/>
        <v>#NAME?</v>
      </c>
      <c r="L840" s="145"/>
    </row>
    <row r="841" spans="1:12">
      <c r="A841" s="144">
        <v>45903</v>
      </c>
      <c r="B841" s="137" t="e">
        <f t="shared" ca="1" si="304"/>
        <v>#NAME?</v>
      </c>
      <c r="E841" s="141">
        <f>SUM(B798/7*3,B799,B800,B801,B802/7*7)/31*31</f>
        <v>1026471.1428571427</v>
      </c>
      <c r="F841" s="140">
        <f>MROUND(E841,5000)</f>
        <v>1025000</v>
      </c>
      <c r="K841" s="137" t="e">
        <f t="shared" ca="1" si="302"/>
        <v>#NAME?</v>
      </c>
      <c r="L841" s="145"/>
    </row>
    <row r="842" spans="1:12">
      <c r="A842" s="144">
        <v>45910</v>
      </c>
      <c r="B842" s="137" t="e">
        <f t="shared" ca="1" si="304"/>
        <v>#NAME?</v>
      </c>
      <c r="E842" s="139">
        <f>(E840/E841)-1</f>
        <v>3.621967615910604E-3</v>
      </c>
      <c r="F842" s="138">
        <f>F840-F841</f>
        <v>5000</v>
      </c>
      <c r="K842" s="137" t="e">
        <f t="shared" ref="K842:K845" ca="1" si="305">K841+AVERAGE(K790-K789,K737-K736,K685-K684,K633-K632,K581-K580)</f>
        <v>#NAME?</v>
      </c>
      <c r="L842" s="145"/>
    </row>
    <row r="843" spans="1:12">
      <c r="A843" s="144">
        <v>45917</v>
      </c>
      <c r="B843" s="137" t="e">
        <f t="shared" ca="1" si="304"/>
        <v>#NAME?</v>
      </c>
      <c r="K843" s="137" t="e">
        <f t="shared" ca="1" si="305"/>
        <v>#NAME?</v>
      </c>
      <c r="L843" s="145"/>
    </row>
    <row r="844" spans="1:12">
      <c r="A844" s="144">
        <v>45924</v>
      </c>
      <c r="B844" s="137" t="e">
        <f t="shared" ca="1" si="304"/>
        <v>#NAME?</v>
      </c>
      <c r="E844" s="141"/>
      <c r="F844" s="140" t="s">
        <v>300</v>
      </c>
      <c r="K844" s="137" t="e">
        <f t="shared" ca="1" si="305"/>
        <v>#NAME?</v>
      </c>
      <c r="L844" s="145"/>
    </row>
    <row r="845" spans="1:12">
      <c r="A845" s="144">
        <v>45931</v>
      </c>
      <c r="B845" s="137" t="e">
        <f t="shared" ca="1" si="304"/>
        <v>#NAME?</v>
      </c>
      <c r="E845" s="141" t="e">
        <f ca="1">SUM(B807:B812)/42*31</f>
        <v>#NAME?</v>
      </c>
      <c r="F845" s="140" t="s">
        <v>301</v>
      </c>
      <c r="K845" s="137" t="e">
        <f t="shared" ca="1" si="305"/>
        <v>#NAME?</v>
      </c>
      <c r="L845" s="145"/>
    </row>
    <row r="846" spans="1:12">
      <c r="E846" s="141" t="e">
        <f ca="1">SUM(B808/7*3,B809,B810,B811,B812/7*7)/31*31</f>
        <v>#NAME?</v>
      </c>
      <c r="F846" s="140" t="s">
        <v>302</v>
      </c>
    </row>
    <row r="847" spans="1:12">
      <c r="E847" s="115"/>
      <c r="F847" s="111"/>
    </row>
    <row r="849" spans="5:7">
      <c r="E849" s="115" t="e">
        <f ca="1">E850/E840-1</f>
        <v>#NAME?</v>
      </c>
      <c r="F849" s="111" t="s">
        <v>441</v>
      </c>
    </row>
    <row r="850" spans="5:7">
      <c r="E850" s="141" t="e">
        <f ca="1">AVERAGE(E845:E846)</f>
        <v>#NAME?</v>
      </c>
      <c r="F850" s="140" t="e">
        <f ca="1">MROUND(E850,5000)</f>
        <v>#NAME?</v>
      </c>
    </row>
    <row r="851" spans="5:7">
      <c r="E851" s="141" t="e">
        <f ca="1">SUM(B808/7*3,B809,B810,B811,B812/7*7)/31*31</f>
        <v>#NAME?</v>
      </c>
      <c r="F851" s="140" t="e">
        <f ca="1">MROUND(E851,5000)</f>
        <v>#NAME?</v>
      </c>
    </row>
    <row r="852" spans="5:7">
      <c r="E852" s="139" t="e">
        <f ca="1">(E850/E851)-1</f>
        <v>#NAME?</v>
      </c>
      <c r="F852" s="138" t="e">
        <f ca="1">F850-F851</f>
        <v>#NAME?</v>
      </c>
    </row>
    <row r="855" spans="5:7">
      <c r="F855" s="146" t="e">
        <f ca="1">_xll.RHistory("CA-SOYCRU-COPA","NDA_RAW.Nda_last","START:"&amp;$A801&amp;" END:"&amp;$A801&amp;" INTERVAL:1W",,,)</f>
        <v>#NAME?</v>
      </c>
      <c r="G855" s="146" t="e">
        <f ca="1">_xll.RHistory("CA-CANCAP-COPA","NDA_RAW.Nda_last","START:"&amp;$A801&amp;" END:"&amp;$A801&amp;" INTERVAL:1W",,,)/100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2D92-67B9-47FE-8882-FA4415B543FE}">
  <sheetPr codeName="Sheet5"/>
  <dimension ref="A1:AP205"/>
  <sheetViews>
    <sheetView zoomScale="141" zoomScaleNormal="100" workbookViewId="0">
      <pane xSplit="1" ySplit="2" topLeftCell="B111" activePane="bottomRight" state="frozen"/>
      <selection pane="topRight" activeCell="B1" sqref="B1"/>
      <selection pane="bottomLeft" activeCell="A3" sqref="A3"/>
      <selection pane="bottomRight" activeCell="AS146" sqref="AS146"/>
    </sheetView>
  </sheetViews>
  <sheetFormatPr defaultColWidth="8.85546875" defaultRowHeight="11.25"/>
  <cols>
    <col min="1" max="1" width="8.85546875" style="154"/>
    <col min="2" max="4" width="10.85546875" style="158" customWidth="1"/>
    <col min="5" max="5" width="2.85546875" style="158" customWidth="1"/>
    <col min="6" max="7" width="10.85546875" style="158" customWidth="1"/>
    <col min="8" max="8" width="2.85546875" style="158" customWidth="1"/>
    <col min="9" max="11" width="10.85546875" style="158" customWidth="1"/>
    <col min="12" max="12" width="2.85546875" style="158" customWidth="1"/>
    <col min="13" max="14" width="10.85546875" style="158" customWidth="1"/>
    <col min="15" max="15" width="2.85546875" style="158" customWidth="1"/>
    <col min="16" max="18" width="10.85546875" style="158" customWidth="1"/>
    <col min="19" max="19" width="2.85546875" style="158" customWidth="1"/>
    <col min="20" max="22" width="10.85546875" style="158" customWidth="1"/>
    <col min="23" max="23" width="2.85546875" style="158" customWidth="1"/>
    <col min="24" max="25" width="10.85546875" style="158" customWidth="1"/>
    <col min="26" max="26" width="2.85546875" style="158" customWidth="1"/>
    <col min="27" max="29" width="10.85546875" style="158" customWidth="1"/>
    <col min="30" max="30" width="2.85546875" style="158" customWidth="1"/>
    <col min="31" max="33" width="10.85546875" style="158" customWidth="1"/>
    <col min="34" max="34" width="2.85546875" style="158" customWidth="1"/>
    <col min="35" max="37" width="10.85546875" style="158" customWidth="1"/>
    <col min="38" max="38" width="2.85546875" style="158" customWidth="1"/>
    <col min="39" max="41" width="10.85546875" style="158" customWidth="1"/>
    <col min="42" max="42" width="2.85546875" style="158" customWidth="1"/>
    <col min="43" max="16384" width="8.85546875" style="154"/>
  </cols>
  <sheetData>
    <row r="1" spans="1:42">
      <c r="B1" s="155" t="s">
        <v>309</v>
      </c>
      <c r="C1" s="155"/>
      <c r="D1" s="155"/>
      <c r="E1" s="154"/>
      <c r="F1" s="155" t="s">
        <v>310</v>
      </c>
      <c r="G1" s="155"/>
      <c r="H1" s="155" t="s">
        <v>311</v>
      </c>
      <c r="I1" s="155" t="s">
        <v>312</v>
      </c>
      <c r="J1" s="155"/>
      <c r="K1" s="155"/>
      <c r="L1" s="155" t="s">
        <v>311</v>
      </c>
      <c r="M1" s="155" t="s">
        <v>313</v>
      </c>
      <c r="N1" s="155"/>
      <c r="O1" s="155" t="s">
        <v>314</v>
      </c>
      <c r="P1" s="155" t="s">
        <v>315</v>
      </c>
      <c r="Q1" s="155"/>
      <c r="R1" s="155"/>
      <c r="S1" s="155" t="s">
        <v>311</v>
      </c>
      <c r="T1" s="155" t="s">
        <v>316</v>
      </c>
      <c r="U1" s="155"/>
      <c r="V1" s="155"/>
      <c r="W1" s="155" t="s">
        <v>311</v>
      </c>
      <c r="X1" s="155" t="s">
        <v>317</v>
      </c>
      <c r="Y1" s="155"/>
      <c r="Z1" s="155" t="s">
        <v>311</v>
      </c>
      <c r="AA1" s="155" t="s">
        <v>318</v>
      </c>
      <c r="AB1" s="155"/>
      <c r="AC1" s="155"/>
      <c r="AD1" s="155" t="s">
        <v>311</v>
      </c>
      <c r="AE1" s="155" t="s">
        <v>319</v>
      </c>
      <c r="AF1" s="155"/>
      <c r="AG1" s="155"/>
      <c r="AH1" s="155" t="s">
        <v>311</v>
      </c>
      <c r="AI1" s="155" t="s">
        <v>320</v>
      </c>
      <c r="AJ1" s="155"/>
      <c r="AK1" s="155"/>
      <c r="AL1" s="155" t="s">
        <v>311</v>
      </c>
      <c r="AM1" s="155" t="s">
        <v>321</v>
      </c>
      <c r="AN1" s="155"/>
      <c r="AO1" s="155"/>
      <c r="AP1" s="155" t="s">
        <v>311</v>
      </c>
    </row>
    <row r="2" spans="1:42" ht="22.5">
      <c r="B2" s="156" t="s">
        <v>74</v>
      </c>
      <c r="C2" s="156" t="s">
        <v>322</v>
      </c>
      <c r="D2" s="156" t="s">
        <v>323</v>
      </c>
      <c r="E2" s="154"/>
      <c r="F2" s="156" t="s">
        <v>74</v>
      </c>
      <c r="G2" s="156" t="s">
        <v>323</v>
      </c>
      <c r="H2" s="156"/>
      <c r="I2" s="156" t="s">
        <v>74</v>
      </c>
      <c r="J2" s="156" t="s">
        <v>322</v>
      </c>
      <c r="K2" s="156" t="s">
        <v>323</v>
      </c>
      <c r="L2" s="156"/>
      <c r="M2" s="156" t="s">
        <v>74</v>
      </c>
      <c r="N2" s="156" t="s">
        <v>323</v>
      </c>
      <c r="O2" s="156"/>
      <c r="P2" s="156" t="s">
        <v>74</v>
      </c>
      <c r="Q2" s="156" t="s">
        <v>322</v>
      </c>
      <c r="R2" s="156" t="s">
        <v>323</v>
      </c>
      <c r="S2" s="156"/>
      <c r="T2" s="156" t="s">
        <v>74</v>
      </c>
      <c r="U2" s="156" t="s">
        <v>322</v>
      </c>
      <c r="V2" s="156" t="s">
        <v>323</v>
      </c>
      <c r="W2" s="156"/>
      <c r="X2" s="156" t="s">
        <v>74</v>
      </c>
      <c r="Y2" s="156" t="s">
        <v>323</v>
      </c>
      <c r="Z2" s="156"/>
      <c r="AA2" s="156" t="s">
        <v>74</v>
      </c>
      <c r="AB2" s="156" t="s">
        <v>322</v>
      </c>
      <c r="AC2" s="156" t="s">
        <v>323</v>
      </c>
      <c r="AD2" s="156"/>
      <c r="AE2" s="156" t="s">
        <v>74</v>
      </c>
      <c r="AF2" s="156" t="s">
        <v>322</v>
      </c>
      <c r="AG2" s="156" t="s">
        <v>323</v>
      </c>
      <c r="AH2" s="156"/>
      <c r="AI2" s="156" t="s">
        <v>74</v>
      </c>
      <c r="AJ2" s="156" t="s">
        <v>322</v>
      </c>
      <c r="AK2" s="156" t="s">
        <v>323</v>
      </c>
      <c r="AL2" s="156"/>
      <c r="AM2" s="156" t="s">
        <v>74</v>
      </c>
      <c r="AN2" s="156" t="s">
        <v>322</v>
      </c>
      <c r="AO2" s="156" t="s">
        <v>323</v>
      </c>
      <c r="AP2" s="156"/>
    </row>
    <row r="3" spans="1:42">
      <c r="A3" s="157">
        <v>42125</v>
      </c>
      <c r="B3" s="158">
        <v>118.849</v>
      </c>
      <c r="C3" s="158">
        <v>119.328</v>
      </c>
      <c r="D3" s="158">
        <v>19.634</v>
      </c>
      <c r="F3" s="158">
        <v>93.489000000000004</v>
      </c>
      <c r="G3" s="158">
        <v>17.033999999999999</v>
      </c>
      <c r="I3" s="158">
        <v>25.338000000000001</v>
      </c>
      <c r="J3" s="158">
        <v>25.917000000000002</v>
      </c>
      <c r="K3" s="158">
        <v>17.446999999999999</v>
      </c>
      <c r="M3" s="158">
        <v>495.42099999999999</v>
      </c>
      <c r="N3" s="158">
        <v>89.48</v>
      </c>
      <c r="P3" s="158">
        <v>65.927999999999997</v>
      </c>
      <c r="Q3" s="158">
        <v>67.602000000000004</v>
      </c>
      <c r="R3" s="159">
        <f>MROUND(R4/Q4*Q3,0.25)</f>
        <v>10.75</v>
      </c>
      <c r="T3" s="158">
        <v>189.37899999999999</v>
      </c>
      <c r="U3" s="158">
        <v>175.006</v>
      </c>
      <c r="V3" s="158">
        <v>20.372</v>
      </c>
      <c r="X3" s="158">
        <v>248.87799999999999</v>
      </c>
      <c r="Y3" s="158">
        <v>60.308</v>
      </c>
      <c r="AA3" s="158">
        <v>67.807000000000002</v>
      </c>
      <c r="AB3" s="158">
        <v>77.195999999999998</v>
      </c>
      <c r="AC3" s="158">
        <v>28.753</v>
      </c>
      <c r="AE3" s="158">
        <v>296.90499999999997</v>
      </c>
      <c r="AF3" s="158">
        <v>298.733</v>
      </c>
      <c r="AG3" s="158">
        <v>98.909000000000006</v>
      </c>
      <c r="AI3" s="158">
        <v>102.098</v>
      </c>
      <c r="AJ3" s="158">
        <v>103.538</v>
      </c>
      <c r="AK3" s="159">
        <v>30</v>
      </c>
      <c r="AM3" s="158">
        <v>155.31899999999999</v>
      </c>
      <c r="AN3" s="158">
        <v>139.56800000000001</v>
      </c>
      <c r="AO3" s="158">
        <v>95.456000000000003</v>
      </c>
    </row>
    <row r="4" spans="1:42">
      <c r="A4" s="157">
        <v>42156</v>
      </c>
      <c r="B4" s="158">
        <v>116.705</v>
      </c>
      <c r="C4" s="158">
        <v>115.03100000000001</v>
      </c>
      <c r="D4" s="158">
        <v>18.84</v>
      </c>
      <c r="F4" s="158">
        <v>91.527000000000001</v>
      </c>
      <c r="G4" s="158">
        <v>15.885</v>
      </c>
      <c r="I4" s="158">
        <v>28.884</v>
      </c>
      <c r="J4" s="158">
        <v>28.704999999999998</v>
      </c>
      <c r="K4" s="158">
        <v>14.308</v>
      </c>
      <c r="M4" s="158">
        <v>473.23399999999998</v>
      </c>
      <c r="N4" s="158">
        <v>66.311000000000007</v>
      </c>
      <c r="P4" s="158">
        <v>71.688999999999993</v>
      </c>
      <c r="Q4" s="158">
        <v>72.203999999999994</v>
      </c>
      <c r="R4" s="159">
        <f t="shared" ref="R4:R67" si="0">MROUND(R5/Q5*Q4,0.25)</f>
        <v>11.5</v>
      </c>
      <c r="T4" s="158">
        <v>181.315</v>
      </c>
      <c r="U4" s="158">
        <v>178.86</v>
      </c>
      <c r="V4" s="158">
        <v>15.85</v>
      </c>
      <c r="X4" s="158">
        <v>235.04900000000001</v>
      </c>
      <c r="Y4" s="158">
        <v>49.411999999999999</v>
      </c>
      <c r="AA4" s="158">
        <v>64.251000000000005</v>
      </c>
      <c r="AB4" s="158">
        <v>65.558000000000007</v>
      </c>
      <c r="AC4" s="158">
        <v>31.895</v>
      </c>
      <c r="AE4" s="158">
        <v>284.10199999999998</v>
      </c>
      <c r="AF4" s="158">
        <v>297.32900000000001</v>
      </c>
      <c r="AG4" s="158">
        <v>92.078999999999994</v>
      </c>
      <c r="AI4" s="158">
        <v>86.15</v>
      </c>
      <c r="AJ4" s="158">
        <v>85.661000000000001</v>
      </c>
      <c r="AK4" s="159">
        <v>25</v>
      </c>
      <c r="AM4" s="158">
        <v>173.96700000000001</v>
      </c>
      <c r="AN4" s="158">
        <v>165.45099999999999</v>
      </c>
      <c r="AO4" s="158">
        <v>92.012</v>
      </c>
    </row>
    <row r="5" spans="1:42">
      <c r="A5" s="157">
        <v>42186</v>
      </c>
      <c r="B5" s="158">
        <v>107.58</v>
      </c>
      <c r="C5" s="158">
        <v>109.44199999999999</v>
      </c>
      <c r="D5" s="158">
        <v>15.131</v>
      </c>
      <c r="F5" s="158">
        <v>92.653000000000006</v>
      </c>
      <c r="G5" s="158">
        <v>17.744</v>
      </c>
      <c r="I5" s="158">
        <v>24.504000000000001</v>
      </c>
      <c r="J5" s="158">
        <v>29.664999999999999</v>
      </c>
      <c r="K5" s="158">
        <v>7.3929999999999998</v>
      </c>
      <c r="M5" s="158">
        <v>397.56900000000002</v>
      </c>
      <c r="N5" s="158">
        <v>63.128</v>
      </c>
      <c r="P5" s="158">
        <v>77.703999999999994</v>
      </c>
      <c r="Q5" s="158">
        <v>73.185000000000002</v>
      </c>
      <c r="R5" s="159">
        <f t="shared" si="0"/>
        <v>11.75</v>
      </c>
      <c r="T5" s="158">
        <v>173.661</v>
      </c>
      <c r="U5" s="158">
        <v>146.72900000000001</v>
      </c>
      <c r="V5" s="158">
        <v>18.658000000000001</v>
      </c>
      <c r="X5" s="158">
        <v>227.46600000000001</v>
      </c>
      <c r="Y5" s="158">
        <v>54.509</v>
      </c>
      <c r="AA5" s="158">
        <v>60.034999999999997</v>
      </c>
      <c r="AB5" s="158">
        <v>70.912000000000006</v>
      </c>
      <c r="AC5" s="158">
        <v>25.919</v>
      </c>
      <c r="AE5" s="158">
        <v>251.53</v>
      </c>
      <c r="AF5" s="158">
        <v>254.916</v>
      </c>
      <c r="AG5" s="158">
        <v>85.66</v>
      </c>
      <c r="AI5" s="158">
        <v>85.997</v>
      </c>
      <c r="AJ5" s="158">
        <v>95.950999999999993</v>
      </c>
      <c r="AK5" s="158">
        <v>31.125</v>
      </c>
      <c r="AM5" s="158">
        <v>155.23699999999999</v>
      </c>
      <c r="AN5" s="158">
        <v>145.39699999999999</v>
      </c>
      <c r="AO5" s="158">
        <v>93.150999999999996</v>
      </c>
    </row>
    <row r="6" spans="1:42">
      <c r="A6" s="157">
        <v>42217</v>
      </c>
      <c r="B6" s="158">
        <v>107.163</v>
      </c>
      <c r="C6" s="158">
        <v>103.818</v>
      </c>
      <c r="D6" s="158">
        <v>17.239999999999998</v>
      </c>
      <c r="F6" s="158">
        <v>97.549000000000007</v>
      </c>
      <c r="G6" s="158">
        <v>17.288</v>
      </c>
      <c r="I6" s="158">
        <v>32.119999999999997</v>
      </c>
      <c r="J6" s="158">
        <v>43.023000000000003</v>
      </c>
      <c r="K6" s="159">
        <f>AVERAGE(K5,K7)</f>
        <v>6.9145000000000003</v>
      </c>
      <c r="M6" s="158">
        <v>423.07900000000001</v>
      </c>
      <c r="N6" s="158">
        <v>71.561999999999998</v>
      </c>
      <c r="P6" s="158">
        <v>74.569000000000003</v>
      </c>
      <c r="Q6" s="158">
        <v>75.897999999999996</v>
      </c>
      <c r="R6" s="159">
        <f t="shared" si="0"/>
        <v>12.25</v>
      </c>
      <c r="T6" s="158">
        <v>190.82499999999999</v>
      </c>
      <c r="U6" s="158">
        <v>185.108</v>
      </c>
      <c r="V6" s="158">
        <v>18.193999999999999</v>
      </c>
      <c r="X6" s="158">
        <v>252.90100000000001</v>
      </c>
      <c r="Y6" s="158">
        <v>55.665999999999997</v>
      </c>
      <c r="AA6" s="158">
        <v>57.28</v>
      </c>
      <c r="AB6" s="158">
        <v>78.201999999999998</v>
      </c>
      <c r="AC6" s="158">
        <v>23.43</v>
      </c>
      <c r="AE6" s="158">
        <v>267.221</v>
      </c>
      <c r="AF6" s="158">
        <v>247.07300000000001</v>
      </c>
      <c r="AG6" s="158">
        <v>108.501</v>
      </c>
      <c r="AI6" s="158">
        <v>100.321</v>
      </c>
      <c r="AJ6" s="158">
        <v>106.374</v>
      </c>
      <c r="AK6" s="158">
        <v>28.2</v>
      </c>
      <c r="AM6" s="158">
        <v>160.92599999999999</v>
      </c>
      <c r="AN6" s="158">
        <v>152.346</v>
      </c>
      <c r="AO6" s="158">
        <v>98.283000000000001</v>
      </c>
    </row>
    <row r="7" spans="1:42">
      <c r="A7" s="157">
        <v>42248</v>
      </c>
      <c r="B7" s="158">
        <v>118.14400000000001</v>
      </c>
      <c r="C7" s="158">
        <v>122.376</v>
      </c>
      <c r="D7" s="158">
        <v>12.49</v>
      </c>
      <c r="F7" s="158">
        <v>100.57</v>
      </c>
      <c r="G7" s="158">
        <v>20.082000000000001</v>
      </c>
      <c r="I7" s="158">
        <v>31.434000000000001</v>
      </c>
      <c r="J7" s="158">
        <v>30.654</v>
      </c>
      <c r="K7" s="158">
        <v>6.4359999999999999</v>
      </c>
      <c r="M7" s="158">
        <v>493.28399999999999</v>
      </c>
      <c r="N7" s="158">
        <v>51.93</v>
      </c>
      <c r="P7" s="158">
        <v>78.227000000000004</v>
      </c>
      <c r="Q7" s="158">
        <v>80.406999999999996</v>
      </c>
      <c r="R7" s="159">
        <f t="shared" si="0"/>
        <v>13</v>
      </c>
      <c r="T7" s="158">
        <v>199.99799999999999</v>
      </c>
      <c r="U7" s="158">
        <v>190.13399999999999</v>
      </c>
      <c r="V7" s="158">
        <v>22.899000000000001</v>
      </c>
      <c r="X7" s="158">
        <v>261.44</v>
      </c>
      <c r="Y7" s="158">
        <v>60.970999999999997</v>
      </c>
      <c r="AA7" s="158">
        <v>85.849000000000004</v>
      </c>
      <c r="AB7" s="158">
        <v>95.652000000000001</v>
      </c>
      <c r="AC7" s="158">
        <v>29.013000000000002</v>
      </c>
      <c r="AE7" s="158">
        <v>270.02199999999999</v>
      </c>
      <c r="AF7" s="158">
        <v>277.32900000000001</v>
      </c>
      <c r="AG7" s="158">
        <v>93.731999999999999</v>
      </c>
      <c r="AI7" s="158">
        <v>84.581000000000003</v>
      </c>
      <c r="AJ7" s="158">
        <v>108.02</v>
      </c>
      <c r="AK7" s="158">
        <v>10.016</v>
      </c>
      <c r="AM7" s="158">
        <v>169.93799999999999</v>
      </c>
      <c r="AN7" s="158">
        <v>184.27199999999999</v>
      </c>
      <c r="AO7" s="158">
        <v>83.656000000000006</v>
      </c>
    </row>
    <row r="8" spans="1:42">
      <c r="A8" s="157">
        <v>42278</v>
      </c>
      <c r="B8" s="158">
        <v>114.187</v>
      </c>
      <c r="C8" s="158">
        <v>115.087</v>
      </c>
      <c r="D8" s="158">
        <v>11.337999999999999</v>
      </c>
      <c r="F8" s="158">
        <v>91.91</v>
      </c>
      <c r="G8" s="158">
        <v>19.777000000000001</v>
      </c>
      <c r="I8" s="158">
        <v>29.824999999999999</v>
      </c>
      <c r="J8" s="158">
        <v>28.841000000000001</v>
      </c>
      <c r="K8" s="158">
        <v>6.6760000000000002</v>
      </c>
      <c r="M8" s="158">
        <v>466.02</v>
      </c>
      <c r="N8" s="158">
        <v>60.677</v>
      </c>
      <c r="P8" s="158">
        <v>57.552</v>
      </c>
      <c r="Q8" s="158">
        <v>68.165000000000006</v>
      </c>
      <c r="R8" s="159">
        <f t="shared" si="0"/>
        <v>11</v>
      </c>
      <c r="T8" s="158">
        <v>202.70699999999999</v>
      </c>
      <c r="U8" s="158">
        <v>203.971</v>
      </c>
      <c r="V8" s="158">
        <v>18.545999999999999</v>
      </c>
      <c r="X8" s="158">
        <v>235.52799999999999</v>
      </c>
      <c r="Y8" s="158">
        <v>54.488</v>
      </c>
      <c r="AA8" s="158">
        <v>83.525999999999996</v>
      </c>
      <c r="AB8" s="158">
        <v>88.787999999999997</v>
      </c>
      <c r="AC8" s="158">
        <v>23.111999999999998</v>
      </c>
      <c r="AE8" s="158">
        <v>275.01600000000002</v>
      </c>
      <c r="AF8" s="158">
        <v>271.84199999999998</v>
      </c>
      <c r="AG8" s="158">
        <v>94.477999999999994</v>
      </c>
      <c r="AI8" s="158">
        <v>82.8</v>
      </c>
      <c r="AJ8" s="158">
        <v>89.168999999999997</v>
      </c>
      <c r="AK8" s="158">
        <v>13.260999999999999</v>
      </c>
      <c r="AM8" s="158">
        <v>151.88800000000001</v>
      </c>
      <c r="AN8" s="158">
        <v>159.74700000000001</v>
      </c>
      <c r="AO8" s="158">
        <v>75.132999999999996</v>
      </c>
    </row>
    <row r="9" spans="1:42">
      <c r="A9" s="157">
        <v>42309</v>
      </c>
      <c r="B9" s="158">
        <v>116.64700000000001</v>
      </c>
      <c r="C9" s="158">
        <v>117.54300000000001</v>
      </c>
      <c r="D9" s="158">
        <v>10.715</v>
      </c>
      <c r="F9" s="158">
        <v>98.132000000000005</v>
      </c>
      <c r="G9" s="158">
        <v>19.215</v>
      </c>
      <c r="I9" s="158">
        <v>32.776000000000003</v>
      </c>
      <c r="J9" s="158">
        <v>32.593000000000004</v>
      </c>
      <c r="K9" s="158">
        <v>6.3339999999999996</v>
      </c>
      <c r="M9" s="158">
        <v>488.08199999999999</v>
      </c>
      <c r="N9" s="158">
        <v>58.432000000000002</v>
      </c>
      <c r="P9" s="158">
        <v>56.695999999999998</v>
      </c>
      <c r="Q9" s="158">
        <v>55.378</v>
      </c>
      <c r="R9" s="159">
        <f t="shared" si="0"/>
        <v>9</v>
      </c>
      <c r="T9" s="158">
        <v>208.09200000000001</v>
      </c>
      <c r="U9" s="158">
        <v>204.6</v>
      </c>
      <c r="V9" s="158">
        <v>18.535</v>
      </c>
      <c r="X9" s="158">
        <v>250.46100000000001</v>
      </c>
      <c r="Y9" s="158">
        <v>50.244</v>
      </c>
      <c r="AA9" s="158">
        <v>83.941000000000003</v>
      </c>
      <c r="AB9" s="158">
        <v>84.042000000000002</v>
      </c>
      <c r="AC9" s="158">
        <v>23.25</v>
      </c>
      <c r="AE9" s="158">
        <v>303.99900000000002</v>
      </c>
      <c r="AF9" s="158">
        <v>303.54300000000001</v>
      </c>
      <c r="AG9" s="158">
        <v>92.335999999999999</v>
      </c>
      <c r="AI9" s="158">
        <v>105.33799999999999</v>
      </c>
      <c r="AJ9" s="158">
        <v>111.404</v>
      </c>
      <c r="AK9" s="158">
        <v>14.063000000000001</v>
      </c>
      <c r="AM9" s="158">
        <v>146.001</v>
      </c>
      <c r="AN9" s="158">
        <v>141.86699999999999</v>
      </c>
      <c r="AO9" s="158">
        <v>79.474999999999994</v>
      </c>
    </row>
    <row r="10" spans="1:42">
      <c r="A10" s="157">
        <v>42339</v>
      </c>
      <c r="B10" s="158">
        <v>117.902</v>
      </c>
      <c r="C10" s="158">
        <v>119.056</v>
      </c>
      <c r="D10" s="158">
        <v>9.2530000000000001</v>
      </c>
      <c r="F10" s="158">
        <v>90.908000000000001</v>
      </c>
      <c r="G10" s="158">
        <v>19.785</v>
      </c>
      <c r="I10" s="158">
        <v>29.998000000000001</v>
      </c>
      <c r="J10" s="158">
        <v>29.533999999999999</v>
      </c>
      <c r="K10" s="158">
        <v>8.6189999999999998</v>
      </c>
      <c r="M10" s="158">
        <v>511.22500000000002</v>
      </c>
      <c r="N10" s="158">
        <v>57.972000000000001</v>
      </c>
      <c r="P10" s="158">
        <v>56.127000000000002</v>
      </c>
      <c r="Q10" s="158">
        <v>57.100999999999999</v>
      </c>
      <c r="R10" s="159">
        <f t="shared" si="0"/>
        <v>9.25</v>
      </c>
      <c r="T10" s="158">
        <v>198.75299999999999</v>
      </c>
      <c r="U10" s="158">
        <v>192.601</v>
      </c>
      <c r="V10" s="158">
        <v>22.056000000000001</v>
      </c>
      <c r="X10" s="158">
        <v>236.453</v>
      </c>
      <c r="Y10" s="158">
        <v>53.622</v>
      </c>
      <c r="AA10" s="158">
        <v>78.930000000000007</v>
      </c>
      <c r="AB10" s="158">
        <v>86.352000000000004</v>
      </c>
      <c r="AC10" s="158">
        <v>16.667000000000002</v>
      </c>
      <c r="AE10" s="158">
        <v>287.20299999999997</v>
      </c>
      <c r="AF10" s="158">
        <v>288.84100000000001</v>
      </c>
      <c r="AG10" s="158">
        <v>90.866</v>
      </c>
      <c r="AI10" s="158">
        <v>94.1</v>
      </c>
      <c r="AJ10" s="158">
        <v>102.82</v>
      </c>
      <c r="AK10" s="158">
        <v>13.1</v>
      </c>
      <c r="AM10" s="158">
        <v>170.566</v>
      </c>
      <c r="AN10" s="158">
        <v>166.779</v>
      </c>
      <c r="AO10" s="158">
        <v>90.019000000000005</v>
      </c>
    </row>
    <row r="11" spans="1:42">
      <c r="A11" s="157">
        <v>42370</v>
      </c>
      <c r="B11" s="158">
        <v>111.92</v>
      </c>
      <c r="C11" s="158">
        <v>111.08</v>
      </c>
      <c r="D11" s="158">
        <v>10.395</v>
      </c>
      <c r="F11" s="158">
        <v>93.07</v>
      </c>
      <c r="G11" s="158">
        <v>18.277000000000001</v>
      </c>
      <c r="I11" s="158">
        <v>28.209</v>
      </c>
      <c r="J11" s="158">
        <v>31.14</v>
      </c>
      <c r="K11" s="158">
        <v>9.7910000000000004</v>
      </c>
      <c r="M11" s="158">
        <v>474.69900000000001</v>
      </c>
      <c r="N11" s="158">
        <v>54.36</v>
      </c>
      <c r="P11" s="158">
        <v>54.109000000000002</v>
      </c>
      <c r="Q11" s="158">
        <v>57.430999999999997</v>
      </c>
      <c r="R11" s="159">
        <f t="shared" si="0"/>
        <v>9.25</v>
      </c>
      <c r="T11" s="158">
        <v>197.011</v>
      </c>
      <c r="U11" s="158">
        <v>194.904</v>
      </c>
      <c r="V11" s="158">
        <v>21.459</v>
      </c>
      <c r="X11" s="158">
        <v>245.249</v>
      </c>
      <c r="Y11" s="158">
        <v>46.976999999999997</v>
      </c>
      <c r="AA11" s="158">
        <v>88.856999999999999</v>
      </c>
      <c r="AB11" s="158">
        <v>93.843000000000004</v>
      </c>
      <c r="AC11" s="158">
        <v>12.968999999999999</v>
      </c>
      <c r="AE11" s="158">
        <v>276.798</v>
      </c>
      <c r="AF11" s="158">
        <v>272.649</v>
      </c>
      <c r="AG11" s="158">
        <v>87.804000000000002</v>
      </c>
      <c r="AI11" s="158">
        <v>91.108999999999995</v>
      </c>
      <c r="AJ11" s="158">
        <v>99.876999999999995</v>
      </c>
      <c r="AK11" s="158">
        <v>15.428000000000001</v>
      </c>
      <c r="AM11" s="158">
        <v>147.71600000000001</v>
      </c>
      <c r="AN11" s="158">
        <v>164.03100000000001</v>
      </c>
      <c r="AO11" s="158">
        <v>74.152000000000001</v>
      </c>
    </row>
    <row r="12" spans="1:42">
      <c r="A12" s="157">
        <v>42401</v>
      </c>
      <c r="B12" s="158">
        <v>111.901</v>
      </c>
      <c r="C12" s="158">
        <v>110.19</v>
      </c>
      <c r="D12" s="158">
        <v>11.792999999999999</v>
      </c>
      <c r="F12" s="158">
        <v>98.225999999999999</v>
      </c>
      <c r="G12" s="158">
        <v>16.835999999999999</v>
      </c>
      <c r="I12" s="158">
        <v>35.325000000000003</v>
      </c>
      <c r="J12" s="158">
        <v>35.555999999999997</v>
      </c>
      <c r="K12" s="158">
        <v>10.472</v>
      </c>
      <c r="M12" s="158">
        <v>497.46199999999999</v>
      </c>
      <c r="N12" s="158">
        <v>45.911999999999999</v>
      </c>
      <c r="P12" s="158">
        <v>51.305</v>
      </c>
      <c r="Q12" s="158">
        <v>52.924999999999997</v>
      </c>
      <c r="R12" s="159">
        <f t="shared" si="0"/>
        <v>8.5</v>
      </c>
      <c r="T12" s="158">
        <v>206.596</v>
      </c>
      <c r="U12" s="158">
        <v>210.26300000000001</v>
      </c>
      <c r="V12" s="158">
        <v>17.594000000000001</v>
      </c>
      <c r="X12" s="158">
        <v>260.16199999999998</v>
      </c>
      <c r="Y12" s="158">
        <v>43.408000000000001</v>
      </c>
      <c r="AA12" s="158">
        <v>77.272000000000006</v>
      </c>
      <c r="AB12" s="158">
        <v>76.986999999999995</v>
      </c>
      <c r="AC12" s="158">
        <v>15.634</v>
      </c>
      <c r="AE12" s="158">
        <v>281.03800000000001</v>
      </c>
      <c r="AF12" s="158">
        <v>284.339</v>
      </c>
      <c r="AG12" s="158">
        <v>84.623000000000005</v>
      </c>
      <c r="AI12" s="158">
        <v>118.065</v>
      </c>
      <c r="AJ12" s="158">
        <v>126.167</v>
      </c>
      <c r="AK12" s="158">
        <v>12.946</v>
      </c>
      <c r="AM12" s="158">
        <v>160.255</v>
      </c>
      <c r="AN12" s="158">
        <v>155.55500000000001</v>
      </c>
      <c r="AO12" s="158">
        <v>80.905000000000001</v>
      </c>
    </row>
    <row r="13" spans="1:42">
      <c r="A13" s="157">
        <v>42430</v>
      </c>
      <c r="B13" s="158">
        <v>112.681</v>
      </c>
      <c r="C13" s="158">
        <v>110.81</v>
      </c>
      <c r="D13" s="158">
        <v>11.811</v>
      </c>
      <c r="F13" s="158">
        <v>96.025000000000006</v>
      </c>
      <c r="G13" s="158">
        <v>16.192</v>
      </c>
      <c r="I13" s="158">
        <v>26.542000000000002</v>
      </c>
      <c r="J13" s="158">
        <v>26.672999999999998</v>
      </c>
      <c r="K13" s="158">
        <v>11.497999999999999</v>
      </c>
      <c r="M13" s="158">
        <v>495.30700000000002</v>
      </c>
      <c r="N13" s="158">
        <v>45.463999999999999</v>
      </c>
      <c r="P13" s="158">
        <v>58.085000000000001</v>
      </c>
      <c r="Q13" s="158">
        <v>56.198</v>
      </c>
      <c r="R13" s="159">
        <f t="shared" si="0"/>
        <v>9</v>
      </c>
      <c r="T13" s="158">
        <v>207.255</v>
      </c>
      <c r="U13" s="158">
        <v>206.18199999999999</v>
      </c>
      <c r="V13" s="158">
        <v>19.844000000000001</v>
      </c>
      <c r="X13" s="158">
        <v>250.708</v>
      </c>
      <c r="Y13" s="158">
        <v>42.813000000000002</v>
      </c>
      <c r="AA13" s="158">
        <v>62.6</v>
      </c>
      <c r="AB13" s="158">
        <v>64.703999999999994</v>
      </c>
      <c r="AC13" s="158">
        <v>14.673999999999999</v>
      </c>
      <c r="AE13" s="158">
        <v>287.10199999999998</v>
      </c>
      <c r="AF13" s="158">
        <v>292.58199999999999</v>
      </c>
      <c r="AG13" s="158">
        <v>81.600999999999999</v>
      </c>
      <c r="AI13" s="158">
        <v>92.731999999999999</v>
      </c>
      <c r="AJ13" s="158">
        <v>104.11199999999999</v>
      </c>
      <c r="AK13" s="158">
        <v>13.189</v>
      </c>
      <c r="AM13" s="158">
        <v>194.203</v>
      </c>
      <c r="AN13" s="158">
        <v>181.58099999999999</v>
      </c>
      <c r="AO13" s="158">
        <v>92.853999999999999</v>
      </c>
    </row>
    <row r="14" spans="1:42">
      <c r="A14" s="157">
        <v>42461</v>
      </c>
      <c r="B14" s="158">
        <v>111.10299999999999</v>
      </c>
      <c r="C14" s="158">
        <v>111.044</v>
      </c>
      <c r="D14" s="158">
        <v>11.968999999999999</v>
      </c>
      <c r="F14" s="158">
        <v>94.072000000000003</v>
      </c>
      <c r="G14" s="158">
        <v>19.795000000000002</v>
      </c>
      <c r="I14" s="158">
        <v>28.245000000000001</v>
      </c>
      <c r="J14" s="158">
        <v>28.718</v>
      </c>
      <c r="K14" s="158">
        <v>12.416</v>
      </c>
      <c r="M14" s="158">
        <v>469.17700000000002</v>
      </c>
      <c r="N14" s="158">
        <v>43.427999999999997</v>
      </c>
      <c r="P14" s="158">
        <v>55.198</v>
      </c>
      <c r="Q14" s="158">
        <v>55.881</v>
      </c>
      <c r="R14" s="159">
        <f t="shared" si="0"/>
        <v>9</v>
      </c>
      <c r="T14" s="158">
        <v>198.25700000000001</v>
      </c>
      <c r="U14" s="158">
        <v>196.73400000000001</v>
      </c>
      <c r="V14" s="158">
        <v>21.347000000000001</v>
      </c>
      <c r="X14" s="158">
        <v>246.19300000000001</v>
      </c>
      <c r="Y14" s="158">
        <v>50.497999999999998</v>
      </c>
      <c r="AA14" s="158">
        <v>76.063999999999993</v>
      </c>
      <c r="AB14" s="158">
        <v>76.078000000000003</v>
      </c>
      <c r="AC14" s="158">
        <v>16.213999999999999</v>
      </c>
      <c r="AE14" s="158">
        <v>275.43400000000003</v>
      </c>
      <c r="AF14" s="158">
        <v>281.517</v>
      </c>
      <c r="AG14" s="158">
        <v>76.974000000000004</v>
      </c>
      <c r="AI14" s="158">
        <v>84.55</v>
      </c>
      <c r="AJ14" s="158">
        <v>92.387</v>
      </c>
      <c r="AK14" s="158">
        <v>12.407999999999999</v>
      </c>
      <c r="AM14" s="158">
        <v>167.30099999999999</v>
      </c>
      <c r="AN14" s="158">
        <v>171.40299999999999</v>
      </c>
      <c r="AO14" s="158">
        <v>86.614000000000004</v>
      </c>
    </row>
    <row r="15" spans="1:42">
      <c r="A15" s="157">
        <v>42491</v>
      </c>
      <c r="B15" s="158">
        <v>116.462</v>
      </c>
      <c r="C15" s="158">
        <v>115.46299999999999</v>
      </c>
      <c r="D15" s="158">
        <v>12.861000000000001</v>
      </c>
      <c r="F15" s="158">
        <v>97.415000000000006</v>
      </c>
      <c r="G15" s="158">
        <v>20.673999999999999</v>
      </c>
      <c r="I15" s="158">
        <v>31.471</v>
      </c>
      <c r="J15" s="158">
        <v>30.376000000000001</v>
      </c>
      <c r="K15" s="158">
        <v>12.486000000000001</v>
      </c>
      <c r="M15" s="158">
        <v>510.65300000000002</v>
      </c>
      <c r="N15" s="158">
        <v>46.802999999999997</v>
      </c>
      <c r="P15" s="158">
        <v>59.082000000000001</v>
      </c>
      <c r="Q15" s="158">
        <v>60.418999999999997</v>
      </c>
      <c r="R15" s="159">
        <f t="shared" si="0"/>
        <v>9.75</v>
      </c>
      <c r="T15" s="158">
        <v>211.672</v>
      </c>
      <c r="U15" s="158">
        <v>211.49299999999999</v>
      </c>
      <c r="V15" s="158">
        <v>21.55</v>
      </c>
      <c r="X15" s="158">
        <v>262.63400000000001</v>
      </c>
      <c r="Y15" s="158">
        <v>55.625999999999998</v>
      </c>
      <c r="AA15" s="158">
        <v>83.168999999999997</v>
      </c>
      <c r="AB15" s="158">
        <v>84.325000000000003</v>
      </c>
      <c r="AC15" s="158">
        <v>16.808</v>
      </c>
      <c r="AE15" s="158">
        <v>291.74299999999999</v>
      </c>
      <c r="AF15" s="158">
        <v>290.77</v>
      </c>
      <c r="AG15" s="158">
        <v>71.353999999999999</v>
      </c>
      <c r="AI15" s="158">
        <v>112.54600000000001</v>
      </c>
      <c r="AJ15" s="158">
        <v>120.518</v>
      </c>
      <c r="AK15" s="158">
        <v>12.358000000000001</v>
      </c>
      <c r="AM15" s="158">
        <v>166.72399999999999</v>
      </c>
      <c r="AN15" s="158">
        <v>170.95099999999999</v>
      </c>
      <c r="AO15" s="158">
        <v>79.929000000000002</v>
      </c>
    </row>
    <row r="16" spans="1:42">
      <c r="A16" s="157">
        <v>42522</v>
      </c>
      <c r="B16" s="158">
        <v>115.55800000000001</v>
      </c>
      <c r="C16" s="158">
        <v>115.517</v>
      </c>
      <c r="D16" s="158">
        <v>12.824999999999999</v>
      </c>
      <c r="F16" s="158">
        <v>98.91</v>
      </c>
      <c r="G16" s="158">
        <v>17.725999999999999</v>
      </c>
      <c r="I16" s="158">
        <v>27.802</v>
      </c>
      <c r="J16" s="158">
        <v>29.917999999999999</v>
      </c>
      <c r="K16" s="158">
        <v>10.253</v>
      </c>
      <c r="M16" s="158">
        <v>492.23899999999998</v>
      </c>
      <c r="N16" s="158">
        <v>45.154000000000003</v>
      </c>
      <c r="P16" s="158">
        <v>59.515000000000001</v>
      </c>
      <c r="Q16" s="158">
        <v>56.859000000000002</v>
      </c>
      <c r="R16" s="159">
        <f t="shared" si="0"/>
        <v>9.25</v>
      </c>
      <c r="T16" s="158">
        <v>209.32400000000001</v>
      </c>
      <c r="U16" s="158">
        <v>209.15600000000001</v>
      </c>
      <c r="V16" s="158">
        <v>21.713999999999999</v>
      </c>
      <c r="X16" s="158">
        <v>254.393</v>
      </c>
      <c r="Y16" s="158">
        <v>43.738</v>
      </c>
      <c r="AA16" s="158">
        <v>74.099999999999994</v>
      </c>
      <c r="AB16" s="158">
        <v>75.945999999999998</v>
      </c>
      <c r="AC16" s="158">
        <v>16.177</v>
      </c>
      <c r="AE16" s="158">
        <v>290.23500000000001</v>
      </c>
      <c r="AF16" s="158">
        <v>287.12099999999998</v>
      </c>
      <c r="AG16" s="158">
        <v>78.061000000000007</v>
      </c>
      <c r="AI16" s="158">
        <v>97.703999999999994</v>
      </c>
      <c r="AJ16" s="158">
        <v>106.15</v>
      </c>
      <c r="AK16" s="158">
        <v>13.02</v>
      </c>
      <c r="AM16" s="158">
        <v>181.81200000000001</v>
      </c>
      <c r="AN16" s="158">
        <v>186.012</v>
      </c>
      <c r="AO16" s="158">
        <v>77.887</v>
      </c>
    </row>
    <row r="17" spans="1:41">
      <c r="A17" s="157">
        <v>42552</v>
      </c>
      <c r="B17" s="158">
        <v>95.777000000000001</v>
      </c>
      <c r="C17" s="158">
        <v>96.897000000000006</v>
      </c>
      <c r="D17" s="158">
        <v>12.252000000000001</v>
      </c>
      <c r="F17" s="158">
        <v>91.724999999999994</v>
      </c>
      <c r="G17" s="158">
        <v>19.076000000000001</v>
      </c>
      <c r="I17" s="158">
        <v>22.838000000000001</v>
      </c>
      <c r="J17" s="158">
        <v>27.791</v>
      </c>
      <c r="K17" s="158">
        <v>11.250999999999999</v>
      </c>
      <c r="M17" s="158">
        <v>444.64299999999997</v>
      </c>
      <c r="N17" s="158">
        <v>49.154000000000003</v>
      </c>
      <c r="P17" s="158">
        <v>56.707999999999998</v>
      </c>
      <c r="Q17" s="158">
        <v>50.859000000000002</v>
      </c>
      <c r="R17" s="159">
        <f t="shared" si="0"/>
        <v>8.25</v>
      </c>
      <c r="T17" s="158">
        <v>191.21899999999999</v>
      </c>
      <c r="U17" s="158">
        <v>191.27699999999999</v>
      </c>
      <c r="V17" s="158">
        <v>21.652000000000001</v>
      </c>
      <c r="X17" s="158">
        <v>237.46899999999999</v>
      </c>
      <c r="Y17" s="158">
        <v>46.749000000000002</v>
      </c>
      <c r="AA17" s="158">
        <v>67.837000000000003</v>
      </c>
      <c r="AB17" s="158">
        <v>69.760000000000005</v>
      </c>
      <c r="AC17" s="158">
        <v>15.862</v>
      </c>
      <c r="AE17" s="158">
        <v>267.04500000000002</v>
      </c>
      <c r="AF17" s="158">
        <v>260.95800000000003</v>
      </c>
      <c r="AG17" s="158">
        <v>81.100999999999999</v>
      </c>
      <c r="AI17" s="158">
        <v>85.728999999999999</v>
      </c>
      <c r="AJ17" s="158">
        <v>91.622</v>
      </c>
      <c r="AK17" s="158">
        <v>13.475</v>
      </c>
      <c r="AM17" s="158">
        <v>158.542</v>
      </c>
      <c r="AN17" s="158">
        <v>163.55500000000001</v>
      </c>
      <c r="AO17" s="158">
        <v>74.227999999999994</v>
      </c>
    </row>
    <row r="18" spans="1:41">
      <c r="A18" s="157">
        <v>42583</v>
      </c>
      <c r="B18" s="158">
        <v>114.60299999999999</v>
      </c>
      <c r="C18" s="158">
        <v>115.996</v>
      </c>
      <c r="D18" s="158">
        <v>11.268000000000001</v>
      </c>
      <c r="F18" s="158">
        <v>101.611</v>
      </c>
      <c r="G18" s="158">
        <v>20.373000000000001</v>
      </c>
      <c r="I18" s="158">
        <v>27.542000000000002</v>
      </c>
      <c r="J18" s="158">
        <v>28.872</v>
      </c>
      <c r="K18" s="158">
        <v>8.2759999999999998</v>
      </c>
      <c r="M18" s="158">
        <v>523.65599999999995</v>
      </c>
      <c r="N18" s="158">
        <v>49.067</v>
      </c>
      <c r="P18" s="158">
        <v>53.021999999999998</v>
      </c>
      <c r="Q18" s="158">
        <v>50.439</v>
      </c>
      <c r="R18" s="159">
        <f t="shared" si="0"/>
        <v>8.25</v>
      </c>
      <c r="T18" s="158">
        <v>220.41800000000001</v>
      </c>
      <c r="U18" s="158">
        <v>217.721</v>
      </c>
      <c r="V18" s="158">
        <v>24.937000000000001</v>
      </c>
      <c r="X18" s="158">
        <v>269.45100000000002</v>
      </c>
      <c r="Y18" s="158">
        <v>59.167999999999999</v>
      </c>
      <c r="AA18" s="158">
        <v>79.710999999999999</v>
      </c>
      <c r="AB18" s="158">
        <v>81.364999999999995</v>
      </c>
      <c r="AC18" s="158">
        <v>16.736999999999998</v>
      </c>
      <c r="AE18" s="158">
        <v>304.113</v>
      </c>
      <c r="AF18" s="158">
        <v>304.93799999999999</v>
      </c>
      <c r="AG18" s="158">
        <v>82.903999999999996</v>
      </c>
      <c r="AI18" s="158">
        <v>117.708</v>
      </c>
      <c r="AJ18" s="158">
        <v>124.52800000000001</v>
      </c>
      <c r="AK18" s="158">
        <v>10.432</v>
      </c>
      <c r="AM18" s="158">
        <v>172.99</v>
      </c>
      <c r="AN18" s="158">
        <v>164.96799999999999</v>
      </c>
      <c r="AO18" s="158">
        <v>84.021000000000001</v>
      </c>
    </row>
    <row r="19" spans="1:41">
      <c r="A19" s="157">
        <v>42614</v>
      </c>
      <c r="B19" s="158">
        <v>112.21599999999999</v>
      </c>
      <c r="C19" s="158">
        <v>110.83199999999999</v>
      </c>
      <c r="D19" s="158">
        <v>13.077</v>
      </c>
      <c r="F19" s="158">
        <v>96.960999999999999</v>
      </c>
      <c r="G19" s="158">
        <v>18.46</v>
      </c>
      <c r="I19" s="158">
        <v>30.361999999999998</v>
      </c>
      <c r="J19" s="158">
        <v>29.844999999999999</v>
      </c>
      <c r="K19" s="158">
        <v>9.1440000000000001</v>
      </c>
      <c r="M19" s="158">
        <v>489.60599999999999</v>
      </c>
      <c r="N19" s="158">
        <v>56.741</v>
      </c>
      <c r="P19" s="158">
        <v>60.356999999999999</v>
      </c>
      <c r="Q19" s="158">
        <v>62.161000000000001</v>
      </c>
      <c r="R19" s="159">
        <f t="shared" si="0"/>
        <v>10.25</v>
      </c>
      <c r="T19" s="158">
        <v>209.20599999999999</v>
      </c>
      <c r="U19" s="158">
        <v>211.536</v>
      </c>
      <c r="V19" s="158">
        <v>22.649000000000001</v>
      </c>
      <c r="X19" s="158">
        <v>259.23399999999998</v>
      </c>
      <c r="Y19" s="158">
        <v>57.767000000000003</v>
      </c>
      <c r="AA19" s="158">
        <v>68.840999999999994</v>
      </c>
      <c r="AB19" s="158">
        <v>69.2</v>
      </c>
      <c r="AC19" s="158">
        <v>17.062000000000001</v>
      </c>
      <c r="AE19" s="158">
        <v>310.89800000000002</v>
      </c>
      <c r="AF19" s="158">
        <v>310.37700000000001</v>
      </c>
      <c r="AG19" s="158">
        <v>84.911000000000001</v>
      </c>
      <c r="AI19" s="158">
        <v>103.861</v>
      </c>
      <c r="AJ19" s="158">
        <v>111.19799999999999</v>
      </c>
      <c r="AK19" s="158">
        <v>13.135999999999999</v>
      </c>
      <c r="AM19" s="158">
        <v>183.125</v>
      </c>
      <c r="AN19" s="158">
        <v>178.108</v>
      </c>
      <c r="AO19" s="158">
        <v>89.281000000000006</v>
      </c>
    </row>
    <row r="20" spans="1:41">
      <c r="A20" s="157">
        <v>42644</v>
      </c>
      <c r="B20" s="158">
        <v>116.18300000000001</v>
      </c>
      <c r="C20" s="158">
        <v>115.514</v>
      </c>
      <c r="D20" s="158">
        <v>13.914</v>
      </c>
      <c r="F20" s="158">
        <v>93.992000000000004</v>
      </c>
      <c r="G20" s="158">
        <v>23.806000000000001</v>
      </c>
      <c r="I20" s="158">
        <v>33.270000000000003</v>
      </c>
      <c r="J20" s="158">
        <v>33.841000000000001</v>
      </c>
      <c r="K20" s="158">
        <v>7.2549999999999999</v>
      </c>
      <c r="M20" s="158">
        <v>491.45499999999998</v>
      </c>
      <c r="N20" s="158">
        <v>58.536000000000001</v>
      </c>
      <c r="P20" s="158">
        <v>78.085999999999999</v>
      </c>
      <c r="Q20" s="158">
        <v>86.207999999999998</v>
      </c>
      <c r="R20" s="159">
        <f t="shared" si="0"/>
        <v>14.25</v>
      </c>
      <c r="T20" s="158">
        <v>197.48</v>
      </c>
      <c r="U20" s="158">
        <v>196.654</v>
      </c>
      <c r="V20" s="158">
        <v>23.47</v>
      </c>
      <c r="X20" s="158">
        <v>250.06200000000001</v>
      </c>
      <c r="Y20" s="158">
        <v>64.897000000000006</v>
      </c>
      <c r="AA20" s="158">
        <v>67.281000000000006</v>
      </c>
      <c r="AB20" s="158">
        <v>71.007000000000005</v>
      </c>
      <c r="AC20" s="158">
        <v>15.23</v>
      </c>
      <c r="AE20" s="158">
        <v>284.78199999999998</v>
      </c>
      <c r="AF20" s="158">
        <v>287.01</v>
      </c>
      <c r="AG20" s="158">
        <v>92.57</v>
      </c>
      <c r="AI20" s="158">
        <v>110.249</v>
      </c>
      <c r="AJ20" s="158">
        <v>118.756</v>
      </c>
      <c r="AK20" s="158">
        <v>12.207000000000001</v>
      </c>
      <c r="AM20" s="158">
        <v>157.01900000000001</v>
      </c>
      <c r="AN20" s="158">
        <v>161.47200000000001</v>
      </c>
      <c r="AO20" s="158">
        <v>84.075999999999993</v>
      </c>
    </row>
    <row r="21" spans="1:41">
      <c r="A21" s="157">
        <v>42675</v>
      </c>
      <c r="B21" s="158">
        <v>127.696</v>
      </c>
      <c r="C21" s="158">
        <v>128.05199999999999</v>
      </c>
      <c r="D21" s="158">
        <v>13.656000000000001</v>
      </c>
      <c r="F21" s="158">
        <v>103.76</v>
      </c>
      <c r="G21" s="158">
        <v>22.997</v>
      </c>
      <c r="I21" s="158">
        <v>35.67</v>
      </c>
      <c r="J21" s="158">
        <v>37.204000000000001</v>
      </c>
      <c r="K21" s="158">
        <v>7.6609999999999996</v>
      </c>
      <c r="M21" s="158">
        <v>548.07299999999998</v>
      </c>
      <c r="N21" s="158">
        <v>62.871000000000002</v>
      </c>
      <c r="P21" s="158">
        <v>85.048000000000002</v>
      </c>
      <c r="Q21" s="158">
        <v>77.543000000000006</v>
      </c>
      <c r="R21" s="159">
        <f t="shared" si="0"/>
        <v>12.75</v>
      </c>
      <c r="T21" s="158">
        <v>207.19399999999999</v>
      </c>
      <c r="U21" s="158">
        <v>204.03800000000001</v>
      </c>
      <c r="V21" s="158">
        <v>26.54</v>
      </c>
      <c r="X21" s="158">
        <v>254.46199999999999</v>
      </c>
      <c r="Y21" s="158">
        <v>64.465000000000003</v>
      </c>
      <c r="AA21" s="158">
        <v>81.756</v>
      </c>
      <c r="AB21" s="158">
        <v>85.475999999999999</v>
      </c>
      <c r="AC21" s="158">
        <v>15.792</v>
      </c>
      <c r="AE21" s="158">
        <v>316.29599999999999</v>
      </c>
      <c r="AF21" s="158">
        <v>316</v>
      </c>
      <c r="AG21" s="158">
        <v>85.897000000000006</v>
      </c>
      <c r="AI21" s="158">
        <v>125.974</v>
      </c>
      <c r="AJ21" s="158">
        <v>130.30699999999999</v>
      </c>
      <c r="AK21" s="158">
        <v>14.608000000000001</v>
      </c>
      <c r="AM21" s="158">
        <v>161.55000000000001</v>
      </c>
      <c r="AN21" s="158">
        <v>156.209</v>
      </c>
      <c r="AO21" s="158">
        <v>87.200999999999993</v>
      </c>
    </row>
    <row r="22" spans="1:41">
      <c r="A22" s="157">
        <v>42705</v>
      </c>
      <c r="B22" s="158">
        <v>121.4</v>
      </c>
      <c r="C22" s="158">
        <v>124.399</v>
      </c>
      <c r="D22" s="158">
        <v>10.462999999999999</v>
      </c>
      <c r="F22" s="158">
        <v>96.484999999999999</v>
      </c>
      <c r="G22" s="158">
        <v>17.039000000000001</v>
      </c>
      <c r="I22" s="158">
        <v>41.585999999999999</v>
      </c>
      <c r="J22" s="158">
        <v>42.776000000000003</v>
      </c>
      <c r="K22" s="159">
        <f>AVERAGE(K23,K21)</f>
        <v>8.2050000000000001</v>
      </c>
      <c r="M22" s="158">
        <v>540.87</v>
      </c>
      <c r="N22" s="158">
        <v>60.232999999999997</v>
      </c>
      <c r="P22" s="158">
        <v>70.212999999999994</v>
      </c>
      <c r="Q22" s="158">
        <v>72.635000000000005</v>
      </c>
      <c r="R22" s="159">
        <f t="shared" si="0"/>
        <v>12</v>
      </c>
      <c r="T22" s="158">
        <v>198.816</v>
      </c>
      <c r="U22" s="158">
        <v>204.48699999999999</v>
      </c>
      <c r="V22" s="158">
        <v>20.637</v>
      </c>
      <c r="X22" s="158">
        <v>257.02999999999997</v>
      </c>
      <c r="Y22" s="158">
        <v>49.845999999999997</v>
      </c>
      <c r="AA22" s="158">
        <v>75.620999999999995</v>
      </c>
      <c r="AB22" s="158">
        <v>75.239999999999995</v>
      </c>
      <c r="AC22" s="158">
        <v>23.393999999999998</v>
      </c>
      <c r="AE22" s="158">
        <v>314.08</v>
      </c>
      <c r="AF22" s="158">
        <v>309.464</v>
      </c>
      <c r="AG22" s="158">
        <v>89.8</v>
      </c>
      <c r="AI22" s="158">
        <v>99.891000000000005</v>
      </c>
      <c r="AJ22" s="158">
        <v>108.41800000000001</v>
      </c>
      <c r="AK22" s="158">
        <v>17.54</v>
      </c>
      <c r="AM22" s="158">
        <v>169.01300000000001</v>
      </c>
      <c r="AN22" s="158">
        <v>181.148</v>
      </c>
      <c r="AO22" s="158">
        <v>76.162999999999997</v>
      </c>
    </row>
    <row r="23" spans="1:41">
      <c r="A23" s="157">
        <v>42736</v>
      </c>
      <c r="B23" s="158">
        <v>113.02500000000001</v>
      </c>
      <c r="C23" s="158">
        <v>112.18899999999999</v>
      </c>
      <c r="D23" s="158">
        <v>13.569000000000001</v>
      </c>
      <c r="F23" s="158">
        <v>92.182000000000002</v>
      </c>
      <c r="G23" s="158">
        <v>17.693999999999999</v>
      </c>
      <c r="I23" s="158">
        <v>26.460999999999999</v>
      </c>
      <c r="J23" s="158">
        <v>26.771000000000001</v>
      </c>
      <c r="K23" s="158">
        <v>8.7490000000000006</v>
      </c>
      <c r="M23" s="158">
        <v>521.35299999999995</v>
      </c>
      <c r="N23" s="158">
        <v>63.863</v>
      </c>
      <c r="P23" s="158">
        <v>68.664000000000001</v>
      </c>
      <c r="Q23" s="158">
        <v>84.555999999999997</v>
      </c>
      <c r="R23" s="159">
        <f t="shared" si="0"/>
        <v>14</v>
      </c>
      <c r="T23" s="158">
        <v>190.07</v>
      </c>
      <c r="U23" s="158">
        <v>189.64599999999999</v>
      </c>
      <c r="V23" s="158">
        <v>20.663</v>
      </c>
      <c r="X23" s="158">
        <v>252.208</v>
      </c>
      <c r="Y23" s="158">
        <v>49.86</v>
      </c>
      <c r="AA23" s="158">
        <v>70.382999999999996</v>
      </c>
      <c r="AB23" s="158">
        <v>76.046999999999997</v>
      </c>
      <c r="AC23" s="158">
        <v>17.783999999999999</v>
      </c>
      <c r="AE23" s="158">
        <v>301.82600000000002</v>
      </c>
      <c r="AF23" s="158">
        <v>286.762</v>
      </c>
      <c r="AG23" s="158">
        <v>103.11799999999999</v>
      </c>
      <c r="AI23" s="158">
        <v>95.808999999999997</v>
      </c>
      <c r="AJ23" s="158">
        <v>113.90300000000001</v>
      </c>
      <c r="AK23" s="158">
        <v>12.414999999999999</v>
      </c>
      <c r="AM23" s="158">
        <v>161.08500000000001</v>
      </c>
      <c r="AN23" s="158">
        <v>146.82</v>
      </c>
      <c r="AO23" s="158">
        <v>90.07</v>
      </c>
    </row>
    <row r="24" spans="1:41">
      <c r="A24" s="157">
        <v>42767</v>
      </c>
      <c r="B24" s="158">
        <v>120.739</v>
      </c>
      <c r="C24" s="158">
        <v>122.163</v>
      </c>
      <c r="D24" s="158">
        <v>11.287000000000001</v>
      </c>
      <c r="F24" s="158">
        <v>98.858000000000004</v>
      </c>
      <c r="G24" s="158">
        <v>19.324000000000002</v>
      </c>
      <c r="I24" s="158">
        <v>33.414999999999999</v>
      </c>
      <c r="J24" s="158">
        <v>32.845999999999997</v>
      </c>
      <c r="K24" s="158">
        <v>10.433</v>
      </c>
      <c r="M24" s="158">
        <v>546.75</v>
      </c>
      <c r="N24" s="158">
        <v>64.11</v>
      </c>
      <c r="P24" s="158">
        <v>71.216999999999999</v>
      </c>
      <c r="Q24" s="158">
        <v>69.706999999999994</v>
      </c>
      <c r="R24" s="159">
        <f t="shared" si="0"/>
        <v>11.5</v>
      </c>
      <c r="T24" s="158">
        <v>202.624</v>
      </c>
      <c r="U24" s="158">
        <v>203.41300000000001</v>
      </c>
      <c r="V24" s="158">
        <v>19.466000000000001</v>
      </c>
      <c r="X24" s="158">
        <v>266.61399999999998</v>
      </c>
      <c r="Y24" s="158">
        <v>45.920999999999999</v>
      </c>
      <c r="AA24" s="158">
        <v>71.977999999999994</v>
      </c>
      <c r="AB24" s="158">
        <v>71.408000000000001</v>
      </c>
      <c r="AC24" s="158">
        <v>18.382999999999999</v>
      </c>
      <c r="AE24" s="158">
        <v>333.887</v>
      </c>
      <c r="AF24" s="158">
        <v>327.57</v>
      </c>
      <c r="AG24" s="158">
        <v>88.44</v>
      </c>
      <c r="AI24" s="158">
        <v>114.63</v>
      </c>
      <c r="AJ24" s="158">
        <v>121.85599999999999</v>
      </c>
      <c r="AK24" s="159">
        <f>MROUND(AC24*0.5269+5.026,0.1)</f>
        <v>14.700000000000001</v>
      </c>
      <c r="AM24" s="158">
        <v>157.786</v>
      </c>
      <c r="AN24" s="158">
        <v>155.96700000000001</v>
      </c>
      <c r="AO24" s="158">
        <v>91.706999999999994</v>
      </c>
    </row>
    <row r="25" spans="1:41">
      <c r="A25" s="157">
        <v>42795</v>
      </c>
      <c r="B25" s="158">
        <v>110.196</v>
      </c>
      <c r="C25" s="158">
        <v>112.753</v>
      </c>
      <c r="D25" s="158">
        <v>8.6349999999999998</v>
      </c>
      <c r="F25" s="158">
        <v>97.129000000000005</v>
      </c>
      <c r="G25" s="158">
        <v>18.655000000000001</v>
      </c>
      <c r="I25" s="158">
        <v>27.077999999999999</v>
      </c>
      <c r="J25" s="158">
        <v>28.047999999999998</v>
      </c>
      <c r="K25" s="158">
        <v>9.2639999999999993</v>
      </c>
      <c r="M25" s="158">
        <v>456.88499999999999</v>
      </c>
      <c r="N25" s="158">
        <v>53.914000000000001</v>
      </c>
      <c r="P25" s="158">
        <v>76.569000000000003</v>
      </c>
      <c r="Q25" s="158">
        <v>80.397000000000006</v>
      </c>
      <c r="R25" s="159">
        <f t="shared" si="0"/>
        <v>13.25</v>
      </c>
      <c r="T25" s="158">
        <v>197.09</v>
      </c>
      <c r="U25" s="158">
        <v>196.70400000000001</v>
      </c>
      <c r="V25" s="158">
        <v>20.43</v>
      </c>
      <c r="X25" s="158">
        <v>262.80599999999998</v>
      </c>
      <c r="Y25" s="158">
        <v>49.515999999999998</v>
      </c>
      <c r="AA25" s="158">
        <v>79.287000000000006</v>
      </c>
      <c r="AB25" s="158">
        <v>82.037000000000006</v>
      </c>
      <c r="AC25" s="158">
        <v>16.78</v>
      </c>
      <c r="AE25" s="158">
        <v>321.43</v>
      </c>
      <c r="AF25" s="158">
        <v>328.08800000000002</v>
      </c>
      <c r="AG25" s="158">
        <v>78.27</v>
      </c>
      <c r="AI25" s="158">
        <v>82.930999999999997</v>
      </c>
      <c r="AJ25" s="158">
        <v>93.093000000000004</v>
      </c>
      <c r="AK25" s="159">
        <f t="shared" ref="AK25:AK33" si="1">MROUND(AC25*0.5269+5.026,0.1)</f>
        <v>13.9</v>
      </c>
      <c r="AM25" s="158">
        <v>174.47900000000001</v>
      </c>
      <c r="AN25" s="158">
        <v>182.93700000000001</v>
      </c>
      <c r="AO25" s="158">
        <v>77.811000000000007</v>
      </c>
    </row>
    <row r="26" spans="1:41">
      <c r="A26" s="157">
        <v>42826</v>
      </c>
      <c r="B26" s="158">
        <v>101.511</v>
      </c>
      <c r="C26" s="158">
        <v>102.104</v>
      </c>
      <c r="D26" s="158">
        <v>8.1969999999999992</v>
      </c>
      <c r="F26" s="158">
        <v>94.978999999999999</v>
      </c>
      <c r="G26" s="158">
        <v>22.452000000000002</v>
      </c>
      <c r="I26" s="158">
        <v>28.099</v>
      </c>
      <c r="J26" s="158">
        <v>28.242999999999999</v>
      </c>
      <c r="K26" s="158">
        <v>9.74</v>
      </c>
      <c r="M26" s="158">
        <v>492.745</v>
      </c>
      <c r="N26" s="158">
        <v>49.284999999999997</v>
      </c>
      <c r="P26" s="158">
        <v>63.417999999999999</v>
      </c>
      <c r="Q26" s="158">
        <v>61.887999999999998</v>
      </c>
      <c r="R26" s="159">
        <f t="shared" si="0"/>
        <v>10.25</v>
      </c>
      <c r="T26" s="158">
        <v>188.76300000000001</v>
      </c>
      <c r="U26" s="158">
        <v>185.035</v>
      </c>
      <c r="V26" s="158">
        <v>23.706</v>
      </c>
      <c r="X26" s="158">
        <v>245.79599999999999</v>
      </c>
      <c r="Y26" s="158">
        <v>49.515999999999998</v>
      </c>
      <c r="AA26" s="158">
        <v>72.412999999999997</v>
      </c>
      <c r="AB26" s="158">
        <v>73.89</v>
      </c>
      <c r="AC26" s="158">
        <v>16.655000000000001</v>
      </c>
      <c r="AE26" s="158">
        <v>289.60399999999998</v>
      </c>
      <c r="AF26" s="158">
        <v>301.18400000000003</v>
      </c>
      <c r="AG26" s="158">
        <v>71.125</v>
      </c>
      <c r="AI26" s="158">
        <v>89.712999999999994</v>
      </c>
      <c r="AJ26" s="158">
        <v>99.811000000000007</v>
      </c>
      <c r="AK26" s="159">
        <f t="shared" si="1"/>
        <v>13.8</v>
      </c>
      <c r="AM26" s="158">
        <v>158.108</v>
      </c>
      <c r="AN26" s="158">
        <v>150.161</v>
      </c>
      <c r="AO26" s="158">
        <v>88.838999999999999</v>
      </c>
    </row>
    <row r="27" spans="1:41">
      <c r="A27" s="157">
        <v>42856</v>
      </c>
      <c r="B27" s="158">
        <v>108.828</v>
      </c>
      <c r="C27" s="158">
        <v>108.956</v>
      </c>
      <c r="D27" s="158">
        <v>7.907</v>
      </c>
      <c r="F27" s="158">
        <v>101.34</v>
      </c>
      <c r="G27" s="158">
        <v>21.891999999999999</v>
      </c>
      <c r="I27" s="158">
        <v>31.898</v>
      </c>
      <c r="J27" s="158">
        <v>31.245000000000001</v>
      </c>
      <c r="K27" s="158">
        <v>10.981</v>
      </c>
      <c r="M27" s="158">
        <v>516.43200000000002</v>
      </c>
      <c r="N27" s="158">
        <v>46.128</v>
      </c>
      <c r="P27" s="158">
        <v>67.12</v>
      </c>
      <c r="Q27" s="158">
        <v>69.022000000000006</v>
      </c>
      <c r="R27" s="159">
        <f t="shared" si="0"/>
        <v>11.5</v>
      </c>
      <c r="T27" s="158">
        <v>200.595</v>
      </c>
      <c r="U27" s="158">
        <v>194.21600000000001</v>
      </c>
      <c r="V27" s="158">
        <v>22.148</v>
      </c>
      <c r="X27" s="158">
        <v>275.13600000000002</v>
      </c>
      <c r="Y27" s="158">
        <v>64.037000000000006</v>
      </c>
      <c r="AA27" s="158">
        <v>73.31</v>
      </c>
      <c r="AB27" s="158">
        <v>72.525999999999996</v>
      </c>
      <c r="AC27" s="158">
        <v>21.547000000000001</v>
      </c>
      <c r="AE27" s="158">
        <v>321.31</v>
      </c>
      <c r="AF27" s="158">
        <v>291.57499999999999</v>
      </c>
      <c r="AG27" s="158">
        <v>73.611999999999995</v>
      </c>
      <c r="AI27" s="158">
        <v>106.92</v>
      </c>
      <c r="AJ27" s="158">
        <v>111.818</v>
      </c>
      <c r="AK27" s="159">
        <f t="shared" si="1"/>
        <v>16.400000000000002</v>
      </c>
      <c r="AM27" s="158">
        <v>171.16300000000001</v>
      </c>
      <c r="AN27" s="158">
        <v>158.26400000000001</v>
      </c>
      <c r="AO27" s="158">
        <v>79.183999999999997</v>
      </c>
    </row>
    <row r="28" spans="1:41">
      <c r="A28" s="157">
        <v>42887</v>
      </c>
      <c r="B28" s="158">
        <v>118.16800000000001</v>
      </c>
      <c r="C28" s="158">
        <v>116.01900000000001</v>
      </c>
      <c r="D28" s="158">
        <v>6.3570000000000002</v>
      </c>
      <c r="F28" s="158">
        <v>94.995000000000005</v>
      </c>
      <c r="G28" s="158">
        <v>19.494</v>
      </c>
      <c r="I28" s="158">
        <v>27.305</v>
      </c>
      <c r="J28" s="158">
        <v>29.298999999999999</v>
      </c>
      <c r="K28" s="158">
        <v>9.8989999999999991</v>
      </c>
      <c r="M28" s="158">
        <v>490.202</v>
      </c>
      <c r="N28" s="158">
        <v>49.101999999999997</v>
      </c>
      <c r="P28" s="158">
        <v>69.201999999999998</v>
      </c>
      <c r="Q28" s="158">
        <v>67.884</v>
      </c>
      <c r="R28" s="159">
        <f t="shared" si="0"/>
        <v>11.25</v>
      </c>
      <c r="T28" s="158">
        <v>208.66200000000001</v>
      </c>
      <c r="U28" s="158">
        <v>195.666</v>
      </c>
      <c r="V28" s="158">
        <v>25.882999999999999</v>
      </c>
      <c r="X28" s="158">
        <v>269.25099999999998</v>
      </c>
      <c r="Y28" s="158">
        <v>43.118000000000002</v>
      </c>
      <c r="AA28" s="158">
        <v>70.641999999999996</v>
      </c>
      <c r="AB28" s="158">
        <v>71.893000000000001</v>
      </c>
      <c r="AC28" s="158">
        <v>21.675999999999998</v>
      </c>
      <c r="AE28" s="158">
        <v>297.58999999999997</v>
      </c>
      <c r="AF28" s="158">
        <v>275.04199999999997</v>
      </c>
      <c r="AG28" s="158">
        <v>75.152000000000001</v>
      </c>
      <c r="AI28" s="158">
        <v>78.475999999999999</v>
      </c>
      <c r="AJ28" s="158">
        <v>89.948999999999998</v>
      </c>
      <c r="AK28" s="159">
        <f t="shared" si="1"/>
        <v>16.400000000000002</v>
      </c>
      <c r="AM28" s="158">
        <v>183.953</v>
      </c>
      <c r="AN28" s="158">
        <v>164.839</v>
      </c>
      <c r="AO28" s="158">
        <v>85.382999999999996</v>
      </c>
    </row>
    <row r="29" spans="1:41">
      <c r="A29" s="157">
        <v>42917</v>
      </c>
      <c r="B29" s="158">
        <v>88.858999999999995</v>
      </c>
      <c r="C29" s="158">
        <v>86.533000000000001</v>
      </c>
      <c r="D29" s="158">
        <v>7.6840000000000002</v>
      </c>
      <c r="F29" s="158">
        <v>86.983000000000004</v>
      </c>
      <c r="G29" s="158">
        <v>18.695</v>
      </c>
      <c r="I29" s="158">
        <v>23.957999999999998</v>
      </c>
      <c r="J29" s="158">
        <v>24.024999999999999</v>
      </c>
      <c r="K29" s="158">
        <v>9.0350000000000001</v>
      </c>
      <c r="M29" s="158">
        <v>445.53100000000001</v>
      </c>
      <c r="N29" s="158">
        <v>49.756999999999998</v>
      </c>
      <c r="P29" s="158">
        <v>65.427999999999997</v>
      </c>
      <c r="Q29" s="158">
        <v>65.853999999999999</v>
      </c>
      <c r="R29" s="159">
        <f t="shared" si="0"/>
        <v>11</v>
      </c>
      <c r="T29" s="158">
        <v>189.24100000000001</v>
      </c>
      <c r="U29" s="158">
        <v>180.87200000000001</v>
      </c>
      <c r="V29" s="158">
        <v>24.498999999999999</v>
      </c>
      <c r="X29" s="158">
        <v>246.59100000000001</v>
      </c>
      <c r="Y29" s="158">
        <v>58.37</v>
      </c>
      <c r="AA29" s="158">
        <v>63.405000000000001</v>
      </c>
      <c r="AB29" s="158">
        <v>65.222999999999999</v>
      </c>
      <c r="AC29" s="158">
        <v>20.734000000000002</v>
      </c>
      <c r="AE29" s="158">
        <v>269.553</v>
      </c>
      <c r="AF29" s="158">
        <v>240.84399999999999</v>
      </c>
      <c r="AG29" s="158">
        <v>80.78</v>
      </c>
      <c r="AI29" s="158">
        <v>78.337000000000003</v>
      </c>
      <c r="AJ29" s="158">
        <v>84.486999999999995</v>
      </c>
      <c r="AK29" s="159">
        <f t="shared" si="1"/>
        <v>16</v>
      </c>
      <c r="AM29" s="158">
        <v>160.82300000000001</v>
      </c>
      <c r="AN29" s="158">
        <v>138.74600000000001</v>
      </c>
      <c r="AO29" s="158">
        <v>92.933999999999997</v>
      </c>
    </row>
    <row r="30" spans="1:41">
      <c r="A30" s="157">
        <v>42948</v>
      </c>
      <c r="B30" s="158">
        <v>111.63500000000001</v>
      </c>
      <c r="C30" s="158">
        <v>112.03700000000001</v>
      </c>
      <c r="D30" s="158">
        <v>7.282</v>
      </c>
      <c r="F30" s="158">
        <v>99.989000000000004</v>
      </c>
      <c r="G30" s="158">
        <v>18.13</v>
      </c>
      <c r="I30" s="158">
        <v>29.052</v>
      </c>
      <c r="J30" s="158">
        <v>29.029</v>
      </c>
      <c r="K30" s="158">
        <v>6.7320000000000002</v>
      </c>
      <c r="M30" s="158">
        <v>528.08699999999999</v>
      </c>
      <c r="N30" s="158">
        <v>48.22</v>
      </c>
      <c r="P30" s="158">
        <v>72.628</v>
      </c>
      <c r="Q30" s="158">
        <v>70.546999999999997</v>
      </c>
      <c r="R30" s="159">
        <f t="shared" si="0"/>
        <v>11.75</v>
      </c>
      <c r="T30" s="158">
        <v>216.053</v>
      </c>
      <c r="U30" s="158">
        <v>211.03200000000001</v>
      </c>
      <c r="V30" s="158">
        <v>28.721</v>
      </c>
      <c r="X30" s="158">
        <v>280.45999999999998</v>
      </c>
      <c r="Y30" s="158">
        <v>64.227000000000004</v>
      </c>
      <c r="AA30" s="158">
        <v>81.494</v>
      </c>
      <c r="AB30" s="158">
        <v>82.95</v>
      </c>
      <c r="AC30" s="158">
        <v>20.48</v>
      </c>
      <c r="AE30" s="158">
        <v>315.21300000000002</v>
      </c>
      <c r="AF30" s="158">
        <v>318.14999999999998</v>
      </c>
      <c r="AG30" s="158">
        <v>84.328999999999994</v>
      </c>
      <c r="AI30" s="158">
        <v>97.433999999999997</v>
      </c>
      <c r="AJ30" s="158">
        <v>109.974</v>
      </c>
      <c r="AK30" s="159">
        <f t="shared" si="1"/>
        <v>15.8</v>
      </c>
      <c r="AM30" s="158">
        <v>167.89699999999999</v>
      </c>
      <c r="AN30" s="158">
        <v>179.53100000000001</v>
      </c>
      <c r="AO30" s="158">
        <v>81.179000000000002</v>
      </c>
    </row>
    <row r="31" spans="1:41">
      <c r="A31" s="157">
        <v>42979</v>
      </c>
      <c r="B31" s="158">
        <v>103.468</v>
      </c>
      <c r="C31" s="158">
        <v>101.877</v>
      </c>
      <c r="D31" s="158">
        <v>8.8719999999999999</v>
      </c>
      <c r="F31" s="158">
        <v>97.231999999999999</v>
      </c>
      <c r="G31" s="158">
        <v>23.120999999999999</v>
      </c>
      <c r="I31" s="158">
        <v>28.155999999999999</v>
      </c>
      <c r="J31" s="158">
        <v>28.725999999999999</v>
      </c>
      <c r="K31" s="158">
        <v>5.4009999999999998</v>
      </c>
      <c r="M31" s="158">
        <v>533.26400000000001</v>
      </c>
      <c r="N31" s="158">
        <v>65.483000000000004</v>
      </c>
      <c r="P31" s="158">
        <v>69.369</v>
      </c>
      <c r="Q31" s="158">
        <v>68.323999999999998</v>
      </c>
      <c r="R31" s="159">
        <f t="shared" si="0"/>
        <v>11.5</v>
      </c>
      <c r="T31" s="158">
        <v>207.91399999999999</v>
      </c>
      <c r="U31" s="158">
        <v>208.52600000000001</v>
      </c>
      <c r="V31" s="158">
        <v>23.077999999999999</v>
      </c>
      <c r="X31" s="158">
        <v>266.00099999999998</v>
      </c>
      <c r="Y31" s="158">
        <v>64.415999999999997</v>
      </c>
      <c r="AA31" s="158">
        <v>77.478999999999999</v>
      </c>
      <c r="AB31" s="158">
        <v>76.146000000000001</v>
      </c>
      <c r="AC31" s="158">
        <v>23.69</v>
      </c>
      <c r="AE31" s="158">
        <v>297.59899999999999</v>
      </c>
      <c r="AF31" s="158">
        <v>292.28100000000001</v>
      </c>
      <c r="AG31" s="158">
        <v>88.643000000000001</v>
      </c>
      <c r="AI31" s="158">
        <v>85.594999999999999</v>
      </c>
      <c r="AJ31" s="158">
        <v>93.221999999999994</v>
      </c>
      <c r="AK31" s="159">
        <f t="shared" si="1"/>
        <v>17.5</v>
      </c>
      <c r="AM31" s="158">
        <v>172.30699999999999</v>
      </c>
      <c r="AN31" s="158">
        <v>171.62799999999999</v>
      </c>
      <c r="AO31" s="158">
        <v>82.432000000000002</v>
      </c>
    </row>
    <row r="32" spans="1:41">
      <c r="A32" s="157">
        <v>43009</v>
      </c>
      <c r="B32" s="158">
        <v>108.646</v>
      </c>
      <c r="C32" s="158">
        <v>109.96899999999999</v>
      </c>
      <c r="D32" s="158">
        <v>8.0980000000000008</v>
      </c>
      <c r="F32" s="158">
        <v>92.53</v>
      </c>
      <c r="G32" s="158">
        <v>21.167000000000002</v>
      </c>
      <c r="I32" s="158">
        <v>29.183</v>
      </c>
      <c r="J32" s="158">
        <v>28.295000000000002</v>
      </c>
      <c r="K32" s="158">
        <v>4.7510000000000003</v>
      </c>
      <c r="M32" s="158">
        <v>506.18700000000001</v>
      </c>
      <c r="N32" s="158">
        <v>66.582999999999998</v>
      </c>
      <c r="P32" s="158">
        <v>71.183000000000007</v>
      </c>
      <c r="Q32" s="158">
        <v>72.468000000000004</v>
      </c>
      <c r="R32" s="159">
        <f t="shared" si="0"/>
        <v>12.25</v>
      </c>
      <c r="T32" s="158">
        <v>196.93600000000001</v>
      </c>
      <c r="U32" s="158">
        <v>196.23099999999999</v>
      </c>
      <c r="V32" s="158">
        <v>23.783000000000001</v>
      </c>
      <c r="X32" s="158">
        <v>260.44099999999997</v>
      </c>
      <c r="Y32" s="158">
        <v>66.165999999999997</v>
      </c>
      <c r="AA32" s="158">
        <v>73.081000000000003</v>
      </c>
      <c r="AB32" s="158">
        <v>69.224999999999994</v>
      </c>
      <c r="AC32" s="158">
        <v>28.274999999999999</v>
      </c>
      <c r="AE32" s="158">
        <v>273.846</v>
      </c>
      <c r="AF32" s="158">
        <v>266.65499999999997</v>
      </c>
      <c r="AG32" s="158">
        <v>95.775000000000006</v>
      </c>
      <c r="AI32" s="158">
        <v>103.59</v>
      </c>
      <c r="AJ32" s="158">
        <v>108.185</v>
      </c>
      <c r="AK32" s="159">
        <f t="shared" si="1"/>
        <v>19.900000000000002</v>
      </c>
      <c r="AM32" s="158">
        <v>162.77000000000001</v>
      </c>
      <c r="AN32" s="158">
        <v>162.292</v>
      </c>
      <c r="AO32" s="158">
        <v>84.448999999999998</v>
      </c>
    </row>
    <row r="33" spans="1:41">
      <c r="A33" s="157">
        <v>43040</v>
      </c>
      <c r="B33" s="158">
        <v>116.982</v>
      </c>
      <c r="C33" s="158">
        <v>116.986</v>
      </c>
      <c r="D33" s="158">
        <v>8.1850000000000005</v>
      </c>
      <c r="F33" s="158">
        <v>98.186000000000007</v>
      </c>
      <c r="G33" s="158">
        <v>21.257000000000001</v>
      </c>
      <c r="I33" s="158">
        <v>32.938000000000002</v>
      </c>
      <c r="J33" s="158">
        <v>32.277999999999999</v>
      </c>
      <c r="K33" s="158">
        <v>5.2309999999999999</v>
      </c>
      <c r="M33" s="158">
        <v>560.27099999999996</v>
      </c>
      <c r="N33" s="158">
        <v>65.093999999999994</v>
      </c>
      <c r="P33" s="158">
        <v>69.225999999999999</v>
      </c>
      <c r="Q33" s="158">
        <v>71.501000000000005</v>
      </c>
      <c r="R33" s="159">
        <f t="shared" si="0"/>
        <v>12</v>
      </c>
      <c r="T33" s="158">
        <v>205.767</v>
      </c>
      <c r="U33" s="158">
        <v>205.96100000000001</v>
      </c>
      <c r="V33" s="158">
        <v>23.033999999999999</v>
      </c>
      <c r="X33" s="158">
        <v>269.74700000000001</v>
      </c>
      <c r="Y33" s="158">
        <v>64.980999999999995</v>
      </c>
      <c r="AA33" s="158">
        <v>91.393000000000001</v>
      </c>
      <c r="AB33" s="158">
        <v>100.557</v>
      </c>
      <c r="AC33" s="158">
        <v>19.957000000000001</v>
      </c>
      <c r="AE33" s="158">
        <v>322.07900000000001</v>
      </c>
      <c r="AF33" s="158">
        <v>323.28399999999999</v>
      </c>
      <c r="AG33" s="158">
        <v>94.802999999999997</v>
      </c>
      <c r="AI33" s="158">
        <v>120.14700000000001</v>
      </c>
      <c r="AJ33" s="158">
        <v>125.991</v>
      </c>
      <c r="AK33" s="159">
        <f t="shared" si="1"/>
        <v>15.5</v>
      </c>
      <c r="AM33" s="158">
        <v>159.501</v>
      </c>
      <c r="AN33" s="158">
        <v>153.63300000000001</v>
      </c>
      <c r="AO33" s="158">
        <v>89.572000000000003</v>
      </c>
    </row>
    <row r="34" spans="1:41">
      <c r="A34" s="157">
        <v>43070</v>
      </c>
      <c r="B34" s="158">
        <v>103.68899999999999</v>
      </c>
      <c r="C34" s="158">
        <v>103.26</v>
      </c>
      <c r="D34" s="158">
        <v>8.5229999999999997</v>
      </c>
      <c r="F34" s="158">
        <v>96.507999999999996</v>
      </c>
      <c r="G34" s="158">
        <v>22.949000000000002</v>
      </c>
      <c r="I34" s="158">
        <v>31.311</v>
      </c>
      <c r="J34" s="158">
        <v>30.294</v>
      </c>
      <c r="K34" s="158">
        <v>6.7590000000000003</v>
      </c>
      <c r="M34" s="158">
        <v>553.54399999999998</v>
      </c>
      <c r="N34" s="158">
        <v>61.593000000000004</v>
      </c>
      <c r="P34" s="158">
        <v>49.905000000000001</v>
      </c>
      <c r="Q34" s="158">
        <v>49.470999999999997</v>
      </c>
      <c r="R34" s="159">
        <f t="shared" si="0"/>
        <v>8.25</v>
      </c>
      <c r="T34" s="158">
        <v>211.023</v>
      </c>
      <c r="U34" s="158">
        <v>210.268</v>
      </c>
      <c r="V34" s="158">
        <v>23.846</v>
      </c>
      <c r="X34" s="158">
        <v>276.94099999999997</v>
      </c>
      <c r="Y34" s="158">
        <v>74.203000000000003</v>
      </c>
      <c r="AA34" s="158">
        <v>78.212000000000003</v>
      </c>
      <c r="AB34" s="158">
        <v>75.325000000000003</v>
      </c>
      <c r="AC34" s="158">
        <v>22.742999999999999</v>
      </c>
      <c r="AE34" s="158">
        <v>324.10300000000001</v>
      </c>
      <c r="AF34" s="158">
        <v>321.22399999999999</v>
      </c>
      <c r="AG34" s="158">
        <v>96.158000000000001</v>
      </c>
      <c r="AI34" s="158">
        <v>96.129000000000005</v>
      </c>
      <c r="AJ34" s="158">
        <v>101.712</v>
      </c>
      <c r="AK34" s="158">
        <v>10.295</v>
      </c>
      <c r="AM34" s="158">
        <v>182.97200000000001</v>
      </c>
      <c r="AN34" s="158">
        <v>185.58500000000001</v>
      </c>
      <c r="AO34" s="158">
        <v>86.307000000000002</v>
      </c>
    </row>
    <row r="35" spans="1:41">
      <c r="A35" s="157">
        <v>43101</v>
      </c>
      <c r="B35" s="158">
        <v>106.90300000000001</v>
      </c>
      <c r="C35" s="158">
        <v>104.907</v>
      </c>
      <c r="D35" s="158">
        <v>19.318999999999999</v>
      </c>
      <c r="F35" s="158">
        <v>89.506</v>
      </c>
      <c r="G35" s="158">
        <v>22.466999999999999</v>
      </c>
      <c r="I35" s="158">
        <v>26.605</v>
      </c>
      <c r="J35" s="158">
        <v>26.718</v>
      </c>
      <c r="K35" s="158">
        <v>9.0039999999999996</v>
      </c>
      <c r="M35" s="158">
        <v>390.78500000000003</v>
      </c>
      <c r="N35" s="158">
        <v>58.658999999999999</v>
      </c>
      <c r="P35" s="158">
        <v>63.2</v>
      </c>
      <c r="Q35" s="158">
        <v>62.466000000000001</v>
      </c>
      <c r="R35" s="159">
        <f t="shared" si="0"/>
        <v>10.5</v>
      </c>
      <c r="T35" s="158">
        <v>188.779</v>
      </c>
      <c r="U35" s="158">
        <v>186.53899999999999</v>
      </c>
      <c r="V35" s="158">
        <v>26.085000000000001</v>
      </c>
      <c r="X35" s="158">
        <v>263.28699999999998</v>
      </c>
      <c r="Y35" s="158">
        <v>74.448999999999998</v>
      </c>
      <c r="AA35" s="158">
        <v>66.322000000000003</v>
      </c>
      <c r="AB35" s="158">
        <v>66.566999999999993</v>
      </c>
      <c r="AC35" s="158">
        <v>22.864000000000001</v>
      </c>
      <c r="AE35" s="158">
        <v>295.053</v>
      </c>
      <c r="AF35" s="158">
        <v>283.78399999999999</v>
      </c>
      <c r="AG35" s="158">
        <v>107.914</v>
      </c>
      <c r="AI35" s="158">
        <v>95.103999999999999</v>
      </c>
      <c r="AJ35" s="158">
        <v>104.986</v>
      </c>
      <c r="AK35" s="159">
        <f>MROUND(AVERAGE(AK36,AK34),0.1)</f>
        <v>9.5</v>
      </c>
      <c r="AM35" s="158">
        <v>165.398</v>
      </c>
      <c r="AN35" s="158">
        <v>152.72900000000001</v>
      </c>
      <c r="AO35" s="158">
        <v>98.394999999999996</v>
      </c>
    </row>
    <row r="36" spans="1:41">
      <c r="A36" s="157">
        <v>43132</v>
      </c>
      <c r="B36" s="158">
        <v>113.874</v>
      </c>
      <c r="C36" s="158">
        <v>115.491</v>
      </c>
      <c r="D36" s="158">
        <v>8.9019999999999992</v>
      </c>
      <c r="F36" s="158">
        <v>96.893000000000001</v>
      </c>
      <c r="G36" s="158">
        <v>22.053999999999998</v>
      </c>
      <c r="I36" s="158">
        <v>30.998999999999999</v>
      </c>
      <c r="J36" s="158">
        <v>30.407</v>
      </c>
      <c r="K36" s="158">
        <v>10.214</v>
      </c>
      <c r="M36" s="158">
        <v>501.428</v>
      </c>
      <c r="N36" s="158">
        <v>48.453000000000003</v>
      </c>
      <c r="P36" s="158">
        <v>54.73</v>
      </c>
      <c r="Q36" s="158">
        <v>49.231000000000002</v>
      </c>
      <c r="R36" s="159">
        <f t="shared" si="0"/>
        <v>8.25</v>
      </c>
      <c r="T36" s="158">
        <v>210.959</v>
      </c>
      <c r="U36" s="158">
        <v>210.416</v>
      </c>
      <c r="V36" s="158">
        <v>26.626999999999999</v>
      </c>
      <c r="X36" s="158">
        <v>281.33</v>
      </c>
      <c r="Y36" s="158">
        <v>70.807000000000002</v>
      </c>
      <c r="AA36" s="158">
        <v>86.835999999999999</v>
      </c>
      <c r="AB36" s="158">
        <v>85.977999999999994</v>
      </c>
      <c r="AC36" s="159">
        <f>MROUND(AVERAGE(AC37,AC35),0.1)</f>
        <v>23.3</v>
      </c>
      <c r="AE36" s="158">
        <v>322.935</v>
      </c>
      <c r="AF36" s="158">
        <v>329.95699999999999</v>
      </c>
      <c r="AG36" s="158">
        <v>101.21</v>
      </c>
      <c r="AI36" s="158">
        <v>110</v>
      </c>
      <c r="AJ36" s="158">
        <v>118.33499999999999</v>
      </c>
      <c r="AK36" s="158">
        <v>8.7029999999999994</v>
      </c>
      <c r="AM36" s="158">
        <v>167.04</v>
      </c>
      <c r="AN36" s="158">
        <v>173.53800000000001</v>
      </c>
      <c r="AO36" s="158">
        <v>91.745999999999995</v>
      </c>
    </row>
    <row r="37" spans="1:41">
      <c r="A37" s="157">
        <v>43160</v>
      </c>
      <c r="B37" s="158">
        <v>109.976</v>
      </c>
      <c r="C37" s="158">
        <v>110.761</v>
      </c>
      <c r="D37" s="158">
        <v>8.1</v>
      </c>
      <c r="F37" s="158">
        <v>97.567999999999998</v>
      </c>
      <c r="G37" s="158">
        <v>19.247</v>
      </c>
      <c r="I37" s="158">
        <v>27.683</v>
      </c>
      <c r="J37" s="158">
        <v>25.79</v>
      </c>
      <c r="K37" s="158">
        <v>13.02</v>
      </c>
      <c r="M37" s="158">
        <v>517.31700000000001</v>
      </c>
      <c r="N37" s="158">
        <v>49.828000000000003</v>
      </c>
      <c r="P37" s="158">
        <v>58.683999999999997</v>
      </c>
      <c r="Q37" s="158">
        <v>64.510999999999996</v>
      </c>
      <c r="R37" s="159">
        <f t="shared" si="0"/>
        <v>10.75</v>
      </c>
      <c r="T37" s="158">
        <v>206.82</v>
      </c>
      <c r="U37" s="158">
        <v>209.447</v>
      </c>
      <c r="V37" s="158">
        <v>24.16</v>
      </c>
      <c r="X37" s="158">
        <v>278.12</v>
      </c>
      <c r="Y37" s="158">
        <v>67.760999999999996</v>
      </c>
      <c r="AA37" s="158">
        <v>87.194999999999993</v>
      </c>
      <c r="AB37" s="158">
        <v>90.12</v>
      </c>
      <c r="AC37" s="158">
        <v>23.638999999999999</v>
      </c>
      <c r="AE37" s="158">
        <v>342.024</v>
      </c>
      <c r="AF37" s="158">
        <v>353.94799999999998</v>
      </c>
      <c r="AG37" s="158">
        <v>89.311000000000007</v>
      </c>
      <c r="AI37" s="158">
        <v>99.888999999999996</v>
      </c>
      <c r="AJ37" s="158">
        <v>107.03700000000001</v>
      </c>
      <c r="AK37" s="158">
        <v>11.051</v>
      </c>
      <c r="AM37" s="158">
        <v>191.39500000000001</v>
      </c>
      <c r="AN37" s="158">
        <v>181.19300000000001</v>
      </c>
      <c r="AO37" s="158">
        <v>101.867</v>
      </c>
    </row>
    <row r="38" spans="1:41">
      <c r="A38" s="157">
        <v>43191</v>
      </c>
      <c r="B38" s="158">
        <v>104.166</v>
      </c>
      <c r="C38" s="158">
        <v>105.285</v>
      </c>
      <c r="D38" s="158">
        <v>6.9969999999999999</v>
      </c>
      <c r="F38" s="158">
        <v>90.328000000000003</v>
      </c>
      <c r="G38" s="158">
        <v>22.835999999999999</v>
      </c>
      <c r="I38" s="158">
        <v>26.539000000000001</v>
      </c>
      <c r="J38" s="158">
        <v>24.443000000000001</v>
      </c>
      <c r="K38" s="158">
        <v>16.03</v>
      </c>
      <c r="M38" s="158">
        <v>464.90899999999999</v>
      </c>
      <c r="N38" s="158">
        <v>50.429000000000002</v>
      </c>
      <c r="P38" s="158">
        <v>48.386000000000003</v>
      </c>
      <c r="Q38" s="158">
        <v>52.174999999999997</v>
      </c>
      <c r="R38" s="159">
        <f t="shared" si="0"/>
        <v>8.75</v>
      </c>
      <c r="T38" s="158">
        <v>192.964</v>
      </c>
      <c r="U38" s="158">
        <v>193.08500000000001</v>
      </c>
      <c r="V38" s="158">
        <v>23.826000000000001</v>
      </c>
      <c r="X38" s="158">
        <v>257.52999999999997</v>
      </c>
      <c r="Y38" s="158">
        <v>69.789000000000001</v>
      </c>
      <c r="AA38" s="158">
        <v>82.637</v>
      </c>
      <c r="AB38" s="158">
        <v>83.222999999999999</v>
      </c>
      <c r="AC38" s="158">
        <v>24.151</v>
      </c>
      <c r="AE38" s="158">
        <v>305.01100000000002</v>
      </c>
      <c r="AF38" s="158">
        <v>305.74599999999998</v>
      </c>
      <c r="AG38" s="158">
        <v>90.778999999999996</v>
      </c>
      <c r="AI38" s="158">
        <v>92.787000000000006</v>
      </c>
      <c r="AJ38" s="158">
        <v>99.887</v>
      </c>
      <c r="AK38" s="159">
        <v>11.1</v>
      </c>
      <c r="AM38" s="158">
        <v>175.09899999999999</v>
      </c>
      <c r="AN38" s="158">
        <v>183.10400000000001</v>
      </c>
      <c r="AO38" s="158">
        <v>94.14</v>
      </c>
    </row>
    <row r="39" spans="1:41">
      <c r="A39" s="157">
        <v>43221</v>
      </c>
      <c r="B39" s="158">
        <v>113.59399999999999</v>
      </c>
      <c r="C39" s="158">
        <v>112.703</v>
      </c>
      <c r="D39" s="158">
        <v>7.86</v>
      </c>
      <c r="F39" s="158">
        <v>99.524000000000001</v>
      </c>
      <c r="G39" s="158">
        <v>24.001999999999999</v>
      </c>
      <c r="I39" s="158">
        <v>29.882000000000001</v>
      </c>
      <c r="J39" s="158">
        <v>28.202000000000002</v>
      </c>
      <c r="K39" s="158">
        <v>19.567</v>
      </c>
      <c r="M39" s="158">
        <v>469.50900000000001</v>
      </c>
      <c r="N39" s="158">
        <v>49.250999999999998</v>
      </c>
      <c r="P39" s="158">
        <v>55.595999999999997</v>
      </c>
      <c r="Q39" s="158">
        <v>51.796999999999997</v>
      </c>
      <c r="R39" s="159">
        <f t="shared" si="0"/>
        <v>8.75</v>
      </c>
      <c r="T39" s="158">
        <v>214.202</v>
      </c>
      <c r="U39" s="158">
        <v>211.41399999999999</v>
      </c>
      <c r="V39" s="158">
        <v>26.335999999999999</v>
      </c>
      <c r="X39" s="158">
        <v>280.34100000000001</v>
      </c>
      <c r="Y39" s="158">
        <v>74.188999999999993</v>
      </c>
      <c r="AA39" s="158">
        <v>88.665999999999997</v>
      </c>
      <c r="AB39" s="158">
        <v>90.813000000000002</v>
      </c>
      <c r="AC39" s="158">
        <v>48.405000000000001</v>
      </c>
      <c r="AE39" s="158">
        <v>328.25200000000001</v>
      </c>
      <c r="AF39" s="158">
        <v>335.428</v>
      </c>
      <c r="AG39" s="158">
        <v>85.192999999999998</v>
      </c>
      <c r="AI39" s="158">
        <v>108.71899999999999</v>
      </c>
      <c r="AJ39" s="158">
        <v>115.393</v>
      </c>
      <c r="AK39" s="159">
        <v>11.1</v>
      </c>
      <c r="AM39" s="158">
        <v>186.554</v>
      </c>
      <c r="AN39" s="158">
        <v>192.678</v>
      </c>
      <c r="AO39" s="158">
        <v>88.197999999999993</v>
      </c>
    </row>
    <row r="40" spans="1:41">
      <c r="A40" s="157">
        <v>43252</v>
      </c>
      <c r="B40" s="158">
        <v>99.298000000000002</v>
      </c>
      <c r="C40" s="158">
        <v>99.850999999999999</v>
      </c>
      <c r="D40" s="158">
        <v>7.3079999999999998</v>
      </c>
      <c r="F40" s="158">
        <v>81.703999999999994</v>
      </c>
      <c r="G40" s="158">
        <v>21.292999999999999</v>
      </c>
      <c r="I40" s="158">
        <v>23.454999999999998</v>
      </c>
      <c r="J40" s="158">
        <v>22.181999999999999</v>
      </c>
      <c r="K40" s="158">
        <v>17.704000000000001</v>
      </c>
      <c r="M40" s="158">
        <v>482.62</v>
      </c>
      <c r="N40" s="158">
        <v>54.817</v>
      </c>
      <c r="P40" s="158">
        <v>47.148000000000003</v>
      </c>
      <c r="Q40" s="158">
        <v>45.3</v>
      </c>
      <c r="R40" s="159">
        <f t="shared" si="0"/>
        <v>7.75</v>
      </c>
      <c r="T40" s="158">
        <v>209.62899999999999</v>
      </c>
      <c r="U40" s="158">
        <v>206.78899999999999</v>
      </c>
      <c r="V40" s="158">
        <v>29.396000000000001</v>
      </c>
      <c r="X40" s="158">
        <v>270.5</v>
      </c>
      <c r="Y40" s="158">
        <v>63.924999999999997</v>
      </c>
      <c r="AA40" s="158">
        <v>82.012</v>
      </c>
      <c r="AB40" s="158">
        <v>86.760999999999996</v>
      </c>
      <c r="AC40" s="159">
        <f>MROUND(AVERAGE(AC41,AC39),0.1)</f>
        <v>37.5</v>
      </c>
      <c r="AE40" s="158">
        <v>310.86900000000003</v>
      </c>
      <c r="AF40" s="158">
        <v>315.57</v>
      </c>
      <c r="AG40" s="158">
        <v>80.741</v>
      </c>
      <c r="AI40" s="158">
        <v>105.578</v>
      </c>
      <c r="AJ40" s="158">
        <v>114.675</v>
      </c>
      <c r="AK40" s="158">
        <v>11.1</v>
      </c>
      <c r="AM40" s="158">
        <v>199.68700000000001</v>
      </c>
      <c r="AN40" s="158">
        <v>198.31</v>
      </c>
      <c r="AO40" s="158">
        <v>89.375</v>
      </c>
    </row>
    <row r="41" spans="1:41">
      <c r="A41" s="157">
        <v>43282</v>
      </c>
      <c r="B41" s="158">
        <v>90.094999999999999</v>
      </c>
      <c r="C41" s="158">
        <v>89.393000000000001</v>
      </c>
      <c r="D41" s="158">
        <v>8.01</v>
      </c>
      <c r="F41" s="158">
        <v>92.155000000000001</v>
      </c>
      <c r="G41" s="158">
        <v>21.916</v>
      </c>
      <c r="I41" s="158">
        <v>17.440000000000001</v>
      </c>
      <c r="J41" s="158">
        <v>17.440999999999999</v>
      </c>
      <c r="K41" s="158">
        <v>12.425000000000001</v>
      </c>
      <c r="M41" s="158">
        <v>451.95299999999997</v>
      </c>
      <c r="N41" s="158">
        <v>60.600999999999999</v>
      </c>
      <c r="P41" s="158">
        <v>42.667000000000002</v>
      </c>
      <c r="Q41" s="158">
        <v>42.247</v>
      </c>
      <c r="R41" s="159">
        <f t="shared" si="0"/>
        <v>7.25</v>
      </c>
      <c r="T41" s="158">
        <v>199.346</v>
      </c>
      <c r="U41" s="158">
        <v>195.636</v>
      </c>
      <c r="V41" s="158">
        <v>27.600999999999999</v>
      </c>
      <c r="X41" s="158">
        <v>252.12200000000001</v>
      </c>
      <c r="Y41" s="158">
        <v>59.595999999999997</v>
      </c>
      <c r="AA41" s="158">
        <v>75.896000000000001</v>
      </c>
      <c r="AB41" s="158">
        <v>78.066000000000003</v>
      </c>
      <c r="AC41" s="158">
        <v>26.541</v>
      </c>
      <c r="AE41" s="158">
        <v>296.25200000000001</v>
      </c>
      <c r="AF41" s="158">
        <v>279.89100000000002</v>
      </c>
      <c r="AG41" s="158">
        <v>99.888000000000005</v>
      </c>
      <c r="AI41" s="158">
        <v>77.424999999999997</v>
      </c>
      <c r="AJ41" s="158">
        <v>87.26</v>
      </c>
      <c r="AK41" s="159">
        <f>MROUND((($AK$47-$AK$40)/7)+AK40,0.1)</f>
        <v>11.3</v>
      </c>
      <c r="AM41" s="158">
        <v>180.98699999999999</v>
      </c>
      <c r="AN41" s="158">
        <v>169.501</v>
      </c>
      <c r="AO41" s="158">
        <v>100.828</v>
      </c>
    </row>
    <row r="42" spans="1:41">
      <c r="A42" s="157">
        <v>43313</v>
      </c>
      <c r="B42" s="158">
        <v>113.405</v>
      </c>
      <c r="C42" s="158">
        <v>112.65300000000001</v>
      </c>
      <c r="D42" s="158">
        <v>6.944</v>
      </c>
      <c r="F42" s="158">
        <v>79.265000000000001</v>
      </c>
      <c r="G42" s="158">
        <v>23.271000000000001</v>
      </c>
      <c r="I42" s="158">
        <v>28.312999999999999</v>
      </c>
      <c r="J42" s="158">
        <v>27.94</v>
      </c>
      <c r="K42" s="158">
        <v>14.962999999999999</v>
      </c>
      <c r="M42" s="158">
        <v>514.35599999999999</v>
      </c>
      <c r="N42" s="158">
        <v>71.194000000000003</v>
      </c>
      <c r="P42" s="158">
        <v>50.851999999999997</v>
      </c>
      <c r="Q42" s="158">
        <v>48.188000000000002</v>
      </c>
      <c r="R42" s="159">
        <f t="shared" si="0"/>
        <v>8.25</v>
      </c>
      <c r="T42" s="158">
        <v>179.65700000000001</v>
      </c>
      <c r="U42" s="158">
        <v>175.27099999999999</v>
      </c>
      <c r="V42" s="158">
        <v>23.939</v>
      </c>
      <c r="X42" s="158">
        <v>234.36</v>
      </c>
      <c r="Y42" s="158">
        <v>54.534999999999997</v>
      </c>
      <c r="AA42" s="158">
        <v>91.373999999999995</v>
      </c>
      <c r="AB42" s="158">
        <v>87.57</v>
      </c>
      <c r="AC42" s="158">
        <v>34.148000000000003</v>
      </c>
      <c r="AE42" s="158">
        <v>332.61799999999999</v>
      </c>
      <c r="AF42" s="158">
        <v>335.28899999999999</v>
      </c>
      <c r="AG42" s="158">
        <v>102.239</v>
      </c>
      <c r="AI42" s="158">
        <v>120.008</v>
      </c>
      <c r="AJ42" s="158">
        <v>125.23099999999999</v>
      </c>
      <c r="AK42" s="159">
        <f t="shared" ref="AK42:AK46" si="2">MROUND((($AK$47-$AK$40)/7)+AK41,0.1)</f>
        <v>11.5</v>
      </c>
      <c r="AM42" s="158">
        <v>187.47399999999999</v>
      </c>
      <c r="AN42" s="158">
        <v>176.82599999999999</v>
      </c>
      <c r="AO42" s="158">
        <v>111.351</v>
      </c>
    </row>
    <row r="43" spans="1:41">
      <c r="A43" s="157">
        <v>43344</v>
      </c>
      <c r="B43" s="158">
        <v>103.973</v>
      </c>
      <c r="C43" s="158">
        <v>102.78100000000001</v>
      </c>
      <c r="D43" s="158">
        <v>8.1359999999999992</v>
      </c>
      <c r="F43" s="158">
        <v>74.382999999999996</v>
      </c>
      <c r="G43" s="158">
        <v>23.446000000000002</v>
      </c>
      <c r="I43" s="158">
        <v>26.338999999999999</v>
      </c>
      <c r="J43" s="158">
        <v>27.344999999999999</v>
      </c>
      <c r="K43" s="158">
        <v>13.111000000000001</v>
      </c>
      <c r="M43" s="158">
        <v>498.512</v>
      </c>
      <c r="N43" s="158">
        <v>70.513000000000005</v>
      </c>
      <c r="P43" s="158">
        <v>55.198</v>
      </c>
      <c r="Q43" s="158">
        <v>53.128</v>
      </c>
      <c r="R43" s="159">
        <f t="shared" si="0"/>
        <v>9</v>
      </c>
      <c r="T43" s="158">
        <v>171.97399999999999</v>
      </c>
      <c r="U43" s="158">
        <v>165.93700000000001</v>
      </c>
      <c r="V43" s="158">
        <v>25.100999999999999</v>
      </c>
      <c r="X43" s="158">
        <v>224.917</v>
      </c>
      <c r="Y43" s="158">
        <v>67.069999999999993</v>
      </c>
      <c r="AA43" s="158">
        <v>77.168999999999997</v>
      </c>
      <c r="AB43" s="158">
        <v>79.866</v>
      </c>
      <c r="AC43" s="158">
        <v>31.361999999999998</v>
      </c>
      <c r="AE43" s="158">
        <v>330.27300000000002</v>
      </c>
      <c r="AF43" s="158">
        <v>322.10899999999998</v>
      </c>
      <c r="AG43" s="158">
        <v>113.645</v>
      </c>
      <c r="AI43" s="158">
        <v>108.80500000000001</v>
      </c>
      <c r="AJ43" s="158">
        <v>118.99299999999999</v>
      </c>
      <c r="AK43" s="159">
        <f t="shared" si="2"/>
        <v>11.700000000000001</v>
      </c>
      <c r="AM43" s="158">
        <v>195.79400000000001</v>
      </c>
      <c r="AN43" s="158">
        <v>200.096</v>
      </c>
      <c r="AO43" s="158">
        <v>108.27500000000001</v>
      </c>
    </row>
    <row r="44" spans="1:41">
      <c r="A44" s="157">
        <v>43374</v>
      </c>
      <c r="B44" s="158">
        <v>104.61</v>
      </c>
      <c r="C44" s="158">
        <v>105.187</v>
      </c>
      <c r="D44" s="158">
        <v>7.5289999999999999</v>
      </c>
      <c r="F44" s="158">
        <v>76.451999999999998</v>
      </c>
      <c r="G44" s="158">
        <v>19.058</v>
      </c>
      <c r="I44" s="158">
        <v>26.914000000000001</v>
      </c>
      <c r="J44" s="158">
        <v>26.512</v>
      </c>
      <c r="K44" s="158">
        <v>9.7360000000000007</v>
      </c>
      <c r="M44" s="158">
        <v>493.84500000000003</v>
      </c>
      <c r="N44" s="158">
        <v>73.42</v>
      </c>
      <c r="P44" s="158">
        <v>51.389000000000003</v>
      </c>
      <c r="Q44" s="158">
        <v>53.802999999999997</v>
      </c>
      <c r="R44" s="159">
        <f t="shared" si="0"/>
        <v>9</v>
      </c>
      <c r="T44" s="158">
        <v>168.97300000000001</v>
      </c>
      <c r="U44" s="158">
        <v>162.988</v>
      </c>
      <c r="V44" s="158">
        <v>24.405999999999999</v>
      </c>
      <c r="X44" s="158">
        <v>227.91499999999999</v>
      </c>
      <c r="Y44" s="158">
        <v>61.600999999999999</v>
      </c>
      <c r="AA44" s="158">
        <v>82.283000000000001</v>
      </c>
      <c r="AB44" s="158">
        <v>83.522999999999996</v>
      </c>
      <c r="AC44" s="158">
        <v>29.966999999999999</v>
      </c>
      <c r="AE44" s="158">
        <v>322.77100000000002</v>
      </c>
      <c r="AF44" s="158">
        <v>325.99599999999998</v>
      </c>
      <c r="AG44" s="158">
        <v>110.41500000000001</v>
      </c>
      <c r="AI44" s="158">
        <v>110.521</v>
      </c>
      <c r="AJ44" s="158">
        <v>119.63200000000001</v>
      </c>
      <c r="AK44" s="159">
        <f t="shared" si="2"/>
        <v>11.9</v>
      </c>
      <c r="AM44" s="158">
        <v>183.059</v>
      </c>
      <c r="AN44" s="158">
        <v>191.483</v>
      </c>
      <c r="AO44" s="158">
        <v>100.364</v>
      </c>
    </row>
    <row r="45" spans="1:41">
      <c r="A45" s="157">
        <v>43405</v>
      </c>
      <c r="B45" s="158">
        <v>116.736</v>
      </c>
      <c r="C45" s="158">
        <v>114.285</v>
      </c>
      <c r="D45" s="158">
        <v>9.9659999999999993</v>
      </c>
      <c r="F45" s="158">
        <v>76.78</v>
      </c>
      <c r="G45" s="158">
        <v>22.18</v>
      </c>
      <c r="I45" s="158">
        <v>34.191000000000003</v>
      </c>
      <c r="J45" s="158">
        <v>32.173000000000002</v>
      </c>
      <c r="K45" s="158">
        <v>10.865</v>
      </c>
      <c r="M45" s="158">
        <v>542.19100000000003</v>
      </c>
      <c r="N45" s="158">
        <v>66.986000000000004</v>
      </c>
      <c r="P45" s="158">
        <v>54.246000000000002</v>
      </c>
      <c r="Q45" s="158">
        <v>56.883000000000003</v>
      </c>
      <c r="R45" s="159">
        <f t="shared" si="0"/>
        <v>9.5</v>
      </c>
      <c r="T45" s="158">
        <v>165.512</v>
      </c>
      <c r="U45" s="158">
        <v>166.33600000000001</v>
      </c>
      <c r="V45" s="158">
        <v>19.416</v>
      </c>
      <c r="X45" s="158">
        <v>229.71299999999999</v>
      </c>
      <c r="Y45" s="158">
        <v>45.859000000000002</v>
      </c>
      <c r="AA45" s="158">
        <v>92.022999999999996</v>
      </c>
      <c r="AB45" s="158">
        <v>93.774000000000001</v>
      </c>
      <c r="AC45" s="158">
        <v>29.196999999999999</v>
      </c>
      <c r="AE45" s="158">
        <v>350.94799999999998</v>
      </c>
      <c r="AF45" s="158">
        <v>359.71600000000001</v>
      </c>
      <c r="AG45" s="158">
        <v>101.56699999999999</v>
      </c>
      <c r="AI45" s="158">
        <v>110.497</v>
      </c>
      <c r="AJ45" s="158">
        <v>119.316</v>
      </c>
      <c r="AK45" s="159">
        <f t="shared" si="2"/>
        <v>12.100000000000001</v>
      </c>
      <c r="AM45" s="158">
        <v>173.023</v>
      </c>
      <c r="AN45" s="158">
        <v>181.67400000000001</v>
      </c>
      <c r="AO45" s="158">
        <v>91.331000000000003</v>
      </c>
    </row>
    <row r="46" spans="1:41">
      <c r="A46" s="157">
        <v>43435</v>
      </c>
      <c r="B46" s="158">
        <v>118.32299999999999</v>
      </c>
      <c r="C46" s="158">
        <v>117.81699999999999</v>
      </c>
      <c r="D46" s="158">
        <v>10.529</v>
      </c>
      <c r="F46" s="158">
        <v>69.438000000000002</v>
      </c>
      <c r="G46" s="158">
        <v>21.893000000000001</v>
      </c>
      <c r="I46" s="158">
        <v>31.05</v>
      </c>
      <c r="J46" s="158">
        <v>28.745000000000001</v>
      </c>
      <c r="K46" s="158">
        <v>10.805999999999999</v>
      </c>
      <c r="M46" s="158">
        <v>532.80100000000004</v>
      </c>
      <c r="N46" s="158">
        <v>69.521000000000001</v>
      </c>
      <c r="P46" s="158">
        <v>48.256</v>
      </c>
      <c r="Q46" s="158">
        <v>45.274999999999999</v>
      </c>
      <c r="R46" s="159">
        <f t="shared" si="0"/>
        <v>7.5</v>
      </c>
      <c r="T46" s="158">
        <v>152.166</v>
      </c>
      <c r="U46" s="158">
        <v>144.05099999999999</v>
      </c>
      <c r="V46" s="158">
        <v>23.350999999999999</v>
      </c>
      <c r="X46" s="158">
        <v>217.28200000000001</v>
      </c>
      <c r="Y46" s="158">
        <v>59.351999999999997</v>
      </c>
      <c r="AA46" s="158">
        <v>71.995999999999995</v>
      </c>
      <c r="AB46" s="158">
        <v>73.631</v>
      </c>
      <c r="AC46" s="158">
        <v>32.113999999999997</v>
      </c>
      <c r="AE46" s="158">
        <v>338.137</v>
      </c>
      <c r="AF46" s="158">
        <v>333.96699999999998</v>
      </c>
      <c r="AG46" s="158">
        <v>106.214</v>
      </c>
      <c r="AI46" s="158">
        <v>109.646</v>
      </c>
      <c r="AJ46" s="158">
        <v>115.666</v>
      </c>
      <c r="AK46" s="159">
        <f t="shared" si="2"/>
        <v>12.3</v>
      </c>
      <c r="AM46" s="158">
        <v>181.964</v>
      </c>
      <c r="AN46" s="158">
        <v>179.845</v>
      </c>
      <c r="AO46" s="158">
        <v>93.367999999999995</v>
      </c>
    </row>
    <row r="47" spans="1:41">
      <c r="A47" s="157">
        <v>43466</v>
      </c>
      <c r="B47" s="158">
        <v>111.538</v>
      </c>
      <c r="C47" s="158">
        <v>111.774</v>
      </c>
      <c r="D47" s="158">
        <v>10.066000000000001</v>
      </c>
      <c r="F47" s="158">
        <v>103.733</v>
      </c>
      <c r="G47" s="158">
        <v>23.744</v>
      </c>
      <c r="I47" s="158">
        <v>27.411000000000001</v>
      </c>
      <c r="J47" s="158">
        <v>26.207999999999998</v>
      </c>
      <c r="K47" s="158">
        <v>13.951000000000001</v>
      </c>
      <c r="M47" s="158">
        <v>444.10599999999999</v>
      </c>
      <c r="N47" s="158">
        <v>68.194999999999993</v>
      </c>
      <c r="P47" s="158">
        <v>28.59</v>
      </c>
      <c r="Q47" s="158">
        <v>27.295999999999999</v>
      </c>
      <c r="R47" s="159">
        <f t="shared" si="0"/>
        <v>4.5</v>
      </c>
      <c r="T47" s="158">
        <v>207.154</v>
      </c>
      <c r="U47" s="158">
        <v>210.203</v>
      </c>
      <c r="V47" s="158">
        <v>23.72</v>
      </c>
      <c r="X47" s="158">
        <v>270.459</v>
      </c>
      <c r="Y47" s="158">
        <v>49.966000000000001</v>
      </c>
      <c r="AA47" s="158">
        <v>67.183999999999997</v>
      </c>
      <c r="AB47" s="158">
        <v>68.894000000000005</v>
      </c>
      <c r="AC47" s="158">
        <v>31.498000000000001</v>
      </c>
      <c r="AE47" s="158">
        <v>320.82600000000002</v>
      </c>
      <c r="AF47" s="158">
        <v>314.94400000000002</v>
      </c>
      <c r="AG47" s="158">
        <v>111.568</v>
      </c>
      <c r="AI47" s="158">
        <v>111.51900000000001</v>
      </c>
      <c r="AJ47" s="158">
        <v>124.691</v>
      </c>
      <c r="AK47" s="158">
        <v>12.404999999999999</v>
      </c>
      <c r="AM47" s="158">
        <v>173.40600000000001</v>
      </c>
      <c r="AN47" s="158">
        <v>164.63200000000001</v>
      </c>
      <c r="AO47" s="158">
        <v>101.89400000000001</v>
      </c>
    </row>
    <row r="48" spans="1:41">
      <c r="A48" s="157">
        <v>43497</v>
      </c>
      <c r="B48" s="158">
        <v>128.75700000000001</v>
      </c>
      <c r="C48" s="158">
        <v>131.96700000000001</v>
      </c>
      <c r="D48" s="158">
        <v>7.7439999999999998</v>
      </c>
      <c r="F48" s="158">
        <v>102.221</v>
      </c>
      <c r="G48" s="158">
        <v>25.95</v>
      </c>
      <c r="I48" s="158">
        <v>32.447000000000003</v>
      </c>
      <c r="J48" s="158">
        <v>31.001000000000001</v>
      </c>
      <c r="K48" s="158">
        <v>13.901</v>
      </c>
      <c r="M48" s="158">
        <v>543.56500000000005</v>
      </c>
      <c r="N48" s="158">
        <v>65.522999999999996</v>
      </c>
      <c r="P48" s="158">
        <v>43.621000000000002</v>
      </c>
      <c r="Q48" s="158">
        <v>57.484999999999999</v>
      </c>
      <c r="R48" s="159">
        <f t="shared" si="0"/>
        <v>9.25</v>
      </c>
      <c r="T48" s="158">
        <v>202.929</v>
      </c>
      <c r="U48" s="158">
        <v>204.55199999999999</v>
      </c>
      <c r="V48" s="158">
        <v>21.9</v>
      </c>
      <c r="X48" s="158">
        <v>294.78100000000001</v>
      </c>
      <c r="Y48" s="158">
        <v>54.615000000000002</v>
      </c>
      <c r="AA48" s="158">
        <v>91.754000000000005</v>
      </c>
      <c r="AB48" s="158">
        <v>93.031999999999996</v>
      </c>
      <c r="AC48" s="158">
        <v>20.48</v>
      </c>
      <c r="AE48" s="158">
        <v>333.57400000000001</v>
      </c>
      <c r="AF48" s="158">
        <v>348.09</v>
      </c>
      <c r="AG48" s="158">
        <v>98.694999999999993</v>
      </c>
      <c r="AI48" s="158">
        <v>119.82899999999999</v>
      </c>
      <c r="AJ48" s="158">
        <v>129.29</v>
      </c>
      <c r="AK48" s="158">
        <v>11.381</v>
      </c>
      <c r="AM48" s="158">
        <v>206.65799999999999</v>
      </c>
      <c r="AN48" s="158">
        <v>203.453</v>
      </c>
      <c r="AO48" s="158">
        <v>103.65</v>
      </c>
    </row>
    <row r="49" spans="1:41">
      <c r="A49" s="157">
        <v>43525</v>
      </c>
      <c r="B49" s="158">
        <v>121.01600000000001</v>
      </c>
      <c r="C49" s="158">
        <v>120.727</v>
      </c>
      <c r="D49" s="158">
        <v>7.8920000000000003</v>
      </c>
      <c r="F49" s="158">
        <v>109.491</v>
      </c>
      <c r="G49" s="158">
        <v>26.704999999999998</v>
      </c>
      <c r="I49" s="158">
        <v>28.321000000000002</v>
      </c>
      <c r="J49" s="158">
        <v>27.81</v>
      </c>
      <c r="K49" s="158">
        <v>14.826000000000001</v>
      </c>
      <c r="M49" s="158">
        <v>522.255</v>
      </c>
      <c r="N49" s="158">
        <v>61.631999999999998</v>
      </c>
      <c r="P49" s="158">
        <v>44.45</v>
      </c>
      <c r="Q49" s="158">
        <v>44.043999999999997</v>
      </c>
      <c r="R49" s="159">
        <f t="shared" si="0"/>
        <v>7</v>
      </c>
      <c r="T49" s="158">
        <v>200.261</v>
      </c>
      <c r="U49" s="158">
        <v>197.49799999999999</v>
      </c>
      <c r="V49" s="158">
        <v>24.43</v>
      </c>
      <c r="X49" s="158">
        <v>252.42400000000001</v>
      </c>
      <c r="Y49" s="158">
        <v>50.972999999999999</v>
      </c>
      <c r="AA49" s="158">
        <v>85.956999999999994</v>
      </c>
      <c r="AB49" s="158">
        <v>89.070999999999998</v>
      </c>
      <c r="AC49" s="158">
        <v>23.24</v>
      </c>
      <c r="AE49" s="158">
        <v>335.97199999999998</v>
      </c>
      <c r="AF49" s="158">
        <v>352.17399999999998</v>
      </c>
      <c r="AG49" s="158">
        <v>82.006</v>
      </c>
      <c r="AI49" s="158">
        <v>96.061000000000007</v>
      </c>
      <c r="AJ49" s="158">
        <v>104.024</v>
      </c>
      <c r="AK49" s="158">
        <v>9.7409999999999997</v>
      </c>
      <c r="AM49" s="158">
        <v>197.53800000000001</v>
      </c>
      <c r="AN49" s="158">
        <v>215.06</v>
      </c>
      <c r="AO49" s="158">
        <v>88.3</v>
      </c>
    </row>
    <row r="50" spans="1:41">
      <c r="A50" s="157">
        <v>43556</v>
      </c>
      <c r="B50" s="158">
        <v>105.54600000000001</v>
      </c>
      <c r="C50" s="158">
        <v>104.63500000000001</v>
      </c>
      <c r="D50" s="158">
        <v>9.0129999999999999</v>
      </c>
      <c r="F50" s="158">
        <v>103.032</v>
      </c>
      <c r="G50" s="158">
        <v>23.632000000000001</v>
      </c>
      <c r="I50" s="158">
        <v>28.652999999999999</v>
      </c>
      <c r="J50" s="158">
        <v>26.234999999999999</v>
      </c>
      <c r="K50" s="158">
        <v>16.596</v>
      </c>
      <c r="M50" s="158">
        <v>489.25900000000001</v>
      </c>
      <c r="N50" s="158">
        <v>55.399000000000001</v>
      </c>
      <c r="P50" s="158">
        <v>41.034999999999997</v>
      </c>
      <c r="Q50" s="158">
        <v>42.289000000000001</v>
      </c>
      <c r="R50" s="159">
        <f t="shared" si="0"/>
        <v>6.75</v>
      </c>
      <c r="T50" s="158">
        <v>186.28200000000001</v>
      </c>
      <c r="U50" s="158">
        <v>187.34700000000001</v>
      </c>
      <c r="V50" s="158">
        <v>23.19</v>
      </c>
      <c r="X50" s="158">
        <v>261.76100000000002</v>
      </c>
      <c r="Y50" s="158">
        <v>30.367999999999999</v>
      </c>
      <c r="AA50" s="158">
        <v>85.549000000000007</v>
      </c>
      <c r="AB50" s="158">
        <v>87.403000000000006</v>
      </c>
      <c r="AC50" s="158">
        <v>15.154999999999999</v>
      </c>
      <c r="AE50" s="158">
        <v>306.53399999999999</v>
      </c>
      <c r="AF50" s="158">
        <v>301.17500000000001</v>
      </c>
      <c r="AG50" s="158">
        <v>85.965000000000003</v>
      </c>
      <c r="AI50" s="158">
        <v>103.568</v>
      </c>
      <c r="AJ50" s="158">
        <v>113.452</v>
      </c>
      <c r="AK50" s="159">
        <f>MROUND((($AK$55-$AK$49)/6)+AK49,0.1)</f>
        <v>9.5</v>
      </c>
      <c r="AM50" s="158">
        <v>183.244</v>
      </c>
      <c r="AN50" s="158">
        <v>172.94399999999999</v>
      </c>
      <c r="AO50" s="158">
        <v>97.24</v>
      </c>
    </row>
    <row r="51" spans="1:41">
      <c r="A51" s="157">
        <v>43586</v>
      </c>
      <c r="B51" s="158">
        <v>114.886</v>
      </c>
      <c r="C51" s="158">
        <v>118.664</v>
      </c>
      <c r="D51" s="158">
        <v>5.1779999999999999</v>
      </c>
      <c r="F51" s="158">
        <v>123.203</v>
      </c>
      <c r="G51" s="158">
        <v>24.779</v>
      </c>
      <c r="I51" s="158">
        <v>30.821000000000002</v>
      </c>
      <c r="J51" s="158">
        <v>31.518999999999998</v>
      </c>
      <c r="K51" s="158">
        <v>16.262</v>
      </c>
      <c r="M51" s="158">
        <v>511.62200000000001</v>
      </c>
      <c r="N51" s="158">
        <v>61.151000000000003</v>
      </c>
      <c r="P51" s="158">
        <v>40.561</v>
      </c>
      <c r="Q51" s="158">
        <v>39.100999999999999</v>
      </c>
      <c r="R51" s="159">
        <f t="shared" si="0"/>
        <v>6.25</v>
      </c>
      <c r="T51" s="158">
        <v>219.26</v>
      </c>
      <c r="U51" s="158">
        <v>214.499</v>
      </c>
      <c r="V51" s="158">
        <v>26.530999999999999</v>
      </c>
      <c r="X51" s="158">
        <v>307.34500000000003</v>
      </c>
      <c r="Y51" s="158">
        <v>34.563000000000002</v>
      </c>
      <c r="AA51" s="158">
        <v>86.180999999999997</v>
      </c>
      <c r="AB51" s="158">
        <v>88.055999999999997</v>
      </c>
      <c r="AC51" s="158">
        <v>14.346</v>
      </c>
      <c r="AE51" s="158">
        <v>334.67099999999999</v>
      </c>
      <c r="AF51" s="158">
        <v>343.87400000000002</v>
      </c>
      <c r="AG51" s="158">
        <v>76.671999999999997</v>
      </c>
      <c r="AI51" s="158">
        <v>113.45</v>
      </c>
      <c r="AJ51" s="158">
        <v>122.63200000000001</v>
      </c>
      <c r="AK51" s="159">
        <f t="shared" ref="AK51:AK54" si="3">MROUND((($AK$55-$AK$49)/6)+AK50,0.1)</f>
        <v>9.2000000000000011</v>
      </c>
      <c r="AM51" s="158">
        <v>187.131</v>
      </c>
      <c r="AN51" s="158">
        <v>185.84200000000001</v>
      </c>
      <c r="AO51" s="158">
        <v>98.358999999999995</v>
      </c>
    </row>
    <row r="52" spans="1:41">
      <c r="A52" s="157">
        <v>43617</v>
      </c>
      <c r="B52" s="158">
        <v>110.23699999999999</v>
      </c>
      <c r="C52" s="158">
        <v>109.944</v>
      </c>
      <c r="D52" s="158">
        <v>5.2960000000000003</v>
      </c>
      <c r="F52" s="158">
        <v>116.04600000000001</v>
      </c>
      <c r="G52" s="158">
        <v>32.179000000000002</v>
      </c>
      <c r="I52" s="158">
        <v>28.968</v>
      </c>
      <c r="J52" s="158">
        <v>27.602</v>
      </c>
      <c r="K52" s="158">
        <v>17.337</v>
      </c>
      <c r="M52" s="158">
        <v>487.97</v>
      </c>
      <c r="N52" s="158">
        <v>55.152000000000001</v>
      </c>
      <c r="P52" s="158">
        <v>40.091999999999999</v>
      </c>
      <c r="Q52" s="158">
        <v>37.276000000000003</v>
      </c>
      <c r="R52" s="159">
        <f t="shared" si="0"/>
        <v>6</v>
      </c>
      <c r="T52" s="158">
        <v>215.804</v>
      </c>
      <c r="U52" s="158">
        <v>214.76</v>
      </c>
      <c r="V52" s="158">
        <v>27.684999999999999</v>
      </c>
      <c r="X52" s="158">
        <v>292.24200000000002</v>
      </c>
      <c r="Y52" s="158">
        <v>28.736000000000001</v>
      </c>
      <c r="AA52" s="158">
        <v>87.709000000000003</v>
      </c>
      <c r="AB52" s="158">
        <v>81.475999999999999</v>
      </c>
      <c r="AC52" s="158">
        <v>20.271999999999998</v>
      </c>
      <c r="AE52" s="158">
        <v>340.14499999999998</v>
      </c>
      <c r="AF52" s="158">
        <v>329.20499999999998</v>
      </c>
      <c r="AG52" s="158">
        <v>84.85</v>
      </c>
      <c r="AI52" s="158">
        <v>81.968000000000004</v>
      </c>
      <c r="AJ52" s="158">
        <v>94.507999999999996</v>
      </c>
      <c r="AK52" s="159">
        <f t="shared" si="3"/>
        <v>8.9</v>
      </c>
      <c r="AM52" s="158">
        <v>193.072</v>
      </c>
      <c r="AN52" s="158">
        <v>192.6</v>
      </c>
      <c r="AO52" s="158">
        <v>97.103999999999999</v>
      </c>
    </row>
    <row r="53" spans="1:41">
      <c r="A53" s="157">
        <v>43647</v>
      </c>
      <c r="B53" s="158">
        <v>93.334999999999994</v>
      </c>
      <c r="C53" s="158">
        <v>93.751999999999995</v>
      </c>
      <c r="D53" s="158">
        <v>4.7039999999999997</v>
      </c>
      <c r="F53" s="158">
        <v>108.205</v>
      </c>
      <c r="G53" s="158">
        <v>28.2</v>
      </c>
      <c r="I53" s="158">
        <v>23.645</v>
      </c>
      <c r="J53" s="158">
        <v>23.143999999999998</v>
      </c>
      <c r="K53" s="158">
        <v>17.652999999999999</v>
      </c>
      <c r="M53" s="158">
        <v>449.59300000000002</v>
      </c>
      <c r="N53" s="158">
        <v>56.271000000000001</v>
      </c>
      <c r="P53" s="158">
        <v>33.856999999999999</v>
      </c>
      <c r="Q53" s="158">
        <v>35.094999999999999</v>
      </c>
      <c r="R53" s="159">
        <f t="shared" si="0"/>
        <v>5.75</v>
      </c>
      <c r="T53" s="158">
        <v>207.494</v>
      </c>
      <c r="U53" s="158">
        <v>208.66300000000001</v>
      </c>
      <c r="V53" s="158">
        <v>26.6</v>
      </c>
      <c r="X53" s="158">
        <v>273.93299999999999</v>
      </c>
      <c r="Y53" s="158">
        <v>39.613</v>
      </c>
      <c r="AA53" s="158">
        <v>80.83</v>
      </c>
      <c r="AB53" s="158">
        <v>85.045000000000002</v>
      </c>
      <c r="AC53" s="158">
        <v>18.298999999999999</v>
      </c>
      <c r="AE53" s="158">
        <v>310.19299999999998</v>
      </c>
      <c r="AF53" s="158">
        <v>304.91000000000003</v>
      </c>
      <c r="AG53" s="158">
        <v>90.338999999999999</v>
      </c>
      <c r="AI53" s="158">
        <v>89.509</v>
      </c>
      <c r="AJ53" s="158">
        <v>97.182000000000002</v>
      </c>
      <c r="AK53" s="159">
        <f t="shared" si="3"/>
        <v>8.6</v>
      </c>
      <c r="AM53" s="158">
        <v>177.86799999999999</v>
      </c>
      <c r="AN53" s="158">
        <v>185.45099999999999</v>
      </c>
      <c r="AO53" s="158">
        <v>87.709000000000003</v>
      </c>
    </row>
    <row r="54" spans="1:41">
      <c r="A54" s="157">
        <v>43678</v>
      </c>
      <c r="B54" s="158">
        <v>107.277</v>
      </c>
      <c r="C54" s="158">
        <v>105.23099999999999</v>
      </c>
      <c r="D54" s="158">
        <v>6.61</v>
      </c>
      <c r="F54" s="158">
        <v>113.157</v>
      </c>
      <c r="G54" s="158">
        <v>29.091000000000001</v>
      </c>
      <c r="I54" s="158">
        <v>30.141999999999999</v>
      </c>
      <c r="J54" s="158">
        <v>29.593</v>
      </c>
      <c r="K54" s="158">
        <v>18.725999999999999</v>
      </c>
      <c r="M54" s="158">
        <v>519.33100000000002</v>
      </c>
      <c r="N54" s="158">
        <v>69.100999999999999</v>
      </c>
      <c r="P54" s="158">
        <v>43.113999999999997</v>
      </c>
      <c r="Q54" s="158">
        <v>39.232999999999997</v>
      </c>
      <c r="R54" s="159">
        <f t="shared" si="0"/>
        <v>6.5</v>
      </c>
      <c r="T54" s="158">
        <v>233.381</v>
      </c>
      <c r="U54" s="158">
        <v>229.88200000000001</v>
      </c>
      <c r="V54" s="158">
        <v>30.155999999999999</v>
      </c>
      <c r="X54" s="158">
        <v>293.60300000000001</v>
      </c>
      <c r="Y54" s="158">
        <v>39.936</v>
      </c>
      <c r="AA54" s="158">
        <v>87.17</v>
      </c>
      <c r="AB54" s="158">
        <v>95.539000000000001</v>
      </c>
      <c r="AC54" s="158">
        <v>16.329000000000001</v>
      </c>
      <c r="AE54" s="158">
        <v>314.55399999999997</v>
      </c>
      <c r="AF54" s="158">
        <v>315.25700000000001</v>
      </c>
      <c r="AG54" s="158">
        <v>89.548000000000002</v>
      </c>
      <c r="AI54" s="158">
        <v>118.60299999999999</v>
      </c>
      <c r="AJ54" s="158">
        <v>129.94999999999999</v>
      </c>
      <c r="AK54" s="159">
        <f t="shared" si="3"/>
        <v>8.3000000000000007</v>
      </c>
      <c r="AM54" s="158">
        <v>185.547</v>
      </c>
      <c r="AN54" s="158">
        <v>178.05099999999999</v>
      </c>
      <c r="AO54" s="158">
        <v>94.497</v>
      </c>
    </row>
    <row r="55" spans="1:41">
      <c r="A55" s="157">
        <v>43709</v>
      </c>
      <c r="B55" s="158">
        <v>106.205</v>
      </c>
      <c r="C55" s="158">
        <v>105.495</v>
      </c>
      <c r="D55" s="158">
        <v>7.17</v>
      </c>
      <c r="F55" s="158">
        <v>99.984999999999999</v>
      </c>
      <c r="G55" s="158">
        <v>24.864000000000001</v>
      </c>
      <c r="I55" s="158">
        <v>25.734999999999999</v>
      </c>
      <c r="J55" s="158">
        <v>25.484000000000002</v>
      </c>
      <c r="K55" s="158">
        <v>16.442</v>
      </c>
      <c r="M55" s="158">
        <v>485.26</v>
      </c>
      <c r="N55" s="158">
        <v>65.793000000000006</v>
      </c>
      <c r="P55" s="158">
        <v>32.948999999999998</v>
      </c>
      <c r="Q55" s="158">
        <v>32.646999999999998</v>
      </c>
      <c r="R55" s="159">
        <f t="shared" si="0"/>
        <v>5.5</v>
      </c>
      <c r="T55" s="158">
        <v>212.82900000000001</v>
      </c>
      <c r="U55" s="158">
        <v>214.58600000000001</v>
      </c>
      <c r="V55" s="158">
        <v>28.510999999999999</v>
      </c>
      <c r="X55" s="158">
        <v>282.93400000000003</v>
      </c>
      <c r="Y55" s="158">
        <v>36.148000000000003</v>
      </c>
      <c r="AA55" s="158">
        <v>72.593000000000004</v>
      </c>
      <c r="AB55" s="158">
        <v>78.265000000000001</v>
      </c>
      <c r="AC55" s="158">
        <v>16.96</v>
      </c>
      <c r="AE55" s="158">
        <v>299.50599999999997</v>
      </c>
      <c r="AF55" s="158">
        <v>291.25599999999997</v>
      </c>
      <c r="AG55" s="158">
        <v>97.593000000000004</v>
      </c>
      <c r="AI55" s="158">
        <v>94.926000000000002</v>
      </c>
      <c r="AJ55" s="158">
        <v>104.176</v>
      </c>
      <c r="AK55" s="158">
        <v>8.1519999999999992</v>
      </c>
      <c r="AM55" s="158">
        <v>188.99199999999999</v>
      </c>
      <c r="AN55" s="158">
        <v>182.65299999999999</v>
      </c>
      <c r="AO55" s="158">
        <v>100.86499999999999</v>
      </c>
    </row>
    <row r="56" spans="1:41">
      <c r="A56" s="157">
        <v>43739</v>
      </c>
      <c r="B56" s="158">
        <v>114.003</v>
      </c>
      <c r="C56" s="158">
        <v>114.39</v>
      </c>
      <c r="D56" s="158">
        <v>6.5640000000000001</v>
      </c>
      <c r="F56" s="158">
        <v>102.181</v>
      </c>
      <c r="G56" s="158">
        <v>28.89</v>
      </c>
      <c r="I56" s="158">
        <v>26.027000000000001</v>
      </c>
      <c r="J56" s="158">
        <v>25.995000000000001</v>
      </c>
      <c r="K56" s="158">
        <v>13.481</v>
      </c>
      <c r="M56" s="158">
        <v>479.99099999999999</v>
      </c>
      <c r="N56" s="158">
        <v>73.653000000000006</v>
      </c>
      <c r="P56" s="158">
        <v>36.366</v>
      </c>
      <c r="Q56" s="158">
        <v>39.188000000000002</v>
      </c>
      <c r="R56" s="159">
        <f t="shared" si="0"/>
        <v>6.5</v>
      </c>
      <c r="T56" s="158">
        <v>210.77</v>
      </c>
      <c r="U56" s="158">
        <v>213.33099999999999</v>
      </c>
      <c r="V56" s="158">
        <v>26.254999999999999</v>
      </c>
      <c r="X56" s="158">
        <v>284.74799999999999</v>
      </c>
      <c r="Y56" s="158">
        <v>49.893999999999998</v>
      </c>
      <c r="AA56" s="158">
        <v>74.146000000000001</v>
      </c>
      <c r="AB56" s="158">
        <v>79.460999999999999</v>
      </c>
      <c r="AC56" s="158">
        <v>19.585999999999999</v>
      </c>
      <c r="AE56" s="158">
        <v>294.44200000000001</v>
      </c>
      <c r="AF56" s="158">
        <v>289.69499999999999</v>
      </c>
      <c r="AG56" s="158">
        <v>103.587</v>
      </c>
      <c r="AI56" s="158">
        <v>102.806</v>
      </c>
      <c r="AJ56" s="158">
        <v>109.745</v>
      </c>
      <c r="AK56" s="158">
        <v>8.6769999999999996</v>
      </c>
      <c r="AM56" s="158">
        <v>179.761</v>
      </c>
      <c r="AN56" s="158">
        <v>171.548</v>
      </c>
      <c r="AO56" s="158">
        <v>109.292</v>
      </c>
    </row>
    <row r="57" spans="1:41">
      <c r="A57" s="157">
        <v>43770</v>
      </c>
      <c r="B57" s="158">
        <v>121.381</v>
      </c>
      <c r="C57" s="158">
        <v>119.349</v>
      </c>
      <c r="D57" s="158">
        <v>8.4120000000000008</v>
      </c>
      <c r="F57" s="158">
        <v>108.15</v>
      </c>
      <c r="G57" s="158">
        <v>31.085000000000001</v>
      </c>
      <c r="I57" s="158">
        <v>35.470999999999997</v>
      </c>
      <c r="J57" s="158">
        <v>39.555999999999997</v>
      </c>
      <c r="K57" s="158">
        <v>6.9359999999999999</v>
      </c>
      <c r="M57" s="158">
        <v>503.57400000000001</v>
      </c>
      <c r="N57" s="158">
        <v>81.02</v>
      </c>
      <c r="P57" s="158">
        <v>36.231000000000002</v>
      </c>
      <c r="Q57" s="158">
        <v>37.305999999999997</v>
      </c>
      <c r="R57" s="159">
        <f t="shared" si="0"/>
        <v>6.25</v>
      </c>
      <c r="T57" s="158">
        <v>214.43600000000001</v>
      </c>
      <c r="U57" s="158">
        <v>216.41300000000001</v>
      </c>
      <c r="V57" s="158">
        <v>24.463000000000001</v>
      </c>
      <c r="X57" s="158">
        <v>334.03199999999998</v>
      </c>
      <c r="Y57" s="158">
        <v>37.037999999999997</v>
      </c>
      <c r="AA57" s="158">
        <v>90.272999999999996</v>
      </c>
      <c r="AB57" s="158">
        <v>103.44</v>
      </c>
      <c r="AC57" s="158">
        <v>10.577999999999999</v>
      </c>
      <c r="AE57" s="158">
        <v>340.60300000000001</v>
      </c>
      <c r="AF57" s="158">
        <v>338.88400000000001</v>
      </c>
      <c r="AG57" s="158">
        <v>105.16800000000001</v>
      </c>
      <c r="AI57" s="158">
        <v>118.25700000000001</v>
      </c>
      <c r="AJ57" s="158">
        <v>125.901</v>
      </c>
      <c r="AK57" s="159">
        <f>MROUND(FORECAST(AJ57,AK3:AK56,AJ3:AJ56),0.1)</f>
        <v>11.700000000000001</v>
      </c>
      <c r="AM57" s="158">
        <v>164.352</v>
      </c>
      <c r="AN57" s="158">
        <v>178.363</v>
      </c>
      <c r="AO57" s="158">
        <v>93.289000000000001</v>
      </c>
    </row>
    <row r="58" spans="1:41">
      <c r="A58" s="157">
        <v>43800</v>
      </c>
      <c r="B58" s="158">
        <v>112.592</v>
      </c>
      <c r="C58" s="158">
        <v>111.265</v>
      </c>
      <c r="D58" s="158">
        <v>9.7379999999999995</v>
      </c>
      <c r="F58" s="158">
        <v>135.56700000000001</v>
      </c>
      <c r="G58" s="158">
        <v>29.94</v>
      </c>
      <c r="I58" s="158">
        <v>30.754999999999999</v>
      </c>
      <c r="J58" s="158">
        <v>31.376999999999999</v>
      </c>
      <c r="K58" s="158">
        <v>5.9379999999999997</v>
      </c>
      <c r="M58" s="158">
        <v>503.60199999999998</v>
      </c>
      <c r="N58" s="158">
        <v>64.959999999999994</v>
      </c>
      <c r="P58" s="158">
        <v>40.78</v>
      </c>
      <c r="Q58" s="158">
        <v>40.866</v>
      </c>
      <c r="R58" s="159">
        <f t="shared" si="0"/>
        <v>6.75</v>
      </c>
      <c r="T58" s="158">
        <v>189.18299999999999</v>
      </c>
      <c r="U58" s="158">
        <v>182.20099999999999</v>
      </c>
      <c r="V58" s="158">
        <v>31.498999999999999</v>
      </c>
      <c r="X58" s="158">
        <v>265.86700000000002</v>
      </c>
      <c r="Y58" s="158">
        <v>43.155999999999999</v>
      </c>
      <c r="AA58" s="158">
        <v>87.346999999999994</v>
      </c>
      <c r="AB58" s="158">
        <v>81.301000000000002</v>
      </c>
      <c r="AC58" s="158">
        <v>17.847000000000001</v>
      </c>
      <c r="AE58" s="158">
        <v>318.05</v>
      </c>
      <c r="AF58" s="158">
        <v>322.435</v>
      </c>
      <c r="AG58" s="158">
        <v>100.782</v>
      </c>
      <c r="AI58" s="158">
        <v>104.855</v>
      </c>
      <c r="AJ58" s="158">
        <v>111.05</v>
      </c>
      <c r="AK58" s="159">
        <f t="shared" ref="AK58:AK61" si="4">MROUND(FORECAST(AJ58,AK4:AK57,AJ4:AJ57),0.1)</f>
        <v>13.100000000000001</v>
      </c>
      <c r="AM58" s="158">
        <v>184.02</v>
      </c>
      <c r="AN58" s="158">
        <v>186.691</v>
      </c>
      <c r="AO58" s="158">
        <v>90.62</v>
      </c>
    </row>
    <row r="59" spans="1:41">
      <c r="A59" s="157">
        <v>43831</v>
      </c>
      <c r="B59" s="158">
        <v>115.706</v>
      </c>
      <c r="C59" s="158">
        <v>107.614</v>
      </c>
      <c r="D59" s="158">
        <v>17.431000000000001</v>
      </c>
      <c r="F59" s="158">
        <v>100.65900000000001</v>
      </c>
      <c r="G59" s="158">
        <v>25.792999999999999</v>
      </c>
      <c r="I59" s="158">
        <v>27.58</v>
      </c>
      <c r="J59" s="158">
        <v>27.257000000000001</v>
      </c>
      <c r="K59" s="158">
        <v>8.9700000000000006</v>
      </c>
      <c r="M59" s="158">
        <v>461.19200000000001</v>
      </c>
      <c r="N59" s="158">
        <v>64.873000000000005</v>
      </c>
      <c r="P59" s="158">
        <v>38.805999999999997</v>
      </c>
      <c r="Q59" s="158">
        <v>37.369999999999997</v>
      </c>
      <c r="R59" s="159">
        <f t="shared" si="0"/>
        <v>6.25</v>
      </c>
      <c r="T59" s="158">
        <v>200.80699999999999</v>
      </c>
      <c r="U59" s="158">
        <v>201.07499999999999</v>
      </c>
      <c r="V59" s="158">
        <v>31.231000000000002</v>
      </c>
      <c r="X59" s="158">
        <v>284.11399999999998</v>
      </c>
      <c r="Y59" s="158">
        <v>39.631</v>
      </c>
      <c r="AA59" s="158">
        <v>80.744</v>
      </c>
      <c r="AB59" s="158">
        <v>79.495999999999995</v>
      </c>
      <c r="AC59" s="158">
        <v>20.282</v>
      </c>
      <c r="AE59" s="158">
        <v>295.63299999999998</v>
      </c>
      <c r="AF59" s="158">
        <v>291.92099999999999</v>
      </c>
      <c r="AG59" s="158">
        <v>104.494</v>
      </c>
      <c r="AI59" s="158">
        <v>103.163</v>
      </c>
      <c r="AJ59" s="158">
        <v>112.441</v>
      </c>
      <c r="AK59" s="159">
        <f t="shared" si="4"/>
        <v>12.9</v>
      </c>
      <c r="AM59" s="158">
        <v>175.19499999999999</v>
      </c>
      <c r="AN59" s="158">
        <v>163.72399999999999</v>
      </c>
      <c r="AO59" s="158">
        <v>102.09099999999999</v>
      </c>
    </row>
    <row r="60" spans="1:41">
      <c r="A60" s="157">
        <v>43862</v>
      </c>
      <c r="B60" s="158">
        <v>125.11199999999999</v>
      </c>
      <c r="C60" s="158">
        <v>124.854</v>
      </c>
      <c r="D60" s="158">
        <v>9.92</v>
      </c>
      <c r="F60" s="158">
        <v>110.205</v>
      </c>
      <c r="G60" s="158">
        <v>25.803000000000001</v>
      </c>
      <c r="I60" s="158">
        <v>34.631</v>
      </c>
      <c r="J60" s="158">
        <v>34.319000000000003</v>
      </c>
      <c r="K60" s="158">
        <v>7.601</v>
      </c>
      <c r="M60" s="158">
        <v>508.846</v>
      </c>
      <c r="N60" s="158">
        <v>60.944000000000003</v>
      </c>
      <c r="P60" s="158">
        <v>41.344999999999999</v>
      </c>
      <c r="Q60" s="158">
        <v>42.610999999999997</v>
      </c>
      <c r="R60" s="159">
        <f t="shared" si="0"/>
        <v>7.25</v>
      </c>
      <c r="T60" s="158">
        <v>214.94900000000001</v>
      </c>
      <c r="U60" s="158">
        <v>215.684</v>
      </c>
      <c r="V60" s="158">
        <v>30.495999999999999</v>
      </c>
      <c r="X60" s="158">
        <v>308.28399999999999</v>
      </c>
      <c r="Y60" s="158">
        <v>37.502000000000002</v>
      </c>
      <c r="AA60" s="158">
        <v>91.79</v>
      </c>
      <c r="AB60" s="158">
        <v>94.914000000000001</v>
      </c>
      <c r="AC60" s="158">
        <v>17.193000000000001</v>
      </c>
      <c r="AE60" s="158">
        <v>325.76400000000001</v>
      </c>
      <c r="AF60" s="158">
        <v>329.71100000000001</v>
      </c>
      <c r="AG60" s="158">
        <v>100.547</v>
      </c>
      <c r="AI60" s="158">
        <v>121.04900000000001</v>
      </c>
      <c r="AJ60" s="158">
        <v>119.456</v>
      </c>
      <c r="AK60" s="159">
        <f t="shared" si="4"/>
        <v>12.3</v>
      </c>
      <c r="AM60" s="158">
        <v>173.685</v>
      </c>
      <c r="AN60" s="158">
        <v>184.798</v>
      </c>
      <c r="AO60" s="158">
        <v>90.98</v>
      </c>
    </row>
    <row r="61" spans="1:41">
      <c r="A61" s="157">
        <v>43891</v>
      </c>
      <c r="B61" s="158">
        <v>126.508</v>
      </c>
      <c r="C61" s="158">
        <v>125.80500000000001</v>
      </c>
      <c r="D61" s="158">
        <v>10.045</v>
      </c>
      <c r="F61" s="158">
        <v>101.749</v>
      </c>
      <c r="G61" s="158">
        <v>20.707000000000001</v>
      </c>
      <c r="I61" s="158">
        <v>30.472999999999999</v>
      </c>
      <c r="J61" s="158">
        <v>28.896999999999998</v>
      </c>
      <c r="K61" s="158">
        <v>9.2100000000000009</v>
      </c>
      <c r="M61" s="158">
        <v>515.53700000000003</v>
      </c>
      <c r="N61" s="158">
        <v>62.079000000000001</v>
      </c>
      <c r="P61" s="158">
        <v>40.066000000000003</v>
      </c>
      <c r="Q61" s="158">
        <v>37.590000000000003</v>
      </c>
      <c r="R61" s="159">
        <f t="shared" si="0"/>
        <v>6.5</v>
      </c>
      <c r="T61" s="158">
        <v>210.15299999999999</v>
      </c>
      <c r="U61" s="158">
        <v>212.71199999999999</v>
      </c>
      <c r="V61" s="158">
        <v>28.407</v>
      </c>
      <c r="X61" s="158">
        <v>289.52999999999997</v>
      </c>
      <c r="Y61" s="158">
        <v>34.11</v>
      </c>
      <c r="AA61" s="158">
        <v>92.659000000000006</v>
      </c>
      <c r="AB61" s="158">
        <v>101.56699999999999</v>
      </c>
      <c r="AC61" s="158">
        <v>8.24</v>
      </c>
      <c r="AE61" s="158">
        <v>336.65</v>
      </c>
      <c r="AF61" s="158">
        <v>337.86900000000003</v>
      </c>
      <c r="AG61" s="158">
        <v>99.328000000000003</v>
      </c>
      <c r="AI61" s="158">
        <v>114.294</v>
      </c>
      <c r="AJ61" s="158">
        <v>123.246</v>
      </c>
      <c r="AK61" s="159">
        <f t="shared" si="4"/>
        <v>11.9</v>
      </c>
      <c r="AM61" s="158">
        <v>201.65700000000001</v>
      </c>
      <c r="AN61" s="158">
        <v>205.49799999999999</v>
      </c>
      <c r="AO61" s="158">
        <v>88.626999999999995</v>
      </c>
    </row>
    <row r="62" spans="1:41">
      <c r="A62" s="157">
        <v>43922</v>
      </c>
      <c r="B62" s="158">
        <v>88.974000000000004</v>
      </c>
      <c r="C62" s="158">
        <v>93.188999999999993</v>
      </c>
      <c r="D62" s="158">
        <v>5.8289999999999997</v>
      </c>
      <c r="F62" s="158">
        <v>91.649000000000001</v>
      </c>
      <c r="G62" s="158">
        <v>24.13</v>
      </c>
      <c r="I62" s="158">
        <v>20.61</v>
      </c>
      <c r="J62" s="158">
        <v>19.863</v>
      </c>
      <c r="K62" s="158">
        <v>9.5790000000000006</v>
      </c>
      <c r="M62" s="158">
        <v>363.68700000000001</v>
      </c>
      <c r="N62" s="158">
        <v>56.444000000000003</v>
      </c>
      <c r="P62" s="158">
        <v>30.045000000000002</v>
      </c>
      <c r="Q62" s="158">
        <v>29.312999999999999</v>
      </c>
      <c r="R62" s="159">
        <f t="shared" si="0"/>
        <v>5</v>
      </c>
      <c r="T62" s="158">
        <v>185.602</v>
      </c>
      <c r="U62" s="158">
        <v>185.39699999999999</v>
      </c>
      <c r="V62" s="158">
        <v>28.613</v>
      </c>
      <c r="X62" s="158">
        <v>266.64299999999997</v>
      </c>
      <c r="Y62" s="158">
        <v>30.137</v>
      </c>
      <c r="AA62" s="158">
        <v>60.029000000000003</v>
      </c>
      <c r="AB62" s="158">
        <v>46.027999999999999</v>
      </c>
      <c r="AC62" s="159">
        <v>25</v>
      </c>
      <c r="AE62" s="158">
        <v>226.905</v>
      </c>
      <c r="AF62" s="158">
        <v>238.64599999999999</v>
      </c>
      <c r="AG62" s="158">
        <v>87.447999999999993</v>
      </c>
      <c r="AI62" s="158">
        <v>75.055000000000007</v>
      </c>
      <c r="AJ62" s="158">
        <v>89.343000000000004</v>
      </c>
      <c r="AK62" s="158">
        <v>8.5489999999999995</v>
      </c>
      <c r="AM62" s="158">
        <v>156.78100000000001</v>
      </c>
      <c r="AN62" s="158">
        <v>179.32400000000001</v>
      </c>
      <c r="AO62" s="158">
        <v>66.081000000000003</v>
      </c>
    </row>
    <row r="63" spans="1:41">
      <c r="A63" s="157">
        <v>43952</v>
      </c>
      <c r="B63" s="158">
        <v>110.913</v>
      </c>
      <c r="C63" s="158">
        <v>108.73099999999999</v>
      </c>
      <c r="D63" s="158">
        <v>8.0109999999999992</v>
      </c>
      <c r="F63" s="158">
        <v>107.366</v>
      </c>
      <c r="G63" s="158">
        <v>29.834</v>
      </c>
      <c r="I63" s="158">
        <v>18.725999999999999</v>
      </c>
      <c r="J63" s="158">
        <v>18.312000000000001</v>
      </c>
      <c r="K63" s="158">
        <v>9.2590000000000003</v>
      </c>
      <c r="M63" s="158">
        <v>401.11700000000002</v>
      </c>
      <c r="N63" s="158">
        <v>66.790999999999997</v>
      </c>
      <c r="P63" s="158">
        <v>33.402000000000001</v>
      </c>
      <c r="Q63" s="158">
        <v>34.566000000000003</v>
      </c>
      <c r="R63" s="159">
        <f t="shared" si="0"/>
        <v>5.75</v>
      </c>
      <c r="T63" s="158">
        <v>229.98599999999999</v>
      </c>
      <c r="U63" s="158">
        <v>222.459</v>
      </c>
      <c r="V63" s="158">
        <v>36.139000000000003</v>
      </c>
      <c r="X63" s="158">
        <v>315.97500000000002</v>
      </c>
      <c r="Y63" s="158">
        <v>37.014000000000003</v>
      </c>
      <c r="AA63" s="158">
        <v>57.235999999999997</v>
      </c>
      <c r="AB63" s="158">
        <v>55.287999999999997</v>
      </c>
      <c r="AC63" s="158">
        <v>25.684000000000001</v>
      </c>
      <c r="AE63" s="158">
        <v>278.733</v>
      </c>
      <c r="AF63" s="158">
        <v>259.17899999999997</v>
      </c>
      <c r="AG63" s="158">
        <v>107.693</v>
      </c>
      <c r="AI63" s="158">
        <v>78.736000000000004</v>
      </c>
      <c r="AJ63" s="158">
        <v>84.846000000000004</v>
      </c>
      <c r="AK63" s="158">
        <v>9.4499999999999993</v>
      </c>
      <c r="AM63" s="158">
        <v>137.095</v>
      </c>
      <c r="AN63" s="158">
        <v>125.235</v>
      </c>
      <c r="AO63" s="158">
        <v>78.795000000000002</v>
      </c>
    </row>
    <row r="64" spans="1:41">
      <c r="A64" s="157">
        <v>43983</v>
      </c>
      <c r="B64" s="158">
        <v>114.97499999999999</v>
      </c>
      <c r="C64" s="158">
        <v>113.761</v>
      </c>
      <c r="D64" s="158">
        <v>9.1519999999999992</v>
      </c>
      <c r="F64" s="158">
        <v>96.402000000000001</v>
      </c>
      <c r="G64" s="158">
        <v>27.568000000000001</v>
      </c>
      <c r="I64" s="158">
        <v>25.202999999999999</v>
      </c>
      <c r="J64" s="158">
        <v>26.364000000000001</v>
      </c>
      <c r="K64" s="158">
        <v>9.6780000000000008</v>
      </c>
      <c r="M64" s="158">
        <v>433.97399999999999</v>
      </c>
      <c r="N64" s="158">
        <v>67.908000000000001</v>
      </c>
      <c r="P64" s="158">
        <v>40.936999999999998</v>
      </c>
      <c r="Q64" s="158">
        <v>38.289000000000001</v>
      </c>
      <c r="R64" s="159">
        <f t="shared" si="0"/>
        <v>6.5</v>
      </c>
      <c r="T64" s="158">
        <v>207.202</v>
      </c>
      <c r="U64" s="158">
        <v>207.16</v>
      </c>
      <c r="V64" s="158">
        <v>36.180999999999997</v>
      </c>
      <c r="X64" s="158">
        <v>271.87400000000002</v>
      </c>
      <c r="Y64" s="158">
        <v>36.720999999999997</v>
      </c>
      <c r="AA64" s="158">
        <v>76.768000000000001</v>
      </c>
      <c r="AB64" s="158">
        <v>89.087999999999994</v>
      </c>
      <c r="AC64" s="158">
        <v>12.512</v>
      </c>
      <c r="AE64" s="158">
        <v>324.334</v>
      </c>
      <c r="AF64" s="158">
        <v>334.25200000000001</v>
      </c>
      <c r="AG64" s="159">
        <v>95</v>
      </c>
      <c r="AI64" s="158">
        <v>111.176</v>
      </c>
      <c r="AJ64" s="158">
        <v>109.836</v>
      </c>
      <c r="AK64" s="159">
        <f t="shared" ref="AK64:AK99" si="5">MROUND(FORECAST(AJ64,AK10:AK63,AJ10:AJ63),0.1)</f>
        <v>12.3</v>
      </c>
      <c r="AM64" s="158">
        <v>173.31200000000001</v>
      </c>
      <c r="AN64" s="158">
        <v>176.46</v>
      </c>
      <c r="AO64" s="158">
        <v>75.652000000000001</v>
      </c>
    </row>
    <row r="65" spans="1:41">
      <c r="A65" s="157">
        <v>44013</v>
      </c>
      <c r="B65" s="158">
        <v>98.436000000000007</v>
      </c>
      <c r="C65" s="158">
        <v>99.287000000000006</v>
      </c>
      <c r="D65" s="158">
        <v>8.3279999999999994</v>
      </c>
      <c r="F65" s="158">
        <v>92.722999999999999</v>
      </c>
      <c r="G65" s="158">
        <v>27.91</v>
      </c>
      <c r="I65" s="158">
        <v>22.559000000000001</v>
      </c>
      <c r="J65" s="158">
        <v>21.416</v>
      </c>
      <c r="K65" s="158">
        <v>8.2050000000000001</v>
      </c>
      <c r="M65" s="158">
        <v>480.45499999999998</v>
      </c>
      <c r="N65" s="158">
        <v>64.709999999999994</v>
      </c>
      <c r="P65" s="158">
        <v>38.728000000000002</v>
      </c>
      <c r="Q65" s="158">
        <v>40.476999999999997</v>
      </c>
      <c r="R65" s="159">
        <f t="shared" si="0"/>
        <v>6.75</v>
      </c>
      <c r="T65" s="158">
        <v>195.113</v>
      </c>
      <c r="U65" s="158">
        <v>199.74100000000001</v>
      </c>
      <c r="V65" s="158">
        <v>31.553000000000001</v>
      </c>
      <c r="X65" s="158">
        <v>270.25299999999999</v>
      </c>
      <c r="Y65" s="158">
        <v>42.484999999999999</v>
      </c>
      <c r="AA65" s="158">
        <v>80.418000000000006</v>
      </c>
      <c r="AB65" s="158">
        <v>81.478999999999999</v>
      </c>
      <c r="AC65" s="159">
        <f>MROUND(FORECAST(AA65,AC3:AC64,AA3:AA64),1)</f>
        <v>22</v>
      </c>
      <c r="AE65" s="158">
        <v>294.80200000000002</v>
      </c>
      <c r="AF65" s="158">
        <v>297.12400000000002</v>
      </c>
      <c r="AG65" s="158">
        <v>95.891000000000005</v>
      </c>
      <c r="AI65" s="158">
        <v>115.434</v>
      </c>
      <c r="AJ65" s="158">
        <v>114.566</v>
      </c>
      <c r="AK65" s="159">
        <f t="shared" si="5"/>
        <v>12.200000000000001</v>
      </c>
      <c r="AM65" s="158">
        <v>179.65</v>
      </c>
      <c r="AN65" s="158">
        <v>176.69</v>
      </c>
      <c r="AO65" s="158">
        <v>78.611000000000004</v>
      </c>
    </row>
    <row r="66" spans="1:41">
      <c r="A66" s="157">
        <v>44044</v>
      </c>
      <c r="B66" s="158">
        <v>104.807</v>
      </c>
      <c r="C66" s="158">
        <v>103.03400000000001</v>
      </c>
      <c r="D66" s="158">
        <v>10.1</v>
      </c>
      <c r="F66" s="158">
        <v>107.19799999999999</v>
      </c>
      <c r="G66" s="158">
        <v>23.132000000000001</v>
      </c>
      <c r="I66" s="158">
        <v>24.079000000000001</v>
      </c>
      <c r="J66" s="158">
        <v>22.553999999999998</v>
      </c>
      <c r="K66" s="158">
        <v>10.972</v>
      </c>
      <c r="M66" s="158">
        <v>471.22300000000001</v>
      </c>
      <c r="N66" s="158">
        <v>64.843999999999994</v>
      </c>
      <c r="P66" s="158">
        <v>41.692999999999998</v>
      </c>
      <c r="Q66" s="158">
        <v>39.700000000000003</v>
      </c>
      <c r="R66" s="159">
        <f t="shared" si="0"/>
        <v>6.5</v>
      </c>
      <c r="T66" s="158">
        <v>225.399</v>
      </c>
      <c r="U66" s="158">
        <v>221.57599999999999</v>
      </c>
      <c r="V66" s="158">
        <v>35.375999999999998</v>
      </c>
      <c r="X66" s="158">
        <v>307.52300000000002</v>
      </c>
      <c r="Y66" s="158">
        <v>50.02</v>
      </c>
      <c r="AA66" s="158">
        <v>91.33</v>
      </c>
      <c r="AB66" s="158">
        <v>78.992000000000004</v>
      </c>
      <c r="AC66" s="159">
        <f>MROUND(FORECAST(AA66,AC4:AC65,AA4:AA65),1)</f>
        <v>21</v>
      </c>
      <c r="AE66" s="158">
        <v>324.40699999999998</v>
      </c>
      <c r="AF66" s="158">
        <v>325.87799999999999</v>
      </c>
      <c r="AG66" s="158">
        <v>96.195999999999998</v>
      </c>
      <c r="AI66" s="158">
        <v>132.95500000000001</v>
      </c>
      <c r="AJ66" s="158">
        <v>134.78800000000001</v>
      </c>
      <c r="AK66" s="159">
        <f t="shared" si="5"/>
        <v>11.9</v>
      </c>
      <c r="AM66" s="158">
        <v>171.785</v>
      </c>
      <c r="AN66" s="158">
        <v>160.00399999999999</v>
      </c>
      <c r="AO66" s="158">
        <v>90.391000000000005</v>
      </c>
    </row>
    <row r="67" spans="1:41">
      <c r="A67" s="157">
        <v>44075</v>
      </c>
      <c r="B67" s="158">
        <v>105.61799999999999</v>
      </c>
      <c r="C67" s="158">
        <v>106.395</v>
      </c>
      <c r="D67" s="158">
        <v>9.3170000000000002</v>
      </c>
      <c r="F67" s="158">
        <v>108.896</v>
      </c>
      <c r="G67" s="158">
        <v>26.914999999999999</v>
      </c>
      <c r="I67" s="158">
        <v>24.640999999999998</v>
      </c>
      <c r="J67" s="158">
        <v>28.742000000000001</v>
      </c>
      <c r="K67" s="158">
        <v>6.6440000000000001</v>
      </c>
      <c r="M67" s="158">
        <v>501.54700000000003</v>
      </c>
      <c r="N67" s="158">
        <v>68.587000000000003</v>
      </c>
      <c r="P67" s="158">
        <v>41.658000000000001</v>
      </c>
      <c r="Q67" s="158">
        <v>43.021000000000001</v>
      </c>
      <c r="R67" s="159">
        <f t="shared" si="0"/>
        <v>7</v>
      </c>
      <c r="T67" s="158">
        <v>237.47300000000001</v>
      </c>
      <c r="U67" s="158">
        <v>238.68299999999999</v>
      </c>
      <c r="V67" s="158">
        <v>34.165999999999997</v>
      </c>
      <c r="X67" s="158">
        <v>316.49099999999999</v>
      </c>
      <c r="Y67" s="158">
        <v>46.057000000000002</v>
      </c>
      <c r="AA67" s="158">
        <v>90.141999999999996</v>
      </c>
      <c r="AB67" s="158">
        <v>92.793999999999997</v>
      </c>
      <c r="AC67" s="159">
        <f>MROUND(FORECAST(AA67,AC5:AC66,AA5:AA66),1)</f>
        <v>21</v>
      </c>
      <c r="AE67" s="158">
        <v>328.26</v>
      </c>
      <c r="AF67" s="158">
        <v>330.149</v>
      </c>
      <c r="AG67" s="158">
        <v>93.602000000000004</v>
      </c>
      <c r="AI67" s="158">
        <v>132.756</v>
      </c>
      <c r="AJ67" s="158">
        <v>135.434</v>
      </c>
      <c r="AK67" s="159">
        <f t="shared" si="5"/>
        <v>11.9</v>
      </c>
      <c r="AM67" s="158">
        <v>186.64</v>
      </c>
      <c r="AN67" s="158">
        <v>183.22800000000001</v>
      </c>
      <c r="AO67" s="158">
        <v>93.843000000000004</v>
      </c>
    </row>
    <row r="68" spans="1:41">
      <c r="A68" s="157">
        <v>44105</v>
      </c>
      <c r="B68" s="158">
        <v>96.575999999999993</v>
      </c>
      <c r="C68" s="158">
        <v>94.307000000000002</v>
      </c>
      <c r="D68" s="158">
        <v>11.586</v>
      </c>
      <c r="F68" s="158">
        <v>99.801000000000002</v>
      </c>
      <c r="G68" s="158">
        <v>26.097999999999999</v>
      </c>
      <c r="I68" s="158">
        <v>24.052</v>
      </c>
      <c r="J68" s="158">
        <v>21.459</v>
      </c>
      <c r="K68" s="159">
        <v>6.5</v>
      </c>
      <c r="M68" s="158">
        <v>411.10300000000001</v>
      </c>
      <c r="N68" s="158">
        <v>68.578999999999994</v>
      </c>
      <c r="P68" s="158">
        <v>35.938000000000002</v>
      </c>
      <c r="Q68" s="158">
        <v>38.356999999999999</v>
      </c>
      <c r="R68" s="159">
        <f t="shared" ref="R68:R72" si="6">MROUND(R69/Q69*Q68,0.25)</f>
        <v>6.25</v>
      </c>
      <c r="T68" s="158">
        <v>209.06700000000001</v>
      </c>
      <c r="U68" s="158">
        <v>212.25899999999999</v>
      </c>
      <c r="V68" s="158">
        <v>30.974</v>
      </c>
      <c r="X68" s="158">
        <v>281.57600000000002</v>
      </c>
      <c r="Y68" s="158">
        <v>43.747999999999998</v>
      </c>
      <c r="AA68" s="158">
        <v>62.801000000000002</v>
      </c>
      <c r="AB68" s="158">
        <v>63.866</v>
      </c>
      <c r="AC68" s="159">
        <f>MROUND(FORECAST(AA68,AC6:AC67,AA6:AA67),1)</f>
        <v>21</v>
      </c>
      <c r="AE68" s="158">
        <v>254.285</v>
      </c>
      <c r="AF68" s="158">
        <v>250.29900000000001</v>
      </c>
      <c r="AG68" s="158">
        <v>97.587000000000003</v>
      </c>
      <c r="AI68" s="158">
        <v>96.224999999999994</v>
      </c>
      <c r="AJ68" s="158">
        <v>94.453999999999994</v>
      </c>
      <c r="AK68" s="159">
        <f t="shared" si="5"/>
        <v>12.4</v>
      </c>
      <c r="AM68" s="158">
        <v>178.423</v>
      </c>
      <c r="AN68" s="158">
        <v>192.08799999999999</v>
      </c>
      <c r="AO68" s="158">
        <v>80.733000000000004</v>
      </c>
    </row>
    <row r="69" spans="1:41">
      <c r="A69" s="157">
        <v>44136</v>
      </c>
      <c r="B69" s="158">
        <v>116.917</v>
      </c>
      <c r="C69" s="158">
        <v>115.358</v>
      </c>
      <c r="D69" s="158">
        <v>13.145</v>
      </c>
      <c r="F69" s="158">
        <v>106.956</v>
      </c>
      <c r="G69" s="158">
        <v>25.515000000000001</v>
      </c>
      <c r="I69" s="158">
        <v>26.652000000000001</v>
      </c>
      <c r="J69" s="158">
        <v>27.864999999999998</v>
      </c>
      <c r="K69" s="158">
        <v>6.319</v>
      </c>
      <c r="M69" s="158">
        <v>468.428</v>
      </c>
      <c r="N69" s="158">
        <v>69.323999999999998</v>
      </c>
      <c r="P69" s="158">
        <v>35.378</v>
      </c>
      <c r="Q69" s="158">
        <v>36.308</v>
      </c>
      <c r="R69" s="159">
        <f t="shared" si="6"/>
        <v>6</v>
      </c>
      <c r="T69" s="158">
        <v>216.16</v>
      </c>
      <c r="U69" s="158">
        <v>218.69300000000001</v>
      </c>
      <c r="V69" s="158">
        <v>28.440999999999999</v>
      </c>
      <c r="X69" s="158">
        <v>303.464</v>
      </c>
      <c r="Y69" s="158">
        <v>38.540999999999997</v>
      </c>
      <c r="AA69" s="158">
        <v>82.584999999999994</v>
      </c>
      <c r="AB69" s="158">
        <v>80.116</v>
      </c>
      <c r="AC69" s="158">
        <v>23.283000000000001</v>
      </c>
      <c r="AE69" s="158">
        <v>279.30700000000002</v>
      </c>
      <c r="AF69" s="158">
        <v>280.31299999999999</v>
      </c>
      <c r="AG69" s="159">
        <f>MROUND(FORECAST(AE69,AG7:AG68,AE7:AE68),1)</f>
        <v>89</v>
      </c>
      <c r="AI69" s="158">
        <v>97.134</v>
      </c>
      <c r="AJ69" s="158">
        <v>97.397999999999996</v>
      </c>
      <c r="AK69" s="159">
        <f t="shared" si="5"/>
        <v>12.4</v>
      </c>
      <c r="AM69" s="158">
        <v>172.89400000000001</v>
      </c>
      <c r="AN69" s="158">
        <v>166.316</v>
      </c>
      <c r="AO69" s="158">
        <v>86.731999999999999</v>
      </c>
    </row>
    <row r="70" spans="1:41">
      <c r="A70" s="157">
        <v>44166</v>
      </c>
      <c r="B70" s="158">
        <v>110.63200000000001</v>
      </c>
      <c r="C70" s="158">
        <v>114.2</v>
      </c>
      <c r="D70" s="158">
        <v>9.577</v>
      </c>
      <c r="F70" s="158">
        <v>96.593999999999994</v>
      </c>
      <c r="G70" s="158">
        <v>24.797000000000001</v>
      </c>
      <c r="I70" s="158">
        <v>24.184999999999999</v>
      </c>
      <c r="J70" s="158">
        <v>22.969000000000001</v>
      </c>
      <c r="K70" s="158">
        <v>8.5990000000000002</v>
      </c>
      <c r="M70" s="158">
        <v>440.43299999999999</v>
      </c>
      <c r="N70" s="158">
        <v>68.558000000000007</v>
      </c>
      <c r="P70" s="158">
        <v>38.729999999999997</v>
      </c>
      <c r="Q70" s="158">
        <v>39.048999999999999</v>
      </c>
      <c r="R70" s="159">
        <f t="shared" si="6"/>
        <v>6.5</v>
      </c>
      <c r="T70" s="158">
        <v>195.72900000000001</v>
      </c>
      <c r="U70" s="158">
        <v>191.565</v>
      </c>
      <c r="V70" s="158">
        <v>32.604999999999997</v>
      </c>
      <c r="X70" s="158">
        <v>268.23500000000001</v>
      </c>
      <c r="Y70" s="158">
        <v>44.280999999999999</v>
      </c>
      <c r="AA70" s="158">
        <v>73.203999999999994</v>
      </c>
      <c r="AB70" s="158">
        <v>72.403000000000006</v>
      </c>
      <c r="AC70" s="159">
        <f>MROUND(FORECAST(AA70,AC8:AC69,AA8:AA69),1)</f>
        <v>21</v>
      </c>
      <c r="AE70" s="158">
        <v>264.82799999999997</v>
      </c>
      <c r="AF70" s="158">
        <v>270.56200000000001</v>
      </c>
      <c r="AG70" s="158">
        <v>90.846999999999994</v>
      </c>
      <c r="AI70" s="158">
        <v>84.72</v>
      </c>
      <c r="AJ70" s="158">
        <v>85.516000000000005</v>
      </c>
      <c r="AK70" s="159">
        <f t="shared" si="5"/>
        <v>12.5</v>
      </c>
      <c r="AM70" s="158">
        <v>179.928</v>
      </c>
      <c r="AN70" s="158">
        <v>178.62100000000001</v>
      </c>
      <c r="AO70" s="158">
        <v>88.033000000000001</v>
      </c>
    </row>
    <row r="71" spans="1:41">
      <c r="A71" s="157">
        <v>44197</v>
      </c>
      <c r="B71" s="158">
        <v>112.172</v>
      </c>
      <c r="C71" s="158">
        <v>108.526</v>
      </c>
      <c r="D71" s="158">
        <v>13.223000000000001</v>
      </c>
      <c r="F71" s="158">
        <v>81.286000000000001</v>
      </c>
      <c r="G71" s="158">
        <v>24.710999999999999</v>
      </c>
      <c r="I71" s="158">
        <v>21.702000000000002</v>
      </c>
      <c r="J71" s="158">
        <v>21.303999999999998</v>
      </c>
      <c r="K71" s="158">
        <v>10.355</v>
      </c>
      <c r="M71" s="158">
        <v>416.64499999999998</v>
      </c>
      <c r="N71" s="158">
        <v>72.647999999999996</v>
      </c>
      <c r="P71" s="158">
        <v>33.686</v>
      </c>
      <c r="Q71" s="158">
        <v>33.936</v>
      </c>
      <c r="R71" s="159">
        <f t="shared" si="6"/>
        <v>5.75</v>
      </c>
      <c r="T71" s="158">
        <v>167.245</v>
      </c>
      <c r="U71" s="158">
        <v>171.67500000000001</v>
      </c>
      <c r="V71" s="158">
        <v>28.175000000000001</v>
      </c>
      <c r="X71" s="158">
        <v>249.316</v>
      </c>
      <c r="Y71" s="158">
        <v>47.142000000000003</v>
      </c>
      <c r="AA71" s="158">
        <v>73.052999999999997</v>
      </c>
      <c r="AB71" s="158">
        <v>74.710999999999999</v>
      </c>
      <c r="AC71" s="158">
        <v>22.683</v>
      </c>
      <c r="AE71" s="158">
        <v>269.44299999999998</v>
      </c>
      <c r="AF71" s="158">
        <v>265.16800000000001</v>
      </c>
      <c r="AG71" s="158">
        <v>95.12</v>
      </c>
      <c r="AI71" s="158">
        <v>88.167000000000002</v>
      </c>
      <c r="AJ71" s="158">
        <v>86.468000000000004</v>
      </c>
      <c r="AK71" s="159">
        <f t="shared" si="5"/>
        <v>12.5</v>
      </c>
      <c r="AM71" s="158">
        <v>169.59899999999999</v>
      </c>
      <c r="AN71" s="158">
        <v>181.69</v>
      </c>
      <c r="AO71" s="158">
        <v>75.942999999999998</v>
      </c>
    </row>
    <row r="72" spans="1:41">
      <c r="A72" s="157">
        <v>44228</v>
      </c>
      <c r="B72" s="158">
        <v>108.286</v>
      </c>
      <c r="C72" s="158">
        <v>111.633</v>
      </c>
      <c r="D72" s="158">
        <v>9.8770000000000007</v>
      </c>
      <c r="F72" s="158">
        <v>86.308999999999997</v>
      </c>
      <c r="G72" s="158">
        <v>14.904999999999999</v>
      </c>
      <c r="I72" s="158">
        <v>22.388999999999999</v>
      </c>
      <c r="J72" s="158">
        <v>24.448</v>
      </c>
      <c r="K72" s="158">
        <v>9.6210000000000004</v>
      </c>
      <c r="M72" s="158">
        <v>424.69200000000001</v>
      </c>
      <c r="N72" s="158">
        <v>73.566999999999993</v>
      </c>
      <c r="P72" s="158">
        <v>30.832000000000001</v>
      </c>
      <c r="Q72" s="158">
        <v>31.213999999999999</v>
      </c>
      <c r="R72" s="159">
        <f t="shared" si="6"/>
        <v>5.25</v>
      </c>
      <c r="T72" s="158">
        <v>174.726</v>
      </c>
      <c r="U72" s="158">
        <v>173.51499999999999</v>
      </c>
      <c r="V72" s="158">
        <v>29.385999999999999</v>
      </c>
      <c r="X72" s="158">
        <v>277.93099999999998</v>
      </c>
      <c r="Y72" s="158">
        <v>53.923000000000002</v>
      </c>
      <c r="AA72" s="158">
        <v>90.102999999999994</v>
      </c>
      <c r="AB72" s="158">
        <v>96.063000000000002</v>
      </c>
      <c r="AC72" s="159">
        <f>MROUND(FORECAST(AA72,AC10:AC71,AA10:AA71),1)</f>
        <v>21</v>
      </c>
      <c r="AE72" s="158">
        <v>290.55500000000001</v>
      </c>
      <c r="AF72" s="158">
        <v>280.464</v>
      </c>
      <c r="AG72" s="158">
        <v>105.21</v>
      </c>
      <c r="AI72" s="158">
        <v>97.483000000000004</v>
      </c>
      <c r="AJ72" s="158">
        <v>98.049000000000007</v>
      </c>
      <c r="AK72" s="159">
        <f t="shared" si="5"/>
        <v>12.3</v>
      </c>
      <c r="AM72" s="158">
        <v>152.28399999999999</v>
      </c>
      <c r="AN72" s="158">
        <v>146.92699999999999</v>
      </c>
      <c r="AO72" s="158">
        <v>81.153000000000006</v>
      </c>
    </row>
    <row r="73" spans="1:41">
      <c r="A73" s="157">
        <v>44256</v>
      </c>
      <c r="B73" s="158">
        <v>108.982</v>
      </c>
      <c r="C73" s="158">
        <v>107.621</v>
      </c>
      <c r="D73" s="158">
        <v>11.238</v>
      </c>
      <c r="F73" s="158">
        <v>83.98</v>
      </c>
      <c r="G73" s="158">
        <v>15.568</v>
      </c>
      <c r="I73" s="158">
        <v>17.456</v>
      </c>
      <c r="J73" s="158">
        <v>20.164999999999999</v>
      </c>
      <c r="K73" s="158">
        <v>6.9119999999999999</v>
      </c>
      <c r="M73" s="158">
        <v>513.46199999999999</v>
      </c>
      <c r="N73" s="158">
        <v>68.073999999999998</v>
      </c>
      <c r="P73" s="158">
        <v>39.491999999999997</v>
      </c>
      <c r="Q73" s="158">
        <v>42.624000000000002</v>
      </c>
      <c r="R73" s="158">
        <v>7.0460000000000003</v>
      </c>
      <c r="T73" s="158">
        <v>179.452</v>
      </c>
      <c r="U73" s="158">
        <v>183.60499999999999</v>
      </c>
      <c r="V73" s="158">
        <v>25.233000000000001</v>
      </c>
      <c r="X73" s="158">
        <v>293.46199999999999</v>
      </c>
      <c r="Y73" s="158">
        <v>43.637999999999998</v>
      </c>
      <c r="AA73" s="158">
        <v>94.480999999999995</v>
      </c>
      <c r="AB73" s="158">
        <v>98.462000000000003</v>
      </c>
      <c r="AC73" s="158">
        <v>13.019</v>
      </c>
      <c r="AE73" s="158">
        <v>365.47500000000002</v>
      </c>
      <c r="AF73" s="158">
        <v>368.767</v>
      </c>
      <c r="AG73" s="159">
        <f>MROUND(FORECAST(AE73,AG11:AG72,AE11:AE72),1)</f>
        <v>97</v>
      </c>
      <c r="AI73" s="158">
        <v>109.26600000000001</v>
      </c>
      <c r="AJ73" s="158">
        <v>111.236</v>
      </c>
      <c r="AK73" s="159">
        <f>MROUND(FORECAST(AJ73,AK3:AK72,AJ3:AJ72),0.1)</f>
        <v>13.100000000000001</v>
      </c>
      <c r="AM73" s="158">
        <v>210.96299999999999</v>
      </c>
      <c r="AN73" s="158">
        <v>194.19399999999999</v>
      </c>
      <c r="AO73" s="158">
        <v>97.92</v>
      </c>
    </row>
    <row r="74" spans="1:41">
      <c r="A74" s="157">
        <v>44287</v>
      </c>
      <c r="B74" s="158">
        <v>97.444999999999993</v>
      </c>
      <c r="C74" s="158">
        <v>96.31</v>
      </c>
      <c r="D74" s="158">
        <v>12.372999999999999</v>
      </c>
      <c r="F74" s="158">
        <v>81.631</v>
      </c>
      <c r="G74" s="158">
        <v>15.752000000000001</v>
      </c>
      <c r="I74" s="158">
        <v>20.696000000000002</v>
      </c>
      <c r="J74" s="158">
        <v>20.683</v>
      </c>
      <c r="K74" s="158">
        <v>6.9249999999999998</v>
      </c>
      <c r="M74" s="158">
        <v>481.20699999999999</v>
      </c>
      <c r="N74" s="158">
        <v>68.72</v>
      </c>
      <c r="P74" s="158">
        <v>35.283999999999999</v>
      </c>
      <c r="Q74" s="158">
        <v>32.209000000000003</v>
      </c>
      <c r="R74" s="159">
        <f t="shared" ref="R74:R89" si="7">MROUND(R68/Q68*Q74,0.25)</f>
        <v>5.25</v>
      </c>
      <c r="T74" s="158">
        <v>170.56700000000001</v>
      </c>
      <c r="U74" s="158">
        <v>168.501</v>
      </c>
      <c r="V74" s="158">
        <v>27.298999999999999</v>
      </c>
      <c r="X74" s="158">
        <v>277.928</v>
      </c>
      <c r="Y74" s="158">
        <v>48.015999999999998</v>
      </c>
      <c r="AA74" s="158">
        <v>90.917000000000002</v>
      </c>
      <c r="AB74" s="158">
        <v>92.185000000000002</v>
      </c>
      <c r="AC74" s="158">
        <v>12</v>
      </c>
      <c r="AE74" s="158">
        <v>367.64800000000002</v>
      </c>
      <c r="AF74" s="158">
        <v>364.01</v>
      </c>
      <c r="AG74" s="158">
        <v>105.462</v>
      </c>
      <c r="AI74" s="158">
        <v>112.081</v>
      </c>
      <c r="AJ74" s="158">
        <v>110.151</v>
      </c>
      <c r="AK74" s="159">
        <f t="shared" si="5"/>
        <v>12.200000000000001</v>
      </c>
      <c r="AM74" s="158">
        <v>195.98699999999999</v>
      </c>
      <c r="AN74" s="158">
        <v>203.59899999999999</v>
      </c>
      <c r="AO74" s="158">
        <v>90.308000000000007</v>
      </c>
    </row>
    <row r="75" spans="1:41">
      <c r="A75" s="157">
        <v>44317</v>
      </c>
      <c r="B75" s="158">
        <v>91.738</v>
      </c>
      <c r="C75" s="158">
        <v>97.531999999999996</v>
      </c>
      <c r="D75" s="158">
        <v>6.5410000000000004</v>
      </c>
      <c r="F75" s="158">
        <v>93.858000000000004</v>
      </c>
      <c r="G75" s="158">
        <v>14.092000000000001</v>
      </c>
      <c r="I75" s="158">
        <v>21.085000000000001</v>
      </c>
      <c r="J75" s="158">
        <v>23.777000000000001</v>
      </c>
      <c r="K75" s="158">
        <v>5.1980000000000004</v>
      </c>
      <c r="M75" s="158">
        <v>456.63400000000001</v>
      </c>
      <c r="N75" s="158">
        <v>61.884999999999998</v>
      </c>
      <c r="P75" s="158">
        <v>37.021000000000001</v>
      </c>
      <c r="Q75" s="158">
        <v>36.348999999999997</v>
      </c>
      <c r="R75" s="159">
        <f t="shared" si="7"/>
        <v>6</v>
      </c>
      <c r="T75" s="158">
        <v>196.75399999999999</v>
      </c>
      <c r="U75" s="158">
        <v>192.167</v>
      </c>
      <c r="V75" s="158">
        <v>31.885999999999999</v>
      </c>
      <c r="X75" s="158">
        <v>307.75299999999999</v>
      </c>
      <c r="Y75" s="158">
        <v>52.014000000000003</v>
      </c>
      <c r="AA75" s="158">
        <v>102.834</v>
      </c>
      <c r="AB75" s="158">
        <v>107.46299999999999</v>
      </c>
      <c r="AC75" s="158">
        <v>7.5220000000000002</v>
      </c>
      <c r="AE75" s="158">
        <v>339.22399999999999</v>
      </c>
      <c r="AF75" s="158">
        <v>348.58600000000001</v>
      </c>
      <c r="AG75" s="159">
        <f t="shared" ref="AG75:AG84" si="8">MROUND(FORECAST(AE75,AG13:AG74,AE13:AE74),1)</f>
        <v>95</v>
      </c>
      <c r="AI75" s="158">
        <v>118.32299999999999</v>
      </c>
      <c r="AJ75" s="158">
        <v>119.506</v>
      </c>
      <c r="AK75" s="159">
        <f t="shared" si="5"/>
        <v>12.100000000000001</v>
      </c>
      <c r="AM75" s="158">
        <v>182.24600000000001</v>
      </c>
      <c r="AN75" s="158">
        <v>184.125</v>
      </c>
      <c r="AO75" s="158">
        <v>88.427000000000007</v>
      </c>
    </row>
    <row r="76" spans="1:41">
      <c r="A76" s="157">
        <v>44348</v>
      </c>
      <c r="B76" s="158">
        <v>88.614999999999995</v>
      </c>
      <c r="C76" s="158">
        <v>90.665999999999997</v>
      </c>
      <c r="D76" s="158">
        <v>4.5289999999999999</v>
      </c>
      <c r="F76" s="158">
        <v>84.855000000000004</v>
      </c>
      <c r="G76" s="158">
        <v>18.632000000000001</v>
      </c>
      <c r="I76" s="158">
        <v>19.885000000000002</v>
      </c>
      <c r="J76" s="158">
        <v>20.972000000000001</v>
      </c>
      <c r="K76" s="158">
        <v>6.0960000000000001</v>
      </c>
      <c r="M76" s="158">
        <v>427.46100000000001</v>
      </c>
      <c r="N76" s="158">
        <v>63.389000000000003</v>
      </c>
      <c r="P76" s="158">
        <v>34.356000000000002</v>
      </c>
      <c r="Q76" s="158">
        <v>28.663</v>
      </c>
      <c r="R76" s="159">
        <f t="shared" si="7"/>
        <v>4.75</v>
      </c>
      <c r="T76" s="158">
        <v>186.54900000000001</v>
      </c>
      <c r="U76" s="158">
        <v>183.38300000000001</v>
      </c>
      <c r="V76" s="158">
        <v>35.052</v>
      </c>
      <c r="X76" s="158">
        <v>282.98899999999998</v>
      </c>
      <c r="Y76" s="158">
        <v>54.576999999999998</v>
      </c>
      <c r="AA76" s="158">
        <v>101.309</v>
      </c>
      <c r="AB76" s="158">
        <v>83.105999999999995</v>
      </c>
      <c r="AC76" s="158">
        <v>6.101</v>
      </c>
      <c r="AE76" s="158">
        <v>306.29300000000001</v>
      </c>
      <c r="AF76" s="158">
        <v>309.78399999999999</v>
      </c>
      <c r="AG76" s="159">
        <f t="shared" si="8"/>
        <v>92</v>
      </c>
      <c r="AI76" s="158">
        <v>94.045000000000002</v>
      </c>
      <c r="AJ76" s="158">
        <v>93.578999999999994</v>
      </c>
      <c r="AK76" s="159">
        <f t="shared" si="5"/>
        <v>12.4</v>
      </c>
      <c r="AM76" s="158">
        <v>201.31299999999999</v>
      </c>
      <c r="AN76" s="158">
        <v>197.46799999999999</v>
      </c>
      <c r="AO76" s="158">
        <v>92.212000000000003</v>
      </c>
    </row>
    <row r="77" spans="1:41">
      <c r="A77" s="157">
        <v>44378</v>
      </c>
      <c r="B77" s="158">
        <v>83.644999999999996</v>
      </c>
      <c r="C77" s="158">
        <v>83.531999999999996</v>
      </c>
      <c r="D77" s="158">
        <v>4.6420000000000003</v>
      </c>
      <c r="F77" s="158">
        <v>80.188000000000002</v>
      </c>
      <c r="G77" s="158">
        <v>17.844000000000001</v>
      </c>
      <c r="I77" s="158">
        <v>22.966999999999999</v>
      </c>
      <c r="J77" s="158">
        <v>23.030999999999999</v>
      </c>
      <c r="K77" s="158">
        <v>6.032</v>
      </c>
      <c r="M77" s="158">
        <v>420.05399999999997</v>
      </c>
      <c r="N77" s="158">
        <v>66.063999999999993</v>
      </c>
      <c r="P77" s="158">
        <v>55.948999999999998</v>
      </c>
      <c r="Q77" s="158">
        <v>53.55</v>
      </c>
      <c r="R77" s="159">
        <f t="shared" si="7"/>
        <v>9</v>
      </c>
      <c r="T77" s="158">
        <v>176.39500000000001</v>
      </c>
      <c r="U77" s="158">
        <v>180.05500000000001</v>
      </c>
      <c r="V77" s="158">
        <v>31.390999999999998</v>
      </c>
      <c r="X77" s="158">
        <v>263.41199999999998</v>
      </c>
      <c r="Y77" s="158">
        <v>76.132000000000005</v>
      </c>
      <c r="AA77" s="158">
        <v>85.015000000000001</v>
      </c>
      <c r="AB77" s="158">
        <v>89.379000000000005</v>
      </c>
      <c r="AC77" s="159">
        <f>MROUND(FORECAST(AA77,AC15:AC76,AA15:AA76),1)</f>
        <v>20</v>
      </c>
      <c r="AE77" s="158">
        <v>303.93799999999999</v>
      </c>
      <c r="AF77" s="158">
        <v>301.36799999999999</v>
      </c>
      <c r="AG77" s="159">
        <f t="shared" si="8"/>
        <v>92</v>
      </c>
      <c r="AI77" s="158">
        <v>107.85599999999999</v>
      </c>
      <c r="AJ77" s="158">
        <v>109.241</v>
      </c>
      <c r="AK77" s="159">
        <f t="shared" si="5"/>
        <v>12.100000000000001</v>
      </c>
      <c r="AM77" s="158">
        <v>181.49700000000001</v>
      </c>
      <c r="AN77" s="158">
        <v>173.678</v>
      </c>
      <c r="AO77" s="158">
        <v>100.03100000000001</v>
      </c>
    </row>
    <row r="78" spans="1:41">
      <c r="A78" s="157">
        <v>44409</v>
      </c>
      <c r="B78" s="158">
        <v>96.855999999999995</v>
      </c>
      <c r="C78" s="158">
        <v>95.186000000000007</v>
      </c>
      <c r="D78" s="158">
        <v>6.3129999999999997</v>
      </c>
      <c r="F78" s="158">
        <v>84.290999999999997</v>
      </c>
      <c r="G78" s="158">
        <v>20.021999999999998</v>
      </c>
      <c r="I78" s="158">
        <v>26.821999999999999</v>
      </c>
      <c r="J78" s="158">
        <v>26.34</v>
      </c>
      <c r="K78" s="158">
        <v>6.5140000000000002</v>
      </c>
      <c r="M78" s="158">
        <v>427.95100000000002</v>
      </c>
      <c r="N78" s="158">
        <v>67.34</v>
      </c>
      <c r="P78" s="158">
        <v>61.585999999999999</v>
      </c>
      <c r="Q78" s="158">
        <v>63.77</v>
      </c>
      <c r="R78" s="159">
        <f t="shared" si="7"/>
        <v>10.75</v>
      </c>
      <c r="T78" s="158">
        <v>176.93100000000001</v>
      </c>
      <c r="U78" s="158">
        <v>173.83600000000001</v>
      </c>
      <c r="V78" s="158">
        <v>34.485999999999997</v>
      </c>
      <c r="X78" s="158">
        <v>276.21699999999998</v>
      </c>
      <c r="Y78" s="158">
        <v>76.506</v>
      </c>
      <c r="AA78" s="158">
        <v>83.69</v>
      </c>
      <c r="AB78" s="158">
        <v>81.77</v>
      </c>
      <c r="AC78" s="159">
        <f>MROUND(FORECAST(AA78,AC16:AC77,AA16:AA77),1)</f>
        <v>20</v>
      </c>
      <c r="AE78" s="158">
        <v>343.63400000000001</v>
      </c>
      <c r="AF78" s="158">
        <v>335.49299999999999</v>
      </c>
      <c r="AG78" s="159">
        <f t="shared" si="8"/>
        <v>95</v>
      </c>
      <c r="AI78" s="158">
        <v>126.145</v>
      </c>
      <c r="AJ78" s="158">
        <v>125.80200000000001</v>
      </c>
      <c r="AK78" s="159">
        <f t="shared" si="5"/>
        <v>11.8</v>
      </c>
      <c r="AM78" s="158">
        <v>175.72499999999999</v>
      </c>
      <c r="AN78" s="158">
        <v>171.37899999999999</v>
      </c>
      <c r="AO78" s="158">
        <v>104.378</v>
      </c>
    </row>
    <row r="79" spans="1:41">
      <c r="A79" s="157">
        <v>44440</v>
      </c>
      <c r="B79" s="158">
        <v>102.84399999999999</v>
      </c>
      <c r="C79" s="158">
        <v>101.908</v>
      </c>
      <c r="D79" s="158">
        <v>7.2489999999999997</v>
      </c>
      <c r="F79" s="158">
        <v>78.093000000000004</v>
      </c>
      <c r="G79" s="158">
        <v>14.837999999999999</v>
      </c>
      <c r="I79" s="158">
        <v>27.109000000000002</v>
      </c>
      <c r="J79" s="158">
        <v>27.491</v>
      </c>
      <c r="K79" s="158">
        <v>6.1319999999999997</v>
      </c>
      <c r="M79" s="158">
        <v>489.25099999999998</v>
      </c>
      <c r="N79" s="158">
        <v>76.930999999999997</v>
      </c>
      <c r="P79" s="158">
        <v>42.561999999999998</v>
      </c>
      <c r="Q79" s="158">
        <v>41.247</v>
      </c>
      <c r="R79" s="159">
        <f t="shared" si="7"/>
        <v>6.75</v>
      </c>
      <c r="T79" s="158">
        <v>176.13900000000001</v>
      </c>
      <c r="U79" s="158">
        <v>173.15700000000001</v>
      </c>
      <c r="V79" s="158">
        <v>37.469000000000001</v>
      </c>
      <c r="X79" s="158">
        <v>277.80399999999997</v>
      </c>
      <c r="Y79" s="158">
        <v>109.547</v>
      </c>
      <c r="AA79" s="158">
        <v>76.603999999999999</v>
      </c>
      <c r="AB79" s="158">
        <v>78.491</v>
      </c>
      <c r="AC79" s="158">
        <v>21.943000000000001</v>
      </c>
      <c r="AE79" s="158">
        <v>350.05399999999997</v>
      </c>
      <c r="AF79" s="158">
        <v>329.08199999999999</v>
      </c>
      <c r="AG79" s="159">
        <f t="shared" si="8"/>
        <v>96</v>
      </c>
      <c r="AI79" s="158">
        <v>124.777</v>
      </c>
      <c r="AJ79" s="158">
        <v>123.773</v>
      </c>
      <c r="AK79" s="159">
        <f t="shared" si="5"/>
        <v>11.700000000000001</v>
      </c>
      <c r="AM79" s="158">
        <v>186.14599999999999</v>
      </c>
      <c r="AN79" s="158">
        <v>169.84</v>
      </c>
      <c r="AO79" s="158">
        <v>120.684</v>
      </c>
    </row>
    <row r="80" spans="1:41">
      <c r="A80" s="157">
        <v>44470</v>
      </c>
      <c r="B80" s="158">
        <v>103.514</v>
      </c>
      <c r="C80" s="158">
        <v>104.062</v>
      </c>
      <c r="D80" s="158">
        <v>6.7009999999999996</v>
      </c>
      <c r="F80" s="158">
        <v>84.174000000000007</v>
      </c>
      <c r="G80" s="158">
        <v>18.193999999999999</v>
      </c>
      <c r="I80" s="158">
        <v>25.739000000000001</v>
      </c>
      <c r="J80" s="158">
        <v>28.155999999999999</v>
      </c>
      <c r="K80" s="158">
        <v>5.8360000000000003</v>
      </c>
      <c r="M80" s="158">
        <v>480.66500000000002</v>
      </c>
      <c r="N80" s="158">
        <v>94.275999999999996</v>
      </c>
      <c r="P80" s="158">
        <v>50.831000000000003</v>
      </c>
      <c r="Q80" s="158">
        <v>43.494999999999997</v>
      </c>
      <c r="R80" s="159">
        <f t="shared" si="7"/>
        <v>7</v>
      </c>
      <c r="T80" s="158">
        <v>174.26</v>
      </c>
      <c r="U80" s="158">
        <v>175.32900000000001</v>
      </c>
      <c r="V80" s="158">
        <v>36.401000000000003</v>
      </c>
      <c r="X80" s="158">
        <v>281.33699999999999</v>
      </c>
      <c r="Y80" s="158">
        <v>111.313</v>
      </c>
      <c r="AA80" s="158">
        <v>77.433000000000007</v>
      </c>
      <c r="AB80" s="158">
        <v>81.141999999999996</v>
      </c>
      <c r="AC80" s="158">
        <v>18.370999999999999</v>
      </c>
      <c r="AE80" s="158">
        <v>342.024</v>
      </c>
      <c r="AF80" s="158">
        <v>331.404</v>
      </c>
      <c r="AG80" s="159">
        <f t="shared" si="8"/>
        <v>95</v>
      </c>
      <c r="AI80" s="158">
        <v>129.38399999999999</v>
      </c>
      <c r="AJ80" s="158">
        <v>130.416</v>
      </c>
      <c r="AK80" s="159">
        <f t="shared" si="5"/>
        <v>11.600000000000001</v>
      </c>
      <c r="AM80" s="158">
        <v>189.87700000000001</v>
      </c>
      <c r="AN80" s="158">
        <v>178.05</v>
      </c>
      <c r="AO80" s="158">
        <v>132.511</v>
      </c>
    </row>
    <row r="81" spans="1:41">
      <c r="A81" s="157">
        <v>44501</v>
      </c>
      <c r="B81" s="158">
        <v>129.988</v>
      </c>
      <c r="C81" s="158">
        <v>127.66800000000001</v>
      </c>
      <c r="D81" s="158">
        <v>9.2390000000000008</v>
      </c>
      <c r="F81" s="158">
        <v>80.323999999999998</v>
      </c>
      <c r="G81" s="158">
        <v>20.916</v>
      </c>
      <c r="I81" s="158">
        <v>34.174999999999997</v>
      </c>
      <c r="J81" s="158">
        <v>37.328000000000003</v>
      </c>
      <c r="K81" s="158">
        <v>4.7249999999999996</v>
      </c>
      <c r="M81" s="158">
        <v>520.43299999999999</v>
      </c>
      <c r="N81" s="158">
        <v>103.456</v>
      </c>
      <c r="P81" s="158">
        <v>38.213000000000001</v>
      </c>
      <c r="Q81" s="158">
        <v>44.448999999999998</v>
      </c>
      <c r="R81" s="159">
        <f t="shared" si="7"/>
        <v>7.25</v>
      </c>
      <c r="T81" s="158">
        <v>167.55500000000001</v>
      </c>
      <c r="U81" s="158">
        <v>167.92400000000001</v>
      </c>
      <c r="V81" s="158">
        <v>36.030999999999999</v>
      </c>
      <c r="X81" s="158">
        <v>280.75900000000001</v>
      </c>
      <c r="Y81" s="158">
        <v>115.846</v>
      </c>
      <c r="AA81" s="158">
        <v>86.896000000000001</v>
      </c>
      <c r="AB81" s="158">
        <v>91.676000000000002</v>
      </c>
      <c r="AC81" s="158">
        <v>15.86</v>
      </c>
      <c r="AE81" s="158">
        <v>377.78899999999999</v>
      </c>
      <c r="AF81" s="158">
        <v>383.66800000000001</v>
      </c>
      <c r="AG81" s="159">
        <f t="shared" si="8"/>
        <v>97</v>
      </c>
      <c r="AI81" s="158">
        <v>125.128</v>
      </c>
      <c r="AJ81" s="158">
        <v>122.514</v>
      </c>
      <c r="AK81" s="159">
        <f t="shared" si="5"/>
        <v>11.700000000000001</v>
      </c>
      <c r="AM81" s="158">
        <v>187.154</v>
      </c>
      <c r="AN81" s="158">
        <v>220.53899999999999</v>
      </c>
      <c r="AO81" s="158">
        <v>98.756</v>
      </c>
    </row>
    <row r="82" spans="1:41">
      <c r="A82" s="157">
        <v>44531</v>
      </c>
      <c r="B82" s="158">
        <v>123.435</v>
      </c>
      <c r="C82" s="158">
        <v>126.36</v>
      </c>
      <c r="D82" s="158">
        <v>6.3150000000000004</v>
      </c>
      <c r="F82" s="158">
        <v>77.683999999999997</v>
      </c>
      <c r="G82" s="158">
        <v>13.193</v>
      </c>
      <c r="I82" s="158">
        <v>30.416</v>
      </c>
      <c r="J82" s="158">
        <v>31.367999999999999</v>
      </c>
      <c r="K82" s="158">
        <v>4.95</v>
      </c>
      <c r="M82" s="158">
        <v>494.49900000000002</v>
      </c>
      <c r="N82" s="158">
        <v>81.91</v>
      </c>
      <c r="P82" s="158">
        <v>45.420999999999999</v>
      </c>
      <c r="Q82" s="158">
        <v>43.942999999999998</v>
      </c>
      <c r="R82" s="159">
        <f t="shared" si="7"/>
        <v>7.25</v>
      </c>
      <c r="T82" s="158">
        <v>163.48500000000001</v>
      </c>
      <c r="U82" s="158">
        <v>169.82599999999999</v>
      </c>
      <c r="V82" s="158">
        <v>29.689</v>
      </c>
      <c r="X82" s="158">
        <v>271.214</v>
      </c>
      <c r="Y82" s="158">
        <v>100.95399999999999</v>
      </c>
      <c r="AA82" s="158">
        <v>66.873000000000005</v>
      </c>
      <c r="AB82" s="158">
        <v>67.585999999999999</v>
      </c>
      <c r="AC82" s="158">
        <v>20.536000000000001</v>
      </c>
      <c r="AE82" s="158">
        <v>285.505</v>
      </c>
      <c r="AF82" s="158">
        <v>304.995</v>
      </c>
      <c r="AG82" s="159">
        <f t="shared" si="8"/>
        <v>93</v>
      </c>
      <c r="AI82" s="158">
        <v>103.539</v>
      </c>
      <c r="AJ82" s="158">
        <v>105.968</v>
      </c>
      <c r="AK82" s="159">
        <f t="shared" si="5"/>
        <v>11.9</v>
      </c>
      <c r="AM82" s="158">
        <v>171.38900000000001</v>
      </c>
      <c r="AN82" s="158">
        <v>178.98400000000001</v>
      </c>
      <c r="AO82" s="158">
        <v>90.984999999999999</v>
      </c>
    </row>
    <row r="83" spans="1:41">
      <c r="A83" s="157">
        <v>44562</v>
      </c>
      <c r="B83" s="158">
        <v>109.46299999999999</v>
      </c>
      <c r="C83" s="158">
        <v>107.28700000000001</v>
      </c>
      <c r="D83" s="158">
        <v>8.4909999999999997</v>
      </c>
      <c r="F83" s="158">
        <v>78.552999999999997</v>
      </c>
      <c r="G83" s="158">
        <v>15.504</v>
      </c>
      <c r="I83" s="158">
        <v>22.135999999999999</v>
      </c>
      <c r="J83" s="158">
        <v>18.631</v>
      </c>
      <c r="K83" s="158">
        <v>8.484</v>
      </c>
      <c r="M83" s="158">
        <v>410.21800000000002</v>
      </c>
      <c r="N83" s="158">
        <v>76.777000000000001</v>
      </c>
      <c r="P83" s="158">
        <v>34.904000000000003</v>
      </c>
      <c r="Q83" s="158">
        <v>33.243000000000002</v>
      </c>
      <c r="R83" s="159">
        <f t="shared" si="7"/>
        <v>5.5</v>
      </c>
      <c r="T83" s="158">
        <v>146.83600000000001</v>
      </c>
      <c r="U83" s="158">
        <v>144.465</v>
      </c>
      <c r="V83" s="158">
        <v>32.06</v>
      </c>
      <c r="X83" s="158">
        <v>269.76100000000002</v>
      </c>
      <c r="Y83" s="158">
        <v>98.265000000000001</v>
      </c>
      <c r="AA83" s="158">
        <v>70.584000000000003</v>
      </c>
      <c r="AB83" s="158">
        <v>69.867000000000004</v>
      </c>
      <c r="AC83" s="158">
        <v>24.681000000000001</v>
      </c>
      <c r="AE83" s="158">
        <v>263.339</v>
      </c>
      <c r="AF83" s="158">
        <v>268.83199999999999</v>
      </c>
      <c r="AG83" s="159">
        <f t="shared" si="8"/>
        <v>92</v>
      </c>
      <c r="AI83" s="158">
        <v>92.765000000000001</v>
      </c>
      <c r="AJ83" s="158">
        <v>90.349000000000004</v>
      </c>
      <c r="AK83" s="159">
        <f t="shared" si="5"/>
        <v>11.9</v>
      </c>
      <c r="AM83" s="158">
        <v>158.78399999999999</v>
      </c>
      <c r="AN83" s="158">
        <v>173.72200000000001</v>
      </c>
      <c r="AO83" s="158">
        <v>76.057000000000002</v>
      </c>
    </row>
    <row r="84" spans="1:41">
      <c r="A84" s="157">
        <v>44593</v>
      </c>
      <c r="B84" s="158">
        <v>119.24299999999999</v>
      </c>
      <c r="C84" s="158">
        <v>120.964</v>
      </c>
      <c r="D84" s="158">
        <v>6.77</v>
      </c>
      <c r="F84" s="158">
        <v>87.114999999999995</v>
      </c>
      <c r="G84" s="158">
        <v>17.263000000000002</v>
      </c>
      <c r="I84" s="158">
        <v>31.369</v>
      </c>
      <c r="J84" s="158">
        <v>27.88</v>
      </c>
      <c r="K84" s="158">
        <v>12.148</v>
      </c>
      <c r="M84" s="158">
        <v>472.63</v>
      </c>
      <c r="N84" s="158">
        <v>68.603999999999999</v>
      </c>
      <c r="P84" s="158">
        <v>34.957999999999998</v>
      </c>
      <c r="Q84" s="158">
        <v>45.429000000000002</v>
      </c>
      <c r="R84" s="159">
        <f t="shared" si="7"/>
        <v>7.75</v>
      </c>
      <c r="T84" s="158">
        <v>155.53299999999999</v>
      </c>
      <c r="U84" s="158">
        <v>158.054</v>
      </c>
      <c r="V84" s="158">
        <v>29.337</v>
      </c>
      <c r="X84" s="158">
        <v>240.47300000000001</v>
      </c>
      <c r="Y84" s="158">
        <v>103.396</v>
      </c>
      <c r="AA84" s="158">
        <v>85.734999999999999</v>
      </c>
      <c r="AB84" s="158">
        <v>87.906999999999996</v>
      </c>
      <c r="AC84" s="159">
        <f>MROUND(FORECAST(AA84,AC22:AC83,AA22:AA83),1)</f>
        <v>20</v>
      </c>
      <c r="AE84" s="158">
        <v>297.541</v>
      </c>
      <c r="AF84" s="158">
        <v>286.95699999999999</v>
      </c>
      <c r="AG84" s="159">
        <f t="shared" si="8"/>
        <v>93</v>
      </c>
      <c r="AI84" s="158">
        <v>114.06100000000001</v>
      </c>
      <c r="AJ84" s="158">
        <v>115.164</v>
      </c>
      <c r="AK84" s="159">
        <f t="shared" si="5"/>
        <v>11.700000000000001</v>
      </c>
      <c r="AM84" s="158">
        <v>161.40899999999999</v>
      </c>
      <c r="AN84" s="158">
        <v>149.32499999999999</v>
      </c>
      <c r="AO84" s="158">
        <v>88.584000000000003</v>
      </c>
    </row>
    <row r="85" spans="1:41">
      <c r="A85" s="157">
        <v>44621</v>
      </c>
      <c r="B85" s="158">
        <v>121.744</v>
      </c>
      <c r="C85" s="158">
        <v>122.38</v>
      </c>
      <c r="D85" s="158">
        <v>6.1349999999999998</v>
      </c>
      <c r="F85" s="158">
        <v>83.734999999999999</v>
      </c>
      <c r="G85" s="158">
        <v>19.273</v>
      </c>
      <c r="I85" s="158">
        <v>25.219000000000001</v>
      </c>
      <c r="J85" s="158">
        <v>17.504000000000001</v>
      </c>
      <c r="K85" s="158">
        <v>16.202999999999999</v>
      </c>
      <c r="M85" s="158">
        <v>465.363</v>
      </c>
      <c r="N85" s="158">
        <v>75.960999999999999</v>
      </c>
      <c r="P85" s="158">
        <v>36.085999999999999</v>
      </c>
      <c r="Q85" s="158">
        <v>30.798999999999999</v>
      </c>
      <c r="R85" s="159">
        <f t="shared" si="7"/>
        <v>5</v>
      </c>
      <c r="T85" s="158">
        <v>153.76599999999999</v>
      </c>
      <c r="U85" s="158">
        <v>152.31299999999999</v>
      </c>
      <c r="V85" s="158">
        <v>30.72</v>
      </c>
      <c r="X85" s="158">
        <v>291.50099999999998</v>
      </c>
      <c r="Y85" s="158">
        <v>88.028999999999996</v>
      </c>
      <c r="AA85" s="158">
        <v>76.731999999999999</v>
      </c>
      <c r="AB85" s="158">
        <v>75.635000000000005</v>
      </c>
      <c r="AC85" s="158">
        <v>23.823</v>
      </c>
      <c r="AE85" s="158">
        <v>313.74099999999999</v>
      </c>
      <c r="AF85" s="158">
        <v>318.14499999999998</v>
      </c>
      <c r="AG85" s="158">
        <v>110.218</v>
      </c>
      <c r="AI85" s="158">
        <v>108.55500000000001</v>
      </c>
      <c r="AJ85" s="158">
        <v>109.07899999999999</v>
      </c>
      <c r="AK85" s="159">
        <f t="shared" si="5"/>
        <v>11.600000000000001</v>
      </c>
      <c r="AM85" s="158">
        <v>181.12700000000001</v>
      </c>
      <c r="AN85" s="158">
        <v>153.28399999999999</v>
      </c>
      <c r="AO85" s="158">
        <v>116.42</v>
      </c>
    </row>
    <row r="86" spans="1:41">
      <c r="A86" s="157">
        <v>44652</v>
      </c>
      <c r="B86" s="158">
        <v>121.473</v>
      </c>
      <c r="C86" s="158">
        <v>121.506</v>
      </c>
      <c r="D86" s="158">
        <v>6.101</v>
      </c>
      <c r="F86" s="158">
        <v>73.203000000000003</v>
      </c>
      <c r="G86" s="158">
        <v>17.030999999999999</v>
      </c>
      <c r="I86" s="158">
        <v>19.981999999999999</v>
      </c>
      <c r="J86" s="158">
        <v>23.417000000000002</v>
      </c>
      <c r="K86" s="158">
        <v>12.768000000000001</v>
      </c>
      <c r="M86" s="158">
        <v>418.72399999999999</v>
      </c>
      <c r="N86" s="158">
        <v>67.578000000000003</v>
      </c>
      <c r="P86" s="158">
        <v>29.030999999999999</v>
      </c>
      <c r="Q86" s="158">
        <v>27.635000000000002</v>
      </c>
      <c r="R86" s="159">
        <f t="shared" si="7"/>
        <v>4.5</v>
      </c>
      <c r="T86" s="158">
        <v>138.994</v>
      </c>
      <c r="U86" s="158">
        <v>134.036</v>
      </c>
      <c r="V86" s="158">
        <v>35.677999999999997</v>
      </c>
      <c r="X86" s="158">
        <v>276.28500000000003</v>
      </c>
      <c r="Y86" s="158">
        <v>94.57</v>
      </c>
      <c r="AA86" s="158">
        <v>78.421999999999997</v>
      </c>
      <c r="AB86" s="158">
        <v>87.075000000000003</v>
      </c>
      <c r="AC86" s="158">
        <v>12.83</v>
      </c>
      <c r="AE86" s="158">
        <v>293.70299999999997</v>
      </c>
      <c r="AF86" s="158">
        <v>290.791</v>
      </c>
      <c r="AG86" s="158">
        <v>113.13</v>
      </c>
      <c r="AI86" s="158">
        <v>110.277</v>
      </c>
      <c r="AJ86" s="158">
        <v>108.624</v>
      </c>
      <c r="AK86" s="159">
        <f t="shared" si="5"/>
        <v>11.4</v>
      </c>
      <c r="AM86" s="158">
        <v>170.87299999999999</v>
      </c>
      <c r="AN86" s="158">
        <v>226.00800000000001</v>
      </c>
      <c r="AO86" s="158">
        <v>61.283000000000001</v>
      </c>
    </row>
    <row r="87" spans="1:41">
      <c r="A87" s="157">
        <v>44682</v>
      </c>
      <c r="B87" s="158">
        <v>121.17700000000001</v>
      </c>
      <c r="C87" s="158">
        <v>122.035</v>
      </c>
      <c r="D87" s="158">
        <v>5.2409999999999997</v>
      </c>
      <c r="F87" s="158">
        <v>86.55</v>
      </c>
      <c r="G87" s="158">
        <v>18.565999999999999</v>
      </c>
      <c r="I87" s="158">
        <v>25.013000000000002</v>
      </c>
      <c r="J87" s="158">
        <v>24.701000000000001</v>
      </c>
      <c r="K87" s="158">
        <v>13.08</v>
      </c>
      <c r="M87" s="158">
        <v>448.34699999999998</v>
      </c>
      <c r="N87" s="158">
        <v>93.688000000000002</v>
      </c>
      <c r="P87" s="158">
        <v>29.39</v>
      </c>
      <c r="Q87" s="158">
        <v>30.225000000000001</v>
      </c>
      <c r="R87" s="159">
        <f t="shared" si="7"/>
        <v>5</v>
      </c>
      <c r="T87" s="158">
        <v>160.012</v>
      </c>
      <c r="U87" s="158">
        <v>161.63499999999999</v>
      </c>
      <c r="V87" s="158">
        <v>34.055</v>
      </c>
      <c r="X87" s="158">
        <v>319.55500000000001</v>
      </c>
      <c r="Y87" s="158">
        <v>97.001000000000005</v>
      </c>
      <c r="AA87" s="158">
        <v>84.537999999999997</v>
      </c>
      <c r="AB87" s="158">
        <v>80.542000000000002</v>
      </c>
      <c r="AC87" s="158">
        <v>19.713000000000001</v>
      </c>
      <c r="AE87" s="158">
        <v>319.041</v>
      </c>
      <c r="AF87" s="158">
        <v>312.69400000000002</v>
      </c>
      <c r="AG87" s="158">
        <v>119.477</v>
      </c>
      <c r="AI87" s="158">
        <v>111.637</v>
      </c>
      <c r="AJ87" s="158">
        <v>113.762</v>
      </c>
      <c r="AK87" s="159">
        <f t="shared" si="5"/>
        <v>11.4</v>
      </c>
      <c r="AM87" s="158">
        <v>178.994</v>
      </c>
      <c r="AN87" s="158">
        <v>154</v>
      </c>
      <c r="AO87" s="158">
        <v>86.277000000000001</v>
      </c>
    </row>
    <row r="88" spans="1:41">
      <c r="A88" s="157">
        <v>44713</v>
      </c>
      <c r="B88" s="158">
        <v>113.678</v>
      </c>
      <c r="C88" s="158">
        <v>114.79</v>
      </c>
      <c r="D88" s="158">
        <v>4.1310000000000002</v>
      </c>
      <c r="F88" s="158">
        <v>93.984999999999999</v>
      </c>
      <c r="G88" s="158">
        <v>16.600999999999999</v>
      </c>
      <c r="I88" s="158">
        <v>22.013999999999999</v>
      </c>
      <c r="J88" s="158">
        <v>24.986999999999998</v>
      </c>
      <c r="K88" s="158">
        <v>10.106999999999999</v>
      </c>
      <c r="M88" s="158">
        <v>488.15800000000002</v>
      </c>
      <c r="N88" s="158">
        <v>71.617999999999995</v>
      </c>
      <c r="P88" s="158">
        <v>35.758000000000003</v>
      </c>
      <c r="Q88" s="158">
        <v>35.822000000000003</v>
      </c>
      <c r="R88" s="159">
        <f t="shared" si="7"/>
        <v>6</v>
      </c>
      <c r="T88" s="158">
        <v>175.255</v>
      </c>
      <c r="U88" s="158">
        <v>177.20099999999999</v>
      </c>
      <c r="V88" s="158">
        <v>32.109000000000002</v>
      </c>
      <c r="X88" s="158">
        <v>317.565</v>
      </c>
      <c r="Y88" s="158">
        <v>112.95699999999999</v>
      </c>
      <c r="AA88" s="158">
        <v>95.200999999999993</v>
      </c>
      <c r="AB88" s="158">
        <v>99.293000000000006</v>
      </c>
      <c r="AC88" s="158">
        <v>16.786000000000001</v>
      </c>
      <c r="AE88" s="158">
        <v>366.18599999999998</v>
      </c>
      <c r="AF88" s="158">
        <v>374.82499999999999</v>
      </c>
      <c r="AG88" s="159">
        <f>MROUND(FORECAST(AE88,AG26:AG87,AE26:AE87),1)+20</f>
        <v>118</v>
      </c>
      <c r="AI88" s="158">
        <v>106.453</v>
      </c>
      <c r="AJ88" s="158">
        <v>106.086</v>
      </c>
      <c r="AK88" s="159">
        <f t="shared" si="5"/>
        <v>11.200000000000001</v>
      </c>
      <c r="AM88" s="158">
        <v>214.059</v>
      </c>
      <c r="AN88" s="158">
        <v>197.12799999999999</v>
      </c>
      <c r="AO88" s="158">
        <v>103.20699999999999</v>
      </c>
    </row>
    <row r="89" spans="1:41">
      <c r="A89" s="157">
        <v>44743</v>
      </c>
      <c r="B89" s="158">
        <v>96.405000000000001</v>
      </c>
      <c r="C89" s="158">
        <v>96.165999999999997</v>
      </c>
      <c r="D89" s="158">
        <v>4.3689999999999998</v>
      </c>
      <c r="F89" s="158">
        <v>86.798000000000002</v>
      </c>
      <c r="G89" s="158">
        <v>20.529</v>
      </c>
      <c r="I89" s="158">
        <v>17.132999999999999</v>
      </c>
      <c r="J89" s="158">
        <v>19.992999999999999</v>
      </c>
      <c r="K89" s="158">
        <v>9.9250000000000007</v>
      </c>
      <c r="M89" s="158">
        <v>410.59300000000002</v>
      </c>
      <c r="N89" s="158">
        <v>73.099999999999994</v>
      </c>
      <c r="P89" s="158">
        <v>29.404</v>
      </c>
      <c r="Q89" s="158">
        <v>27.684000000000001</v>
      </c>
      <c r="R89" s="159">
        <f t="shared" si="7"/>
        <v>4.5</v>
      </c>
      <c r="T89" s="158">
        <v>161.88200000000001</v>
      </c>
      <c r="U89" s="158">
        <v>163.06100000000001</v>
      </c>
      <c r="V89" s="158">
        <v>30.93</v>
      </c>
      <c r="X89" s="158">
        <v>308.26</v>
      </c>
      <c r="Y89" s="158">
        <v>76.870999999999995</v>
      </c>
      <c r="AA89" s="158">
        <v>78.414000000000001</v>
      </c>
      <c r="AB89" s="158">
        <v>79.984999999999999</v>
      </c>
      <c r="AC89" s="158">
        <v>15.052</v>
      </c>
      <c r="AE89" s="158">
        <v>304.608</v>
      </c>
      <c r="AF89" s="158">
        <v>298.62200000000001</v>
      </c>
      <c r="AG89" s="158">
        <v>116.298</v>
      </c>
      <c r="AI89" s="158">
        <v>105.881</v>
      </c>
      <c r="AJ89" s="158">
        <v>105.34399999999999</v>
      </c>
      <c r="AK89" s="159">
        <f t="shared" si="5"/>
        <v>11.200000000000001</v>
      </c>
      <c r="AM89" s="158">
        <v>181.233</v>
      </c>
      <c r="AN89" s="158">
        <v>182.56100000000001</v>
      </c>
      <c r="AO89" s="158">
        <v>101.967</v>
      </c>
    </row>
    <row r="90" spans="1:41">
      <c r="A90" s="157">
        <v>44774</v>
      </c>
      <c r="B90" s="158">
        <v>114.771</v>
      </c>
      <c r="C90" s="158">
        <v>111.776</v>
      </c>
      <c r="D90" s="158">
        <v>7.3630000000000004</v>
      </c>
      <c r="F90" s="158">
        <v>103.553</v>
      </c>
      <c r="G90" s="158">
        <v>17.495999999999999</v>
      </c>
      <c r="I90" s="158">
        <v>22.765000000000001</v>
      </c>
      <c r="J90" s="158">
        <v>27.875</v>
      </c>
      <c r="K90" s="158">
        <v>8.8249999999999993</v>
      </c>
      <c r="M90" s="158">
        <v>467.29300000000001</v>
      </c>
      <c r="N90" s="158">
        <v>64.584000000000003</v>
      </c>
      <c r="P90" s="158">
        <v>29.908000000000001</v>
      </c>
      <c r="Q90" s="158">
        <v>37.841999999999999</v>
      </c>
      <c r="R90" s="159">
        <f t="shared" ref="R90:R98" si="9">MROUND(R84/Q84*Q90,0.25)</f>
        <v>6.5</v>
      </c>
      <c r="T90" s="158">
        <v>196.48400000000001</v>
      </c>
      <c r="U90" s="158">
        <v>199.53899999999999</v>
      </c>
      <c r="V90" s="158">
        <v>27.876000000000001</v>
      </c>
      <c r="X90" s="158">
        <v>356.03399999999999</v>
      </c>
      <c r="Y90" s="158">
        <v>78.683000000000007</v>
      </c>
      <c r="AA90" s="158">
        <v>101.625</v>
      </c>
      <c r="AB90" s="158">
        <v>94.042000000000002</v>
      </c>
      <c r="AC90" s="158">
        <v>23.513999999999999</v>
      </c>
      <c r="AE90" s="158">
        <v>350.702</v>
      </c>
      <c r="AF90" s="158">
        <v>345.923</v>
      </c>
      <c r="AG90" s="159">
        <f>MROUND(FORECAST(AE90,AG28:AG89,AE28:AE89),1)+20</f>
        <v>119</v>
      </c>
      <c r="AI90" s="158">
        <v>112.129</v>
      </c>
      <c r="AJ90" s="158">
        <v>113.709</v>
      </c>
      <c r="AK90" s="159">
        <f t="shared" si="5"/>
        <v>11.3</v>
      </c>
      <c r="AM90" s="158">
        <v>180.363</v>
      </c>
      <c r="AN90" s="158">
        <v>190.12200000000001</v>
      </c>
      <c r="AO90" s="158">
        <v>92.165999999999997</v>
      </c>
    </row>
    <row r="91" spans="1:41">
      <c r="A91" s="157">
        <v>44805</v>
      </c>
      <c r="B91" s="158">
        <v>107.242</v>
      </c>
      <c r="C91" s="158">
        <v>108.779</v>
      </c>
      <c r="D91" s="158">
        <v>5.8280000000000003</v>
      </c>
      <c r="F91" s="158">
        <v>100.523</v>
      </c>
      <c r="G91" s="158">
        <v>19.844999999999999</v>
      </c>
      <c r="I91" s="158">
        <v>23.173999999999999</v>
      </c>
      <c r="J91" s="158">
        <v>25.478000000000002</v>
      </c>
      <c r="K91" s="158">
        <v>6.5220000000000002</v>
      </c>
      <c r="M91" s="158">
        <v>493.846</v>
      </c>
      <c r="N91" s="158">
        <v>76.001000000000005</v>
      </c>
      <c r="P91" s="158">
        <v>37.643000000000001</v>
      </c>
      <c r="Q91" s="158">
        <v>26.959</v>
      </c>
      <c r="R91" s="159">
        <f t="shared" si="9"/>
        <v>4.5</v>
      </c>
      <c r="T91" s="158">
        <v>187.018</v>
      </c>
      <c r="U91" s="158">
        <v>189.93700000000001</v>
      </c>
      <c r="V91" s="158">
        <v>24.957000000000001</v>
      </c>
      <c r="X91" s="158">
        <v>359.93400000000003</v>
      </c>
      <c r="Y91" s="158">
        <v>81.057000000000002</v>
      </c>
      <c r="AA91" s="158">
        <v>90.22</v>
      </c>
      <c r="AB91" s="158">
        <v>83.444000000000003</v>
      </c>
      <c r="AC91" s="159">
        <f>MROUND(FORECAST(AA91,AC29:AC90,AA29:AA90),1)</f>
        <v>19</v>
      </c>
      <c r="AE91" s="158">
        <v>353.93</v>
      </c>
      <c r="AF91" s="158">
        <v>359.98</v>
      </c>
      <c r="AG91" s="158">
        <v>115.02200000000001</v>
      </c>
      <c r="AI91" s="158">
        <v>103.21899999999999</v>
      </c>
      <c r="AJ91" s="158">
        <v>102.241</v>
      </c>
      <c r="AK91" s="159">
        <f t="shared" si="5"/>
        <v>11.200000000000001</v>
      </c>
      <c r="AM91" s="158">
        <v>201.31899999999999</v>
      </c>
      <c r="AN91" s="158">
        <v>196.547</v>
      </c>
      <c r="AO91" s="158">
        <v>96.933999999999997</v>
      </c>
    </row>
    <row r="92" spans="1:41">
      <c r="A92" s="157">
        <v>44835</v>
      </c>
      <c r="B92" s="158">
        <v>108.28700000000001</v>
      </c>
      <c r="C92" s="158">
        <v>106.961</v>
      </c>
      <c r="D92" s="158">
        <v>7.1529999999999996</v>
      </c>
      <c r="F92" s="158">
        <v>95.769000000000005</v>
      </c>
      <c r="G92" s="158">
        <v>18.376000000000001</v>
      </c>
      <c r="I92" s="158">
        <v>25.225000000000001</v>
      </c>
      <c r="J92" s="158">
        <v>23.882000000000001</v>
      </c>
      <c r="K92" s="158">
        <v>7.11</v>
      </c>
      <c r="M92" s="158">
        <v>491.779</v>
      </c>
      <c r="N92" s="158">
        <v>61.259</v>
      </c>
      <c r="P92" s="158">
        <v>29.361000000000001</v>
      </c>
      <c r="Q92" s="158">
        <v>29.57</v>
      </c>
      <c r="R92" s="159">
        <f t="shared" si="9"/>
        <v>4.75</v>
      </c>
      <c r="T92" s="158">
        <v>181.94399999999999</v>
      </c>
      <c r="U92" s="158">
        <v>176.60599999999999</v>
      </c>
      <c r="V92" s="158">
        <v>30.295000000000002</v>
      </c>
      <c r="X92" s="158">
        <v>356.01</v>
      </c>
      <c r="Y92" s="158">
        <v>70.325999999999993</v>
      </c>
      <c r="AA92" s="158">
        <v>81.113</v>
      </c>
      <c r="AB92" s="158">
        <v>81.596000000000004</v>
      </c>
      <c r="AC92" s="159">
        <f>MROUND(FORECAST(AA92,AC30:AC91,AA30:AA91),1)</f>
        <v>22</v>
      </c>
      <c r="AE92" s="158">
        <v>375.09500000000003</v>
      </c>
      <c r="AF92" s="158">
        <v>391.96499999999997</v>
      </c>
      <c r="AG92" s="158">
        <v>98.152000000000001</v>
      </c>
      <c r="AI92" s="158">
        <v>113.20399999999999</v>
      </c>
      <c r="AJ92" s="158">
        <v>114.55500000000001</v>
      </c>
      <c r="AK92" s="159">
        <f t="shared" si="5"/>
        <v>11.4</v>
      </c>
      <c r="AM92" s="158">
        <v>187.89400000000001</v>
      </c>
      <c r="AN92" s="158">
        <v>184.149</v>
      </c>
      <c r="AO92" s="158">
        <v>100.68</v>
      </c>
    </row>
    <row r="93" spans="1:41">
      <c r="A93" s="157">
        <v>44866</v>
      </c>
      <c r="B93" s="158">
        <v>116.593</v>
      </c>
      <c r="C93" s="158">
        <v>116.98</v>
      </c>
      <c r="D93" s="158">
        <v>6.766</v>
      </c>
      <c r="F93" s="158">
        <v>103.73399999999999</v>
      </c>
      <c r="G93" s="158">
        <v>17.989999999999998</v>
      </c>
      <c r="I93" s="158">
        <v>26.202999999999999</v>
      </c>
      <c r="J93" s="158">
        <v>27.513999999999999</v>
      </c>
      <c r="K93" s="158">
        <v>5.0549999999999997</v>
      </c>
      <c r="M93" s="158">
        <v>473.62299999999999</v>
      </c>
      <c r="N93" s="158">
        <v>68.509</v>
      </c>
      <c r="P93" s="158">
        <v>25.350999999999999</v>
      </c>
      <c r="Q93" s="158">
        <v>26.135000000000002</v>
      </c>
      <c r="R93" s="159">
        <f t="shared" si="9"/>
        <v>4.25</v>
      </c>
      <c r="T93" s="158">
        <v>192.12700000000001</v>
      </c>
      <c r="U93" s="158">
        <v>196.33199999999999</v>
      </c>
      <c r="V93" s="158">
        <v>26.09</v>
      </c>
      <c r="X93" s="158">
        <v>364.12599999999998</v>
      </c>
      <c r="Y93" s="158">
        <v>68.8</v>
      </c>
      <c r="AA93" s="158">
        <v>69.447999999999993</v>
      </c>
      <c r="AB93" s="158">
        <v>69.525999999999996</v>
      </c>
      <c r="AC93" s="159">
        <f>MROUND(FORECAST(AA93,AC31:AC92,AA31:AA92),1)</f>
        <v>24</v>
      </c>
      <c r="AE93" s="158">
        <v>361.471</v>
      </c>
      <c r="AF93" s="158">
        <v>340.35500000000002</v>
      </c>
      <c r="AG93" s="159">
        <f>MROUND(FORECAST(AE93,AG31:AG92,AE31:AE92),1)+20</f>
        <v>121</v>
      </c>
      <c r="AI93" s="158">
        <v>124.91800000000001</v>
      </c>
      <c r="AJ93" s="158">
        <v>124.42</v>
      </c>
      <c r="AK93" s="159">
        <f t="shared" si="5"/>
        <v>11.5</v>
      </c>
      <c r="AM93" s="158">
        <v>166.33799999999999</v>
      </c>
      <c r="AN93" s="158">
        <v>163.358</v>
      </c>
      <c r="AO93" s="158">
        <v>103.66</v>
      </c>
    </row>
    <row r="94" spans="1:41">
      <c r="A94" s="157">
        <v>44896</v>
      </c>
      <c r="B94" s="158">
        <v>110.98099999999999</v>
      </c>
      <c r="C94" s="158">
        <v>111.09399999999999</v>
      </c>
      <c r="D94" s="158">
        <v>6.6539999999999999</v>
      </c>
      <c r="F94" s="158">
        <v>90.64</v>
      </c>
      <c r="G94" s="158">
        <v>18.350000000000001</v>
      </c>
      <c r="I94" s="158">
        <v>23.116</v>
      </c>
      <c r="J94" s="158">
        <v>22.625</v>
      </c>
      <c r="K94" s="158">
        <v>5.5460000000000003</v>
      </c>
      <c r="M94" s="158">
        <v>490.73899999999998</v>
      </c>
      <c r="N94" s="158">
        <v>63.338999999999999</v>
      </c>
      <c r="P94" s="158">
        <v>35.372</v>
      </c>
      <c r="Q94" s="158">
        <v>31.120999999999999</v>
      </c>
      <c r="R94" s="159">
        <f t="shared" si="9"/>
        <v>5.25</v>
      </c>
      <c r="T94" s="158">
        <v>173.886</v>
      </c>
      <c r="U94" s="158">
        <v>168.077</v>
      </c>
      <c r="V94" s="158">
        <v>31.9</v>
      </c>
      <c r="X94" s="158">
        <v>351.01900000000001</v>
      </c>
      <c r="Y94" s="158">
        <v>85.524000000000001</v>
      </c>
      <c r="AA94" s="158">
        <v>77.323999999999998</v>
      </c>
      <c r="AB94" s="158">
        <v>81.356999999999999</v>
      </c>
      <c r="AC94" s="159">
        <f>MROUND(FORECAST(AA94,AC32:AC93,AA32:AA93),1)</f>
        <v>22</v>
      </c>
      <c r="AE94" s="158">
        <v>356.8</v>
      </c>
      <c r="AF94" s="158">
        <v>356.072</v>
      </c>
      <c r="AG94" s="158">
        <v>119.997</v>
      </c>
      <c r="AI94" s="158">
        <v>99.626999999999995</v>
      </c>
      <c r="AJ94" s="158">
        <v>97.983000000000004</v>
      </c>
      <c r="AK94" s="159">
        <f t="shared" si="5"/>
        <v>11.200000000000001</v>
      </c>
      <c r="AM94" s="158">
        <v>176.98599999999999</v>
      </c>
      <c r="AN94" s="158">
        <v>181.66800000000001</v>
      </c>
      <c r="AO94" s="158">
        <v>98.977000000000004</v>
      </c>
    </row>
    <row r="95" spans="1:41">
      <c r="A95" s="157">
        <v>44927</v>
      </c>
      <c r="B95" s="158">
        <v>114.801</v>
      </c>
      <c r="C95" s="158">
        <v>114.09399999999999</v>
      </c>
      <c r="D95" s="158">
        <v>7.3970000000000002</v>
      </c>
      <c r="F95" s="158">
        <v>86.375</v>
      </c>
      <c r="G95" s="158">
        <v>17.472000000000001</v>
      </c>
      <c r="I95" s="158">
        <v>18.686</v>
      </c>
      <c r="J95" s="158">
        <v>19.344999999999999</v>
      </c>
      <c r="K95" s="158">
        <v>4.8879999999999999</v>
      </c>
      <c r="M95" s="158">
        <v>455.10399999999998</v>
      </c>
      <c r="N95" s="158">
        <v>67.167000000000002</v>
      </c>
      <c r="P95" s="158">
        <v>29.071000000000002</v>
      </c>
      <c r="Q95" s="158">
        <v>31.135000000000002</v>
      </c>
      <c r="R95" s="159">
        <f t="shared" si="9"/>
        <v>5</v>
      </c>
      <c r="T95" s="158">
        <v>163.93299999999999</v>
      </c>
      <c r="U95" s="158">
        <v>168.92</v>
      </c>
      <c r="V95" s="158">
        <v>26.957999999999998</v>
      </c>
      <c r="X95" s="158">
        <v>320.28500000000003</v>
      </c>
      <c r="Y95" s="158">
        <v>72.403000000000006</v>
      </c>
      <c r="AA95" s="158">
        <v>83.317999999999998</v>
      </c>
      <c r="AB95" s="158">
        <v>82.984999999999999</v>
      </c>
      <c r="AC95" s="158">
        <v>28.222000000000001</v>
      </c>
      <c r="AE95" s="158">
        <v>329.42700000000002</v>
      </c>
      <c r="AF95" s="158">
        <v>326.41399999999999</v>
      </c>
      <c r="AG95" s="158">
        <v>123.011</v>
      </c>
      <c r="AI95" s="158">
        <v>106.98</v>
      </c>
      <c r="AJ95" s="158">
        <v>104.517</v>
      </c>
      <c r="AK95" s="159">
        <f t="shared" si="5"/>
        <v>11.3</v>
      </c>
      <c r="AM95" s="158">
        <v>171.13300000000001</v>
      </c>
      <c r="AN95" s="158">
        <v>173.34100000000001</v>
      </c>
      <c r="AO95" s="158">
        <v>96.769000000000005</v>
      </c>
    </row>
    <row r="96" spans="1:41">
      <c r="A96" s="157">
        <v>44958</v>
      </c>
      <c r="B96" s="158">
        <v>114.672</v>
      </c>
      <c r="C96" s="158">
        <v>116.733</v>
      </c>
      <c r="D96" s="158">
        <v>5.7519999999999998</v>
      </c>
      <c r="F96" s="158">
        <v>101.084</v>
      </c>
      <c r="G96" s="158">
        <v>18.677</v>
      </c>
      <c r="I96" s="158">
        <v>22.882999999999999</v>
      </c>
      <c r="J96" s="158">
        <v>19.228000000000002</v>
      </c>
      <c r="K96" s="158">
        <v>7.1070000000000002</v>
      </c>
      <c r="M96" s="158">
        <v>483.85500000000002</v>
      </c>
      <c r="N96" s="158">
        <v>52.335000000000001</v>
      </c>
      <c r="P96" s="158">
        <v>28.077000000000002</v>
      </c>
      <c r="Q96" s="158">
        <v>27.321000000000002</v>
      </c>
      <c r="R96" s="159">
        <f t="shared" si="9"/>
        <v>4.75</v>
      </c>
      <c r="T96" s="158">
        <v>196.35</v>
      </c>
      <c r="U96" s="158">
        <v>196.411</v>
      </c>
      <c r="V96" s="158">
        <v>25.431999999999999</v>
      </c>
      <c r="X96" s="158">
        <v>393.72699999999998</v>
      </c>
      <c r="Y96" s="158">
        <v>65.113</v>
      </c>
      <c r="AA96" s="158">
        <v>107.107</v>
      </c>
      <c r="AB96" s="158">
        <v>128.93199999999999</v>
      </c>
      <c r="AC96" s="158">
        <v>12.917999999999999</v>
      </c>
      <c r="AE96" s="158">
        <v>367.15699999999998</v>
      </c>
      <c r="AF96" s="158">
        <v>399.68299999999999</v>
      </c>
      <c r="AG96" s="158">
        <v>83.197999999999993</v>
      </c>
      <c r="AI96" s="158">
        <v>107.979</v>
      </c>
      <c r="AJ96" s="158">
        <v>110.967</v>
      </c>
      <c r="AK96" s="159">
        <f t="shared" si="5"/>
        <v>11.4</v>
      </c>
      <c r="AM96" s="158">
        <v>177.58199999999999</v>
      </c>
      <c r="AN96" s="158">
        <v>160.85599999999999</v>
      </c>
      <c r="AO96" s="158">
        <v>113.84</v>
      </c>
    </row>
    <row r="97" spans="1:41">
      <c r="A97" s="157">
        <v>44986</v>
      </c>
      <c r="B97" s="158">
        <v>119.429</v>
      </c>
      <c r="C97" s="158">
        <v>120.27500000000001</v>
      </c>
      <c r="D97" s="158">
        <v>4.9050000000000002</v>
      </c>
      <c r="F97" s="158">
        <v>95.113</v>
      </c>
      <c r="G97" s="158">
        <v>16.898</v>
      </c>
      <c r="I97" s="158">
        <v>24.172999999999998</v>
      </c>
      <c r="J97" s="160">
        <v>22.231000000000002</v>
      </c>
      <c r="K97" s="158">
        <v>9.0500000000000007</v>
      </c>
      <c r="M97" s="158">
        <v>497.17899999999997</v>
      </c>
      <c r="N97" s="158">
        <v>57.886000000000003</v>
      </c>
      <c r="P97" s="158">
        <v>30.803000000000001</v>
      </c>
      <c r="Q97" s="158">
        <v>34.698999999999998</v>
      </c>
      <c r="R97" s="159">
        <f t="shared" si="9"/>
        <v>5.75</v>
      </c>
      <c r="T97" s="158">
        <v>183.30600000000001</v>
      </c>
      <c r="U97" s="158">
        <v>184.52099999999999</v>
      </c>
      <c r="V97" s="158">
        <v>24.466999999999999</v>
      </c>
      <c r="X97" s="158">
        <v>341.90699999999998</v>
      </c>
      <c r="Y97" s="158">
        <v>63.304000000000002</v>
      </c>
      <c r="AA97" s="158">
        <v>90.760999999999996</v>
      </c>
      <c r="AB97" s="158">
        <v>75.762</v>
      </c>
      <c r="AC97" s="160">
        <v>29.268000000000001</v>
      </c>
      <c r="AE97" s="158">
        <v>355.32900000000001</v>
      </c>
      <c r="AF97" s="158">
        <v>350.327</v>
      </c>
      <c r="AG97" s="158">
        <v>80.308999999999997</v>
      </c>
      <c r="AI97" s="158">
        <v>102.563</v>
      </c>
      <c r="AJ97" s="158">
        <v>104.23</v>
      </c>
      <c r="AK97" s="159">
        <f t="shared" si="5"/>
        <v>11.3</v>
      </c>
      <c r="AM97" s="158">
        <v>197.56700000000001</v>
      </c>
      <c r="AN97" s="158">
        <v>189.261</v>
      </c>
      <c r="AO97" s="158">
        <v>123.974</v>
      </c>
    </row>
    <row r="98" spans="1:41">
      <c r="A98" s="157">
        <v>45017</v>
      </c>
      <c r="B98" s="158">
        <v>103.83</v>
      </c>
      <c r="C98" s="158">
        <v>101.36</v>
      </c>
      <c r="D98" s="158">
        <v>7.3739999999999997</v>
      </c>
      <c r="F98" s="158">
        <v>85.472999999999999</v>
      </c>
      <c r="G98" s="158">
        <v>16.088000000000001</v>
      </c>
      <c r="I98" s="158">
        <v>28.21</v>
      </c>
      <c r="J98" s="160">
        <v>24.765999999999998</v>
      </c>
      <c r="K98" s="158">
        <v>12.494</v>
      </c>
      <c r="M98" s="158">
        <v>426.65499999999997</v>
      </c>
      <c r="N98" s="158">
        <v>53.012</v>
      </c>
      <c r="P98" s="158">
        <v>25.658999999999999</v>
      </c>
      <c r="Q98" s="158">
        <v>24.849</v>
      </c>
      <c r="R98" s="159">
        <f t="shared" si="9"/>
        <v>4</v>
      </c>
      <c r="T98" s="158">
        <v>171.41</v>
      </c>
      <c r="U98" s="158">
        <v>170.67</v>
      </c>
      <c r="V98" s="158">
        <v>25.213999999999999</v>
      </c>
      <c r="X98" s="158">
        <v>305.55900000000003</v>
      </c>
      <c r="Y98" s="158">
        <v>74.146000000000001</v>
      </c>
      <c r="AA98" s="158">
        <v>77.5</v>
      </c>
      <c r="AB98" s="158">
        <v>84.15</v>
      </c>
      <c r="AC98" s="160">
        <v>22.786000000000001</v>
      </c>
      <c r="AE98" s="158">
        <v>311.10000000000002</v>
      </c>
      <c r="AF98" s="158">
        <v>327.18700000000001</v>
      </c>
      <c r="AG98" s="159">
        <f>MROUND(FORECAST(AE98,AG36:AG97,AE36:AE97),1)</f>
        <v>98</v>
      </c>
      <c r="AI98" s="158">
        <v>98.289000000000001</v>
      </c>
      <c r="AJ98" s="158">
        <v>97.331999999999994</v>
      </c>
      <c r="AK98" s="159">
        <f t="shared" si="5"/>
        <v>11.200000000000001</v>
      </c>
      <c r="AM98" s="158">
        <v>172.82599999999999</v>
      </c>
      <c r="AN98" s="158">
        <v>178.96799999999999</v>
      </c>
      <c r="AO98" s="158">
        <v>113.101</v>
      </c>
    </row>
    <row r="99" spans="1:41">
      <c r="A99" s="157">
        <v>45047</v>
      </c>
      <c r="B99" s="158">
        <v>118.053</v>
      </c>
      <c r="C99" s="158">
        <v>119.232</v>
      </c>
      <c r="D99" s="158">
        <v>6.1820000000000004</v>
      </c>
      <c r="F99" s="158">
        <v>102.04600000000001</v>
      </c>
      <c r="G99" s="158">
        <v>17.744</v>
      </c>
      <c r="I99" s="158">
        <v>29.384</v>
      </c>
      <c r="J99" s="160">
        <v>31.934000000000001</v>
      </c>
      <c r="K99" s="158">
        <v>11.634</v>
      </c>
      <c r="M99" s="158">
        <v>450.452</v>
      </c>
      <c r="N99" s="158">
        <v>53.508000000000003</v>
      </c>
      <c r="P99" s="158">
        <v>18.068999999999999</v>
      </c>
      <c r="Q99" s="158">
        <v>23.713000000000001</v>
      </c>
      <c r="R99" s="159">
        <f t="shared" ref="R99:R114" si="10">MROUND(R93/Q93*Q99,0.25)</f>
        <v>3.75</v>
      </c>
      <c r="T99" s="158">
        <v>197.78299999999999</v>
      </c>
      <c r="U99" s="158">
        <v>202.05199999999999</v>
      </c>
      <c r="V99" s="158">
        <v>20.943999999999999</v>
      </c>
      <c r="X99" s="158">
        <v>348.43200000000002</v>
      </c>
      <c r="Y99" s="158">
        <v>82.947000000000003</v>
      </c>
      <c r="AA99" s="158">
        <v>83.634</v>
      </c>
      <c r="AB99" s="158">
        <v>94.994</v>
      </c>
      <c r="AC99" s="160">
        <v>11.615</v>
      </c>
      <c r="AE99" s="158">
        <v>334.45299999999997</v>
      </c>
      <c r="AF99" s="158">
        <v>341.33</v>
      </c>
      <c r="AG99" s="159">
        <f>MROUND(FORECAST(AE99,AG37:AG98,AE37:AE98),1)</f>
        <v>100</v>
      </c>
      <c r="AI99" s="158">
        <v>110.55800000000001</v>
      </c>
      <c r="AJ99" s="158">
        <v>110.267</v>
      </c>
      <c r="AK99" s="159">
        <f t="shared" si="5"/>
        <v>11.3</v>
      </c>
      <c r="AM99" s="158">
        <v>178.167</v>
      </c>
      <c r="AN99" s="158">
        <v>187.31200000000001</v>
      </c>
      <c r="AO99" s="158">
        <v>103.946</v>
      </c>
    </row>
    <row r="100" spans="1:41">
      <c r="A100" s="157">
        <v>45078</v>
      </c>
      <c r="B100" s="158">
        <v>109.628</v>
      </c>
      <c r="C100" s="158">
        <v>110.953</v>
      </c>
      <c r="D100" s="158">
        <v>4.8019999999999996</v>
      </c>
      <c r="F100" s="158">
        <v>91.201999999999998</v>
      </c>
      <c r="G100" s="158">
        <v>16.404</v>
      </c>
      <c r="I100" s="158">
        <v>23.975000000000001</v>
      </c>
      <c r="J100" s="160">
        <v>28.591999999999999</v>
      </c>
      <c r="K100" s="159">
        <f>MROUND(FORECAST(I100,K38:K99,I38:I99),1)</f>
        <v>10</v>
      </c>
      <c r="M100" s="158">
        <v>436.18400000000003</v>
      </c>
      <c r="N100" s="158">
        <v>54.625999999999998</v>
      </c>
      <c r="P100" s="158">
        <v>23.178999999999998</v>
      </c>
      <c r="Q100" s="158">
        <v>25.268000000000001</v>
      </c>
      <c r="R100" s="159">
        <f t="shared" si="10"/>
        <v>4.25</v>
      </c>
      <c r="T100" s="158">
        <v>182.77199999999999</v>
      </c>
      <c r="U100" s="158">
        <v>175.55</v>
      </c>
      <c r="V100" s="158">
        <v>27.951000000000001</v>
      </c>
      <c r="X100" s="158">
        <v>312.35700000000003</v>
      </c>
      <c r="Y100" s="158">
        <v>74.254000000000005</v>
      </c>
      <c r="AA100" s="158">
        <v>87.102999999999994</v>
      </c>
      <c r="AB100" s="158">
        <v>87.043000000000006</v>
      </c>
      <c r="AC100" s="160">
        <v>11.83</v>
      </c>
      <c r="AE100" s="158">
        <v>280.90199999999999</v>
      </c>
      <c r="AF100" s="158">
        <v>290.791</v>
      </c>
      <c r="AG100" s="159">
        <f>MROUND(FORECAST(AE100,AG38:AG99,AE38:AE99),1)</f>
        <v>97</v>
      </c>
      <c r="AI100" s="158">
        <v>107.363</v>
      </c>
      <c r="AJ100" s="158">
        <v>107.569</v>
      </c>
      <c r="AK100" s="159">
        <f t="shared" ref="AK100:AK108" si="11">MROUND(FORECAST(AJ100,AK46:AK99,AJ46:AJ99),0.1)</f>
        <v>11.3</v>
      </c>
      <c r="AM100" s="158">
        <v>189.739</v>
      </c>
      <c r="AN100" s="158">
        <v>196.227</v>
      </c>
      <c r="AO100" s="158">
        <v>97.456999999999994</v>
      </c>
    </row>
    <row r="101" spans="1:41">
      <c r="A101" s="157">
        <v>45108</v>
      </c>
      <c r="B101" s="158">
        <v>92.936999999999998</v>
      </c>
      <c r="C101" s="158">
        <v>91.257999999999996</v>
      </c>
      <c r="D101" s="158">
        <v>6.4809999999999999</v>
      </c>
      <c r="F101" s="158">
        <v>82.832999999999998</v>
      </c>
      <c r="G101" s="158">
        <v>17.155999999999999</v>
      </c>
      <c r="I101" s="158">
        <v>17.882000000000001</v>
      </c>
      <c r="J101" s="160">
        <v>17.614000000000001</v>
      </c>
      <c r="K101" s="158">
        <v>7.0190000000000001</v>
      </c>
      <c r="M101" s="158">
        <v>438.99299999999999</v>
      </c>
      <c r="N101" s="158">
        <v>54.957000000000001</v>
      </c>
      <c r="P101" s="158">
        <v>24.837</v>
      </c>
      <c r="Q101" s="158">
        <v>27.555</v>
      </c>
      <c r="R101" s="159">
        <f t="shared" si="10"/>
        <v>4.5</v>
      </c>
      <c r="T101" s="158">
        <v>175.875</v>
      </c>
      <c r="U101" s="158">
        <v>179.77099999999999</v>
      </c>
      <c r="V101" s="158">
        <v>24.055</v>
      </c>
      <c r="X101" s="158">
        <v>287.59199999999998</v>
      </c>
      <c r="Y101" s="158">
        <v>74.936000000000007</v>
      </c>
      <c r="AA101" s="158">
        <v>89.242000000000004</v>
      </c>
      <c r="AB101" s="158">
        <v>86.067999999999998</v>
      </c>
      <c r="AC101" s="160">
        <v>15.752000000000001</v>
      </c>
      <c r="AE101" s="158">
        <v>281.77100000000002</v>
      </c>
      <c r="AF101" s="158">
        <v>281.572</v>
      </c>
      <c r="AG101" s="159">
        <f>MROUND(FORECAST(AE101,AG39:AG100,AE39:AE100),1)</f>
        <v>97</v>
      </c>
      <c r="AI101" s="158">
        <v>88.733999999999995</v>
      </c>
      <c r="AJ101" s="158">
        <v>88.661000000000001</v>
      </c>
      <c r="AK101" s="159">
        <f t="shared" si="11"/>
        <v>11.100000000000001</v>
      </c>
      <c r="AM101" s="158">
        <v>165.25299999999999</v>
      </c>
      <c r="AN101" s="158">
        <v>154.071</v>
      </c>
      <c r="AO101" s="158">
        <v>108.639</v>
      </c>
    </row>
    <row r="102" spans="1:41">
      <c r="A102" s="157">
        <v>45139</v>
      </c>
      <c r="B102" s="158">
        <v>126.669</v>
      </c>
      <c r="C102" s="158">
        <v>126.20399999999999</v>
      </c>
      <c r="D102" s="158">
        <v>6.9470000000000001</v>
      </c>
      <c r="F102" s="158">
        <v>98.766999999999996</v>
      </c>
      <c r="G102" s="158">
        <v>17.247</v>
      </c>
      <c r="I102" s="158">
        <v>16.295999999999999</v>
      </c>
      <c r="J102" s="160">
        <v>15.183</v>
      </c>
      <c r="K102" s="158">
        <v>8.1319999999999997</v>
      </c>
      <c r="M102" s="158">
        <v>548.12099999999998</v>
      </c>
      <c r="N102" s="158">
        <v>56.936</v>
      </c>
      <c r="P102" s="158">
        <v>24.103999999999999</v>
      </c>
      <c r="Q102" s="158">
        <v>25.35</v>
      </c>
      <c r="R102" s="159">
        <f t="shared" si="10"/>
        <v>4.5</v>
      </c>
      <c r="T102" s="158">
        <v>212.50700000000001</v>
      </c>
      <c r="U102" s="158">
        <v>198.61699999999999</v>
      </c>
      <c r="V102" s="158">
        <v>29.637</v>
      </c>
      <c r="X102" s="158">
        <v>343.79500000000002</v>
      </c>
      <c r="Y102" s="158">
        <v>78.5</v>
      </c>
      <c r="AA102" s="158">
        <v>85.834000000000003</v>
      </c>
      <c r="AB102" s="158">
        <v>87.248000000000005</v>
      </c>
      <c r="AC102" s="160">
        <v>14.541</v>
      </c>
      <c r="AE102" s="158">
        <v>312.65300000000002</v>
      </c>
      <c r="AF102" s="158">
        <v>317.97000000000003</v>
      </c>
      <c r="AG102" s="158">
        <v>86.388000000000005</v>
      </c>
      <c r="AI102" s="158">
        <v>108.548</v>
      </c>
      <c r="AJ102" s="158">
        <v>108.256</v>
      </c>
      <c r="AK102" s="159">
        <f t="shared" si="11"/>
        <v>11.3</v>
      </c>
      <c r="AM102" s="158">
        <v>171.37700000000001</v>
      </c>
      <c r="AN102" s="158">
        <v>182.31200000000001</v>
      </c>
      <c r="AO102" s="158">
        <v>100.41500000000001</v>
      </c>
    </row>
    <row r="103" spans="1:41">
      <c r="A103" s="157">
        <v>45170</v>
      </c>
      <c r="B103" s="158">
        <v>100.468</v>
      </c>
      <c r="C103" s="158">
        <v>102.86499999999999</v>
      </c>
      <c r="D103" s="158">
        <v>5.2649999999999997</v>
      </c>
      <c r="F103" s="158">
        <v>98.010999999999996</v>
      </c>
      <c r="G103" s="158">
        <v>11.941000000000001</v>
      </c>
      <c r="I103" s="158">
        <v>25.012</v>
      </c>
      <c r="J103" s="160">
        <v>25.155999999999999</v>
      </c>
      <c r="K103" s="158">
        <v>7.7560000000000002</v>
      </c>
      <c r="M103" s="158">
        <v>489.565</v>
      </c>
      <c r="N103" s="158">
        <v>56.667000000000002</v>
      </c>
      <c r="P103" s="158">
        <v>22.51</v>
      </c>
      <c r="Q103" s="158">
        <v>19.75</v>
      </c>
      <c r="R103" s="159">
        <f t="shared" si="10"/>
        <v>3.25</v>
      </c>
      <c r="T103" s="158">
        <v>210.43</v>
      </c>
      <c r="U103" s="158">
        <v>210.501</v>
      </c>
      <c r="V103" s="158">
        <v>29.565999999999999</v>
      </c>
      <c r="X103" s="158">
        <v>346.596</v>
      </c>
      <c r="Y103" s="158">
        <v>86.793000000000006</v>
      </c>
      <c r="AA103" s="158">
        <v>94.343000000000004</v>
      </c>
      <c r="AB103" s="158">
        <v>98.751000000000005</v>
      </c>
      <c r="AC103" s="160">
        <v>10.282999999999999</v>
      </c>
      <c r="AE103" s="158">
        <v>291.18599999999998</v>
      </c>
      <c r="AF103" s="158">
        <v>302.54399999999998</v>
      </c>
      <c r="AG103" s="158">
        <v>76.105999999999995</v>
      </c>
      <c r="AI103" s="158">
        <v>98.450999999999993</v>
      </c>
      <c r="AJ103" s="158">
        <v>100.51</v>
      </c>
      <c r="AK103" s="159">
        <f t="shared" si="11"/>
        <v>11.200000000000001</v>
      </c>
      <c r="AM103" s="158">
        <v>171.54300000000001</v>
      </c>
      <c r="AN103" s="158">
        <v>172.34299999999999</v>
      </c>
      <c r="AO103" s="158">
        <v>99.771000000000001</v>
      </c>
    </row>
    <row r="104" spans="1:41">
      <c r="A104" s="157">
        <v>45200</v>
      </c>
      <c r="B104" s="158">
        <v>104.509</v>
      </c>
      <c r="C104" s="158">
        <v>103.928</v>
      </c>
      <c r="D104" s="158">
        <v>5.7</v>
      </c>
      <c r="F104" s="158">
        <v>77.965999999999994</v>
      </c>
      <c r="G104" s="158">
        <v>17.082999999999998</v>
      </c>
      <c r="I104" s="158">
        <v>27.204999999999998</v>
      </c>
      <c r="J104" s="160">
        <v>25.109000000000002</v>
      </c>
      <c r="K104" s="158">
        <v>9.8369999999999997</v>
      </c>
      <c r="M104" s="158">
        <v>474.86399999999998</v>
      </c>
      <c r="N104" s="158">
        <v>61.201999999999998</v>
      </c>
      <c r="P104" s="158">
        <v>23.128</v>
      </c>
      <c r="Q104" s="158">
        <v>27.414000000000001</v>
      </c>
      <c r="R104" s="159">
        <f t="shared" si="10"/>
        <v>4.5</v>
      </c>
      <c r="T104" s="158">
        <v>194.64699999999999</v>
      </c>
      <c r="U104" s="158">
        <v>183.191</v>
      </c>
      <c r="V104" s="158">
        <v>41.02</v>
      </c>
      <c r="X104" s="158">
        <v>319.99299999999999</v>
      </c>
      <c r="Y104" s="158">
        <v>111.02200000000001</v>
      </c>
      <c r="AA104" s="158">
        <v>75.97</v>
      </c>
      <c r="AB104" s="158">
        <v>77.802999999999997</v>
      </c>
      <c r="AC104" s="160">
        <v>11.657999999999999</v>
      </c>
      <c r="AE104" s="158">
        <v>317.68900000000002</v>
      </c>
      <c r="AF104" s="158">
        <v>310.11399999999998</v>
      </c>
      <c r="AG104" s="159">
        <f>MROUND(FORECAST(AE104,AG42:AG103,AE42:AE103),1)</f>
        <v>99</v>
      </c>
      <c r="AI104" s="158">
        <v>108.65600000000001</v>
      </c>
      <c r="AJ104" s="158">
        <v>95.427000000000007</v>
      </c>
      <c r="AK104" s="159">
        <f t="shared" si="11"/>
        <v>11.200000000000001</v>
      </c>
      <c r="AM104" s="158">
        <v>157.476</v>
      </c>
      <c r="AN104" s="158">
        <v>159.58600000000001</v>
      </c>
      <c r="AO104" s="158">
        <v>97.659000000000006</v>
      </c>
    </row>
    <row r="105" spans="1:41">
      <c r="A105" s="157">
        <v>45231</v>
      </c>
      <c r="B105" s="158">
        <v>118.97499999999999</v>
      </c>
      <c r="C105" s="158">
        <v>117.47499999999999</v>
      </c>
      <c r="D105" s="158">
        <v>6.87</v>
      </c>
      <c r="F105" s="158">
        <v>89.587999999999994</v>
      </c>
      <c r="G105" s="158">
        <v>13.067</v>
      </c>
      <c r="I105" s="158">
        <v>31.251000000000001</v>
      </c>
      <c r="J105" s="160">
        <v>34.185000000000002</v>
      </c>
      <c r="K105" s="158">
        <v>8.0709999999999997</v>
      </c>
      <c r="M105" s="158">
        <v>524.53899999999999</v>
      </c>
      <c r="N105" s="158">
        <v>71.760999999999996</v>
      </c>
      <c r="P105" s="158">
        <v>28.495999999999999</v>
      </c>
      <c r="Q105" s="158">
        <v>27.795000000000002</v>
      </c>
      <c r="R105" s="159">
        <f t="shared" si="10"/>
        <v>4.5</v>
      </c>
      <c r="T105" s="158">
        <v>222.197</v>
      </c>
      <c r="U105" s="158">
        <v>222.03100000000001</v>
      </c>
      <c r="V105" s="158">
        <v>41.186</v>
      </c>
      <c r="X105" s="158">
        <v>400.983</v>
      </c>
      <c r="Y105" s="158">
        <v>94.491</v>
      </c>
      <c r="AA105" s="158">
        <v>98.978999999999999</v>
      </c>
      <c r="AB105" s="158">
        <v>98.796999999999997</v>
      </c>
      <c r="AC105" s="160">
        <v>10.817</v>
      </c>
      <c r="AE105" s="158">
        <v>320.37200000000001</v>
      </c>
      <c r="AF105" s="158">
        <v>316.37099999999998</v>
      </c>
      <c r="AG105" s="159">
        <f>MROUND(FORECAST(AE105,AG43:AG104,AE43:AE104),1)</f>
        <v>99</v>
      </c>
      <c r="AI105" s="158">
        <v>123.58499999999999</v>
      </c>
      <c r="AJ105" s="158">
        <v>122.154</v>
      </c>
      <c r="AK105" s="159">
        <f t="shared" si="11"/>
        <v>11.5</v>
      </c>
      <c r="AM105" s="158">
        <v>144.94900000000001</v>
      </c>
      <c r="AN105" s="158">
        <v>127.027</v>
      </c>
      <c r="AO105" s="158">
        <v>116.51300000000001</v>
      </c>
    </row>
    <row r="106" spans="1:41">
      <c r="A106" s="157">
        <v>45261</v>
      </c>
      <c r="B106" s="158">
        <v>112.90900000000001</v>
      </c>
      <c r="C106" s="158">
        <v>112.503</v>
      </c>
      <c r="D106" s="158">
        <v>7.2759999999999998</v>
      </c>
      <c r="F106" s="158">
        <v>78.412000000000006</v>
      </c>
      <c r="G106" s="158">
        <v>10.843</v>
      </c>
      <c r="I106" s="158">
        <v>25.731999999999999</v>
      </c>
      <c r="J106" s="160">
        <v>25.178999999999998</v>
      </c>
      <c r="K106" s="158">
        <v>8.6240000000000006</v>
      </c>
      <c r="M106" s="158">
        <v>507.92700000000002</v>
      </c>
      <c r="N106" s="158">
        <v>72.11</v>
      </c>
      <c r="P106" s="158">
        <v>21.242999999999999</v>
      </c>
      <c r="Q106" s="158">
        <v>18.667000000000002</v>
      </c>
      <c r="R106" s="159">
        <f t="shared" si="10"/>
        <v>3.25</v>
      </c>
      <c r="T106" s="158">
        <v>185.71899999999999</v>
      </c>
      <c r="U106" s="158">
        <v>191.31399999999999</v>
      </c>
      <c r="V106" s="158">
        <v>35.591000000000001</v>
      </c>
      <c r="X106" s="158">
        <v>343.411</v>
      </c>
      <c r="Y106" s="158">
        <v>101.21299999999999</v>
      </c>
      <c r="AA106" s="158">
        <v>85.396000000000001</v>
      </c>
      <c r="AB106" s="158">
        <v>84.795000000000002</v>
      </c>
      <c r="AC106" s="160">
        <v>11.332000000000001</v>
      </c>
      <c r="AE106" s="158">
        <v>332.40199999999999</v>
      </c>
      <c r="AF106" s="158">
        <v>336.30399999999997</v>
      </c>
      <c r="AG106" s="160">
        <v>82.706000000000003</v>
      </c>
      <c r="AI106" s="158">
        <v>121.288</v>
      </c>
      <c r="AJ106" s="158">
        <v>121.15300000000001</v>
      </c>
      <c r="AK106" s="159">
        <f t="shared" si="11"/>
        <v>11.600000000000001</v>
      </c>
      <c r="AM106" s="159">
        <f>MROUND(FORECAST(AM105,AM52:AM105,AN52:AN105),0.1)</f>
        <v>160.5</v>
      </c>
      <c r="AN106" s="159">
        <f t="shared" ref="AN106" si="12">MROUND(FORECAST(AN105,AN52:AN105,AO52:AO105),0.1)</f>
        <v>170.20000000000002</v>
      </c>
      <c r="AO106" s="159">
        <f t="shared" ref="AO106:AO111" si="13">MROUND(FORECAST(AO105,AO52:AO105,AN52:AN105),0.1)</f>
        <v>103.5</v>
      </c>
    </row>
    <row r="107" spans="1:41">
      <c r="A107" s="157">
        <v>45292</v>
      </c>
      <c r="B107" s="158">
        <v>117.828</v>
      </c>
      <c r="C107" s="158">
        <v>116.462</v>
      </c>
      <c r="D107" s="158">
        <v>8.6430000000000007</v>
      </c>
      <c r="F107" s="158">
        <v>74.884</v>
      </c>
      <c r="G107" s="158">
        <v>16.359000000000002</v>
      </c>
      <c r="I107" s="158">
        <v>20.036999999999999</v>
      </c>
      <c r="J107" s="160">
        <v>19.192</v>
      </c>
      <c r="K107" s="159">
        <f t="shared" ref="K107:K112" si="14">MROUND(FORECAST(I107,K45:K106,I45:I106),1)</f>
        <v>9</v>
      </c>
      <c r="M107" s="158">
        <v>492.42899999999997</v>
      </c>
      <c r="N107" s="158">
        <v>64.543999999999997</v>
      </c>
      <c r="P107" s="158">
        <v>23.616</v>
      </c>
      <c r="Q107" s="158">
        <v>20.555</v>
      </c>
      <c r="R107" s="159">
        <f t="shared" si="10"/>
        <v>3.25</v>
      </c>
      <c r="T107" s="158">
        <v>163.18299999999999</v>
      </c>
      <c r="U107" s="158">
        <v>165.749</v>
      </c>
      <c r="V107" s="158">
        <v>33.024999999999999</v>
      </c>
      <c r="X107" s="158">
        <v>311.10899999999998</v>
      </c>
      <c r="Y107" s="158">
        <v>123.806</v>
      </c>
      <c r="AA107" s="158">
        <v>72.408000000000001</v>
      </c>
      <c r="AB107" s="158">
        <v>72.887</v>
      </c>
      <c r="AC107" s="160">
        <v>11.166</v>
      </c>
      <c r="AE107" s="158">
        <v>309.11200000000002</v>
      </c>
      <c r="AF107" s="158">
        <v>298.69900000000001</v>
      </c>
      <c r="AG107" s="160">
        <v>93.12</v>
      </c>
      <c r="AI107" s="158">
        <v>109.379</v>
      </c>
      <c r="AJ107" s="158">
        <v>104.604</v>
      </c>
      <c r="AK107" s="159">
        <f t="shared" si="11"/>
        <v>11.4</v>
      </c>
      <c r="AM107" s="159">
        <f t="shared" ref="AM107:AM111" si="15">MROUND(FORECAST(AM106,AM53:AM106,AN53:AN106),0.1)</f>
        <v>168.5</v>
      </c>
      <c r="AN107" s="159">
        <f t="shared" ref="AN107" si="16">MROUND(FORECAST(AN106,AN53:AN106,AO53:AO106),0.1)</f>
        <v>158.80000000000001</v>
      </c>
      <c r="AO107" s="159">
        <f t="shared" si="13"/>
        <v>105.60000000000001</v>
      </c>
    </row>
    <row r="108" spans="1:41">
      <c r="A108" s="157">
        <v>45323</v>
      </c>
      <c r="B108" s="158">
        <v>114.158</v>
      </c>
      <c r="C108" s="158">
        <v>116.18</v>
      </c>
      <c r="D108" s="158">
        <v>6.3129999999999997</v>
      </c>
      <c r="F108" s="158">
        <v>95.055000000000007</v>
      </c>
      <c r="G108" s="158">
        <v>15.535</v>
      </c>
      <c r="I108" s="158">
        <v>26.106999999999999</v>
      </c>
      <c r="J108" s="158">
        <v>26.824000000000002</v>
      </c>
      <c r="K108" s="159">
        <f t="shared" si="14"/>
        <v>10</v>
      </c>
      <c r="M108" s="158">
        <v>475.52600000000001</v>
      </c>
      <c r="N108" s="158">
        <v>56.662999999999997</v>
      </c>
      <c r="P108" s="158">
        <v>25.524999999999999</v>
      </c>
      <c r="Q108" s="158">
        <v>28.3</v>
      </c>
      <c r="R108" s="159">
        <f t="shared" si="10"/>
        <v>5</v>
      </c>
      <c r="T108" s="158">
        <v>205.33</v>
      </c>
      <c r="U108" s="158">
        <v>205.053</v>
      </c>
      <c r="V108" s="158">
        <v>33.302</v>
      </c>
      <c r="X108" s="158">
        <v>381.57100000000003</v>
      </c>
      <c r="Y108" s="158">
        <v>112.85299999999999</v>
      </c>
      <c r="AA108" s="158">
        <v>97.125</v>
      </c>
      <c r="AB108" s="158">
        <v>95.07</v>
      </c>
      <c r="AC108" s="160">
        <v>16.542999999999999</v>
      </c>
      <c r="AE108" s="158">
        <v>346.76799999999997</v>
      </c>
      <c r="AF108" s="158">
        <v>351.851</v>
      </c>
      <c r="AG108" s="158">
        <v>88.037000000000006</v>
      </c>
      <c r="AI108" s="158">
        <v>122.85</v>
      </c>
      <c r="AJ108" s="158">
        <v>123.00700000000001</v>
      </c>
      <c r="AK108" s="159">
        <f t="shared" si="11"/>
        <v>11.600000000000001</v>
      </c>
      <c r="AM108" s="159">
        <f t="shared" si="15"/>
        <v>172.9</v>
      </c>
      <c r="AN108" s="159">
        <f t="shared" ref="AN108" si="17">MROUND(FORECAST(AN107,AN54:AN107,AO54:AO107),0.1)</f>
        <v>160.60000000000002</v>
      </c>
      <c r="AO108" s="159">
        <f t="shared" si="13"/>
        <v>105.80000000000001</v>
      </c>
    </row>
    <row r="109" spans="1:41">
      <c r="A109" s="157">
        <v>45352</v>
      </c>
      <c r="B109" s="158">
        <v>109.828</v>
      </c>
      <c r="C109" s="158">
        <v>109.617</v>
      </c>
      <c r="D109" s="158">
        <v>6.484</v>
      </c>
      <c r="F109" s="158">
        <v>79.873999999999995</v>
      </c>
      <c r="G109" s="158">
        <v>17.190000000000001</v>
      </c>
      <c r="I109" s="158">
        <v>21.765999999999998</v>
      </c>
      <c r="J109" s="158">
        <v>22.300999999999998</v>
      </c>
      <c r="K109" s="159">
        <f t="shared" si="14"/>
        <v>9</v>
      </c>
      <c r="M109" s="158">
        <v>504.29</v>
      </c>
      <c r="N109" s="158">
        <v>52.463999999999999</v>
      </c>
      <c r="P109" s="158">
        <v>23.11</v>
      </c>
      <c r="Q109" s="158">
        <v>25.949000000000002</v>
      </c>
      <c r="R109" s="159">
        <f t="shared" si="10"/>
        <v>4.25</v>
      </c>
      <c r="T109" s="158">
        <v>170.81800000000001</v>
      </c>
      <c r="U109" s="158">
        <v>177.14099999999999</v>
      </c>
      <c r="V109" s="158">
        <v>27.029</v>
      </c>
      <c r="X109" s="158">
        <v>328.97</v>
      </c>
      <c r="Y109" s="158">
        <v>101.929</v>
      </c>
      <c r="AA109" s="158">
        <v>91.653999999999996</v>
      </c>
      <c r="AB109" s="158">
        <v>86.039000000000001</v>
      </c>
      <c r="AC109" s="160">
        <v>22.087</v>
      </c>
      <c r="AE109" s="158">
        <v>355.53100000000001</v>
      </c>
      <c r="AF109" s="158">
        <v>365.483</v>
      </c>
      <c r="AG109" s="158">
        <v>78.084999999999994</v>
      </c>
      <c r="AI109" s="158">
        <v>112.429</v>
      </c>
      <c r="AJ109" s="158">
        <v>113.149</v>
      </c>
      <c r="AK109" s="159">
        <f t="shared" ref="AK109:AK112" si="18">MROUND(FORECAST(AJ109,AK55:AK108,AJ55:AJ108),0.1)</f>
        <v>11.600000000000001</v>
      </c>
      <c r="AM109" s="159">
        <f t="shared" si="15"/>
        <v>175.20000000000002</v>
      </c>
      <c r="AN109" s="159">
        <f t="shared" ref="AN109" si="19">MROUND(FORECAST(AN108,AN55:AN108,AO55:AO108),0.1)</f>
        <v>159</v>
      </c>
      <c r="AO109" s="159">
        <f t="shared" si="13"/>
        <v>106.4</v>
      </c>
    </row>
    <row r="110" spans="1:41">
      <c r="A110" s="157">
        <v>45383</v>
      </c>
      <c r="B110" s="158">
        <v>97.825999999999993</v>
      </c>
      <c r="C110" s="158">
        <v>98.656000000000006</v>
      </c>
      <c r="D110" s="158">
        <v>5.694</v>
      </c>
      <c r="F110" s="158">
        <v>75.001000000000005</v>
      </c>
      <c r="G110" s="158">
        <v>16.138999999999999</v>
      </c>
      <c r="I110" s="158">
        <v>15.925000000000001</v>
      </c>
      <c r="J110" s="158">
        <v>19.04</v>
      </c>
      <c r="K110" s="159">
        <f t="shared" si="14"/>
        <v>8</v>
      </c>
      <c r="M110" s="158">
        <v>422.71699999999998</v>
      </c>
      <c r="N110" s="158">
        <v>54.433999999999997</v>
      </c>
      <c r="P110" s="158">
        <v>18.481999999999999</v>
      </c>
      <c r="Q110" s="158">
        <v>18.163</v>
      </c>
      <c r="R110" s="159">
        <f t="shared" si="10"/>
        <v>3</v>
      </c>
      <c r="T110" s="158">
        <v>161.21899999999999</v>
      </c>
      <c r="U110" s="158">
        <v>155.48400000000001</v>
      </c>
      <c r="V110" s="158">
        <v>32.648000000000003</v>
      </c>
      <c r="X110" s="158">
        <v>299.02800000000002</v>
      </c>
      <c r="Y110" s="158">
        <v>110.98699999999999</v>
      </c>
      <c r="AA110" s="158">
        <v>74.881</v>
      </c>
      <c r="AB110" s="158">
        <v>73.674999999999997</v>
      </c>
      <c r="AC110" s="160">
        <v>10.534000000000001</v>
      </c>
      <c r="AE110" s="158">
        <v>311.81099999999998</v>
      </c>
      <c r="AF110" s="158">
        <v>313.90600000000001</v>
      </c>
      <c r="AG110" s="158">
        <v>83.876000000000005</v>
      </c>
      <c r="AI110" s="158">
        <v>126.83799999999999</v>
      </c>
      <c r="AJ110" s="158">
        <v>121.68899999999999</v>
      </c>
      <c r="AK110" s="159">
        <f t="shared" si="18"/>
        <v>11.8</v>
      </c>
      <c r="AM110" s="159">
        <f>MROUND(FORECAST(AM109,AM56:AM109,AN56:AN109),0.1)</f>
        <v>176.4</v>
      </c>
      <c r="AN110" s="159">
        <f t="shared" ref="AN110" si="20">MROUND(FORECAST(AN109,AN56:AN109,AO56:AO109),0.1)</f>
        <v>158</v>
      </c>
      <c r="AO110" s="159">
        <f t="shared" si="13"/>
        <v>106.9</v>
      </c>
    </row>
    <row r="111" spans="1:41">
      <c r="A111" s="157">
        <v>45413</v>
      </c>
      <c r="B111" s="158">
        <v>90.384</v>
      </c>
      <c r="C111" s="158">
        <v>92.68</v>
      </c>
      <c r="D111" s="158">
        <v>13.428000000000001</v>
      </c>
      <c r="F111" s="158">
        <v>94.433000000000007</v>
      </c>
      <c r="G111" s="158">
        <v>20.352</v>
      </c>
      <c r="I111" s="158">
        <v>19.396999999999998</v>
      </c>
      <c r="J111" s="158">
        <v>19.957000000000001</v>
      </c>
      <c r="K111" s="159">
        <f t="shared" si="14"/>
        <v>9</v>
      </c>
      <c r="M111" s="158">
        <v>422.66199999999998</v>
      </c>
      <c r="N111" s="158">
        <v>51.106999999999999</v>
      </c>
      <c r="P111" s="158">
        <v>19.425000000000001</v>
      </c>
      <c r="Q111" s="158">
        <v>20.420999999999999</v>
      </c>
      <c r="R111" s="159">
        <f t="shared" si="10"/>
        <v>3.25</v>
      </c>
      <c r="T111" s="158">
        <v>196.41399999999999</v>
      </c>
      <c r="U111" s="158">
        <v>197.58699999999999</v>
      </c>
      <c r="V111" s="158">
        <v>31.475000000000001</v>
      </c>
      <c r="X111" s="158">
        <v>348.36599999999999</v>
      </c>
      <c r="Y111" s="158">
        <v>119.446</v>
      </c>
      <c r="AA111" s="158">
        <v>87.971000000000004</v>
      </c>
      <c r="AB111" s="158">
        <v>90.245999999999995</v>
      </c>
      <c r="AC111" s="160">
        <v>8.3089999999999993</v>
      </c>
      <c r="AE111" s="158">
        <v>324.94900000000001</v>
      </c>
      <c r="AF111" s="158">
        <v>317.89400000000001</v>
      </c>
      <c r="AG111" s="158">
        <v>85.343999999999994</v>
      </c>
      <c r="AI111" s="158">
        <v>134.303</v>
      </c>
      <c r="AJ111" s="158">
        <v>132.155</v>
      </c>
      <c r="AK111" s="158">
        <v>5.8940000000000001</v>
      </c>
      <c r="AM111" s="159">
        <f t="shared" si="15"/>
        <v>177.10000000000002</v>
      </c>
      <c r="AN111" s="159">
        <f t="shared" ref="AN111" si="21">MROUND(FORECAST(AN110,AN57:AN110,AO57:AO110),0.1)</f>
        <v>157.10000000000002</v>
      </c>
      <c r="AO111" s="159">
        <f t="shared" si="13"/>
        <v>107.10000000000001</v>
      </c>
    </row>
    <row r="112" spans="1:41">
      <c r="A112" s="157">
        <v>45444</v>
      </c>
      <c r="B112" s="158">
        <v>94.590999999999994</v>
      </c>
      <c r="C112" s="158">
        <v>94.600999999999999</v>
      </c>
      <c r="D112" s="158">
        <v>13.417</v>
      </c>
      <c r="F112" s="158">
        <v>83.992999999999995</v>
      </c>
      <c r="G112" s="158">
        <v>19.667999999999999</v>
      </c>
      <c r="I112" s="158">
        <v>14.893000000000001</v>
      </c>
      <c r="J112" s="158">
        <v>15.372999999999999</v>
      </c>
      <c r="K112" s="159">
        <f t="shared" si="14"/>
        <v>8</v>
      </c>
      <c r="M112" s="158">
        <v>407.52100000000002</v>
      </c>
      <c r="N112" s="158">
        <v>57.862000000000002</v>
      </c>
      <c r="P112" s="158">
        <v>16.463999999999999</v>
      </c>
      <c r="Q112" s="158">
        <v>17.734000000000002</v>
      </c>
      <c r="R112" s="159">
        <f t="shared" si="10"/>
        <v>3</v>
      </c>
      <c r="T112" s="158">
        <v>184.86199999999999</v>
      </c>
      <c r="U112" s="158">
        <v>186.22</v>
      </c>
      <c r="V112" s="158">
        <v>30.114000000000001</v>
      </c>
      <c r="X112" s="158">
        <v>341.57600000000002</v>
      </c>
      <c r="Y112" s="158">
        <v>117.596</v>
      </c>
      <c r="AA112" s="158">
        <v>71.135000000000005</v>
      </c>
      <c r="AB112" s="158">
        <v>70.334999999999994</v>
      </c>
      <c r="AC112" s="160">
        <v>9.3870000000000005</v>
      </c>
      <c r="AE112" s="158">
        <v>320.161</v>
      </c>
      <c r="AF112" s="158">
        <v>317.34699999999998</v>
      </c>
      <c r="AG112" s="159">
        <f>MROUND(FORECAST(AE112,AG50:AG111,AE50:AE111),1)</f>
        <v>97</v>
      </c>
      <c r="AI112" s="158">
        <v>125.98</v>
      </c>
      <c r="AJ112" s="158">
        <v>124.11799999999999</v>
      </c>
      <c r="AK112" s="159">
        <f t="shared" si="18"/>
        <v>11.5</v>
      </c>
      <c r="AM112" s="159">
        <f t="shared" ref="AM112:AM117" si="22">MROUND(FORECAST(AM111,AM3:AM111,AN3:AN111),0.1)</f>
        <v>177.3</v>
      </c>
      <c r="AN112" s="159">
        <f t="shared" ref="AN112" si="23">MROUND(FORECAST(AN111,AN58:AN111,AO58:AO111),0.1)</f>
        <v>156.10000000000002</v>
      </c>
      <c r="AO112" s="159">
        <f t="shared" ref="AO112:AO117" si="24">MROUND(FORECAST(AO111,AO3:AO111,AN3:AN111),0.1)</f>
        <v>95.4</v>
      </c>
    </row>
    <row r="113" spans="1:41">
      <c r="A113" s="157">
        <v>45474</v>
      </c>
      <c r="B113" s="158">
        <v>91.188000000000002</v>
      </c>
      <c r="C113" s="158">
        <v>91.328000000000003</v>
      </c>
      <c r="D113" s="158">
        <v>6.2389999999999999</v>
      </c>
      <c r="F113" s="158">
        <v>79.064999999999998</v>
      </c>
      <c r="G113" s="158">
        <v>20.558</v>
      </c>
      <c r="I113" s="158">
        <v>25.178000000000001</v>
      </c>
      <c r="J113" s="158">
        <v>21.407</v>
      </c>
      <c r="K113" s="158">
        <v>10.231</v>
      </c>
      <c r="M113" s="158">
        <v>393.51900000000001</v>
      </c>
      <c r="N113" s="158">
        <v>55.207000000000001</v>
      </c>
      <c r="P113" s="158">
        <v>16.617000000000001</v>
      </c>
      <c r="Q113" s="158">
        <v>17.766999999999999</v>
      </c>
      <c r="R113" s="159">
        <f t="shared" si="10"/>
        <v>2.75</v>
      </c>
      <c r="T113" s="158">
        <v>171.54599999999999</v>
      </c>
      <c r="U113" s="158">
        <v>165.05199999999999</v>
      </c>
      <c r="V113" s="158">
        <v>36.607999999999997</v>
      </c>
      <c r="X113" s="158">
        <v>296.69400000000002</v>
      </c>
      <c r="Y113" s="158">
        <v>113.70099999999999</v>
      </c>
      <c r="AA113" s="158">
        <v>88.626999999999995</v>
      </c>
      <c r="AB113" s="158">
        <v>89.241</v>
      </c>
      <c r="AC113" s="160">
        <v>10.196</v>
      </c>
      <c r="AE113" s="158">
        <v>304.03899999999999</v>
      </c>
      <c r="AF113" s="158">
        <v>305.49</v>
      </c>
      <c r="AG113" s="159">
        <f>MROUND(FORECAST(AE113,AG51:AG112,AE51:AE112),1)</f>
        <v>97</v>
      </c>
      <c r="AI113" s="158">
        <v>108.2</v>
      </c>
      <c r="AJ113" s="158">
        <v>108.398</v>
      </c>
      <c r="AK113" s="159">
        <f t="shared" ref="AK113:AK114" si="25">MROUND(FORECAST(AJ113,AK59:AK112,AJ59:AJ112),0.1)</f>
        <v>11.5</v>
      </c>
      <c r="AM113" s="159">
        <f t="shared" si="22"/>
        <v>177.5</v>
      </c>
      <c r="AN113" s="159">
        <f t="shared" ref="AN113" si="26">MROUND(FORECAST(AN112,AN59:AN112,AO59:AO112),0.1)</f>
        <v>156.4</v>
      </c>
      <c r="AO113" s="159">
        <f t="shared" si="24"/>
        <v>95.7</v>
      </c>
    </row>
    <row r="114" spans="1:41">
      <c r="A114" s="157">
        <v>45505</v>
      </c>
      <c r="B114" s="158">
        <v>109.625</v>
      </c>
      <c r="C114" s="158">
        <v>106.887</v>
      </c>
      <c r="D114" s="158">
        <v>8.9760000000000009</v>
      </c>
      <c r="F114" s="158">
        <v>97.272999999999996</v>
      </c>
      <c r="G114" s="158">
        <v>21.158999999999999</v>
      </c>
      <c r="I114" s="158">
        <v>23.866</v>
      </c>
      <c r="J114" s="158">
        <v>23.456</v>
      </c>
      <c r="K114" s="158">
        <v>10.529</v>
      </c>
      <c r="M114" s="158">
        <v>427.43200000000002</v>
      </c>
      <c r="N114" s="158">
        <v>57.228999999999999</v>
      </c>
      <c r="P114" s="158">
        <v>18.951000000000001</v>
      </c>
      <c r="Q114" s="158">
        <v>16.053999999999998</v>
      </c>
      <c r="R114" s="159">
        <f t="shared" si="10"/>
        <v>2.75</v>
      </c>
      <c r="T114" s="158">
        <v>213.26499999999999</v>
      </c>
      <c r="U114" s="158">
        <v>211.70099999999999</v>
      </c>
      <c r="V114" s="158">
        <v>38.171999999999997</v>
      </c>
      <c r="X114" s="158">
        <v>360.30200000000002</v>
      </c>
      <c r="Y114" s="158">
        <v>123.11</v>
      </c>
      <c r="AA114" s="158">
        <v>106.608</v>
      </c>
      <c r="AB114" s="158">
        <v>105.893</v>
      </c>
      <c r="AC114" s="160">
        <v>11.074999999999999</v>
      </c>
      <c r="AE114" s="158">
        <v>317.75599999999997</v>
      </c>
      <c r="AF114" s="158">
        <v>326.45400000000001</v>
      </c>
      <c r="AG114" s="159">
        <f>MROUND(FORECAST(AE114,AG52:AG113,AE52:AE113),1)</f>
        <v>98</v>
      </c>
      <c r="AI114" s="158">
        <v>122.937</v>
      </c>
      <c r="AJ114" s="158">
        <v>122.179</v>
      </c>
      <c r="AK114" s="159">
        <f t="shared" si="25"/>
        <v>11.5</v>
      </c>
      <c r="AM114" s="159">
        <f t="shared" si="22"/>
        <v>177.70000000000002</v>
      </c>
      <c r="AN114" s="159">
        <f t="shared" ref="AN114" si="27">MROUND(FORECAST(AN113,AN60:AN113,AO60:AO113),0.1)</f>
        <v>156.5</v>
      </c>
      <c r="AO114" s="159">
        <f t="shared" si="24"/>
        <v>95.800000000000011</v>
      </c>
    </row>
    <row r="115" spans="1:41">
      <c r="A115" s="157">
        <v>45536</v>
      </c>
      <c r="B115" s="158">
        <v>95.906999999999996</v>
      </c>
      <c r="C115" s="158">
        <v>95.787999999999997</v>
      </c>
      <c r="D115" s="158">
        <v>9.0950000000000006</v>
      </c>
      <c r="F115" s="158">
        <v>87.290999999999997</v>
      </c>
      <c r="G115" s="158">
        <v>19.391999999999999</v>
      </c>
      <c r="I115" s="158">
        <v>26.28</v>
      </c>
      <c r="J115" s="158">
        <v>28.661000000000001</v>
      </c>
      <c r="K115" s="158">
        <v>12.241</v>
      </c>
      <c r="M115" s="158">
        <v>451.65300000000002</v>
      </c>
      <c r="N115" s="158">
        <v>62.426000000000002</v>
      </c>
      <c r="P115" s="158">
        <v>19.693999999999999</v>
      </c>
      <c r="Q115" s="158">
        <v>19.248999999999999</v>
      </c>
      <c r="R115" s="159">
        <f t="shared" ref="R115:R124" si="28">MROUND(R109/Q109*Q115,0.25)</f>
        <v>3.25</v>
      </c>
      <c r="T115" s="158">
        <v>194.226</v>
      </c>
      <c r="U115" s="158">
        <v>195.85599999999999</v>
      </c>
      <c r="V115" s="158">
        <v>36.545999999999999</v>
      </c>
      <c r="X115" s="158">
        <v>347.625</v>
      </c>
      <c r="Y115" s="158">
        <v>123.959</v>
      </c>
      <c r="AA115" s="158">
        <v>112.52200000000001</v>
      </c>
      <c r="AB115" s="158">
        <v>102.309</v>
      </c>
      <c r="AC115" s="160">
        <v>21.853999999999999</v>
      </c>
      <c r="AE115" s="158">
        <v>333.82499999999999</v>
      </c>
      <c r="AF115" s="158">
        <v>342.06200000000001</v>
      </c>
      <c r="AG115" s="160">
        <v>69.722999999999999</v>
      </c>
      <c r="AI115" s="158">
        <v>124.006</v>
      </c>
      <c r="AJ115" s="158">
        <v>124.85299999999999</v>
      </c>
      <c r="AK115" s="159">
        <f t="shared" ref="AK115:AK124" si="29">MROUND(FORECAST(AJ115,AK61:AK114,AJ61:AJ114),0.1)</f>
        <v>11.4</v>
      </c>
      <c r="AM115" s="159">
        <f t="shared" si="22"/>
        <v>177.9</v>
      </c>
      <c r="AN115" s="159">
        <f t="shared" ref="AN115:AN124" si="30">MROUND(FORECAST(AN114,AN61:AN114,AO61:AO114),0.1)</f>
        <v>156.4</v>
      </c>
      <c r="AO115" s="159">
        <f t="shared" si="24"/>
        <v>96</v>
      </c>
    </row>
    <row r="116" spans="1:41">
      <c r="A116" s="157">
        <v>45566</v>
      </c>
      <c r="B116" s="158">
        <v>93.742000000000004</v>
      </c>
      <c r="C116" s="158">
        <v>91.988</v>
      </c>
      <c r="D116" s="158">
        <v>10.816000000000001</v>
      </c>
      <c r="F116" s="158">
        <v>87.793999999999997</v>
      </c>
      <c r="G116" s="158">
        <v>18.823</v>
      </c>
      <c r="I116" s="158">
        <v>21.03</v>
      </c>
      <c r="J116" s="158">
        <v>26.669</v>
      </c>
      <c r="K116" s="158">
        <v>6.6029999999999998</v>
      </c>
      <c r="M116" s="158">
        <v>435.97500000000002</v>
      </c>
      <c r="N116" s="158">
        <v>54.956000000000003</v>
      </c>
      <c r="P116" s="158">
        <v>18.853999999999999</v>
      </c>
      <c r="Q116" s="158">
        <v>16.684999999999999</v>
      </c>
      <c r="R116" s="159">
        <f t="shared" si="28"/>
        <v>2.75</v>
      </c>
      <c r="T116" s="158">
        <v>186.316</v>
      </c>
      <c r="U116" s="158">
        <v>183.375</v>
      </c>
      <c r="V116" s="158">
        <v>39.695999999999998</v>
      </c>
      <c r="X116" s="158">
        <v>332.15</v>
      </c>
      <c r="Y116" s="158">
        <v>106.117</v>
      </c>
      <c r="AA116" s="158">
        <v>75.180000000000007</v>
      </c>
      <c r="AB116" s="158">
        <v>79.754000000000005</v>
      </c>
      <c r="AC116" s="160">
        <v>15.598000000000001</v>
      </c>
      <c r="AE116" s="158">
        <v>322.94400000000002</v>
      </c>
      <c r="AF116" s="158">
        <v>317.57100000000003</v>
      </c>
      <c r="AG116" s="160">
        <v>75.096999999999994</v>
      </c>
      <c r="AI116" s="158">
        <v>131.279</v>
      </c>
      <c r="AJ116" s="158">
        <v>125.09</v>
      </c>
      <c r="AK116" s="159">
        <f t="shared" si="29"/>
        <v>11.4</v>
      </c>
      <c r="AM116" s="159">
        <f t="shared" si="22"/>
        <v>178.20000000000002</v>
      </c>
      <c r="AN116" s="159">
        <f t="shared" si="30"/>
        <v>157</v>
      </c>
      <c r="AO116" s="159">
        <f t="shared" si="24"/>
        <v>95.9</v>
      </c>
    </row>
    <row r="117" spans="1:41">
      <c r="A117" s="157">
        <v>45597</v>
      </c>
      <c r="B117" s="158">
        <v>117.111</v>
      </c>
      <c r="C117" s="158">
        <v>121.36</v>
      </c>
      <c r="D117" s="158">
        <v>6.5670000000000002</v>
      </c>
      <c r="F117" s="158">
        <v>96.25</v>
      </c>
      <c r="G117" s="158">
        <v>19.629000000000001</v>
      </c>
      <c r="I117" s="158">
        <v>21.856999999999999</v>
      </c>
      <c r="J117" s="158">
        <v>23.824999999999999</v>
      </c>
      <c r="K117" s="158">
        <v>4.4429999999999996</v>
      </c>
      <c r="M117" s="158">
        <v>440.702</v>
      </c>
      <c r="N117" s="158">
        <v>59.673999999999999</v>
      </c>
      <c r="P117" s="158">
        <v>21.753</v>
      </c>
      <c r="Q117" s="158">
        <v>20.876000000000001</v>
      </c>
      <c r="R117" s="159">
        <f t="shared" si="28"/>
        <v>3.25</v>
      </c>
      <c r="T117" s="158">
        <v>203.518</v>
      </c>
      <c r="U117" s="158">
        <v>209.43199999999999</v>
      </c>
      <c r="V117" s="158">
        <v>33.436</v>
      </c>
      <c r="X117" s="158">
        <v>353.53500000000003</v>
      </c>
      <c r="Y117" s="158">
        <v>106.831</v>
      </c>
      <c r="AA117" s="158">
        <v>80.481999999999999</v>
      </c>
      <c r="AB117" s="158">
        <v>83.44</v>
      </c>
      <c r="AC117" s="160">
        <v>14.349</v>
      </c>
      <c r="AE117" s="158">
        <v>319.43</v>
      </c>
      <c r="AF117" s="158">
        <v>323.709</v>
      </c>
      <c r="AG117" s="160">
        <v>70.817999999999998</v>
      </c>
      <c r="AI117" s="158">
        <v>134.648</v>
      </c>
      <c r="AJ117" s="158">
        <v>136.81800000000001</v>
      </c>
      <c r="AK117" s="159">
        <f t="shared" si="29"/>
        <v>11.200000000000001</v>
      </c>
      <c r="AM117" s="159">
        <f t="shared" si="22"/>
        <v>178.5</v>
      </c>
      <c r="AN117" s="159">
        <f t="shared" si="30"/>
        <v>156.30000000000001</v>
      </c>
      <c r="AO117" s="159">
        <f t="shared" si="24"/>
        <v>95.800000000000011</v>
      </c>
    </row>
    <row r="118" spans="1:41">
      <c r="A118" s="157">
        <v>45627</v>
      </c>
      <c r="B118" s="158">
        <v>101.498</v>
      </c>
      <c r="C118" s="158">
        <v>98.224000000000004</v>
      </c>
      <c r="D118" s="158">
        <v>9.84</v>
      </c>
      <c r="F118" s="158">
        <v>81.125</v>
      </c>
      <c r="G118" s="158">
        <v>18.082999999999998</v>
      </c>
      <c r="I118" s="158">
        <v>25.196000000000002</v>
      </c>
      <c r="J118" s="158">
        <v>22.49</v>
      </c>
      <c r="K118" s="158">
        <v>8.2149999999999999</v>
      </c>
      <c r="M118" s="158">
        <v>411.99799999999999</v>
      </c>
      <c r="N118" s="158">
        <v>59.045999999999999</v>
      </c>
      <c r="P118" s="158">
        <v>13.254</v>
      </c>
      <c r="Q118" s="158">
        <v>15.579000000000001</v>
      </c>
      <c r="R118" s="159">
        <f t="shared" si="28"/>
        <v>2.75</v>
      </c>
      <c r="T118" s="158">
        <v>176.75399999999999</v>
      </c>
      <c r="U118" s="158">
        <v>180.48699999999999</v>
      </c>
      <c r="V118" s="158">
        <v>29.704000000000001</v>
      </c>
      <c r="X118" s="158">
        <v>326.44400000000002</v>
      </c>
      <c r="Y118" s="158">
        <v>123.43</v>
      </c>
      <c r="AA118" s="158">
        <v>75.599999999999994</v>
      </c>
      <c r="AB118" s="158">
        <v>73.459000000000003</v>
      </c>
      <c r="AC118" s="160">
        <v>16.716999999999999</v>
      </c>
      <c r="AE118" s="158">
        <v>301.84300000000002</v>
      </c>
      <c r="AF118" s="158">
        <v>307.22500000000002</v>
      </c>
      <c r="AG118" s="160">
        <v>65.438000000000002</v>
      </c>
      <c r="AI118" s="158">
        <v>115.751</v>
      </c>
      <c r="AJ118" s="158">
        <v>118.33799999999999</v>
      </c>
      <c r="AK118" s="159">
        <f t="shared" si="29"/>
        <v>11.4</v>
      </c>
      <c r="AM118" s="159">
        <f t="shared" ref="AM118" si="31">MROUND(FORECAST(AM117,AM9:AM117,AN9:AN117),0.1)</f>
        <v>178.9</v>
      </c>
      <c r="AN118" s="159">
        <f t="shared" si="30"/>
        <v>150.70000000000002</v>
      </c>
      <c r="AO118" s="159">
        <f t="shared" ref="AO118" si="32">MROUND(FORECAST(AO117,AO9:AO117,AN9:AN117),0.1)</f>
        <v>96.600000000000009</v>
      </c>
    </row>
    <row r="119" spans="1:41">
      <c r="A119" s="157">
        <v>45658</v>
      </c>
      <c r="B119" s="158">
        <v>103.40300000000001</v>
      </c>
      <c r="C119" s="158">
        <v>102.953</v>
      </c>
      <c r="D119" s="158">
        <v>10.29</v>
      </c>
      <c r="F119" s="158">
        <v>80.724999999999994</v>
      </c>
      <c r="G119" s="158">
        <v>20.69</v>
      </c>
      <c r="I119" s="158">
        <v>24.149000000000001</v>
      </c>
      <c r="J119" s="158">
        <v>22.536000000000001</v>
      </c>
      <c r="K119" s="158">
        <v>9.7569999999999997</v>
      </c>
      <c r="M119" s="158">
        <v>387.68</v>
      </c>
      <c r="N119" s="158">
        <v>57.246000000000002</v>
      </c>
      <c r="P119" s="158">
        <v>20.134</v>
      </c>
      <c r="Q119" s="158">
        <v>20.783999999999999</v>
      </c>
      <c r="R119" s="159">
        <f t="shared" si="28"/>
        <v>3.25</v>
      </c>
      <c r="T119" s="158">
        <v>171.92599999999999</v>
      </c>
      <c r="U119" s="158">
        <v>164.60499999999999</v>
      </c>
      <c r="V119" s="158">
        <v>37.024999999999999</v>
      </c>
      <c r="X119" s="158">
        <v>325.56</v>
      </c>
      <c r="Y119" s="158">
        <v>122.80500000000001</v>
      </c>
      <c r="AA119" s="158">
        <v>71.268000000000001</v>
      </c>
      <c r="AB119" s="158">
        <v>77.323999999999998</v>
      </c>
      <c r="AC119" s="160">
        <v>10.662000000000001</v>
      </c>
      <c r="AE119" s="158">
        <v>302.23200000000003</v>
      </c>
      <c r="AF119" s="158">
        <v>287.14699999999999</v>
      </c>
      <c r="AG119" s="160">
        <v>80.522000000000006</v>
      </c>
      <c r="AI119" s="158">
        <v>115.26</v>
      </c>
      <c r="AJ119" s="158">
        <v>113.289</v>
      </c>
      <c r="AK119" s="159">
        <f t="shared" si="29"/>
        <v>11.5</v>
      </c>
      <c r="AM119" s="159">
        <f t="shared" ref="AM119" si="33">MROUND(FORECAST(AM118,AM10:AM118,AN10:AN118),0.1)</f>
        <v>179.3</v>
      </c>
      <c r="AN119" s="159">
        <f t="shared" si="30"/>
        <v>152</v>
      </c>
      <c r="AO119" s="159">
        <f t="shared" ref="AO119" si="34">MROUND(FORECAST(AO118,AO10:AO118,AN10:AN118),0.1)</f>
        <v>98</v>
      </c>
    </row>
    <row r="120" spans="1:41">
      <c r="A120" s="157">
        <v>45689</v>
      </c>
      <c r="B120" s="158">
        <v>108.755</v>
      </c>
      <c r="C120" s="158">
        <v>111.839</v>
      </c>
      <c r="D120" s="158">
        <v>7.2060000000000004</v>
      </c>
      <c r="F120" s="158">
        <v>98.066000000000003</v>
      </c>
      <c r="G120" s="158">
        <v>18.032</v>
      </c>
      <c r="I120" s="158">
        <v>27.024999999999999</v>
      </c>
      <c r="J120" s="158">
        <v>25.725000000000001</v>
      </c>
      <c r="K120" s="158">
        <v>10.066000000000001</v>
      </c>
      <c r="M120" s="158">
        <v>460.49</v>
      </c>
      <c r="N120" s="158">
        <v>50.045000000000002</v>
      </c>
      <c r="P120" s="158">
        <v>22.239000000000001</v>
      </c>
      <c r="Q120" s="158">
        <v>21.48</v>
      </c>
      <c r="R120" s="159">
        <f t="shared" si="28"/>
        <v>3.75</v>
      </c>
      <c r="T120" s="158">
        <v>202.18600000000001</v>
      </c>
      <c r="U120" s="158">
        <v>203.13300000000001</v>
      </c>
      <c r="V120" s="158">
        <v>36.078000000000003</v>
      </c>
      <c r="X120" s="158">
        <v>383.911</v>
      </c>
      <c r="Y120" s="158">
        <v>97.313000000000002</v>
      </c>
      <c r="AA120" s="158">
        <v>93.308999999999997</v>
      </c>
      <c r="AB120" s="158">
        <v>93.304000000000002</v>
      </c>
      <c r="AC120" s="160">
        <v>10.865</v>
      </c>
      <c r="AE120" s="158">
        <v>345.35599999999999</v>
      </c>
      <c r="AF120" s="158">
        <v>345.80399999999997</v>
      </c>
      <c r="AG120" s="160">
        <v>81.102000000000004</v>
      </c>
      <c r="AI120" s="158">
        <v>126.65</v>
      </c>
      <c r="AJ120" s="158">
        <v>125.19799999999999</v>
      </c>
      <c r="AK120" s="159">
        <f t="shared" si="29"/>
        <v>11.3</v>
      </c>
      <c r="AM120" s="159">
        <f t="shared" ref="AM120" si="35">MROUND(FORECAST(AM119,AM11:AM119,AN11:AN119),0.1)</f>
        <v>179.60000000000002</v>
      </c>
      <c r="AN120" s="159">
        <f t="shared" si="30"/>
        <v>150.6</v>
      </c>
      <c r="AO120" s="159">
        <f t="shared" ref="AO120" si="36">MROUND(FORECAST(AO119,AO11:AO119,AN11:AN119),0.1)</f>
        <v>98.2</v>
      </c>
    </row>
    <row r="121" spans="1:41">
      <c r="A121" s="157">
        <v>45717</v>
      </c>
      <c r="B121" s="158">
        <v>99.641000000000005</v>
      </c>
      <c r="C121" s="158">
        <v>101.94499999999999</v>
      </c>
      <c r="D121" s="158">
        <v>12.003</v>
      </c>
      <c r="F121" s="158">
        <v>85.317999999999998</v>
      </c>
      <c r="G121" s="158">
        <v>14.335000000000001</v>
      </c>
      <c r="I121" s="158">
        <v>21.193000000000001</v>
      </c>
      <c r="J121" s="158">
        <v>24.373000000000001</v>
      </c>
      <c r="K121" s="158">
        <v>10.066000000000001</v>
      </c>
      <c r="M121" s="158">
        <v>428.94200000000001</v>
      </c>
      <c r="N121" s="158">
        <v>50.064999999999998</v>
      </c>
      <c r="P121" s="158">
        <v>27.003</v>
      </c>
      <c r="Q121" s="158">
        <v>26.901</v>
      </c>
      <c r="R121" s="159">
        <f t="shared" si="28"/>
        <v>4.5</v>
      </c>
      <c r="T121" s="158">
        <v>171.93899999999999</v>
      </c>
      <c r="U121" s="158">
        <v>174.928</v>
      </c>
      <c r="V121" s="158">
        <v>33.088999999999999</v>
      </c>
      <c r="X121" s="158">
        <v>352.66800000000001</v>
      </c>
      <c r="Y121" s="158">
        <v>101.88800000000001</v>
      </c>
      <c r="AA121" s="158">
        <v>80.87</v>
      </c>
      <c r="AB121" s="158">
        <v>81.96</v>
      </c>
      <c r="AC121" s="160">
        <v>9.9009999999999998</v>
      </c>
      <c r="AE121" s="158">
        <v>337.73200000000003</v>
      </c>
      <c r="AF121" s="158">
        <v>336.27600000000001</v>
      </c>
      <c r="AG121" s="160">
        <v>81.102000000000004</v>
      </c>
      <c r="AI121" s="158">
        <v>126.38800000000001</v>
      </c>
      <c r="AJ121" s="158">
        <v>129.91800000000001</v>
      </c>
      <c r="AK121" s="159">
        <f t="shared" si="29"/>
        <v>11.100000000000001</v>
      </c>
      <c r="AM121" s="159">
        <f t="shared" ref="AM121" si="37">MROUND(FORECAST(AM120,AM12:AM120,AN12:AN120),0.1)</f>
        <v>180</v>
      </c>
      <c r="AN121" s="159">
        <f t="shared" si="30"/>
        <v>150.30000000000001</v>
      </c>
      <c r="AO121" s="159">
        <f t="shared" ref="AO121" si="38">MROUND(FORECAST(AO120,AO12:AO120,AN12:AN120),0.1)</f>
        <v>98.9</v>
      </c>
    </row>
    <row r="122" spans="1:41">
      <c r="A122" s="157">
        <v>45748</v>
      </c>
      <c r="B122" s="158">
        <v>104.584</v>
      </c>
      <c r="C122" s="158">
        <v>105.542</v>
      </c>
      <c r="D122" s="158">
        <v>6.8179999999999996</v>
      </c>
      <c r="F122" s="158">
        <v>79.44</v>
      </c>
      <c r="G122" s="158">
        <v>18.234999999999999</v>
      </c>
      <c r="I122" s="158">
        <v>23.692</v>
      </c>
      <c r="J122" s="158">
        <v>24.044</v>
      </c>
      <c r="K122" s="158">
        <v>13.584</v>
      </c>
      <c r="M122" s="158">
        <v>397.75200000000001</v>
      </c>
      <c r="N122" s="158">
        <v>47.453000000000003</v>
      </c>
      <c r="P122" s="158">
        <v>17.149999999999999</v>
      </c>
      <c r="Q122" s="158">
        <v>19.951000000000001</v>
      </c>
      <c r="R122" s="159">
        <f t="shared" si="28"/>
        <v>3.25</v>
      </c>
      <c r="T122" s="158">
        <v>160.60900000000001</v>
      </c>
      <c r="U122" s="158">
        <v>156.52799999999999</v>
      </c>
      <c r="V122" s="158">
        <v>37.015999999999998</v>
      </c>
      <c r="X122" s="158">
        <v>310.86700000000002</v>
      </c>
      <c r="Y122" s="158">
        <v>107.098</v>
      </c>
      <c r="AA122" s="158">
        <v>88.295000000000002</v>
      </c>
      <c r="AB122" s="158">
        <v>88.703000000000003</v>
      </c>
      <c r="AC122" s="160">
        <v>9.7970000000000006</v>
      </c>
      <c r="AE122" s="158">
        <v>311.92700000000002</v>
      </c>
      <c r="AF122" s="158">
        <v>325.87900000000002</v>
      </c>
      <c r="AG122" s="160">
        <v>67.792000000000002</v>
      </c>
      <c r="AI122" s="158">
        <v>116.221</v>
      </c>
      <c r="AJ122" s="158">
        <v>117.19499999999999</v>
      </c>
      <c r="AK122" s="159">
        <f t="shared" si="29"/>
        <v>11.4</v>
      </c>
      <c r="AM122" s="159">
        <f t="shared" ref="AM122" si="39">MROUND(FORECAST(AM121,AM13:AM121,AN13:AN121),0.1)</f>
        <v>180.3</v>
      </c>
      <c r="AN122" s="159">
        <f t="shared" si="30"/>
        <v>150.1</v>
      </c>
      <c r="AO122" s="159">
        <f t="shared" ref="AO122" si="40">MROUND(FORECAST(AO121,AO13:AO121,AN13:AN121),0.1)</f>
        <v>99.7</v>
      </c>
    </row>
    <row r="123" spans="1:41">
      <c r="A123" s="157">
        <v>45778</v>
      </c>
      <c r="B123" s="158">
        <v>107.514</v>
      </c>
      <c r="C123" s="158">
        <v>106.545</v>
      </c>
      <c r="D123" s="158">
        <v>7.7869999999999999</v>
      </c>
      <c r="F123" s="158">
        <v>94.869</v>
      </c>
      <c r="G123" s="158">
        <v>19.393999999999998</v>
      </c>
      <c r="I123" s="158">
        <v>25.183</v>
      </c>
      <c r="J123" s="158">
        <v>27.928000000000001</v>
      </c>
      <c r="K123" s="158">
        <v>14.052</v>
      </c>
      <c r="M123" s="158">
        <v>419.19099999999997</v>
      </c>
      <c r="N123" s="158">
        <v>47.459000000000003</v>
      </c>
      <c r="P123" s="158">
        <v>17.847000000000001</v>
      </c>
      <c r="Q123" s="158">
        <v>16.329999999999998</v>
      </c>
      <c r="R123" s="159">
        <f t="shared" si="28"/>
        <v>2.5</v>
      </c>
      <c r="T123" s="158">
        <v>193.27799999999999</v>
      </c>
      <c r="U123" s="158">
        <v>191.352</v>
      </c>
      <c r="V123" s="158">
        <v>38.941000000000003</v>
      </c>
      <c r="X123" s="158">
        <v>360.08800000000002</v>
      </c>
      <c r="Y123" s="158">
        <v>110.682</v>
      </c>
      <c r="AA123" s="158">
        <v>95.37</v>
      </c>
      <c r="AB123" s="158">
        <v>93.623000000000005</v>
      </c>
      <c r="AC123" s="159">
        <v>11.667999999999999</v>
      </c>
      <c r="AE123" s="158">
        <v>322.82499999999999</v>
      </c>
      <c r="AF123" s="158">
        <v>309.399</v>
      </c>
      <c r="AI123" s="158">
        <v>122.167</v>
      </c>
      <c r="AJ123" s="158">
        <v>121.654</v>
      </c>
      <c r="AK123" s="159">
        <f t="shared" si="29"/>
        <v>11.3</v>
      </c>
      <c r="AM123" s="159">
        <f t="shared" ref="AM123" si="41">MROUND(FORECAST(AM122,AM14:AM122,AN14:AN122),0.1)</f>
        <v>180.4</v>
      </c>
      <c r="AN123" s="159">
        <f t="shared" si="30"/>
        <v>151</v>
      </c>
      <c r="AO123" s="159">
        <f t="shared" ref="AO123" si="42">MROUND(FORECAST(AO122,AO14:AO122,AN14:AN122),0.1)</f>
        <v>99.9</v>
      </c>
    </row>
    <row r="124" spans="1:41">
      <c r="A124" s="157">
        <v>45809</v>
      </c>
      <c r="B124" s="158">
        <v>98.501000000000005</v>
      </c>
      <c r="C124" s="158">
        <v>97.391000000000005</v>
      </c>
      <c r="D124" s="158">
        <v>8.8970000000000002</v>
      </c>
      <c r="F124" s="158">
        <v>85.679000000000002</v>
      </c>
      <c r="G124" s="158">
        <v>20.463999999999999</v>
      </c>
      <c r="I124" s="158">
        <v>21.265999999999998</v>
      </c>
      <c r="J124" s="158">
        <v>29.231999999999999</v>
      </c>
      <c r="K124" s="158">
        <v>13.331</v>
      </c>
      <c r="M124" s="158">
        <v>409.33300000000003</v>
      </c>
      <c r="N124" s="158">
        <v>45.695999999999998</v>
      </c>
      <c r="P124" s="158">
        <v>22.021999999999998</v>
      </c>
      <c r="Q124" s="158">
        <v>20.190999999999999</v>
      </c>
      <c r="R124" s="159">
        <f t="shared" si="28"/>
        <v>3.5</v>
      </c>
      <c r="T124" s="158">
        <v>182.89400000000001</v>
      </c>
      <c r="U124" s="158">
        <v>185.29499999999999</v>
      </c>
      <c r="V124" s="158">
        <v>36.540999999999997</v>
      </c>
      <c r="X124" s="158">
        <v>350.53300000000002</v>
      </c>
      <c r="Y124" s="158">
        <v>114.02800000000001</v>
      </c>
      <c r="AA124" s="158">
        <v>92.912000000000006</v>
      </c>
      <c r="AB124" s="158">
        <v>89.338999999999999</v>
      </c>
      <c r="AC124" s="159">
        <v>15.420999999999999</v>
      </c>
      <c r="AE124" s="158">
        <v>313.77300000000002</v>
      </c>
      <c r="AF124" s="158">
        <v>328.82100000000003</v>
      </c>
      <c r="AI124" s="158">
        <v>110.343</v>
      </c>
      <c r="AJ124" s="158">
        <v>111.27</v>
      </c>
      <c r="AK124" s="159">
        <f t="shared" si="29"/>
        <v>11.5</v>
      </c>
      <c r="AM124" s="159">
        <f t="shared" ref="AM124" si="43">MROUND(FORECAST(AM123,AM15:AM123,AN15:AN123),0.1)</f>
        <v>180.60000000000002</v>
      </c>
      <c r="AN124" s="159">
        <f t="shared" si="30"/>
        <v>149.6</v>
      </c>
      <c r="AO124" s="159">
        <f t="shared" ref="AO124" si="44">MROUND(FORECAST(AO123,AO15:AO123,AN15:AN123),0.1)</f>
        <v>100.2</v>
      </c>
    </row>
    <row r="125" spans="1:41">
      <c r="A125" s="157">
        <v>45839</v>
      </c>
      <c r="R125" s="159"/>
      <c r="AC125" s="159"/>
      <c r="AK125" s="159"/>
    </row>
    <row r="126" spans="1:41">
      <c r="A126" s="161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  <c r="AM126" s="162"/>
      <c r="AN126" s="162"/>
      <c r="AO126" s="162"/>
    </row>
    <row r="127" spans="1:41" hidden="1">
      <c r="A127" s="157">
        <f t="shared" ref="A127:A165" si="45">A80</f>
        <v>44470</v>
      </c>
      <c r="B127" s="158">
        <f t="shared" ref="B127:D148" si="46">B80-B167</f>
        <v>0</v>
      </c>
      <c r="C127" s="158">
        <f t="shared" si="46"/>
        <v>0</v>
      </c>
      <c r="D127" s="158">
        <f t="shared" si="46"/>
        <v>0</v>
      </c>
      <c r="F127" s="158">
        <f t="shared" ref="F127:G148" si="47">F80-F167</f>
        <v>3.5930000000000035</v>
      </c>
      <c r="G127" s="158">
        <f t="shared" si="47"/>
        <v>2.2489999999999988</v>
      </c>
      <c r="I127" s="158">
        <f t="shared" ref="I127:K148" si="48">I80-I167</f>
        <v>0</v>
      </c>
      <c r="J127" s="158">
        <f t="shared" si="48"/>
        <v>0</v>
      </c>
      <c r="K127" s="158">
        <f t="shared" si="48"/>
        <v>0</v>
      </c>
      <c r="M127" s="158">
        <f t="shared" ref="M127:N148" si="49">M80-M167</f>
        <v>-1.2999999999976808E-2</v>
      </c>
      <c r="N127" s="158">
        <f t="shared" si="49"/>
        <v>-0.43600000000000705</v>
      </c>
      <c r="P127" s="158">
        <f t="shared" ref="P127:R148" si="50">P80-P167</f>
        <v>0</v>
      </c>
      <c r="Q127" s="158">
        <f t="shared" si="50"/>
        <v>0</v>
      </c>
      <c r="R127" s="158">
        <f t="shared" si="50"/>
        <v>-0.18998146584084008</v>
      </c>
      <c r="T127" s="158">
        <f t="shared" ref="T127:V148" si="51">T80-T167</f>
        <v>1.6779999999999973</v>
      </c>
      <c r="U127" s="158">
        <f t="shared" si="51"/>
        <v>4.2870000000000061</v>
      </c>
      <c r="V127" s="158">
        <f t="shared" si="51"/>
        <v>-2.6089999999999947</v>
      </c>
      <c r="X127" s="158">
        <f t="shared" ref="X127:Y148" si="52">X80-X167</f>
        <v>2.1370000000000005</v>
      </c>
      <c r="Y127" s="158">
        <f t="shared" si="52"/>
        <v>-0.56999999999999318</v>
      </c>
      <c r="AA127" s="158">
        <f t="shared" ref="AA127:AC148" si="53">AA80-AA167</f>
        <v>0</v>
      </c>
      <c r="AB127" s="158">
        <f t="shared" si="53"/>
        <v>0</v>
      </c>
      <c r="AC127" s="158">
        <f t="shared" si="53"/>
        <v>0</v>
      </c>
      <c r="AE127" s="158">
        <f t="shared" ref="AE127:AG148" si="54">AE80-AE167</f>
        <v>0</v>
      </c>
      <c r="AF127" s="158">
        <f t="shared" si="54"/>
        <v>0</v>
      </c>
      <c r="AG127" s="158">
        <f t="shared" si="54"/>
        <v>0</v>
      </c>
      <c r="AI127" s="158">
        <f t="shared" ref="AI127:AK148" si="55">AI80-AI167</f>
        <v>0</v>
      </c>
      <c r="AJ127" s="158">
        <f t="shared" si="55"/>
        <v>0</v>
      </c>
      <c r="AK127" s="158">
        <f t="shared" si="55"/>
        <v>0</v>
      </c>
      <c r="AM127" s="158">
        <f t="shared" ref="AM127:AO148" si="56">AM80-AM167</f>
        <v>0.55100000000001614</v>
      </c>
      <c r="AN127" s="158">
        <f t="shared" si="56"/>
        <v>0.10200000000000387</v>
      </c>
      <c r="AO127" s="158">
        <f t="shared" si="56"/>
        <v>0.46799999999998931</v>
      </c>
    </row>
    <row r="128" spans="1:41" hidden="1">
      <c r="A128" s="157">
        <f t="shared" si="45"/>
        <v>44501</v>
      </c>
      <c r="B128" s="158">
        <f t="shared" si="46"/>
        <v>0</v>
      </c>
      <c r="C128" s="158">
        <f t="shared" si="46"/>
        <v>0</v>
      </c>
      <c r="D128" s="158">
        <f t="shared" si="46"/>
        <v>0</v>
      </c>
      <c r="F128" s="158">
        <f t="shared" si="47"/>
        <v>0</v>
      </c>
      <c r="G128" s="158">
        <f t="shared" si="47"/>
        <v>0</v>
      </c>
      <c r="I128" s="158">
        <f t="shared" si="48"/>
        <v>0</v>
      </c>
      <c r="J128" s="158">
        <f t="shared" si="48"/>
        <v>0</v>
      </c>
      <c r="K128" s="158">
        <f t="shared" si="48"/>
        <v>0</v>
      </c>
      <c r="M128" s="158">
        <f t="shared" si="49"/>
        <v>0</v>
      </c>
      <c r="N128" s="158">
        <f t="shared" si="49"/>
        <v>0</v>
      </c>
      <c r="P128" s="158">
        <f t="shared" si="50"/>
        <v>0</v>
      </c>
      <c r="Q128" s="158">
        <f t="shared" si="50"/>
        <v>0</v>
      </c>
      <c r="R128" s="158">
        <f t="shared" si="50"/>
        <v>-9.7683323948948519E-2</v>
      </c>
      <c r="T128" s="158">
        <f t="shared" si="51"/>
        <v>0</v>
      </c>
      <c r="U128" s="158">
        <f t="shared" si="51"/>
        <v>0</v>
      </c>
      <c r="V128" s="158">
        <f t="shared" si="51"/>
        <v>0</v>
      </c>
      <c r="X128" s="158">
        <f t="shared" si="52"/>
        <v>0</v>
      </c>
      <c r="Y128" s="158">
        <f t="shared" si="52"/>
        <v>0</v>
      </c>
      <c r="AA128" s="158">
        <f t="shared" si="53"/>
        <v>0</v>
      </c>
      <c r="AB128" s="158">
        <f t="shared" si="53"/>
        <v>0</v>
      </c>
      <c r="AC128" s="158">
        <f t="shared" si="53"/>
        <v>0</v>
      </c>
      <c r="AE128" s="158">
        <f t="shared" si="54"/>
        <v>0</v>
      </c>
      <c r="AF128" s="158">
        <f t="shared" si="54"/>
        <v>0</v>
      </c>
      <c r="AG128" s="158">
        <f t="shared" si="54"/>
        <v>0</v>
      </c>
      <c r="AI128" s="158">
        <f t="shared" si="55"/>
        <v>0</v>
      </c>
      <c r="AJ128" s="158">
        <f t="shared" si="55"/>
        <v>0</v>
      </c>
      <c r="AK128" s="158">
        <f t="shared" si="55"/>
        <v>0</v>
      </c>
      <c r="AM128" s="158">
        <f t="shared" si="56"/>
        <v>0</v>
      </c>
      <c r="AN128" s="158">
        <f t="shared" si="56"/>
        <v>0</v>
      </c>
      <c r="AO128" s="158">
        <f t="shared" si="56"/>
        <v>0</v>
      </c>
    </row>
    <row r="129" spans="1:41" hidden="1">
      <c r="A129" s="157">
        <f t="shared" si="45"/>
        <v>44531</v>
      </c>
      <c r="B129" s="158">
        <f t="shared" si="46"/>
        <v>0</v>
      </c>
      <c r="C129" s="158">
        <f t="shared" si="46"/>
        <v>0</v>
      </c>
      <c r="D129" s="158">
        <f t="shared" si="46"/>
        <v>0</v>
      </c>
      <c r="F129" s="158">
        <f t="shared" si="47"/>
        <v>0</v>
      </c>
      <c r="G129" s="158">
        <f t="shared" si="47"/>
        <v>0</v>
      </c>
      <c r="I129" s="158">
        <f t="shared" si="48"/>
        <v>0</v>
      </c>
      <c r="J129" s="158">
        <f t="shared" si="48"/>
        <v>0</v>
      </c>
      <c r="K129" s="158">
        <f t="shared" si="48"/>
        <v>0</v>
      </c>
      <c r="M129" s="158">
        <f t="shared" si="49"/>
        <v>0</v>
      </c>
      <c r="N129" s="158">
        <f t="shared" si="49"/>
        <v>0</v>
      </c>
      <c r="P129" s="158">
        <f t="shared" si="50"/>
        <v>0</v>
      </c>
      <c r="Q129" s="158">
        <f t="shared" si="50"/>
        <v>0</v>
      </c>
      <c r="R129" s="158">
        <f t="shared" si="50"/>
        <v>-1.4038522897897643E-2</v>
      </c>
      <c r="T129" s="158">
        <f t="shared" si="51"/>
        <v>0</v>
      </c>
      <c r="U129" s="158">
        <f t="shared" si="51"/>
        <v>0</v>
      </c>
      <c r="V129" s="158">
        <f t="shared" si="51"/>
        <v>0</v>
      </c>
      <c r="X129" s="158">
        <f t="shared" si="52"/>
        <v>0</v>
      </c>
      <c r="Y129" s="158">
        <f t="shared" si="52"/>
        <v>0</v>
      </c>
      <c r="AA129" s="158">
        <f t="shared" si="53"/>
        <v>0</v>
      </c>
      <c r="AB129" s="158">
        <f t="shared" si="53"/>
        <v>0</v>
      </c>
      <c r="AC129" s="158">
        <f t="shared" si="53"/>
        <v>0</v>
      </c>
      <c r="AE129" s="158">
        <f t="shared" si="54"/>
        <v>0</v>
      </c>
      <c r="AF129" s="158">
        <f t="shared" si="54"/>
        <v>0</v>
      </c>
      <c r="AG129" s="158">
        <f t="shared" si="54"/>
        <v>0</v>
      </c>
      <c r="AI129" s="158">
        <f t="shared" si="55"/>
        <v>0</v>
      </c>
      <c r="AJ129" s="158">
        <f t="shared" si="55"/>
        <v>0</v>
      </c>
      <c r="AK129" s="158">
        <f t="shared" si="55"/>
        <v>0</v>
      </c>
      <c r="AM129" s="158">
        <f t="shared" si="56"/>
        <v>0</v>
      </c>
      <c r="AN129" s="158">
        <f t="shared" si="56"/>
        <v>0</v>
      </c>
      <c r="AO129" s="158">
        <f t="shared" si="56"/>
        <v>0</v>
      </c>
    </row>
    <row r="130" spans="1:41" hidden="1">
      <c r="A130" s="157">
        <f t="shared" si="45"/>
        <v>44562</v>
      </c>
      <c r="B130" s="158">
        <f t="shared" si="46"/>
        <v>0</v>
      </c>
      <c r="C130" s="158">
        <f t="shared" si="46"/>
        <v>0</v>
      </c>
      <c r="D130" s="158">
        <f t="shared" si="46"/>
        <v>0</v>
      </c>
      <c r="F130" s="158">
        <f t="shared" si="47"/>
        <v>8.2169999999999987</v>
      </c>
      <c r="G130" s="158">
        <f t="shared" si="47"/>
        <v>0.54499999999999993</v>
      </c>
      <c r="I130" s="158">
        <f t="shared" si="48"/>
        <v>0</v>
      </c>
      <c r="J130" s="158">
        <f t="shared" si="48"/>
        <v>0</v>
      </c>
      <c r="K130" s="158">
        <f t="shared" si="48"/>
        <v>0</v>
      </c>
      <c r="M130" s="158">
        <f t="shared" si="49"/>
        <v>0.20400000000000773</v>
      </c>
      <c r="N130" s="158">
        <f t="shared" si="49"/>
        <v>26.954000000000001</v>
      </c>
      <c r="P130" s="158">
        <f t="shared" si="50"/>
        <v>0</v>
      </c>
      <c r="Q130" s="158">
        <f t="shared" si="50"/>
        <v>0</v>
      </c>
      <c r="R130" s="158">
        <f t="shared" si="50"/>
        <v>4.7349380630636873E-3</v>
      </c>
      <c r="T130" s="158">
        <f t="shared" si="51"/>
        <v>-4.9809999999999945</v>
      </c>
      <c r="U130" s="158">
        <f t="shared" si="51"/>
        <v>-5.1839999999999975</v>
      </c>
      <c r="V130" s="158">
        <f t="shared" si="51"/>
        <v>0.20300000000000296</v>
      </c>
      <c r="X130" s="158">
        <f t="shared" si="52"/>
        <v>3.9830000000000041</v>
      </c>
      <c r="Y130" s="158">
        <f t="shared" si="52"/>
        <v>1.7139999999999986</v>
      </c>
      <c r="AA130" s="158">
        <f t="shared" si="53"/>
        <v>0</v>
      </c>
      <c r="AB130" s="158">
        <f t="shared" si="53"/>
        <v>0</v>
      </c>
      <c r="AC130" s="158">
        <f t="shared" si="53"/>
        <v>0</v>
      </c>
      <c r="AE130" s="158">
        <f t="shared" si="54"/>
        <v>0</v>
      </c>
      <c r="AF130" s="158">
        <f t="shared" si="54"/>
        <v>0</v>
      </c>
      <c r="AG130" s="158">
        <f t="shared" si="54"/>
        <v>0</v>
      </c>
      <c r="AI130" s="158">
        <f t="shared" si="55"/>
        <v>0</v>
      </c>
      <c r="AJ130" s="158">
        <f t="shared" si="55"/>
        <v>0</v>
      </c>
      <c r="AK130" s="158">
        <f t="shared" si="55"/>
        <v>0</v>
      </c>
      <c r="AM130" s="158">
        <f t="shared" si="56"/>
        <v>7.4999999999988631E-2</v>
      </c>
      <c r="AN130" s="158">
        <f t="shared" si="56"/>
        <v>-1.6999999999995907E-2</v>
      </c>
      <c r="AO130" s="158">
        <f t="shared" si="56"/>
        <v>9.1999999999998749E-2</v>
      </c>
    </row>
    <row r="131" spans="1:41" hidden="1">
      <c r="A131" s="157">
        <f t="shared" si="45"/>
        <v>44593</v>
      </c>
      <c r="B131" s="158">
        <f t="shared" si="46"/>
        <v>0</v>
      </c>
      <c r="C131" s="158">
        <f t="shared" si="46"/>
        <v>0</v>
      </c>
      <c r="D131" s="158">
        <f t="shared" si="46"/>
        <v>0</v>
      </c>
      <c r="F131" s="158">
        <f t="shared" si="47"/>
        <v>8.527000000000001</v>
      </c>
      <c r="G131" s="158">
        <f t="shared" si="47"/>
        <v>0.32600000000000051</v>
      </c>
      <c r="I131" s="158">
        <f t="shared" si="48"/>
        <v>-0.5</v>
      </c>
      <c r="J131" s="158">
        <f t="shared" si="48"/>
        <v>5.7609999999999992</v>
      </c>
      <c r="K131" s="158">
        <f t="shared" si="48"/>
        <v>-3.4660000000000011</v>
      </c>
      <c r="M131" s="158">
        <f t="shared" si="49"/>
        <v>10.906999999999982</v>
      </c>
      <c r="N131" s="158">
        <f t="shared" si="49"/>
        <v>-5.840999999999994</v>
      </c>
      <c r="P131" s="158">
        <f t="shared" si="50"/>
        <v>0</v>
      </c>
      <c r="Q131" s="158">
        <f t="shared" si="50"/>
        <v>0</v>
      </c>
      <c r="R131" s="158">
        <f t="shared" si="50"/>
        <v>0.24031686373873917</v>
      </c>
      <c r="T131" s="158">
        <f t="shared" si="51"/>
        <v>0.12199999999998568</v>
      </c>
      <c r="U131" s="158">
        <f t="shared" si="51"/>
        <v>-2.1129999999999995</v>
      </c>
      <c r="V131" s="158">
        <f t="shared" si="51"/>
        <v>2.2349999999999994</v>
      </c>
      <c r="X131" s="158">
        <f t="shared" si="52"/>
        <v>-27.927999999999997</v>
      </c>
      <c r="Y131" s="158">
        <f t="shared" si="52"/>
        <v>-1.3400000000000034</v>
      </c>
      <c r="AA131" s="158">
        <f t="shared" si="53"/>
        <v>-11.277000000000001</v>
      </c>
      <c r="AB131" s="158">
        <f t="shared" si="53"/>
        <v>-15.762</v>
      </c>
      <c r="AC131" s="158">
        <f t="shared" si="53"/>
        <v>2</v>
      </c>
      <c r="AE131" s="158">
        <f t="shared" si="54"/>
        <v>7.5729999999999791</v>
      </c>
      <c r="AF131" s="158">
        <f t="shared" si="54"/>
        <v>0.22399999999998954</v>
      </c>
      <c r="AG131" s="158">
        <f t="shared" si="54"/>
        <v>0</v>
      </c>
      <c r="AI131" s="158">
        <f t="shared" si="55"/>
        <v>0</v>
      </c>
      <c r="AJ131" s="158">
        <f t="shared" si="55"/>
        <v>0</v>
      </c>
      <c r="AK131" s="158">
        <f t="shared" si="55"/>
        <v>0</v>
      </c>
      <c r="AM131" s="158">
        <f t="shared" si="56"/>
        <v>3.299999999998704E-2</v>
      </c>
      <c r="AN131" s="158">
        <f t="shared" si="56"/>
        <v>1.3449999999999989</v>
      </c>
      <c r="AO131" s="158">
        <f t="shared" si="56"/>
        <v>-1.3119999999999976</v>
      </c>
    </row>
    <row r="132" spans="1:41" hidden="1">
      <c r="A132" s="157">
        <f t="shared" si="45"/>
        <v>44621</v>
      </c>
      <c r="B132" s="158">
        <f t="shared" si="46"/>
        <v>0</v>
      </c>
      <c r="C132" s="158">
        <f t="shared" si="46"/>
        <v>0</v>
      </c>
      <c r="D132" s="158">
        <f t="shared" si="46"/>
        <v>0</v>
      </c>
      <c r="F132" s="158">
        <f t="shared" si="47"/>
        <v>0</v>
      </c>
      <c r="G132" s="158">
        <f t="shared" si="47"/>
        <v>0</v>
      </c>
      <c r="I132" s="158">
        <f t="shared" si="48"/>
        <v>0</v>
      </c>
      <c r="J132" s="158">
        <f t="shared" si="48"/>
        <v>0</v>
      </c>
      <c r="K132" s="158">
        <f t="shared" si="48"/>
        <v>0</v>
      </c>
      <c r="M132" s="158">
        <f t="shared" si="49"/>
        <v>0</v>
      </c>
      <c r="N132" s="158">
        <f t="shared" si="49"/>
        <v>0</v>
      </c>
      <c r="P132" s="158">
        <f t="shared" si="50"/>
        <v>0</v>
      </c>
      <c r="Q132" s="158">
        <f t="shared" si="50"/>
        <v>0</v>
      </c>
      <c r="R132" s="158">
        <f t="shared" si="50"/>
        <v>-9.1257366741741563E-2</v>
      </c>
      <c r="T132" s="158">
        <f t="shared" si="51"/>
        <v>0</v>
      </c>
      <c r="U132" s="158">
        <f t="shared" si="51"/>
        <v>0</v>
      </c>
      <c r="V132" s="158">
        <f t="shared" si="51"/>
        <v>0</v>
      </c>
      <c r="X132" s="158">
        <f t="shared" si="52"/>
        <v>0</v>
      </c>
      <c r="Y132" s="158">
        <f t="shared" si="52"/>
        <v>0</v>
      </c>
      <c r="AA132" s="158">
        <f t="shared" si="53"/>
        <v>-0.93200000000000216</v>
      </c>
      <c r="AB132" s="158">
        <f t="shared" si="53"/>
        <v>-0.93199999999998795</v>
      </c>
      <c r="AC132" s="158">
        <f t="shared" si="53"/>
        <v>0</v>
      </c>
      <c r="AE132" s="158">
        <f t="shared" si="54"/>
        <v>20.258999999999958</v>
      </c>
      <c r="AF132" s="158">
        <f t="shared" si="54"/>
        <v>20.258999999999958</v>
      </c>
      <c r="AG132" s="158">
        <f t="shared" si="54"/>
        <v>0</v>
      </c>
      <c r="AI132" s="158">
        <f t="shared" si="55"/>
        <v>17.050000000000011</v>
      </c>
      <c r="AJ132" s="158">
        <f t="shared" si="55"/>
        <v>17.049999999999997</v>
      </c>
      <c r="AK132" s="158">
        <f t="shared" si="55"/>
        <v>0.10000000000000142</v>
      </c>
      <c r="AM132" s="158">
        <f t="shared" si="56"/>
        <v>0</v>
      </c>
      <c r="AN132" s="158">
        <f t="shared" si="56"/>
        <v>0</v>
      </c>
      <c r="AO132" s="158">
        <f t="shared" si="56"/>
        <v>0</v>
      </c>
    </row>
    <row r="133" spans="1:41" hidden="1">
      <c r="A133" s="157">
        <f t="shared" si="45"/>
        <v>44652</v>
      </c>
      <c r="B133" s="158">
        <f t="shared" si="46"/>
        <v>5.8539999999999992</v>
      </c>
      <c r="C133" s="158">
        <f t="shared" si="46"/>
        <v>5.8539999999999992</v>
      </c>
      <c r="D133" s="158">
        <f t="shared" si="46"/>
        <v>0</v>
      </c>
      <c r="F133" s="158">
        <f t="shared" si="47"/>
        <v>0</v>
      </c>
      <c r="G133" s="158">
        <f t="shared" si="47"/>
        <v>0</v>
      </c>
      <c r="I133" s="158">
        <f t="shared" si="48"/>
        <v>4.141</v>
      </c>
      <c r="J133" s="158">
        <f t="shared" si="48"/>
        <v>6.7740000000000009</v>
      </c>
      <c r="K133" s="158">
        <f t="shared" si="48"/>
        <v>-1.4989999999999988</v>
      </c>
      <c r="M133" s="158">
        <f t="shared" si="49"/>
        <v>3.6619999999999777</v>
      </c>
      <c r="N133" s="158">
        <f t="shared" si="49"/>
        <v>1.0220000000000056</v>
      </c>
      <c r="P133" s="158">
        <f t="shared" si="50"/>
        <v>0</v>
      </c>
      <c r="Q133" s="158">
        <f t="shared" si="50"/>
        <v>0</v>
      </c>
      <c r="R133" s="158">
        <f t="shared" si="50"/>
        <v>-6.8229401276276747E-2</v>
      </c>
      <c r="T133" s="158">
        <f t="shared" si="51"/>
        <v>0</v>
      </c>
      <c r="U133" s="158">
        <f t="shared" si="51"/>
        <v>0</v>
      </c>
      <c r="V133" s="158">
        <f t="shared" si="51"/>
        <v>0</v>
      </c>
      <c r="X133" s="158">
        <f t="shared" si="52"/>
        <v>0</v>
      </c>
      <c r="Y133" s="158">
        <f t="shared" si="52"/>
        <v>0</v>
      </c>
      <c r="AA133" s="158">
        <f t="shared" si="53"/>
        <v>1.2379999999999995</v>
      </c>
      <c r="AB133" s="158">
        <f t="shared" si="53"/>
        <v>-1.4320000000000022</v>
      </c>
      <c r="AC133" s="158">
        <f t="shared" si="53"/>
        <v>0</v>
      </c>
      <c r="AE133" s="158">
        <f t="shared" si="54"/>
        <v>20.342999999999961</v>
      </c>
      <c r="AF133" s="158">
        <f t="shared" si="54"/>
        <v>20.416999999999973</v>
      </c>
      <c r="AG133" s="158">
        <f t="shared" si="54"/>
        <v>-7.3999999999998067E-2</v>
      </c>
      <c r="AI133" s="158">
        <f t="shared" si="55"/>
        <v>17.353999999999999</v>
      </c>
      <c r="AJ133" s="158">
        <f t="shared" si="55"/>
        <v>17.353999999999999</v>
      </c>
      <c r="AK133" s="158">
        <f t="shared" si="55"/>
        <v>0.19999999999999929</v>
      </c>
      <c r="AM133" s="158">
        <f t="shared" si="56"/>
        <v>4.2309999999999945</v>
      </c>
      <c r="AN133" s="158">
        <f t="shared" si="56"/>
        <v>0.25</v>
      </c>
      <c r="AO133" s="158">
        <f t="shared" si="56"/>
        <v>3.9810000000000016</v>
      </c>
    </row>
    <row r="134" spans="1:41" hidden="1">
      <c r="A134" s="157">
        <f t="shared" si="45"/>
        <v>44682</v>
      </c>
      <c r="B134" s="158">
        <f t="shared" si="46"/>
        <v>10.765000000000001</v>
      </c>
      <c r="C134" s="158">
        <f t="shared" si="46"/>
        <v>10.765000000000001</v>
      </c>
      <c r="D134" s="158">
        <f t="shared" si="46"/>
        <v>0</v>
      </c>
      <c r="F134" s="158">
        <f t="shared" si="47"/>
        <v>0</v>
      </c>
      <c r="G134" s="158">
        <f t="shared" si="47"/>
        <v>0</v>
      </c>
      <c r="I134" s="158">
        <f t="shared" si="48"/>
        <v>3.527000000000001</v>
      </c>
      <c r="J134" s="158">
        <f t="shared" si="48"/>
        <v>4.6870000000000012</v>
      </c>
      <c r="K134" s="158">
        <f t="shared" si="48"/>
        <v>0</v>
      </c>
      <c r="M134" s="158">
        <f t="shared" si="49"/>
        <v>5.0799999999999841</v>
      </c>
      <c r="N134" s="158">
        <f t="shared" si="49"/>
        <v>-0.14900000000000091</v>
      </c>
      <c r="P134" s="158">
        <f t="shared" si="50"/>
        <v>0.19900000000000162</v>
      </c>
      <c r="Q134" s="158">
        <f t="shared" si="50"/>
        <v>-1.8999999999998352E-2</v>
      </c>
      <c r="R134" s="158">
        <f t="shared" si="50"/>
        <v>4.8742492492515055E-4</v>
      </c>
      <c r="T134" s="158">
        <f t="shared" si="51"/>
        <v>0</v>
      </c>
      <c r="U134" s="158">
        <f t="shared" si="51"/>
        <v>0</v>
      </c>
      <c r="V134" s="158">
        <f t="shared" si="51"/>
        <v>0</v>
      </c>
      <c r="X134" s="158">
        <f t="shared" si="52"/>
        <v>2.8000000000020009E-2</v>
      </c>
      <c r="Y134" s="158">
        <f t="shared" si="52"/>
        <v>8.2999999999998408E-2</v>
      </c>
      <c r="AA134" s="158">
        <f t="shared" si="53"/>
        <v>0</v>
      </c>
      <c r="AB134" s="158">
        <f t="shared" si="53"/>
        <v>0</v>
      </c>
      <c r="AC134" s="158">
        <f t="shared" si="53"/>
        <v>0</v>
      </c>
      <c r="AE134" s="158">
        <f t="shared" si="54"/>
        <v>11.485000000000014</v>
      </c>
      <c r="AF134" s="158">
        <f t="shared" si="54"/>
        <v>11.533000000000015</v>
      </c>
      <c r="AG134" s="158">
        <f t="shared" si="54"/>
        <v>-4.8000000000001819E-2</v>
      </c>
      <c r="AI134" s="158">
        <f t="shared" si="55"/>
        <v>0.47100000000000364</v>
      </c>
      <c r="AJ134" s="158">
        <f t="shared" si="55"/>
        <v>0.47100000000000364</v>
      </c>
      <c r="AK134" s="158">
        <f t="shared" si="55"/>
        <v>0</v>
      </c>
      <c r="AM134" s="158">
        <f t="shared" si="56"/>
        <v>0.90100000000001046</v>
      </c>
      <c r="AN134" s="158">
        <f t="shared" si="56"/>
        <v>0.8230000000000075</v>
      </c>
      <c r="AO134" s="158">
        <f t="shared" si="56"/>
        <v>7.8000000000002956E-2</v>
      </c>
    </row>
    <row r="135" spans="1:41" hidden="1">
      <c r="A135" s="157">
        <f t="shared" si="45"/>
        <v>44713</v>
      </c>
      <c r="B135" s="158">
        <f t="shared" si="46"/>
        <v>2.3070000000000022</v>
      </c>
      <c r="C135" s="158">
        <f t="shared" si="46"/>
        <v>2.3070000000000022</v>
      </c>
      <c r="D135" s="158">
        <f t="shared" si="46"/>
        <v>0</v>
      </c>
      <c r="F135" s="158">
        <f t="shared" si="47"/>
        <v>0</v>
      </c>
      <c r="G135" s="158">
        <f t="shared" si="47"/>
        <v>0</v>
      </c>
      <c r="I135" s="158">
        <f t="shared" si="48"/>
        <v>2.4109999999999978</v>
      </c>
      <c r="J135" s="158">
        <f t="shared" si="48"/>
        <v>2.6049999999999969</v>
      </c>
      <c r="K135" s="158">
        <f t="shared" si="48"/>
        <v>0</v>
      </c>
      <c r="M135" s="158">
        <f t="shared" si="49"/>
        <v>0.78200000000003911</v>
      </c>
      <c r="N135" s="158">
        <f t="shared" si="49"/>
        <v>-1.300000000000523E-2</v>
      </c>
      <c r="P135" s="158">
        <f t="shared" si="50"/>
        <v>0</v>
      </c>
      <c r="Q135" s="158">
        <f t="shared" si="50"/>
        <v>0</v>
      </c>
      <c r="R135" s="158">
        <f t="shared" si="50"/>
        <v>7.841094219219169E-2</v>
      </c>
      <c r="T135" s="158">
        <f t="shared" si="51"/>
        <v>0</v>
      </c>
      <c r="U135" s="158">
        <f t="shared" si="51"/>
        <v>0</v>
      </c>
      <c r="V135" s="158">
        <f t="shared" si="51"/>
        <v>0</v>
      </c>
      <c r="X135" s="158">
        <f t="shared" si="52"/>
        <v>0</v>
      </c>
      <c r="Y135" s="158">
        <f t="shared" si="52"/>
        <v>0</v>
      </c>
      <c r="AA135" s="158">
        <f t="shared" si="53"/>
        <v>0</v>
      </c>
      <c r="AB135" s="158">
        <f t="shared" si="53"/>
        <v>-1</v>
      </c>
      <c r="AC135" s="158">
        <f t="shared" si="53"/>
        <v>0</v>
      </c>
      <c r="AE135" s="158">
        <f t="shared" si="54"/>
        <v>6.3619999999999663</v>
      </c>
      <c r="AF135" s="158">
        <f t="shared" si="54"/>
        <v>6.3619999999999663</v>
      </c>
      <c r="AG135" s="158">
        <f t="shared" si="54"/>
        <v>21</v>
      </c>
      <c r="AI135" s="158">
        <f t="shared" si="55"/>
        <v>-1.1550000000000011</v>
      </c>
      <c r="AJ135" s="158">
        <f t="shared" si="55"/>
        <v>-1.1550000000000011</v>
      </c>
      <c r="AK135" s="158">
        <f t="shared" si="55"/>
        <v>0</v>
      </c>
      <c r="AM135" s="158">
        <f t="shared" si="56"/>
        <v>1.1510000000000105</v>
      </c>
      <c r="AN135" s="158">
        <f t="shared" si="56"/>
        <v>1.2409999999999854</v>
      </c>
      <c r="AO135" s="158">
        <f t="shared" si="56"/>
        <v>-9.0000000000003411E-2</v>
      </c>
    </row>
    <row r="136" spans="1:41" hidden="1">
      <c r="A136" s="157">
        <f t="shared" si="45"/>
        <v>44743</v>
      </c>
      <c r="B136" s="158">
        <f t="shared" si="46"/>
        <v>0</v>
      </c>
      <c r="C136" s="158">
        <f t="shared" si="46"/>
        <v>-1.2950000000000017</v>
      </c>
      <c r="D136" s="158">
        <f t="shared" si="46"/>
        <v>-2.7170000000000005</v>
      </c>
      <c r="F136" s="158">
        <f t="shared" si="47"/>
        <v>0</v>
      </c>
      <c r="G136" s="158">
        <f t="shared" si="47"/>
        <v>0</v>
      </c>
      <c r="I136" s="158">
        <f t="shared" si="48"/>
        <v>0</v>
      </c>
      <c r="J136" s="158">
        <f t="shared" si="48"/>
        <v>0</v>
      </c>
      <c r="K136" s="158">
        <f t="shared" si="48"/>
        <v>0</v>
      </c>
      <c r="M136" s="158">
        <f t="shared" si="49"/>
        <v>0.6220000000000141</v>
      </c>
      <c r="N136" s="158">
        <f t="shared" si="49"/>
        <v>0.17299999999998761</v>
      </c>
      <c r="P136" s="158">
        <f t="shared" si="50"/>
        <v>0</v>
      </c>
      <c r="Q136" s="158">
        <f t="shared" si="50"/>
        <v>0</v>
      </c>
      <c r="R136" s="158">
        <f t="shared" si="50"/>
        <v>-7.6329391891891696E-2</v>
      </c>
      <c r="T136" s="158">
        <f t="shared" si="51"/>
        <v>0</v>
      </c>
      <c r="U136" s="158">
        <f t="shared" si="51"/>
        <v>0</v>
      </c>
      <c r="V136" s="158">
        <f t="shared" si="51"/>
        <v>0</v>
      </c>
      <c r="X136" s="158">
        <f t="shared" si="52"/>
        <v>0</v>
      </c>
      <c r="Y136" s="158">
        <f t="shared" si="52"/>
        <v>0</v>
      </c>
      <c r="AA136" s="158">
        <f t="shared" si="53"/>
        <v>0</v>
      </c>
      <c r="AB136" s="158">
        <f t="shared" si="53"/>
        <v>0</v>
      </c>
      <c r="AC136" s="158">
        <f t="shared" si="53"/>
        <v>0</v>
      </c>
      <c r="AE136" s="158">
        <f t="shared" si="54"/>
        <v>0</v>
      </c>
      <c r="AF136" s="158">
        <f t="shared" si="54"/>
        <v>0</v>
      </c>
      <c r="AG136" s="158">
        <f t="shared" si="54"/>
        <v>0</v>
      </c>
      <c r="AI136" s="158">
        <f t="shared" si="55"/>
        <v>0</v>
      </c>
      <c r="AJ136" s="158">
        <f t="shared" si="55"/>
        <v>0</v>
      </c>
      <c r="AK136" s="158">
        <f t="shared" si="55"/>
        <v>0</v>
      </c>
      <c r="AM136" s="158">
        <f t="shared" si="56"/>
        <v>0.71600000000000819</v>
      </c>
      <c r="AN136" s="158">
        <f t="shared" si="56"/>
        <v>0.66300000000001091</v>
      </c>
      <c r="AO136" s="158">
        <f t="shared" si="56"/>
        <v>5.2999999999997272E-2</v>
      </c>
    </row>
    <row r="137" spans="1:41" hidden="1">
      <c r="A137" s="157">
        <f t="shared" si="45"/>
        <v>44774</v>
      </c>
      <c r="B137" s="158">
        <f t="shared" si="46"/>
        <v>0</v>
      </c>
      <c r="C137" s="158">
        <f t="shared" si="46"/>
        <v>0</v>
      </c>
      <c r="D137" s="158">
        <f t="shared" si="46"/>
        <v>0</v>
      </c>
      <c r="F137" s="158">
        <f t="shared" si="47"/>
        <v>0</v>
      </c>
      <c r="G137" s="158">
        <f t="shared" si="47"/>
        <v>0</v>
      </c>
      <c r="I137" s="158">
        <f t="shared" si="48"/>
        <v>0</v>
      </c>
      <c r="J137" s="158">
        <f t="shared" si="48"/>
        <v>0</v>
      </c>
      <c r="K137" s="158">
        <f t="shared" si="48"/>
        <v>0</v>
      </c>
      <c r="M137" s="158">
        <f t="shared" si="49"/>
        <v>0</v>
      </c>
      <c r="N137" s="158">
        <f t="shared" si="49"/>
        <v>0</v>
      </c>
      <c r="P137" s="158">
        <f t="shared" si="50"/>
        <v>0</v>
      </c>
      <c r="Q137" s="158">
        <f t="shared" si="50"/>
        <v>0</v>
      </c>
      <c r="R137" s="158">
        <f t="shared" si="50"/>
        <v>0</v>
      </c>
      <c r="T137" s="158">
        <f t="shared" si="51"/>
        <v>0</v>
      </c>
      <c r="U137" s="158">
        <f t="shared" si="51"/>
        <v>0</v>
      </c>
      <c r="V137" s="158">
        <f t="shared" si="51"/>
        <v>0</v>
      </c>
      <c r="X137" s="158">
        <f t="shared" si="52"/>
        <v>0</v>
      </c>
      <c r="Y137" s="158">
        <f t="shared" si="52"/>
        <v>0</v>
      </c>
      <c r="AA137" s="158">
        <f t="shared" si="53"/>
        <v>0</v>
      </c>
      <c r="AB137" s="158">
        <f t="shared" si="53"/>
        <v>0</v>
      </c>
      <c r="AC137" s="158">
        <f t="shared" si="53"/>
        <v>0</v>
      </c>
      <c r="AE137" s="158">
        <f t="shared" si="54"/>
        <v>-20</v>
      </c>
      <c r="AF137" s="158">
        <f t="shared" si="54"/>
        <v>-20</v>
      </c>
      <c r="AG137" s="158">
        <f t="shared" si="54"/>
        <v>0</v>
      </c>
      <c r="AI137" s="158">
        <f t="shared" si="55"/>
        <v>0</v>
      </c>
      <c r="AJ137" s="158">
        <f t="shared" si="55"/>
        <v>0</v>
      </c>
      <c r="AK137" s="158">
        <f t="shared" si="55"/>
        <v>0</v>
      </c>
      <c r="AM137" s="158">
        <f t="shared" si="56"/>
        <v>0</v>
      </c>
      <c r="AN137" s="158">
        <f t="shared" si="56"/>
        <v>0</v>
      </c>
      <c r="AO137" s="158">
        <f t="shared" si="56"/>
        <v>0</v>
      </c>
    </row>
    <row r="138" spans="1:41" hidden="1">
      <c r="A138" s="157">
        <f t="shared" si="45"/>
        <v>44805</v>
      </c>
      <c r="B138" s="158">
        <f t="shared" si="46"/>
        <v>0</v>
      </c>
      <c r="C138" s="158">
        <f t="shared" si="46"/>
        <v>0</v>
      </c>
      <c r="D138" s="158">
        <f t="shared" si="46"/>
        <v>0</v>
      </c>
      <c r="F138" s="158">
        <f t="shared" si="47"/>
        <v>0</v>
      </c>
      <c r="G138" s="158">
        <f t="shared" si="47"/>
        <v>0</v>
      </c>
      <c r="I138" s="158">
        <f t="shared" si="48"/>
        <v>0</v>
      </c>
      <c r="J138" s="158">
        <f t="shared" si="48"/>
        <v>0</v>
      </c>
      <c r="K138" s="158">
        <f t="shared" si="48"/>
        <v>0</v>
      </c>
      <c r="M138" s="158">
        <f t="shared" si="49"/>
        <v>0.12299999999999045</v>
      </c>
      <c r="N138" s="158">
        <f t="shared" si="49"/>
        <v>-6.3999999999992951E-2</v>
      </c>
      <c r="P138" s="158">
        <f t="shared" si="50"/>
        <v>0</v>
      </c>
      <c r="Q138" s="158">
        <f t="shared" si="50"/>
        <v>0</v>
      </c>
      <c r="R138" s="158">
        <f t="shared" si="50"/>
        <v>0</v>
      </c>
      <c r="T138" s="158">
        <f t="shared" si="51"/>
        <v>0</v>
      </c>
      <c r="U138" s="158">
        <f t="shared" si="51"/>
        <v>0</v>
      </c>
      <c r="V138" s="158">
        <f t="shared" si="51"/>
        <v>0</v>
      </c>
      <c r="X138" s="158">
        <f t="shared" si="52"/>
        <v>0</v>
      </c>
      <c r="Y138" s="158">
        <f t="shared" si="52"/>
        <v>0</v>
      </c>
      <c r="AA138" s="158">
        <f t="shared" si="53"/>
        <v>0</v>
      </c>
      <c r="AB138" s="158">
        <f t="shared" si="53"/>
        <v>0</v>
      </c>
      <c r="AC138" s="158">
        <f t="shared" si="53"/>
        <v>-1</v>
      </c>
      <c r="AE138" s="158">
        <f t="shared" si="54"/>
        <v>0</v>
      </c>
      <c r="AF138" s="158">
        <f t="shared" si="54"/>
        <v>0</v>
      </c>
      <c r="AG138" s="158">
        <f t="shared" si="54"/>
        <v>0</v>
      </c>
      <c r="AI138" s="158">
        <f t="shared" si="55"/>
        <v>0</v>
      </c>
      <c r="AJ138" s="158">
        <f t="shared" si="55"/>
        <v>0</v>
      </c>
      <c r="AK138" s="158">
        <f t="shared" si="55"/>
        <v>0</v>
      </c>
      <c r="AM138" s="158">
        <f t="shared" si="56"/>
        <v>-0.61100000000001842</v>
      </c>
      <c r="AN138" s="158">
        <f t="shared" si="56"/>
        <v>-1.0939999999999941</v>
      </c>
      <c r="AO138" s="158">
        <f t="shared" si="56"/>
        <v>0.48300000000000409</v>
      </c>
    </row>
    <row r="139" spans="1:41">
      <c r="A139" s="157">
        <f t="shared" si="45"/>
        <v>44835</v>
      </c>
      <c r="B139" s="158">
        <f t="shared" si="46"/>
        <v>-2.0049999999999955</v>
      </c>
      <c r="C139" s="158">
        <f t="shared" si="46"/>
        <v>-2.0049999999999955</v>
      </c>
      <c r="D139" s="158">
        <f t="shared" si="46"/>
        <v>0</v>
      </c>
      <c r="F139" s="158">
        <f t="shared" si="47"/>
        <v>9.3000000000003524E-2</v>
      </c>
      <c r="G139" s="158">
        <f t="shared" si="47"/>
        <v>0.12400000000000233</v>
      </c>
      <c r="I139" s="158">
        <f t="shared" si="48"/>
        <v>-0.71399999999999864</v>
      </c>
      <c r="J139" s="158">
        <f t="shared" si="48"/>
        <v>1.304000000000002</v>
      </c>
      <c r="K139" s="158">
        <f t="shared" si="48"/>
        <v>0</v>
      </c>
      <c r="M139" s="158">
        <f t="shared" si="49"/>
        <v>-1.0310000000000059</v>
      </c>
      <c r="N139" s="158">
        <f t="shared" si="49"/>
        <v>-2.4619999999999962</v>
      </c>
      <c r="P139" s="158">
        <f t="shared" si="50"/>
        <v>-1.1819999999999986</v>
      </c>
      <c r="Q139" s="158">
        <f t="shared" si="50"/>
        <v>-1.3960000000000008</v>
      </c>
      <c r="R139" s="158">
        <f t="shared" si="50"/>
        <v>-0.25</v>
      </c>
      <c r="T139" s="158">
        <f t="shared" si="51"/>
        <v>8.3999999999974762E-2</v>
      </c>
      <c r="U139" s="158">
        <f t="shared" si="51"/>
        <v>-7.0999999999997954E-2</v>
      </c>
      <c r="V139" s="158">
        <f t="shared" si="51"/>
        <v>0.15500000000000114</v>
      </c>
      <c r="X139" s="158">
        <f t="shared" si="52"/>
        <v>0.33199999999999363</v>
      </c>
      <c r="Y139" s="158">
        <f t="shared" si="52"/>
        <v>0.36199999999999477</v>
      </c>
      <c r="AA139" s="158">
        <f t="shared" si="53"/>
        <v>0</v>
      </c>
      <c r="AB139" s="158">
        <f t="shared" si="53"/>
        <v>0</v>
      </c>
      <c r="AC139" s="158">
        <f t="shared" si="53"/>
        <v>0</v>
      </c>
      <c r="AE139" s="158">
        <f t="shared" si="54"/>
        <v>2.785000000000025</v>
      </c>
      <c r="AF139" s="158">
        <f t="shared" si="54"/>
        <v>1.7769999999999868</v>
      </c>
      <c r="AG139" s="158">
        <f t="shared" si="54"/>
        <v>1.0079999999999956</v>
      </c>
      <c r="AI139" s="158">
        <f t="shared" si="55"/>
        <v>0</v>
      </c>
      <c r="AJ139" s="158">
        <f t="shared" si="55"/>
        <v>0</v>
      </c>
      <c r="AK139" s="158">
        <f t="shared" si="55"/>
        <v>0</v>
      </c>
      <c r="AM139" s="158">
        <f t="shared" si="56"/>
        <v>-2.6209999999999809</v>
      </c>
      <c r="AN139" s="158">
        <f t="shared" si="56"/>
        <v>-4.3739999999999952</v>
      </c>
      <c r="AO139" s="158">
        <f t="shared" si="56"/>
        <v>1.7540000000000049</v>
      </c>
    </row>
    <row r="140" spans="1:41">
      <c r="A140" s="157">
        <f t="shared" si="45"/>
        <v>44866</v>
      </c>
      <c r="B140" s="158">
        <f t="shared" si="46"/>
        <v>0</v>
      </c>
      <c r="C140" s="158">
        <f t="shared" si="46"/>
        <v>0</v>
      </c>
      <c r="D140" s="158">
        <f t="shared" si="46"/>
        <v>0</v>
      </c>
      <c r="F140" s="158">
        <f t="shared" si="47"/>
        <v>0</v>
      </c>
      <c r="G140" s="158">
        <f t="shared" si="47"/>
        <v>0</v>
      </c>
      <c r="I140" s="158">
        <f t="shared" si="48"/>
        <v>0</v>
      </c>
      <c r="J140" s="158">
        <f t="shared" si="48"/>
        <v>0</v>
      </c>
      <c r="K140" s="158">
        <f t="shared" si="48"/>
        <v>0</v>
      </c>
      <c r="M140" s="158">
        <f t="shared" si="49"/>
        <v>0.19999999999998863</v>
      </c>
      <c r="N140" s="158">
        <f t="shared" si="49"/>
        <v>0.12600000000000477</v>
      </c>
      <c r="P140" s="158">
        <f t="shared" si="50"/>
        <v>0</v>
      </c>
      <c r="Q140" s="158">
        <f t="shared" si="50"/>
        <v>0</v>
      </c>
      <c r="R140" s="158">
        <f t="shared" si="50"/>
        <v>0</v>
      </c>
      <c r="T140" s="158">
        <f t="shared" si="51"/>
        <v>0</v>
      </c>
      <c r="U140" s="158">
        <f t="shared" si="51"/>
        <v>0</v>
      </c>
      <c r="V140" s="158">
        <f t="shared" si="51"/>
        <v>0</v>
      </c>
      <c r="X140" s="158">
        <f t="shared" si="52"/>
        <v>0</v>
      </c>
      <c r="Y140" s="158">
        <f t="shared" si="52"/>
        <v>0</v>
      </c>
      <c r="AA140" s="158">
        <f t="shared" si="53"/>
        <v>0</v>
      </c>
      <c r="AB140" s="158">
        <f t="shared" si="53"/>
        <v>0</v>
      </c>
      <c r="AC140" s="158">
        <f t="shared" si="53"/>
        <v>0</v>
      </c>
      <c r="AE140" s="158">
        <f t="shared" si="54"/>
        <v>0</v>
      </c>
      <c r="AF140" s="158">
        <f t="shared" si="54"/>
        <v>0</v>
      </c>
      <c r="AG140" s="158">
        <f t="shared" si="54"/>
        <v>1</v>
      </c>
      <c r="AI140" s="158">
        <f t="shared" si="55"/>
        <v>0</v>
      </c>
      <c r="AJ140" s="158">
        <f t="shared" si="55"/>
        <v>0</v>
      </c>
      <c r="AK140" s="158">
        <f t="shared" si="55"/>
        <v>0</v>
      </c>
      <c r="AM140" s="158">
        <f t="shared" si="56"/>
        <v>0.16100000000000136</v>
      </c>
      <c r="AN140" s="158">
        <f t="shared" si="56"/>
        <v>0.37100000000000932</v>
      </c>
      <c r="AO140" s="158">
        <f t="shared" si="56"/>
        <v>-0.21000000000000796</v>
      </c>
    </row>
    <row r="141" spans="1:41">
      <c r="A141" s="157">
        <f t="shared" si="45"/>
        <v>44896</v>
      </c>
      <c r="B141" s="158">
        <f t="shared" si="46"/>
        <v>-2.2530000000000001</v>
      </c>
      <c r="C141" s="158">
        <f t="shared" si="46"/>
        <v>-2.2530000000000001</v>
      </c>
      <c r="D141" s="158">
        <f t="shared" si="46"/>
        <v>0</v>
      </c>
      <c r="F141" s="158">
        <f t="shared" si="47"/>
        <v>0</v>
      </c>
      <c r="G141" s="158">
        <f t="shared" si="47"/>
        <v>0</v>
      </c>
      <c r="I141" s="158">
        <f t="shared" si="48"/>
        <v>0.79199999999999804</v>
      </c>
      <c r="J141" s="158">
        <f t="shared" si="48"/>
        <v>1.2749999999999986</v>
      </c>
      <c r="K141" s="158">
        <f t="shared" si="48"/>
        <v>0</v>
      </c>
      <c r="M141" s="158">
        <f t="shared" si="49"/>
        <v>-5.0340000000000487</v>
      </c>
      <c r="N141" s="158">
        <f t="shared" si="49"/>
        <v>-5.000000000002558E-3</v>
      </c>
      <c r="P141" s="158">
        <f t="shared" si="50"/>
        <v>0</v>
      </c>
      <c r="Q141" s="158">
        <f t="shared" si="50"/>
        <v>0</v>
      </c>
      <c r="R141" s="158">
        <f t="shared" si="50"/>
        <v>0</v>
      </c>
      <c r="T141" s="158">
        <f t="shared" si="51"/>
        <v>0</v>
      </c>
      <c r="U141" s="158">
        <f t="shared" si="51"/>
        <v>0</v>
      </c>
      <c r="V141" s="158">
        <f t="shared" si="51"/>
        <v>0</v>
      </c>
      <c r="X141" s="158">
        <f t="shared" si="52"/>
        <v>0</v>
      </c>
      <c r="Y141" s="158">
        <f t="shared" si="52"/>
        <v>0</v>
      </c>
      <c r="AA141" s="158">
        <f t="shared" si="53"/>
        <v>0</v>
      </c>
      <c r="AB141" s="158">
        <f t="shared" si="53"/>
        <v>0</v>
      </c>
      <c r="AC141" s="158">
        <f t="shared" si="53"/>
        <v>0</v>
      </c>
      <c r="AE141" s="158">
        <f t="shared" si="54"/>
        <v>-4.8639999999999759</v>
      </c>
      <c r="AF141" s="158">
        <f t="shared" si="54"/>
        <v>-4.8639999999999759</v>
      </c>
      <c r="AG141" s="158">
        <f t="shared" si="54"/>
        <v>0</v>
      </c>
      <c r="AI141" s="158">
        <f t="shared" si="55"/>
        <v>-2.5000000000005684E-2</v>
      </c>
      <c r="AJ141" s="158">
        <f t="shared" si="55"/>
        <v>-2.4999999999991473E-2</v>
      </c>
      <c r="AK141" s="158">
        <f t="shared" si="55"/>
        <v>0</v>
      </c>
      <c r="AM141" s="158">
        <f t="shared" si="56"/>
        <v>-2.6620000000000061</v>
      </c>
      <c r="AN141" s="158">
        <f t="shared" si="56"/>
        <v>-2.561000000000007</v>
      </c>
      <c r="AO141" s="158">
        <f t="shared" si="56"/>
        <v>-5.2999999999997272E-2</v>
      </c>
    </row>
    <row r="142" spans="1:41">
      <c r="A142" s="157">
        <f t="shared" si="45"/>
        <v>44927</v>
      </c>
      <c r="B142" s="158">
        <f t="shared" si="46"/>
        <v>-2.5999999999996248E-2</v>
      </c>
      <c r="C142" s="158">
        <f t="shared" si="46"/>
        <v>0.39099999999999113</v>
      </c>
      <c r="D142" s="158">
        <f t="shared" si="46"/>
        <v>-0.41699999999999982</v>
      </c>
      <c r="F142" s="158">
        <f t="shared" si="47"/>
        <v>-9.9000000000003752E-2</v>
      </c>
      <c r="G142" s="158">
        <f t="shared" si="47"/>
        <v>-0.74799999999999756</v>
      </c>
      <c r="I142" s="158">
        <f t="shared" si="48"/>
        <v>0</v>
      </c>
      <c r="J142" s="158">
        <f t="shared" si="48"/>
        <v>0</v>
      </c>
      <c r="K142" s="158">
        <f t="shared" si="48"/>
        <v>0</v>
      </c>
      <c r="M142" s="158">
        <f t="shared" si="49"/>
        <v>-17.646999999999991</v>
      </c>
      <c r="N142" s="158">
        <f t="shared" si="49"/>
        <v>1.0079999999999956</v>
      </c>
      <c r="P142" s="158">
        <f t="shared" si="50"/>
        <v>0</v>
      </c>
      <c r="Q142" s="158">
        <f t="shared" si="50"/>
        <v>0</v>
      </c>
      <c r="R142" s="158">
        <f t="shared" si="50"/>
        <v>0</v>
      </c>
      <c r="T142" s="158">
        <f t="shared" si="51"/>
        <v>-3.2290000000000134</v>
      </c>
      <c r="U142" s="158">
        <f t="shared" si="51"/>
        <v>-4.6940000000000168</v>
      </c>
      <c r="V142" s="158">
        <f t="shared" si="51"/>
        <v>1.4649999999999999</v>
      </c>
      <c r="X142" s="158">
        <f t="shared" si="52"/>
        <v>-17.426999999999964</v>
      </c>
      <c r="Y142" s="158">
        <f t="shared" si="52"/>
        <v>3.0450000000000017</v>
      </c>
      <c r="AA142" s="158">
        <f t="shared" si="53"/>
        <v>-1.1080000000000041</v>
      </c>
      <c r="AB142" s="158">
        <f t="shared" si="53"/>
        <v>-1.2240000000000038</v>
      </c>
      <c r="AC142" s="158">
        <f t="shared" si="53"/>
        <v>0.11599999999999966</v>
      </c>
      <c r="AE142" s="158">
        <f t="shared" si="54"/>
        <v>-22.140999999999963</v>
      </c>
      <c r="AF142" s="158">
        <f t="shared" si="54"/>
        <v>-29.384000000000015</v>
      </c>
      <c r="AG142" s="158">
        <f t="shared" si="54"/>
        <v>7.242999999999995</v>
      </c>
      <c r="AI142" s="158">
        <f t="shared" si="55"/>
        <v>0</v>
      </c>
      <c r="AJ142" s="158">
        <f t="shared" si="55"/>
        <v>0</v>
      </c>
      <c r="AK142" s="158">
        <f t="shared" si="55"/>
        <v>0</v>
      </c>
      <c r="AM142" s="158">
        <f t="shared" si="56"/>
        <v>-12.850999999999999</v>
      </c>
      <c r="AN142" s="158">
        <f t="shared" si="56"/>
        <v>-12.623999999999995</v>
      </c>
      <c r="AO142" s="158">
        <f t="shared" si="56"/>
        <v>-0.22699999999998965</v>
      </c>
    </row>
    <row r="143" spans="1:41">
      <c r="A143" s="157">
        <f t="shared" si="45"/>
        <v>44958</v>
      </c>
      <c r="B143" s="158">
        <f t="shared" si="46"/>
        <v>0</v>
      </c>
      <c r="C143" s="158">
        <f t="shared" si="46"/>
        <v>0</v>
      </c>
      <c r="D143" s="158">
        <f t="shared" si="46"/>
        <v>0</v>
      </c>
      <c r="F143" s="158">
        <f t="shared" si="47"/>
        <v>0</v>
      </c>
      <c r="G143" s="158">
        <f t="shared" si="47"/>
        <v>0</v>
      </c>
      <c r="I143" s="158">
        <f t="shared" si="48"/>
        <v>0</v>
      </c>
      <c r="J143" s="158">
        <f t="shared" si="48"/>
        <v>0</v>
      </c>
      <c r="K143" s="158">
        <f t="shared" si="48"/>
        <v>0</v>
      </c>
      <c r="M143" s="158">
        <f t="shared" si="49"/>
        <v>0</v>
      </c>
      <c r="N143" s="158">
        <f t="shared" si="49"/>
        <v>0</v>
      </c>
      <c r="P143" s="158">
        <f t="shared" si="50"/>
        <v>0</v>
      </c>
      <c r="Q143" s="158">
        <f t="shared" si="50"/>
        <v>0</v>
      </c>
      <c r="R143" s="158">
        <f t="shared" si="50"/>
        <v>0</v>
      </c>
      <c r="T143" s="158">
        <f t="shared" si="51"/>
        <v>0</v>
      </c>
      <c r="U143" s="158">
        <f t="shared" si="51"/>
        <v>0</v>
      </c>
      <c r="V143" s="158">
        <f t="shared" si="51"/>
        <v>0</v>
      </c>
      <c r="X143" s="158">
        <f t="shared" si="52"/>
        <v>0</v>
      </c>
      <c r="Y143" s="158">
        <f t="shared" si="52"/>
        <v>0</v>
      </c>
      <c r="AA143" s="158">
        <f t="shared" si="53"/>
        <v>0</v>
      </c>
      <c r="AB143" s="158">
        <f t="shared" si="53"/>
        <v>9.8819999999999908</v>
      </c>
      <c r="AC143" s="158">
        <f t="shared" si="53"/>
        <v>0</v>
      </c>
      <c r="AE143" s="158">
        <f t="shared" si="54"/>
        <v>0</v>
      </c>
      <c r="AF143" s="158">
        <f t="shared" si="54"/>
        <v>0</v>
      </c>
      <c r="AG143" s="158">
        <f t="shared" si="54"/>
        <v>0</v>
      </c>
      <c r="AI143" s="158">
        <f t="shared" si="55"/>
        <v>0</v>
      </c>
      <c r="AJ143" s="158">
        <f t="shared" si="55"/>
        <v>0</v>
      </c>
      <c r="AK143" s="158">
        <f t="shared" si="55"/>
        <v>0</v>
      </c>
      <c r="AM143" s="158">
        <f t="shared" si="56"/>
        <v>0</v>
      </c>
      <c r="AN143" s="158">
        <f t="shared" si="56"/>
        <v>0</v>
      </c>
      <c r="AO143" s="158">
        <f t="shared" si="56"/>
        <v>0</v>
      </c>
    </row>
    <row r="144" spans="1:41">
      <c r="A144" s="157">
        <f t="shared" si="45"/>
        <v>44986</v>
      </c>
      <c r="B144" s="158">
        <f t="shared" si="46"/>
        <v>0.6910000000000025</v>
      </c>
      <c r="C144" s="158">
        <f t="shared" si="46"/>
        <v>1.0630000000000024</v>
      </c>
      <c r="D144" s="158">
        <f t="shared" si="46"/>
        <v>-0.37199999999999989</v>
      </c>
      <c r="F144" s="158">
        <f t="shared" si="47"/>
        <v>5.4669999999999987</v>
      </c>
      <c r="G144" s="158">
        <f t="shared" si="47"/>
        <v>-1.1829999999999998</v>
      </c>
      <c r="I144" s="158">
        <f t="shared" si="48"/>
        <v>-1.4820000000000029</v>
      </c>
      <c r="J144" s="158">
        <f t="shared" si="48"/>
        <v>-3.7689999999999984</v>
      </c>
      <c r="K144" s="158">
        <f t="shared" si="48"/>
        <v>-0.94999999999999929</v>
      </c>
      <c r="M144" s="158">
        <f t="shared" si="49"/>
        <v>-5.8230000000000359</v>
      </c>
      <c r="N144" s="158">
        <f t="shared" si="49"/>
        <v>3.713000000000001</v>
      </c>
      <c r="P144" s="158">
        <f t="shared" si="50"/>
        <v>0</v>
      </c>
      <c r="Q144" s="158">
        <f t="shared" si="50"/>
        <v>-0.41600000000000392</v>
      </c>
      <c r="R144" s="158">
        <f t="shared" si="50"/>
        <v>0</v>
      </c>
      <c r="T144" s="158">
        <f t="shared" si="51"/>
        <v>9.5680000000000121</v>
      </c>
      <c r="U144" s="158">
        <f t="shared" si="51"/>
        <v>12.875</v>
      </c>
      <c r="V144" s="158">
        <f t="shared" si="51"/>
        <v>-2.7620000000000005</v>
      </c>
      <c r="X144" s="158">
        <f t="shared" si="52"/>
        <v>4.1560000000000059</v>
      </c>
      <c r="Y144" s="158">
        <f t="shared" si="52"/>
        <v>5.8140000000000001</v>
      </c>
      <c r="AA144" s="158">
        <f t="shared" si="53"/>
        <v>-0.70799999999999841</v>
      </c>
      <c r="AB144" s="158">
        <f t="shared" si="53"/>
        <v>-0.53499999999999659</v>
      </c>
      <c r="AC144" s="158">
        <f t="shared" si="53"/>
        <v>10.268000000000001</v>
      </c>
      <c r="AE144" s="158">
        <f t="shared" si="54"/>
        <v>-18.75</v>
      </c>
      <c r="AF144" s="158">
        <f t="shared" si="54"/>
        <v>-27.870000000000005</v>
      </c>
      <c r="AG144" s="158">
        <f t="shared" si="54"/>
        <v>1.2289999999999992</v>
      </c>
      <c r="AI144" s="158">
        <f t="shared" si="55"/>
        <v>2.6080000000000041</v>
      </c>
      <c r="AJ144" s="158">
        <f t="shared" si="55"/>
        <v>2.6080000000000041</v>
      </c>
      <c r="AK144" s="158">
        <f t="shared" si="55"/>
        <v>9.9999999999999645E-2</v>
      </c>
      <c r="AM144" s="158">
        <f t="shared" si="56"/>
        <v>-2.2239999999999895</v>
      </c>
      <c r="AN144" s="158">
        <f t="shared" si="56"/>
        <v>-21.711000000000013</v>
      </c>
      <c r="AO144" s="158">
        <f t="shared" si="56"/>
        <v>21.408000000000001</v>
      </c>
    </row>
    <row r="145" spans="1:41">
      <c r="A145" s="157">
        <f t="shared" si="45"/>
        <v>45017</v>
      </c>
      <c r="B145" s="158">
        <f t="shared" si="46"/>
        <v>3.1499999999999915</v>
      </c>
      <c r="C145" s="158">
        <f t="shared" si="46"/>
        <v>2.7780000000000058</v>
      </c>
      <c r="D145" s="158">
        <f t="shared" si="46"/>
        <v>0</v>
      </c>
      <c r="F145" s="158">
        <f t="shared" si="47"/>
        <v>1.4719999999999942</v>
      </c>
      <c r="G145" s="158">
        <f t="shared" si="47"/>
        <v>-1.7489999999999988</v>
      </c>
      <c r="I145" s="158">
        <f t="shared" si="48"/>
        <v>-2.6389999999999993</v>
      </c>
      <c r="J145" s="158">
        <f t="shared" si="48"/>
        <v>1.0989999999999966</v>
      </c>
      <c r="K145" s="158">
        <f t="shared" si="48"/>
        <v>0</v>
      </c>
      <c r="M145" s="158">
        <f t="shared" si="49"/>
        <v>-21.07000000000005</v>
      </c>
      <c r="N145" s="158">
        <f t="shared" si="49"/>
        <v>5.7079999999999984</v>
      </c>
      <c r="P145" s="158">
        <f t="shared" si="50"/>
        <v>-0.55499999999999972</v>
      </c>
      <c r="Q145" s="158">
        <f t="shared" si="50"/>
        <v>-0.37800000000000011</v>
      </c>
      <c r="R145" s="158">
        <f t="shared" si="50"/>
        <v>0</v>
      </c>
      <c r="T145" s="158">
        <f t="shared" si="51"/>
        <v>7.5840000000000032</v>
      </c>
      <c r="U145" s="158">
        <f t="shared" si="51"/>
        <v>6.9449999999999932</v>
      </c>
      <c r="V145" s="158">
        <f t="shared" si="51"/>
        <v>0.45099999999999696</v>
      </c>
      <c r="X145" s="158">
        <f t="shared" si="52"/>
        <v>-19.393999999999949</v>
      </c>
      <c r="Y145" s="158">
        <f t="shared" si="52"/>
        <v>6.8020000000000067</v>
      </c>
      <c r="AA145" s="158">
        <f t="shared" si="53"/>
        <v>-1.0799999999999983</v>
      </c>
      <c r="AB145" s="158">
        <f t="shared" si="53"/>
        <v>-1.0939999999999941</v>
      </c>
      <c r="AC145" s="158">
        <f t="shared" si="53"/>
        <v>0.40200000000000102</v>
      </c>
      <c r="AE145" s="158">
        <f t="shared" si="54"/>
        <v>-44.329999999999984</v>
      </c>
      <c r="AF145" s="158">
        <f t="shared" si="54"/>
        <v>-22.663999999999987</v>
      </c>
      <c r="AG145" s="158">
        <f t="shared" si="54"/>
        <v>13.444999999999993</v>
      </c>
      <c r="AI145" s="158">
        <f t="shared" si="55"/>
        <v>1.9540000000000077</v>
      </c>
      <c r="AJ145" s="158">
        <f t="shared" si="55"/>
        <v>1.9539999999999935</v>
      </c>
      <c r="AK145" s="158">
        <f t="shared" si="55"/>
        <v>9.9999999999999645E-2</v>
      </c>
      <c r="AM145" s="158">
        <f t="shared" si="56"/>
        <v>-14.662000000000006</v>
      </c>
      <c r="AN145" s="158">
        <f t="shared" si="56"/>
        <v>-9.1200000000000045</v>
      </c>
      <c r="AO145" s="158">
        <f t="shared" si="56"/>
        <v>12.736000000000004</v>
      </c>
    </row>
    <row r="146" spans="1:41">
      <c r="A146" s="157">
        <f t="shared" si="45"/>
        <v>45047</v>
      </c>
      <c r="B146" s="158">
        <f t="shared" si="46"/>
        <v>0</v>
      </c>
      <c r="C146" s="158">
        <f t="shared" si="46"/>
        <v>0</v>
      </c>
      <c r="D146" s="158">
        <f t="shared" si="46"/>
        <v>0</v>
      </c>
      <c r="F146" s="158">
        <f t="shared" si="47"/>
        <v>0</v>
      </c>
      <c r="G146" s="158">
        <f t="shared" si="47"/>
        <v>0</v>
      </c>
      <c r="I146" s="158">
        <f t="shared" si="48"/>
        <v>0</v>
      </c>
      <c r="J146" s="158">
        <f t="shared" si="48"/>
        <v>0</v>
      </c>
      <c r="K146" s="158">
        <f t="shared" si="48"/>
        <v>0</v>
      </c>
      <c r="M146" s="158">
        <f t="shared" si="49"/>
        <v>-0.11099999999999</v>
      </c>
      <c r="N146" s="158">
        <f t="shared" si="49"/>
        <v>-0.367999999999995</v>
      </c>
      <c r="P146" s="158">
        <f t="shared" si="50"/>
        <v>0</v>
      </c>
      <c r="Q146" s="158">
        <f t="shared" si="50"/>
        <v>0</v>
      </c>
      <c r="R146" s="158">
        <f t="shared" si="50"/>
        <v>0</v>
      </c>
      <c r="T146" s="158">
        <f t="shared" si="51"/>
        <v>0</v>
      </c>
      <c r="U146" s="158">
        <f t="shared" si="51"/>
        <v>0</v>
      </c>
      <c r="V146" s="158">
        <f t="shared" si="51"/>
        <v>0</v>
      </c>
      <c r="X146" s="158">
        <f t="shared" si="52"/>
        <v>0</v>
      </c>
      <c r="Y146" s="158">
        <f t="shared" si="52"/>
        <v>0</v>
      </c>
      <c r="AA146" s="158">
        <f t="shared" si="53"/>
        <v>0</v>
      </c>
      <c r="AB146" s="158">
        <f t="shared" si="53"/>
        <v>0</v>
      </c>
      <c r="AC146" s="158">
        <f t="shared" si="53"/>
        <v>0</v>
      </c>
      <c r="AE146" s="158">
        <f t="shared" si="54"/>
        <v>0</v>
      </c>
      <c r="AF146" s="158">
        <f t="shared" si="54"/>
        <v>0</v>
      </c>
      <c r="AG146" s="158">
        <f t="shared" si="54"/>
        <v>-20</v>
      </c>
      <c r="AI146" s="158">
        <f t="shared" si="55"/>
        <v>0</v>
      </c>
      <c r="AJ146" s="158">
        <f t="shared" si="55"/>
        <v>0</v>
      </c>
      <c r="AK146" s="158">
        <f t="shared" si="55"/>
        <v>0</v>
      </c>
      <c r="AM146" s="158">
        <f t="shared" si="56"/>
        <v>0.27199999999999136</v>
      </c>
      <c r="AN146" s="158">
        <f t="shared" si="56"/>
        <v>0.44599999999999795</v>
      </c>
      <c r="AO146" s="158">
        <f t="shared" si="56"/>
        <v>-0.17400000000000659</v>
      </c>
    </row>
    <row r="147" spans="1:41">
      <c r="A147" s="157">
        <f t="shared" si="45"/>
        <v>45078</v>
      </c>
      <c r="B147" s="158">
        <f t="shared" si="46"/>
        <v>0</v>
      </c>
      <c r="C147" s="158">
        <f t="shared" si="46"/>
        <v>0</v>
      </c>
      <c r="D147" s="158">
        <f t="shared" si="46"/>
        <v>0</v>
      </c>
      <c r="F147" s="158">
        <f t="shared" si="47"/>
        <v>0</v>
      </c>
      <c r="G147" s="158">
        <f t="shared" si="47"/>
        <v>0</v>
      </c>
      <c r="I147" s="158">
        <f t="shared" si="48"/>
        <v>0</v>
      </c>
      <c r="J147" s="158">
        <f t="shared" si="48"/>
        <v>0</v>
      </c>
      <c r="K147" s="158">
        <f t="shared" si="48"/>
        <v>0</v>
      </c>
      <c r="M147" s="158">
        <f t="shared" si="49"/>
        <v>0.56200000000001182</v>
      </c>
      <c r="N147" s="158">
        <f t="shared" si="49"/>
        <v>-0.13400000000000034</v>
      </c>
      <c r="P147" s="158">
        <f t="shared" si="50"/>
        <v>0.16399999999999793</v>
      </c>
      <c r="Q147" s="158">
        <f t="shared" si="50"/>
        <v>0.19000000000000128</v>
      </c>
      <c r="R147" s="158">
        <f t="shared" si="50"/>
        <v>0</v>
      </c>
      <c r="T147" s="158">
        <f t="shared" si="51"/>
        <v>0</v>
      </c>
      <c r="U147" s="158">
        <f t="shared" si="51"/>
        <v>0</v>
      </c>
      <c r="V147" s="158">
        <f t="shared" si="51"/>
        <v>0</v>
      </c>
      <c r="X147" s="158">
        <f t="shared" si="52"/>
        <v>0</v>
      </c>
      <c r="Y147" s="158">
        <f t="shared" si="52"/>
        <v>0</v>
      </c>
      <c r="AA147" s="158">
        <f t="shared" si="53"/>
        <v>0</v>
      </c>
      <c r="AB147" s="158">
        <f t="shared" si="53"/>
        <v>0</v>
      </c>
      <c r="AC147" s="158">
        <f t="shared" si="53"/>
        <v>0</v>
      </c>
      <c r="AE147" s="158">
        <f t="shared" si="54"/>
        <v>-0.31100000000003547</v>
      </c>
      <c r="AF147" s="158">
        <f t="shared" si="54"/>
        <v>-4.0000000000020464E-2</v>
      </c>
      <c r="AG147" s="158">
        <f t="shared" si="54"/>
        <v>0</v>
      </c>
      <c r="AI147" s="158">
        <f t="shared" si="55"/>
        <v>0</v>
      </c>
      <c r="AJ147" s="158">
        <f t="shared" si="55"/>
        <v>0</v>
      </c>
      <c r="AK147" s="158">
        <f t="shared" si="55"/>
        <v>0</v>
      </c>
      <c r="AM147" s="158">
        <f t="shared" si="56"/>
        <v>-9.6000000000003638E-2</v>
      </c>
      <c r="AN147" s="158">
        <f t="shared" si="56"/>
        <v>-5.8999999999997499E-2</v>
      </c>
      <c r="AO147" s="158">
        <f t="shared" si="56"/>
        <v>-3.7000000000006139E-2</v>
      </c>
    </row>
    <row r="148" spans="1:41">
      <c r="A148" s="157">
        <f t="shared" si="45"/>
        <v>45108</v>
      </c>
      <c r="B148" s="158">
        <f t="shared" si="46"/>
        <v>0</v>
      </c>
      <c r="C148" s="158">
        <f t="shared" si="46"/>
        <v>0</v>
      </c>
      <c r="D148" s="158">
        <f t="shared" si="46"/>
        <v>0</v>
      </c>
      <c r="F148" s="158">
        <f t="shared" si="47"/>
        <v>0</v>
      </c>
      <c r="G148" s="158">
        <f t="shared" si="47"/>
        <v>0</v>
      </c>
      <c r="I148" s="158">
        <f t="shared" si="48"/>
        <v>0</v>
      </c>
      <c r="J148" s="158">
        <f t="shared" si="48"/>
        <v>0</v>
      </c>
      <c r="K148" s="158">
        <f t="shared" si="48"/>
        <v>0</v>
      </c>
      <c r="M148" s="158">
        <f t="shared" si="49"/>
        <v>-0.66599999999999682</v>
      </c>
      <c r="N148" s="158">
        <f t="shared" si="49"/>
        <v>-0.33299999999999841</v>
      </c>
      <c r="P148" s="158">
        <f t="shared" si="50"/>
        <v>1.9619999999999997</v>
      </c>
      <c r="Q148" s="158">
        <f t="shared" si="50"/>
        <v>2.3470000000000013</v>
      </c>
      <c r="R148" s="158">
        <f t="shared" si="50"/>
        <v>0.5</v>
      </c>
      <c r="T148" s="158">
        <f t="shared" si="51"/>
        <v>0</v>
      </c>
      <c r="U148" s="158">
        <f t="shared" si="51"/>
        <v>5.7249999999999943</v>
      </c>
      <c r="V148" s="158">
        <f t="shared" si="51"/>
        <v>0</v>
      </c>
      <c r="X148" s="158">
        <f t="shared" si="52"/>
        <v>-9.2000000000041382E-2</v>
      </c>
      <c r="Y148" s="158">
        <f t="shared" si="52"/>
        <v>-4.9999999999997158E-2</v>
      </c>
      <c r="AA148" s="158">
        <f t="shared" si="53"/>
        <v>1.1760000000000019</v>
      </c>
      <c r="AB148" s="158">
        <f t="shared" si="53"/>
        <v>1.6239999999999952</v>
      </c>
      <c r="AC148" s="158">
        <f t="shared" si="53"/>
        <v>0</v>
      </c>
      <c r="AE148" s="158">
        <f t="shared" si="54"/>
        <v>0.67500000000001137</v>
      </c>
      <c r="AF148" s="158">
        <f t="shared" si="54"/>
        <v>0.34800000000001319</v>
      </c>
      <c r="AG148" s="158">
        <f t="shared" si="54"/>
        <v>0</v>
      </c>
      <c r="AI148" s="158">
        <f t="shared" si="55"/>
        <v>0</v>
      </c>
      <c r="AJ148" s="158">
        <f t="shared" si="55"/>
        <v>0</v>
      </c>
      <c r="AK148" s="158">
        <f t="shared" si="55"/>
        <v>0</v>
      </c>
      <c r="AM148" s="158">
        <f t="shared" si="56"/>
        <v>9.9999999999994316E-2</v>
      </c>
      <c r="AN148" s="158">
        <f t="shared" si="56"/>
        <v>5.4339999999999975</v>
      </c>
      <c r="AO148" s="158">
        <f t="shared" si="56"/>
        <v>-5.3340000000000032</v>
      </c>
    </row>
    <row r="149" spans="1:41">
      <c r="A149" s="157">
        <f t="shared" si="45"/>
        <v>45139</v>
      </c>
      <c r="B149" s="158">
        <f t="shared" ref="B149:D149" si="57">B102-B189</f>
        <v>0</v>
      </c>
      <c r="C149" s="158">
        <f t="shared" si="57"/>
        <v>0</v>
      </c>
      <c r="D149" s="158">
        <f t="shared" si="57"/>
        <v>0</v>
      </c>
      <c r="F149" s="158">
        <f t="shared" ref="F149:G149" si="58">F102-F189</f>
        <v>0</v>
      </c>
      <c r="G149" s="158">
        <f t="shared" si="58"/>
        <v>0</v>
      </c>
      <c r="I149" s="158">
        <f t="shared" ref="I149:K149" si="59">I102-I189</f>
        <v>0</v>
      </c>
      <c r="J149" s="158">
        <f t="shared" si="59"/>
        <v>0</v>
      </c>
      <c r="K149" s="158">
        <f t="shared" si="59"/>
        <v>0</v>
      </c>
      <c r="M149" s="158">
        <f t="shared" ref="M149:N149" si="60">M102-M189</f>
        <v>0</v>
      </c>
      <c r="N149" s="158">
        <f t="shared" si="60"/>
        <v>0</v>
      </c>
      <c r="P149" s="158">
        <f t="shared" ref="P149:R149" si="61">P102-P189</f>
        <v>0</v>
      </c>
      <c r="Q149" s="158">
        <f t="shared" si="61"/>
        <v>0</v>
      </c>
      <c r="R149" s="158">
        <f t="shared" si="61"/>
        <v>0</v>
      </c>
      <c r="T149" s="158">
        <f t="shared" ref="T149:V149" si="62">T102-T189</f>
        <v>0</v>
      </c>
      <c r="U149" s="158">
        <f t="shared" si="62"/>
        <v>0</v>
      </c>
      <c r="V149" s="158">
        <f t="shared" si="62"/>
        <v>0</v>
      </c>
      <c r="X149" s="158">
        <f t="shared" ref="X149:Y149" si="63">X102-X189</f>
        <v>0</v>
      </c>
      <c r="Y149" s="158">
        <f t="shared" si="63"/>
        <v>0</v>
      </c>
      <c r="AA149" s="158">
        <f t="shared" ref="AA149:AC149" si="64">AA102-AA189</f>
        <v>0</v>
      </c>
      <c r="AB149" s="158">
        <f t="shared" si="64"/>
        <v>0</v>
      </c>
      <c r="AC149" s="158">
        <f t="shared" si="64"/>
        <v>0</v>
      </c>
      <c r="AE149" s="158">
        <f t="shared" ref="AE149:AG149" si="65">AE102-AE189</f>
        <v>0</v>
      </c>
      <c r="AF149" s="158">
        <f t="shared" si="65"/>
        <v>0</v>
      </c>
      <c r="AG149" s="158">
        <f t="shared" si="65"/>
        <v>0</v>
      </c>
      <c r="AI149" s="158">
        <f t="shared" ref="AI149:AK149" si="66">AI102-AI189</f>
        <v>0</v>
      </c>
      <c r="AJ149" s="158">
        <f t="shared" si="66"/>
        <v>0</v>
      </c>
      <c r="AK149" s="158">
        <f t="shared" si="66"/>
        <v>0</v>
      </c>
      <c r="AM149" s="158">
        <f t="shared" ref="AM149:AO149" si="67">AM102-AM189</f>
        <v>0</v>
      </c>
      <c r="AN149" s="158">
        <f t="shared" si="67"/>
        <v>0</v>
      </c>
      <c r="AO149" s="158">
        <f t="shared" si="67"/>
        <v>0</v>
      </c>
    </row>
    <row r="150" spans="1:41">
      <c r="A150" s="157">
        <f t="shared" si="45"/>
        <v>45170</v>
      </c>
      <c r="B150" s="158">
        <f t="shared" ref="B150:D150" si="68">B103-B190</f>
        <v>0</v>
      </c>
      <c r="C150" s="158">
        <f t="shared" si="68"/>
        <v>0</v>
      </c>
      <c r="D150" s="158">
        <f t="shared" si="68"/>
        <v>0</v>
      </c>
      <c r="F150" s="158">
        <f t="shared" ref="F150:G150" si="69">F103-F190</f>
        <v>0</v>
      </c>
      <c r="G150" s="158">
        <f t="shared" si="69"/>
        <v>0</v>
      </c>
      <c r="I150" s="158">
        <f t="shared" ref="I150:K150" si="70">I103-I190</f>
        <v>0</v>
      </c>
      <c r="J150" s="158">
        <f t="shared" si="70"/>
        <v>0</v>
      </c>
      <c r="K150" s="158">
        <f t="shared" si="70"/>
        <v>0</v>
      </c>
      <c r="M150" s="158">
        <f t="shared" ref="M150:N150" si="71">M103-M190</f>
        <v>0</v>
      </c>
      <c r="N150" s="158">
        <f t="shared" si="71"/>
        <v>0</v>
      </c>
      <c r="P150" s="158">
        <f t="shared" ref="P150:R150" si="72">P103-P190</f>
        <v>0</v>
      </c>
      <c r="Q150" s="158">
        <f t="shared" si="72"/>
        <v>0</v>
      </c>
      <c r="R150" s="158">
        <f t="shared" si="72"/>
        <v>0</v>
      </c>
      <c r="T150" s="158">
        <f t="shared" ref="T150:V150" si="73">T103-T190</f>
        <v>0</v>
      </c>
      <c r="U150" s="158">
        <f t="shared" si="73"/>
        <v>0</v>
      </c>
      <c r="V150" s="158">
        <f t="shared" si="73"/>
        <v>0</v>
      </c>
      <c r="X150" s="158">
        <f t="shared" ref="X150:Y150" si="74">X103-X190</f>
        <v>0</v>
      </c>
      <c r="Y150" s="158">
        <f t="shared" si="74"/>
        <v>0</v>
      </c>
      <c r="AA150" s="158">
        <f t="shared" ref="AA150:AC150" si="75">AA103-AA190</f>
        <v>0</v>
      </c>
      <c r="AB150" s="158">
        <f t="shared" si="75"/>
        <v>0</v>
      </c>
      <c r="AC150" s="158">
        <f t="shared" si="75"/>
        <v>0</v>
      </c>
      <c r="AE150" s="158">
        <f t="shared" ref="AE150:AG150" si="76">AE103-AE190</f>
        <v>0</v>
      </c>
      <c r="AF150" s="158">
        <f t="shared" si="76"/>
        <v>0</v>
      </c>
      <c r="AG150" s="158">
        <f t="shared" si="76"/>
        <v>0</v>
      </c>
      <c r="AI150" s="158">
        <f t="shared" ref="AI150:AK150" si="77">AI103-AI190</f>
        <v>0</v>
      </c>
      <c r="AJ150" s="158">
        <f t="shared" si="77"/>
        <v>0</v>
      </c>
      <c r="AK150" s="158">
        <f t="shared" si="77"/>
        <v>0</v>
      </c>
      <c r="AM150" s="158">
        <f t="shared" ref="AM150:AO150" si="78">AM103-AM190</f>
        <v>0</v>
      </c>
      <c r="AN150" s="158">
        <f>AN103-AN190</f>
        <v>0</v>
      </c>
      <c r="AO150" s="158">
        <f t="shared" si="78"/>
        <v>0</v>
      </c>
    </row>
    <row r="151" spans="1:41">
      <c r="A151" s="157">
        <f t="shared" si="45"/>
        <v>45200</v>
      </c>
      <c r="B151" s="158">
        <f t="shared" ref="B151:D153" si="79">B104-B191</f>
        <v>0</v>
      </c>
      <c r="C151" s="158">
        <f t="shared" si="79"/>
        <v>0</v>
      </c>
      <c r="D151" s="158">
        <f t="shared" si="79"/>
        <v>0</v>
      </c>
      <c r="F151" s="158">
        <f t="shared" ref="F151:G153" si="80">F104-F191</f>
        <v>0</v>
      </c>
      <c r="G151" s="158">
        <f t="shared" si="80"/>
        <v>0</v>
      </c>
      <c r="I151" s="158">
        <f t="shared" ref="I151:K153" si="81">I104-I191</f>
        <v>0</v>
      </c>
      <c r="J151" s="158">
        <f t="shared" si="81"/>
        <v>0</v>
      </c>
      <c r="K151" s="158">
        <f t="shared" si="81"/>
        <v>0</v>
      </c>
      <c r="M151" s="158">
        <f t="shared" ref="M151:N153" si="82">M104-M191</f>
        <v>1.2999999999976808E-2</v>
      </c>
      <c r="N151" s="158">
        <f t="shared" si="82"/>
        <v>-0.74500000000000455</v>
      </c>
      <c r="P151" s="158">
        <f t="shared" ref="P151:R153" si="83">P104-P191</f>
        <v>8.8000000000000966E-2</v>
      </c>
      <c r="Q151" s="158">
        <f t="shared" si="83"/>
        <v>6.6000000000002501E-2</v>
      </c>
      <c r="R151" s="158">
        <f t="shared" si="83"/>
        <v>0</v>
      </c>
      <c r="T151" s="158">
        <f t="shared" ref="T151:V153" si="84">T104-T191</f>
        <v>0</v>
      </c>
      <c r="U151" s="158">
        <f t="shared" si="84"/>
        <v>0</v>
      </c>
      <c r="V151" s="158">
        <f t="shared" si="84"/>
        <v>0</v>
      </c>
      <c r="X151" s="158">
        <f t="shared" ref="X151:Y153" si="85">X104-X191</f>
        <v>0</v>
      </c>
      <c r="Y151" s="158">
        <f t="shared" si="85"/>
        <v>0</v>
      </c>
      <c r="AA151" s="158">
        <f t="shared" ref="AA151:AC153" si="86">AA104-AA191</f>
        <v>0</v>
      </c>
      <c r="AB151" s="158">
        <f t="shared" si="86"/>
        <v>0</v>
      </c>
      <c r="AC151" s="158">
        <f t="shared" si="86"/>
        <v>0</v>
      </c>
      <c r="AE151" s="158">
        <f t="shared" ref="AE151:AG151" si="87">AE104-AE191</f>
        <v>-4.9999999999954525E-2</v>
      </c>
      <c r="AF151" s="158">
        <f t="shared" si="87"/>
        <v>-0.25600000000002865</v>
      </c>
      <c r="AG151" s="158">
        <f t="shared" si="87"/>
        <v>0</v>
      </c>
      <c r="AI151" s="158">
        <f t="shared" ref="AI151:AK151" si="88">AI104-AI191</f>
        <v>0</v>
      </c>
      <c r="AJ151" s="158">
        <f t="shared" si="88"/>
        <v>0</v>
      </c>
      <c r="AK151" s="158">
        <f t="shared" si="88"/>
        <v>0</v>
      </c>
      <c r="AM151" s="158">
        <f>AM104-AM191</f>
        <v>0.82099999999999795</v>
      </c>
      <c r="AN151" s="158">
        <f>AN104-AN191</f>
        <v>0.80100000000001614</v>
      </c>
      <c r="AO151" s="158">
        <f>AO104-AO191</f>
        <v>2.0000000000010232E-2</v>
      </c>
    </row>
    <row r="152" spans="1:41">
      <c r="A152" s="157">
        <f t="shared" si="45"/>
        <v>45231</v>
      </c>
      <c r="B152" s="158">
        <f t="shared" si="79"/>
        <v>0</v>
      </c>
      <c r="C152" s="158">
        <f t="shared" si="79"/>
        <v>0</v>
      </c>
      <c r="D152" s="158">
        <f t="shared" si="79"/>
        <v>0</v>
      </c>
      <c r="F152" s="158">
        <f t="shared" si="80"/>
        <v>0</v>
      </c>
      <c r="G152" s="158">
        <f t="shared" si="80"/>
        <v>0</v>
      </c>
      <c r="I152" s="158">
        <f t="shared" si="81"/>
        <v>0</v>
      </c>
      <c r="J152" s="158">
        <f t="shared" si="81"/>
        <v>0</v>
      </c>
      <c r="K152" s="158">
        <f t="shared" si="81"/>
        <v>0</v>
      </c>
      <c r="M152" s="158">
        <f t="shared" si="82"/>
        <v>-3.29200000000003</v>
      </c>
      <c r="N152" s="158">
        <f t="shared" si="82"/>
        <v>0</v>
      </c>
      <c r="P152" s="158">
        <f t="shared" si="83"/>
        <v>0</v>
      </c>
      <c r="Q152" s="158">
        <f t="shared" si="83"/>
        <v>0</v>
      </c>
      <c r="R152" s="158">
        <f t="shared" si="83"/>
        <v>0</v>
      </c>
      <c r="T152" s="158">
        <f t="shared" si="84"/>
        <v>0</v>
      </c>
      <c r="U152" s="158">
        <f t="shared" si="84"/>
        <v>0</v>
      </c>
      <c r="V152" s="158">
        <f t="shared" si="84"/>
        <v>0</v>
      </c>
      <c r="X152" s="158">
        <f t="shared" si="85"/>
        <v>0</v>
      </c>
      <c r="Y152" s="158">
        <f t="shared" si="85"/>
        <v>0</v>
      </c>
      <c r="AA152" s="158">
        <f t="shared" si="86"/>
        <v>0.48300000000000409</v>
      </c>
      <c r="AB152" s="158">
        <f t="shared" si="86"/>
        <v>-1.7139999999999986</v>
      </c>
      <c r="AC152" s="158">
        <f t="shared" si="86"/>
        <v>1.0440000000000005</v>
      </c>
      <c r="AE152" s="158">
        <f t="shared" ref="AE152:AG153" si="89">AE105-AE192</f>
        <v>4.8199999999999932</v>
      </c>
      <c r="AF152" s="158">
        <f t="shared" si="89"/>
        <v>4.8199999999999932</v>
      </c>
      <c r="AG152" s="158">
        <f t="shared" si="89"/>
        <v>2</v>
      </c>
      <c r="AI152" s="158">
        <f t="shared" ref="AI152:AK153" si="90">AI105-AI192</f>
        <v>2.7539999999999907</v>
      </c>
      <c r="AJ152" s="158">
        <f t="shared" si="90"/>
        <v>0</v>
      </c>
      <c r="AK152" s="158">
        <f t="shared" si="90"/>
        <v>-1.5</v>
      </c>
      <c r="AM152" s="158">
        <f>AM105-AM192</f>
        <v>-0.93099999999998317</v>
      </c>
      <c r="AN152" s="158">
        <f>AN105-AN192</f>
        <v>0</v>
      </c>
      <c r="AO152" s="158">
        <f>AO105-AO192</f>
        <v>0</v>
      </c>
    </row>
    <row r="153" spans="1:41" ht="15" customHeight="1">
      <c r="A153" s="157">
        <f t="shared" si="45"/>
        <v>45261</v>
      </c>
      <c r="B153" s="158">
        <f t="shared" si="79"/>
        <v>0</v>
      </c>
      <c r="C153" s="158">
        <f t="shared" si="79"/>
        <v>0</v>
      </c>
      <c r="D153" s="158">
        <f t="shared" si="79"/>
        <v>0</v>
      </c>
      <c r="F153" s="158">
        <f t="shared" si="80"/>
        <v>1.6000000000005343E-2</v>
      </c>
      <c r="G153" s="158">
        <f t="shared" si="80"/>
        <v>1.9000000000000128E-2</v>
      </c>
      <c r="I153" s="158">
        <f t="shared" si="81"/>
        <v>0</v>
      </c>
      <c r="J153" s="158">
        <f t="shared" si="81"/>
        <v>0</v>
      </c>
      <c r="K153" s="158">
        <f t="shared" si="81"/>
        <v>0</v>
      </c>
      <c r="M153" s="158">
        <f t="shared" si="82"/>
        <v>10.125</v>
      </c>
      <c r="N153" s="158">
        <f t="shared" si="82"/>
        <v>-0.28600000000000136</v>
      </c>
      <c r="P153" s="158">
        <f t="shared" si="83"/>
        <v>0</v>
      </c>
      <c r="Q153" s="158">
        <f t="shared" si="83"/>
        <v>0</v>
      </c>
      <c r="R153" s="158">
        <f t="shared" si="83"/>
        <v>0</v>
      </c>
      <c r="T153" s="158">
        <f t="shared" si="84"/>
        <v>3.9999999999906777E-3</v>
      </c>
      <c r="U153" s="158">
        <f t="shared" si="84"/>
        <v>-1.6999999999995907E-2</v>
      </c>
      <c r="V153" s="158">
        <f t="shared" si="84"/>
        <v>2.1000000000000796E-2</v>
      </c>
      <c r="X153" s="158">
        <f t="shared" si="85"/>
        <v>-0.10099999999999909</v>
      </c>
      <c r="Y153" s="158">
        <f t="shared" si="85"/>
        <v>-0.14500000000001023</v>
      </c>
      <c r="AA153" s="158">
        <f t="shared" si="86"/>
        <v>0</v>
      </c>
      <c r="AB153" s="158">
        <f t="shared" si="86"/>
        <v>-0.60099999999999909</v>
      </c>
      <c r="AC153" s="158">
        <f t="shared" si="86"/>
        <v>0</v>
      </c>
      <c r="AE153" s="158">
        <f t="shared" si="89"/>
        <v>8.5769999999999982</v>
      </c>
      <c r="AF153" s="158">
        <f t="shared" si="89"/>
        <v>8.2239999999999895</v>
      </c>
      <c r="AG153" s="158">
        <f t="shared" si="89"/>
        <v>-16.293999999999997</v>
      </c>
      <c r="AI153" s="158">
        <f t="shared" si="90"/>
        <v>0</v>
      </c>
      <c r="AJ153" s="158">
        <f t="shared" si="90"/>
        <v>0</v>
      </c>
      <c r="AK153" s="158">
        <f t="shared" si="90"/>
        <v>0</v>
      </c>
      <c r="AM153" s="158">
        <f>AM106-AM193</f>
        <v>-0.10000000000002274</v>
      </c>
      <c r="AN153" s="158">
        <f>AN106-AN193</f>
        <v>0.20000000000001705</v>
      </c>
      <c r="AO153" s="158">
        <f>AO106-AO193</f>
        <v>0.69999999999998863</v>
      </c>
    </row>
    <row r="154" spans="1:41" ht="15" customHeight="1">
      <c r="A154" s="157">
        <f t="shared" si="45"/>
        <v>45292</v>
      </c>
      <c r="B154" s="158">
        <f t="shared" ref="B154:D154" si="91">B107-B194</f>
        <v>0</v>
      </c>
      <c r="C154" s="158">
        <f t="shared" si="91"/>
        <v>0</v>
      </c>
      <c r="D154" s="158">
        <f t="shared" si="91"/>
        <v>0</v>
      </c>
      <c r="F154" s="158">
        <f t="shared" ref="F154:G154" si="92">F107-F194</f>
        <v>0.97100000000000364</v>
      </c>
      <c r="G154" s="158">
        <f t="shared" si="92"/>
        <v>0</v>
      </c>
      <c r="I154" s="158">
        <f t="shared" ref="I154:K154" si="93">I107-I194</f>
        <v>0</v>
      </c>
      <c r="J154" s="158">
        <f t="shared" si="93"/>
        <v>0</v>
      </c>
      <c r="K154" s="158">
        <f t="shared" si="93"/>
        <v>0</v>
      </c>
      <c r="M154" s="158">
        <f t="shared" ref="M154:N154" si="94">M107-M194</f>
        <v>4.0769999999999982</v>
      </c>
      <c r="N154" s="158">
        <f t="shared" si="94"/>
        <v>4.8000000000001819E-2</v>
      </c>
      <c r="P154" s="158">
        <f t="shared" ref="P154:R154" si="95">P107-P194</f>
        <v>0</v>
      </c>
      <c r="Q154" s="158">
        <f t="shared" si="95"/>
        <v>0</v>
      </c>
      <c r="R154" s="158">
        <f t="shared" si="95"/>
        <v>0</v>
      </c>
      <c r="T154" s="158">
        <f t="shared" ref="T154:V154" si="96">T107-T194</f>
        <v>-4.8950000000000102</v>
      </c>
      <c r="U154" s="158">
        <f t="shared" si="96"/>
        <v>-4.5750000000000171</v>
      </c>
      <c r="V154" s="158">
        <f t="shared" si="96"/>
        <v>-0.32000000000000028</v>
      </c>
      <c r="X154" s="158">
        <f t="shared" ref="X154:Y154" si="97">X107-X194</f>
        <v>4.4939999999999714</v>
      </c>
      <c r="Y154" s="158">
        <f t="shared" si="97"/>
        <v>0</v>
      </c>
      <c r="AA154" s="158">
        <f t="shared" ref="AA154:AC154" si="98">AA107-AA194</f>
        <v>-0.12099999999999511</v>
      </c>
      <c r="AB154" s="158">
        <f t="shared" si="98"/>
        <v>-0.12099999999999511</v>
      </c>
      <c r="AC154" s="158">
        <f t="shared" si="98"/>
        <v>0</v>
      </c>
      <c r="AE154" s="158">
        <f t="shared" ref="AE154:AG154" si="99">AE107-AE194</f>
        <v>9.9730000000000132</v>
      </c>
      <c r="AF154" s="158">
        <f t="shared" si="99"/>
        <v>9.9730000000000132</v>
      </c>
      <c r="AG154" s="158">
        <f t="shared" si="99"/>
        <v>0</v>
      </c>
      <c r="AI154" s="158">
        <f t="shared" ref="AI154:AK154" si="100">AI107-AI194</f>
        <v>0.65100000000001046</v>
      </c>
      <c r="AJ154" s="158">
        <f t="shared" si="100"/>
        <v>0.65099999999999625</v>
      </c>
      <c r="AK154" s="158">
        <f t="shared" si="100"/>
        <v>0</v>
      </c>
      <c r="AM154" s="158">
        <f t="shared" ref="AM154:AO154" si="101">AM107-AM194</f>
        <v>0.19999999999998863</v>
      </c>
      <c r="AN154" s="158">
        <f t="shared" si="101"/>
        <v>1.9000000000000057</v>
      </c>
      <c r="AO154" s="158">
        <f t="shared" si="101"/>
        <v>0.40000000000000568</v>
      </c>
    </row>
    <row r="155" spans="1:41" ht="15" customHeight="1">
      <c r="A155" s="157">
        <f t="shared" si="45"/>
        <v>45323</v>
      </c>
      <c r="B155" s="158">
        <f t="shared" ref="B155:D162" si="102">B108-B195</f>
        <v>0</v>
      </c>
      <c r="C155" s="158">
        <f t="shared" si="102"/>
        <v>0</v>
      </c>
      <c r="D155" s="158">
        <f t="shared" si="102"/>
        <v>0</v>
      </c>
      <c r="F155" s="158">
        <f t="shared" ref="F155:G162" si="103">F108-F195</f>
        <v>0</v>
      </c>
      <c r="G155" s="158">
        <f t="shared" si="103"/>
        <v>0</v>
      </c>
      <c r="I155" s="158">
        <f t="shared" ref="I155:K162" si="104">I108-I195</f>
        <v>0</v>
      </c>
      <c r="J155" s="158">
        <f t="shared" si="104"/>
        <v>0</v>
      </c>
      <c r="K155" s="158">
        <f t="shared" si="104"/>
        <v>0</v>
      </c>
      <c r="M155" s="158">
        <f t="shared" ref="M155:N162" si="105">M108-M195</f>
        <v>5.8419999999999845</v>
      </c>
      <c r="N155" s="158">
        <f t="shared" si="105"/>
        <v>0.73099999999999454</v>
      </c>
      <c r="P155" s="158">
        <f t="shared" ref="P155:R162" si="106">P108-P195</f>
        <v>0</v>
      </c>
      <c r="Q155" s="158">
        <f t="shared" si="106"/>
        <v>0</v>
      </c>
      <c r="R155" s="158">
        <f t="shared" si="106"/>
        <v>0</v>
      </c>
      <c r="T155" s="158">
        <f t="shared" ref="T155:V162" si="107">T108-T195</f>
        <v>0</v>
      </c>
      <c r="U155" s="158">
        <f t="shared" si="107"/>
        <v>0</v>
      </c>
      <c r="V155" s="158">
        <f t="shared" si="107"/>
        <v>0</v>
      </c>
      <c r="X155" s="158">
        <f t="shared" ref="X155:Y162" si="108">X108-X195</f>
        <v>0</v>
      </c>
      <c r="Y155" s="158">
        <f t="shared" si="108"/>
        <v>0</v>
      </c>
      <c r="AA155" s="158">
        <f t="shared" ref="AA155:AC162" si="109">AA108-AA195</f>
        <v>-0.25900000000000034</v>
      </c>
      <c r="AB155" s="158">
        <f t="shared" si="109"/>
        <v>-0.25900000000000034</v>
      </c>
      <c r="AC155" s="158">
        <f t="shared" si="109"/>
        <v>0</v>
      </c>
      <c r="AE155" s="158">
        <f t="shared" ref="AE155:AG162" si="110">AE108-AE195</f>
        <v>-6.3460000000000036</v>
      </c>
      <c r="AF155" s="158">
        <f t="shared" si="110"/>
        <v>313.608</v>
      </c>
      <c r="AG155" s="158">
        <f t="shared" si="110"/>
        <v>4.600000000000648E-2</v>
      </c>
      <c r="AI155" s="158">
        <f t="shared" ref="AI155:AK162" si="111">AI108-AI195</f>
        <v>-5.4730000000000132</v>
      </c>
      <c r="AJ155" s="158">
        <f t="shared" si="111"/>
        <v>-5.4729999999999848</v>
      </c>
      <c r="AK155" s="158">
        <f t="shared" si="111"/>
        <v>0</v>
      </c>
      <c r="AM155" s="158">
        <f t="shared" ref="AM155:AO162" si="112">AM108-AM195</f>
        <v>0.29999999999998295</v>
      </c>
      <c r="AN155" s="158">
        <f t="shared" si="112"/>
        <v>1.4000000000000057</v>
      </c>
      <c r="AO155" s="158">
        <f t="shared" si="112"/>
        <v>0.30000000000001137</v>
      </c>
    </row>
    <row r="156" spans="1:41" ht="15" customHeight="1">
      <c r="A156" s="157">
        <f t="shared" si="45"/>
        <v>45352</v>
      </c>
      <c r="B156" s="158">
        <f t="shared" si="102"/>
        <v>0</v>
      </c>
      <c r="C156" s="158">
        <f t="shared" si="102"/>
        <v>0</v>
      </c>
      <c r="D156" s="158">
        <f t="shared" si="102"/>
        <v>0</v>
      </c>
      <c r="F156" s="158">
        <f t="shared" si="103"/>
        <v>0</v>
      </c>
      <c r="G156" s="158">
        <f t="shared" si="103"/>
        <v>0</v>
      </c>
      <c r="I156" s="158">
        <f t="shared" si="104"/>
        <v>0</v>
      </c>
      <c r="J156" s="158">
        <f t="shared" si="104"/>
        <v>0</v>
      </c>
      <c r="K156" s="158">
        <f t="shared" si="104"/>
        <v>0</v>
      </c>
      <c r="M156" s="158">
        <f t="shared" si="105"/>
        <v>0.12100000000003774</v>
      </c>
      <c r="N156" s="158">
        <f t="shared" si="105"/>
        <v>1.8000000000000682E-2</v>
      </c>
      <c r="P156" s="158">
        <f t="shared" si="106"/>
        <v>0</v>
      </c>
      <c r="Q156" s="158">
        <f t="shared" si="106"/>
        <v>0</v>
      </c>
      <c r="R156" s="158">
        <f t="shared" si="106"/>
        <v>0</v>
      </c>
      <c r="T156" s="158">
        <f t="shared" si="107"/>
        <v>0</v>
      </c>
      <c r="U156" s="158">
        <f t="shared" si="107"/>
        <v>0</v>
      </c>
      <c r="V156" s="158">
        <f t="shared" si="107"/>
        <v>0</v>
      </c>
      <c r="X156" s="158">
        <f t="shared" si="108"/>
        <v>0</v>
      </c>
      <c r="Y156" s="158">
        <f t="shared" si="108"/>
        <v>0</v>
      </c>
      <c r="AA156" s="158">
        <f t="shared" si="109"/>
        <v>0</v>
      </c>
      <c r="AB156" s="158">
        <f t="shared" si="109"/>
        <v>0</v>
      </c>
      <c r="AC156" s="158">
        <f t="shared" si="109"/>
        <v>0</v>
      </c>
      <c r="AE156" s="158">
        <f t="shared" si="110"/>
        <v>0</v>
      </c>
      <c r="AF156" s="158">
        <f t="shared" si="110"/>
        <v>0</v>
      </c>
      <c r="AG156" s="158">
        <f t="shared" si="110"/>
        <v>0</v>
      </c>
      <c r="AI156" s="158">
        <f t="shared" si="111"/>
        <v>0</v>
      </c>
      <c r="AJ156" s="158">
        <f t="shared" si="111"/>
        <v>0</v>
      </c>
      <c r="AK156" s="158">
        <f t="shared" si="111"/>
        <v>0</v>
      </c>
      <c r="AM156" s="158">
        <f t="shared" si="112"/>
        <v>0</v>
      </c>
      <c r="AN156" s="158">
        <f t="shared" si="112"/>
        <v>0</v>
      </c>
      <c r="AO156" s="158">
        <f t="shared" si="112"/>
        <v>0</v>
      </c>
    </row>
    <row r="157" spans="1:41" ht="15" customHeight="1">
      <c r="A157" s="157">
        <f t="shared" si="45"/>
        <v>45383</v>
      </c>
      <c r="B157" s="158">
        <f t="shared" si="102"/>
        <v>0</v>
      </c>
      <c r="C157" s="158">
        <f t="shared" si="102"/>
        <v>0</v>
      </c>
      <c r="D157" s="158">
        <f t="shared" si="102"/>
        <v>0</v>
      </c>
      <c r="F157" s="158">
        <f t="shared" si="103"/>
        <v>0</v>
      </c>
      <c r="G157" s="158">
        <f t="shared" si="103"/>
        <v>0</v>
      </c>
      <c r="I157" s="158">
        <f t="shared" si="104"/>
        <v>0</v>
      </c>
      <c r="J157" s="158">
        <f t="shared" si="104"/>
        <v>0</v>
      </c>
      <c r="K157" s="158">
        <f t="shared" si="104"/>
        <v>0</v>
      </c>
      <c r="M157" s="158">
        <f t="shared" si="105"/>
        <v>-0.29900000000003502</v>
      </c>
      <c r="N157" s="158">
        <f t="shared" si="105"/>
        <v>-0.31800000000000495</v>
      </c>
      <c r="P157" s="158">
        <f t="shared" si="106"/>
        <v>0</v>
      </c>
      <c r="Q157" s="158">
        <f t="shared" si="106"/>
        <v>0</v>
      </c>
      <c r="R157" s="158">
        <f t="shared" si="106"/>
        <v>0</v>
      </c>
      <c r="T157" s="158">
        <f t="shared" si="107"/>
        <v>0</v>
      </c>
      <c r="U157" s="158">
        <f t="shared" si="107"/>
        <v>0</v>
      </c>
      <c r="V157" s="158">
        <f t="shared" si="107"/>
        <v>0</v>
      </c>
      <c r="X157" s="158">
        <f t="shared" si="108"/>
        <v>0</v>
      </c>
      <c r="Y157" s="158">
        <f t="shared" si="108"/>
        <v>0</v>
      </c>
      <c r="AA157" s="158">
        <f t="shared" si="109"/>
        <v>0</v>
      </c>
      <c r="AB157" s="158">
        <f t="shared" si="109"/>
        <v>0</v>
      </c>
      <c r="AC157" s="158">
        <f t="shared" si="109"/>
        <v>0</v>
      </c>
      <c r="AE157" s="158">
        <f t="shared" si="110"/>
        <v>0</v>
      </c>
      <c r="AF157" s="158">
        <f t="shared" si="110"/>
        <v>0</v>
      </c>
      <c r="AG157" s="158">
        <f t="shared" si="110"/>
        <v>0</v>
      </c>
      <c r="AI157" s="158">
        <f t="shared" si="111"/>
        <v>0</v>
      </c>
      <c r="AJ157" s="158">
        <f t="shared" si="111"/>
        <v>0</v>
      </c>
      <c r="AK157" s="158">
        <f t="shared" si="111"/>
        <v>0</v>
      </c>
      <c r="AM157" s="158">
        <f t="shared" si="112"/>
        <v>0</v>
      </c>
      <c r="AN157" s="158">
        <f t="shared" si="112"/>
        <v>0</v>
      </c>
      <c r="AO157" s="158">
        <f t="shared" si="112"/>
        <v>0</v>
      </c>
    </row>
    <row r="158" spans="1:41" ht="15" customHeight="1">
      <c r="A158" s="157">
        <f t="shared" si="45"/>
        <v>45413</v>
      </c>
      <c r="B158" s="158">
        <f t="shared" si="102"/>
        <v>0</v>
      </c>
      <c r="C158" s="158">
        <f t="shared" si="102"/>
        <v>0</v>
      </c>
      <c r="D158" s="158">
        <f t="shared" si="102"/>
        <v>0</v>
      </c>
      <c r="F158" s="158">
        <f t="shared" si="103"/>
        <v>0</v>
      </c>
      <c r="G158" s="158">
        <f t="shared" si="103"/>
        <v>0</v>
      </c>
      <c r="I158" s="158">
        <f t="shared" si="104"/>
        <v>0</v>
      </c>
      <c r="J158" s="158">
        <f t="shared" si="104"/>
        <v>0</v>
      </c>
      <c r="K158" s="158">
        <f t="shared" si="104"/>
        <v>2</v>
      </c>
      <c r="M158" s="158">
        <f t="shared" si="105"/>
        <v>0.9849999999999568</v>
      </c>
      <c r="N158" s="158">
        <f t="shared" si="105"/>
        <v>0.33500000000000085</v>
      </c>
      <c r="P158" s="158">
        <f t="shared" si="106"/>
        <v>0</v>
      </c>
      <c r="Q158" s="158">
        <f t="shared" si="106"/>
        <v>0</v>
      </c>
      <c r="R158" s="158">
        <f t="shared" si="106"/>
        <v>0</v>
      </c>
      <c r="T158" s="158">
        <f t="shared" si="107"/>
        <v>0</v>
      </c>
      <c r="U158" s="158">
        <f t="shared" si="107"/>
        <v>0</v>
      </c>
      <c r="V158" s="158">
        <f t="shared" si="107"/>
        <v>0</v>
      </c>
      <c r="X158" s="158">
        <f t="shared" si="108"/>
        <v>0</v>
      </c>
      <c r="Y158" s="158">
        <f t="shared" si="108"/>
        <v>0</v>
      </c>
      <c r="AA158" s="158">
        <f t="shared" si="109"/>
        <v>0</v>
      </c>
      <c r="AB158" s="158">
        <f t="shared" si="109"/>
        <v>0</v>
      </c>
      <c r="AC158" s="158">
        <f t="shared" si="109"/>
        <v>0</v>
      </c>
      <c r="AE158" s="158">
        <f t="shared" si="110"/>
        <v>0</v>
      </c>
      <c r="AF158" s="158">
        <f t="shared" si="110"/>
        <v>0</v>
      </c>
      <c r="AG158" s="158">
        <f t="shared" si="110"/>
        <v>0</v>
      </c>
      <c r="AI158" s="158">
        <f t="shared" si="111"/>
        <v>0</v>
      </c>
      <c r="AJ158" s="158">
        <f t="shared" si="111"/>
        <v>0</v>
      </c>
      <c r="AK158" s="158">
        <f t="shared" si="111"/>
        <v>0</v>
      </c>
      <c r="AM158" s="158">
        <f t="shared" si="112"/>
        <v>1.3000000000000114</v>
      </c>
      <c r="AN158" s="158">
        <f t="shared" si="112"/>
        <v>-111.39999999999998</v>
      </c>
      <c r="AO158" s="158">
        <f t="shared" si="112"/>
        <v>45.2</v>
      </c>
    </row>
    <row r="159" spans="1:41" ht="15" customHeight="1">
      <c r="A159" s="157">
        <f t="shared" si="45"/>
        <v>45444</v>
      </c>
      <c r="B159" s="158">
        <f t="shared" si="102"/>
        <v>10.751999999999995</v>
      </c>
      <c r="C159" s="158">
        <f t="shared" si="102"/>
        <v>10.751999999999995</v>
      </c>
      <c r="D159" s="158">
        <f t="shared" si="102"/>
        <v>0</v>
      </c>
      <c r="F159" s="158">
        <f t="shared" si="103"/>
        <v>0</v>
      </c>
      <c r="G159" s="158">
        <f t="shared" si="103"/>
        <v>0</v>
      </c>
      <c r="I159" s="158">
        <f t="shared" si="104"/>
        <v>9.2000000000000526E-2</v>
      </c>
      <c r="J159" s="158">
        <f t="shared" si="104"/>
        <v>8.8999999999998636E-2</v>
      </c>
      <c r="K159" s="158">
        <f t="shared" si="104"/>
        <v>0</v>
      </c>
      <c r="M159" s="158">
        <f t="shared" si="105"/>
        <v>0.12700000000000955</v>
      </c>
      <c r="N159" s="158">
        <f t="shared" si="105"/>
        <v>0</v>
      </c>
      <c r="P159" s="158">
        <f t="shared" si="106"/>
        <v>-3.9570000000000007</v>
      </c>
      <c r="Q159" s="158">
        <f t="shared" si="106"/>
        <v>7.3000000000000398E-2</v>
      </c>
      <c r="R159" s="158">
        <f t="shared" si="106"/>
        <v>0</v>
      </c>
      <c r="T159" s="158">
        <f t="shared" si="107"/>
        <v>0</v>
      </c>
      <c r="U159" s="158">
        <f t="shared" si="107"/>
        <v>0</v>
      </c>
      <c r="V159" s="158">
        <f t="shared" si="107"/>
        <v>-2.9999999999997584E-2</v>
      </c>
      <c r="X159" s="158">
        <f t="shared" si="108"/>
        <v>0</v>
      </c>
      <c r="Y159" s="158">
        <f t="shared" si="108"/>
        <v>0</v>
      </c>
      <c r="AA159" s="158">
        <f t="shared" si="109"/>
        <v>-0.58399999999998897</v>
      </c>
      <c r="AB159" s="158">
        <f t="shared" si="109"/>
        <v>-1.0190000000000055</v>
      </c>
      <c r="AC159" s="158">
        <f t="shared" si="109"/>
        <v>0.97499999999999964</v>
      </c>
      <c r="AE159" s="158">
        <f t="shared" si="110"/>
        <v>0</v>
      </c>
      <c r="AF159" s="158">
        <f t="shared" si="110"/>
        <v>0</v>
      </c>
      <c r="AG159" s="158">
        <f t="shared" si="110"/>
        <v>0</v>
      </c>
      <c r="AI159" s="158">
        <f t="shared" si="111"/>
        <v>0</v>
      </c>
      <c r="AJ159" s="158">
        <f t="shared" si="111"/>
        <v>0</v>
      </c>
      <c r="AK159" s="158">
        <f t="shared" si="111"/>
        <v>0</v>
      </c>
      <c r="AM159" s="158">
        <f t="shared" si="112"/>
        <v>0</v>
      </c>
      <c r="AN159" s="158">
        <f t="shared" si="112"/>
        <v>0</v>
      </c>
      <c r="AO159" s="158">
        <f t="shared" si="112"/>
        <v>0</v>
      </c>
    </row>
    <row r="160" spans="1:41" ht="15" customHeight="1">
      <c r="A160" s="157">
        <f t="shared" si="45"/>
        <v>45474</v>
      </c>
      <c r="B160" s="158">
        <f t="shared" si="102"/>
        <v>0</v>
      </c>
      <c r="C160" s="158">
        <f t="shared" si="102"/>
        <v>0</v>
      </c>
      <c r="D160" s="158">
        <f t="shared" si="102"/>
        <v>0</v>
      </c>
      <c r="F160" s="158">
        <f t="shared" si="103"/>
        <v>0</v>
      </c>
      <c r="G160" s="158">
        <f t="shared" si="103"/>
        <v>0</v>
      </c>
      <c r="I160" s="158">
        <f t="shared" si="104"/>
        <v>0</v>
      </c>
      <c r="J160" s="158">
        <f t="shared" si="104"/>
        <v>0</v>
      </c>
      <c r="K160" s="158">
        <f t="shared" si="104"/>
        <v>0</v>
      </c>
      <c r="M160" s="158">
        <f t="shared" si="105"/>
        <v>0</v>
      </c>
      <c r="N160" s="158">
        <f t="shared" si="105"/>
        <v>0</v>
      </c>
      <c r="P160" s="158">
        <f t="shared" si="106"/>
        <v>0</v>
      </c>
      <c r="Q160" s="158">
        <f t="shared" si="106"/>
        <v>0</v>
      </c>
      <c r="R160" s="158">
        <f t="shared" si="106"/>
        <v>0</v>
      </c>
      <c r="T160" s="158">
        <f t="shared" si="107"/>
        <v>0</v>
      </c>
      <c r="U160" s="158">
        <f t="shared" si="107"/>
        <v>0</v>
      </c>
      <c r="V160" s="158">
        <f t="shared" si="107"/>
        <v>0</v>
      </c>
      <c r="X160" s="158">
        <f t="shared" si="108"/>
        <v>0</v>
      </c>
      <c r="Y160" s="158">
        <f t="shared" si="108"/>
        <v>0</v>
      </c>
      <c r="AA160" s="158">
        <f t="shared" si="109"/>
        <v>0</v>
      </c>
      <c r="AB160" s="158">
        <f t="shared" si="109"/>
        <v>0</v>
      </c>
      <c r="AC160" s="158">
        <f t="shared" si="109"/>
        <v>0</v>
      </c>
      <c r="AE160" s="158">
        <f t="shared" si="110"/>
        <v>0</v>
      </c>
      <c r="AF160" s="158">
        <f t="shared" si="110"/>
        <v>0</v>
      </c>
      <c r="AG160" s="158">
        <f t="shared" si="110"/>
        <v>0</v>
      </c>
      <c r="AI160" s="158">
        <f t="shared" si="111"/>
        <v>0</v>
      </c>
      <c r="AJ160" s="158">
        <f t="shared" si="111"/>
        <v>0</v>
      </c>
      <c r="AK160" s="158">
        <f t="shared" si="111"/>
        <v>0</v>
      </c>
      <c r="AM160" s="158">
        <f t="shared" si="112"/>
        <v>0</v>
      </c>
      <c r="AN160" s="158">
        <f t="shared" si="112"/>
        <v>0</v>
      </c>
      <c r="AO160" s="158">
        <f t="shared" si="112"/>
        <v>0</v>
      </c>
    </row>
    <row r="161" spans="1:41" ht="15" customHeight="1">
      <c r="A161" s="157">
        <f t="shared" si="45"/>
        <v>45505</v>
      </c>
      <c r="B161" s="158">
        <f t="shared" si="102"/>
        <v>0</v>
      </c>
      <c r="C161" s="158">
        <f t="shared" si="102"/>
        <v>0</v>
      </c>
      <c r="D161" s="158">
        <f t="shared" si="102"/>
        <v>0</v>
      </c>
      <c r="F161" s="158">
        <f t="shared" si="103"/>
        <v>0</v>
      </c>
      <c r="G161" s="158">
        <f t="shared" si="103"/>
        <v>0</v>
      </c>
      <c r="I161" s="158">
        <f t="shared" si="104"/>
        <v>0</v>
      </c>
      <c r="J161" s="158">
        <f t="shared" si="104"/>
        <v>0</v>
      </c>
      <c r="K161" s="158">
        <f t="shared" si="104"/>
        <v>0</v>
      </c>
      <c r="M161" s="158">
        <f t="shared" si="105"/>
        <v>0</v>
      </c>
      <c r="N161" s="158">
        <f t="shared" si="105"/>
        <v>0</v>
      </c>
      <c r="P161" s="158">
        <f t="shared" si="106"/>
        <v>0</v>
      </c>
      <c r="Q161" s="158">
        <f t="shared" si="106"/>
        <v>0</v>
      </c>
      <c r="R161" s="158">
        <f t="shared" si="106"/>
        <v>0</v>
      </c>
      <c r="T161" s="158">
        <f t="shared" si="107"/>
        <v>0</v>
      </c>
      <c r="U161" s="158">
        <f t="shared" si="107"/>
        <v>0</v>
      </c>
      <c r="V161" s="158">
        <f t="shared" si="107"/>
        <v>0</v>
      </c>
      <c r="X161" s="158">
        <f t="shared" si="108"/>
        <v>0</v>
      </c>
      <c r="Y161" s="158">
        <f t="shared" si="108"/>
        <v>0</v>
      </c>
      <c r="AA161" s="158">
        <f t="shared" si="109"/>
        <v>0</v>
      </c>
      <c r="AB161" s="158">
        <f t="shared" si="109"/>
        <v>0</v>
      </c>
      <c r="AC161" s="158">
        <f t="shared" si="109"/>
        <v>0</v>
      </c>
      <c r="AE161" s="158">
        <f t="shared" si="110"/>
        <v>0</v>
      </c>
      <c r="AF161" s="158">
        <f t="shared" si="110"/>
        <v>0</v>
      </c>
      <c r="AG161" s="158">
        <f t="shared" si="110"/>
        <v>0</v>
      </c>
      <c r="AI161" s="158">
        <f t="shared" si="111"/>
        <v>0</v>
      </c>
      <c r="AJ161" s="158">
        <f t="shared" si="111"/>
        <v>0</v>
      </c>
      <c r="AK161" s="158">
        <f t="shared" si="111"/>
        <v>0</v>
      </c>
      <c r="AM161" s="158">
        <f t="shared" si="112"/>
        <v>0</v>
      </c>
      <c r="AN161" s="158">
        <f t="shared" si="112"/>
        <v>0</v>
      </c>
      <c r="AO161" s="158">
        <f t="shared" si="112"/>
        <v>0</v>
      </c>
    </row>
    <row r="162" spans="1:41" ht="15" customHeight="1">
      <c r="A162" s="157">
        <f t="shared" si="45"/>
        <v>45536</v>
      </c>
      <c r="B162" s="158">
        <f t="shared" si="102"/>
        <v>1.9269999999999925</v>
      </c>
      <c r="C162" s="158">
        <f t="shared" si="102"/>
        <v>1.9269999999999925</v>
      </c>
      <c r="D162" s="158">
        <f t="shared" si="102"/>
        <v>0</v>
      </c>
      <c r="F162" s="158">
        <f t="shared" si="103"/>
        <v>0.10999999999999943</v>
      </c>
      <c r="G162" s="158">
        <f t="shared" si="103"/>
        <v>0</v>
      </c>
      <c r="I162" s="158">
        <f t="shared" si="104"/>
        <v>-7.1169999999999973</v>
      </c>
      <c r="J162" s="158">
        <f t="shared" si="104"/>
        <v>-1.8079999999999998</v>
      </c>
      <c r="K162" s="158">
        <f t="shared" si="104"/>
        <v>0</v>
      </c>
      <c r="M162" s="158">
        <f t="shared" si="105"/>
        <v>-42.065999999999974</v>
      </c>
      <c r="N162" s="158">
        <f t="shared" si="105"/>
        <v>-1.0489999999999995</v>
      </c>
      <c r="P162" s="158">
        <f t="shared" si="106"/>
        <v>0</v>
      </c>
      <c r="Q162" s="158">
        <f t="shared" si="106"/>
        <v>0</v>
      </c>
      <c r="R162" s="158">
        <f t="shared" si="106"/>
        <v>0</v>
      </c>
      <c r="T162" s="158">
        <f t="shared" si="107"/>
        <v>-1.2019999999999982</v>
      </c>
      <c r="U162" s="158">
        <f t="shared" si="107"/>
        <v>-0.99600000000000932</v>
      </c>
      <c r="V162" s="158">
        <f t="shared" si="107"/>
        <v>-0.11500000000000199</v>
      </c>
      <c r="X162" s="158">
        <f t="shared" si="108"/>
        <v>-0.64800000000002456</v>
      </c>
      <c r="Y162" s="158">
        <f t="shared" si="108"/>
        <v>-2.7000000000001023E-2</v>
      </c>
      <c r="AA162" s="158">
        <f t="shared" si="109"/>
        <v>0</v>
      </c>
      <c r="AB162" s="158">
        <f t="shared" si="109"/>
        <v>0</v>
      </c>
      <c r="AC162" s="158">
        <f t="shared" si="109"/>
        <v>0</v>
      </c>
      <c r="AE162" s="158">
        <f t="shared" si="110"/>
        <v>-12.441000000000031</v>
      </c>
      <c r="AF162" s="158">
        <f t="shared" si="110"/>
        <v>-11.315999999999974</v>
      </c>
      <c r="AG162" s="158">
        <f t="shared" si="110"/>
        <v>-1.125</v>
      </c>
      <c r="AI162" s="158">
        <f t="shared" si="111"/>
        <v>-2.1260000000000048</v>
      </c>
      <c r="AJ162" s="158">
        <f t="shared" si="111"/>
        <v>-2.1260000000000048</v>
      </c>
      <c r="AK162" s="158">
        <f t="shared" si="111"/>
        <v>0</v>
      </c>
      <c r="AM162" s="158">
        <f t="shared" si="112"/>
        <v>0</v>
      </c>
      <c r="AN162" s="158">
        <f t="shared" si="112"/>
        <v>0</v>
      </c>
      <c r="AO162" s="158">
        <f t="shared" si="112"/>
        <v>0</v>
      </c>
    </row>
    <row r="163" spans="1:41" ht="15" customHeight="1">
      <c r="A163" s="157">
        <f t="shared" si="45"/>
        <v>45566</v>
      </c>
      <c r="B163" s="158">
        <f t="shared" ref="B163:D163" si="113">B116-B203</f>
        <v>0.27000000000001023</v>
      </c>
      <c r="C163" s="158">
        <f t="shared" si="113"/>
        <v>0</v>
      </c>
      <c r="D163" s="158">
        <f t="shared" si="113"/>
        <v>0</v>
      </c>
      <c r="F163" s="158">
        <f t="shared" ref="F163:G163" si="114">F116-F203</f>
        <v>-0.15200000000000102</v>
      </c>
      <c r="G163" s="158">
        <f t="shared" si="114"/>
        <v>-3.6000000000001364E-2</v>
      </c>
      <c r="I163" s="158">
        <f t="shared" ref="I163:J163" si="115">I116-I203</f>
        <v>0</v>
      </c>
      <c r="J163" s="158">
        <f t="shared" si="115"/>
        <v>0</v>
      </c>
      <c r="K163" s="158">
        <f>K116-K203</f>
        <v>0</v>
      </c>
      <c r="M163" s="158">
        <f t="shared" ref="M163:N163" si="116">M116-M203</f>
        <v>3.7960000000000491</v>
      </c>
      <c r="N163" s="158">
        <f t="shared" si="116"/>
        <v>-0.63599999999999568</v>
      </c>
      <c r="P163" s="158">
        <f t="shared" ref="P163:R163" si="117">P116-P203</f>
        <v>0</v>
      </c>
      <c r="Q163" s="158">
        <f t="shared" si="117"/>
        <v>0</v>
      </c>
      <c r="R163" s="158">
        <f t="shared" si="117"/>
        <v>0</v>
      </c>
      <c r="T163" s="158">
        <f t="shared" ref="T163:V163" si="118">T116-T203</f>
        <v>-0.117999999999995</v>
      </c>
      <c r="U163" s="158">
        <f t="shared" si="118"/>
        <v>7.9000000000007731E-2</v>
      </c>
      <c r="V163" s="158">
        <f t="shared" si="118"/>
        <v>0</v>
      </c>
      <c r="X163" s="158">
        <f t="shared" ref="X163:Y163" si="119">X116-X203</f>
        <v>-0.41100000000000136</v>
      </c>
      <c r="Y163" s="158">
        <f t="shared" si="119"/>
        <v>-0.36499999999999488</v>
      </c>
      <c r="AA163" s="158">
        <f t="shared" ref="AA163:AC163" si="120">AA116-AA203</f>
        <v>0.39700000000000557</v>
      </c>
      <c r="AB163" s="158">
        <f t="shared" si="120"/>
        <v>0.11899999999999977</v>
      </c>
      <c r="AC163" s="158">
        <f t="shared" si="120"/>
        <v>-3.4019999999999992</v>
      </c>
      <c r="AE163" s="158">
        <f t="shared" ref="AE163:AG163" si="121">AE116-AE203</f>
        <v>3.3509999999999991</v>
      </c>
      <c r="AF163" s="158">
        <f t="shared" si="121"/>
        <v>4.2220000000000368</v>
      </c>
      <c r="AG163" s="158">
        <f t="shared" si="121"/>
        <v>-0.87000000000000455</v>
      </c>
      <c r="AI163" s="158">
        <f t="shared" ref="AI163:AK163" si="122">AI116-AI203</f>
        <v>0</v>
      </c>
      <c r="AJ163" s="158">
        <f t="shared" si="122"/>
        <v>-6.1800000000000068</v>
      </c>
      <c r="AK163" s="158">
        <f t="shared" si="122"/>
        <v>0</v>
      </c>
      <c r="AM163" s="158">
        <f t="shared" ref="AM163:AO163" si="123">AM116-AM203</f>
        <v>0</v>
      </c>
      <c r="AN163" s="158">
        <f t="shared" si="123"/>
        <v>0</v>
      </c>
      <c r="AO163" s="158">
        <f t="shared" si="123"/>
        <v>0</v>
      </c>
    </row>
    <row r="164" spans="1:41" ht="15" customHeight="1">
      <c r="A164" s="157">
        <f t="shared" si="45"/>
        <v>45597</v>
      </c>
      <c r="B164" s="158">
        <f t="shared" ref="B164:D165" si="124">B117-B204</f>
        <v>0</v>
      </c>
      <c r="C164" s="158">
        <f t="shared" si="124"/>
        <v>0</v>
      </c>
      <c r="D164" s="158">
        <f t="shared" si="124"/>
        <v>0</v>
      </c>
      <c r="F164" s="158">
        <f>F117-F204</f>
        <v>0</v>
      </c>
      <c r="G164" s="158">
        <f>G117-G204</f>
        <v>0</v>
      </c>
      <c r="I164" s="158">
        <f>I117-I204</f>
        <v>0</v>
      </c>
      <c r="J164" s="158">
        <f>J117-J204</f>
        <v>0</v>
      </c>
      <c r="K164" s="158">
        <f>K117-K204</f>
        <v>0</v>
      </c>
      <c r="M164" s="158">
        <f>M117-M204</f>
        <v>0</v>
      </c>
      <c r="N164" s="158">
        <f>N117-N204</f>
        <v>0</v>
      </c>
      <c r="P164" s="158">
        <f t="shared" ref="P164:R165" si="125">P117-P204</f>
        <v>0</v>
      </c>
      <c r="Q164" s="158">
        <f t="shared" si="125"/>
        <v>0</v>
      </c>
      <c r="R164" s="158">
        <f t="shared" si="125"/>
        <v>0</v>
      </c>
      <c r="T164" s="158">
        <f t="shared" ref="T164:V165" si="126">T117-T204</f>
        <v>0</v>
      </c>
      <c r="U164" s="158">
        <f t="shared" si="126"/>
        <v>0</v>
      </c>
      <c r="V164" s="158">
        <f t="shared" si="126"/>
        <v>0</v>
      </c>
      <c r="X164" s="158">
        <f>X117-X204</f>
        <v>0</v>
      </c>
      <c r="Y164" s="158">
        <f>Y117-Y204</f>
        <v>0</v>
      </c>
      <c r="AA164" s="158">
        <f t="shared" ref="AA164:AC165" si="127">AA117-AA204</f>
        <v>0</v>
      </c>
      <c r="AB164" s="158">
        <f t="shared" si="127"/>
        <v>0</v>
      </c>
      <c r="AC164" s="158">
        <f t="shared" si="127"/>
        <v>0</v>
      </c>
      <c r="AE164" s="158">
        <f t="shared" ref="AE164:AG165" si="128">AE117-AE204</f>
        <v>0</v>
      </c>
      <c r="AF164" s="158">
        <f t="shared" si="128"/>
        <v>0</v>
      </c>
      <c r="AG164" s="158">
        <f t="shared" si="128"/>
        <v>0</v>
      </c>
      <c r="AI164" s="158">
        <f t="shared" ref="AI164:AK165" si="129">AI117-AI204</f>
        <v>0</v>
      </c>
      <c r="AJ164" s="158">
        <f t="shared" si="129"/>
        <v>0</v>
      </c>
      <c r="AK164" s="158">
        <f t="shared" si="129"/>
        <v>0</v>
      </c>
      <c r="AM164" s="158">
        <f t="shared" ref="AM164:AO165" si="130">AM117-AM204</f>
        <v>0</v>
      </c>
      <c r="AN164" s="158">
        <f t="shared" si="130"/>
        <v>0</v>
      </c>
      <c r="AO164" s="158">
        <f t="shared" si="130"/>
        <v>0</v>
      </c>
    </row>
    <row r="165" spans="1:41" ht="15" customHeight="1">
      <c r="A165" s="157">
        <f t="shared" si="45"/>
        <v>45627</v>
      </c>
      <c r="B165" s="158">
        <f t="shared" si="124"/>
        <v>0</v>
      </c>
      <c r="C165" s="158">
        <f t="shared" si="124"/>
        <v>-23.135999999999996</v>
      </c>
      <c r="D165" s="158">
        <f t="shared" si="124"/>
        <v>0</v>
      </c>
      <c r="F165" s="158">
        <f>F118-F205</f>
        <v>0</v>
      </c>
      <c r="G165" s="158">
        <f>G118-G205</f>
        <v>0</v>
      </c>
      <c r="I165" s="158">
        <f>I118-I205</f>
        <v>0</v>
      </c>
      <c r="J165" s="158">
        <f>J118-J205</f>
        <v>0</v>
      </c>
      <c r="K165" s="158">
        <f>K118-K205</f>
        <v>0</v>
      </c>
      <c r="M165" s="158">
        <f>M118-M205</f>
        <v>17.34699999999998</v>
      </c>
      <c r="N165" s="158">
        <f>N118-N205</f>
        <v>0.43500000000000227</v>
      </c>
      <c r="P165" s="158">
        <f t="shared" si="125"/>
        <v>0</v>
      </c>
      <c r="Q165" s="158">
        <f t="shared" si="125"/>
        <v>0</v>
      </c>
      <c r="R165" s="158">
        <f t="shared" si="125"/>
        <v>0</v>
      </c>
      <c r="T165" s="158">
        <f t="shared" si="126"/>
        <v>6</v>
      </c>
      <c r="U165" s="158">
        <f t="shared" si="126"/>
        <v>5.9959999999999809</v>
      </c>
      <c r="V165" s="158">
        <f t="shared" si="126"/>
        <v>0.19999999999999929</v>
      </c>
      <c r="X165" s="158">
        <f>X118-X205</f>
        <v>0</v>
      </c>
      <c r="Y165" s="158">
        <f>Y118-Y205</f>
        <v>-9.9999999999909051E-3</v>
      </c>
      <c r="AA165" s="158">
        <f t="shared" si="127"/>
        <v>0</v>
      </c>
      <c r="AB165" s="158">
        <f t="shared" si="127"/>
        <v>0</v>
      </c>
      <c r="AC165" s="158">
        <f t="shared" si="127"/>
        <v>0</v>
      </c>
      <c r="AE165" s="158">
        <f t="shared" si="128"/>
        <v>0.56300000000004502</v>
      </c>
      <c r="AF165" s="158">
        <f t="shared" si="128"/>
        <v>-4.8999999999978172E-2</v>
      </c>
      <c r="AG165" s="158">
        <f t="shared" si="128"/>
        <v>0.61200000000000898</v>
      </c>
      <c r="AI165" s="158">
        <f t="shared" si="129"/>
        <v>0</v>
      </c>
      <c r="AJ165" s="158">
        <f t="shared" si="129"/>
        <v>0</v>
      </c>
      <c r="AK165" s="158">
        <f t="shared" si="129"/>
        <v>0</v>
      </c>
      <c r="AM165" s="158">
        <f t="shared" si="130"/>
        <v>0</v>
      </c>
      <c r="AN165" s="158">
        <f t="shared" si="130"/>
        <v>0</v>
      </c>
      <c r="AO165" s="158">
        <f t="shared" si="130"/>
        <v>0</v>
      </c>
    </row>
    <row r="167" spans="1:41" hidden="1">
      <c r="A167" s="157">
        <v>44470</v>
      </c>
      <c r="B167" s="158">
        <v>103.514</v>
      </c>
      <c r="C167" s="158">
        <v>104.062</v>
      </c>
      <c r="D167" s="158">
        <v>6.7009999999999996</v>
      </c>
      <c r="F167" s="158">
        <v>80.581000000000003</v>
      </c>
      <c r="G167" s="158">
        <v>15.945</v>
      </c>
      <c r="I167" s="158">
        <v>25.739000000000001</v>
      </c>
      <c r="J167" s="158">
        <v>28.155999999999999</v>
      </c>
      <c r="K167" s="158">
        <v>5.8360000000000003</v>
      </c>
      <c r="M167" s="158">
        <v>480.678</v>
      </c>
      <c r="N167" s="158">
        <v>94.712000000000003</v>
      </c>
      <c r="P167" s="158">
        <v>50.831000000000003</v>
      </c>
      <c r="Q167" s="158">
        <v>43.494999999999997</v>
      </c>
      <c r="R167" s="159">
        <v>7.1899814658408401</v>
      </c>
      <c r="T167" s="158">
        <v>172.58199999999999</v>
      </c>
      <c r="U167" s="158">
        <v>171.042</v>
      </c>
      <c r="V167" s="158">
        <v>39.01</v>
      </c>
      <c r="X167" s="158">
        <v>279.2</v>
      </c>
      <c r="Y167" s="158">
        <v>111.883</v>
      </c>
      <c r="AA167" s="158">
        <v>77.433000000000007</v>
      </c>
      <c r="AB167" s="158">
        <v>81.141999999999996</v>
      </c>
      <c r="AC167" s="158">
        <v>18.370999999999999</v>
      </c>
      <c r="AE167" s="158">
        <v>342.024</v>
      </c>
      <c r="AF167" s="158">
        <v>331.404</v>
      </c>
      <c r="AG167" s="159">
        <v>95</v>
      </c>
      <c r="AI167" s="158">
        <v>129.38399999999999</v>
      </c>
      <c r="AJ167" s="158">
        <v>130.416</v>
      </c>
      <c r="AK167" s="159">
        <v>11.600000000000001</v>
      </c>
      <c r="AM167" s="158">
        <v>189.32599999999999</v>
      </c>
      <c r="AN167" s="158">
        <v>177.94800000000001</v>
      </c>
      <c r="AO167" s="158">
        <v>132.04300000000001</v>
      </c>
    </row>
    <row r="168" spans="1:41" hidden="1">
      <c r="A168" s="157">
        <v>44501</v>
      </c>
      <c r="B168" s="158">
        <v>129.988</v>
      </c>
      <c r="C168" s="158">
        <v>127.66800000000001</v>
      </c>
      <c r="D168" s="158">
        <v>9.2390000000000008</v>
      </c>
      <c r="F168" s="158">
        <v>80.323999999999998</v>
      </c>
      <c r="G168" s="158">
        <v>20.916</v>
      </c>
      <c r="I168" s="158">
        <v>34.174999999999997</v>
      </c>
      <c r="J168" s="158">
        <v>37.328000000000003</v>
      </c>
      <c r="K168" s="158">
        <v>4.7249999999999996</v>
      </c>
      <c r="M168" s="158">
        <v>520.43299999999999</v>
      </c>
      <c r="N168" s="158">
        <v>103.456</v>
      </c>
      <c r="P168" s="158">
        <v>38.213000000000001</v>
      </c>
      <c r="Q168" s="158">
        <v>44.448999999999998</v>
      </c>
      <c r="R168" s="159">
        <v>7.3476833239489485</v>
      </c>
      <c r="T168" s="158">
        <v>167.55500000000001</v>
      </c>
      <c r="U168" s="158">
        <v>167.92400000000001</v>
      </c>
      <c r="V168" s="158">
        <v>36.030999999999999</v>
      </c>
      <c r="X168" s="158">
        <v>280.75900000000001</v>
      </c>
      <c r="Y168" s="158">
        <v>115.846</v>
      </c>
      <c r="AA168" s="158">
        <v>86.896000000000001</v>
      </c>
      <c r="AB168" s="158">
        <v>91.676000000000002</v>
      </c>
      <c r="AC168" s="158">
        <v>15.86</v>
      </c>
      <c r="AE168" s="158">
        <v>377.78899999999999</v>
      </c>
      <c r="AF168" s="158">
        <v>383.66800000000001</v>
      </c>
      <c r="AG168" s="159">
        <v>97</v>
      </c>
      <c r="AI168" s="158">
        <v>125.128</v>
      </c>
      <c r="AJ168" s="158">
        <v>122.514</v>
      </c>
      <c r="AK168" s="159">
        <v>11.700000000000001</v>
      </c>
      <c r="AM168" s="158">
        <v>187.154</v>
      </c>
      <c r="AN168" s="158">
        <v>220.53899999999999</v>
      </c>
      <c r="AO168" s="158">
        <v>98.756</v>
      </c>
    </row>
    <row r="169" spans="1:41" hidden="1">
      <c r="A169" s="157">
        <v>44531</v>
      </c>
      <c r="B169" s="158">
        <v>123.435</v>
      </c>
      <c r="C169" s="158">
        <v>126.36</v>
      </c>
      <c r="D169" s="158">
        <v>6.3150000000000004</v>
      </c>
      <c r="F169" s="158">
        <v>77.683999999999997</v>
      </c>
      <c r="G169" s="158">
        <v>13.193</v>
      </c>
      <c r="I169" s="158">
        <v>30.416</v>
      </c>
      <c r="J169" s="158">
        <v>31.367999999999999</v>
      </c>
      <c r="K169" s="158">
        <v>4.95</v>
      </c>
      <c r="M169" s="158">
        <v>494.49900000000002</v>
      </c>
      <c r="N169" s="158">
        <v>81.91</v>
      </c>
      <c r="P169" s="158">
        <v>45.420999999999999</v>
      </c>
      <c r="Q169" s="158">
        <v>43.942999999999998</v>
      </c>
      <c r="R169" s="159">
        <v>7.2640385228978976</v>
      </c>
      <c r="T169" s="158">
        <v>163.48500000000001</v>
      </c>
      <c r="U169" s="158">
        <v>169.82599999999999</v>
      </c>
      <c r="V169" s="158">
        <v>29.689</v>
      </c>
      <c r="X169" s="158">
        <v>271.214</v>
      </c>
      <c r="Y169" s="158">
        <v>100.95399999999999</v>
      </c>
      <c r="AA169" s="158">
        <v>66.873000000000005</v>
      </c>
      <c r="AB169" s="158">
        <v>67.585999999999999</v>
      </c>
      <c r="AC169" s="158">
        <v>20.536000000000001</v>
      </c>
      <c r="AE169" s="158">
        <v>285.505</v>
      </c>
      <c r="AF169" s="158">
        <v>304.995</v>
      </c>
      <c r="AG169" s="159">
        <v>93</v>
      </c>
      <c r="AI169" s="158">
        <v>103.539</v>
      </c>
      <c r="AJ169" s="158">
        <v>105.968</v>
      </c>
      <c r="AK169" s="159">
        <v>11.9</v>
      </c>
      <c r="AM169" s="158">
        <v>171.38900000000001</v>
      </c>
      <c r="AN169" s="158">
        <v>178.98400000000001</v>
      </c>
      <c r="AO169" s="158">
        <v>90.984999999999999</v>
      </c>
    </row>
    <row r="170" spans="1:41" hidden="1">
      <c r="A170" s="157">
        <v>44562</v>
      </c>
      <c r="B170" s="158">
        <v>109.46299999999999</v>
      </c>
      <c r="C170" s="158">
        <v>107.28700000000001</v>
      </c>
      <c r="D170" s="158">
        <v>8.4909999999999997</v>
      </c>
      <c r="F170" s="158">
        <v>70.335999999999999</v>
      </c>
      <c r="G170" s="158">
        <v>14.959</v>
      </c>
      <c r="I170" s="158">
        <v>22.135999999999999</v>
      </c>
      <c r="J170" s="158">
        <v>18.631</v>
      </c>
      <c r="K170" s="158">
        <v>8.484</v>
      </c>
      <c r="M170" s="158">
        <v>410.01400000000001</v>
      </c>
      <c r="N170" s="158">
        <v>49.823</v>
      </c>
      <c r="P170" s="158">
        <v>34.904000000000003</v>
      </c>
      <c r="Q170" s="158">
        <v>33.243000000000002</v>
      </c>
      <c r="R170" s="159">
        <v>5.4952650619369363</v>
      </c>
      <c r="T170" s="158">
        <v>151.81700000000001</v>
      </c>
      <c r="U170" s="158">
        <v>149.649</v>
      </c>
      <c r="V170" s="158">
        <v>31.856999999999999</v>
      </c>
      <c r="X170" s="158">
        <v>265.77800000000002</v>
      </c>
      <c r="Y170" s="158">
        <v>96.551000000000002</v>
      </c>
      <c r="AA170" s="158">
        <v>70.584000000000003</v>
      </c>
      <c r="AB170" s="158">
        <v>69.867000000000004</v>
      </c>
      <c r="AC170" s="158">
        <v>24.681000000000001</v>
      </c>
      <c r="AE170" s="158">
        <v>263.339</v>
      </c>
      <c r="AF170" s="158">
        <v>268.83199999999999</v>
      </c>
      <c r="AG170" s="159">
        <v>92</v>
      </c>
      <c r="AI170" s="158">
        <v>92.765000000000001</v>
      </c>
      <c r="AJ170" s="158">
        <v>90.349000000000004</v>
      </c>
      <c r="AK170" s="159">
        <v>11.9</v>
      </c>
      <c r="AM170" s="158">
        <v>158.709</v>
      </c>
      <c r="AN170" s="158">
        <v>173.739</v>
      </c>
      <c r="AO170" s="158">
        <v>75.965000000000003</v>
      </c>
    </row>
    <row r="171" spans="1:41" hidden="1">
      <c r="A171" s="157">
        <v>44593</v>
      </c>
      <c r="B171" s="158">
        <v>119.24299999999999</v>
      </c>
      <c r="C171" s="158">
        <v>120.964</v>
      </c>
      <c r="D171" s="158">
        <v>6.77</v>
      </c>
      <c r="F171" s="158">
        <v>78.587999999999994</v>
      </c>
      <c r="G171" s="158">
        <v>16.937000000000001</v>
      </c>
      <c r="I171" s="158">
        <v>31.869</v>
      </c>
      <c r="J171" s="158">
        <v>22.119</v>
      </c>
      <c r="K171" s="158">
        <v>15.614000000000001</v>
      </c>
      <c r="M171" s="158">
        <v>461.72300000000001</v>
      </c>
      <c r="N171" s="158">
        <v>74.444999999999993</v>
      </c>
      <c r="P171" s="158">
        <v>34.957999999999998</v>
      </c>
      <c r="Q171" s="158">
        <v>45.429000000000002</v>
      </c>
      <c r="R171" s="159">
        <v>7.5096831362612608</v>
      </c>
      <c r="T171" s="158">
        <v>155.411</v>
      </c>
      <c r="U171" s="158">
        <v>160.167</v>
      </c>
      <c r="V171" s="158">
        <v>27.102</v>
      </c>
      <c r="X171" s="158">
        <v>268.40100000000001</v>
      </c>
      <c r="Y171" s="158">
        <v>104.736</v>
      </c>
      <c r="AA171" s="158">
        <v>97.012</v>
      </c>
      <c r="AB171" s="158">
        <v>103.669</v>
      </c>
      <c r="AC171" s="159">
        <v>18</v>
      </c>
      <c r="AE171" s="158">
        <v>289.96800000000002</v>
      </c>
      <c r="AF171" s="158">
        <v>286.733</v>
      </c>
      <c r="AG171" s="159">
        <v>93</v>
      </c>
      <c r="AI171" s="158">
        <v>114.06100000000001</v>
      </c>
      <c r="AJ171" s="158">
        <v>115.164</v>
      </c>
      <c r="AK171" s="159">
        <v>11.700000000000001</v>
      </c>
      <c r="AM171" s="158">
        <v>161.376</v>
      </c>
      <c r="AN171" s="158">
        <v>147.97999999999999</v>
      </c>
      <c r="AO171" s="158">
        <v>89.896000000000001</v>
      </c>
    </row>
    <row r="172" spans="1:41" hidden="1">
      <c r="A172" s="157">
        <v>44621</v>
      </c>
      <c r="B172" s="158">
        <v>121.744</v>
      </c>
      <c r="C172" s="158">
        <v>122.38</v>
      </c>
      <c r="D172" s="158">
        <v>6.1349999999999998</v>
      </c>
      <c r="F172" s="158">
        <v>83.734999999999999</v>
      </c>
      <c r="G172" s="158">
        <v>19.273</v>
      </c>
      <c r="I172" s="158">
        <v>25.219000000000001</v>
      </c>
      <c r="J172" s="158">
        <v>17.504000000000001</v>
      </c>
      <c r="K172" s="158">
        <v>16.202999999999999</v>
      </c>
      <c r="M172" s="158">
        <v>465.363</v>
      </c>
      <c r="N172" s="158">
        <v>75.960999999999999</v>
      </c>
      <c r="P172" s="158">
        <v>36.085999999999999</v>
      </c>
      <c r="Q172" s="158">
        <v>30.798999999999999</v>
      </c>
      <c r="R172" s="159">
        <v>5.0912573667417416</v>
      </c>
      <c r="T172" s="158">
        <v>153.76599999999999</v>
      </c>
      <c r="U172" s="158">
        <v>152.31299999999999</v>
      </c>
      <c r="V172" s="158">
        <v>30.72</v>
      </c>
      <c r="X172" s="158">
        <v>291.50099999999998</v>
      </c>
      <c r="Y172" s="158">
        <v>88.028999999999996</v>
      </c>
      <c r="AA172" s="158">
        <v>77.664000000000001</v>
      </c>
      <c r="AB172" s="158">
        <v>76.566999999999993</v>
      </c>
      <c r="AC172" s="159">
        <v>23.823</v>
      </c>
      <c r="AE172" s="158">
        <v>293.48200000000003</v>
      </c>
      <c r="AF172" s="158">
        <v>297.88600000000002</v>
      </c>
      <c r="AG172" s="159">
        <v>110.218</v>
      </c>
      <c r="AI172" s="158">
        <v>91.504999999999995</v>
      </c>
      <c r="AJ172" s="158">
        <v>92.028999999999996</v>
      </c>
      <c r="AK172" s="159">
        <v>11.5</v>
      </c>
      <c r="AM172" s="158">
        <v>181.12700000000001</v>
      </c>
      <c r="AN172" s="158">
        <v>153.28399999999999</v>
      </c>
      <c r="AO172" s="158">
        <v>116.42</v>
      </c>
    </row>
    <row r="173" spans="1:41" hidden="1">
      <c r="A173" s="157">
        <v>44652</v>
      </c>
      <c r="B173" s="158">
        <v>115.619</v>
      </c>
      <c r="C173" s="158">
        <v>115.652</v>
      </c>
      <c r="D173" s="158">
        <v>6.101</v>
      </c>
      <c r="F173" s="158">
        <v>73.203000000000003</v>
      </c>
      <c r="G173" s="158">
        <v>17.030999999999999</v>
      </c>
      <c r="I173" s="158">
        <v>15.840999999999999</v>
      </c>
      <c r="J173" s="158">
        <v>16.643000000000001</v>
      </c>
      <c r="K173" s="158">
        <v>14.266999999999999</v>
      </c>
      <c r="M173" s="158">
        <v>415.06200000000001</v>
      </c>
      <c r="N173" s="158">
        <v>66.555999999999997</v>
      </c>
      <c r="P173" s="158">
        <v>29.030999999999999</v>
      </c>
      <c r="Q173" s="158">
        <v>27.635000000000002</v>
      </c>
      <c r="R173" s="159">
        <v>4.5682294012762767</v>
      </c>
      <c r="T173" s="158">
        <v>138.994</v>
      </c>
      <c r="U173" s="158">
        <v>134.036</v>
      </c>
      <c r="V173" s="158">
        <v>35.677999999999997</v>
      </c>
      <c r="X173" s="158">
        <v>276.28500000000003</v>
      </c>
      <c r="Y173" s="158">
        <v>94.57</v>
      </c>
      <c r="AA173" s="158">
        <v>77.183999999999997</v>
      </c>
      <c r="AB173" s="158">
        <v>88.507000000000005</v>
      </c>
      <c r="AC173" s="158">
        <v>12.83</v>
      </c>
      <c r="AE173" s="158">
        <v>273.36</v>
      </c>
      <c r="AF173" s="158">
        <v>270.37400000000002</v>
      </c>
      <c r="AG173" s="158">
        <v>113.20399999999999</v>
      </c>
      <c r="AI173" s="158">
        <v>92.923000000000002</v>
      </c>
      <c r="AJ173" s="158">
        <v>91.27</v>
      </c>
      <c r="AK173" s="159">
        <v>11.200000000000001</v>
      </c>
      <c r="AM173" s="158">
        <v>166.642</v>
      </c>
      <c r="AN173" s="158">
        <v>225.75800000000001</v>
      </c>
      <c r="AO173" s="158">
        <v>57.302</v>
      </c>
    </row>
    <row r="174" spans="1:41" hidden="1">
      <c r="A174" s="157">
        <v>44682</v>
      </c>
      <c r="B174" s="158">
        <v>110.41200000000001</v>
      </c>
      <c r="C174" s="158">
        <v>111.27</v>
      </c>
      <c r="D174" s="158">
        <v>5.2409999999999997</v>
      </c>
      <c r="F174" s="158">
        <v>86.55</v>
      </c>
      <c r="G174" s="158">
        <v>18.565999999999999</v>
      </c>
      <c r="I174" s="158">
        <v>21.486000000000001</v>
      </c>
      <c r="J174" s="158">
        <v>20.013999999999999</v>
      </c>
      <c r="K174" s="158">
        <v>13.08</v>
      </c>
      <c r="M174" s="158">
        <v>443.267</v>
      </c>
      <c r="N174" s="158">
        <v>93.837000000000003</v>
      </c>
      <c r="P174" s="158">
        <v>29.190999999999999</v>
      </c>
      <c r="Q174" s="158">
        <v>30.244</v>
      </c>
      <c r="R174" s="159">
        <v>4.9995125750750748</v>
      </c>
      <c r="T174" s="158">
        <v>160.012</v>
      </c>
      <c r="U174" s="158">
        <v>161.63499999999999</v>
      </c>
      <c r="V174" s="158">
        <v>34.055</v>
      </c>
      <c r="X174" s="158">
        <v>319.52699999999999</v>
      </c>
      <c r="Y174" s="158">
        <v>96.918000000000006</v>
      </c>
      <c r="AA174" s="158">
        <v>84.537999999999997</v>
      </c>
      <c r="AB174" s="158">
        <v>80.542000000000002</v>
      </c>
      <c r="AC174" s="158">
        <v>19.713000000000001</v>
      </c>
      <c r="AE174" s="158">
        <v>307.55599999999998</v>
      </c>
      <c r="AF174" s="158">
        <v>301.161</v>
      </c>
      <c r="AG174" s="158">
        <v>119.52500000000001</v>
      </c>
      <c r="AI174" s="158">
        <v>111.166</v>
      </c>
      <c r="AJ174" s="158">
        <v>113.291</v>
      </c>
      <c r="AK174" s="159">
        <v>11.4</v>
      </c>
      <c r="AM174" s="158">
        <v>178.09299999999999</v>
      </c>
      <c r="AN174" s="158">
        <v>153.17699999999999</v>
      </c>
      <c r="AO174" s="158">
        <v>86.198999999999998</v>
      </c>
    </row>
    <row r="175" spans="1:41" hidden="1">
      <c r="A175" s="157">
        <v>44713</v>
      </c>
      <c r="B175" s="158">
        <v>111.371</v>
      </c>
      <c r="C175" s="158">
        <v>112.483</v>
      </c>
      <c r="D175" s="158">
        <v>4.1310000000000002</v>
      </c>
      <c r="F175" s="158">
        <v>93.984999999999999</v>
      </c>
      <c r="G175" s="158">
        <v>16.600999999999999</v>
      </c>
      <c r="I175" s="158">
        <v>19.603000000000002</v>
      </c>
      <c r="J175" s="158">
        <v>22.382000000000001</v>
      </c>
      <c r="K175" s="158">
        <v>10.106999999999999</v>
      </c>
      <c r="M175" s="158">
        <v>487.37599999999998</v>
      </c>
      <c r="N175" s="158">
        <v>71.631</v>
      </c>
      <c r="P175" s="158">
        <v>35.758000000000003</v>
      </c>
      <c r="Q175" s="158">
        <v>35.822000000000003</v>
      </c>
      <c r="R175" s="159">
        <v>5.9215890578078083</v>
      </c>
      <c r="T175" s="158">
        <v>175.255</v>
      </c>
      <c r="U175" s="158">
        <v>177.20099999999999</v>
      </c>
      <c r="V175" s="158">
        <v>32.109000000000002</v>
      </c>
      <c r="X175" s="158">
        <v>317.565</v>
      </c>
      <c r="Y175" s="158">
        <v>112.95699999999999</v>
      </c>
      <c r="AA175" s="158">
        <v>95.200999999999993</v>
      </c>
      <c r="AB175" s="158">
        <v>100.29300000000001</v>
      </c>
      <c r="AC175" s="158">
        <v>16.786000000000001</v>
      </c>
      <c r="AE175" s="158">
        <v>359.82400000000001</v>
      </c>
      <c r="AF175" s="158">
        <v>368.46300000000002</v>
      </c>
      <c r="AG175" s="158">
        <v>97</v>
      </c>
      <c r="AI175" s="158">
        <v>107.608</v>
      </c>
      <c r="AJ175" s="158">
        <v>107.241</v>
      </c>
      <c r="AK175" s="159">
        <v>11.200000000000001</v>
      </c>
      <c r="AM175" s="158">
        <v>212.90799999999999</v>
      </c>
      <c r="AN175" s="158">
        <v>195.887</v>
      </c>
      <c r="AO175" s="158">
        <v>103.297</v>
      </c>
    </row>
    <row r="176" spans="1:41" hidden="1">
      <c r="A176" s="157">
        <v>44743</v>
      </c>
      <c r="B176" s="158">
        <v>96.405000000000001</v>
      </c>
      <c r="C176" s="158">
        <v>97.460999999999999</v>
      </c>
      <c r="D176" s="158">
        <v>7.0860000000000003</v>
      </c>
      <c r="F176" s="158">
        <v>86.798000000000002</v>
      </c>
      <c r="G176" s="158">
        <v>20.529</v>
      </c>
      <c r="I176" s="158">
        <v>17.132999999999999</v>
      </c>
      <c r="J176" s="158">
        <v>19.992999999999999</v>
      </c>
      <c r="K176" s="158">
        <v>9.9250000000000007</v>
      </c>
      <c r="M176" s="158">
        <v>409.971</v>
      </c>
      <c r="N176" s="158">
        <v>72.927000000000007</v>
      </c>
      <c r="P176" s="158">
        <v>29.404</v>
      </c>
      <c r="Q176" s="158">
        <v>27.684000000000001</v>
      </c>
      <c r="R176" s="159">
        <v>4.5763293918918917</v>
      </c>
      <c r="T176" s="158">
        <v>161.88200000000001</v>
      </c>
      <c r="U176" s="158">
        <v>163.06100000000001</v>
      </c>
      <c r="V176" s="158">
        <v>30.93</v>
      </c>
      <c r="X176" s="158">
        <v>308.26</v>
      </c>
      <c r="Y176" s="158">
        <v>76.870999999999995</v>
      </c>
      <c r="AA176" s="158">
        <v>78.414000000000001</v>
      </c>
      <c r="AB176" s="158">
        <v>79.984999999999999</v>
      </c>
      <c r="AC176" s="158">
        <v>15.052</v>
      </c>
      <c r="AE176" s="158">
        <v>304.608</v>
      </c>
      <c r="AF176" s="158">
        <v>298.62200000000001</v>
      </c>
      <c r="AG176" s="158">
        <v>116.298</v>
      </c>
      <c r="AI176" s="158">
        <v>105.881</v>
      </c>
      <c r="AJ176" s="158">
        <v>105.34399999999999</v>
      </c>
      <c r="AK176" s="159">
        <v>11.200000000000001</v>
      </c>
      <c r="AM176" s="158">
        <v>180.517</v>
      </c>
      <c r="AN176" s="158">
        <v>181.898</v>
      </c>
      <c r="AO176" s="158">
        <v>101.914</v>
      </c>
    </row>
    <row r="177" spans="1:41" hidden="1">
      <c r="A177" s="157">
        <v>44774</v>
      </c>
      <c r="B177" s="158">
        <v>114.771</v>
      </c>
      <c r="C177" s="158">
        <v>111.776</v>
      </c>
      <c r="D177" s="158">
        <v>7.3630000000000004</v>
      </c>
      <c r="F177" s="158">
        <v>103.553</v>
      </c>
      <c r="G177" s="158">
        <v>17.495999999999999</v>
      </c>
      <c r="I177" s="158">
        <v>22.765000000000001</v>
      </c>
      <c r="J177" s="158">
        <v>27.875</v>
      </c>
      <c r="K177" s="158">
        <v>8.8249999999999993</v>
      </c>
      <c r="M177" s="158">
        <v>467.29300000000001</v>
      </c>
      <c r="N177" s="158">
        <v>64.584000000000003</v>
      </c>
      <c r="P177" s="158">
        <v>29.908000000000001</v>
      </c>
      <c r="Q177" s="158">
        <v>37.841999999999999</v>
      </c>
      <c r="R177" s="159">
        <v>6.5</v>
      </c>
      <c r="T177" s="158">
        <v>196.48400000000001</v>
      </c>
      <c r="U177" s="158">
        <v>199.53899999999999</v>
      </c>
      <c r="V177" s="158">
        <v>27.876000000000001</v>
      </c>
      <c r="X177" s="158">
        <v>356.03399999999999</v>
      </c>
      <c r="Y177" s="158">
        <v>78.683000000000007</v>
      </c>
      <c r="AA177" s="158">
        <v>101.625</v>
      </c>
      <c r="AB177" s="158">
        <v>94.042000000000002</v>
      </c>
      <c r="AC177" s="158">
        <v>23.513999999999999</v>
      </c>
      <c r="AE177" s="158">
        <v>370.702</v>
      </c>
      <c r="AF177" s="158">
        <v>365.923</v>
      </c>
      <c r="AG177" s="158">
        <v>119</v>
      </c>
      <c r="AI177" s="158">
        <v>112.129</v>
      </c>
      <c r="AJ177" s="158">
        <v>113.709</v>
      </c>
      <c r="AK177" s="159">
        <v>11.3</v>
      </c>
      <c r="AM177" s="158">
        <v>180.363</v>
      </c>
      <c r="AN177" s="158">
        <v>190.12200000000001</v>
      </c>
      <c r="AO177" s="158">
        <v>92.165999999999997</v>
      </c>
    </row>
    <row r="178" spans="1:41" hidden="1">
      <c r="A178" s="157">
        <v>44805</v>
      </c>
      <c r="B178" s="158">
        <v>107.242</v>
      </c>
      <c r="C178" s="158">
        <v>108.779</v>
      </c>
      <c r="D178" s="158">
        <v>5.8280000000000003</v>
      </c>
      <c r="F178" s="158">
        <v>100.523</v>
      </c>
      <c r="G178" s="158">
        <v>19.844999999999999</v>
      </c>
      <c r="I178" s="158">
        <v>23.173999999999999</v>
      </c>
      <c r="J178" s="158">
        <v>25.478000000000002</v>
      </c>
      <c r="K178" s="158">
        <v>6.5220000000000002</v>
      </c>
      <c r="M178" s="158">
        <v>493.72300000000001</v>
      </c>
      <c r="N178" s="158">
        <v>76.064999999999998</v>
      </c>
      <c r="P178" s="158">
        <v>37.643000000000001</v>
      </c>
      <c r="Q178" s="158">
        <v>26.959</v>
      </c>
      <c r="R178" s="159">
        <v>4.5</v>
      </c>
      <c r="T178" s="158">
        <v>187.018</v>
      </c>
      <c r="U178" s="158">
        <v>189.93700000000001</v>
      </c>
      <c r="V178" s="158">
        <v>24.957000000000001</v>
      </c>
      <c r="X178" s="158">
        <v>359.93400000000003</v>
      </c>
      <c r="Y178" s="158">
        <v>81.057000000000002</v>
      </c>
      <c r="AA178" s="158">
        <v>90.22</v>
      </c>
      <c r="AB178" s="158">
        <v>83.444000000000003</v>
      </c>
      <c r="AC178" s="158">
        <v>20</v>
      </c>
      <c r="AE178" s="158">
        <v>353.93</v>
      </c>
      <c r="AF178" s="158">
        <v>359.98</v>
      </c>
      <c r="AG178" s="158">
        <v>115.02200000000001</v>
      </c>
      <c r="AI178" s="158">
        <v>103.21899999999999</v>
      </c>
      <c r="AJ178" s="158">
        <v>102.241</v>
      </c>
      <c r="AK178" s="159">
        <v>11.200000000000001</v>
      </c>
      <c r="AM178" s="158">
        <v>201.93</v>
      </c>
      <c r="AN178" s="158">
        <v>197.64099999999999</v>
      </c>
      <c r="AO178" s="158">
        <v>96.450999999999993</v>
      </c>
    </row>
    <row r="179" spans="1:41">
      <c r="A179" s="157">
        <v>44835</v>
      </c>
      <c r="B179" s="158">
        <v>110.292</v>
      </c>
      <c r="C179" s="158">
        <v>108.96599999999999</v>
      </c>
      <c r="D179" s="158">
        <v>7.1529999999999996</v>
      </c>
      <c r="F179" s="158">
        <v>95.676000000000002</v>
      </c>
      <c r="G179" s="158">
        <v>18.251999999999999</v>
      </c>
      <c r="I179" s="158">
        <v>25.939</v>
      </c>
      <c r="J179" s="158">
        <v>22.577999999999999</v>
      </c>
      <c r="K179" s="158">
        <v>7.11</v>
      </c>
      <c r="M179" s="158">
        <v>492.81</v>
      </c>
      <c r="N179" s="158">
        <v>63.720999999999997</v>
      </c>
      <c r="P179" s="158">
        <v>30.542999999999999</v>
      </c>
      <c r="Q179" s="158">
        <v>30.966000000000001</v>
      </c>
      <c r="R179" s="159">
        <v>5</v>
      </c>
      <c r="T179" s="158">
        <v>181.86</v>
      </c>
      <c r="U179" s="158">
        <v>176.67699999999999</v>
      </c>
      <c r="V179" s="158">
        <v>30.14</v>
      </c>
      <c r="X179" s="158">
        <v>355.678</v>
      </c>
      <c r="Y179" s="158">
        <v>69.963999999999999</v>
      </c>
      <c r="AA179" s="158">
        <v>81.113</v>
      </c>
      <c r="AB179" s="158">
        <v>81.596000000000004</v>
      </c>
      <c r="AC179" s="158">
        <v>22</v>
      </c>
      <c r="AE179" s="158">
        <v>372.31</v>
      </c>
      <c r="AF179" s="158">
        <v>390.18799999999999</v>
      </c>
      <c r="AG179" s="158">
        <v>97.144000000000005</v>
      </c>
      <c r="AI179" s="158">
        <v>113.20399999999999</v>
      </c>
      <c r="AJ179" s="158">
        <v>114.55500000000001</v>
      </c>
      <c r="AK179" s="159">
        <v>11.4</v>
      </c>
      <c r="AM179" s="158">
        <v>190.51499999999999</v>
      </c>
      <c r="AN179" s="158">
        <v>188.523</v>
      </c>
      <c r="AO179" s="158">
        <v>98.926000000000002</v>
      </c>
    </row>
    <row r="180" spans="1:41">
      <c r="A180" s="157">
        <v>44866</v>
      </c>
      <c r="B180" s="158">
        <v>116.593</v>
      </c>
      <c r="C180" s="158">
        <v>116.98</v>
      </c>
      <c r="D180" s="158">
        <v>6.766</v>
      </c>
      <c r="F180" s="158">
        <v>103.73399999999999</v>
      </c>
      <c r="G180" s="158">
        <v>17.989999999999998</v>
      </c>
      <c r="I180" s="158">
        <v>26.202999999999999</v>
      </c>
      <c r="J180" s="158">
        <v>27.513999999999999</v>
      </c>
      <c r="K180" s="158">
        <v>5.0549999999999997</v>
      </c>
      <c r="M180" s="158">
        <v>473.423</v>
      </c>
      <c r="N180" s="158">
        <v>68.382999999999996</v>
      </c>
      <c r="P180" s="158">
        <v>25.350999999999999</v>
      </c>
      <c r="Q180" s="158">
        <v>26.135000000000002</v>
      </c>
      <c r="R180" s="159">
        <v>4.25</v>
      </c>
      <c r="T180" s="158">
        <v>192.12700000000001</v>
      </c>
      <c r="U180" s="158">
        <v>196.33199999999999</v>
      </c>
      <c r="V180" s="158">
        <v>26.09</v>
      </c>
      <c r="X180" s="158">
        <v>364.12599999999998</v>
      </c>
      <c r="Y180" s="158">
        <v>68.8</v>
      </c>
      <c r="AA180" s="158">
        <v>69.447999999999993</v>
      </c>
      <c r="AB180" s="158">
        <v>69.525999999999996</v>
      </c>
      <c r="AC180" s="158">
        <v>24</v>
      </c>
      <c r="AE180" s="158">
        <v>361.471</v>
      </c>
      <c r="AF180" s="158">
        <v>340.35500000000002</v>
      </c>
      <c r="AG180" s="158">
        <v>120</v>
      </c>
      <c r="AI180" s="158">
        <v>124.91800000000001</v>
      </c>
      <c r="AJ180" s="158">
        <v>124.42</v>
      </c>
      <c r="AK180" s="159">
        <v>11.5</v>
      </c>
      <c r="AM180" s="158">
        <v>166.17699999999999</v>
      </c>
      <c r="AN180" s="158">
        <v>162.98699999999999</v>
      </c>
      <c r="AO180" s="158">
        <v>103.87</v>
      </c>
    </row>
    <row r="181" spans="1:41">
      <c r="A181" s="157">
        <v>44896</v>
      </c>
      <c r="B181" s="158">
        <v>113.23399999999999</v>
      </c>
      <c r="C181" s="158">
        <v>113.34699999999999</v>
      </c>
      <c r="D181" s="158">
        <v>6.6539999999999999</v>
      </c>
      <c r="F181" s="158">
        <v>90.64</v>
      </c>
      <c r="G181" s="158">
        <v>18.350000000000001</v>
      </c>
      <c r="I181" s="158">
        <v>22.324000000000002</v>
      </c>
      <c r="J181" s="158">
        <v>21.35</v>
      </c>
      <c r="K181" s="158">
        <v>5.5460000000000003</v>
      </c>
      <c r="M181" s="158">
        <v>495.77300000000002</v>
      </c>
      <c r="N181" s="158">
        <v>63.344000000000001</v>
      </c>
      <c r="P181" s="158">
        <v>35.372</v>
      </c>
      <c r="Q181" s="158">
        <v>31.120999999999999</v>
      </c>
      <c r="R181" s="159">
        <v>5.25</v>
      </c>
      <c r="T181" s="158">
        <v>173.886</v>
      </c>
      <c r="U181" s="158">
        <v>168.077</v>
      </c>
      <c r="V181" s="158">
        <v>31.9</v>
      </c>
      <c r="X181" s="158">
        <v>351.01900000000001</v>
      </c>
      <c r="Y181" s="158">
        <v>85.524000000000001</v>
      </c>
      <c r="AA181" s="158">
        <v>77.323999999999998</v>
      </c>
      <c r="AB181" s="158">
        <v>81.356999999999999</v>
      </c>
      <c r="AC181" s="159">
        <v>22</v>
      </c>
      <c r="AE181" s="158">
        <v>361.66399999999999</v>
      </c>
      <c r="AF181" s="158">
        <v>360.93599999999998</v>
      </c>
      <c r="AG181" s="158">
        <v>119.997</v>
      </c>
      <c r="AI181" s="158">
        <v>99.652000000000001</v>
      </c>
      <c r="AJ181" s="158">
        <v>98.007999999999996</v>
      </c>
      <c r="AK181" s="159">
        <v>11.200000000000001</v>
      </c>
      <c r="AM181" s="158">
        <v>179.648</v>
      </c>
      <c r="AN181" s="158">
        <v>184.22900000000001</v>
      </c>
      <c r="AO181" s="158">
        <v>99.03</v>
      </c>
    </row>
    <row r="182" spans="1:41">
      <c r="A182" s="157">
        <v>44927</v>
      </c>
      <c r="B182" s="158">
        <v>114.827</v>
      </c>
      <c r="C182" s="158">
        <v>113.703</v>
      </c>
      <c r="D182" s="158">
        <v>7.8140000000000001</v>
      </c>
      <c r="F182" s="158">
        <v>86.474000000000004</v>
      </c>
      <c r="G182" s="158">
        <v>18.22</v>
      </c>
      <c r="I182" s="158">
        <v>18.686</v>
      </c>
      <c r="J182" s="158">
        <v>19.344999999999999</v>
      </c>
      <c r="K182" s="158">
        <v>4.8879999999999999</v>
      </c>
      <c r="M182" s="158">
        <v>472.75099999999998</v>
      </c>
      <c r="N182" s="158">
        <v>66.159000000000006</v>
      </c>
      <c r="P182" s="158">
        <v>29.071000000000002</v>
      </c>
      <c r="Q182" s="158">
        <v>31.135000000000002</v>
      </c>
      <c r="R182" s="159">
        <v>5</v>
      </c>
      <c r="T182" s="158">
        <v>167.16200000000001</v>
      </c>
      <c r="U182" s="158">
        <v>173.614</v>
      </c>
      <c r="V182" s="158">
        <v>25.492999999999999</v>
      </c>
      <c r="X182" s="158">
        <v>337.71199999999999</v>
      </c>
      <c r="Y182" s="158">
        <v>69.358000000000004</v>
      </c>
      <c r="AA182" s="158">
        <v>84.426000000000002</v>
      </c>
      <c r="AB182" s="158">
        <v>84.209000000000003</v>
      </c>
      <c r="AC182" s="158">
        <v>28.106000000000002</v>
      </c>
      <c r="AE182" s="158">
        <v>351.56799999999998</v>
      </c>
      <c r="AF182" s="158">
        <v>355.798</v>
      </c>
      <c r="AG182" s="158">
        <v>115.768</v>
      </c>
      <c r="AI182" s="158">
        <v>106.98</v>
      </c>
      <c r="AJ182" s="158">
        <v>104.517</v>
      </c>
      <c r="AK182" s="159">
        <v>11.3</v>
      </c>
      <c r="AM182" s="158">
        <v>183.98400000000001</v>
      </c>
      <c r="AN182" s="158">
        <v>185.965</v>
      </c>
      <c r="AO182" s="158">
        <v>96.995999999999995</v>
      </c>
    </row>
    <row r="183" spans="1:41">
      <c r="A183" s="157">
        <v>44958</v>
      </c>
      <c r="B183" s="158">
        <v>114.672</v>
      </c>
      <c r="C183" s="158">
        <v>116.733</v>
      </c>
      <c r="D183" s="158">
        <v>5.7519999999999998</v>
      </c>
      <c r="F183" s="158">
        <v>101.084</v>
      </c>
      <c r="G183" s="158">
        <v>18.677</v>
      </c>
      <c r="I183" s="158">
        <v>22.882999999999999</v>
      </c>
      <c r="J183" s="158">
        <v>19.228000000000002</v>
      </c>
      <c r="K183" s="158">
        <v>7.1070000000000002</v>
      </c>
      <c r="M183" s="158">
        <v>483.85500000000002</v>
      </c>
      <c r="N183" s="158">
        <v>52.335000000000001</v>
      </c>
      <c r="P183" s="158">
        <v>28.077000000000002</v>
      </c>
      <c r="Q183" s="158">
        <v>27.321000000000002</v>
      </c>
      <c r="R183" s="159">
        <v>4.75</v>
      </c>
      <c r="T183" s="158">
        <v>196.35</v>
      </c>
      <c r="U183" s="158">
        <v>196.411</v>
      </c>
      <c r="V183" s="158">
        <v>25.431999999999999</v>
      </c>
      <c r="X183" s="158">
        <v>393.72699999999998</v>
      </c>
      <c r="Y183" s="158">
        <v>65.113</v>
      </c>
      <c r="AA183" s="158">
        <v>107.107</v>
      </c>
      <c r="AB183" s="158">
        <v>119.05</v>
      </c>
      <c r="AC183" s="158">
        <v>12.917999999999999</v>
      </c>
      <c r="AE183" s="158">
        <v>367.15699999999998</v>
      </c>
      <c r="AF183" s="158">
        <v>399.68299999999999</v>
      </c>
      <c r="AG183" s="158">
        <v>83.197999999999993</v>
      </c>
      <c r="AI183" s="158">
        <v>107.979</v>
      </c>
      <c r="AJ183" s="158">
        <v>110.967</v>
      </c>
      <c r="AK183" s="159">
        <v>11.4</v>
      </c>
      <c r="AM183" s="158">
        <v>177.58199999999999</v>
      </c>
      <c r="AN183" s="158">
        <v>160.85599999999999</v>
      </c>
      <c r="AO183" s="158">
        <v>113.84</v>
      </c>
    </row>
    <row r="184" spans="1:41">
      <c r="A184" s="157">
        <v>44986</v>
      </c>
      <c r="B184" s="158">
        <v>118.738</v>
      </c>
      <c r="C184" s="158">
        <v>119.212</v>
      </c>
      <c r="D184" s="158">
        <v>5.2770000000000001</v>
      </c>
      <c r="F184" s="158">
        <v>89.646000000000001</v>
      </c>
      <c r="G184" s="158">
        <v>18.081</v>
      </c>
      <c r="I184" s="158">
        <v>25.655000000000001</v>
      </c>
      <c r="J184" s="159">
        <v>26</v>
      </c>
      <c r="K184" s="159">
        <v>10</v>
      </c>
      <c r="M184" s="158">
        <v>503.00200000000001</v>
      </c>
      <c r="N184" s="158">
        <v>54.173000000000002</v>
      </c>
      <c r="P184" s="158">
        <v>30.803000000000001</v>
      </c>
      <c r="Q184" s="158">
        <v>35.115000000000002</v>
      </c>
      <c r="R184" s="159">
        <v>5.75</v>
      </c>
      <c r="T184" s="158">
        <v>173.738</v>
      </c>
      <c r="U184" s="158">
        <v>171.64599999999999</v>
      </c>
      <c r="V184" s="158">
        <v>27.228999999999999</v>
      </c>
      <c r="X184" s="158">
        <v>337.75099999999998</v>
      </c>
      <c r="Y184" s="158">
        <v>57.49</v>
      </c>
      <c r="AA184" s="158">
        <v>91.468999999999994</v>
      </c>
      <c r="AB184" s="158">
        <v>76.296999999999997</v>
      </c>
      <c r="AC184" s="159">
        <v>19</v>
      </c>
      <c r="AE184" s="158">
        <v>374.07900000000001</v>
      </c>
      <c r="AF184" s="158">
        <v>378.197</v>
      </c>
      <c r="AG184" s="158">
        <v>79.08</v>
      </c>
      <c r="AI184" s="158">
        <v>99.954999999999998</v>
      </c>
      <c r="AJ184" s="158">
        <v>101.622</v>
      </c>
      <c r="AK184" s="159">
        <v>11.200000000000001</v>
      </c>
      <c r="AM184" s="158">
        <v>199.791</v>
      </c>
      <c r="AN184" s="158">
        <v>210.97200000000001</v>
      </c>
      <c r="AO184" s="158">
        <v>102.566</v>
      </c>
    </row>
    <row r="185" spans="1:41">
      <c r="A185" s="157">
        <v>45017</v>
      </c>
      <c r="B185" s="158">
        <v>100.68</v>
      </c>
      <c r="C185" s="158">
        <v>98.581999999999994</v>
      </c>
      <c r="D185" s="158">
        <v>7.3739999999999997</v>
      </c>
      <c r="F185" s="158">
        <v>84.001000000000005</v>
      </c>
      <c r="G185" s="158">
        <v>17.837</v>
      </c>
      <c r="I185" s="158">
        <v>30.849</v>
      </c>
      <c r="J185" s="160">
        <v>23.667000000000002</v>
      </c>
      <c r="K185" s="158">
        <v>12.494</v>
      </c>
      <c r="M185" s="158">
        <v>447.72500000000002</v>
      </c>
      <c r="N185" s="158">
        <v>47.304000000000002</v>
      </c>
      <c r="P185" s="158">
        <v>26.213999999999999</v>
      </c>
      <c r="Q185" s="158">
        <v>25.227</v>
      </c>
      <c r="R185" s="159">
        <v>4</v>
      </c>
      <c r="T185" s="158">
        <v>163.82599999999999</v>
      </c>
      <c r="U185" s="158">
        <v>163.72499999999999</v>
      </c>
      <c r="V185" s="158">
        <v>24.763000000000002</v>
      </c>
      <c r="X185" s="158">
        <v>324.95299999999997</v>
      </c>
      <c r="Y185" s="158">
        <v>67.343999999999994</v>
      </c>
      <c r="AA185" s="158">
        <v>78.58</v>
      </c>
      <c r="AB185" s="158">
        <v>85.244</v>
      </c>
      <c r="AC185" s="160">
        <v>22.384</v>
      </c>
      <c r="AE185" s="158">
        <v>355.43</v>
      </c>
      <c r="AF185" s="158">
        <v>349.851</v>
      </c>
      <c r="AG185" s="158">
        <v>84.555000000000007</v>
      </c>
      <c r="AI185" s="158">
        <v>96.334999999999994</v>
      </c>
      <c r="AJ185" s="158">
        <v>95.378</v>
      </c>
      <c r="AK185" s="159">
        <v>11.100000000000001</v>
      </c>
      <c r="AM185" s="158">
        <v>187.488</v>
      </c>
      <c r="AN185" s="158">
        <v>188.08799999999999</v>
      </c>
      <c r="AO185" s="158">
        <v>100.36499999999999</v>
      </c>
    </row>
    <row r="186" spans="1:41">
      <c r="A186" s="157">
        <v>45047</v>
      </c>
      <c r="B186" s="158">
        <v>118.053</v>
      </c>
      <c r="C186" s="158">
        <v>119.232</v>
      </c>
      <c r="D186" s="158">
        <v>6.1820000000000004</v>
      </c>
      <c r="F186" s="158">
        <v>102.04600000000001</v>
      </c>
      <c r="G186" s="158">
        <v>17.744</v>
      </c>
      <c r="I186" s="158">
        <v>29.384</v>
      </c>
      <c r="J186" s="160">
        <v>31.934000000000001</v>
      </c>
      <c r="K186" s="158">
        <v>11.634</v>
      </c>
      <c r="M186" s="158">
        <v>450.56299999999999</v>
      </c>
      <c r="N186" s="158">
        <v>53.875999999999998</v>
      </c>
      <c r="P186" s="158">
        <v>18.068999999999999</v>
      </c>
      <c r="Q186" s="158">
        <v>23.713000000000001</v>
      </c>
      <c r="R186" s="159">
        <v>3.75</v>
      </c>
      <c r="T186" s="158">
        <v>197.78299999999999</v>
      </c>
      <c r="U186" s="158">
        <v>202.05199999999999</v>
      </c>
      <c r="V186" s="158">
        <v>20.943999999999999</v>
      </c>
      <c r="X186" s="158">
        <v>348.43200000000002</v>
      </c>
      <c r="Y186" s="158">
        <v>82.947000000000003</v>
      </c>
      <c r="AA186" s="158">
        <v>83.634</v>
      </c>
      <c r="AB186" s="158">
        <v>94.994</v>
      </c>
      <c r="AC186" s="160">
        <v>11.615</v>
      </c>
      <c r="AE186" s="158">
        <v>334.45299999999997</v>
      </c>
      <c r="AF186" s="158">
        <v>341.33</v>
      </c>
      <c r="AG186" s="159">
        <v>120</v>
      </c>
      <c r="AI186" s="158">
        <v>110.55800000000001</v>
      </c>
      <c r="AJ186" s="158">
        <v>110.267</v>
      </c>
      <c r="AK186" s="159">
        <v>11.3</v>
      </c>
      <c r="AM186" s="158">
        <v>177.89500000000001</v>
      </c>
      <c r="AN186" s="158">
        <v>186.86600000000001</v>
      </c>
      <c r="AO186" s="158">
        <v>104.12</v>
      </c>
    </row>
    <row r="187" spans="1:41">
      <c r="A187" s="157">
        <v>45078</v>
      </c>
      <c r="B187" s="158">
        <v>109.628</v>
      </c>
      <c r="C187" s="158">
        <v>110.953</v>
      </c>
      <c r="D187" s="158">
        <v>4.8019999999999996</v>
      </c>
      <c r="F187" s="158">
        <v>91.201999999999998</v>
      </c>
      <c r="G187" s="158">
        <v>16.404</v>
      </c>
      <c r="I187" s="158">
        <v>23.975000000000001</v>
      </c>
      <c r="J187" s="160">
        <v>28.591999999999999</v>
      </c>
      <c r="K187" s="159">
        <v>10</v>
      </c>
      <c r="M187" s="158">
        <v>435.62200000000001</v>
      </c>
      <c r="N187" s="158">
        <v>54.76</v>
      </c>
      <c r="P187" s="158">
        <v>23.015000000000001</v>
      </c>
      <c r="Q187" s="158">
        <v>25.077999999999999</v>
      </c>
      <c r="R187" s="159">
        <v>4.25</v>
      </c>
      <c r="T187" s="158">
        <v>182.77199999999999</v>
      </c>
      <c r="U187" s="158">
        <v>175.55</v>
      </c>
      <c r="V187" s="158">
        <v>27.951000000000001</v>
      </c>
      <c r="X187" s="158">
        <v>312.35700000000003</v>
      </c>
      <c r="Y187" s="158">
        <v>74.254000000000005</v>
      </c>
      <c r="AA187" s="158">
        <v>87.102999999999994</v>
      </c>
      <c r="AB187" s="158">
        <v>87.043000000000006</v>
      </c>
      <c r="AC187" s="160">
        <v>11.83</v>
      </c>
      <c r="AE187" s="158">
        <v>281.21300000000002</v>
      </c>
      <c r="AF187" s="158">
        <v>290.83100000000002</v>
      </c>
      <c r="AG187" s="159">
        <v>97</v>
      </c>
      <c r="AI187" s="158">
        <v>107.363</v>
      </c>
      <c r="AJ187" s="158">
        <v>107.569</v>
      </c>
      <c r="AK187" s="159">
        <v>11.3</v>
      </c>
      <c r="AM187" s="158">
        <v>189.83500000000001</v>
      </c>
      <c r="AN187" s="158">
        <v>196.286</v>
      </c>
      <c r="AO187" s="158">
        <v>97.494</v>
      </c>
    </row>
    <row r="188" spans="1:41">
      <c r="A188" s="157">
        <v>45108</v>
      </c>
      <c r="B188" s="158">
        <v>92.936999999999998</v>
      </c>
      <c r="C188" s="158">
        <v>91.257999999999996</v>
      </c>
      <c r="D188" s="158">
        <v>6.4809999999999999</v>
      </c>
      <c r="F188" s="158">
        <v>82.832999999999998</v>
      </c>
      <c r="G188" s="158">
        <v>17.155999999999999</v>
      </c>
      <c r="I188" s="158">
        <v>17.882000000000001</v>
      </c>
      <c r="J188" s="160">
        <v>17.614000000000001</v>
      </c>
      <c r="K188" s="158">
        <v>7.0190000000000001</v>
      </c>
      <c r="M188" s="158">
        <v>439.65899999999999</v>
      </c>
      <c r="N188" s="158">
        <v>55.29</v>
      </c>
      <c r="P188" s="158">
        <v>22.875</v>
      </c>
      <c r="Q188" s="158">
        <v>25.207999999999998</v>
      </c>
      <c r="R188" s="159">
        <v>4</v>
      </c>
      <c r="T188" s="158">
        <v>175.875</v>
      </c>
      <c r="U188" s="158">
        <v>174.04599999999999</v>
      </c>
      <c r="V188" s="158">
        <v>24.055</v>
      </c>
      <c r="X188" s="158">
        <v>287.68400000000003</v>
      </c>
      <c r="Y188" s="158">
        <v>74.986000000000004</v>
      </c>
      <c r="AA188" s="158">
        <v>88.066000000000003</v>
      </c>
      <c r="AB188" s="158">
        <v>84.444000000000003</v>
      </c>
      <c r="AC188" s="160">
        <v>15.752000000000001</v>
      </c>
      <c r="AE188" s="158">
        <v>281.096</v>
      </c>
      <c r="AF188" s="158">
        <v>281.22399999999999</v>
      </c>
      <c r="AG188" s="159">
        <v>97</v>
      </c>
      <c r="AI188" s="158">
        <v>88.733999999999995</v>
      </c>
      <c r="AJ188" s="158">
        <v>88.661000000000001</v>
      </c>
      <c r="AK188" s="159">
        <v>11.100000000000001</v>
      </c>
      <c r="AM188" s="158">
        <v>165.15299999999999</v>
      </c>
      <c r="AN188" s="158">
        <v>148.637</v>
      </c>
      <c r="AO188" s="158">
        <v>113.973</v>
      </c>
    </row>
    <row r="189" spans="1:41">
      <c r="A189" s="157">
        <v>45139</v>
      </c>
      <c r="B189" s="158">
        <v>126.669</v>
      </c>
      <c r="C189" s="158">
        <v>126.20399999999999</v>
      </c>
      <c r="D189" s="158">
        <v>6.9470000000000001</v>
      </c>
      <c r="F189" s="158">
        <v>98.766999999999996</v>
      </c>
      <c r="G189" s="158">
        <v>17.247</v>
      </c>
      <c r="I189" s="158">
        <v>16.295999999999999</v>
      </c>
      <c r="J189" s="158">
        <v>15.183</v>
      </c>
      <c r="K189" s="158">
        <v>8.1319999999999997</v>
      </c>
      <c r="M189" s="158">
        <v>548.12099999999998</v>
      </c>
      <c r="N189" s="158">
        <v>56.936</v>
      </c>
      <c r="P189" s="158">
        <v>24.103999999999999</v>
      </c>
      <c r="Q189" s="158">
        <v>25.35</v>
      </c>
      <c r="R189" s="158">
        <v>4.5</v>
      </c>
      <c r="T189" s="158">
        <v>212.50700000000001</v>
      </c>
      <c r="U189" s="158">
        <v>198.61699999999999</v>
      </c>
      <c r="V189" s="158">
        <v>29.637</v>
      </c>
      <c r="X189" s="158">
        <v>343.79500000000002</v>
      </c>
      <c r="Y189" s="158">
        <v>78.5</v>
      </c>
      <c r="AA189" s="158">
        <v>85.834000000000003</v>
      </c>
      <c r="AB189" s="158">
        <v>87.248000000000005</v>
      </c>
      <c r="AC189" s="158">
        <v>14.541</v>
      </c>
      <c r="AE189" s="158">
        <v>312.65300000000002</v>
      </c>
      <c r="AF189" s="158">
        <v>317.97000000000003</v>
      </c>
      <c r="AG189" s="158">
        <v>86.388000000000005</v>
      </c>
      <c r="AI189" s="158">
        <v>108.548</v>
      </c>
      <c r="AJ189" s="158">
        <v>108.256</v>
      </c>
      <c r="AK189" s="158">
        <v>11.3</v>
      </c>
      <c r="AM189" s="158">
        <v>171.37700000000001</v>
      </c>
      <c r="AN189" s="158">
        <v>182.31200000000001</v>
      </c>
      <c r="AO189" s="158">
        <v>100.41500000000001</v>
      </c>
    </row>
    <row r="190" spans="1:41">
      <c r="A190" s="157">
        <v>45170</v>
      </c>
      <c r="B190" s="158">
        <v>100.468</v>
      </c>
      <c r="C190" s="158">
        <v>102.86499999999999</v>
      </c>
      <c r="D190" s="158">
        <v>5.2649999999999997</v>
      </c>
      <c r="F190" s="158">
        <v>98.010999999999996</v>
      </c>
      <c r="G190" s="158">
        <v>11.941000000000001</v>
      </c>
      <c r="I190" s="158">
        <v>25.012</v>
      </c>
      <c r="J190" s="158">
        <v>25.155999999999999</v>
      </c>
      <c r="K190" s="158">
        <v>7.7560000000000002</v>
      </c>
      <c r="M190" s="158">
        <v>489.565</v>
      </c>
      <c r="N190" s="158">
        <v>56.667000000000002</v>
      </c>
      <c r="P190" s="158">
        <v>22.51</v>
      </c>
      <c r="Q190" s="158">
        <v>19.75</v>
      </c>
      <c r="R190" s="158">
        <v>3.25</v>
      </c>
      <c r="T190" s="158">
        <v>210.43</v>
      </c>
      <c r="U190" s="158">
        <v>210.501</v>
      </c>
      <c r="V190" s="158">
        <v>29.565999999999999</v>
      </c>
      <c r="X190" s="158">
        <v>346.596</v>
      </c>
      <c r="Y190" s="158">
        <v>86.793000000000006</v>
      </c>
      <c r="AA190" s="158">
        <v>94.343000000000004</v>
      </c>
      <c r="AB190" s="158">
        <v>98.751000000000005</v>
      </c>
      <c r="AC190" s="158">
        <v>10.282999999999999</v>
      </c>
      <c r="AE190" s="158">
        <v>291.18599999999998</v>
      </c>
      <c r="AF190" s="158">
        <v>302.54399999999998</v>
      </c>
      <c r="AG190" s="158">
        <v>76.105999999999995</v>
      </c>
      <c r="AI190" s="158">
        <v>98.450999999999993</v>
      </c>
      <c r="AJ190" s="158">
        <v>100.51</v>
      </c>
      <c r="AK190" s="158">
        <v>11.200000000000001</v>
      </c>
      <c r="AM190" s="158">
        <v>171.54300000000001</v>
      </c>
      <c r="AN190" s="158">
        <v>172.34299999999999</v>
      </c>
      <c r="AO190" s="158">
        <v>99.771000000000001</v>
      </c>
    </row>
    <row r="191" spans="1:41">
      <c r="A191" s="157">
        <v>45200</v>
      </c>
      <c r="B191" s="158">
        <v>104.509</v>
      </c>
      <c r="C191" s="158">
        <v>103.928</v>
      </c>
      <c r="D191" s="158">
        <v>5.7</v>
      </c>
      <c r="F191" s="158">
        <v>77.965999999999994</v>
      </c>
      <c r="G191" s="158">
        <v>17.082999999999998</v>
      </c>
      <c r="I191" s="158">
        <v>27.204999999999998</v>
      </c>
      <c r="J191" s="160">
        <v>25.109000000000002</v>
      </c>
      <c r="K191" s="158">
        <v>9.8369999999999997</v>
      </c>
      <c r="M191" s="158">
        <v>474.851</v>
      </c>
      <c r="N191" s="158">
        <v>61.947000000000003</v>
      </c>
      <c r="P191" s="158">
        <v>23.04</v>
      </c>
      <c r="Q191" s="158">
        <v>27.347999999999999</v>
      </c>
      <c r="R191" s="159">
        <v>4.5</v>
      </c>
      <c r="T191" s="158">
        <v>194.64699999999999</v>
      </c>
      <c r="U191" s="158">
        <v>183.191</v>
      </c>
      <c r="V191" s="158">
        <v>41.02</v>
      </c>
      <c r="X191" s="158">
        <v>319.99299999999999</v>
      </c>
      <c r="Y191" s="158">
        <v>111.02200000000001</v>
      </c>
      <c r="AA191" s="158">
        <v>75.97</v>
      </c>
      <c r="AB191" s="158">
        <v>77.802999999999997</v>
      </c>
      <c r="AC191" s="160">
        <v>11.657999999999999</v>
      </c>
      <c r="AE191" s="158">
        <v>317.73899999999998</v>
      </c>
      <c r="AF191" s="158">
        <v>310.37</v>
      </c>
      <c r="AG191" s="159">
        <v>99</v>
      </c>
      <c r="AI191" s="158">
        <v>108.65600000000001</v>
      </c>
      <c r="AJ191" s="158">
        <v>95.427000000000007</v>
      </c>
      <c r="AK191" s="159">
        <v>11.200000000000001</v>
      </c>
      <c r="AM191" s="158">
        <v>156.655</v>
      </c>
      <c r="AN191" s="158">
        <v>158.785</v>
      </c>
      <c r="AO191" s="158">
        <v>97.638999999999996</v>
      </c>
    </row>
    <row r="192" spans="1:41">
      <c r="A192" s="157">
        <v>45231</v>
      </c>
      <c r="B192" s="158">
        <v>118.97499999999999</v>
      </c>
      <c r="C192" s="158">
        <v>117.47499999999999</v>
      </c>
      <c r="D192" s="158">
        <v>6.87</v>
      </c>
      <c r="F192" s="158">
        <v>89.587999999999994</v>
      </c>
      <c r="G192" s="158">
        <v>13.067</v>
      </c>
      <c r="I192" s="158">
        <v>31.251000000000001</v>
      </c>
      <c r="J192" s="160">
        <v>34.185000000000002</v>
      </c>
      <c r="K192" s="158">
        <v>8.0709999999999997</v>
      </c>
      <c r="M192" s="158">
        <v>527.83100000000002</v>
      </c>
      <c r="N192" s="158">
        <v>71.760999999999996</v>
      </c>
      <c r="P192" s="158">
        <v>28.495999999999999</v>
      </c>
      <c r="Q192" s="158">
        <v>27.795000000000002</v>
      </c>
      <c r="R192" s="159">
        <v>4.5</v>
      </c>
      <c r="T192" s="158">
        <v>222.197</v>
      </c>
      <c r="U192" s="158">
        <v>222.03100000000001</v>
      </c>
      <c r="V192" s="158">
        <v>41.186</v>
      </c>
      <c r="X192" s="158">
        <v>400.983</v>
      </c>
      <c r="Y192" s="158">
        <v>94.491</v>
      </c>
      <c r="AA192" s="158">
        <v>98.495999999999995</v>
      </c>
      <c r="AB192" s="158">
        <v>100.511</v>
      </c>
      <c r="AC192" s="160">
        <v>9.7729999999999997</v>
      </c>
      <c r="AE192" s="158">
        <v>315.55200000000002</v>
      </c>
      <c r="AF192" s="158">
        <v>311.55099999999999</v>
      </c>
      <c r="AG192" s="159">
        <v>97</v>
      </c>
      <c r="AI192" s="158">
        <v>120.831</v>
      </c>
      <c r="AJ192" s="158">
        <v>122.154</v>
      </c>
      <c r="AK192" s="159">
        <v>13</v>
      </c>
      <c r="AM192" s="158">
        <v>145.88</v>
      </c>
      <c r="AN192" s="158">
        <v>127.027</v>
      </c>
      <c r="AO192" s="158">
        <v>116.51300000000001</v>
      </c>
    </row>
    <row r="193" spans="1:41">
      <c r="A193" s="157">
        <v>45261</v>
      </c>
      <c r="B193" s="158">
        <v>112.90900000000001</v>
      </c>
      <c r="C193" s="158">
        <v>112.503</v>
      </c>
      <c r="D193" s="158">
        <v>7.2759999999999998</v>
      </c>
      <c r="F193" s="158">
        <v>78.396000000000001</v>
      </c>
      <c r="G193" s="158">
        <v>10.824</v>
      </c>
      <c r="I193" s="158">
        <v>25.731999999999999</v>
      </c>
      <c r="J193" s="160">
        <v>25.178999999999998</v>
      </c>
      <c r="K193" s="158">
        <v>8.6240000000000006</v>
      </c>
      <c r="M193" s="158">
        <v>497.80200000000002</v>
      </c>
      <c r="N193" s="158">
        <v>72.396000000000001</v>
      </c>
      <c r="P193" s="158">
        <v>21.242999999999999</v>
      </c>
      <c r="Q193" s="158">
        <v>18.667000000000002</v>
      </c>
      <c r="R193" s="159">
        <v>3.25</v>
      </c>
      <c r="T193" s="158">
        <v>185.715</v>
      </c>
      <c r="U193" s="158">
        <v>191.33099999999999</v>
      </c>
      <c r="V193" s="158">
        <v>35.57</v>
      </c>
      <c r="X193" s="158">
        <v>343.512</v>
      </c>
      <c r="Y193" s="158">
        <v>101.358</v>
      </c>
      <c r="AA193" s="158">
        <v>85.396000000000001</v>
      </c>
      <c r="AB193" s="158">
        <v>85.396000000000001</v>
      </c>
      <c r="AC193" s="160">
        <v>11.332000000000001</v>
      </c>
      <c r="AE193" s="158">
        <v>323.82499999999999</v>
      </c>
      <c r="AF193" s="158">
        <v>328.08</v>
      </c>
      <c r="AG193" s="159">
        <v>99</v>
      </c>
      <c r="AI193" s="158">
        <v>121.288</v>
      </c>
      <c r="AJ193" s="158">
        <v>121.15300000000001</v>
      </c>
      <c r="AK193" s="159">
        <v>11.600000000000001</v>
      </c>
      <c r="AM193" s="159">
        <v>160.60000000000002</v>
      </c>
      <c r="AN193" s="159">
        <v>170</v>
      </c>
      <c r="AO193" s="159">
        <v>102.80000000000001</v>
      </c>
    </row>
    <row r="194" spans="1:41">
      <c r="A194" s="157">
        <v>45292</v>
      </c>
      <c r="B194" s="158">
        <v>117.828</v>
      </c>
      <c r="C194" s="158">
        <v>116.462</v>
      </c>
      <c r="D194" s="158">
        <v>8.6430000000000007</v>
      </c>
      <c r="F194" s="158">
        <v>73.912999999999997</v>
      </c>
      <c r="G194" s="158">
        <v>16.359000000000002</v>
      </c>
      <c r="I194" s="158">
        <v>20.036999999999999</v>
      </c>
      <c r="J194" s="160">
        <v>19.192</v>
      </c>
      <c r="K194" s="158">
        <v>9</v>
      </c>
      <c r="M194" s="158">
        <v>488.35199999999998</v>
      </c>
      <c r="N194" s="158">
        <v>64.495999999999995</v>
      </c>
      <c r="P194" s="158">
        <v>23.616</v>
      </c>
      <c r="Q194" s="158">
        <v>20.555</v>
      </c>
      <c r="R194" s="159">
        <v>3.25</v>
      </c>
      <c r="T194" s="158">
        <v>168.078</v>
      </c>
      <c r="U194" s="158">
        <v>170.32400000000001</v>
      </c>
      <c r="V194" s="158">
        <v>33.344999999999999</v>
      </c>
      <c r="X194" s="158">
        <v>306.61500000000001</v>
      </c>
      <c r="Y194" s="158">
        <v>123.806</v>
      </c>
      <c r="AA194" s="158">
        <v>72.528999999999996</v>
      </c>
      <c r="AB194" s="158">
        <v>73.007999999999996</v>
      </c>
      <c r="AC194" s="160">
        <v>11.166</v>
      </c>
      <c r="AE194" s="158">
        <v>299.13900000000001</v>
      </c>
      <c r="AF194" s="158">
        <v>288.726</v>
      </c>
      <c r="AG194" s="159">
        <v>93.12</v>
      </c>
      <c r="AI194" s="158">
        <v>108.72799999999999</v>
      </c>
      <c r="AJ194" s="158">
        <v>103.953</v>
      </c>
      <c r="AK194" s="159">
        <v>11.4</v>
      </c>
      <c r="AM194" s="158">
        <v>168.3</v>
      </c>
      <c r="AN194" s="158">
        <v>156.9</v>
      </c>
      <c r="AO194" s="158">
        <v>105.2</v>
      </c>
    </row>
    <row r="195" spans="1:41">
      <c r="A195" s="157">
        <v>45323</v>
      </c>
      <c r="B195" s="158">
        <v>114.158</v>
      </c>
      <c r="C195" s="158">
        <v>116.18</v>
      </c>
      <c r="D195" s="158">
        <v>6.3129999999999997</v>
      </c>
      <c r="F195" s="158">
        <v>95.055000000000007</v>
      </c>
      <c r="G195" s="158">
        <v>15.535</v>
      </c>
      <c r="I195" s="158">
        <v>26.106999999999999</v>
      </c>
      <c r="J195" s="158">
        <v>26.824000000000002</v>
      </c>
      <c r="K195" s="159">
        <v>10</v>
      </c>
      <c r="M195" s="158">
        <v>469.68400000000003</v>
      </c>
      <c r="N195" s="158">
        <v>55.932000000000002</v>
      </c>
      <c r="P195" s="158">
        <v>25.524999999999999</v>
      </c>
      <c r="Q195" s="158">
        <v>28.3</v>
      </c>
      <c r="R195" s="159">
        <v>5</v>
      </c>
      <c r="T195" s="158">
        <v>205.33</v>
      </c>
      <c r="U195" s="158">
        <v>205.053</v>
      </c>
      <c r="V195" s="158">
        <v>33.302</v>
      </c>
      <c r="X195" s="158">
        <v>381.57100000000003</v>
      </c>
      <c r="Y195" s="158">
        <v>112.85299999999999</v>
      </c>
      <c r="AA195" s="158">
        <v>97.384</v>
      </c>
      <c r="AB195" s="158">
        <v>95.328999999999994</v>
      </c>
      <c r="AC195" s="160">
        <v>16.542999999999999</v>
      </c>
      <c r="AE195" s="158">
        <v>353.11399999999998</v>
      </c>
      <c r="AF195" s="158">
        <v>38.243000000000002</v>
      </c>
      <c r="AG195" s="158">
        <v>87.991</v>
      </c>
      <c r="AI195" s="158">
        <v>128.32300000000001</v>
      </c>
      <c r="AJ195" s="158">
        <v>128.47999999999999</v>
      </c>
      <c r="AK195" s="159">
        <v>11.600000000000001</v>
      </c>
      <c r="AM195" s="159">
        <v>172.60000000000002</v>
      </c>
      <c r="AN195" s="159">
        <v>159.20000000000002</v>
      </c>
      <c r="AO195" s="159">
        <v>105.5</v>
      </c>
    </row>
    <row r="196" spans="1:41">
      <c r="A196" s="157">
        <v>45352</v>
      </c>
      <c r="B196" s="158">
        <v>109.828</v>
      </c>
      <c r="C196" s="158">
        <v>109.617</v>
      </c>
      <c r="D196" s="158">
        <v>6.484</v>
      </c>
      <c r="F196" s="158">
        <v>79.873999999999995</v>
      </c>
      <c r="G196" s="158">
        <v>17.190000000000001</v>
      </c>
      <c r="I196" s="158">
        <v>21.765999999999998</v>
      </c>
      <c r="J196" s="158">
        <v>22.300999999999998</v>
      </c>
      <c r="K196" s="159">
        <v>9</v>
      </c>
      <c r="M196" s="158">
        <v>504.16899999999998</v>
      </c>
      <c r="N196" s="158">
        <v>52.445999999999998</v>
      </c>
      <c r="P196" s="158">
        <v>23.11</v>
      </c>
      <c r="Q196" s="158">
        <v>25.949000000000002</v>
      </c>
      <c r="R196" s="159">
        <v>4.25</v>
      </c>
      <c r="T196" s="158">
        <v>170.81800000000001</v>
      </c>
      <c r="U196" s="158">
        <v>177.14099999999999</v>
      </c>
      <c r="V196" s="158">
        <v>27.029</v>
      </c>
      <c r="X196" s="158">
        <v>328.97</v>
      </c>
      <c r="Y196" s="158">
        <v>101.929</v>
      </c>
      <c r="AA196" s="158">
        <v>91.653999999999996</v>
      </c>
      <c r="AB196" s="158">
        <v>86.039000000000001</v>
      </c>
      <c r="AC196" s="160">
        <v>22.087</v>
      </c>
      <c r="AE196" s="158">
        <v>355.53100000000001</v>
      </c>
      <c r="AF196" s="158">
        <v>365.483</v>
      </c>
      <c r="AG196" s="158">
        <v>78.084999999999994</v>
      </c>
      <c r="AI196" s="158">
        <v>112.429</v>
      </c>
      <c r="AJ196" s="158">
        <v>113.149</v>
      </c>
      <c r="AK196" s="159">
        <v>11.600000000000001</v>
      </c>
      <c r="AM196" s="159">
        <v>175.20000000000002</v>
      </c>
      <c r="AN196" s="159">
        <v>159</v>
      </c>
      <c r="AO196" s="159">
        <v>106.4</v>
      </c>
    </row>
    <row r="197" spans="1:41">
      <c r="A197" s="157">
        <v>45383</v>
      </c>
      <c r="B197" s="158">
        <v>97.825999999999993</v>
      </c>
      <c r="C197" s="158">
        <v>98.656000000000006</v>
      </c>
      <c r="D197" s="158">
        <v>5.694</v>
      </c>
      <c r="F197" s="158">
        <v>75.001000000000005</v>
      </c>
      <c r="G197" s="158">
        <v>16.138999999999999</v>
      </c>
      <c r="I197" s="158">
        <v>15.925000000000001</v>
      </c>
      <c r="J197" s="158">
        <v>19.04</v>
      </c>
      <c r="K197" s="159">
        <v>8</v>
      </c>
      <c r="M197" s="158">
        <v>423.01600000000002</v>
      </c>
      <c r="N197" s="158">
        <v>54.752000000000002</v>
      </c>
      <c r="P197" s="158">
        <v>18.481999999999999</v>
      </c>
      <c r="Q197" s="158">
        <v>18.163</v>
      </c>
      <c r="R197" s="159">
        <v>3</v>
      </c>
      <c r="T197" s="158">
        <v>161.21899999999999</v>
      </c>
      <c r="U197" s="158">
        <v>155.48400000000001</v>
      </c>
      <c r="V197" s="158">
        <v>32.648000000000003</v>
      </c>
      <c r="X197" s="158">
        <v>299.02800000000002</v>
      </c>
      <c r="Y197" s="158">
        <v>110.98699999999999</v>
      </c>
      <c r="AA197" s="158">
        <v>74.881</v>
      </c>
      <c r="AB197" s="158">
        <v>73.674999999999997</v>
      </c>
      <c r="AC197" s="160">
        <v>10.534000000000001</v>
      </c>
      <c r="AE197" s="158">
        <v>311.81099999999998</v>
      </c>
      <c r="AF197" s="158">
        <v>313.90600000000001</v>
      </c>
      <c r="AG197" s="158">
        <v>83.876000000000005</v>
      </c>
      <c r="AI197" s="158">
        <v>126.83799999999999</v>
      </c>
      <c r="AJ197" s="158">
        <v>121.68899999999999</v>
      </c>
      <c r="AK197" s="159">
        <v>11.8</v>
      </c>
      <c r="AM197" s="159">
        <v>176.4</v>
      </c>
      <c r="AN197" s="159">
        <v>158</v>
      </c>
      <c r="AO197" s="159">
        <v>106.9</v>
      </c>
    </row>
    <row r="198" spans="1:41">
      <c r="A198" s="157">
        <v>45413</v>
      </c>
      <c r="B198" s="158">
        <v>90.384</v>
      </c>
      <c r="C198" s="158">
        <v>92.68</v>
      </c>
      <c r="D198" s="158">
        <v>13.428000000000001</v>
      </c>
      <c r="F198" s="158">
        <v>94.433000000000007</v>
      </c>
      <c r="G198" s="158">
        <v>20.352</v>
      </c>
      <c r="I198" s="158">
        <v>19.396999999999998</v>
      </c>
      <c r="J198" s="158">
        <v>19.957000000000001</v>
      </c>
      <c r="K198" s="159">
        <v>7</v>
      </c>
      <c r="M198" s="158">
        <v>421.67700000000002</v>
      </c>
      <c r="N198" s="158">
        <v>50.771999999999998</v>
      </c>
      <c r="P198" s="158">
        <v>19.425000000000001</v>
      </c>
      <c r="Q198" s="158">
        <v>20.420999999999999</v>
      </c>
      <c r="R198" s="159">
        <v>3.25</v>
      </c>
      <c r="T198" s="158">
        <v>196.41399999999999</v>
      </c>
      <c r="U198" s="158">
        <v>197.58699999999999</v>
      </c>
      <c r="V198" s="158">
        <v>31.475000000000001</v>
      </c>
      <c r="X198" s="158">
        <v>348.36599999999999</v>
      </c>
      <c r="Y198" s="158">
        <v>119.446</v>
      </c>
      <c r="AA198" s="158">
        <v>87.971000000000004</v>
      </c>
      <c r="AB198" s="158">
        <v>90.245999999999995</v>
      </c>
      <c r="AC198" s="160">
        <v>8.3089999999999993</v>
      </c>
      <c r="AE198" s="158">
        <v>324.94900000000001</v>
      </c>
      <c r="AF198" s="158">
        <v>317.89400000000001</v>
      </c>
      <c r="AG198" s="158">
        <v>85.343999999999994</v>
      </c>
      <c r="AI198" s="158">
        <v>134.303</v>
      </c>
      <c r="AJ198" s="158">
        <v>132.155</v>
      </c>
      <c r="AK198" s="158">
        <v>5.8940000000000001</v>
      </c>
      <c r="AM198" s="159">
        <v>175.8</v>
      </c>
      <c r="AN198" s="159">
        <v>268.5</v>
      </c>
      <c r="AO198" s="159">
        <v>61.900000000000006</v>
      </c>
    </row>
    <row r="199" spans="1:41">
      <c r="A199" s="157">
        <v>45444</v>
      </c>
      <c r="B199" s="158">
        <v>83.838999999999999</v>
      </c>
      <c r="C199" s="158">
        <v>83.849000000000004</v>
      </c>
      <c r="D199" s="158">
        <v>13.417</v>
      </c>
      <c r="F199" s="158">
        <v>83.992999999999995</v>
      </c>
      <c r="G199" s="158">
        <v>19.667999999999999</v>
      </c>
      <c r="I199" s="158">
        <v>14.801</v>
      </c>
      <c r="J199" s="158">
        <v>15.284000000000001</v>
      </c>
      <c r="K199" s="159">
        <v>8</v>
      </c>
      <c r="M199" s="158">
        <v>407.39400000000001</v>
      </c>
      <c r="N199" s="158">
        <v>57.862000000000002</v>
      </c>
      <c r="P199" s="158">
        <v>20.420999999999999</v>
      </c>
      <c r="Q199" s="158">
        <v>17.661000000000001</v>
      </c>
      <c r="R199" s="159">
        <v>3</v>
      </c>
      <c r="T199" s="158">
        <v>184.86199999999999</v>
      </c>
      <c r="U199" s="158">
        <v>186.22</v>
      </c>
      <c r="V199" s="158">
        <v>30.143999999999998</v>
      </c>
      <c r="X199" s="158">
        <v>341.57600000000002</v>
      </c>
      <c r="Y199" s="158">
        <v>117.596</v>
      </c>
      <c r="AA199" s="158">
        <v>71.718999999999994</v>
      </c>
      <c r="AB199" s="158">
        <v>71.353999999999999</v>
      </c>
      <c r="AC199" s="160">
        <v>8.4120000000000008</v>
      </c>
      <c r="AE199" s="158">
        <v>320.161</v>
      </c>
      <c r="AF199" s="158">
        <v>317.34699999999998</v>
      </c>
      <c r="AG199" s="159">
        <v>97</v>
      </c>
      <c r="AI199" s="158">
        <v>125.98</v>
      </c>
      <c r="AJ199" s="158">
        <v>124.11799999999999</v>
      </c>
      <c r="AK199" s="159">
        <v>11.5</v>
      </c>
      <c r="AM199" s="159">
        <v>177.3</v>
      </c>
      <c r="AN199" s="159">
        <v>156.10000000000002</v>
      </c>
      <c r="AO199" s="159">
        <v>95.4</v>
      </c>
    </row>
    <row r="200" spans="1:41">
      <c r="A200" s="157">
        <v>45474</v>
      </c>
      <c r="B200" s="158">
        <v>91.188000000000002</v>
      </c>
      <c r="C200" s="158">
        <v>91.328000000000003</v>
      </c>
      <c r="D200" s="158">
        <v>6.2389999999999999</v>
      </c>
      <c r="F200" s="158">
        <v>79.064999999999998</v>
      </c>
      <c r="G200" s="158">
        <v>20.558</v>
      </c>
      <c r="I200" s="158">
        <v>25.178000000000001</v>
      </c>
      <c r="J200" s="158">
        <v>21.407</v>
      </c>
      <c r="K200" s="158">
        <v>10.231</v>
      </c>
      <c r="M200" s="158">
        <v>393.51900000000001</v>
      </c>
      <c r="N200" s="158">
        <v>55.207000000000001</v>
      </c>
      <c r="P200" s="158">
        <v>16.617000000000001</v>
      </c>
      <c r="Q200" s="158">
        <v>17.766999999999999</v>
      </c>
      <c r="R200" s="158">
        <v>2.75</v>
      </c>
      <c r="T200" s="158">
        <v>171.54599999999999</v>
      </c>
      <c r="U200" s="158">
        <v>165.05199999999999</v>
      </c>
      <c r="V200" s="158">
        <v>36.607999999999997</v>
      </c>
      <c r="X200" s="158">
        <v>296.69400000000002</v>
      </c>
      <c r="Y200" s="158">
        <v>113.70099999999999</v>
      </c>
      <c r="AA200" s="158">
        <v>88.626999999999995</v>
      </c>
      <c r="AB200" s="158">
        <v>89.241</v>
      </c>
      <c r="AC200" s="158">
        <v>10.196</v>
      </c>
      <c r="AE200" s="158">
        <v>304.03899999999999</v>
      </c>
      <c r="AF200" s="158">
        <v>305.49</v>
      </c>
      <c r="AG200" s="158">
        <v>97</v>
      </c>
      <c r="AI200" s="158">
        <v>108.2</v>
      </c>
      <c r="AJ200" s="158">
        <v>108.398</v>
      </c>
      <c r="AK200" s="158">
        <v>11.5</v>
      </c>
      <c r="AM200" s="158">
        <v>177.5</v>
      </c>
      <c r="AN200" s="158">
        <v>156.4</v>
      </c>
      <c r="AO200" s="158">
        <v>95.7</v>
      </c>
    </row>
    <row r="201" spans="1:41">
      <c r="A201" s="157">
        <v>45505</v>
      </c>
      <c r="B201" s="158">
        <v>109.625</v>
      </c>
      <c r="C201" s="158">
        <v>106.887</v>
      </c>
      <c r="D201" s="158">
        <v>8.9760000000000009</v>
      </c>
      <c r="F201" s="158">
        <v>97.272999999999996</v>
      </c>
      <c r="G201" s="158">
        <v>21.158999999999999</v>
      </c>
      <c r="I201" s="158">
        <v>23.866</v>
      </c>
      <c r="J201" s="158">
        <v>23.456</v>
      </c>
      <c r="K201" s="158">
        <v>10.529</v>
      </c>
      <c r="M201" s="158">
        <v>427.43200000000002</v>
      </c>
      <c r="N201" s="158">
        <v>57.228999999999999</v>
      </c>
      <c r="P201" s="158">
        <v>18.951000000000001</v>
      </c>
      <c r="Q201" s="158">
        <v>16.053999999999998</v>
      </c>
      <c r="R201" s="158">
        <v>2.75</v>
      </c>
      <c r="T201" s="158">
        <v>213.26499999999999</v>
      </c>
      <c r="U201" s="158">
        <v>211.70099999999999</v>
      </c>
      <c r="V201" s="158">
        <v>38.171999999999997</v>
      </c>
      <c r="X201" s="158">
        <v>360.30200000000002</v>
      </c>
      <c r="Y201" s="158">
        <v>123.11</v>
      </c>
      <c r="AA201" s="158">
        <v>106.608</v>
      </c>
      <c r="AB201" s="158">
        <v>105.893</v>
      </c>
      <c r="AC201" s="158">
        <v>11.074999999999999</v>
      </c>
      <c r="AE201" s="158">
        <v>317.75599999999997</v>
      </c>
      <c r="AF201" s="158">
        <v>326.45400000000001</v>
      </c>
      <c r="AG201" s="158">
        <v>98</v>
      </c>
      <c r="AI201" s="158">
        <v>122.937</v>
      </c>
      <c r="AJ201" s="158">
        <v>122.179</v>
      </c>
      <c r="AK201" s="158">
        <v>11.5</v>
      </c>
      <c r="AM201" s="158">
        <v>177.70000000000002</v>
      </c>
      <c r="AN201" s="158">
        <v>156.5</v>
      </c>
      <c r="AO201" s="158">
        <v>95.800000000000011</v>
      </c>
    </row>
    <row r="202" spans="1:41" ht="15.75" customHeight="1">
      <c r="A202" s="157">
        <v>45536</v>
      </c>
      <c r="B202" s="158">
        <v>93.98</v>
      </c>
      <c r="C202" s="158">
        <v>93.861000000000004</v>
      </c>
      <c r="D202" s="158">
        <v>9.0950000000000006</v>
      </c>
      <c r="F202" s="158">
        <v>87.180999999999997</v>
      </c>
      <c r="G202" s="158">
        <v>19.391999999999999</v>
      </c>
      <c r="I202" s="158">
        <v>33.396999999999998</v>
      </c>
      <c r="J202" s="158">
        <v>30.469000000000001</v>
      </c>
      <c r="K202" s="158">
        <v>12.241</v>
      </c>
      <c r="M202" s="158">
        <v>493.71899999999999</v>
      </c>
      <c r="N202" s="158">
        <v>63.475000000000001</v>
      </c>
      <c r="P202" s="158">
        <v>19.693999999999999</v>
      </c>
      <c r="Q202" s="158">
        <v>19.248999999999999</v>
      </c>
      <c r="R202" s="158">
        <v>3.25</v>
      </c>
      <c r="T202" s="158">
        <v>195.428</v>
      </c>
      <c r="U202" s="158">
        <v>196.852</v>
      </c>
      <c r="V202" s="158">
        <v>36.661000000000001</v>
      </c>
      <c r="X202" s="158">
        <v>348.27300000000002</v>
      </c>
      <c r="Y202" s="158">
        <v>123.986</v>
      </c>
      <c r="AA202" s="158">
        <v>112.52200000000001</v>
      </c>
      <c r="AB202" s="158">
        <v>102.309</v>
      </c>
      <c r="AC202" s="158">
        <v>21.853999999999999</v>
      </c>
      <c r="AE202" s="158">
        <v>346.26600000000002</v>
      </c>
      <c r="AF202" s="158">
        <v>353.37799999999999</v>
      </c>
      <c r="AG202" s="158">
        <v>70.847999999999999</v>
      </c>
      <c r="AI202" s="158">
        <v>126.13200000000001</v>
      </c>
      <c r="AJ202" s="158">
        <v>126.979</v>
      </c>
      <c r="AK202" s="158">
        <v>11.4</v>
      </c>
      <c r="AM202" s="158">
        <v>177.9</v>
      </c>
      <c r="AN202" s="158">
        <v>156.4</v>
      </c>
      <c r="AO202" s="158">
        <v>96</v>
      </c>
    </row>
    <row r="203" spans="1:41">
      <c r="A203" s="157">
        <v>45566</v>
      </c>
      <c r="B203" s="158">
        <v>93.471999999999994</v>
      </c>
      <c r="C203" s="158">
        <v>91.988</v>
      </c>
      <c r="D203" s="158">
        <v>10.816000000000001</v>
      </c>
      <c r="F203" s="158">
        <v>87.945999999999998</v>
      </c>
      <c r="G203" s="158">
        <v>18.859000000000002</v>
      </c>
      <c r="I203" s="158">
        <v>21.03</v>
      </c>
      <c r="J203" s="158">
        <v>26.669</v>
      </c>
      <c r="K203" s="158">
        <v>6.6029999999999998</v>
      </c>
      <c r="M203" s="158">
        <v>432.17899999999997</v>
      </c>
      <c r="N203" s="158">
        <v>55.591999999999999</v>
      </c>
      <c r="P203" s="158">
        <v>18.853999999999999</v>
      </c>
      <c r="Q203" s="158">
        <v>16.684999999999999</v>
      </c>
      <c r="R203" s="158">
        <v>2.75</v>
      </c>
      <c r="T203" s="158">
        <v>186.434</v>
      </c>
      <c r="U203" s="158">
        <v>183.29599999999999</v>
      </c>
      <c r="V203" s="158">
        <v>39.695999999999998</v>
      </c>
      <c r="X203" s="158">
        <v>332.56099999999998</v>
      </c>
      <c r="Y203" s="158">
        <v>106.482</v>
      </c>
      <c r="AA203" s="158">
        <v>74.783000000000001</v>
      </c>
      <c r="AB203" s="158">
        <v>79.635000000000005</v>
      </c>
      <c r="AC203" s="158">
        <v>19</v>
      </c>
      <c r="AE203" s="158">
        <v>319.59300000000002</v>
      </c>
      <c r="AF203" s="158">
        <v>313.34899999999999</v>
      </c>
      <c r="AG203" s="158">
        <v>75.966999999999999</v>
      </c>
      <c r="AI203" s="158">
        <v>131.279</v>
      </c>
      <c r="AJ203" s="158">
        <v>131.27000000000001</v>
      </c>
      <c r="AK203" s="158">
        <v>11.4</v>
      </c>
      <c r="AM203" s="158">
        <v>178.20000000000002</v>
      </c>
      <c r="AN203" s="158">
        <v>157</v>
      </c>
      <c r="AO203" s="158">
        <v>95.9</v>
      </c>
    </row>
    <row r="204" spans="1:41">
      <c r="A204" s="157">
        <v>45597</v>
      </c>
      <c r="B204" s="158">
        <v>117.111</v>
      </c>
      <c r="C204" s="158">
        <v>121.36</v>
      </c>
      <c r="D204" s="158">
        <v>6.5670000000000002</v>
      </c>
      <c r="F204" s="158">
        <v>96.25</v>
      </c>
      <c r="G204" s="158">
        <v>19.629000000000001</v>
      </c>
      <c r="I204" s="158">
        <v>21.856999999999999</v>
      </c>
      <c r="J204" s="158">
        <v>23.824999999999999</v>
      </c>
      <c r="K204" s="158">
        <v>4.4429999999999996</v>
      </c>
      <c r="M204" s="158">
        <v>440.702</v>
      </c>
      <c r="N204" s="158">
        <v>59.673999999999999</v>
      </c>
      <c r="P204" s="158">
        <v>21.753</v>
      </c>
      <c r="Q204" s="158">
        <v>20.876000000000001</v>
      </c>
      <c r="R204" s="158">
        <v>3.25</v>
      </c>
      <c r="T204" s="158">
        <v>203.518</v>
      </c>
      <c r="U204" s="158">
        <v>209.43199999999999</v>
      </c>
      <c r="V204" s="158">
        <v>33.436</v>
      </c>
      <c r="X204" s="158">
        <v>353.53500000000003</v>
      </c>
      <c r="Y204" s="158">
        <v>106.831</v>
      </c>
      <c r="AA204" s="158">
        <v>80.481999999999999</v>
      </c>
      <c r="AB204" s="158">
        <v>83.44</v>
      </c>
      <c r="AC204" s="158">
        <v>14.349</v>
      </c>
      <c r="AE204" s="158">
        <v>319.43</v>
      </c>
      <c r="AF204" s="158">
        <v>323.709</v>
      </c>
      <c r="AG204" s="158">
        <v>70.817999999999998</v>
      </c>
      <c r="AI204" s="158">
        <v>134.648</v>
      </c>
      <c r="AJ204" s="158">
        <v>136.81800000000001</v>
      </c>
      <c r="AK204" s="158">
        <v>11.200000000000001</v>
      </c>
      <c r="AM204" s="158">
        <v>178.5</v>
      </c>
      <c r="AN204" s="158">
        <v>156.30000000000001</v>
      </c>
      <c r="AO204" s="158">
        <v>95.800000000000011</v>
      </c>
    </row>
    <row r="205" spans="1:41">
      <c r="A205" s="157">
        <v>45627</v>
      </c>
      <c r="B205" s="158">
        <v>101.498</v>
      </c>
      <c r="C205" s="158">
        <v>121.36</v>
      </c>
      <c r="D205" s="158">
        <v>9.84</v>
      </c>
      <c r="F205" s="158">
        <v>81.125</v>
      </c>
      <c r="G205" s="158">
        <v>18.082999999999998</v>
      </c>
      <c r="I205" s="158">
        <v>25.196000000000002</v>
      </c>
      <c r="J205" s="158">
        <v>22.49</v>
      </c>
      <c r="K205" s="158">
        <v>8.2149999999999999</v>
      </c>
      <c r="M205" s="158">
        <v>394.65100000000001</v>
      </c>
      <c r="N205" s="158">
        <v>58.610999999999997</v>
      </c>
      <c r="P205" s="158">
        <v>13.254</v>
      </c>
      <c r="Q205" s="158">
        <v>15.579000000000001</v>
      </c>
      <c r="R205" s="159">
        <v>2.75</v>
      </c>
      <c r="T205" s="158">
        <v>170.75399999999999</v>
      </c>
      <c r="U205" s="158">
        <v>174.49100000000001</v>
      </c>
      <c r="V205" s="158">
        <v>29.504000000000001</v>
      </c>
      <c r="X205" s="158">
        <v>326.44400000000002</v>
      </c>
      <c r="Y205" s="158">
        <v>123.44</v>
      </c>
      <c r="AA205" s="158">
        <v>75.599999999999994</v>
      </c>
      <c r="AB205" s="158">
        <v>73.459000000000003</v>
      </c>
      <c r="AC205" s="160">
        <v>16.716999999999999</v>
      </c>
      <c r="AE205" s="158">
        <v>301.27999999999997</v>
      </c>
      <c r="AF205" s="158">
        <v>307.274</v>
      </c>
      <c r="AG205" s="160">
        <v>64.825999999999993</v>
      </c>
      <c r="AI205" s="158">
        <v>115.751</v>
      </c>
      <c r="AJ205" s="158">
        <v>118.33799999999999</v>
      </c>
      <c r="AK205" s="159">
        <v>11.4</v>
      </c>
      <c r="AM205" s="159">
        <v>178.9</v>
      </c>
      <c r="AN205" s="159">
        <v>150.70000000000002</v>
      </c>
      <c r="AO205" s="159">
        <v>96.600000000000009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68CB-3E1C-4D1A-B900-CB6D78995E38}">
  <sheetPr codeName="Sheet7"/>
  <dimension ref="A1:Z207"/>
  <sheetViews>
    <sheetView zoomScale="85" zoomScaleNormal="85" workbookViewId="0">
      <pane xSplit="1" ySplit="2" topLeftCell="N100" activePane="bottomRight" state="frozen"/>
      <selection pane="topRight" activeCell="B1" sqref="B1"/>
      <selection pane="bottomLeft" activeCell="A3" sqref="A3"/>
      <selection pane="bottomRight" activeCell="Z125" sqref="Z125"/>
    </sheetView>
  </sheetViews>
  <sheetFormatPr defaultColWidth="8.85546875" defaultRowHeight="15"/>
  <cols>
    <col min="2" max="3" width="11.42578125" style="79" customWidth="1"/>
    <col min="4" max="4" width="2.140625" customWidth="1"/>
    <col min="5" max="8" width="11.42578125" style="79" customWidth="1"/>
    <col min="9" max="9" width="5.85546875" bestFit="1" customWidth="1"/>
    <col min="10" max="14" width="15.42578125" style="79" customWidth="1"/>
    <col min="15" max="15" width="2.140625" customWidth="1"/>
    <col min="16" max="20" width="11.42578125" style="79" customWidth="1"/>
    <col min="21" max="21" width="2.28515625" customWidth="1"/>
    <col min="22" max="26" width="11.42578125" style="79" customWidth="1"/>
  </cols>
  <sheetData>
    <row r="1" spans="1:26" s="38" customFormat="1" ht="14.25">
      <c r="B1" s="352" t="s">
        <v>324</v>
      </c>
      <c r="C1" s="352"/>
      <c r="E1" s="352" t="s">
        <v>325</v>
      </c>
      <c r="F1" s="352"/>
      <c r="G1" s="352"/>
      <c r="H1" s="352"/>
      <c r="J1" s="352" t="s">
        <v>326</v>
      </c>
      <c r="K1" s="352"/>
      <c r="L1" s="352"/>
      <c r="M1" s="352"/>
      <c r="N1" s="352"/>
      <c r="P1" s="352" t="s">
        <v>327</v>
      </c>
      <c r="Q1" s="352"/>
      <c r="R1" s="352"/>
      <c r="S1" s="352"/>
      <c r="T1" s="352"/>
      <c r="V1" s="353" t="s">
        <v>328</v>
      </c>
      <c r="W1" s="353"/>
      <c r="X1" s="353"/>
      <c r="Y1" s="353"/>
      <c r="Z1" s="353"/>
    </row>
    <row r="2" spans="1:26" s="73" customFormat="1" ht="66">
      <c r="B2" s="75" t="s">
        <v>329</v>
      </c>
      <c r="C2" s="75" t="s">
        <v>75</v>
      </c>
      <c r="D2" s="75"/>
      <c r="E2" s="75" t="s">
        <v>329</v>
      </c>
      <c r="F2" s="75" t="s">
        <v>330</v>
      </c>
      <c r="G2" s="75" t="s">
        <v>331</v>
      </c>
      <c r="H2" s="75" t="s">
        <v>75</v>
      </c>
      <c r="I2" s="75"/>
      <c r="J2" s="75" t="s">
        <v>332</v>
      </c>
      <c r="K2" s="75" t="s">
        <v>333</v>
      </c>
      <c r="L2" s="75" t="s">
        <v>334</v>
      </c>
      <c r="M2" s="75" t="s">
        <v>79</v>
      </c>
      <c r="N2" s="75" t="s">
        <v>335</v>
      </c>
      <c r="O2" s="75"/>
      <c r="P2" s="75" t="s">
        <v>336</v>
      </c>
      <c r="Q2" s="75" t="s">
        <v>337</v>
      </c>
      <c r="R2" s="75" t="s">
        <v>329</v>
      </c>
      <c r="S2" s="75" t="s">
        <v>79</v>
      </c>
      <c r="T2" s="75" t="s">
        <v>335</v>
      </c>
      <c r="V2" s="75" t="s">
        <v>338</v>
      </c>
      <c r="W2" s="75" t="s">
        <v>337</v>
      </c>
      <c r="X2" s="75" t="s">
        <v>329</v>
      </c>
      <c r="Y2" s="75" t="s">
        <v>79</v>
      </c>
      <c r="Z2" s="75" t="s">
        <v>335</v>
      </c>
    </row>
    <row r="3" spans="1:26">
      <c r="A3" s="74">
        <v>42125</v>
      </c>
      <c r="B3" s="79">
        <v>33.465000000000003</v>
      </c>
      <c r="C3" s="79">
        <v>90.108999999999995</v>
      </c>
      <c r="D3" s="79"/>
      <c r="E3" s="79">
        <v>141.60300000000001</v>
      </c>
      <c r="F3" s="79">
        <v>136.91</v>
      </c>
      <c r="G3" s="79">
        <v>4.6929999999999996</v>
      </c>
      <c r="H3" s="79">
        <v>377.33199999999999</v>
      </c>
      <c r="I3" s="79"/>
      <c r="J3"/>
      <c r="O3" s="79"/>
      <c r="P3" s="79">
        <v>22.169</v>
      </c>
      <c r="Q3" s="79">
        <v>20.501000000000001</v>
      </c>
      <c r="R3" s="79">
        <v>25.416</v>
      </c>
      <c r="S3" s="79">
        <v>31.163</v>
      </c>
      <c r="T3" s="79">
        <v>23.254000000000001</v>
      </c>
      <c r="V3" s="79">
        <v>40.119</v>
      </c>
      <c r="W3" s="79">
        <v>38.53</v>
      </c>
      <c r="X3" s="79">
        <v>62.128</v>
      </c>
      <c r="Y3" s="79">
        <v>85.108999999999995</v>
      </c>
      <c r="Z3" s="79">
        <v>26.408999999999999</v>
      </c>
    </row>
    <row r="4" spans="1:26">
      <c r="A4" s="74">
        <v>42156</v>
      </c>
      <c r="B4" s="79">
        <v>29.972999999999999</v>
      </c>
      <c r="C4" s="79">
        <v>84.513000000000005</v>
      </c>
      <c r="D4" s="79"/>
      <c r="E4" s="79">
        <v>157.995</v>
      </c>
      <c r="F4" s="79">
        <v>147.667</v>
      </c>
      <c r="G4" s="79">
        <v>10.327999999999999</v>
      </c>
      <c r="H4" s="79">
        <v>365.66300000000001</v>
      </c>
      <c r="I4" s="79"/>
      <c r="J4"/>
      <c r="O4" s="79"/>
      <c r="P4" s="79">
        <v>37.174999999999997</v>
      </c>
      <c r="Q4" s="79">
        <v>35.177</v>
      </c>
      <c r="R4" s="79">
        <v>33.317</v>
      </c>
      <c r="S4" s="79">
        <v>24.803000000000001</v>
      </c>
      <c r="T4" s="79">
        <v>23.155000000000001</v>
      </c>
      <c r="V4" s="79">
        <v>47.981000000000002</v>
      </c>
      <c r="W4" s="79">
        <v>46.881999999999998</v>
      </c>
      <c r="X4" s="79">
        <v>68.679000000000002</v>
      </c>
      <c r="Y4" s="79">
        <v>92.718000000000004</v>
      </c>
      <c r="Z4" s="79">
        <v>18.312000000000001</v>
      </c>
    </row>
    <row r="5" spans="1:26">
      <c r="A5" s="74">
        <v>42186</v>
      </c>
      <c r="B5" s="79">
        <v>29.768000000000001</v>
      </c>
      <c r="C5" s="79">
        <v>97.557000000000002</v>
      </c>
      <c r="D5" s="79"/>
      <c r="E5" s="79">
        <v>178.73500000000001</v>
      </c>
      <c r="F5" s="79">
        <v>165.458</v>
      </c>
      <c r="G5" s="79">
        <v>13.276999999999999</v>
      </c>
      <c r="H5" s="79">
        <v>352.52100000000002</v>
      </c>
      <c r="I5" s="79"/>
      <c r="J5"/>
      <c r="O5" s="79"/>
      <c r="P5" s="79">
        <v>33.796999999999997</v>
      </c>
      <c r="Q5" s="79">
        <v>31.997</v>
      </c>
      <c r="R5" s="79">
        <v>34.817999999999998</v>
      </c>
      <c r="S5" s="79">
        <v>53.152999999999999</v>
      </c>
      <c r="T5" s="79">
        <v>18.486999999999998</v>
      </c>
      <c r="V5" s="79">
        <v>54.219000000000001</v>
      </c>
      <c r="W5" s="79">
        <v>52.447000000000003</v>
      </c>
      <c r="X5" s="79">
        <v>74.903000000000006</v>
      </c>
      <c r="Y5" s="79">
        <v>97.938999999999993</v>
      </c>
      <c r="Z5" s="79">
        <v>18.994</v>
      </c>
    </row>
    <row r="6" spans="1:26">
      <c r="A6" s="74">
        <v>42217</v>
      </c>
      <c r="B6" s="79">
        <v>34.387</v>
      </c>
      <c r="C6" s="79">
        <v>81.100999999999999</v>
      </c>
      <c r="D6" s="79"/>
      <c r="E6" s="79">
        <v>170.25700000000001</v>
      </c>
      <c r="F6" s="79">
        <v>164.50200000000001</v>
      </c>
      <c r="G6" s="79">
        <v>5.7549999999999999</v>
      </c>
      <c r="H6" s="79">
        <v>346.70400000000001</v>
      </c>
      <c r="I6" s="79"/>
      <c r="J6"/>
      <c r="O6" s="79"/>
      <c r="P6" s="79">
        <v>43.478999999999999</v>
      </c>
      <c r="Q6" s="79">
        <v>40.915999999999997</v>
      </c>
      <c r="R6" s="79">
        <v>30.138999999999999</v>
      </c>
      <c r="S6" s="79">
        <v>37.676000000000002</v>
      </c>
      <c r="T6" s="79">
        <v>31.638000000000002</v>
      </c>
      <c r="V6" s="79">
        <v>56.689</v>
      </c>
      <c r="W6" s="79">
        <v>55.402999999999999</v>
      </c>
      <c r="X6" s="79">
        <v>77.537000000000006</v>
      </c>
      <c r="Y6" s="79">
        <v>89.674000000000007</v>
      </c>
      <c r="Z6" s="79">
        <v>25.623999999999999</v>
      </c>
    </row>
    <row r="7" spans="1:26">
      <c r="A7" s="74">
        <v>42248</v>
      </c>
      <c r="B7" s="79">
        <v>33.57</v>
      </c>
      <c r="C7" s="79">
        <v>86.718999999999994</v>
      </c>
      <c r="D7" s="79"/>
      <c r="E7" s="79">
        <v>177.21899999999999</v>
      </c>
      <c r="F7" s="79">
        <v>165.34899999999999</v>
      </c>
      <c r="G7" s="79">
        <v>11.87</v>
      </c>
      <c r="H7" s="79">
        <v>364.15100000000001</v>
      </c>
      <c r="I7" s="79"/>
      <c r="J7"/>
      <c r="O7" s="79"/>
      <c r="P7" s="79">
        <v>22.773</v>
      </c>
      <c r="Q7" s="79">
        <v>21.675000000000001</v>
      </c>
      <c r="R7" s="79">
        <v>26.731000000000002</v>
      </c>
      <c r="S7" s="80">
        <v>54.173500000000004</v>
      </c>
      <c r="T7" s="79">
        <v>20.869</v>
      </c>
      <c r="V7" s="79">
        <v>46.965000000000003</v>
      </c>
      <c r="W7" s="79">
        <v>45.628</v>
      </c>
      <c r="X7" s="79">
        <v>72.119</v>
      </c>
      <c r="Y7" s="79">
        <v>108.123</v>
      </c>
      <c r="Z7" s="79">
        <v>25.782</v>
      </c>
    </row>
    <row r="8" spans="1:26">
      <c r="A8" s="74">
        <v>42278</v>
      </c>
      <c r="B8" s="79">
        <v>41.396999999999998</v>
      </c>
      <c r="C8" s="79">
        <v>90.367999999999995</v>
      </c>
      <c r="D8" s="79"/>
      <c r="E8" s="79">
        <v>194.33199999999999</v>
      </c>
      <c r="F8" s="79">
        <v>184.03</v>
      </c>
      <c r="G8" s="79">
        <v>10.302</v>
      </c>
      <c r="H8" s="79">
        <v>379.38099999999997</v>
      </c>
      <c r="I8" s="79"/>
      <c r="J8"/>
      <c r="O8" s="79"/>
      <c r="P8" s="79">
        <v>44.642000000000003</v>
      </c>
      <c r="Q8" s="79">
        <v>42.502000000000002</v>
      </c>
      <c r="R8" s="79">
        <v>37.26</v>
      </c>
      <c r="S8" s="79">
        <v>54.688000000000002</v>
      </c>
      <c r="T8" s="79">
        <v>25.966999999999999</v>
      </c>
      <c r="V8" s="79">
        <v>40.128</v>
      </c>
      <c r="W8" s="79">
        <v>38.908000000000001</v>
      </c>
      <c r="X8" s="79">
        <v>62.045999999999999</v>
      </c>
      <c r="Y8" s="79">
        <v>112.58799999999999</v>
      </c>
      <c r="Z8" s="79">
        <v>30.512</v>
      </c>
    </row>
    <row r="9" spans="1:26">
      <c r="A9" s="74">
        <v>42309</v>
      </c>
      <c r="B9" s="79">
        <v>30.797000000000001</v>
      </c>
      <c r="C9" s="79">
        <v>122.672</v>
      </c>
      <c r="D9" s="79"/>
      <c r="E9" s="79">
        <v>175.52600000000001</v>
      </c>
      <c r="F9" s="79">
        <v>169.45400000000001</v>
      </c>
      <c r="G9" s="79">
        <v>6.0720000000000001</v>
      </c>
      <c r="H9" s="79">
        <v>422.11500000000001</v>
      </c>
      <c r="I9" s="79"/>
      <c r="J9"/>
      <c r="O9" s="79"/>
      <c r="P9" s="79">
        <v>39.719000000000001</v>
      </c>
      <c r="Q9" s="79">
        <v>38.630000000000003</v>
      </c>
      <c r="R9" s="79">
        <v>30.516999999999999</v>
      </c>
      <c r="S9" s="79">
        <v>68.834000000000003</v>
      </c>
      <c r="T9" s="79">
        <v>34.293999999999997</v>
      </c>
      <c r="V9" s="79">
        <v>53.81</v>
      </c>
      <c r="W9" s="79">
        <v>52.472000000000001</v>
      </c>
      <c r="X9" s="79">
        <v>71.061000000000007</v>
      </c>
      <c r="Y9" s="79">
        <v>85.51</v>
      </c>
      <c r="Z9" s="79">
        <v>30.516999999999999</v>
      </c>
    </row>
    <row r="10" spans="1:26">
      <c r="A10" s="74">
        <v>42339</v>
      </c>
      <c r="B10" s="79">
        <v>37.003</v>
      </c>
      <c r="C10" s="79">
        <v>124.857</v>
      </c>
      <c r="D10" s="79"/>
      <c r="E10" s="79">
        <v>171.26900000000001</v>
      </c>
      <c r="F10" s="79">
        <v>163.52500000000001</v>
      </c>
      <c r="G10" s="79">
        <v>7.7439999999999998</v>
      </c>
      <c r="H10" s="79">
        <v>473.26799999999997</v>
      </c>
      <c r="I10" s="79"/>
      <c r="J10"/>
      <c r="O10" s="79"/>
      <c r="P10" s="79">
        <v>41.253999999999998</v>
      </c>
      <c r="Q10" s="79">
        <v>39.688000000000002</v>
      </c>
      <c r="R10" s="79">
        <v>36.786999999999999</v>
      </c>
      <c r="S10" s="79">
        <v>53.658999999999999</v>
      </c>
      <c r="T10" s="79">
        <v>33.463999999999999</v>
      </c>
      <c r="V10" s="79">
        <v>35.723999999999997</v>
      </c>
      <c r="W10" s="79">
        <v>35.270000000000003</v>
      </c>
      <c r="X10" s="79">
        <v>50.075000000000003</v>
      </c>
      <c r="Y10" s="79">
        <v>99.331999999999994</v>
      </c>
      <c r="Z10" s="79">
        <v>31.137</v>
      </c>
    </row>
    <row r="11" spans="1:26">
      <c r="A11" s="74">
        <v>42370</v>
      </c>
      <c r="B11" s="79">
        <v>47.38</v>
      </c>
      <c r="C11" s="79">
        <v>132.02699999999999</v>
      </c>
      <c r="D11" s="79"/>
      <c r="E11" s="79">
        <v>159.97800000000001</v>
      </c>
      <c r="F11" s="79">
        <v>141.46100000000001</v>
      </c>
      <c r="G11" s="79">
        <v>18.516999999999999</v>
      </c>
      <c r="H11" s="79">
        <v>498.71</v>
      </c>
      <c r="I11" s="79"/>
      <c r="J11"/>
      <c r="O11" s="79"/>
      <c r="P11" s="79">
        <v>31.581</v>
      </c>
      <c r="Q11" s="79">
        <v>30.134</v>
      </c>
      <c r="R11" s="79">
        <v>29.390999999999998</v>
      </c>
      <c r="S11" s="79">
        <v>61.465000000000003</v>
      </c>
      <c r="T11" s="79">
        <v>50.523000000000003</v>
      </c>
      <c r="V11" s="79">
        <v>20.786999999999999</v>
      </c>
      <c r="W11" s="79">
        <v>20.613</v>
      </c>
      <c r="X11" s="79">
        <v>52.177</v>
      </c>
      <c r="Y11" s="79">
        <v>85.606999999999999</v>
      </c>
      <c r="Z11" s="79">
        <v>29.324999999999999</v>
      </c>
    </row>
    <row r="12" spans="1:26">
      <c r="A12" s="74">
        <v>42401</v>
      </c>
      <c r="B12" s="79">
        <v>45.621000000000002</v>
      </c>
      <c r="C12" s="79">
        <v>127.179</v>
      </c>
      <c r="D12" s="79"/>
      <c r="E12" s="79">
        <v>163.18600000000001</v>
      </c>
      <c r="F12" s="79">
        <v>156.54499999999999</v>
      </c>
      <c r="G12" s="79">
        <v>6.641</v>
      </c>
      <c r="H12" s="79">
        <v>485.005</v>
      </c>
      <c r="I12" s="79"/>
      <c r="J12"/>
      <c r="O12" s="79"/>
      <c r="P12" s="79">
        <v>40.409999999999997</v>
      </c>
      <c r="Q12" s="79">
        <v>38.334000000000003</v>
      </c>
      <c r="R12" s="79">
        <v>45.685000000000002</v>
      </c>
      <c r="S12" s="79">
        <v>53.347000000000001</v>
      </c>
      <c r="T12" s="79">
        <v>35.536999999999999</v>
      </c>
      <c r="V12" s="79">
        <v>28.024000000000001</v>
      </c>
      <c r="W12" s="79">
        <v>27.692</v>
      </c>
      <c r="X12" s="79">
        <v>51.802999999999997</v>
      </c>
      <c r="Y12" s="79">
        <v>74.843999999999994</v>
      </c>
      <c r="Z12" s="79">
        <v>24.919</v>
      </c>
    </row>
    <row r="13" spans="1:26">
      <c r="A13" s="74">
        <v>42430</v>
      </c>
      <c r="B13" s="79">
        <v>50.982999999999997</v>
      </c>
      <c r="C13" s="79">
        <v>116.166</v>
      </c>
      <c r="D13" s="79"/>
      <c r="E13" s="79">
        <v>190.37799999999999</v>
      </c>
      <c r="F13" s="79">
        <v>180.62</v>
      </c>
      <c r="G13" s="79">
        <v>9.7579999999999991</v>
      </c>
      <c r="H13" s="79">
        <v>452.98899999999998</v>
      </c>
      <c r="I13" s="79"/>
      <c r="J13"/>
      <c r="O13" s="79"/>
      <c r="P13" s="79">
        <v>49.706000000000003</v>
      </c>
      <c r="Q13" s="79">
        <v>47.177</v>
      </c>
      <c r="R13" s="79">
        <v>48.399000000000001</v>
      </c>
      <c r="S13" s="79">
        <v>41.368000000000002</v>
      </c>
      <c r="T13" s="79">
        <v>41.947000000000003</v>
      </c>
      <c r="V13" s="79">
        <v>29.308</v>
      </c>
      <c r="W13" s="79">
        <v>29.067</v>
      </c>
      <c r="X13" s="79">
        <v>65.376999999999995</v>
      </c>
      <c r="Y13" s="79">
        <v>55.738999999999997</v>
      </c>
      <c r="Z13" s="79">
        <v>25.969000000000001</v>
      </c>
    </row>
    <row r="14" spans="1:26">
      <c r="A14" s="74">
        <v>42461</v>
      </c>
      <c r="B14" s="79">
        <v>41.491999999999997</v>
      </c>
      <c r="C14" s="79">
        <v>111.04600000000001</v>
      </c>
      <c r="D14" s="79"/>
      <c r="E14" s="79">
        <v>162.73099999999999</v>
      </c>
      <c r="F14" s="79">
        <v>155.48099999999999</v>
      </c>
      <c r="G14" s="79">
        <v>7.25</v>
      </c>
      <c r="H14" s="79">
        <v>448.85599999999999</v>
      </c>
      <c r="I14" s="79"/>
      <c r="J14"/>
      <c r="O14" s="79"/>
      <c r="P14" s="79">
        <v>40.122999999999998</v>
      </c>
      <c r="Q14" s="79">
        <v>38.198999999999998</v>
      </c>
      <c r="R14" s="79">
        <v>43.392000000000003</v>
      </c>
      <c r="S14" s="79">
        <v>68.876999999999995</v>
      </c>
      <c r="T14" s="79">
        <v>51.51</v>
      </c>
      <c r="V14" s="79">
        <v>21.186</v>
      </c>
      <c r="W14" s="79">
        <v>21.018999999999998</v>
      </c>
      <c r="X14" s="79">
        <v>54.271999999999998</v>
      </c>
      <c r="Y14" s="79">
        <v>64.635999999999996</v>
      </c>
      <c r="Z14" s="79">
        <v>25.98</v>
      </c>
    </row>
    <row r="15" spans="1:26">
      <c r="A15" s="74">
        <v>42491</v>
      </c>
      <c r="B15" s="79">
        <v>41.045999999999999</v>
      </c>
      <c r="C15" s="79">
        <v>116.127</v>
      </c>
      <c r="D15" s="79"/>
      <c r="E15" s="79">
        <v>182.958</v>
      </c>
      <c r="F15" s="79">
        <v>174.89099999999999</v>
      </c>
      <c r="G15" s="79">
        <v>8.0670000000000002</v>
      </c>
      <c r="H15" s="79">
        <v>449.05399999999997</v>
      </c>
      <c r="I15" s="79"/>
      <c r="J15"/>
      <c r="O15" s="79"/>
      <c r="P15" s="79">
        <v>34.917999999999999</v>
      </c>
      <c r="Q15" s="79">
        <v>32.826999999999998</v>
      </c>
      <c r="R15" s="79">
        <v>30.753</v>
      </c>
      <c r="S15" s="79">
        <v>51.563000000000002</v>
      </c>
      <c r="T15" s="79">
        <v>31.102</v>
      </c>
      <c r="V15" s="79">
        <v>27.533000000000001</v>
      </c>
      <c r="W15" s="79">
        <v>27.262</v>
      </c>
      <c r="X15" s="79">
        <v>59.505000000000003</v>
      </c>
      <c r="Y15" s="79">
        <v>83.525000000000006</v>
      </c>
      <c r="Z15" s="79">
        <v>31.817</v>
      </c>
    </row>
    <row r="16" spans="1:26">
      <c r="A16" s="74">
        <v>42522</v>
      </c>
      <c r="B16" s="79">
        <v>43.133000000000003</v>
      </c>
      <c r="C16" s="79">
        <v>105.465</v>
      </c>
      <c r="D16" s="79"/>
      <c r="E16" s="79">
        <v>172.179</v>
      </c>
      <c r="F16" s="79">
        <v>164.10300000000001</v>
      </c>
      <c r="G16" s="79">
        <v>8.0760000000000005</v>
      </c>
      <c r="H16" s="79">
        <v>407.15300000000002</v>
      </c>
      <c r="I16" s="79"/>
      <c r="J16"/>
      <c r="O16" s="79"/>
      <c r="P16" s="79">
        <v>26.462</v>
      </c>
      <c r="Q16" s="79">
        <v>25.329000000000001</v>
      </c>
      <c r="R16" s="79">
        <v>37.973999999999997</v>
      </c>
      <c r="S16" s="79">
        <v>56.149000000000001</v>
      </c>
      <c r="T16" s="79">
        <v>32.720999999999997</v>
      </c>
      <c r="V16" s="79">
        <v>28.323</v>
      </c>
      <c r="W16" s="79">
        <v>28.074999999999999</v>
      </c>
      <c r="X16" s="79">
        <v>57.886000000000003</v>
      </c>
      <c r="Y16" s="79">
        <v>91.569000000000003</v>
      </c>
      <c r="Z16" s="79">
        <v>21.46</v>
      </c>
    </row>
    <row r="17" spans="1:26">
      <c r="A17" s="74">
        <v>42552</v>
      </c>
      <c r="B17" s="79">
        <v>43.12</v>
      </c>
      <c r="C17" s="79">
        <v>95.093000000000004</v>
      </c>
      <c r="D17" s="79"/>
      <c r="E17" s="79">
        <v>162.87200000000001</v>
      </c>
      <c r="F17" s="79">
        <v>157.19</v>
      </c>
      <c r="G17" s="79">
        <v>5.6820000000000004</v>
      </c>
      <c r="H17" s="79">
        <v>441.65600000000001</v>
      </c>
      <c r="I17" s="79"/>
      <c r="J17"/>
      <c r="O17" s="79"/>
      <c r="P17" s="79">
        <v>40.466000000000001</v>
      </c>
      <c r="Q17" s="79">
        <v>38.148000000000003</v>
      </c>
      <c r="R17" s="79">
        <v>40.744</v>
      </c>
      <c r="S17" s="79">
        <v>58.165999999999997</v>
      </c>
      <c r="T17" s="79">
        <v>33.325000000000003</v>
      </c>
      <c r="V17" s="79">
        <v>30.056000000000001</v>
      </c>
      <c r="W17" s="79">
        <v>29.797999999999998</v>
      </c>
      <c r="X17" s="79">
        <v>59.506</v>
      </c>
      <c r="Y17" s="79">
        <v>115.881</v>
      </c>
      <c r="Z17" s="79">
        <v>24.507999999999999</v>
      </c>
    </row>
    <row r="18" spans="1:26">
      <c r="A18" s="74">
        <v>42583</v>
      </c>
      <c r="B18" s="79">
        <v>31.827000000000002</v>
      </c>
      <c r="C18" s="79">
        <v>84.843999999999994</v>
      </c>
      <c r="D18" s="79"/>
      <c r="E18" s="79">
        <v>189.39500000000001</v>
      </c>
      <c r="F18" s="79">
        <v>179.142</v>
      </c>
      <c r="G18" s="79">
        <v>10.253</v>
      </c>
      <c r="H18" s="79">
        <v>437.18099999999998</v>
      </c>
      <c r="I18" s="79"/>
      <c r="J18"/>
      <c r="O18" s="79"/>
      <c r="P18" s="79">
        <v>44.031999999999996</v>
      </c>
      <c r="Q18" s="79">
        <v>41.737000000000002</v>
      </c>
      <c r="R18" s="79">
        <v>52.451000000000001</v>
      </c>
      <c r="S18" s="79">
        <v>52.124000000000002</v>
      </c>
      <c r="T18" s="79">
        <v>29.443999999999999</v>
      </c>
      <c r="V18" s="79">
        <v>49.399000000000001</v>
      </c>
      <c r="W18" s="79">
        <v>49.05</v>
      </c>
      <c r="X18" s="79">
        <v>76.174999999999997</v>
      </c>
      <c r="Y18" s="79">
        <v>104.214</v>
      </c>
      <c r="Z18" s="79">
        <v>32.381999999999998</v>
      </c>
    </row>
    <row r="19" spans="1:26">
      <c r="A19" s="74">
        <v>42614</v>
      </c>
      <c r="B19" s="79">
        <v>35.832999999999998</v>
      </c>
      <c r="C19" s="79">
        <v>94.899000000000001</v>
      </c>
      <c r="D19" s="79"/>
      <c r="E19" s="79">
        <v>188.24799999999999</v>
      </c>
      <c r="F19" s="79">
        <v>178.21199999999999</v>
      </c>
      <c r="G19" s="79">
        <v>10.036</v>
      </c>
      <c r="H19" s="79">
        <v>417.024</v>
      </c>
      <c r="I19" s="135">
        <f t="shared" ref="I19:I82" si="0">F19/E19</f>
        <v>0.94668734860396919</v>
      </c>
      <c r="J19"/>
      <c r="O19" s="79"/>
      <c r="P19" s="79">
        <v>41.182000000000002</v>
      </c>
      <c r="Q19" s="79">
        <v>38.729999999999997</v>
      </c>
      <c r="R19" s="79">
        <v>40.023000000000003</v>
      </c>
      <c r="S19" s="79">
        <v>47.448999999999998</v>
      </c>
      <c r="T19" s="79">
        <v>28.306999999999999</v>
      </c>
      <c r="V19" s="79">
        <v>40.420999999999999</v>
      </c>
      <c r="W19" s="79">
        <v>40.198999999999998</v>
      </c>
      <c r="X19" s="79">
        <v>83.491</v>
      </c>
      <c r="Y19" s="80">
        <v>97.46887547312474</v>
      </c>
      <c r="Z19" s="79">
        <v>62.790999999999997</v>
      </c>
    </row>
    <row r="20" spans="1:26">
      <c r="A20" s="74">
        <v>42644</v>
      </c>
      <c r="B20" s="79">
        <v>33.814999999999998</v>
      </c>
      <c r="C20" s="79">
        <v>92.566000000000003</v>
      </c>
      <c r="D20" s="79"/>
      <c r="E20" s="79">
        <v>199.98599999999999</v>
      </c>
      <c r="F20" s="79">
        <v>189.50700000000001</v>
      </c>
      <c r="G20" s="79">
        <v>10.478999999999999</v>
      </c>
      <c r="H20" s="79">
        <v>397.20800000000003</v>
      </c>
      <c r="I20" s="135">
        <f t="shared" si="0"/>
        <v>0.9476013320932466</v>
      </c>
      <c r="J20"/>
      <c r="O20" s="79"/>
      <c r="P20" s="79">
        <v>53.829000000000001</v>
      </c>
      <c r="Q20" s="79">
        <v>51.014000000000003</v>
      </c>
      <c r="R20" s="79">
        <v>45.28</v>
      </c>
      <c r="S20" s="79">
        <v>49.790999999999997</v>
      </c>
      <c r="T20" s="79">
        <v>42.444000000000003</v>
      </c>
      <c r="V20" s="79">
        <v>33.030999999999999</v>
      </c>
      <c r="W20" s="79">
        <v>32.795999999999999</v>
      </c>
      <c r="X20" s="79">
        <v>77.971000000000004</v>
      </c>
      <c r="Y20" s="80">
        <v>96.987346621030227</v>
      </c>
      <c r="Z20" s="79">
        <v>60.304000000000002</v>
      </c>
    </row>
    <row r="21" spans="1:26">
      <c r="A21" s="74">
        <v>42675</v>
      </c>
      <c r="B21" s="79">
        <v>38.667999999999999</v>
      </c>
      <c r="C21" s="79">
        <v>81.162000000000006</v>
      </c>
      <c r="D21" s="79"/>
      <c r="E21" s="79">
        <v>193.61799999999999</v>
      </c>
      <c r="F21" s="79">
        <v>186.68799999999999</v>
      </c>
      <c r="G21" s="79">
        <v>6.93</v>
      </c>
      <c r="H21" s="79">
        <v>429.75700000000001</v>
      </c>
      <c r="I21" s="135">
        <f t="shared" si="0"/>
        <v>0.96420787323492652</v>
      </c>
      <c r="J21"/>
      <c r="O21" s="79"/>
      <c r="P21" s="79">
        <v>35.737000000000002</v>
      </c>
      <c r="Q21" s="79">
        <v>33.834000000000003</v>
      </c>
      <c r="R21" s="79">
        <v>40.704999999999998</v>
      </c>
      <c r="S21" s="79">
        <v>48.929000000000002</v>
      </c>
      <c r="T21" s="79">
        <v>48.215000000000003</v>
      </c>
      <c r="V21" s="79">
        <v>35.731000000000002</v>
      </c>
      <c r="W21" s="79">
        <v>35.49</v>
      </c>
      <c r="X21" s="79">
        <v>72.686000000000007</v>
      </c>
      <c r="Y21" s="80">
        <v>97.514956641921884</v>
      </c>
      <c r="Z21" s="79">
        <v>63.029000000000003</v>
      </c>
    </row>
    <row r="22" spans="1:26">
      <c r="A22" s="74">
        <v>42705</v>
      </c>
      <c r="B22" s="79">
        <v>34.97</v>
      </c>
      <c r="C22" s="79">
        <v>76.215000000000003</v>
      </c>
      <c r="D22" s="79"/>
      <c r="E22" s="79">
        <v>165.297</v>
      </c>
      <c r="F22" s="79">
        <v>159.76300000000001</v>
      </c>
      <c r="G22" s="79">
        <v>5.5339999999999998</v>
      </c>
      <c r="H22" s="79">
        <v>437.23099999999999</v>
      </c>
      <c r="I22" s="135">
        <f t="shared" si="0"/>
        <v>0.966520868497311</v>
      </c>
      <c r="J22"/>
      <c r="O22" s="79"/>
      <c r="P22" s="79">
        <v>25.574000000000002</v>
      </c>
      <c r="Q22" s="79">
        <v>24.059000000000001</v>
      </c>
      <c r="R22" s="79">
        <v>32.692</v>
      </c>
      <c r="S22" s="79">
        <v>56.593000000000004</v>
      </c>
      <c r="T22" s="79">
        <v>41.338000000000001</v>
      </c>
      <c r="X22" s="79">
        <v>73.352000000000004</v>
      </c>
      <c r="Y22" s="80">
        <v>97.134302953454736</v>
      </c>
      <c r="Z22" s="79">
        <v>61.063000000000002</v>
      </c>
    </row>
    <row r="23" spans="1:26">
      <c r="A23" s="74">
        <v>42736</v>
      </c>
      <c r="B23" s="79">
        <v>25.827000000000002</v>
      </c>
      <c r="C23" s="79">
        <v>71.962000000000003</v>
      </c>
      <c r="D23" s="79"/>
      <c r="E23" s="79">
        <v>170.54599999999999</v>
      </c>
      <c r="F23" s="79">
        <v>160.559</v>
      </c>
      <c r="G23" s="79">
        <v>9.9870000000000001</v>
      </c>
      <c r="H23" s="79">
        <v>475.02499999999998</v>
      </c>
      <c r="I23" s="135">
        <f t="shared" si="0"/>
        <v>0.94144101884535558</v>
      </c>
      <c r="J23"/>
      <c r="O23" s="79"/>
      <c r="P23" s="79">
        <v>31.559000000000001</v>
      </c>
      <c r="Q23" s="79">
        <v>30.289000000000001</v>
      </c>
      <c r="R23" s="79">
        <v>35.409999999999997</v>
      </c>
      <c r="S23" s="79">
        <v>75.028999999999996</v>
      </c>
      <c r="T23" s="79">
        <v>35.847999999999999</v>
      </c>
      <c r="X23" s="79">
        <v>62.691000000000003</v>
      </c>
      <c r="Y23" s="80">
        <v>96.658582652048935</v>
      </c>
      <c r="Z23" s="79">
        <v>58.606000000000002</v>
      </c>
    </row>
    <row r="24" spans="1:26">
      <c r="A24" s="74">
        <v>42767</v>
      </c>
      <c r="B24" s="79">
        <v>35.371000000000002</v>
      </c>
      <c r="C24" s="79">
        <v>62.104999999999997</v>
      </c>
      <c r="D24" s="79"/>
      <c r="E24" s="79">
        <v>176.98400000000001</v>
      </c>
      <c r="F24" s="79">
        <v>170.57499999999999</v>
      </c>
      <c r="G24" s="79">
        <v>6.4089999999999998</v>
      </c>
      <c r="H24" s="79">
        <v>438.00599999999997</v>
      </c>
      <c r="I24" s="135">
        <f t="shared" si="0"/>
        <v>0.96378768702255557</v>
      </c>
      <c r="J24"/>
      <c r="O24" s="79"/>
      <c r="P24" s="79">
        <v>31.221</v>
      </c>
      <c r="Q24" s="79">
        <v>29.594999999999999</v>
      </c>
      <c r="R24" s="79">
        <v>32.713000000000001</v>
      </c>
      <c r="S24" s="80">
        <v>74.100499999999997</v>
      </c>
      <c r="T24" s="79">
        <v>46.408999999999999</v>
      </c>
      <c r="X24" s="79">
        <v>72.369</v>
      </c>
      <c r="Y24" s="80">
        <v>91.934101140204078</v>
      </c>
      <c r="Z24" s="79">
        <v>34.204999999999998</v>
      </c>
    </row>
    <row r="25" spans="1:26">
      <c r="A25" s="74">
        <v>42795</v>
      </c>
      <c r="B25" s="79">
        <v>34.725999999999999</v>
      </c>
      <c r="C25" s="79">
        <v>65.867999999999995</v>
      </c>
      <c r="D25" s="79"/>
      <c r="E25" s="79">
        <v>187.286</v>
      </c>
      <c r="F25" s="79">
        <v>176.04400000000001</v>
      </c>
      <c r="G25" s="79">
        <v>11.242000000000001</v>
      </c>
      <c r="H25" s="79">
        <v>439.89400000000001</v>
      </c>
      <c r="I25" s="135">
        <f t="shared" si="0"/>
        <v>0.93997415717138499</v>
      </c>
      <c r="J25"/>
      <c r="O25" s="79"/>
      <c r="P25" s="79">
        <v>47.363999999999997</v>
      </c>
      <c r="Q25" s="79">
        <v>46.863999999999997</v>
      </c>
      <c r="R25" s="79">
        <v>42.78</v>
      </c>
      <c r="S25" s="79">
        <v>73.171999999999997</v>
      </c>
      <c r="T25" s="79">
        <v>62.694000000000003</v>
      </c>
      <c r="X25" s="79">
        <v>79.397000000000006</v>
      </c>
      <c r="Y25" s="80">
        <v>91.809217300396696</v>
      </c>
      <c r="Z25" s="79">
        <v>33.56</v>
      </c>
    </row>
    <row r="26" spans="1:26">
      <c r="A26" s="74">
        <v>42826</v>
      </c>
      <c r="B26" s="79">
        <v>26.887</v>
      </c>
      <c r="C26" s="79">
        <v>72.581000000000003</v>
      </c>
      <c r="D26" s="79"/>
      <c r="E26" s="79">
        <v>178.73599999999999</v>
      </c>
      <c r="F26" s="79">
        <v>167.762</v>
      </c>
      <c r="G26" s="79">
        <v>10.974</v>
      </c>
      <c r="H26" s="79">
        <v>438.334</v>
      </c>
      <c r="I26" s="135">
        <f t="shared" si="0"/>
        <v>0.93860218422701647</v>
      </c>
      <c r="J26"/>
      <c r="M26" s="79">
        <v>10.907</v>
      </c>
      <c r="O26" s="79"/>
      <c r="P26" s="79">
        <v>37.506999999999998</v>
      </c>
      <c r="Q26" s="79">
        <v>35.750999999999998</v>
      </c>
      <c r="R26" s="79">
        <v>49.976999999999997</v>
      </c>
      <c r="S26" s="79">
        <v>77.728999999999999</v>
      </c>
      <c r="T26" s="79">
        <v>62.220999999999997</v>
      </c>
      <c r="X26" s="79">
        <v>65.727999999999994</v>
      </c>
      <c r="Y26" s="80">
        <v>95.064522724709121</v>
      </c>
      <c r="Z26" s="79">
        <v>50.372999999999998</v>
      </c>
    </row>
    <row r="27" spans="1:26">
      <c r="A27" s="74">
        <v>42856</v>
      </c>
      <c r="B27" s="79">
        <v>28.024000000000001</v>
      </c>
      <c r="C27" s="79">
        <v>62.551000000000002</v>
      </c>
      <c r="D27" s="79"/>
      <c r="E27" s="79">
        <v>197.93</v>
      </c>
      <c r="F27" s="79">
        <v>188.91399999999999</v>
      </c>
      <c r="G27" s="79">
        <v>9.016</v>
      </c>
      <c r="H27" s="79">
        <v>382.52100000000002</v>
      </c>
      <c r="I27" s="135">
        <f t="shared" si="0"/>
        <v>0.95444854241398469</v>
      </c>
      <c r="J27"/>
      <c r="M27" s="79">
        <v>7.3970000000000002</v>
      </c>
      <c r="N27" s="79">
        <v>11.599</v>
      </c>
      <c r="O27" s="79"/>
      <c r="P27" s="79">
        <v>27.6</v>
      </c>
      <c r="Q27" s="79">
        <v>25.963000000000001</v>
      </c>
      <c r="R27" s="79">
        <v>43.353000000000002</v>
      </c>
      <c r="S27" s="79">
        <v>81.539000000000001</v>
      </c>
      <c r="T27" s="79">
        <v>44.231999999999999</v>
      </c>
      <c r="X27" s="79">
        <v>64.284999999999997</v>
      </c>
      <c r="Y27" s="80">
        <v>94.714073499823286</v>
      </c>
      <c r="Z27" s="79">
        <v>48.563000000000002</v>
      </c>
    </row>
    <row r="28" spans="1:26">
      <c r="A28" s="74">
        <v>42887</v>
      </c>
      <c r="B28" s="79">
        <v>23.064</v>
      </c>
      <c r="C28" s="79">
        <v>94.369</v>
      </c>
      <c r="D28" s="79"/>
      <c r="E28" s="79">
        <v>194.40600000000001</v>
      </c>
      <c r="F28" s="79">
        <v>182.226</v>
      </c>
      <c r="G28" s="79">
        <v>12.18</v>
      </c>
      <c r="H28" s="79">
        <v>359.35399999999998</v>
      </c>
      <c r="I28" s="135">
        <f t="shared" si="0"/>
        <v>0.93734761272800216</v>
      </c>
      <c r="J28"/>
      <c r="M28" s="79">
        <v>8.06</v>
      </c>
      <c r="O28" s="79"/>
      <c r="P28" s="79">
        <v>50.677</v>
      </c>
      <c r="Q28" s="79">
        <v>48.179000000000002</v>
      </c>
      <c r="R28" s="79">
        <v>44.816000000000003</v>
      </c>
      <c r="S28" s="79">
        <v>74.811000000000007</v>
      </c>
      <c r="T28" s="79">
        <v>49.213000000000001</v>
      </c>
      <c r="X28" s="79">
        <v>78.349999999999994</v>
      </c>
      <c r="Y28" s="80">
        <v>96.146268481304233</v>
      </c>
      <c r="Z28" s="79">
        <v>55.96</v>
      </c>
    </row>
    <row r="29" spans="1:26">
      <c r="A29" s="74">
        <v>42917</v>
      </c>
      <c r="B29" s="79">
        <v>39.402000000000001</v>
      </c>
      <c r="C29" s="79">
        <v>86.212999999999994</v>
      </c>
      <c r="D29" s="79"/>
      <c r="E29" s="79">
        <v>181.39400000000001</v>
      </c>
      <c r="F29" s="79">
        <v>174.21600000000001</v>
      </c>
      <c r="G29" s="79">
        <v>7.1779999999999999</v>
      </c>
      <c r="H29" s="79">
        <v>387.17399999999998</v>
      </c>
      <c r="I29" s="135">
        <f t="shared" si="0"/>
        <v>0.96042868011069826</v>
      </c>
      <c r="J29"/>
      <c r="O29" s="79"/>
      <c r="P29" s="79">
        <v>40.515999999999998</v>
      </c>
      <c r="Q29" s="79">
        <v>38.670999999999999</v>
      </c>
      <c r="R29" s="79">
        <v>41.744999999999997</v>
      </c>
      <c r="S29" s="79">
        <v>53.466999999999999</v>
      </c>
      <c r="T29" s="79">
        <v>58.79</v>
      </c>
      <c r="X29" s="79">
        <v>53.956000000000003</v>
      </c>
      <c r="Y29" s="80">
        <v>95.457567987978877</v>
      </c>
      <c r="Z29" s="79">
        <v>52.402999999999999</v>
      </c>
    </row>
    <row r="30" spans="1:26">
      <c r="A30" s="74">
        <v>42948</v>
      </c>
      <c r="B30" s="79">
        <v>42.600999999999999</v>
      </c>
      <c r="C30" s="79">
        <v>105.18</v>
      </c>
      <c r="D30" s="79"/>
      <c r="E30" s="79">
        <v>195.56200000000001</v>
      </c>
      <c r="F30" s="79">
        <v>186.47399999999999</v>
      </c>
      <c r="G30" s="79">
        <v>9.0879999999999992</v>
      </c>
      <c r="H30" s="79">
        <v>414.01</v>
      </c>
      <c r="I30" s="135">
        <f t="shared" si="0"/>
        <v>0.95352880416440811</v>
      </c>
      <c r="J30"/>
      <c r="O30" s="79"/>
      <c r="P30" s="79">
        <v>37.473999999999997</v>
      </c>
      <c r="Q30" s="79">
        <v>36.662999999999997</v>
      </c>
      <c r="R30" s="79">
        <v>46.756999999999998</v>
      </c>
      <c r="S30" s="79">
        <v>48.856999999999999</v>
      </c>
      <c r="T30" s="79">
        <v>38.786000000000001</v>
      </c>
      <c r="X30" s="79">
        <v>53.676000000000002</v>
      </c>
      <c r="Y30" s="80">
        <v>95.226000433855418</v>
      </c>
      <c r="Z30" s="79">
        <v>51.207000000000001</v>
      </c>
    </row>
    <row r="31" spans="1:26">
      <c r="A31" s="74">
        <v>42979</v>
      </c>
      <c r="B31" s="79">
        <v>39.704999999999998</v>
      </c>
      <c r="C31" s="79">
        <v>92.191000000000003</v>
      </c>
      <c r="D31" s="79"/>
      <c r="E31" s="79">
        <v>199.755</v>
      </c>
      <c r="F31" s="79">
        <v>188.95599999999999</v>
      </c>
      <c r="G31" s="79">
        <v>10.798999999999999</v>
      </c>
      <c r="H31" s="79">
        <v>405.93099999999998</v>
      </c>
      <c r="I31" s="135">
        <f t="shared" si="0"/>
        <v>0.94593877499937418</v>
      </c>
      <c r="J31"/>
      <c r="N31" s="79">
        <v>0.94199999999999995</v>
      </c>
      <c r="O31" s="79"/>
      <c r="P31" s="79">
        <v>33.677</v>
      </c>
      <c r="Q31" s="79">
        <v>31.843</v>
      </c>
      <c r="R31" s="80">
        <v>42.680499999999995</v>
      </c>
      <c r="S31" s="79">
        <v>48.911000000000001</v>
      </c>
      <c r="T31" s="79">
        <v>41.902999999999999</v>
      </c>
      <c r="X31" s="79">
        <v>60.286999999999999</v>
      </c>
      <c r="Y31" s="80">
        <v>95.250009110035435</v>
      </c>
      <c r="Z31" s="79">
        <v>51.331000000000003</v>
      </c>
    </row>
    <row r="32" spans="1:26">
      <c r="A32" s="74">
        <v>43009</v>
      </c>
      <c r="B32" s="79">
        <v>37.572000000000003</v>
      </c>
      <c r="C32" s="79">
        <v>109.712</v>
      </c>
      <c r="D32" s="79"/>
      <c r="E32" s="79">
        <v>225.09299999999999</v>
      </c>
      <c r="F32" s="79">
        <v>218.17599999999999</v>
      </c>
      <c r="G32" s="79">
        <v>6.9169999999999998</v>
      </c>
      <c r="H32" s="79">
        <v>349.97800000000001</v>
      </c>
      <c r="I32" s="135">
        <f t="shared" si="0"/>
        <v>0.96927047931299504</v>
      </c>
      <c r="J32"/>
      <c r="N32" s="79">
        <v>2.3559999999999999</v>
      </c>
      <c r="O32" s="79"/>
      <c r="P32" s="79">
        <v>28.146000000000001</v>
      </c>
      <c r="Q32" s="79">
        <v>26.878</v>
      </c>
      <c r="R32" s="79">
        <v>38.603999999999999</v>
      </c>
      <c r="S32" s="79">
        <v>69.02</v>
      </c>
      <c r="T32" s="79">
        <v>46.116</v>
      </c>
      <c r="X32" s="79">
        <v>54.664000000000001</v>
      </c>
      <c r="Y32" s="80">
        <v>94.021307021015829</v>
      </c>
      <c r="Z32" s="79">
        <v>44.984999999999999</v>
      </c>
    </row>
    <row r="33" spans="1:26">
      <c r="A33" s="74">
        <v>43040</v>
      </c>
      <c r="B33" s="79">
        <v>45.866999999999997</v>
      </c>
      <c r="C33" s="79">
        <v>117.28700000000001</v>
      </c>
      <c r="D33" s="79"/>
      <c r="E33" s="79">
        <v>214.00299999999999</v>
      </c>
      <c r="F33" s="79">
        <v>208.54</v>
      </c>
      <c r="G33" s="79">
        <v>5.4630000000000001</v>
      </c>
      <c r="H33" s="79">
        <v>374.322</v>
      </c>
      <c r="I33" s="135">
        <f t="shared" si="0"/>
        <v>0.97447232048148857</v>
      </c>
      <c r="J33"/>
      <c r="O33" s="79"/>
      <c r="P33" s="79">
        <v>31.151</v>
      </c>
      <c r="Q33" s="79">
        <v>29.773</v>
      </c>
      <c r="R33" s="80">
        <v>38.9315</v>
      </c>
      <c r="S33" s="79">
        <v>62.834000000000003</v>
      </c>
      <c r="T33" s="79">
        <v>55.841999999999999</v>
      </c>
      <c r="X33" s="79">
        <v>77.995000000000005</v>
      </c>
      <c r="Y33" s="80">
        <v>94.217636034294415</v>
      </c>
      <c r="Z33" s="79">
        <v>45.999000000000002</v>
      </c>
    </row>
    <row r="34" spans="1:26">
      <c r="A34" s="74">
        <v>43070</v>
      </c>
      <c r="B34" s="79">
        <v>37.984000000000002</v>
      </c>
      <c r="C34" s="79">
        <v>109.878</v>
      </c>
      <c r="D34" s="79"/>
      <c r="E34" s="79">
        <v>180.23400000000001</v>
      </c>
      <c r="F34" s="79">
        <v>177.39</v>
      </c>
      <c r="G34" s="79">
        <v>2.8439999999999999</v>
      </c>
      <c r="H34" s="79">
        <v>396.00599999999997</v>
      </c>
      <c r="I34" s="135">
        <f t="shared" si="0"/>
        <v>0.98422051333266736</v>
      </c>
      <c r="J34"/>
      <c r="O34" s="79"/>
      <c r="P34" s="79">
        <v>32.359000000000002</v>
      </c>
      <c r="Q34" s="79">
        <v>30.92</v>
      </c>
      <c r="R34" s="79">
        <v>39.259</v>
      </c>
      <c r="S34" s="79">
        <v>78.798000000000002</v>
      </c>
      <c r="T34" s="79">
        <v>42.244</v>
      </c>
      <c r="X34" s="79">
        <v>58.542999999999999</v>
      </c>
      <c r="Y34" s="80">
        <v>91.06068873497756</v>
      </c>
      <c r="Z34" s="79">
        <v>29.693999999999999</v>
      </c>
    </row>
    <row r="35" spans="1:26">
      <c r="A35" s="74">
        <v>43101</v>
      </c>
      <c r="B35" s="79">
        <v>33.354999999999997</v>
      </c>
      <c r="C35" s="79">
        <v>90.177000000000007</v>
      </c>
      <c r="D35" s="79"/>
      <c r="E35" s="79">
        <v>209.66200000000001</v>
      </c>
      <c r="F35" s="79">
        <v>199.25399999999999</v>
      </c>
      <c r="G35" s="79">
        <v>10.407999999999999</v>
      </c>
      <c r="H35" s="79">
        <v>460.62900000000002</v>
      </c>
      <c r="I35" s="135">
        <f t="shared" si="0"/>
        <v>0.95035819557192047</v>
      </c>
      <c r="J35"/>
      <c r="M35" s="79">
        <v>11.013999999999999</v>
      </c>
      <c r="O35" s="79"/>
      <c r="P35" s="79">
        <v>24.643000000000001</v>
      </c>
      <c r="Q35" s="79">
        <v>23.497</v>
      </c>
      <c r="R35" s="79">
        <v>29.132999999999999</v>
      </c>
      <c r="S35" s="79">
        <v>73.984999999999999</v>
      </c>
      <c r="T35" s="79">
        <v>46.087000000000003</v>
      </c>
      <c r="X35" s="79">
        <v>52.616</v>
      </c>
      <c r="Y35" s="80">
        <v>94.717752248592816</v>
      </c>
      <c r="Z35" s="79">
        <v>48.582000000000001</v>
      </c>
    </row>
    <row r="36" spans="1:26">
      <c r="A36" s="74">
        <v>43132</v>
      </c>
      <c r="B36" s="79">
        <v>19.995999999999999</v>
      </c>
      <c r="C36" s="79">
        <v>94.057000000000002</v>
      </c>
      <c r="D36" s="79"/>
      <c r="E36" s="79">
        <v>189.23099999999999</v>
      </c>
      <c r="F36" s="79">
        <v>182.09299999999999</v>
      </c>
      <c r="G36" s="79">
        <v>7.1379999999999999</v>
      </c>
      <c r="H36" s="79">
        <v>460.81200000000001</v>
      </c>
      <c r="I36" s="135">
        <f t="shared" si="0"/>
        <v>0.96227890778994984</v>
      </c>
      <c r="J36"/>
      <c r="M36" s="79">
        <v>9.4030000000000005</v>
      </c>
      <c r="N36" s="79">
        <v>2.3580000000000001</v>
      </c>
      <c r="O36" s="79"/>
      <c r="P36" s="79">
        <v>29.658000000000001</v>
      </c>
      <c r="Q36" s="79">
        <v>28.802</v>
      </c>
      <c r="S36" s="79">
        <v>81.031999999999996</v>
      </c>
      <c r="T36" s="79">
        <v>79.697999999999993</v>
      </c>
      <c r="X36" s="79">
        <v>86.683999999999997</v>
      </c>
      <c r="Y36" s="80">
        <v>96.640576144913922</v>
      </c>
      <c r="Z36" s="79">
        <v>58.512999999999998</v>
      </c>
    </row>
    <row r="37" spans="1:26">
      <c r="A37" s="74">
        <v>43160</v>
      </c>
      <c r="B37" s="79">
        <v>21.056000000000001</v>
      </c>
      <c r="C37" s="79">
        <v>95.451999999999998</v>
      </c>
      <c r="D37" s="79"/>
      <c r="E37" s="79">
        <v>195.602</v>
      </c>
      <c r="F37" s="79">
        <v>187.93100000000001</v>
      </c>
      <c r="G37" s="79">
        <v>7.6710000000000003</v>
      </c>
      <c r="H37" s="79">
        <v>467.988</v>
      </c>
      <c r="I37" s="135">
        <f t="shared" si="0"/>
        <v>0.96078260958476913</v>
      </c>
      <c r="J37"/>
      <c r="M37" s="79">
        <v>13.737</v>
      </c>
      <c r="N37" s="79">
        <v>3.2</v>
      </c>
      <c r="O37" s="79"/>
      <c r="P37" s="79">
        <v>35.073</v>
      </c>
      <c r="Q37" s="79">
        <v>33.518999999999998</v>
      </c>
      <c r="S37" s="79">
        <v>76.751999999999995</v>
      </c>
      <c r="T37" s="79">
        <v>80.34</v>
      </c>
      <c r="X37" s="79">
        <v>53.252000000000002</v>
      </c>
      <c r="Y37" s="80">
        <v>96.582103401314185</v>
      </c>
      <c r="Z37" s="79">
        <v>58.210999999999999</v>
      </c>
    </row>
    <row r="38" spans="1:26">
      <c r="A38" s="74">
        <v>43191</v>
      </c>
      <c r="B38" s="79">
        <v>26.282</v>
      </c>
      <c r="C38" s="79">
        <v>83.483999999999995</v>
      </c>
      <c r="D38" s="79"/>
      <c r="E38" s="79">
        <v>198.369</v>
      </c>
      <c r="F38" s="79">
        <v>194.41900000000001</v>
      </c>
      <c r="G38" s="79">
        <v>3.95</v>
      </c>
      <c r="H38" s="79">
        <v>422.56299999999999</v>
      </c>
      <c r="I38" s="135">
        <f t="shared" si="0"/>
        <v>0.98008761449621673</v>
      </c>
      <c r="J38"/>
      <c r="M38" s="79">
        <v>9.2200000000000006</v>
      </c>
      <c r="N38" s="79">
        <v>2.8969999999999998</v>
      </c>
      <c r="O38" s="79"/>
      <c r="P38" s="80">
        <v>33.582000000000001</v>
      </c>
      <c r="Q38" s="80">
        <v>32.03</v>
      </c>
      <c r="S38" s="79">
        <v>70.010000000000005</v>
      </c>
      <c r="T38" s="79">
        <v>79.153999999999996</v>
      </c>
      <c r="X38" s="79">
        <v>57.488999999999997</v>
      </c>
      <c r="Y38" s="80">
        <v>95.268596472239324</v>
      </c>
      <c r="Z38" s="79">
        <v>51.427</v>
      </c>
    </row>
    <row r="39" spans="1:26">
      <c r="A39" s="74">
        <v>43221</v>
      </c>
      <c r="B39" s="79">
        <v>33.039000000000001</v>
      </c>
      <c r="C39" s="79">
        <v>73.45</v>
      </c>
      <c r="D39" s="79"/>
      <c r="E39" s="79">
        <v>198.08</v>
      </c>
      <c r="F39" s="79">
        <v>189.898</v>
      </c>
      <c r="G39" s="79">
        <v>8.1820000000000004</v>
      </c>
      <c r="H39" s="79">
        <v>412.72899999999998</v>
      </c>
      <c r="I39" s="135">
        <f t="shared" si="0"/>
        <v>0.95869345718901444</v>
      </c>
      <c r="J39"/>
      <c r="M39" s="79">
        <v>10.913</v>
      </c>
      <c r="N39" s="80">
        <v>3</v>
      </c>
      <c r="O39" s="79"/>
      <c r="P39" s="79">
        <v>32.091000000000001</v>
      </c>
      <c r="Q39" s="79">
        <v>30.541</v>
      </c>
      <c r="S39" s="79">
        <v>80.879000000000005</v>
      </c>
      <c r="T39" s="79">
        <v>95.138000000000005</v>
      </c>
      <c r="X39" s="79">
        <v>57.716999999999999</v>
      </c>
      <c r="Y39" s="80">
        <v>96.945912292784058</v>
      </c>
      <c r="Z39" s="79">
        <v>60.09</v>
      </c>
    </row>
    <row r="40" spans="1:26">
      <c r="A40" s="74">
        <v>43252</v>
      </c>
      <c r="B40" s="79">
        <v>16.344999999999999</v>
      </c>
      <c r="C40" s="79">
        <v>65.546000000000006</v>
      </c>
      <c r="D40" s="79"/>
      <c r="E40" s="79">
        <v>175.446</v>
      </c>
      <c r="F40" s="79">
        <v>170.04</v>
      </c>
      <c r="G40" s="79">
        <v>5.4059999999999997</v>
      </c>
      <c r="H40" s="79">
        <v>265.77800000000002</v>
      </c>
      <c r="I40" s="135">
        <f t="shared" si="0"/>
        <v>0.96918710030436717</v>
      </c>
      <c r="J40"/>
      <c r="M40" s="79">
        <v>8.2260000000000009</v>
      </c>
      <c r="N40" s="79">
        <v>3.1190000000000002</v>
      </c>
      <c r="O40" s="79"/>
      <c r="P40" s="79">
        <v>33.68</v>
      </c>
      <c r="Q40" s="79">
        <v>31.855</v>
      </c>
      <c r="S40" s="79">
        <v>70.305000000000007</v>
      </c>
      <c r="T40" s="79">
        <v>88.707999999999998</v>
      </c>
      <c r="X40" s="79">
        <v>78.146000000000001</v>
      </c>
      <c r="Y40" s="80">
        <v>96.507753952498632</v>
      </c>
      <c r="Z40" s="79">
        <v>57.826999999999998</v>
      </c>
    </row>
    <row r="41" spans="1:26">
      <c r="A41" s="74">
        <v>43282</v>
      </c>
      <c r="B41" s="79">
        <v>18.75</v>
      </c>
      <c r="C41" s="79">
        <v>63.32</v>
      </c>
      <c r="D41" s="79"/>
      <c r="E41" s="79">
        <v>179.00200000000001</v>
      </c>
      <c r="F41" s="79">
        <v>173.45500000000001</v>
      </c>
      <c r="G41" s="79">
        <v>5.5469999999999997</v>
      </c>
      <c r="H41" s="79">
        <v>294.93099999999998</v>
      </c>
      <c r="I41" s="135">
        <f t="shared" si="0"/>
        <v>0.96901151942436403</v>
      </c>
      <c r="J41"/>
      <c r="M41" s="79">
        <v>8.77</v>
      </c>
      <c r="N41" s="79">
        <v>2.585</v>
      </c>
      <c r="O41" s="79"/>
      <c r="P41" s="79">
        <v>45.633000000000003</v>
      </c>
      <c r="Q41" s="79">
        <v>42.484000000000002</v>
      </c>
      <c r="S41" s="79">
        <v>73.838999999999999</v>
      </c>
      <c r="T41" s="79">
        <v>35.066000000000003</v>
      </c>
      <c r="X41" s="79">
        <v>57.816000000000003</v>
      </c>
      <c r="Y41" s="80">
        <v>96.612501483251791</v>
      </c>
      <c r="Z41" s="79">
        <v>58.368000000000002</v>
      </c>
    </row>
    <row r="42" spans="1:26">
      <c r="A42" s="74">
        <v>43313</v>
      </c>
      <c r="B42" s="79">
        <v>21.867000000000001</v>
      </c>
      <c r="C42" s="79">
        <v>61.12</v>
      </c>
      <c r="D42" s="79"/>
      <c r="E42" s="79">
        <v>216.34200000000001</v>
      </c>
      <c r="F42" s="79">
        <v>211.929</v>
      </c>
      <c r="G42" s="79">
        <v>4.4130000000000003</v>
      </c>
      <c r="H42" s="79">
        <v>273.10399999999998</v>
      </c>
      <c r="I42" s="135">
        <f t="shared" si="0"/>
        <v>0.97960174168677372</v>
      </c>
      <c r="J42"/>
      <c r="K42" s="80"/>
      <c r="L42" s="80"/>
      <c r="M42" s="80">
        <v>9.8000000000000007</v>
      </c>
      <c r="N42" s="79">
        <v>2.6179999999999999</v>
      </c>
      <c r="O42" s="79"/>
      <c r="P42" s="79">
        <v>39.442</v>
      </c>
      <c r="Q42" s="79">
        <v>38.343000000000004</v>
      </c>
      <c r="S42" s="79">
        <v>45.298000000000002</v>
      </c>
      <c r="T42" s="79">
        <v>35.911999999999999</v>
      </c>
      <c r="X42" s="79">
        <v>88.992000000000004</v>
      </c>
      <c r="Y42" s="80">
        <v>95.65157358098196</v>
      </c>
      <c r="Z42" s="79">
        <v>53.405000000000001</v>
      </c>
    </row>
    <row r="43" spans="1:26">
      <c r="A43" s="74">
        <v>43344</v>
      </c>
      <c r="B43" s="79">
        <v>22.663</v>
      </c>
      <c r="C43" s="79">
        <v>66.754000000000005</v>
      </c>
      <c r="D43" s="79"/>
      <c r="E43" s="79">
        <v>193.83199999999999</v>
      </c>
      <c r="F43" s="79">
        <v>188.74299999999999</v>
      </c>
      <c r="G43" s="79">
        <v>5.0890000000000004</v>
      </c>
      <c r="H43" s="79">
        <v>291.11500000000001</v>
      </c>
      <c r="I43" s="135">
        <f t="shared" si="0"/>
        <v>0.97374530521276159</v>
      </c>
      <c r="J43"/>
      <c r="M43" s="79">
        <v>10.855</v>
      </c>
      <c r="N43" s="80">
        <v>2.7</v>
      </c>
      <c r="O43" s="79"/>
      <c r="P43" s="79">
        <v>43.762999999999998</v>
      </c>
      <c r="Q43" s="79">
        <v>41.088999999999999</v>
      </c>
      <c r="S43" s="79">
        <v>32.399000000000001</v>
      </c>
      <c r="T43" s="79">
        <v>40.042999999999999</v>
      </c>
      <c r="X43" s="79">
        <v>65.555999999999997</v>
      </c>
      <c r="Y43" s="80">
        <v>96.213260432580753</v>
      </c>
      <c r="Z43" s="79">
        <v>56.305999999999997</v>
      </c>
    </row>
    <row r="44" spans="1:26">
      <c r="A44" s="74">
        <v>43374</v>
      </c>
      <c r="B44" s="79">
        <v>26.608000000000001</v>
      </c>
      <c r="C44" s="79">
        <v>65.625</v>
      </c>
      <c r="D44" s="79"/>
      <c r="E44" s="79">
        <v>217.203</v>
      </c>
      <c r="F44" s="79">
        <v>209.74</v>
      </c>
      <c r="G44" s="79">
        <v>7.4630000000000001</v>
      </c>
      <c r="H44" s="79">
        <v>328.661</v>
      </c>
      <c r="I44" s="135">
        <f t="shared" si="0"/>
        <v>0.96564043774717667</v>
      </c>
      <c r="J44"/>
      <c r="M44" s="79">
        <v>4.5529999999999999</v>
      </c>
      <c r="N44" s="79">
        <v>2.72</v>
      </c>
      <c r="O44" s="79"/>
      <c r="P44" s="79">
        <v>26.335999999999999</v>
      </c>
      <c r="Q44" s="79">
        <v>25.364999999999998</v>
      </c>
      <c r="S44" s="80">
        <v>49.228000000000002</v>
      </c>
      <c r="T44" s="79">
        <v>28.236999999999998</v>
      </c>
      <c r="X44" s="79">
        <v>62.44</v>
      </c>
      <c r="Y44" s="80">
        <v>94.795586827821595</v>
      </c>
      <c r="Z44" s="79">
        <v>48.984000000000002</v>
      </c>
    </row>
    <row r="45" spans="1:26">
      <c r="A45" s="74">
        <v>43405</v>
      </c>
      <c r="B45" s="79">
        <v>29.19</v>
      </c>
      <c r="C45" s="79">
        <v>58.539000000000001</v>
      </c>
      <c r="D45" s="79"/>
      <c r="E45" s="79">
        <v>198.483</v>
      </c>
      <c r="F45" s="79">
        <v>194.303</v>
      </c>
      <c r="G45" s="79">
        <v>4.18</v>
      </c>
      <c r="H45" s="79">
        <v>313.59500000000003</v>
      </c>
      <c r="I45" s="135">
        <f t="shared" si="0"/>
        <v>0.97894026188640837</v>
      </c>
      <c r="J45"/>
      <c r="M45" s="79">
        <v>9.6470000000000002</v>
      </c>
      <c r="N45" s="79">
        <v>3.3380000000000001</v>
      </c>
      <c r="O45" s="79"/>
      <c r="P45" s="79">
        <v>38.68</v>
      </c>
      <c r="Q45" s="79">
        <v>36.868000000000002</v>
      </c>
      <c r="S45" s="79">
        <v>66.057000000000002</v>
      </c>
      <c r="T45" s="79">
        <v>55.261000000000003</v>
      </c>
      <c r="X45" s="79">
        <v>50.226999999999997</v>
      </c>
      <c r="Y45" s="80">
        <v>96.250241538632238</v>
      </c>
      <c r="Z45" s="79">
        <v>56.497</v>
      </c>
    </row>
    <row r="46" spans="1:26">
      <c r="A46" s="74">
        <v>43435</v>
      </c>
      <c r="B46" s="79">
        <v>18.815000000000001</v>
      </c>
      <c r="C46" s="79">
        <v>61.585999999999999</v>
      </c>
      <c r="D46" s="79"/>
      <c r="E46" s="79">
        <v>200.727</v>
      </c>
      <c r="F46" s="79">
        <v>190.06</v>
      </c>
      <c r="G46" s="79">
        <v>10.667</v>
      </c>
      <c r="H46" s="79">
        <v>316.29700000000003</v>
      </c>
      <c r="I46" s="135">
        <f t="shared" si="0"/>
        <v>0.9468581705500505</v>
      </c>
      <c r="J46"/>
      <c r="M46" s="79">
        <v>12.654999999999999</v>
      </c>
      <c r="N46" s="79">
        <v>1.524</v>
      </c>
      <c r="O46" s="79"/>
      <c r="P46" s="79">
        <v>42.335999999999999</v>
      </c>
      <c r="Q46" s="79">
        <v>39.581000000000003</v>
      </c>
      <c r="S46" s="79">
        <v>45.122</v>
      </c>
      <c r="T46" s="79">
        <v>31.984000000000002</v>
      </c>
      <c r="X46" s="79">
        <v>84.858000000000004</v>
      </c>
      <c r="Y46" s="80">
        <v>98.575597997681328</v>
      </c>
      <c r="Z46" s="79">
        <v>68.507000000000005</v>
      </c>
    </row>
    <row r="47" spans="1:26">
      <c r="A47" s="74">
        <v>43466</v>
      </c>
      <c r="B47" s="79">
        <v>24.335999999999999</v>
      </c>
      <c r="C47" s="79">
        <v>64.754999999999995</v>
      </c>
      <c r="D47" s="79"/>
      <c r="E47" s="79">
        <v>193.10900000000001</v>
      </c>
      <c r="F47" s="79">
        <v>184.988</v>
      </c>
      <c r="G47" s="79">
        <v>8.1210000000000004</v>
      </c>
      <c r="H47" s="79">
        <v>306.70299999999997</v>
      </c>
      <c r="I47" s="135">
        <f t="shared" si="0"/>
        <v>0.95794603048019511</v>
      </c>
      <c r="J47"/>
      <c r="M47" s="79">
        <v>6.3639999999999999</v>
      </c>
      <c r="N47" s="79">
        <v>1.478</v>
      </c>
      <c r="O47" s="79"/>
      <c r="P47" s="79">
        <v>39.098999999999997</v>
      </c>
      <c r="Q47" s="79">
        <v>37.704999999999998</v>
      </c>
      <c r="S47" s="80">
        <v>51.550396150090236</v>
      </c>
      <c r="T47" s="79">
        <v>28.972999999999999</v>
      </c>
      <c r="X47" s="79">
        <v>71.174000000000007</v>
      </c>
      <c r="Y47" s="80">
        <v>99.305732819252853</v>
      </c>
      <c r="Z47" s="79">
        <v>72.278000000000006</v>
      </c>
    </row>
    <row r="48" spans="1:26">
      <c r="A48" s="74">
        <v>43497</v>
      </c>
      <c r="B48" s="79">
        <v>23.452000000000002</v>
      </c>
      <c r="C48" s="79">
        <v>65.707999999999998</v>
      </c>
      <c r="D48" s="79"/>
      <c r="E48" s="79">
        <v>186.59299999999999</v>
      </c>
      <c r="F48" s="79">
        <v>178.99199999999999</v>
      </c>
      <c r="G48" s="79">
        <v>7.601</v>
      </c>
      <c r="H48" s="79">
        <v>359.90199999999999</v>
      </c>
      <c r="I48" s="135">
        <f t="shared" si="0"/>
        <v>0.95926428108235573</v>
      </c>
      <c r="J48"/>
      <c r="M48" s="79">
        <v>9.5109999999999992</v>
      </c>
      <c r="N48" s="79">
        <v>1.31</v>
      </c>
      <c r="O48" s="79"/>
      <c r="P48" s="79">
        <v>34.362000000000002</v>
      </c>
      <c r="Q48" s="79">
        <v>32.847000000000001</v>
      </c>
      <c r="S48" s="80">
        <v>61.926580840095482</v>
      </c>
      <c r="T48" s="79">
        <v>49.325000000000003</v>
      </c>
      <c r="X48" s="79">
        <v>72.945999999999998</v>
      </c>
      <c r="Y48" s="80">
        <v>99.792489366967217</v>
      </c>
      <c r="Z48" s="79">
        <v>74.792000000000002</v>
      </c>
    </row>
    <row r="49" spans="1:26">
      <c r="A49" s="74">
        <v>43525</v>
      </c>
      <c r="B49" s="79">
        <v>21.234000000000002</v>
      </c>
      <c r="C49" s="79">
        <v>62.244</v>
      </c>
      <c r="D49" s="79"/>
      <c r="E49" s="79">
        <v>200.024</v>
      </c>
      <c r="F49" s="79">
        <v>191.297</v>
      </c>
      <c r="G49" s="79">
        <v>8.7270000000000003</v>
      </c>
      <c r="H49" s="79">
        <v>291.34500000000003</v>
      </c>
      <c r="I49" s="135">
        <f t="shared" si="0"/>
        <v>0.9563702355717314</v>
      </c>
      <c r="J49"/>
      <c r="K49" s="80"/>
      <c r="L49" s="80"/>
      <c r="M49" s="80">
        <v>7.2</v>
      </c>
      <c r="N49" s="79">
        <v>1.847</v>
      </c>
      <c r="O49" s="79"/>
      <c r="P49" s="79">
        <v>44.332999999999998</v>
      </c>
      <c r="Q49" s="79">
        <v>40.884999999999998</v>
      </c>
      <c r="S49" s="80">
        <v>51.673692494040864</v>
      </c>
      <c r="T49" s="79">
        <v>24.484000000000002</v>
      </c>
      <c r="X49" s="79">
        <v>81.614000000000004</v>
      </c>
      <c r="Y49" s="80">
        <v>97.368774782922543</v>
      </c>
      <c r="Z49" s="79">
        <v>62.274000000000001</v>
      </c>
    </row>
    <row r="50" spans="1:26">
      <c r="A50" s="74">
        <v>43556</v>
      </c>
      <c r="B50" s="79">
        <v>22.798999999999999</v>
      </c>
      <c r="C50" s="79">
        <v>65.501000000000005</v>
      </c>
      <c r="D50" s="79"/>
      <c r="E50" s="79">
        <v>196.26300000000001</v>
      </c>
      <c r="F50" s="79">
        <v>190.69900000000001</v>
      </c>
      <c r="G50" s="79">
        <v>5.5640000000000001</v>
      </c>
      <c r="H50" s="79">
        <v>307.72300000000001</v>
      </c>
      <c r="I50" s="135">
        <f t="shared" si="0"/>
        <v>0.97165028558617772</v>
      </c>
      <c r="J50"/>
      <c r="M50" s="79">
        <v>4.9630000000000001</v>
      </c>
      <c r="N50" s="79">
        <v>1.776</v>
      </c>
      <c r="O50" s="79"/>
      <c r="P50" s="79">
        <v>37.307000000000002</v>
      </c>
      <c r="Q50" s="79">
        <v>34.939</v>
      </c>
      <c r="S50" s="80">
        <v>51.083449580526121</v>
      </c>
      <c r="T50" s="79">
        <v>23.739000000000001</v>
      </c>
      <c r="X50" s="79">
        <v>64.144999999999996</v>
      </c>
      <c r="Y50" s="80">
        <v>98.440839621703134</v>
      </c>
      <c r="Z50" s="79">
        <v>67.811000000000007</v>
      </c>
    </row>
    <row r="51" spans="1:26">
      <c r="A51" s="74">
        <v>43586</v>
      </c>
      <c r="B51" s="79">
        <v>17.736999999999998</v>
      </c>
      <c r="C51" s="79">
        <v>67.759</v>
      </c>
      <c r="D51" s="79"/>
      <c r="E51" s="79">
        <v>202.29</v>
      </c>
      <c r="F51" s="79">
        <v>193.58699999999999</v>
      </c>
      <c r="G51" s="79">
        <v>8.7029999999999994</v>
      </c>
      <c r="H51" s="79">
        <v>307.02999999999997</v>
      </c>
      <c r="I51" s="135">
        <f t="shared" si="0"/>
        <v>0.95697760640664387</v>
      </c>
      <c r="J51"/>
      <c r="M51" s="79">
        <v>10.081</v>
      </c>
      <c r="N51" s="79">
        <v>1.0369999999999999</v>
      </c>
      <c r="O51" s="79"/>
      <c r="P51" s="79">
        <v>34.935000000000002</v>
      </c>
      <c r="Q51" s="79">
        <v>33.228999999999999</v>
      </c>
      <c r="S51" s="80">
        <v>49.780289923363057</v>
      </c>
      <c r="T51" s="79">
        <v>18.856999999999999</v>
      </c>
      <c r="X51" s="79">
        <v>66.933999999999997</v>
      </c>
      <c r="Y51" s="80">
        <v>98.642589948957848</v>
      </c>
      <c r="Z51" s="79">
        <v>68.852999999999994</v>
      </c>
    </row>
    <row r="52" spans="1:26">
      <c r="A52" s="74">
        <v>43617</v>
      </c>
      <c r="B52" s="79">
        <v>20.315000000000001</v>
      </c>
      <c r="C52" s="79">
        <v>71.366</v>
      </c>
      <c r="D52" s="79"/>
      <c r="E52" s="79">
        <v>167.464</v>
      </c>
      <c r="F52" s="79">
        <v>158.38499999999999</v>
      </c>
      <c r="G52" s="79">
        <v>9.0790000000000006</v>
      </c>
      <c r="H52" s="79">
        <v>354.89600000000002</v>
      </c>
      <c r="I52" s="135">
        <f t="shared" si="0"/>
        <v>0.94578536282424874</v>
      </c>
      <c r="J52"/>
      <c r="M52" s="79">
        <v>5.569</v>
      </c>
      <c r="N52" s="79">
        <v>1.4550000000000001</v>
      </c>
      <c r="O52" s="79"/>
      <c r="P52" s="79">
        <v>42.279000000000003</v>
      </c>
      <c r="Q52" s="79">
        <v>40.314999999999998</v>
      </c>
      <c r="S52" s="79">
        <v>28.465</v>
      </c>
      <c r="T52" s="79">
        <v>23.053999999999998</v>
      </c>
      <c r="X52" s="79">
        <v>67.805999999999997</v>
      </c>
      <c r="Y52" s="80">
        <v>101.03513197763974</v>
      </c>
      <c r="Z52" s="79">
        <v>81.209999999999994</v>
      </c>
    </row>
    <row r="53" spans="1:26">
      <c r="A53" s="74">
        <v>43647</v>
      </c>
      <c r="B53" s="79">
        <v>19.835000000000001</v>
      </c>
      <c r="C53" s="79">
        <v>75.927000000000007</v>
      </c>
      <c r="D53" s="79"/>
      <c r="E53" s="79">
        <v>155.179</v>
      </c>
      <c r="F53" s="79">
        <v>145.85499999999999</v>
      </c>
      <c r="G53" s="79">
        <v>9.3239999999999998</v>
      </c>
      <c r="H53" s="79">
        <v>380.45299999999997</v>
      </c>
      <c r="I53" s="135">
        <f t="shared" si="0"/>
        <v>0.93991455029353188</v>
      </c>
      <c r="J53"/>
      <c r="M53" s="79">
        <v>11.259</v>
      </c>
      <c r="N53" s="79">
        <v>2.0760000000000001</v>
      </c>
      <c r="O53" s="79"/>
      <c r="P53" s="80">
        <v>42.31</v>
      </c>
      <c r="Q53" s="79">
        <v>32.25</v>
      </c>
      <c r="S53" s="79">
        <v>43.191000000000003</v>
      </c>
      <c r="T53" s="79">
        <v>18.085999999999999</v>
      </c>
      <c r="X53" s="79">
        <v>70.007999999999996</v>
      </c>
      <c r="Y53" s="80">
        <v>101.43505069255779</v>
      </c>
      <c r="Z53" s="80">
        <v>83</v>
      </c>
    </row>
    <row r="54" spans="1:26">
      <c r="A54" s="74">
        <v>43678</v>
      </c>
      <c r="B54" s="79">
        <v>17.747</v>
      </c>
      <c r="C54" s="79">
        <v>75.588999999999999</v>
      </c>
      <c r="D54" s="79"/>
      <c r="E54" s="79">
        <v>195.15799999999999</v>
      </c>
      <c r="F54" s="79">
        <v>185.09100000000001</v>
      </c>
      <c r="G54" s="79">
        <v>10.067</v>
      </c>
      <c r="H54" s="79">
        <v>338.32400000000001</v>
      </c>
      <c r="I54" s="135">
        <f t="shared" si="0"/>
        <v>0.9484161551153425</v>
      </c>
      <c r="J54"/>
      <c r="M54" s="79">
        <v>9.391</v>
      </c>
      <c r="N54" s="80">
        <v>2.2000000000000002</v>
      </c>
      <c r="O54" s="79"/>
      <c r="P54" s="79">
        <v>42.341000000000001</v>
      </c>
      <c r="Q54" s="79">
        <v>39.898000000000003</v>
      </c>
      <c r="R54" s="79">
        <v>42.713999999999999</v>
      </c>
      <c r="S54" s="79">
        <v>32.01</v>
      </c>
      <c r="T54" s="79">
        <v>25.966999999999999</v>
      </c>
      <c r="X54" s="79">
        <v>80.69</v>
      </c>
      <c r="Y54" s="80">
        <v>101.83496940747585</v>
      </c>
      <c r="Z54" s="79">
        <v>85.340999999999994</v>
      </c>
    </row>
    <row r="55" spans="1:26">
      <c r="A55" s="74">
        <v>43709</v>
      </c>
      <c r="B55" s="79">
        <v>19.960999999999999</v>
      </c>
      <c r="C55" s="79">
        <v>73.298000000000002</v>
      </c>
      <c r="D55" s="79"/>
      <c r="E55" s="79">
        <v>215.05600000000001</v>
      </c>
      <c r="F55" s="79">
        <v>204.45699999999999</v>
      </c>
      <c r="G55" s="79">
        <v>10.599</v>
      </c>
      <c r="H55" s="79">
        <v>343.57400000000001</v>
      </c>
      <c r="I55" s="135">
        <f t="shared" si="0"/>
        <v>0.95071516256230926</v>
      </c>
      <c r="J55"/>
      <c r="M55" s="79">
        <v>4.923</v>
      </c>
      <c r="N55" s="80">
        <v>2.4</v>
      </c>
      <c r="O55" s="79"/>
      <c r="P55" s="79">
        <v>42.906999999999996</v>
      </c>
      <c r="Q55" s="79">
        <v>40.298000000000002</v>
      </c>
      <c r="R55" s="79">
        <v>34.462000000000003</v>
      </c>
      <c r="S55" s="79">
        <v>19.478000000000002</v>
      </c>
      <c r="T55" s="79">
        <v>22.053000000000001</v>
      </c>
      <c r="X55" s="79">
        <v>73.221999999999994</v>
      </c>
      <c r="Y55" s="80">
        <v>105.59116551951185</v>
      </c>
      <c r="Z55" s="79">
        <v>104.741</v>
      </c>
    </row>
    <row r="56" spans="1:26">
      <c r="A56" s="74">
        <v>43739</v>
      </c>
      <c r="B56" s="79">
        <v>26.32</v>
      </c>
      <c r="C56" s="79">
        <v>73.522000000000006</v>
      </c>
      <c r="D56" s="79"/>
      <c r="E56" s="79">
        <v>227.30699999999999</v>
      </c>
      <c r="F56" s="79">
        <v>221.62299999999999</v>
      </c>
      <c r="G56" s="79">
        <v>5.6840000000000002</v>
      </c>
      <c r="H56" s="79">
        <v>349.00099999999998</v>
      </c>
      <c r="I56" s="135">
        <f t="shared" si="0"/>
        <v>0.9749941708790314</v>
      </c>
      <c r="J56"/>
      <c r="M56" s="79">
        <v>5.8310000000000004</v>
      </c>
      <c r="N56" s="79">
        <v>2.5489999999999999</v>
      </c>
      <c r="O56" s="79"/>
      <c r="P56" s="79">
        <v>33.85</v>
      </c>
      <c r="Q56" s="79">
        <v>32.512</v>
      </c>
      <c r="R56" s="79">
        <v>34.865000000000002</v>
      </c>
      <c r="S56" s="79">
        <v>25.571000000000002</v>
      </c>
      <c r="T56" s="79">
        <v>17.693000000000001</v>
      </c>
      <c r="X56" s="79">
        <v>69.706000000000003</v>
      </c>
      <c r="Y56" s="80">
        <v>105.49087121095336</v>
      </c>
      <c r="Z56" s="79">
        <v>104.223</v>
      </c>
    </row>
    <row r="57" spans="1:26">
      <c r="A57" s="74">
        <v>43770</v>
      </c>
      <c r="B57" s="79">
        <v>18.989999999999998</v>
      </c>
      <c r="C57" s="79">
        <v>69.665000000000006</v>
      </c>
      <c r="D57" s="79"/>
      <c r="E57" s="79">
        <v>187.136</v>
      </c>
      <c r="F57" s="79">
        <v>181.09299999999999</v>
      </c>
      <c r="G57" s="79">
        <v>6.0430000000000001</v>
      </c>
      <c r="H57" s="79">
        <v>349.97800000000001</v>
      </c>
      <c r="I57" s="135">
        <f t="shared" si="0"/>
        <v>0.96770797708618328</v>
      </c>
      <c r="J57"/>
      <c r="M57" s="79">
        <v>6.68</v>
      </c>
      <c r="N57" s="79">
        <v>2.391</v>
      </c>
      <c r="O57" s="79"/>
      <c r="P57" s="79">
        <v>60.201000000000001</v>
      </c>
      <c r="Q57" s="79">
        <v>56.939</v>
      </c>
      <c r="R57" s="79">
        <v>40.677999999999997</v>
      </c>
      <c r="S57" s="79">
        <v>27.088999999999999</v>
      </c>
      <c r="T57" s="79">
        <v>22.106999999999999</v>
      </c>
      <c r="X57" s="79">
        <v>75.105000000000004</v>
      </c>
      <c r="Y57" s="80">
        <v>116.32285015362623</v>
      </c>
      <c r="Z57" s="79">
        <v>160.16800000000001</v>
      </c>
    </row>
    <row r="58" spans="1:26">
      <c r="A58" s="74">
        <v>43800</v>
      </c>
      <c r="B58" s="79">
        <v>17.704999999999998</v>
      </c>
      <c r="C58" s="79">
        <v>78.385999999999996</v>
      </c>
      <c r="D58" s="79"/>
      <c r="E58" s="79">
        <v>196.44800000000001</v>
      </c>
      <c r="F58" s="79">
        <v>190.304</v>
      </c>
      <c r="G58" s="79">
        <v>6.1440000000000001</v>
      </c>
      <c r="H58" s="79">
        <v>335.74099999999999</v>
      </c>
      <c r="I58" s="135">
        <f t="shared" si="0"/>
        <v>0.96872454797198237</v>
      </c>
      <c r="J58"/>
      <c r="M58" s="79">
        <v>4.5780000000000003</v>
      </c>
      <c r="N58" s="79">
        <v>1.9139999999999999</v>
      </c>
      <c r="O58" s="79"/>
      <c r="P58" s="79">
        <v>42.881</v>
      </c>
      <c r="Q58" s="79">
        <v>40.823999999999998</v>
      </c>
      <c r="R58" s="79">
        <v>38.545999999999999</v>
      </c>
      <c r="S58" s="79">
        <v>27.094999999999999</v>
      </c>
      <c r="T58" s="79">
        <v>19.263000000000002</v>
      </c>
      <c r="X58" s="79">
        <v>64.061999999999998</v>
      </c>
      <c r="Y58" s="80">
        <v>113.13608562744065</v>
      </c>
      <c r="Z58" s="80">
        <v>140</v>
      </c>
    </row>
    <row r="59" spans="1:26">
      <c r="A59" s="74">
        <v>43831</v>
      </c>
      <c r="B59" s="79">
        <v>26.972000000000001</v>
      </c>
      <c r="C59" s="79">
        <v>53.07</v>
      </c>
      <c r="D59" s="79"/>
      <c r="E59" s="79">
        <v>203.21199999999999</v>
      </c>
      <c r="F59" s="79">
        <v>197.21100000000001</v>
      </c>
      <c r="G59" s="79">
        <v>6.0010000000000003</v>
      </c>
      <c r="H59" s="79">
        <v>338.53800000000001</v>
      </c>
      <c r="I59" s="135">
        <f t="shared" si="0"/>
        <v>0.97046926362616392</v>
      </c>
      <c r="J59"/>
      <c r="M59" s="79">
        <v>12.679</v>
      </c>
      <c r="N59" s="79">
        <v>1.54</v>
      </c>
      <c r="O59" s="79"/>
      <c r="P59" s="79">
        <v>48.484000000000002</v>
      </c>
      <c r="Q59" s="79">
        <v>45.441000000000003</v>
      </c>
      <c r="R59" s="79">
        <v>40.674999999999997</v>
      </c>
      <c r="S59" s="79">
        <v>33.164999999999999</v>
      </c>
      <c r="T59" s="79">
        <v>18.721</v>
      </c>
      <c r="X59" s="79">
        <v>83.978999999999999</v>
      </c>
      <c r="Y59" s="80">
        <v>109.94932110125505</v>
      </c>
      <c r="Z59" s="79">
        <v>127.25</v>
      </c>
    </row>
    <row r="60" spans="1:26">
      <c r="A60" s="74">
        <v>43862</v>
      </c>
      <c r="B60" s="79">
        <v>20.048999999999999</v>
      </c>
      <c r="C60" s="79">
        <v>55.32</v>
      </c>
      <c r="D60" s="79"/>
      <c r="E60" s="79">
        <v>189.54400000000001</v>
      </c>
      <c r="F60" s="79">
        <v>182.239</v>
      </c>
      <c r="G60" s="79">
        <v>7.3049999999999997</v>
      </c>
      <c r="H60" s="79">
        <v>339.202</v>
      </c>
      <c r="I60" s="135">
        <f t="shared" si="0"/>
        <v>0.96146013590511958</v>
      </c>
      <c r="J60"/>
      <c r="M60" s="79">
        <v>9.2289999999999992</v>
      </c>
      <c r="N60" s="79">
        <v>2.294</v>
      </c>
      <c r="O60" s="79"/>
      <c r="P60" s="79">
        <v>40.673000000000002</v>
      </c>
      <c r="Q60" s="79">
        <v>38.566000000000003</v>
      </c>
      <c r="R60" s="79">
        <v>34.103999999999999</v>
      </c>
      <c r="S60" s="79">
        <v>49.314</v>
      </c>
      <c r="T60" s="79">
        <v>19.696999999999999</v>
      </c>
      <c r="X60" s="79">
        <v>75.27</v>
      </c>
      <c r="Y60" s="80">
        <v>107.8233915491852</v>
      </c>
      <c r="Z60" s="80">
        <v>112</v>
      </c>
    </row>
    <row r="61" spans="1:26">
      <c r="A61" s="74">
        <v>43891</v>
      </c>
      <c r="B61" s="79">
        <v>22.811</v>
      </c>
      <c r="C61" s="79">
        <v>54.192999999999998</v>
      </c>
      <c r="D61" s="79"/>
      <c r="E61" s="79">
        <v>208.881</v>
      </c>
      <c r="F61" s="79">
        <v>199.62200000000001</v>
      </c>
      <c r="G61" s="79">
        <v>9.2590000000000003</v>
      </c>
      <c r="H61" s="79">
        <v>349.346</v>
      </c>
      <c r="I61" s="135">
        <f t="shared" si="0"/>
        <v>0.95567332596071453</v>
      </c>
      <c r="J61"/>
      <c r="K61" s="80"/>
      <c r="L61" s="80"/>
      <c r="M61" s="80">
        <v>11.2</v>
      </c>
      <c r="N61" s="79">
        <v>2.476</v>
      </c>
      <c r="O61" s="79"/>
      <c r="P61" s="79">
        <v>49.758000000000003</v>
      </c>
      <c r="Q61" s="79">
        <v>46.869</v>
      </c>
      <c r="R61" s="79">
        <v>38.420999999999999</v>
      </c>
      <c r="S61" s="79">
        <v>38.384</v>
      </c>
      <c r="T61" s="79">
        <v>22.321999999999999</v>
      </c>
      <c r="X61" s="79">
        <v>82.173000000000002</v>
      </c>
      <c r="Y61" s="80">
        <v>105.69746199711534</v>
      </c>
      <c r="Z61" s="79">
        <v>105.29</v>
      </c>
    </row>
    <row r="62" spans="1:26">
      <c r="A62" s="74">
        <v>43922</v>
      </c>
      <c r="B62" s="79">
        <v>22.337</v>
      </c>
      <c r="C62" s="79">
        <v>56.93</v>
      </c>
      <c r="D62" s="79"/>
      <c r="E62" s="79">
        <v>176.416</v>
      </c>
      <c r="F62" s="79">
        <v>169.24799999999999</v>
      </c>
      <c r="G62" s="79">
        <v>7.1680000000000001</v>
      </c>
      <c r="H62" s="79">
        <v>318.52</v>
      </c>
      <c r="I62" s="135">
        <f t="shared" si="0"/>
        <v>0.95936876473789223</v>
      </c>
      <c r="J62"/>
      <c r="M62" s="79">
        <v>13.125999999999999</v>
      </c>
      <c r="N62" s="79">
        <v>2.8090000000000002</v>
      </c>
      <c r="O62" s="79"/>
      <c r="P62" s="79">
        <v>40.283999999999999</v>
      </c>
      <c r="Q62" s="79">
        <v>38.899000000000001</v>
      </c>
      <c r="R62" s="79">
        <v>29.466999999999999</v>
      </c>
      <c r="S62" s="79">
        <v>27.565000000000001</v>
      </c>
      <c r="T62" s="79">
        <v>16.710999999999999</v>
      </c>
      <c r="X62" s="79">
        <v>65.353999999999999</v>
      </c>
      <c r="Y62" s="80">
        <v>102.57033192466723</v>
      </c>
      <c r="Z62" s="79">
        <v>89.138999999999996</v>
      </c>
    </row>
    <row r="63" spans="1:26">
      <c r="A63" s="74">
        <v>43952</v>
      </c>
      <c r="B63" s="79">
        <v>27.202000000000002</v>
      </c>
      <c r="C63" s="79">
        <v>43.722000000000001</v>
      </c>
      <c r="D63" s="79"/>
      <c r="E63" s="79">
        <v>188.55199999999999</v>
      </c>
      <c r="F63" s="79">
        <v>180.33699999999999</v>
      </c>
      <c r="G63" s="79">
        <v>8.2149999999999999</v>
      </c>
      <c r="H63" s="79">
        <v>371.63099999999997</v>
      </c>
      <c r="I63" s="135">
        <f t="shared" si="0"/>
        <v>0.95643111714540285</v>
      </c>
      <c r="J63"/>
      <c r="M63" s="79">
        <v>11.923</v>
      </c>
      <c r="N63" s="79">
        <v>2.9910000000000001</v>
      </c>
      <c r="O63" s="79"/>
      <c r="P63" s="79">
        <v>39.908999999999999</v>
      </c>
      <c r="Q63" s="79">
        <v>37.886000000000003</v>
      </c>
      <c r="R63" s="79">
        <v>25.193999999999999</v>
      </c>
      <c r="S63" s="79">
        <v>30.626000000000001</v>
      </c>
      <c r="T63" s="79">
        <v>21.132000000000001</v>
      </c>
      <c r="X63" s="79">
        <v>75.364000000000004</v>
      </c>
      <c r="Y63" s="80">
        <v>102.33101963629215</v>
      </c>
      <c r="Z63" s="79">
        <v>87.903000000000006</v>
      </c>
    </row>
    <row r="64" spans="1:26">
      <c r="A64" s="74">
        <v>43983</v>
      </c>
      <c r="B64" s="79">
        <v>38.606000000000002</v>
      </c>
      <c r="C64" s="79">
        <v>67.751000000000005</v>
      </c>
      <c r="D64" s="79"/>
      <c r="E64" s="79">
        <v>245.65700000000001</v>
      </c>
      <c r="F64" s="79">
        <v>241.05699999999999</v>
      </c>
      <c r="G64" s="79">
        <v>4.5999999999999996</v>
      </c>
      <c r="H64" s="79">
        <v>431.52199999999999</v>
      </c>
      <c r="I64" s="135">
        <f t="shared" si="0"/>
        <v>0.98127470416067919</v>
      </c>
      <c r="J64" s="79">
        <v>4.6950000000000003</v>
      </c>
      <c r="K64" s="79">
        <v>4.6150000000000002</v>
      </c>
      <c r="L64" s="79">
        <v>3.9660000000000002</v>
      </c>
      <c r="M64" s="79">
        <v>13.353</v>
      </c>
      <c r="N64" s="79">
        <v>2.5106465566988323</v>
      </c>
      <c r="O64" s="79"/>
      <c r="P64" s="79">
        <v>42.033999999999999</v>
      </c>
      <c r="Q64" s="79">
        <v>39.915999999999997</v>
      </c>
      <c r="R64" s="79">
        <v>29.780999999999999</v>
      </c>
      <c r="S64" s="79">
        <v>33.838000000000001</v>
      </c>
      <c r="T64" s="79">
        <v>22.446000000000002</v>
      </c>
      <c r="X64" s="79">
        <v>49.710999999999999</v>
      </c>
      <c r="Y64" s="80">
        <v>77.694000000000003</v>
      </c>
      <c r="Z64" s="79">
        <v>39.899653842438575</v>
      </c>
    </row>
    <row r="65" spans="1:26">
      <c r="A65" s="74">
        <v>44013</v>
      </c>
      <c r="B65" s="79">
        <v>44.704999999999998</v>
      </c>
      <c r="C65" s="79">
        <v>72.567999999999998</v>
      </c>
      <c r="D65" s="79"/>
      <c r="E65" s="79">
        <v>237.83500000000001</v>
      </c>
      <c r="F65" s="79">
        <v>234.17500000000001</v>
      </c>
      <c r="G65" s="79">
        <v>3.66</v>
      </c>
      <c r="H65" s="79">
        <v>412.09800000000001</v>
      </c>
      <c r="I65" s="135">
        <f t="shared" si="0"/>
        <v>0.98461118001976167</v>
      </c>
      <c r="J65" s="79">
        <v>4.9109999999999996</v>
      </c>
      <c r="K65" s="79">
        <v>5.125</v>
      </c>
      <c r="L65" s="79">
        <v>6.3029999999999999</v>
      </c>
      <c r="M65" s="80">
        <v>11.2</v>
      </c>
      <c r="N65" s="80">
        <v>2.4</v>
      </c>
      <c r="O65" s="79"/>
      <c r="P65" s="79">
        <v>35.447000000000003</v>
      </c>
      <c r="Q65" s="79">
        <v>31.640999999999998</v>
      </c>
      <c r="R65" s="79">
        <v>28.513999999999999</v>
      </c>
      <c r="S65" s="79">
        <v>42.24</v>
      </c>
      <c r="T65" s="79">
        <v>17.718</v>
      </c>
      <c r="X65" s="79">
        <v>69.998999999999995</v>
      </c>
      <c r="Y65" s="79">
        <v>78.319999999999993</v>
      </c>
      <c r="Z65" s="80">
        <f>MROUND(FORECAST(X65,Z$3:Z64,X$3:X64),0.1)</f>
        <v>60</v>
      </c>
    </row>
    <row r="66" spans="1:26">
      <c r="A66" s="74">
        <v>44044</v>
      </c>
      <c r="B66" s="79">
        <v>37.942999999999998</v>
      </c>
      <c r="C66" s="79">
        <v>81.265000000000001</v>
      </c>
      <c r="D66" s="79"/>
      <c r="E66" s="79">
        <v>245.56800000000001</v>
      </c>
      <c r="F66" s="79">
        <v>238.85400000000001</v>
      </c>
      <c r="G66" s="79">
        <v>6.7140000000000004</v>
      </c>
      <c r="H66" s="79">
        <v>401.54700000000003</v>
      </c>
      <c r="I66" s="135">
        <f t="shared" si="0"/>
        <v>0.97265930414386237</v>
      </c>
      <c r="J66" s="79">
        <v>5.2919999999999998</v>
      </c>
      <c r="K66" s="79">
        <v>5.1829999999999998</v>
      </c>
      <c r="L66" s="79">
        <v>4.0739999999999998</v>
      </c>
      <c r="M66" s="80">
        <v>9.5</v>
      </c>
      <c r="N66" s="80">
        <v>2.1</v>
      </c>
      <c r="P66" s="79">
        <v>28.634</v>
      </c>
      <c r="Q66" s="79">
        <v>27.788</v>
      </c>
      <c r="R66" s="79">
        <v>32.085000000000001</v>
      </c>
      <c r="S66" s="79">
        <v>35.765999999999998</v>
      </c>
      <c r="T66" s="79">
        <v>12.305999999999999</v>
      </c>
      <c r="X66" s="79">
        <v>56.698999999999998</v>
      </c>
      <c r="Y66" s="79">
        <v>70.659000000000006</v>
      </c>
      <c r="Z66" s="80">
        <f>MROUND(FORECAST(X66,Z4:Z65,X4:X65),0.1)</f>
        <v>47.400000000000006</v>
      </c>
    </row>
    <row r="67" spans="1:26">
      <c r="A67" s="74">
        <v>44075</v>
      </c>
      <c r="B67" s="79">
        <v>45.951999999999998</v>
      </c>
      <c r="C67" s="79">
        <v>72.289000000000001</v>
      </c>
      <c r="E67" s="79">
        <v>237.07900000000001</v>
      </c>
      <c r="F67" s="79">
        <v>231.22</v>
      </c>
      <c r="G67" s="79">
        <v>5.859</v>
      </c>
      <c r="H67" s="79">
        <v>377.58199999999999</v>
      </c>
      <c r="I67" s="135">
        <f t="shared" si="0"/>
        <v>0.97528671877306716</v>
      </c>
      <c r="J67" s="79">
        <v>3.472</v>
      </c>
      <c r="K67" s="79">
        <v>3.4009999999999998</v>
      </c>
      <c r="L67" s="79">
        <v>4.8949999999999996</v>
      </c>
      <c r="M67" s="79">
        <v>3.4089999999999998</v>
      </c>
      <c r="N67" s="80">
        <v>1.5</v>
      </c>
      <c r="P67" s="79">
        <v>36.337000000000003</v>
      </c>
      <c r="Q67" s="79">
        <v>36.124000000000002</v>
      </c>
      <c r="R67" s="79">
        <v>32.377000000000002</v>
      </c>
      <c r="S67" s="79">
        <v>33.829000000000001</v>
      </c>
      <c r="T67" s="79">
        <v>14.132999999999999</v>
      </c>
      <c r="X67" s="79">
        <v>62.021000000000001</v>
      </c>
      <c r="Y67" s="79">
        <v>60.283000000000001</v>
      </c>
      <c r="Z67" s="80">
        <f>MROUND(FORECAST(X67,Z5:Z66,X5:X66),0.1)</f>
        <v>53.2</v>
      </c>
    </row>
    <row r="68" spans="1:26">
      <c r="A68" s="74">
        <v>44105</v>
      </c>
      <c r="B68" s="79">
        <v>62.643000000000001</v>
      </c>
      <c r="C68" s="79">
        <v>96.637</v>
      </c>
      <c r="E68" s="79">
        <v>257.71600000000001</v>
      </c>
      <c r="F68" s="79">
        <v>245.33600000000001</v>
      </c>
      <c r="G68" s="79">
        <v>12.38</v>
      </c>
      <c r="H68" s="79">
        <v>334.78699999999998</v>
      </c>
      <c r="I68" s="135">
        <f t="shared" si="0"/>
        <v>0.9519626255257726</v>
      </c>
      <c r="J68" s="79">
        <v>4.4539999999999997</v>
      </c>
      <c r="K68" s="79">
        <v>4.3630000000000004</v>
      </c>
      <c r="L68" s="79">
        <v>3.9039999999999999</v>
      </c>
      <c r="M68" s="79">
        <v>5.8869999999999996</v>
      </c>
      <c r="N68" s="80">
        <v>1.7</v>
      </c>
      <c r="P68" s="79">
        <v>56.476999999999997</v>
      </c>
      <c r="Q68" s="79">
        <v>55.622999999999998</v>
      </c>
      <c r="R68" s="79">
        <v>42.34</v>
      </c>
      <c r="S68" s="79">
        <v>33.468000000000004</v>
      </c>
      <c r="T68" s="79">
        <v>19.193999999999999</v>
      </c>
      <c r="X68" s="79">
        <v>61.347999999999999</v>
      </c>
      <c r="Y68" s="79">
        <v>58.795999999999999</v>
      </c>
      <c r="Z68" s="79">
        <v>70.298000000000002</v>
      </c>
    </row>
    <row r="69" spans="1:26">
      <c r="A69" s="74">
        <v>44136</v>
      </c>
      <c r="B69" s="79">
        <v>59.2</v>
      </c>
      <c r="C69" s="79">
        <v>93.980999999999995</v>
      </c>
      <c r="E69" s="79">
        <v>233.52799999999999</v>
      </c>
      <c r="F69" s="79">
        <v>227.42099999999999</v>
      </c>
      <c r="G69" s="79">
        <v>6.1070000000000002</v>
      </c>
      <c r="H69" s="79">
        <v>297.24599999999998</v>
      </c>
      <c r="I69" s="135">
        <f t="shared" si="0"/>
        <v>0.97384896029598167</v>
      </c>
      <c r="J69" s="79">
        <v>4</v>
      </c>
      <c r="K69" s="79">
        <v>4.0709999999999997</v>
      </c>
      <c r="L69" s="79">
        <v>4.306</v>
      </c>
      <c r="M69" s="79">
        <v>8.968</v>
      </c>
      <c r="N69" s="79">
        <v>1.726</v>
      </c>
      <c r="P69" s="79">
        <v>56.084000000000003</v>
      </c>
      <c r="Q69" s="79">
        <v>54.526000000000003</v>
      </c>
      <c r="R69" s="79">
        <v>44.155999999999999</v>
      </c>
      <c r="S69" s="79">
        <v>36.18</v>
      </c>
      <c r="T69" s="79">
        <v>21.718</v>
      </c>
      <c r="X69" s="79">
        <v>61.561</v>
      </c>
      <c r="Y69" s="79">
        <v>52.908000000000001</v>
      </c>
      <c r="Z69" s="79">
        <v>65.016999999999996</v>
      </c>
    </row>
    <row r="70" spans="1:26">
      <c r="A70" s="74">
        <v>44166</v>
      </c>
      <c r="B70" s="79">
        <v>50.061999999999998</v>
      </c>
      <c r="C70" s="79">
        <v>74.882999999999996</v>
      </c>
      <c r="E70" s="79">
        <v>230.56800000000001</v>
      </c>
      <c r="F70" s="79">
        <v>224.958</v>
      </c>
      <c r="G70" s="79">
        <v>5.61</v>
      </c>
      <c r="H70" s="79">
        <v>261.988</v>
      </c>
      <c r="I70" s="135">
        <f t="shared" si="0"/>
        <v>0.97566878317893202</v>
      </c>
      <c r="J70" s="79">
        <v>3.2759999999999998</v>
      </c>
      <c r="K70" s="79">
        <v>3.3340000000000001</v>
      </c>
      <c r="L70" s="79">
        <v>5.4859999999999998</v>
      </c>
      <c r="M70" s="79">
        <v>6.6849999999999996</v>
      </c>
      <c r="N70" s="79">
        <v>1.2849999999999999</v>
      </c>
      <c r="P70" s="79">
        <v>48.106999999999999</v>
      </c>
      <c r="Q70" s="79">
        <v>47.935000000000002</v>
      </c>
      <c r="R70" s="79">
        <v>39.277999999999999</v>
      </c>
      <c r="S70" s="79">
        <v>55.877000000000002</v>
      </c>
      <c r="T70" s="79">
        <v>23.556999999999999</v>
      </c>
      <c r="X70" s="79">
        <v>54.241</v>
      </c>
      <c r="Y70" s="79">
        <v>65.241</v>
      </c>
      <c r="Z70" s="79">
        <v>57.182000000000002</v>
      </c>
    </row>
    <row r="71" spans="1:26">
      <c r="A71" s="74">
        <v>44197</v>
      </c>
      <c r="B71" s="79">
        <v>56.896000000000001</v>
      </c>
      <c r="C71" s="79">
        <v>68.643000000000001</v>
      </c>
      <c r="E71" s="79">
        <v>205.203</v>
      </c>
      <c r="F71" s="79">
        <v>200.602</v>
      </c>
      <c r="G71" s="79">
        <v>4.601</v>
      </c>
      <c r="H71" s="79">
        <v>281.71199999999999</v>
      </c>
      <c r="I71" s="135">
        <f t="shared" si="0"/>
        <v>0.97757830051217576</v>
      </c>
      <c r="J71" s="79">
        <v>3.9510000000000001</v>
      </c>
      <c r="K71" s="79">
        <v>3.8839999999999999</v>
      </c>
      <c r="L71" s="79">
        <v>4.1619999999999999</v>
      </c>
      <c r="M71" s="79">
        <v>9.3810000000000002</v>
      </c>
      <c r="N71" s="79">
        <v>1.752</v>
      </c>
      <c r="P71" s="79">
        <v>44.939</v>
      </c>
      <c r="Q71" s="79">
        <v>43.631999999999998</v>
      </c>
      <c r="R71" s="79">
        <v>37.402000000000001</v>
      </c>
      <c r="S71" s="79">
        <v>44.003999999999998</v>
      </c>
      <c r="T71" s="79">
        <v>22.564</v>
      </c>
      <c r="X71" s="79">
        <v>47.191000000000003</v>
      </c>
      <c r="Y71" s="79">
        <v>69.352000000000004</v>
      </c>
      <c r="Z71" s="79">
        <v>50.295000000000002</v>
      </c>
    </row>
    <row r="72" spans="1:26">
      <c r="A72" s="74">
        <v>44228</v>
      </c>
      <c r="B72" s="79">
        <v>52.267000000000003</v>
      </c>
      <c r="C72" s="79">
        <v>73.793000000000006</v>
      </c>
      <c r="E72" s="79">
        <v>199.571</v>
      </c>
      <c r="F72" s="79">
        <v>193.86600000000001</v>
      </c>
      <c r="G72" s="79">
        <v>5.7050000000000001</v>
      </c>
      <c r="H72" s="79">
        <v>243.142</v>
      </c>
      <c r="I72" s="135">
        <f t="shared" si="0"/>
        <v>0.9714136823486379</v>
      </c>
      <c r="J72" s="79">
        <v>2.2669999999999999</v>
      </c>
      <c r="K72" s="79">
        <v>2.1429999999999998</v>
      </c>
      <c r="L72" s="79">
        <v>4.5110000000000001</v>
      </c>
      <c r="M72" s="80">
        <f>MROUND(FORECAST(L72,M64:M71,L64:L71),0.1)</f>
        <v>8.6</v>
      </c>
      <c r="N72" s="80">
        <f t="shared" ref="N72:N77" si="1">MROUND(FORECAST(M72,N64:N71,M64:M71),0.1)</f>
        <v>1.9000000000000001</v>
      </c>
      <c r="P72" s="79">
        <v>52.037999999999997</v>
      </c>
      <c r="Q72" s="79">
        <v>50.264000000000003</v>
      </c>
      <c r="R72" s="79">
        <v>36.725999999999999</v>
      </c>
      <c r="S72" s="79">
        <v>52.113999999999997</v>
      </c>
      <c r="T72" s="79">
        <v>27.562000000000001</v>
      </c>
      <c r="X72" s="79">
        <v>52.610999999999997</v>
      </c>
      <c r="Y72" s="79">
        <v>56.115000000000002</v>
      </c>
      <c r="Z72" s="80">
        <f>MROUND(FORECAST(X72,Z10:Z71,X10:X71),0.1)</f>
        <v>46.6</v>
      </c>
    </row>
    <row r="73" spans="1:26">
      <c r="A73" s="74">
        <v>44256</v>
      </c>
      <c r="B73" s="79">
        <v>65.501999999999995</v>
      </c>
      <c r="C73" s="79">
        <v>52.938000000000002</v>
      </c>
      <c r="E73" s="79">
        <v>235.327</v>
      </c>
      <c r="F73" s="79">
        <v>230.21700000000001</v>
      </c>
      <c r="G73" s="79">
        <v>5.1100000000000003</v>
      </c>
      <c r="H73" s="79">
        <v>248.37100000000001</v>
      </c>
      <c r="I73" s="135">
        <f t="shared" si="0"/>
        <v>0.97828553459654022</v>
      </c>
      <c r="J73" s="79">
        <v>2.024</v>
      </c>
      <c r="K73" s="79">
        <v>1.9359999999999999</v>
      </c>
      <c r="L73" s="79">
        <v>3.2250000000000001</v>
      </c>
      <c r="M73" s="80">
        <f t="shared" ref="M73:M81" si="2">MROUND(FORECAST(L73,M65:M72,L65:L72),0.1)</f>
        <v>7.1000000000000005</v>
      </c>
      <c r="N73" s="80">
        <f t="shared" si="1"/>
        <v>1.7000000000000002</v>
      </c>
      <c r="P73" s="79">
        <v>43.790999999999997</v>
      </c>
      <c r="Q73" s="79">
        <v>41.371000000000002</v>
      </c>
      <c r="R73" s="79">
        <v>37.737000000000002</v>
      </c>
      <c r="S73" s="79">
        <v>61.606999999999999</v>
      </c>
      <c r="T73" s="79">
        <v>23.902000000000001</v>
      </c>
      <c r="X73" s="79">
        <v>60.884</v>
      </c>
      <c r="Y73" s="79">
        <v>41.698</v>
      </c>
      <c r="Z73" s="80">
        <f>MROUND(FORECAST(X73,Z11:Z72,X11:X72),0.1)</f>
        <v>55.800000000000004</v>
      </c>
    </row>
    <row r="74" spans="1:26">
      <c r="A74" s="74">
        <v>44287</v>
      </c>
      <c r="B74" s="79">
        <v>48.661999999999999</v>
      </c>
      <c r="C74" s="79">
        <v>64.594999999999999</v>
      </c>
      <c r="E74" s="79">
        <v>226.81700000000001</v>
      </c>
      <c r="F74" s="79">
        <v>222.15600000000001</v>
      </c>
      <c r="G74" s="79">
        <v>4.6609999999999996</v>
      </c>
      <c r="H74" s="79">
        <v>273.14600000000002</v>
      </c>
      <c r="I74" s="135">
        <f t="shared" si="0"/>
        <v>0.97945039392990829</v>
      </c>
      <c r="J74" s="79">
        <v>3.1070000000000002</v>
      </c>
      <c r="K74" s="79">
        <v>2.9449999999999998</v>
      </c>
      <c r="L74" s="79">
        <v>3.7370000000000001</v>
      </c>
      <c r="M74" s="80">
        <f t="shared" si="2"/>
        <v>8</v>
      </c>
      <c r="N74" s="80">
        <f t="shared" si="1"/>
        <v>1.7000000000000002</v>
      </c>
      <c r="P74" s="79">
        <v>46.783000000000001</v>
      </c>
      <c r="Q74" s="79">
        <v>43.795999999999999</v>
      </c>
      <c r="R74" s="79">
        <v>38.978000000000002</v>
      </c>
      <c r="S74" s="79">
        <v>61.442</v>
      </c>
      <c r="T74" s="79">
        <v>21.02</v>
      </c>
      <c r="X74" s="79">
        <v>47.204999999999998</v>
      </c>
      <c r="Y74" s="79">
        <v>84.355000000000004</v>
      </c>
      <c r="Z74" s="79">
        <v>44.237000000000002</v>
      </c>
    </row>
    <row r="75" spans="1:26">
      <c r="A75" s="74">
        <v>44317</v>
      </c>
      <c r="B75" s="79">
        <v>55.999000000000002</v>
      </c>
      <c r="C75" s="79">
        <v>50.005000000000003</v>
      </c>
      <c r="E75" s="79">
        <v>221.93</v>
      </c>
      <c r="F75" s="79">
        <v>217.209</v>
      </c>
      <c r="G75" s="79">
        <v>4.7210000000000001</v>
      </c>
      <c r="H75" s="79">
        <v>280.04000000000002</v>
      </c>
      <c r="I75" s="135">
        <f t="shared" si="0"/>
        <v>0.97872752669760732</v>
      </c>
      <c r="J75" s="79">
        <v>1.1819999999999999</v>
      </c>
      <c r="K75" s="79">
        <v>1.147</v>
      </c>
      <c r="L75" s="79">
        <v>3.415</v>
      </c>
      <c r="M75" s="80">
        <f t="shared" si="2"/>
        <v>7.9</v>
      </c>
      <c r="N75" s="80">
        <f t="shared" si="1"/>
        <v>1.7000000000000002</v>
      </c>
      <c r="P75" s="79">
        <v>35.822000000000003</v>
      </c>
      <c r="Q75" s="79">
        <v>33.545999999999999</v>
      </c>
      <c r="R75" s="79">
        <v>27.882000000000001</v>
      </c>
      <c r="S75" s="79">
        <v>42.847999999999999</v>
      </c>
      <c r="T75" s="79">
        <v>20.600999999999999</v>
      </c>
      <c r="X75" s="79">
        <v>51.712000000000003</v>
      </c>
      <c r="Y75" s="79">
        <v>81.305999999999997</v>
      </c>
      <c r="Z75" s="80">
        <f>MROUND(FORECAST(X75,Z13:Z74,X13:X74),0.1)</f>
        <v>48.2</v>
      </c>
    </row>
    <row r="76" spans="1:26">
      <c r="A76" s="74">
        <v>44348</v>
      </c>
      <c r="B76" s="79">
        <v>47.381</v>
      </c>
      <c r="C76" s="79">
        <v>37.694000000000003</v>
      </c>
      <c r="E76" s="79">
        <v>226.80199999999999</v>
      </c>
      <c r="F76" s="79">
        <v>220.90600000000001</v>
      </c>
      <c r="G76" s="79">
        <v>5.8959999999999999</v>
      </c>
      <c r="H76" s="79">
        <v>275.59699999999998</v>
      </c>
      <c r="I76" s="135">
        <f t="shared" si="0"/>
        <v>0.97400375658062988</v>
      </c>
      <c r="J76" s="80">
        <v>3.4000000000000004</v>
      </c>
      <c r="K76" s="80">
        <f t="shared" ref="K76:K81" si="3">MROUND(FORECAST(J76,K68:K75,J68:J75),0.1)</f>
        <v>3.4000000000000004</v>
      </c>
      <c r="L76" s="79">
        <v>4.3079999999999998</v>
      </c>
      <c r="M76" s="80">
        <f t="shared" si="2"/>
        <v>7.8000000000000007</v>
      </c>
      <c r="N76" s="80">
        <f t="shared" si="1"/>
        <v>1.7000000000000002</v>
      </c>
      <c r="P76" s="79">
        <v>51.438000000000002</v>
      </c>
      <c r="Q76" s="79">
        <v>49.326999999999998</v>
      </c>
      <c r="R76" s="79">
        <v>37.094000000000001</v>
      </c>
      <c r="S76" s="79">
        <v>36.695</v>
      </c>
      <c r="T76" s="79">
        <v>26.414999999999999</v>
      </c>
      <c r="X76" s="79">
        <v>58.896999999999998</v>
      </c>
      <c r="Y76" s="79">
        <v>138.23699999999999</v>
      </c>
      <c r="Z76" s="80">
        <f>MROUND(FORECAST(X76,Z14:Z75,X14:X75),0.1)</f>
        <v>55.6</v>
      </c>
    </row>
    <row r="77" spans="1:26">
      <c r="A77" s="74">
        <v>44378</v>
      </c>
      <c r="B77" s="79">
        <v>39.179000000000002</v>
      </c>
      <c r="C77" s="79">
        <v>34.884999999999998</v>
      </c>
      <c r="E77" s="79">
        <v>244.39599999999999</v>
      </c>
      <c r="F77" s="79">
        <v>218.494</v>
      </c>
      <c r="G77" s="79">
        <v>25.902000000000001</v>
      </c>
      <c r="H77" s="79">
        <v>258.77</v>
      </c>
      <c r="I77" s="135">
        <f t="shared" si="0"/>
        <v>0.89401626867870188</v>
      </c>
      <c r="J77" s="80">
        <v>3.5</v>
      </c>
      <c r="K77" s="80">
        <f t="shared" si="3"/>
        <v>3.5</v>
      </c>
      <c r="L77" s="79">
        <v>4.8659999999999997</v>
      </c>
      <c r="M77" s="80">
        <f t="shared" si="2"/>
        <v>8</v>
      </c>
      <c r="N77" s="80">
        <f t="shared" si="1"/>
        <v>1.7000000000000002</v>
      </c>
      <c r="P77" s="79">
        <v>53.365000000000002</v>
      </c>
      <c r="Q77" s="79">
        <v>50.61</v>
      </c>
      <c r="R77" s="79">
        <v>45.927999999999997</v>
      </c>
      <c r="S77" s="79">
        <v>31.132999999999999</v>
      </c>
      <c r="T77" s="79">
        <v>22.937999999999999</v>
      </c>
      <c r="X77" s="79">
        <v>104.624</v>
      </c>
      <c r="Y77" s="79">
        <v>52.921999999999997</v>
      </c>
      <c r="Z77" s="80">
        <f>MROUND(FORECAST(X77,Z15:Z76,X15:X76),0.1)</f>
        <v>97.800000000000011</v>
      </c>
    </row>
    <row r="78" spans="1:26">
      <c r="A78" s="74">
        <v>44409</v>
      </c>
      <c r="B78" s="79">
        <v>38.363</v>
      </c>
      <c r="C78" s="79">
        <v>39.51</v>
      </c>
      <c r="E78" s="79">
        <v>229.26499999999999</v>
      </c>
      <c r="F78" s="79">
        <v>217.131</v>
      </c>
      <c r="G78" s="79">
        <v>12.134</v>
      </c>
      <c r="H78" s="79">
        <v>287.80500000000001</v>
      </c>
      <c r="I78" s="135">
        <f t="shared" si="0"/>
        <v>0.94707434628050513</v>
      </c>
      <c r="J78" s="80">
        <v>3.9000000000000004</v>
      </c>
      <c r="K78" s="80">
        <f t="shared" si="3"/>
        <v>3.9000000000000004</v>
      </c>
      <c r="L78" s="80">
        <f>MROUND(FORECAST(K78,L70:L77,K70:K77),0.1)</f>
        <v>4.8000000000000007</v>
      </c>
      <c r="M78" s="80">
        <f t="shared" si="2"/>
        <v>7.8000000000000007</v>
      </c>
      <c r="N78" s="80">
        <f t="shared" ref="N78" si="4">MROUND(FORECAST(M78,N70:N77,M70:M77),0.1)</f>
        <v>1.7000000000000002</v>
      </c>
      <c r="P78" s="79">
        <v>58.045000000000002</v>
      </c>
      <c r="Q78" s="79">
        <v>55.89</v>
      </c>
      <c r="R78" s="79">
        <v>41.734000000000002</v>
      </c>
      <c r="S78" s="79">
        <v>38.296999999999997</v>
      </c>
      <c r="T78" s="79">
        <v>26.457999999999998</v>
      </c>
      <c r="X78" s="79">
        <v>59.470999999999997</v>
      </c>
      <c r="Y78" s="79">
        <v>85.192999999999998</v>
      </c>
      <c r="Z78" s="80">
        <f t="shared" ref="Z78:Z99" si="5">MROUND(FORECAST(X78,Z16:Z77,X16:X77),0.1)</f>
        <v>57.400000000000006</v>
      </c>
    </row>
    <row r="79" spans="1:26">
      <c r="A79" s="74">
        <v>44440</v>
      </c>
      <c r="B79" s="79">
        <v>44.073</v>
      </c>
      <c r="C79" s="79">
        <v>43.173999999999999</v>
      </c>
      <c r="E79" s="79">
        <v>229.43299999999999</v>
      </c>
      <c r="F79" s="79">
        <v>223.89599999999999</v>
      </c>
      <c r="G79" s="79">
        <v>5.5369999999999999</v>
      </c>
      <c r="H79" s="79">
        <v>312.60500000000002</v>
      </c>
      <c r="I79" s="135">
        <f t="shared" si="0"/>
        <v>0.97586659286153254</v>
      </c>
      <c r="J79" s="80">
        <v>3.1</v>
      </c>
      <c r="K79" s="80">
        <f t="shared" si="3"/>
        <v>3</v>
      </c>
      <c r="L79" s="80">
        <f>MROUND(FORECAST(K79,L71:L78,K71:K78),0.1)</f>
        <v>4.2</v>
      </c>
      <c r="M79" s="80">
        <f t="shared" si="2"/>
        <v>8.1</v>
      </c>
      <c r="N79" s="80">
        <f t="shared" ref="N79" si="6">MROUND(FORECAST(M79,N71:N78,M71:M78),0.1)</f>
        <v>1.7000000000000002</v>
      </c>
      <c r="P79" s="79">
        <v>50.683</v>
      </c>
      <c r="Q79" s="79">
        <v>47.451000000000001</v>
      </c>
      <c r="R79" s="79">
        <v>35.838999999999999</v>
      </c>
      <c r="S79" s="79">
        <v>33.213999999999999</v>
      </c>
      <c r="T79" s="79">
        <v>23.661999999999999</v>
      </c>
      <c r="X79" s="79">
        <v>60.832000000000001</v>
      </c>
      <c r="Y79" s="79">
        <v>55.348999999999997</v>
      </c>
      <c r="Z79" s="80">
        <f t="shared" si="5"/>
        <v>59.400000000000006</v>
      </c>
    </row>
    <row r="80" spans="1:26">
      <c r="A80" s="74">
        <v>44470</v>
      </c>
      <c r="B80" s="79">
        <v>39.832999999999998</v>
      </c>
      <c r="C80" s="79">
        <v>53.622999999999998</v>
      </c>
      <c r="E80" s="79">
        <v>229.434</v>
      </c>
      <c r="F80" s="79">
        <v>223.904</v>
      </c>
      <c r="G80" s="79">
        <v>5.53</v>
      </c>
      <c r="H80" s="79">
        <v>303.22699999999998</v>
      </c>
      <c r="I80" s="135">
        <f t="shared" si="0"/>
        <v>0.97589720791164347</v>
      </c>
      <c r="J80" s="80">
        <v>5</v>
      </c>
      <c r="K80" s="80">
        <f t="shared" si="3"/>
        <v>5</v>
      </c>
      <c r="L80" s="79">
        <v>6.1769999999999996</v>
      </c>
      <c r="M80" s="80">
        <f t="shared" si="2"/>
        <v>8.6</v>
      </c>
      <c r="N80" s="80">
        <f t="shared" ref="N80:N83" si="7">MROUND(FORECAST(M80,N72:N79,M72:M79),0.1)</f>
        <v>1.8</v>
      </c>
      <c r="P80" s="79">
        <v>47.9</v>
      </c>
      <c r="Q80" s="79">
        <v>45.695</v>
      </c>
      <c r="R80" s="79">
        <v>38.26</v>
      </c>
      <c r="S80" s="79">
        <v>37.154000000000003</v>
      </c>
      <c r="T80" s="79">
        <v>23.757000000000001</v>
      </c>
      <c r="X80" s="79">
        <v>66.738</v>
      </c>
      <c r="Y80" s="79">
        <v>61.65</v>
      </c>
      <c r="Z80" s="80">
        <f t="shared" si="5"/>
        <v>65</v>
      </c>
    </row>
    <row r="81" spans="1:26">
      <c r="A81" s="74">
        <v>44501</v>
      </c>
      <c r="B81" s="79">
        <v>37.832000000000001</v>
      </c>
      <c r="C81" s="79">
        <v>70.558999999999997</v>
      </c>
      <c r="E81" s="79">
        <v>236.38800000000001</v>
      </c>
      <c r="F81" s="79">
        <v>224.78800000000001</v>
      </c>
      <c r="G81" s="79">
        <v>11.6</v>
      </c>
      <c r="H81" s="79">
        <v>267.42</v>
      </c>
      <c r="I81" s="135">
        <f t="shared" si="0"/>
        <v>0.95092813509992047</v>
      </c>
      <c r="J81" s="80">
        <v>3.1</v>
      </c>
      <c r="K81" s="80">
        <f t="shared" si="3"/>
        <v>3.1</v>
      </c>
      <c r="L81" s="80">
        <f>MROUND(FORECAST(K81,L73:L80,K73:K80),0.1)</f>
        <v>4.3</v>
      </c>
      <c r="M81" s="80">
        <f t="shared" si="2"/>
        <v>7.9</v>
      </c>
      <c r="N81" s="80">
        <f t="shared" si="7"/>
        <v>1.7000000000000002</v>
      </c>
      <c r="P81" s="79">
        <v>47.945999999999998</v>
      </c>
      <c r="Q81" s="79">
        <v>46.289000000000001</v>
      </c>
      <c r="R81" s="79">
        <v>39.515000000000001</v>
      </c>
      <c r="S81" s="79">
        <v>38.098999999999997</v>
      </c>
      <c r="T81" s="79">
        <v>25.113</v>
      </c>
      <c r="X81" s="79">
        <v>59.31</v>
      </c>
      <c r="Y81" s="79">
        <v>83.706999999999994</v>
      </c>
      <c r="Z81" s="80">
        <f t="shared" si="5"/>
        <v>59.2</v>
      </c>
    </row>
    <row r="82" spans="1:26">
      <c r="A82" s="74">
        <v>44531</v>
      </c>
      <c r="B82" s="79">
        <v>39.923999999999999</v>
      </c>
      <c r="C82" s="79">
        <v>66.930999999999997</v>
      </c>
      <c r="E82" s="79">
        <v>212.94300000000001</v>
      </c>
      <c r="F82" s="79">
        <v>208.21299999999999</v>
      </c>
      <c r="G82" s="79">
        <v>4.7300000000000004</v>
      </c>
      <c r="H82" s="79">
        <v>305.16300000000001</v>
      </c>
      <c r="I82" s="135">
        <f t="shared" si="0"/>
        <v>0.97778748303536622</v>
      </c>
      <c r="J82" s="80">
        <v>1.7000000000000002</v>
      </c>
      <c r="K82" s="80">
        <f t="shared" ref="K82" si="8">MROUND(FORECAST(J82,K74:K81,J74:J81),0.1)</f>
        <v>1.6</v>
      </c>
      <c r="L82" s="79">
        <v>6.0350000000000001</v>
      </c>
      <c r="M82" s="79">
        <v>1.988</v>
      </c>
      <c r="N82" s="80">
        <f t="shared" si="7"/>
        <v>1</v>
      </c>
      <c r="P82" s="79">
        <v>40.71</v>
      </c>
      <c r="Q82" s="79">
        <v>38.722999999999999</v>
      </c>
      <c r="R82" s="79">
        <v>36.609000000000002</v>
      </c>
      <c r="S82" s="80">
        <f>MROUND(FORECAST(P82,S74:S81,P74:P81),0.1)-15</f>
        <v>29.200000000000003</v>
      </c>
      <c r="T82" s="79">
        <v>22.222000000000001</v>
      </c>
      <c r="X82" s="79">
        <v>67.082999999999998</v>
      </c>
      <c r="Y82" s="79">
        <v>78.947000000000003</v>
      </c>
      <c r="Z82" s="106">
        <f t="shared" si="5"/>
        <v>66.2</v>
      </c>
    </row>
    <row r="83" spans="1:26">
      <c r="A83" s="74">
        <v>44562</v>
      </c>
      <c r="B83" s="79">
        <v>44.722999999999999</v>
      </c>
      <c r="C83" s="79">
        <v>60.478999999999999</v>
      </c>
      <c r="E83" s="79">
        <v>205.267</v>
      </c>
      <c r="F83" s="79">
        <v>200.79900000000001</v>
      </c>
      <c r="G83" s="80">
        <f>MROUND(FORECAST(H83,G75:G82,H75:H82),0.1)</f>
        <v>4.9000000000000004</v>
      </c>
      <c r="H83" s="79">
        <v>303.77999999999997</v>
      </c>
      <c r="I83" s="135">
        <f t="shared" ref="I83:I96" si="9">F83/E83</f>
        <v>0.97823322794214373</v>
      </c>
      <c r="J83" s="80">
        <v>4.5</v>
      </c>
      <c r="K83" s="80">
        <f t="shared" ref="K83" si="10">MROUND(FORECAST(J83,K75:K82,J75:J82),0.1)</f>
        <v>4.5</v>
      </c>
      <c r="L83" s="80">
        <f>MROUND(FORECAST(K83,L75:L82,K75:K82),0.1)</f>
        <v>5.2</v>
      </c>
      <c r="M83" s="79">
        <v>9.9160000000000004</v>
      </c>
      <c r="N83" s="80">
        <f t="shared" si="7"/>
        <v>1.9000000000000001</v>
      </c>
      <c r="P83" s="79">
        <v>34.545999999999999</v>
      </c>
      <c r="Q83" s="79">
        <v>32.893999999999998</v>
      </c>
      <c r="R83" s="79">
        <v>29.42</v>
      </c>
      <c r="S83" s="80">
        <f>MROUND(FORECAST(P83,S75:S82,P75:P82),0.1)-10</f>
        <v>27.5</v>
      </c>
      <c r="T83" s="79">
        <v>22.343</v>
      </c>
      <c r="V83" s="79">
        <v>36.914000000000001</v>
      </c>
      <c r="W83" s="79">
        <v>36.427</v>
      </c>
      <c r="X83" s="79">
        <v>48.796999999999997</v>
      </c>
      <c r="Y83" s="79">
        <v>86.094999999999999</v>
      </c>
      <c r="Z83" s="106">
        <f t="shared" si="5"/>
        <v>49.7</v>
      </c>
    </row>
    <row r="84" spans="1:26">
      <c r="A84" s="74">
        <v>44593</v>
      </c>
      <c r="B84" s="79">
        <v>44.418999999999997</v>
      </c>
      <c r="C84" s="79">
        <v>56.191000000000003</v>
      </c>
      <c r="E84" s="79">
        <v>200.96899999999999</v>
      </c>
      <c r="F84" s="79">
        <v>196.596</v>
      </c>
      <c r="G84" s="79">
        <v>4.3730000000000002</v>
      </c>
      <c r="H84" s="79">
        <v>376.45100000000002</v>
      </c>
      <c r="I84" s="135">
        <f t="shared" si="9"/>
        <v>0.97824042514019582</v>
      </c>
      <c r="J84" s="80">
        <v>2.9000000000000004</v>
      </c>
      <c r="K84" s="80">
        <f t="shared" ref="K84" si="11">MROUND(FORECAST(J84,K76:K83,J76:J83),0.1)</f>
        <v>2.9000000000000004</v>
      </c>
      <c r="L84" s="79">
        <v>8.1989999999999998</v>
      </c>
      <c r="M84" s="79">
        <v>5.3280000000000003</v>
      </c>
      <c r="N84" s="79">
        <v>5.3280000000000003</v>
      </c>
      <c r="P84" s="79">
        <v>37.83</v>
      </c>
      <c r="Q84" s="79">
        <v>36.113</v>
      </c>
      <c r="R84" s="79">
        <v>34.433</v>
      </c>
      <c r="S84" s="80">
        <f>MROUND(FORECAST(P84,S76:S83,P76:P83),0.1)-4</f>
        <v>25.700000000000003</v>
      </c>
      <c r="T84" s="79">
        <v>20.69</v>
      </c>
      <c r="V84" s="79">
        <v>34.524000000000001</v>
      </c>
      <c r="W84" s="79">
        <v>33.988999999999997</v>
      </c>
      <c r="X84" s="79">
        <v>53.174999999999997</v>
      </c>
      <c r="Y84" s="79">
        <v>95.334000000000003</v>
      </c>
      <c r="Z84" s="106">
        <f t="shared" si="5"/>
        <v>53.800000000000004</v>
      </c>
    </row>
    <row r="85" spans="1:26">
      <c r="A85" s="74">
        <v>44621</v>
      </c>
      <c r="B85" s="79">
        <v>46.006</v>
      </c>
      <c r="C85" s="79">
        <v>58.658000000000001</v>
      </c>
      <c r="E85" s="79">
        <v>235.095</v>
      </c>
      <c r="F85" s="79">
        <v>226.185</v>
      </c>
      <c r="G85" s="79">
        <v>8.91</v>
      </c>
      <c r="H85" s="79">
        <v>404.46600000000001</v>
      </c>
      <c r="I85" s="135">
        <f t="shared" si="9"/>
        <v>0.96210042748676072</v>
      </c>
      <c r="J85" s="80">
        <v>3.3000000000000003</v>
      </c>
      <c r="K85" s="80">
        <f t="shared" ref="K85" si="12">MROUND(FORECAST(J85,K77:K84,J77:J84),0.1)</f>
        <v>3.3000000000000003</v>
      </c>
      <c r="L85" s="79">
        <v>1.8240000000000001</v>
      </c>
      <c r="M85" s="80">
        <f t="shared" ref="M85" si="13">MROUND(FORECAST(L85,M77:M84,L77:L84),0.1)</f>
        <v>10.4</v>
      </c>
      <c r="N85" s="80">
        <f t="shared" ref="N85" si="14">MROUND(FORECAST(M85,N77:N84,M77:M84),0.1)</f>
        <v>1.9000000000000001</v>
      </c>
      <c r="P85" s="79">
        <v>41.720999999999997</v>
      </c>
      <c r="Q85" s="79">
        <v>40.929000000000002</v>
      </c>
      <c r="R85" s="79">
        <v>37.243000000000002</v>
      </c>
      <c r="S85" s="80">
        <f>MROUND(FORECAST(P85,S77:S84,P77:P84),0.1)-5</f>
        <v>25.3</v>
      </c>
      <c r="T85" s="79">
        <v>19.265999999999998</v>
      </c>
      <c r="V85" s="79">
        <v>40.917999999999999</v>
      </c>
      <c r="W85" s="79">
        <v>40.351999999999997</v>
      </c>
      <c r="X85" s="79">
        <v>50.796999999999997</v>
      </c>
      <c r="Y85" s="79">
        <v>83.828999999999994</v>
      </c>
      <c r="Z85" s="106">
        <f t="shared" si="5"/>
        <v>51.6</v>
      </c>
    </row>
    <row r="86" spans="1:26">
      <c r="A86" s="74">
        <v>44652</v>
      </c>
      <c r="B86" s="79">
        <v>39.515999999999998</v>
      </c>
      <c r="C86" s="79">
        <v>63.768000000000001</v>
      </c>
      <c r="E86" s="79">
        <v>232.64</v>
      </c>
      <c r="F86" s="79">
        <v>226.905</v>
      </c>
      <c r="G86" s="79">
        <v>5.7350000000000003</v>
      </c>
      <c r="H86" s="79">
        <v>372.291</v>
      </c>
      <c r="I86" s="135">
        <f t="shared" si="9"/>
        <v>0.97534817744154068</v>
      </c>
      <c r="J86" s="80">
        <v>4.5</v>
      </c>
      <c r="K86" s="80">
        <f t="shared" ref="K86" si="15">MROUND(FORECAST(J86,K78:K85,J78:J85),0.1)</f>
        <v>4.5</v>
      </c>
      <c r="L86" s="80">
        <f>MROUND(FORECAST(K86,L78:L85,K78:K85),0.1)</f>
        <v>5</v>
      </c>
      <c r="M86" s="96">
        <v>9.9450000000000003</v>
      </c>
      <c r="N86" s="80">
        <f>MROUND(FORECAST(K86,N78:N85,K78:K85),0.1)</f>
        <v>2.1</v>
      </c>
      <c r="P86" s="79">
        <v>42.213000000000001</v>
      </c>
      <c r="Q86" s="79">
        <v>39.78</v>
      </c>
      <c r="R86" s="79">
        <v>35.701000000000001</v>
      </c>
      <c r="S86" s="80">
        <f>MROUND(FORECAST(P86,S78:S85,P78:P85),0.1)-5</f>
        <v>25.200000000000003</v>
      </c>
      <c r="T86" s="79">
        <v>18.539000000000001</v>
      </c>
      <c r="V86" s="79">
        <v>40.996000000000002</v>
      </c>
      <c r="W86" s="79">
        <v>40.415999999999997</v>
      </c>
      <c r="X86" s="79">
        <v>64.447999999999993</v>
      </c>
      <c r="Y86" s="79">
        <v>108.248</v>
      </c>
      <c r="Z86" s="106">
        <f t="shared" si="5"/>
        <v>64.400000000000006</v>
      </c>
    </row>
    <row r="87" spans="1:26">
      <c r="A87" s="74">
        <v>44682</v>
      </c>
      <c r="B87" s="79">
        <v>41.837000000000003</v>
      </c>
      <c r="C87" s="79">
        <v>60.22</v>
      </c>
      <c r="E87" s="79">
        <v>232.57599999999999</v>
      </c>
      <c r="F87" s="79">
        <v>226.714</v>
      </c>
      <c r="G87" s="79">
        <v>5.8620000000000001</v>
      </c>
      <c r="H87" s="79">
        <v>398.95800000000003</v>
      </c>
      <c r="I87" s="135">
        <f t="shared" si="9"/>
        <v>0.97479533571821686</v>
      </c>
      <c r="J87" s="79">
        <v>2.1179999999999999</v>
      </c>
      <c r="K87" s="79">
        <v>1.988</v>
      </c>
      <c r="L87" s="79">
        <v>6.6059999999999999</v>
      </c>
      <c r="M87" s="79">
        <v>10.404999999999999</v>
      </c>
      <c r="N87" s="80">
        <f>MROUND(FORECAST(K87,N79:N86,K79:K86),0.1)</f>
        <v>2.2000000000000002</v>
      </c>
      <c r="P87" s="79">
        <v>41.14</v>
      </c>
      <c r="Q87" s="79">
        <v>39.531999999999996</v>
      </c>
      <c r="R87" s="79">
        <v>31.193000000000001</v>
      </c>
      <c r="S87" s="80">
        <f>MROUND(FORECAST(P87,S79:S86,P79:P86),0.1)-5</f>
        <v>23.900000000000002</v>
      </c>
      <c r="T87" s="79">
        <v>20.567</v>
      </c>
      <c r="V87" s="79">
        <v>48.003</v>
      </c>
      <c r="W87" s="79">
        <v>47.368000000000002</v>
      </c>
      <c r="X87" s="79">
        <v>72.192999999999998</v>
      </c>
      <c r="Y87" s="79">
        <v>81.927000000000007</v>
      </c>
      <c r="Z87" s="106">
        <f t="shared" si="5"/>
        <v>72.5</v>
      </c>
    </row>
    <row r="88" spans="1:26">
      <c r="A88" s="74">
        <v>44713</v>
      </c>
      <c r="B88" s="79">
        <v>41.293999999999997</v>
      </c>
      <c r="C88" s="79">
        <v>60.323</v>
      </c>
      <c r="E88" s="79">
        <v>232.31200000000001</v>
      </c>
      <c r="F88" s="79">
        <v>226.51599999999999</v>
      </c>
      <c r="G88" s="79">
        <v>5.7960000000000003</v>
      </c>
      <c r="H88" s="79">
        <v>371.33800000000002</v>
      </c>
      <c r="I88" s="135">
        <f t="shared" si="9"/>
        <v>0.97505079376011561</v>
      </c>
      <c r="J88" s="80">
        <f t="shared" ref="J88:J98" si="16">MROUND(FORECAST(M88,J80:J87,M80:M87),0.1)</f>
        <v>3.5</v>
      </c>
      <c r="K88" s="80">
        <f t="shared" ref="K88" si="17">MROUND(FORECAST(J88,K80:K87,J80:J87),0.1)</f>
        <v>3.5</v>
      </c>
      <c r="L88" s="79">
        <v>4.7409999999999997</v>
      </c>
      <c r="M88" s="79">
        <v>8.657</v>
      </c>
      <c r="N88" s="80">
        <f>MROUND(FORECAST(K88,N80:N87,K80:K87),0.1)</f>
        <v>2.2000000000000002</v>
      </c>
      <c r="P88" s="79">
        <v>39.472999999999999</v>
      </c>
      <c r="Q88" s="79">
        <v>37.627000000000002</v>
      </c>
      <c r="R88" s="79">
        <v>37.957999999999998</v>
      </c>
      <c r="S88" s="79">
        <v>22.448</v>
      </c>
      <c r="T88" s="79">
        <v>16.898</v>
      </c>
      <c r="V88" s="79">
        <v>41.905999999999999</v>
      </c>
      <c r="W88" s="79">
        <v>41.438000000000002</v>
      </c>
      <c r="X88" s="79">
        <v>51.426000000000002</v>
      </c>
      <c r="Y88" s="79">
        <v>69.367000000000004</v>
      </c>
      <c r="Z88" s="106">
        <f t="shared" si="5"/>
        <v>52.1</v>
      </c>
    </row>
    <row r="89" spans="1:26">
      <c r="A89" s="74">
        <v>44743</v>
      </c>
      <c r="B89" s="79">
        <v>38.637999999999998</v>
      </c>
      <c r="C89" s="79">
        <v>54.01</v>
      </c>
      <c r="E89" s="79">
        <v>225.04400000000001</v>
      </c>
      <c r="F89" s="79">
        <v>218.96100000000001</v>
      </c>
      <c r="G89" s="79">
        <v>6.0830000000000002</v>
      </c>
      <c r="H89" s="79">
        <v>362.041</v>
      </c>
      <c r="I89" s="135">
        <f t="shared" si="9"/>
        <v>0.97296973036383994</v>
      </c>
      <c r="J89" s="80">
        <f t="shared" si="16"/>
        <v>3.1</v>
      </c>
      <c r="K89" s="80">
        <f t="shared" ref="K89" si="18">MROUND(FORECAST(J89,K81:K88,J81:J88),0.1)</f>
        <v>3.1</v>
      </c>
      <c r="L89" s="79">
        <v>9.3109999999999999</v>
      </c>
      <c r="M89" s="79">
        <v>7.7930000000000001</v>
      </c>
      <c r="N89" s="80">
        <f>MROUND(FORECAST(K89,N64:N88,K64:K88),0.1)</f>
        <v>1.9000000000000001</v>
      </c>
      <c r="P89" s="79">
        <v>53.338000000000001</v>
      </c>
      <c r="Q89" s="79">
        <v>51.542000000000002</v>
      </c>
      <c r="R89" s="79">
        <v>42.167000000000002</v>
      </c>
      <c r="S89" s="80">
        <f>MROUND(FORECAST(P89,S81:S88,P81:P88),0.1)-10</f>
        <v>27</v>
      </c>
      <c r="T89" s="79">
        <v>21.844000000000001</v>
      </c>
      <c r="V89" s="79">
        <v>49.320999999999998</v>
      </c>
      <c r="W89" s="79">
        <v>48.607999999999997</v>
      </c>
      <c r="X89" s="79">
        <v>70.914000000000001</v>
      </c>
      <c r="Y89" s="79">
        <v>103.577</v>
      </c>
      <c r="Z89" s="106">
        <f t="shared" si="5"/>
        <v>72.7</v>
      </c>
    </row>
    <row r="90" spans="1:26">
      <c r="A90" s="74">
        <v>44774</v>
      </c>
      <c r="B90" s="79">
        <v>41.835000000000001</v>
      </c>
      <c r="C90" s="79">
        <v>53.192</v>
      </c>
      <c r="E90" s="79">
        <v>233.196</v>
      </c>
      <c r="F90" s="79">
        <v>225.49299999999999</v>
      </c>
      <c r="G90" s="79">
        <v>7.7030000000000003</v>
      </c>
      <c r="H90" s="79">
        <v>336.49299999999999</v>
      </c>
      <c r="I90" s="135">
        <f t="shared" si="9"/>
        <v>0.9669677009897254</v>
      </c>
      <c r="J90" s="80">
        <f t="shared" si="16"/>
        <v>2.9000000000000004</v>
      </c>
      <c r="K90" s="80">
        <f t="shared" ref="K90" si="19">MROUND(FORECAST(J90,K82:K89,J82:J89),0.1)</f>
        <v>2.9000000000000004</v>
      </c>
      <c r="L90" s="80">
        <f>MROUND(FORECAST(K90,L82:L89,K82:K89),0.1)</f>
        <v>6</v>
      </c>
      <c r="M90" s="79">
        <v>6.7629999999999999</v>
      </c>
      <c r="N90" s="80">
        <f>MROUND(FORECAST(K90,N65:N89,K65:K89),0.1)</f>
        <v>1.9000000000000001</v>
      </c>
      <c r="P90" s="79">
        <v>55.84</v>
      </c>
      <c r="Q90" s="79">
        <v>54.030999999999999</v>
      </c>
      <c r="R90" s="79">
        <v>34.024000000000001</v>
      </c>
      <c r="S90" s="80">
        <f>MROUND(FORECAST(P90,S82:S89,P82:P89),0.1)+20</f>
        <v>46.3</v>
      </c>
      <c r="T90" s="79">
        <v>35.776000000000003</v>
      </c>
      <c r="V90" s="79">
        <v>41.784999999999997</v>
      </c>
      <c r="W90" s="79">
        <v>41.213000000000001</v>
      </c>
      <c r="X90" s="79">
        <v>76.808999999999997</v>
      </c>
      <c r="Y90" s="79">
        <v>89.938999999999993</v>
      </c>
      <c r="Z90" s="106">
        <f t="shared" si="5"/>
        <v>79.100000000000009</v>
      </c>
    </row>
    <row r="91" spans="1:26">
      <c r="A91" s="74">
        <v>44805</v>
      </c>
      <c r="B91" s="79">
        <v>40.789000000000001</v>
      </c>
      <c r="C91" s="79">
        <v>43.552999999999997</v>
      </c>
      <c r="E91" s="79">
        <v>229.00800000000001</v>
      </c>
      <c r="F91" s="79">
        <v>222.14400000000001</v>
      </c>
      <c r="G91" s="79">
        <v>6.8639999999999999</v>
      </c>
      <c r="H91" s="79">
        <v>353.14699999999999</v>
      </c>
      <c r="I91" s="135">
        <f t="shared" si="9"/>
        <v>0.97002724795640327</v>
      </c>
      <c r="J91" s="80">
        <f t="shared" si="16"/>
        <v>2.8000000000000003</v>
      </c>
      <c r="K91" s="80">
        <f t="shared" ref="K91:K92" si="20">MROUND(FORECAST(J91,K83:K90,J83:J90),0.1)</f>
        <v>2.8000000000000003</v>
      </c>
      <c r="L91" s="80">
        <f>MROUND(FORECAST(K91,L83:L90,K83:K90),0.1)</f>
        <v>6.4</v>
      </c>
      <c r="M91" s="79">
        <v>4.16</v>
      </c>
      <c r="N91" s="80">
        <f>MROUND(FORECAST(K91,N66:N90,K66:K90),0.1)</f>
        <v>1.9000000000000001</v>
      </c>
      <c r="P91" s="79">
        <v>32.256999999999998</v>
      </c>
      <c r="Q91" s="79">
        <v>31.992000000000001</v>
      </c>
      <c r="R91" s="79">
        <v>28.922999999999998</v>
      </c>
      <c r="S91" s="80">
        <f>MROUND(FORECAST(P91,S83:S90,P83:P90),0.1)+25</f>
        <v>45.1</v>
      </c>
      <c r="T91" s="79">
        <v>36.771999999999998</v>
      </c>
      <c r="V91" s="79">
        <v>43.015000000000001</v>
      </c>
      <c r="W91" s="79">
        <v>42.353000000000002</v>
      </c>
      <c r="X91" s="79">
        <v>53.868000000000002</v>
      </c>
      <c r="Y91" s="79">
        <v>91.128</v>
      </c>
      <c r="Z91" s="106">
        <f t="shared" si="5"/>
        <v>55.2</v>
      </c>
    </row>
    <row r="92" spans="1:26">
      <c r="A92" s="74">
        <v>44835</v>
      </c>
      <c r="B92" s="79">
        <v>42.072000000000003</v>
      </c>
      <c r="C92" s="79">
        <v>50.988999999999997</v>
      </c>
      <c r="E92" s="79">
        <v>240.96700000000001</v>
      </c>
      <c r="F92" s="79">
        <v>234.43700000000001</v>
      </c>
      <c r="G92" s="79">
        <v>6.53</v>
      </c>
      <c r="H92" s="79">
        <v>385.13200000000001</v>
      </c>
      <c r="I92" s="135">
        <f t="shared" si="9"/>
        <v>0.97290085364385992</v>
      </c>
      <c r="J92" s="80">
        <f t="shared" si="16"/>
        <v>2.9000000000000004</v>
      </c>
      <c r="K92" s="80">
        <f t="shared" si="20"/>
        <v>2.9000000000000004</v>
      </c>
      <c r="L92" s="79">
        <v>4.6529999999999996</v>
      </c>
      <c r="M92" s="79">
        <v>4.2450000000000001</v>
      </c>
      <c r="N92" s="80">
        <f t="shared" ref="N92:N99" si="21">MROUND(FORECAST(M92,N84:N91,M84:M91),0.1)</f>
        <v>3.1</v>
      </c>
      <c r="P92" s="79">
        <v>40.863</v>
      </c>
      <c r="Q92" s="79">
        <v>39.865000000000002</v>
      </c>
      <c r="R92" s="79">
        <v>34.207999999999998</v>
      </c>
      <c r="S92" s="79">
        <v>48.292999999999999</v>
      </c>
      <c r="T92" s="79">
        <v>40.701999999999998</v>
      </c>
      <c r="V92" s="79">
        <v>38.585000000000001</v>
      </c>
      <c r="W92" s="79">
        <v>37.756</v>
      </c>
      <c r="X92" s="79">
        <v>57.45</v>
      </c>
      <c r="Y92" s="79">
        <v>78.239999999999995</v>
      </c>
      <c r="Z92" s="106">
        <f t="shared" si="5"/>
        <v>59.2</v>
      </c>
    </row>
    <row r="93" spans="1:26">
      <c r="A93" s="74">
        <v>44866</v>
      </c>
      <c r="B93" s="79">
        <v>36.786000000000001</v>
      </c>
      <c r="C93" s="79">
        <v>62.253</v>
      </c>
      <c r="E93" s="79">
        <v>232.91200000000001</v>
      </c>
      <c r="F93" s="79">
        <v>222.13499999999999</v>
      </c>
      <c r="G93" s="79">
        <v>10.776999999999999</v>
      </c>
      <c r="H93" s="79">
        <v>409.71100000000001</v>
      </c>
      <c r="I93" s="135">
        <f t="shared" si="9"/>
        <v>0.95372930548876822</v>
      </c>
      <c r="J93" s="80">
        <f t="shared" si="16"/>
        <v>3</v>
      </c>
      <c r="K93" s="80">
        <f t="shared" ref="K93" si="22">MROUND(FORECAST(J93,K85:K92,J85:J92),0.1)</f>
        <v>3</v>
      </c>
      <c r="L93" s="79">
        <v>3.43</v>
      </c>
      <c r="M93" s="79">
        <v>5.28</v>
      </c>
      <c r="N93" s="80">
        <f t="shared" si="21"/>
        <v>2.3000000000000003</v>
      </c>
      <c r="P93" s="79">
        <v>46.927</v>
      </c>
      <c r="Q93" s="79">
        <v>45.999000000000002</v>
      </c>
      <c r="R93" s="80">
        <f t="shared" ref="R93" si="23">MROUND(T92+Q93-T93,1)</f>
        <v>36</v>
      </c>
      <c r="S93" s="79">
        <v>45.616</v>
      </c>
      <c r="T93" s="79">
        <v>50.728999999999999</v>
      </c>
      <c r="V93" s="79">
        <v>38.408999999999999</v>
      </c>
      <c r="W93" s="79">
        <v>37.926000000000002</v>
      </c>
      <c r="X93" s="79">
        <v>50.000999999999998</v>
      </c>
      <c r="Y93" s="79">
        <v>101.04300000000001</v>
      </c>
      <c r="Z93" s="106">
        <f t="shared" si="5"/>
        <v>51.300000000000004</v>
      </c>
    </row>
    <row r="94" spans="1:26">
      <c r="A94" s="74">
        <v>44896</v>
      </c>
      <c r="B94" s="79">
        <v>31.588999999999999</v>
      </c>
      <c r="C94" s="79">
        <v>62.652999999999999</v>
      </c>
      <c r="E94" s="79">
        <v>193.22900000000001</v>
      </c>
      <c r="F94" s="79">
        <v>182.989</v>
      </c>
      <c r="G94" s="79">
        <v>10.24</v>
      </c>
      <c r="H94" s="79">
        <v>377.887</v>
      </c>
      <c r="I94" s="135">
        <f t="shared" si="9"/>
        <v>0.94700588420992704</v>
      </c>
      <c r="J94" s="80">
        <f t="shared" si="16"/>
        <v>3.1</v>
      </c>
      <c r="K94" s="80">
        <f t="shared" ref="K94" si="24">MROUND(FORECAST(J94,K86:K93,J86:J93),0.1)</f>
        <v>3.1</v>
      </c>
      <c r="L94" s="79">
        <v>4.0199999999999996</v>
      </c>
      <c r="M94" s="79">
        <v>7.1079999999999997</v>
      </c>
      <c r="N94" s="80">
        <f t="shared" si="21"/>
        <v>2.2000000000000002</v>
      </c>
      <c r="P94" s="79">
        <v>30.984000000000002</v>
      </c>
      <c r="Q94" s="79">
        <v>29.869</v>
      </c>
      <c r="R94" s="79">
        <v>29.082000000000001</v>
      </c>
      <c r="S94" s="79">
        <v>46.631999999999998</v>
      </c>
      <c r="T94" s="79">
        <v>48.472999999999999</v>
      </c>
      <c r="V94" s="79">
        <v>40.036000000000001</v>
      </c>
      <c r="W94" s="79">
        <v>39.57</v>
      </c>
      <c r="X94" s="79">
        <v>46.645000000000003</v>
      </c>
      <c r="Y94" s="79">
        <v>98.918999999999997</v>
      </c>
      <c r="Z94" s="106">
        <f t="shared" si="5"/>
        <v>48</v>
      </c>
    </row>
    <row r="95" spans="1:26">
      <c r="A95" s="74">
        <v>44927</v>
      </c>
      <c r="B95" s="79">
        <v>26.809000000000001</v>
      </c>
      <c r="C95" s="79">
        <v>52.523000000000003</v>
      </c>
      <c r="E95" s="79">
        <v>203.15600000000001</v>
      </c>
      <c r="F95" s="79">
        <v>198.63499999999999</v>
      </c>
      <c r="G95" s="79">
        <v>4.5209999999999999</v>
      </c>
      <c r="H95" s="79">
        <v>342.69400000000002</v>
      </c>
      <c r="I95" s="135">
        <f t="shared" si="9"/>
        <v>0.97774616550827931</v>
      </c>
      <c r="J95" s="80">
        <f t="shared" si="16"/>
        <v>2.8000000000000003</v>
      </c>
      <c r="K95" s="80">
        <f t="shared" ref="K95" si="25">MROUND(FORECAST(J95,K87:K94,J87:J94),0.1)</f>
        <v>2.8000000000000003</v>
      </c>
      <c r="L95" s="79">
        <v>5.4589999999999996</v>
      </c>
      <c r="M95" s="79">
        <v>8.85</v>
      </c>
      <c r="N95" s="80">
        <f t="shared" si="21"/>
        <v>2.1</v>
      </c>
      <c r="P95" s="79">
        <v>33.405999999999999</v>
      </c>
      <c r="Q95" s="79">
        <v>32.289000000000001</v>
      </c>
      <c r="R95" s="79">
        <v>39.088999999999999</v>
      </c>
      <c r="S95" s="79">
        <v>54.865000000000002</v>
      </c>
      <c r="T95" s="79">
        <v>39.216999999999999</v>
      </c>
      <c r="V95" s="79">
        <v>40.834000000000003</v>
      </c>
      <c r="W95" s="79">
        <v>40.36</v>
      </c>
      <c r="X95" s="79">
        <v>46.167999999999999</v>
      </c>
      <c r="Y95" s="79">
        <v>72.844999999999999</v>
      </c>
      <c r="Z95" s="106">
        <f t="shared" si="5"/>
        <v>47.900000000000006</v>
      </c>
    </row>
    <row r="96" spans="1:26">
      <c r="A96" s="74">
        <v>44958</v>
      </c>
      <c r="B96" s="79">
        <v>24.699000000000002</v>
      </c>
      <c r="C96" s="79">
        <v>55.149000000000001</v>
      </c>
      <c r="E96" s="79">
        <v>193.523</v>
      </c>
      <c r="F96" s="79">
        <v>190.97399999999999</v>
      </c>
      <c r="G96" s="79">
        <v>2.5489999999999999</v>
      </c>
      <c r="H96" s="79">
        <v>339.58199999999999</v>
      </c>
      <c r="I96" s="135">
        <f t="shared" si="9"/>
        <v>0.98682843899691508</v>
      </c>
      <c r="J96" s="80">
        <f t="shared" si="16"/>
        <v>3.3000000000000003</v>
      </c>
      <c r="K96" s="80">
        <f t="shared" ref="K96" si="26">MROUND(FORECAST(J96,K88:K95,J88:J95),0.1)</f>
        <v>3.3000000000000003</v>
      </c>
      <c r="L96" s="79">
        <v>4.899</v>
      </c>
      <c r="M96" s="79">
        <v>11.444000000000001</v>
      </c>
      <c r="N96" s="80">
        <f t="shared" si="21"/>
        <v>1.8</v>
      </c>
      <c r="P96" s="79">
        <v>46.912999999999997</v>
      </c>
      <c r="Q96" s="79">
        <v>45.343000000000004</v>
      </c>
      <c r="R96" s="79">
        <v>34.610999999999997</v>
      </c>
      <c r="S96" s="79">
        <v>54.115000000000002</v>
      </c>
      <c r="T96" s="79">
        <v>47.606000000000002</v>
      </c>
      <c r="V96" s="79">
        <v>47.250999999999998</v>
      </c>
      <c r="W96" s="79">
        <v>46.651000000000003</v>
      </c>
      <c r="X96" s="79">
        <v>50.381999999999998</v>
      </c>
      <c r="Y96" s="79">
        <v>74.623999999999995</v>
      </c>
      <c r="Z96" s="106">
        <f t="shared" si="5"/>
        <v>52.2</v>
      </c>
    </row>
    <row r="97" spans="1:26">
      <c r="A97" s="74">
        <v>44986</v>
      </c>
      <c r="B97" s="79">
        <v>30.97</v>
      </c>
      <c r="C97" s="79">
        <v>57.765999999999998</v>
      </c>
      <c r="E97" s="79">
        <v>212.21700000000001</v>
      </c>
      <c r="F97" s="79">
        <v>210.37</v>
      </c>
      <c r="G97" s="79">
        <v>1.847</v>
      </c>
      <c r="H97" s="79">
        <v>349.65800000000002</v>
      </c>
      <c r="I97" s="135">
        <f t="shared" ref="I97:I124" si="27">F97/E97</f>
        <v>0.99129664447240318</v>
      </c>
      <c r="J97" s="80">
        <f t="shared" si="16"/>
        <v>3.2</v>
      </c>
      <c r="K97" s="80">
        <f t="shared" ref="K97" si="28">MROUND(FORECAST(J97,K89:K96,J89:J96),0.1)</f>
        <v>3.2</v>
      </c>
      <c r="L97" s="79">
        <v>3.782</v>
      </c>
      <c r="M97" s="79">
        <v>11.837999999999999</v>
      </c>
      <c r="N97" s="80">
        <f t="shared" si="21"/>
        <v>1.7000000000000002</v>
      </c>
      <c r="P97" s="79">
        <v>44.284999999999997</v>
      </c>
      <c r="Q97" s="79">
        <v>43.4</v>
      </c>
      <c r="R97" s="80">
        <f t="shared" ref="R97:R99" si="29">MROUND(T96+Q97-T97,1)</f>
        <v>41</v>
      </c>
      <c r="S97" s="79">
        <v>57.951999999999998</v>
      </c>
      <c r="T97" s="79">
        <v>50.454999999999998</v>
      </c>
      <c r="V97" s="79">
        <v>32.134999999999998</v>
      </c>
      <c r="W97" s="79">
        <v>31.55</v>
      </c>
      <c r="X97" s="79">
        <v>41.167000000000002</v>
      </c>
      <c r="Y97" s="79">
        <v>78.120999999999995</v>
      </c>
      <c r="Z97" s="106">
        <f t="shared" si="5"/>
        <v>43</v>
      </c>
    </row>
    <row r="98" spans="1:26">
      <c r="A98" s="74">
        <v>45017</v>
      </c>
      <c r="B98" s="79">
        <v>24.541</v>
      </c>
      <c r="C98" s="79">
        <v>51.052999999999997</v>
      </c>
      <c r="E98" s="79">
        <v>170.12299999999999</v>
      </c>
      <c r="F98" s="79">
        <v>165.93100000000001</v>
      </c>
      <c r="G98" s="79">
        <v>4.1920000000000002</v>
      </c>
      <c r="H98" s="79">
        <v>339.13299999999998</v>
      </c>
      <c r="I98" s="135">
        <f t="shared" si="27"/>
        <v>0.97535900495523842</v>
      </c>
      <c r="J98" s="80">
        <f t="shared" si="16"/>
        <v>3</v>
      </c>
      <c r="K98" s="80">
        <f t="shared" ref="K98" si="30">MROUND(FORECAST(J98,K90:K97,J90:J97),0.1)</f>
        <v>3</v>
      </c>
      <c r="L98" s="79">
        <v>5.2990000000000004</v>
      </c>
      <c r="M98" s="79">
        <v>7.7530000000000001</v>
      </c>
      <c r="N98" s="80">
        <f t="shared" si="21"/>
        <v>2.1</v>
      </c>
      <c r="P98" s="79">
        <v>30.736000000000001</v>
      </c>
      <c r="Q98" s="79">
        <v>29.753</v>
      </c>
      <c r="R98" s="80">
        <f t="shared" si="29"/>
        <v>40</v>
      </c>
      <c r="S98" s="79">
        <v>60.180999999999997</v>
      </c>
      <c r="T98" s="79">
        <v>40.097000000000001</v>
      </c>
      <c r="V98" s="80">
        <f>FORECAST(W98,V83:V97,W83:W97)</f>
        <v>38.339218799594335</v>
      </c>
      <c r="W98" s="80">
        <f>FORECAST(X98,W83:W97,X83:X97)</f>
        <v>37.778570729336167</v>
      </c>
      <c r="X98" s="79">
        <v>45.457000000000001</v>
      </c>
      <c r="Y98" s="79">
        <v>73.61</v>
      </c>
      <c r="Z98" s="106">
        <f t="shared" si="5"/>
        <v>47.900000000000006</v>
      </c>
    </row>
    <row r="99" spans="1:26">
      <c r="A99" s="74">
        <v>45047</v>
      </c>
      <c r="B99" s="79">
        <v>23.887</v>
      </c>
      <c r="C99" s="79">
        <v>53.832999999999998</v>
      </c>
      <c r="E99" s="79">
        <v>190.797</v>
      </c>
      <c r="F99" s="79">
        <v>185.10900000000001</v>
      </c>
      <c r="G99" s="79">
        <v>5.6879999999999997</v>
      </c>
      <c r="H99" s="79">
        <v>356.70800000000003</v>
      </c>
      <c r="I99" s="135">
        <f t="shared" si="27"/>
        <v>0.97018821050645454</v>
      </c>
      <c r="J99" s="80">
        <f>MROUND(FORECAST(M99,J91:J98,M91:M98),0.1)</f>
        <v>3</v>
      </c>
      <c r="K99" s="80">
        <f t="shared" ref="K99" si="31">MROUND(FORECAST(J99,K91:K98,J91:J98),0.1)</f>
        <v>3</v>
      </c>
      <c r="L99" s="79">
        <v>5.0730000000000004</v>
      </c>
      <c r="M99" s="79">
        <v>7.819</v>
      </c>
      <c r="N99" s="80">
        <f t="shared" si="21"/>
        <v>2.1</v>
      </c>
      <c r="P99" s="79">
        <v>25.594999999999999</v>
      </c>
      <c r="Q99" s="79">
        <v>24.562000000000001</v>
      </c>
      <c r="R99" s="80">
        <f t="shared" si="29"/>
        <v>37</v>
      </c>
      <c r="S99" s="79">
        <v>51.037999999999997</v>
      </c>
      <c r="T99" s="79">
        <v>28.042000000000002</v>
      </c>
      <c r="V99" s="80">
        <f>FORECAST(W99,V84:V98,W84:W98)</f>
        <v>38.588291318847773</v>
      </c>
      <c r="W99" s="80">
        <f>FORECAST(X99,W84:W98,X84:X98)</f>
        <v>38.019615371757283</v>
      </c>
      <c r="X99" s="79">
        <v>45.475000000000001</v>
      </c>
      <c r="Y99" s="79">
        <v>73.489000000000004</v>
      </c>
      <c r="Z99" s="106">
        <f t="shared" si="5"/>
        <v>47</v>
      </c>
    </row>
    <row r="100" spans="1:26">
      <c r="A100" s="74">
        <v>45078</v>
      </c>
      <c r="B100" s="79">
        <v>22.359000000000002</v>
      </c>
      <c r="C100" s="79">
        <v>62.207000000000001</v>
      </c>
      <c r="E100" s="79">
        <v>195.76400000000001</v>
      </c>
      <c r="F100" s="79">
        <v>189.84899999999999</v>
      </c>
      <c r="G100" s="79">
        <v>5.915</v>
      </c>
      <c r="H100" s="79">
        <v>356.51400000000001</v>
      </c>
      <c r="I100" s="135">
        <f t="shared" si="27"/>
        <v>0.96978504730185311</v>
      </c>
      <c r="J100" s="80">
        <f>MROUND(FORECAST(M100,J92:J99,M92:M99),0.1)</f>
        <v>3.1</v>
      </c>
      <c r="K100" s="80">
        <f>MROUND(FORECAST(J100,K92:K99,J92:J99),0.1)</f>
        <v>3.1</v>
      </c>
      <c r="L100" s="79">
        <v>2.6819999999999999</v>
      </c>
      <c r="M100" s="79">
        <v>10.02</v>
      </c>
      <c r="N100" s="80">
        <f>MROUND(FORECAST(M100,N92:N99,M92:M99),0.1)</f>
        <v>1.9000000000000001</v>
      </c>
      <c r="P100" s="79">
        <v>50.679000000000002</v>
      </c>
      <c r="Q100" s="79">
        <v>48.639000000000003</v>
      </c>
      <c r="R100" s="97">
        <v>31.690999999999999</v>
      </c>
      <c r="S100" s="79">
        <v>51.984000000000002</v>
      </c>
      <c r="T100" s="79">
        <v>35.683999999999997</v>
      </c>
      <c r="V100" s="97">
        <v>38.42</v>
      </c>
      <c r="W100" s="97">
        <v>38.314999999999998</v>
      </c>
      <c r="X100" s="79">
        <v>44.500999999999998</v>
      </c>
      <c r="Y100" s="79">
        <v>71.698999999999998</v>
      </c>
      <c r="Z100" s="106">
        <f>MROUND(FORECAST(X100,Z38:Z99,X38:X99),0.1)+5</f>
        <v>50.800000000000004</v>
      </c>
    </row>
    <row r="101" spans="1:26">
      <c r="A101" s="74">
        <v>45108</v>
      </c>
      <c r="B101" s="79">
        <v>24.312000000000001</v>
      </c>
      <c r="C101" s="79">
        <v>60.642000000000003</v>
      </c>
      <c r="E101" s="79">
        <v>184.78</v>
      </c>
      <c r="F101" s="79">
        <v>177.13399999999999</v>
      </c>
      <c r="G101" s="79">
        <v>7.6459999999999999</v>
      </c>
      <c r="H101" s="79">
        <v>353.625</v>
      </c>
      <c r="I101" s="135">
        <f t="shared" si="27"/>
        <v>0.95862106288559357</v>
      </c>
      <c r="J101" s="80">
        <f>MROUND(FORECAST(M101,J93:J100,M93:M100),0.1)</f>
        <v>3.3000000000000003</v>
      </c>
      <c r="K101" s="80">
        <f>MROUND(FORECAST(J101,K93:K100,J93:J100),0.1)</f>
        <v>3.3000000000000003</v>
      </c>
      <c r="L101" s="79">
        <v>3.4</v>
      </c>
      <c r="M101" s="79">
        <v>13.882999999999999</v>
      </c>
      <c r="N101" s="80">
        <f>MROUND(FORECAST(M101,N93:N100,M93:M100),0.1)</f>
        <v>1.6</v>
      </c>
      <c r="P101" s="79">
        <v>37.399000000000001</v>
      </c>
      <c r="Q101" s="79">
        <v>36.140999999999998</v>
      </c>
      <c r="R101" s="80">
        <f t="shared" ref="R101:R102" si="32">MROUND(T100+Q101-T101,1)</f>
        <v>33</v>
      </c>
      <c r="S101" s="79">
        <v>44.841999999999999</v>
      </c>
      <c r="T101" s="79">
        <v>38.598999999999997</v>
      </c>
      <c r="V101" s="97">
        <v>38.338000000000001</v>
      </c>
      <c r="W101" s="97">
        <v>38.204000000000001</v>
      </c>
      <c r="X101" s="79">
        <v>44.887999999999998</v>
      </c>
      <c r="Y101" s="79">
        <v>87.83</v>
      </c>
      <c r="Z101" s="79">
        <v>65.277000000000001</v>
      </c>
    </row>
    <row r="102" spans="1:26">
      <c r="A102" s="74">
        <v>45139</v>
      </c>
      <c r="B102" s="79">
        <v>30.803000000000001</v>
      </c>
      <c r="C102" s="79">
        <v>48.116999999999997</v>
      </c>
      <c r="E102" s="79">
        <v>211.34800000000001</v>
      </c>
      <c r="F102" s="79">
        <v>201.911</v>
      </c>
      <c r="G102" s="79">
        <v>9.4369999999999994</v>
      </c>
      <c r="H102" s="79">
        <v>340.69299999999998</v>
      </c>
      <c r="I102" s="135">
        <f t="shared" si="27"/>
        <v>0.95534852470806442</v>
      </c>
      <c r="J102" s="80">
        <f>MROUND(FORECAST(M102,J94:J101,M94:M101),0.1)</f>
        <v>3.3000000000000003</v>
      </c>
      <c r="K102" s="80">
        <f>MROUND(FORECAST(J102,K94:K101,J94:J101),0.1)</f>
        <v>3.3000000000000003</v>
      </c>
      <c r="L102" s="79">
        <v>4.4459999999999997</v>
      </c>
      <c r="M102" s="79">
        <v>14.176</v>
      </c>
      <c r="N102" s="80">
        <f>MROUND(FORECAST(M102,N94:N101,M94:M101),0.1)</f>
        <v>1.5</v>
      </c>
      <c r="P102" s="79">
        <v>35.658999999999999</v>
      </c>
      <c r="Q102" s="79">
        <v>33.773000000000003</v>
      </c>
      <c r="R102" s="80">
        <f t="shared" si="32"/>
        <v>43</v>
      </c>
      <c r="S102" s="79">
        <v>52.506999999999998</v>
      </c>
      <c r="T102" s="79">
        <v>29.803999999999998</v>
      </c>
      <c r="V102" s="97">
        <v>31.646000000000001</v>
      </c>
      <c r="W102" s="97">
        <v>31.193999999999999</v>
      </c>
      <c r="X102" s="79">
        <v>59.052999999999997</v>
      </c>
      <c r="Y102" s="79">
        <v>89.686000000000007</v>
      </c>
      <c r="Z102" s="106">
        <f>MROUND(FORECAST(X102,Z40:Z101,X40:X101),0.1)</f>
        <v>63.400000000000006</v>
      </c>
    </row>
    <row r="103" spans="1:26">
      <c r="A103" s="74">
        <v>45170</v>
      </c>
      <c r="B103" s="79">
        <v>24.981999999999999</v>
      </c>
      <c r="C103" s="79">
        <v>71.122</v>
      </c>
      <c r="E103" s="79">
        <v>199.137</v>
      </c>
      <c r="F103" s="79">
        <v>186.68</v>
      </c>
      <c r="G103" s="79">
        <v>12.457000000000001</v>
      </c>
      <c r="H103" s="79">
        <v>355.51799999999997</v>
      </c>
      <c r="I103" s="135">
        <f t="shared" si="27"/>
        <v>0.93744507550078593</v>
      </c>
      <c r="J103" s="80">
        <f t="shared" ref="J103:J104" si="33">MROUND(FORECAST(M103,J95:J102,M95:M102),0.1)</f>
        <v>3.1</v>
      </c>
      <c r="K103" s="80">
        <f t="shared" ref="K103:K104" si="34">MROUND(FORECAST(J103,K95:K102,J95:J102),0.1)</f>
        <v>3.1</v>
      </c>
      <c r="L103" s="79">
        <v>4.6879999999999997</v>
      </c>
      <c r="M103" s="79">
        <v>9.77</v>
      </c>
      <c r="N103" s="80">
        <f t="shared" ref="N103:N112" si="35">MROUND(FORECAST(M103,N95:N102,M95:M102),0.1)</f>
        <v>1.9000000000000001</v>
      </c>
      <c r="P103" s="79">
        <v>36.039000000000001</v>
      </c>
      <c r="Q103" s="79">
        <v>34.890999999999998</v>
      </c>
      <c r="R103" s="79">
        <v>24.533000000000001</v>
      </c>
      <c r="S103" s="79">
        <v>48.963999999999999</v>
      </c>
      <c r="T103" s="79">
        <v>37.792000000000002</v>
      </c>
      <c r="V103" s="80">
        <f>FORECAST(X103,V88:V102,W88:W102)</f>
        <v>44.769721080643464</v>
      </c>
      <c r="W103" s="80">
        <f>FORECAST(Y103,W88:W102,X88:X102)</f>
        <v>43.938742610697098</v>
      </c>
      <c r="X103" s="97">
        <v>44.207999999999998</v>
      </c>
      <c r="Y103" s="79">
        <v>77.084999999999994</v>
      </c>
      <c r="Z103" s="106">
        <f>MROUND(FORECAST(X103,Z41:Z102,X41:X102),0.1)+20</f>
        <v>66.5</v>
      </c>
    </row>
    <row r="104" spans="1:26">
      <c r="A104" s="74">
        <v>45200</v>
      </c>
      <c r="B104" s="79">
        <v>45.341999999999999</v>
      </c>
      <c r="C104" s="79">
        <v>60.917000000000002</v>
      </c>
      <c r="E104" s="79">
        <v>231.358</v>
      </c>
      <c r="F104" s="79">
        <v>227.48599999999999</v>
      </c>
      <c r="G104" s="79">
        <v>3.8719999999999999</v>
      </c>
      <c r="H104" s="79">
        <v>328.15100000000001</v>
      </c>
      <c r="I104" s="135">
        <f t="shared" si="27"/>
        <v>0.98326403236542492</v>
      </c>
      <c r="J104" s="80">
        <f t="shared" si="33"/>
        <v>3</v>
      </c>
      <c r="K104" s="80">
        <f t="shared" si="34"/>
        <v>3</v>
      </c>
      <c r="L104" s="79">
        <v>5.5990000000000002</v>
      </c>
      <c r="M104" s="79">
        <v>8.3859999999999992</v>
      </c>
      <c r="N104" s="80">
        <f t="shared" si="35"/>
        <v>2</v>
      </c>
      <c r="P104" s="79">
        <v>45.18</v>
      </c>
      <c r="Q104" s="79">
        <v>43.267000000000003</v>
      </c>
      <c r="R104" s="79">
        <v>30.315999999999999</v>
      </c>
      <c r="S104" s="79">
        <v>42.003</v>
      </c>
      <c r="T104" s="79">
        <v>48.670999999999999</v>
      </c>
      <c r="V104" s="97">
        <v>29.783000000000001</v>
      </c>
      <c r="W104" s="79">
        <v>29.512</v>
      </c>
      <c r="X104" s="97">
        <v>42.142000000000003</v>
      </c>
      <c r="Y104" s="79">
        <v>61.735999999999997</v>
      </c>
      <c r="Z104" s="106">
        <f>MROUND(FORECAST(X104,Z42:Z103,X42:X103),0.1)+20</f>
        <v>65.300000000000011</v>
      </c>
    </row>
    <row r="105" spans="1:26">
      <c r="A105" s="74">
        <v>45231</v>
      </c>
      <c r="B105" s="79">
        <v>44.17</v>
      </c>
      <c r="C105" s="79">
        <v>85.835999999999999</v>
      </c>
      <c r="E105" s="79">
        <v>204.36099999999999</v>
      </c>
      <c r="F105" s="79">
        <v>189.15799999999999</v>
      </c>
      <c r="G105" s="79">
        <v>2.5489999999999999</v>
      </c>
      <c r="H105" s="79">
        <v>339.53199999999998</v>
      </c>
      <c r="I105" s="135">
        <f t="shared" si="27"/>
        <v>0.92560713639099435</v>
      </c>
      <c r="J105" s="80">
        <f t="shared" ref="J105" si="36">MROUND(FORECAST(M105,J97:J104,M97:M104),0.1)</f>
        <v>2.9000000000000004</v>
      </c>
      <c r="K105" s="80">
        <f t="shared" ref="K105" si="37">MROUND(FORECAST(J105,K97:K104,J97:J104),0.1)</f>
        <v>2.9000000000000004</v>
      </c>
      <c r="L105" s="79">
        <v>3.9430000000000001</v>
      </c>
      <c r="M105" s="79">
        <v>5.3289999999999997</v>
      </c>
      <c r="N105" s="80">
        <f t="shared" si="35"/>
        <v>2.3000000000000003</v>
      </c>
      <c r="P105" s="79">
        <v>26.474</v>
      </c>
      <c r="Q105" s="79">
        <v>25.268000000000001</v>
      </c>
      <c r="R105" s="79">
        <v>31.878</v>
      </c>
      <c r="S105" s="79">
        <v>45.997</v>
      </c>
      <c r="T105" s="79">
        <v>39.389000000000003</v>
      </c>
      <c r="V105" s="97">
        <v>25.041</v>
      </c>
      <c r="W105" s="79">
        <v>24.893000000000001</v>
      </c>
      <c r="X105" s="97">
        <v>40.667000000000002</v>
      </c>
      <c r="Y105" s="79">
        <v>66.676000000000002</v>
      </c>
      <c r="Z105" s="106">
        <f>MROUND(FORECAST(X105,Z43:Z104,X43:X104),0.1)+20</f>
        <v>63</v>
      </c>
    </row>
    <row r="106" spans="1:26">
      <c r="A106" s="74">
        <v>45261</v>
      </c>
      <c r="B106" s="79">
        <v>43.017000000000003</v>
      </c>
      <c r="C106" s="79">
        <v>92.256</v>
      </c>
      <c r="E106" s="79">
        <v>166.64599999999999</v>
      </c>
      <c r="F106" s="80">
        <f>MROUND(FORECAST(E106,F98:F105,E98:E105),0.1)</f>
        <v>159.5</v>
      </c>
      <c r="G106" s="80">
        <f>MROUND(FORECAST(F106,G98:G105,F98:F105),0.1)</f>
        <v>6.9</v>
      </c>
      <c r="H106" s="79">
        <v>358.22300000000001</v>
      </c>
      <c r="I106" s="135">
        <f t="shared" si="27"/>
        <v>0.9571186827166569</v>
      </c>
      <c r="J106" s="80">
        <f t="shared" ref="J106" si="38">MROUND(FORECAST(M106,J98:J105,M98:M105),0.1)</f>
        <v>2.8000000000000003</v>
      </c>
      <c r="K106" s="80">
        <f t="shared" ref="K106" si="39">MROUND(FORECAST(J106,K98:K105,J98:J105),0.1)</f>
        <v>2.8000000000000003</v>
      </c>
      <c r="L106" s="79">
        <v>3.56</v>
      </c>
      <c r="M106" s="79">
        <v>3.3929999999999998</v>
      </c>
      <c r="N106" s="80">
        <f t="shared" si="35"/>
        <v>2.5</v>
      </c>
      <c r="P106" s="79">
        <v>33.148000000000003</v>
      </c>
      <c r="Q106" s="79">
        <v>31.867999999999999</v>
      </c>
      <c r="R106" s="79">
        <v>31.776</v>
      </c>
      <c r="S106" s="79">
        <v>41.043999999999997</v>
      </c>
      <c r="T106" s="79">
        <v>37.572000000000003</v>
      </c>
      <c r="V106" s="97">
        <v>26.071999999999999</v>
      </c>
      <c r="W106" s="79">
        <v>25.808</v>
      </c>
      <c r="X106" s="97">
        <v>29.062000000000001</v>
      </c>
      <c r="Y106" s="79">
        <v>59.161999999999999</v>
      </c>
      <c r="Z106" s="96">
        <v>65.484999999999999</v>
      </c>
    </row>
    <row r="107" spans="1:26">
      <c r="A107" s="74">
        <v>45292</v>
      </c>
      <c r="B107" s="79">
        <v>43.246000000000002</v>
      </c>
      <c r="C107" s="79">
        <v>90.578000000000003</v>
      </c>
      <c r="E107" s="79">
        <v>189.667</v>
      </c>
      <c r="F107" s="80">
        <f>MROUND(FORECAST(E107,F99:F106,E99:E106),0.1)</f>
        <v>181.20000000000002</v>
      </c>
      <c r="G107" s="80">
        <f>MROUND(FORECAST(F107,G99:G106,F99:F106),0.1)</f>
        <v>7.1000000000000005</v>
      </c>
      <c r="H107" s="79">
        <v>342.96100000000001</v>
      </c>
      <c r="I107" s="135">
        <f t="shared" si="27"/>
        <v>0.95535860218171853</v>
      </c>
      <c r="J107" s="80">
        <f t="shared" ref="J107" si="40">MROUND(FORECAST(M107,J99:J106,M99:M106),0.1)</f>
        <v>2.9000000000000004</v>
      </c>
      <c r="K107" s="80">
        <f t="shared" ref="K107" si="41">MROUND(FORECAST(J107,K99:K106,J99:J106),0.1)</f>
        <v>2.9000000000000004</v>
      </c>
      <c r="L107" s="79">
        <v>5.3609999999999998</v>
      </c>
      <c r="M107" s="79">
        <v>4.8120000000000003</v>
      </c>
      <c r="N107" s="80">
        <f t="shared" si="35"/>
        <v>2.4000000000000004</v>
      </c>
      <c r="P107" s="79">
        <v>33.024000000000001</v>
      </c>
      <c r="Q107" s="79">
        <v>31.795999999999999</v>
      </c>
      <c r="R107" s="80">
        <f t="shared" ref="R107:R111" si="42">MROUND(T106+Q107-T107,1)</f>
        <v>39</v>
      </c>
      <c r="S107" s="79">
        <v>40.616999999999997</v>
      </c>
      <c r="T107" s="79">
        <v>30.097000000000001</v>
      </c>
      <c r="V107" s="97">
        <v>24.687999999999999</v>
      </c>
      <c r="W107" s="79">
        <v>24.51</v>
      </c>
      <c r="X107" s="97">
        <v>42.250999999999998</v>
      </c>
      <c r="Y107" s="79">
        <v>72.576999999999998</v>
      </c>
      <c r="Z107" s="96">
        <v>57.232999999999997</v>
      </c>
    </row>
    <row r="108" spans="1:26">
      <c r="A108" s="74">
        <v>45323</v>
      </c>
      <c r="B108" s="79">
        <v>39.926000000000002</v>
      </c>
      <c r="C108" s="79">
        <v>98.361999999999995</v>
      </c>
      <c r="E108" s="79">
        <v>199.83500000000001</v>
      </c>
      <c r="F108" s="79">
        <v>196.56</v>
      </c>
      <c r="G108" s="79">
        <v>3.2749999999999999</v>
      </c>
      <c r="H108" s="79">
        <v>328.01100000000002</v>
      </c>
      <c r="I108" s="135">
        <f t="shared" si="27"/>
        <v>0.98361147947056315</v>
      </c>
      <c r="J108" s="80">
        <f t="shared" ref="J108" si="43">MROUND(FORECAST(M108,J100:J107,M100:M107),0.1)</f>
        <v>3</v>
      </c>
      <c r="K108" s="80">
        <f t="shared" ref="K108" si="44">MROUND(FORECAST(J108,K100:K107,J100:J107),0.1)</f>
        <v>3</v>
      </c>
      <c r="L108" s="79">
        <v>8.44</v>
      </c>
      <c r="M108" s="79">
        <v>6.9880000000000004</v>
      </c>
      <c r="N108" s="80">
        <f t="shared" si="35"/>
        <v>2.2000000000000002</v>
      </c>
      <c r="P108" s="79">
        <v>36.831000000000003</v>
      </c>
      <c r="Q108" s="79">
        <v>35.359000000000002</v>
      </c>
      <c r="R108" s="80">
        <f t="shared" si="42"/>
        <v>36</v>
      </c>
      <c r="S108" s="79">
        <v>37.438000000000002</v>
      </c>
      <c r="T108" s="79">
        <v>29.292000000000002</v>
      </c>
      <c r="V108" s="79">
        <v>21.616</v>
      </c>
      <c r="W108" s="79">
        <v>21.434999999999999</v>
      </c>
      <c r="X108" s="79">
        <v>27.815000000000001</v>
      </c>
      <c r="Y108" s="79">
        <v>93.966999999999999</v>
      </c>
      <c r="Z108" s="106">
        <f>MROUND(FORECAST(X108,Z46:Z107,X46:X107),0.1)+25</f>
        <v>58.7</v>
      </c>
    </row>
    <row r="109" spans="1:26">
      <c r="A109" s="74">
        <v>45352</v>
      </c>
      <c r="B109" s="79">
        <v>36.104999999999997</v>
      </c>
      <c r="C109" s="79">
        <v>87.191000000000003</v>
      </c>
      <c r="E109" s="79">
        <v>181.46799999999999</v>
      </c>
      <c r="F109" s="79">
        <v>178.85499999999999</v>
      </c>
      <c r="G109" s="79">
        <v>2.613</v>
      </c>
      <c r="H109" s="79">
        <v>315.92200000000003</v>
      </c>
      <c r="I109" s="135">
        <f t="shared" si="27"/>
        <v>0.98560076707739108</v>
      </c>
      <c r="J109" s="80">
        <f t="shared" ref="J109" si="45">MROUND(FORECAST(M109,J101:J108,M101:M108),0.1)</f>
        <v>2.8000000000000003</v>
      </c>
      <c r="K109" s="80">
        <f t="shared" ref="K109" si="46">MROUND(FORECAST(J109,K101:K108,J101:J108),0.1)</f>
        <v>2.8000000000000003</v>
      </c>
      <c r="L109" s="79">
        <v>5.38</v>
      </c>
      <c r="M109" s="79">
        <v>3.5030000000000001</v>
      </c>
      <c r="N109" s="80">
        <f t="shared" si="35"/>
        <v>2.5</v>
      </c>
      <c r="P109" s="79">
        <v>39.828000000000003</v>
      </c>
      <c r="Q109" s="79">
        <v>38.637999999999998</v>
      </c>
      <c r="R109" s="80">
        <f t="shared" si="42"/>
        <v>40</v>
      </c>
      <c r="S109" s="79">
        <v>34.289000000000001</v>
      </c>
      <c r="T109" s="79">
        <v>27.466000000000001</v>
      </c>
      <c r="V109" s="79">
        <v>21.82</v>
      </c>
      <c r="W109" s="79">
        <v>21.466999999999999</v>
      </c>
      <c r="X109" s="79">
        <v>37.709000000000003</v>
      </c>
      <c r="Y109" s="79">
        <v>63.34</v>
      </c>
      <c r="Z109" s="96">
        <v>58.351999999999997</v>
      </c>
    </row>
    <row r="110" spans="1:26">
      <c r="A110" s="74">
        <v>45383</v>
      </c>
      <c r="B110" s="79">
        <v>41.814</v>
      </c>
      <c r="C110" s="79">
        <v>87.2</v>
      </c>
      <c r="E110" s="79">
        <v>213.684</v>
      </c>
      <c r="F110" s="79">
        <v>210.91</v>
      </c>
      <c r="G110" s="79">
        <v>2.774</v>
      </c>
      <c r="H110" s="79">
        <v>298.93799999999999</v>
      </c>
      <c r="I110" s="135">
        <f t="shared" si="27"/>
        <v>0.98701821381104804</v>
      </c>
      <c r="J110" s="80">
        <f t="shared" ref="J110" si="47">MROUND(FORECAST(M110,J102:J109,M102:M109),0.1)</f>
        <v>3.1</v>
      </c>
      <c r="K110" s="80">
        <f t="shared" ref="K110" si="48">MROUND(FORECAST(J110,K102:K109,J102:J109),0.1)</f>
        <v>3.1</v>
      </c>
      <c r="L110" s="79">
        <v>8.6760000000000002</v>
      </c>
      <c r="M110" s="79">
        <v>9.0779999999999994</v>
      </c>
      <c r="N110" s="80">
        <f t="shared" si="35"/>
        <v>2</v>
      </c>
      <c r="P110" s="79">
        <v>28.265000000000001</v>
      </c>
      <c r="Q110" s="79">
        <v>26.692</v>
      </c>
      <c r="R110" s="80">
        <f t="shared" si="42"/>
        <v>28</v>
      </c>
      <c r="S110" s="79">
        <v>36.713999999999999</v>
      </c>
      <c r="T110" s="79">
        <v>26.146000000000001</v>
      </c>
      <c r="V110" s="79">
        <v>27.516999999999999</v>
      </c>
      <c r="W110" s="79">
        <v>27.172999999999998</v>
      </c>
      <c r="X110" s="79">
        <v>36.274999999999999</v>
      </c>
      <c r="Y110" s="79">
        <v>91.176000000000002</v>
      </c>
      <c r="Z110" s="96">
        <v>60.939</v>
      </c>
    </row>
    <row r="111" spans="1:26">
      <c r="A111" s="74">
        <v>45413</v>
      </c>
      <c r="B111" s="79">
        <v>41.344999999999999</v>
      </c>
      <c r="C111" s="79">
        <v>62.1</v>
      </c>
      <c r="E111" s="79">
        <v>182.642</v>
      </c>
      <c r="F111" s="96">
        <v>180.98599999999999</v>
      </c>
      <c r="G111" s="80">
        <f>MROUND(FORECAST(F111,G103:G110,F103:F110),0.1)</f>
        <v>5.8000000000000007</v>
      </c>
      <c r="H111" s="79">
        <v>304.87099999999998</v>
      </c>
      <c r="I111" s="135">
        <f t="shared" si="27"/>
        <v>0.99093308220453125</v>
      </c>
      <c r="J111" s="80">
        <f t="shared" ref="J111" si="49">MROUND(FORECAST(M111,J103:J110,M103:M110),0.1)</f>
        <v>2.8000000000000003</v>
      </c>
      <c r="K111" s="80">
        <f t="shared" ref="K111" si="50">MROUND(FORECAST(J111,K103:K110,J103:J110),0.1)</f>
        <v>2.8000000000000003</v>
      </c>
      <c r="L111" s="79">
        <v>3.847</v>
      </c>
      <c r="M111" s="79">
        <v>4.01</v>
      </c>
      <c r="N111" s="80">
        <f t="shared" si="35"/>
        <v>2.5</v>
      </c>
      <c r="P111" s="80">
        <f t="shared" ref="P111" si="51">FORECAST(Q111,P96:P110,Q96:Q110)</f>
        <v>27.90274450560889</v>
      </c>
      <c r="Q111" s="80">
        <f>FORECAST(T111,Q96:Q110,T96:T110)</f>
        <v>26.708903053037879</v>
      </c>
      <c r="R111" s="80">
        <f t="shared" si="42"/>
        <v>34</v>
      </c>
      <c r="S111" s="80">
        <f>FORECAST(T111,S96:S110,T96:T110)</f>
        <v>37.641305780497568</v>
      </c>
      <c r="T111" s="79">
        <v>19.068000000000001</v>
      </c>
      <c r="V111" s="79">
        <v>34.100999999999999</v>
      </c>
      <c r="W111" s="79">
        <v>33.567</v>
      </c>
      <c r="X111" s="79">
        <v>41.95</v>
      </c>
      <c r="Y111" s="79">
        <v>108.947</v>
      </c>
      <c r="Z111" s="96">
        <v>52.384999999999998</v>
      </c>
    </row>
    <row r="112" spans="1:26">
      <c r="A112" s="74">
        <v>45444</v>
      </c>
      <c r="B112" s="79">
        <v>36.348999999999997</v>
      </c>
      <c r="C112" s="79">
        <v>73.227999999999994</v>
      </c>
      <c r="E112" s="79">
        <v>196.15299999999999</v>
      </c>
      <c r="F112" s="96">
        <v>192.947</v>
      </c>
      <c r="G112" s="96">
        <v>3.206</v>
      </c>
      <c r="H112" s="79">
        <v>263.14100000000002</v>
      </c>
      <c r="I112" s="135">
        <f t="shared" si="27"/>
        <v>0.98365561576932303</v>
      </c>
      <c r="J112" s="80">
        <f t="shared" ref="J112" si="52">MROUND(FORECAST(M112,J104:J111,M104:M111),0.1)</f>
        <v>2.8000000000000003</v>
      </c>
      <c r="K112" s="80">
        <f t="shared" ref="K112" si="53">MROUND(FORECAST(J112,K104:K111,J104:J111),0.1)</f>
        <v>2.8000000000000003</v>
      </c>
      <c r="L112" s="79">
        <v>7.7930000000000001</v>
      </c>
      <c r="M112" s="79">
        <v>3.0379999999999998</v>
      </c>
      <c r="N112" s="80">
        <f t="shared" si="35"/>
        <v>2.6</v>
      </c>
      <c r="P112" s="96">
        <v>44.343000000000004</v>
      </c>
      <c r="Q112" s="96">
        <v>42.585000000000001</v>
      </c>
      <c r="R112" s="96">
        <v>32.067</v>
      </c>
      <c r="S112" s="96">
        <v>34.813000000000002</v>
      </c>
      <c r="T112" s="79">
        <v>29.19</v>
      </c>
      <c r="V112" s="79">
        <v>28.047999999999998</v>
      </c>
      <c r="W112" s="79">
        <v>27.776</v>
      </c>
      <c r="X112" s="79">
        <v>43.572000000000003</v>
      </c>
      <c r="Y112" s="79">
        <v>115.73099999999999</v>
      </c>
      <c r="Z112" s="106">
        <f>MROUND(FORECAST(X112,Z50:Z111,X50:X111),0.1)</f>
        <v>52.400000000000006</v>
      </c>
    </row>
    <row r="113" spans="1:26">
      <c r="A113" s="74">
        <v>45474</v>
      </c>
      <c r="B113" s="79">
        <v>38.768999999999998</v>
      </c>
      <c r="C113" s="79">
        <v>76.171999999999997</v>
      </c>
      <c r="E113" s="79">
        <v>185.47399999999999</v>
      </c>
      <c r="F113" s="96">
        <v>181.37100000000001</v>
      </c>
      <c r="G113" s="96">
        <v>4.1029999999999998</v>
      </c>
      <c r="H113" s="79">
        <v>288.39</v>
      </c>
      <c r="I113" s="135">
        <f t="shared" si="27"/>
        <v>0.97787830100175777</v>
      </c>
      <c r="J113" s="80">
        <f t="shared" ref="J113" si="54">MROUND(FORECAST(M113,J105:J112,M105:M112),0.1)</f>
        <v>2.9000000000000004</v>
      </c>
      <c r="K113" s="80">
        <f t="shared" ref="K113" si="55">MROUND(FORECAST(J113,K105:K112,J105:J112),0.1)</f>
        <v>2.9000000000000004</v>
      </c>
      <c r="L113" s="79">
        <v>4.7809999999999997</v>
      </c>
      <c r="M113" s="80">
        <f>MROUND(FORECAST(L113,M105:M112,L105:L112),0.1)</f>
        <v>4.4000000000000004</v>
      </c>
      <c r="N113" s="80">
        <f>MROUND(FORECAST(L113,N105:N112,L105:L112),0.1)</f>
        <v>2.4000000000000004</v>
      </c>
      <c r="P113" s="96">
        <v>34.691000000000003</v>
      </c>
      <c r="Q113" s="96">
        <v>33.277000000000001</v>
      </c>
      <c r="R113" s="80">
        <f>MROUND(T112+Q113-T113,1)</f>
        <v>34</v>
      </c>
      <c r="S113" s="96">
        <v>29.838000000000001</v>
      </c>
      <c r="T113" s="79">
        <v>28.849</v>
      </c>
      <c r="V113" s="79">
        <v>31.341999999999999</v>
      </c>
      <c r="W113" s="79">
        <v>31.004000000000001</v>
      </c>
      <c r="X113" s="79">
        <v>40.741</v>
      </c>
      <c r="Y113" s="79">
        <v>126.06</v>
      </c>
      <c r="Z113" s="106">
        <f>MROUND(FORECAST(X113,Z51:Z112,X51:X112),0.1)</f>
        <v>49.400000000000006</v>
      </c>
    </row>
    <row r="114" spans="1:26">
      <c r="A114" s="74">
        <v>45505</v>
      </c>
      <c r="B114" s="79">
        <v>36.335999999999999</v>
      </c>
      <c r="C114" s="79">
        <v>79.099999999999994</v>
      </c>
      <c r="E114" s="79">
        <v>206.71700000000001</v>
      </c>
      <c r="F114" s="80">
        <f>MROUND(FORECAST(E114,F106:F113,E106:E113),0.1)</f>
        <v>203.60000000000002</v>
      </c>
      <c r="G114" s="80">
        <f>MROUND(FORECAST(F114,G106:G113,F106:F113),0.1)</f>
        <v>3</v>
      </c>
      <c r="H114" s="79">
        <v>266.685</v>
      </c>
      <c r="I114" s="135">
        <f t="shared" si="27"/>
        <v>0.98492141430071067</v>
      </c>
      <c r="J114" s="80">
        <f t="shared" ref="J114:J116" si="56">MROUND(FORECAST(M114,J106:J113,M106:M113),0.1)</f>
        <v>2.9000000000000004</v>
      </c>
      <c r="K114" s="80">
        <f t="shared" ref="K114:K116" si="57">MROUND(FORECAST(J114,K106:K113,J106:J113),0.1)</f>
        <v>2.9000000000000004</v>
      </c>
      <c r="L114" s="79">
        <v>5.5060000000000002</v>
      </c>
      <c r="M114" s="79">
        <v>4.601</v>
      </c>
      <c r="N114" s="80">
        <f>MROUND(FORECAST(L114,N106:N113,L106:L113),0.1)</f>
        <v>2.4000000000000004</v>
      </c>
      <c r="P114" s="96">
        <v>32.988999999999997</v>
      </c>
      <c r="Q114" s="96">
        <v>31.667999999999999</v>
      </c>
      <c r="R114" s="80">
        <f>MROUND(T113+Q114-T114,1)</f>
        <v>37</v>
      </c>
      <c r="S114" s="96">
        <v>35.896000000000001</v>
      </c>
      <c r="T114" s="79">
        <v>23.433</v>
      </c>
      <c r="V114" s="79">
        <v>45.575000000000003</v>
      </c>
      <c r="W114" s="79">
        <v>45.192999999999998</v>
      </c>
      <c r="X114" s="79">
        <v>49.838999999999999</v>
      </c>
      <c r="Y114" s="79">
        <v>97.894000000000005</v>
      </c>
      <c r="Z114" s="106">
        <f>MROUND(FORECAST(X114,Z52:Z113,X52:X113),0.1)</f>
        <v>59.300000000000004</v>
      </c>
    </row>
    <row r="115" spans="1:26">
      <c r="A115" s="74">
        <v>45536</v>
      </c>
      <c r="B115" s="79">
        <v>40.298999999999999</v>
      </c>
      <c r="C115" s="79">
        <v>83.463999999999999</v>
      </c>
      <c r="E115" s="79">
        <v>188.483</v>
      </c>
      <c r="F115" s="96">
        <v>182.559</v>
      </c>
      <c r="G115" s="79">
        <v>5.9240000000000004</v>
      </c>
      <c r="H115" s="79">
        <v>255.47300000000001</v>
      </c>
      <c r="I115" s="135">
        <f t="shared" si="27"/>
        <v>0.96857010977117297</v>
      </c>
      <c r="J115" s="80">
        <f t="shared" si="56"/>
        <v>2.8000000000000003</v>
      </c>
      <c r="K115" s="80">
        <f t="shared" si="57"/>
        <v>2.8000000000000003</v>
      </c>
      <c r="L115" s="79">
        <v>6.53</v>
      </c>
      <c r="M115" s="79">
        <v>3.891</v>
      </c>
      <c r="N115" s="80">
        <f t="shared" ref="N115:N124" si="58">MROUND(FORECAST(L115,N107:N114,L107:L114),0.1)</f>
        <v>2.4000000000000004</v>
      </c>
      <c r="P115" s="96">
        <v>44.575000000000003</v>
      </c>
      <c r="Q115" s="96">
        <v>43.256</v>
      </c>
      <c r="R115" s="80">
        <f t="shared" ref="R115:R124" si="59">MROUND(T114+Q115-T115,1)</f>
        <v>33</v>
      </c>
      <c r="S115" s="96">
        <v>23.952000000000002</v>
      </c>
      <c r="T115" s="79">
        <v>34.023000000000003</v>
      </c>
      <c r="V115" s="79">
        <v>36.936</v>
      </c>
      <c r="W115" s="79">
        <v>36.738</v>
      </c>
      <c r="X115" s="79">
        <v>51.112000000000002</v>
      </c>
      <c r="Y115" s="79">
        <v>77.195999999999998</v>
      </c>
      <c r="Z115" s="96">
        <v>73.210999999999999</v>
      </c>
    </row>
    <row r="116" spans="1:26">
      <c r="A116" s="74">
        <v>45566</v>
      </c>
      <c r="B116" s="79">
        <v>42.417000000000002</v>
      </c>
      <c r="C116" s="79">
        <v>82.31</v>
      </c>
      <c r="E116" s="79">
        <v>216.74600000000001</v>
      </c>
      <c r="F116" s="96">
        <v>210.40100000000001</v>
      </c>
      <c r="G116" s="96">
        <v>6.3449999999999998</v>
      </c>
      <c r="H116" s="79">
        <v>291.41899999999998</v>
      </c>
      <c r="I116" s="135">
        <f t="shared" si="27"/>
        <v>0.97072610336522935</v>
      </c>
      <c r="J116" s="80">
        <f t="shared" si="56"/>
        <v>2.8000000000000003</v>
      </c>
      <c r="K116" s="80">
        <f t="shared" si="57"/>
        <v>2.8000000000000003</v>
      </c>
      <c r="L116" s="79">
        <v>5.4180000000000001</v>
      </c>
      <c r="M116" s="79">
        <v>3.4590000000000001</v>
      </c>
      <c r="N116" s="80">
        <f t="shared" si="58"/>
        <v>2.4000000000000004</v>
      </c>
      <c r="P116" s="96">
        <v>36.22</v>
      </c>
      <c r="Q116" s="96">
        <v>33.783000000000001</v>
      </c>
      <c r="R116" s="80">
        <f t="shared" si="59"/>
        <v>36</v>
      </c>
      <c r="S116" s="96">
        <v>18.234000000000002</v>
      </c>
      <c r="T116" s="79">
        <v>31.719000000000001</v>
      </c>
      <c r="V116" s="79">
        <v>35.56</v>
      </c>
      <c r="W116" s="79">
        <v>35.183</v>
      </c>
      <c r="X116" s="79">
        <v>46.134999999999998</v>
      </c>
      <c r="Y116" s="79">
        <v>137.197</v>
      </c>
      <c r="Z116" s="96">
        <v>79.671000000000006</v>
      </c>
    </row>
    <row r="117" spans="1:26">
      <c r="A117" s="74">
        <v>45597</v>
      </c>
      <c r="B117" s="79">
        <v>31.305</v>
      </c>
      <c r="C117" s="79">
        <v>70.105999999999995</v>
      </c>
      <c r="E117" s="79">
        <v>186.67699999999999</v>
      </c>
      <c r="F117" s="96">
        <v>181.69900000000001</v>
      </c>
      <c r="G117" s="96">
        <v>4.9779999999999998</v>
      </c>
      <c r="H117" s="79">
        <v>277.19400000000002</v>
      </c>
      <c r="I117" s="135">
        <f t="shared" si="27"/>
        <v>0.97333361903180371</v>
      </c>
      <c r="J117" s="80">
        <f t="shared" ref="J117" si="60">MROUND(FORECAST(M117,J109:J116,M109:M116),0.1)</f>
        <v>2.8000000000000003</v>
      </c>
      <c r="K117" s="80">
        <f t="shared" ref="K117" si="61">MROUND(FORECAST(J117,K109:K116,J109:J116),0.1)</f>
        <v>2.8000000000000003</v>
      </c>
      <c r="L117" s="79">
        <v>5.56</v>
      </c>
      <c r="M117" s="79">
        <v>3.5430000000000001</v>
      </c>
      <c r="N117" s="80">
        <f t="shared" si="58"/>
        <v>2.4000000000000004</v>
      </c>
      <c r="P117" s="96">
        <v>31.11</v>
      </c>
      <c r="Q117" s="96">
        <v>29.584</v>
      </c>
      <c r="R117" s="80">
        <f t="shared" si="59"/>
        <v>31</v>
      </c>
      <c r="S117" s="96">
        <v>14.208</v>
      </c>
      <c r="T117" s="79">
        <v>30.797999999999998</v>
      </c>
      <c r="V117" s="79">
        <v>37.518000000000001</v>
      </c>
      <c r="W117" s="80">
        <f>MROUND(FORECAST(V117,W109:W116,V109:V116),0.1)</f>
        <v>37.200000000000003</v>
      </c>
      <c r="X117" s="79">
        <v>45.127000000000002</v>
      </c>
      <c r="Y117" s="79">
        <v>84.542000000000002</v>
      </c>
      <c r="Z117" s="80">
        <f>MROUND(FORECAST(Y117,Z109:Z116,Y109:Y116),0.1)</f>
        <v>60.7</v>
      </c>
    </row>
    <row r="118" spans="1:26">
      <c r="A118" s="74">
        <v>45627</v>
      </c>
      <c r="B118" s="79">
        <v>30.773</v>
      </c>
      <c r="C118" s="79">
        <v>86.09</v>
      </c>
      <c r="E118" s="79">
        <v>177.51300000000001</v>
      </c>
      <c r="F118" s="80">
        <v>173.994</v>
      </c>
      <c r="G118" s="80">
        <f>MROUND(FORECAST(F118,G110:G117,F110:F117),0.1)</f>
        <v>5.2</v>
      </c>
      <c r="H118" s="79">
        <v>295.803</v>
      </c>
      <c r="I118" s="135">
        <f t="shared" si="27"/>
        <v>0.98017609977860776</v>
      </c>
      <c r="J118" s="80">
        <f t="shared" ref="J118:J124" si="62">MROUND(FORECAST(M118,J110:J117,M110:M117),0.1)</f>
        <v>2.9000000000000004</v>
      </c>
      <c r="K118" s="80">
        <f t="shared" ref="K118:K124" si="63">MROUND(FORECAST(J118,K110:K117,J110:J117),0.1)</f>
        <v>2.9000000000000004</v>
      </c>
      <c r="L118" s="79">
        <v>4.0309999999999997</v>
      </c>
      <c r="M118" s="79">
        <v>5.8230000000000004</v>
      </c>
      <c r="N118" s="80">
        <f t="shared" si="58"/>
        <v>2.5</v>
      </c>
      <c r="P118" s="96">
        <v>25.975999999999999</v>
      </c>
      <c r="Q118" s="96">
        <v>24.672000000000001</v>
      </c>
      <c r="R118" s="80">
        <f t="shared" si="59"/>
        <v>26</v>
      </c>
      <c r="S118" s="96">
        <v>15.896000000000001</v>
      </c>
      <c r="T118" s="79">
        <v>29.452000000000002</v>
      </c>
      <c r="V118" s="80">
        <f>MROUND(FORECAST(X118,V110:V117,W110:W117),0.1)</f>
        <v>52.900000000000006</v>
      </c>
      <c r="W118" s="80">
        <v>52.427999999999997</v>
      </c>
      <c r="X118" s="79">
        <v>52.481999999999999</v>
      </c>
      <c r="Y118" s="79">
        <v>81.718000000000004</v>
      </c>
      <c r="Z118" s="80">
        <f>MROUND(FORECAST(Y118,Z110:Z117,Y110:Y117),0.1)</f>
        <v>61.7</v>
      </c>
    </row>
    <row r="119" spans="1:26">
      <c r="A119" s="74">
        <v>45658</v>
      </c>
      <c r="B119" s="79">
        <v>34.353999999999999</v>
      </c>
      <c r="C119" s="79">
        <v>73.123000000000005</v>
      </c>
      <c r="E119" s="79">
        <v>181.477</v>
      </c>
      <c r="F119" s="80">
        <f>MROUND(FORECAST(E119,F111:F118,E111:E118),0.1)</f>
        <v>177.9</v>
      </c>
      <c r="G119" s="80">
        <f t="shared" ref="G119:G122" si="64">MROUND(FORECAST(F119,G111:G118,F111:F118),0.1)</f>
        <v>5</v>
      </c>
      <c r="H119" s="79">
        <v>279.142</v>
      </c>
      <c r="I119" s="135">
        <f t="shared" si="27"/>
        <v>0.98028951327165426</v>
      </c>
      <c r="J119" s="80">
        <f t="shared" si="62"/>
        <v>2.9000000000000004</v>
      </c>
      <c r="K119" s="80">
        <f t="shared" si="63"/>
        <v>2.9000000000000004</v>
      </c>
      <c r="L119" s="79">
        <v>11.369</v>
      </c>
      <c r="M119" s="79">
        <v>5.8630000000000004</v>
      </c>
      <c r="N119" s="80">
        <f t="shared" si="58"/>
        <v>2.5</v>
      </c>
      <c r="P119" s="96">
        <v>36.825000000000003</v>
      </c>
      <c r="Q119" s="96">
        <v>35.957000000000001</v>
      </c>
      <c r="R119" s="80">
        <f>MROUND(T118+Q119-T119,1)</f>
        <v>40</v>
      </c>
      <c r="S119" s="96">
        <v>16.379000000000001</v>
      </c>
      <c r="T119" s="79">
        <v>25.859000000000002</v>
      </c>
      <c r="V119" s="80">
        <v>43.332999999999998</v>
      </c>
      <c r="W119" s="80">
        <v>43.055999999999997</v>
      </c>
      <c r="X119" s="79">
        <v>65.674000000000007</v>
      </c>
      <c r="Z119" s="80">
        <f t="shared" ref="Z119:Z123" si="65">MROUND(FORECAST(Y119,Z111:Z118,Y111:Y118),0.1)</f>
        <v>64.3</v>
      </c>
    </row>
    <row r="120" spans="1:26">
      <c r="A120" s="74">
        <v>45689</v>
      </c>
      <c r="B120" s="79">
        <v>32.777999999999999</v>
      </c>
      <c r="C120" s="79">
        <v>76.36</v>
      </c>
      <c r="E120" s="79">
        <v>177.654</v>
      </c>
      <c r="F120" s="80">
        <f>MROUND(FORECAST(E120,F112:F119,E112:E119),0.1)</f>
        <v>173.8</v>
      </c>
      <c r="G120" s="80">
        <f t="shared" si="64"/>
        <v>4.9000000000000004</v>
      </c>
      <c r="H120" s="79">
        <v>278.97199999999998</v>
      </c>
      <c r="I120" s="135">
        <f t="shared" si="27"/>
        <v>0.97830614565391161</v>
      </c>
      <c r="J120" s="80">
        <f t="shared" si="62"/>
        <v>2.8000000000000003</v>
      </c>
      <c r="K120" s="80">
        <f t="shared" si="63"/>
        <v>2.8000000000000003</v>
      </c>
      <c r="L120" s="79">
        <v>7.0789999999999997</v>
      </c>
      <c r="M120" s="79">
        <v>4.1929999999999996</v>
      </c>
      <c r="N120" s="80">
        <f t="shared" si="58"/>
        <v>2.5</v>
      </c>
      <c r="P120" s="96">
        <v>33.433999999999997</v>
      </c>
      <c r="Q120" s="96">
        <v>32.732999999999997</v>
      </c>
      <c r="R120" s="80">
        <f t="shared" si="59"/>
        <v>35</v>
      </c>
      <c r="S120" s="96">
        <v>17.422000000000001</v>
      </c>
      <c r="T120" s="79">
        <v>23.989000000000001</v>
      </c>
      <c r="V120" s="80">
        <v>41.332999999999998</v>
      </c>
      <c r="W120" s="80">
        <v>41.164999999999999</v>
      </c>
      <c r="X120" s="79">
        <v>58.313000000000002</v>
      </c>
      <c r="Y120" s="79">
        <v>94.244</v>
      </c>
      <c r="Z120" s="80">
        <v>56.765000000000001</v>
      </c>
    </row>
    <row r="121" spans="1:26">
      <c r="A121" s="74">
        <v>45717</v>
      </c>
      <c r="B121" s="79">
        <v>35.393000000000001</v>
      </c>
      <c r="C121" s="79">
        <v>77.432000000000002</v>
      </c>
      <c r="E121" s="79">
        <v>188.203</v>
      </c>
      <c r="F121" s="80">
        <v>185.154</v>
      </c>
      <c r="G121" s="80">
        <f t="shared" si="64"/>
        <v>4.9000000000000004</v>
      </c>
      <c r="H121" s="79">
        <v>293.47500000000002</v>
      </c>
      <c r="I121" s="135">
        <f t="shared" si="27"/>
        <v>0.98379940808594968</v>
      </c>
      <c r="J121" s="80">
        <f t="shared" si="62"/>
        <v>2.9000000000000004</v>
      </c>
      <c r="K121" s="80">
        <f t="shared" si="63"/>
        <v>2.9000000000000004</v>
      </c>
      <c r="L121" s="79">
        <v>8.9629999999999992</v>
      </c>
      <c r="M121" s="79">
        <v>5.2430000000000003</v>
      </c>
      <c r="N121" s="80">
        <f t="shared" si="58"/>
        <v>2.5</v>
      </c>
      <c r="P121" s="96">
        <v>36.866999999999997</v>
      </c>
      <c r="Q121" s="96">
        <v>36.305</v>
      </c>
      <c r="R121" s="80">
        <f t="shared" si="59"/>
        <v>35</v>
      </c>
      <c r="S121" s="96">
        <v>21.945</v>
      </c>
      <c r="T121" s="79">
        <v>25.111999999999998</v>
      </c>
      <c r="V121" s="80">
        <v>36.762999999999998</v>
      </c>
      <c r="W121" s="80">
        <v>36.497999999999998</v>
      </c>
      <c r="X121" s="79">
        <v>57.862000000000002</v>
      </c>
      <c r="Y121" s="79">
        <v>68.254000000000005</v>
      </c>
      <c r="Z121" s="80">
        <v>56.512</v>
      </c>
    </row>
    <row r="122" spans="1:26">
      <c r="A122" s="74">
        <v>45748</v>
      </c>
      <c r="B122" s="79">
        <v>31.553000000000001</v>
      </c>
      <c r="C122" s="79">
        <v>99.349000000000004</v>
      </c>
      <c r="E122" s="79">
        <v>161.87100000000001</v>
      </c>
      <c r="F122" s="80">
        <v>159.071</v>
      </c>
      <c r="G122" s="80">
        <f t="shared" si="64"/>
        <v>5.2</v>
      </c>
      <c r="H122" s="79">
        <v>308.286</v>
      </c>
      <c r="I122" s="135">
        <f t="shared" si="27"/>
        <v>0.98270227526857801</v>
      </c>
      <c r="J122" s="80">
        <f t="shared" si="62"/>
        <v>2.9000000000000004</v>
      </c>
      <c r="K122" s="80">
        <f t="shared" si="63"/>
        <v>2.9000000000000004</v>
      </c>
      <c r="L122" s="79">
        <v>10.162000000000001</v>
      </c>
      <c r="M122" s="79">
        <v>4.9349999999999996</v>
      </c>
      <c r="N122" s="80">
        <f t="shared" si="58"/>
        <v>2.5</v>
      </c>
      <c r="P122" s="96">
        <v>36.664000000000001</v>
      </c>
      <c r="Q122" s="96">
        <v>35.811</v>
      </c>
      <c r="R122" s="80">
        <f t="shared" si="59"/>
        <v>35</v>
      </c>
      <c r="S122" s="96">
        <v>15.379</v>
      </c>
      <c r="T122" s="79">
        <v>25.658000000000001</v>
      </c>
      <c r="V122" s="80">
        <v>34.915999999999997</v>
      </c>
      <c r="W122" s="80">
        <v>34.692</v>
      </c>
      <c r="X122" s="79">
        <v>43.081000000000003</v>
      </c>
      <c r="Y122" s="79">
        <v>82.451999999999998</v>
      </c>
      <c r="Z122" s="80">
        <f t="shared" si="65"/>
        <v>61.7</v>
      </c>
    </row>
    <row r="123" spans="1:26">
      <c r="A123" s="74">
        <v>45778</v>
      </c>
      <c r="B123" s="79">
        <v>35.652999999999999</v>
      </c>
      <c r="C123" s="79">
        <v>112.407</v>
      </c>
      <c r="E123" s="79">
        <v>178.23699999999999</v>
      </c>
      <c r="F123" s="80">
        <v>175.85499999999999</v>
      </c>
      <c r="G123" s="80">
        <v>2.3820000000000001</v>
      </c>
      <c r="H123" s="79">
        <v>282.44499999999999</v>
      </c>
      <c r="I123" s="135">
        <f t="shared" si="27"/>
        <v>0.98663577147281423</v>
      </c>
      <c r="J123" s="80">
        <f t="shared" si="62"/>
        <v>2.9000000000000004</v>
      </c>
      <c r="K123" s="80">
        <f t="shared" si="63"/>
        <v>2.9000000000000004</v>
      </c>
      <c r="L123" s="79">
        <v>8.1219999999999999</v>
      </c>
      <c r="M123" s="79">
        <v>5.99</v>
      </c>
      <c r="N123" s="80">
        <f t="shared" si="58"/>
        <v>2.5</v>
      </c>
      <c r="P123" s="96">
        <v>15.259</v>
      </c>
      <c r="Q123" s="96">
        <v>14.92</v>
      </c>
      <c r="R123" s="80">
        <f t="shared" si="59"/>
        <v>22</v>
      </c>
      <c r="S123" s="96">
        <v>18.989000000000001</v>
      </c>
      <c r="T123" s="79">
        <v>18.128</v>
      </c>
      <c r="V123" s="80">
        <v>29.832999999999998</v>
      </c>
      <c r="W123" s="80">
        <v>29.716999999999999</v>
      </c>
      <c r="X123" s="79">
        <v>40.588999999999999</v>
      </c>
      <c r="Y123" s="79">
        <v>62.835000000000001</v>
      </c>
      <c r="Z123" s="80">
        <f t="shared" si="65"/>
        <v>57.2</v>
      </c>
    </row>
    <row r="124" spans="1:26">
      <c r="A124" s="74">
        <v>45809</v>
      </c>
      <c r="B124" s="79">
        <v>43.387</v>
      </c>
      <c r="C124" s="79">
        <v>102.584</v>
      </c>
      <c r="E124" s="79">
        <v>170.589</v>
      </c>
      <c r="F124" s="80">
        <v>170.155</v>
      </c>
      <c r="G124" s="80">
        <v>0.432</v>
      </c>
      <c r="H124" s="79">
        <v>301.31900000000002</v>
      </c>
      <c r="I124" s="135">
        <f t="shared" si="27"/>
        <v>0.9974558734736706</v>
      </c>
      <c r="J124" s="80">
        <f t="shared" si="62"/>
        <v>3.1</v>
      </c>
      <c r="K124" s="80">
        <f t="shared" si="63"/>
        <v>3.1</v>
      </c>
      <c r="L124" s="79">
        <v>8.2289999999999992</v>
      </c>
      <c r="M124" s="79">
        <v>10.314</v>
      </c>
      <c r="N124" s="80">
        <f t="shared" si="58"/>
        <v>2.5</v>
      </c>
      <c r="P124" s="96">
        <v>32.331000000000003</v>
      </c>
      <c r="Q124" s="96">
        <v>31.574999999999999</v>
      </c>
      <c r="R124" s="80">
        <f t="shared" si="59"/>
        <v>27</v>
      </c>
      <c r="S124" s="96">
        <v>20.25</v>
      </c>
      <c r="T124" s="79">
        <v>22.87</v>
      </c>
      <c r="V124" s="80">
        <v>30.074999999999999</v>
      </c>
      <c r="W124" s="80">
        <v>29.86</v>
      </c>
      <c r="X124" s="79">
        <v>35.600999999999999</v>
      </c>
      <c r="Y124" s="79">
        <v>61.215000000000003</v>
      </c>
      <c r="Z124" s="80">
        <v>47.07</v>
      </c>
    </row>
    <row r="125" spans="1:26">
      <c r="A125" s="74">
        <v>45839</v>
      </c>
      <c r="F125" s="80"/>
      <c r="G125" s="80"/>
      <c r="I125" s="135"/>
      <c r="J125" s="80"/>
      <c r="K125" s="80"/>
      <c r="N125" s="80"/>
      <c r="P125" s="96"/>
      <c r="Q125" s="96"/>
      <c r="R125" s="80"/>
      <c r="S125" s="96"/>
      <c r="V125" s="80"/>
      <c r="W125" s="80"/>
      <c r="Z125" s="80"/>
    </row>
    <row r="126" spans="1:26">
      <c r="A126" s="74"/>
      <c r="D126" s="79"/>
      <c r="H126" s="134"/>
      <c r="J126" s="80"/>
      <c r="K126" s="80"/>
      <c r="L126" s="80"/>
      <c r="M126" s="80"/>
      <c r="N126" s="80"/>
      <c r="S126" s="80"/>
      <c r="Z126" s="80"/>
    </row>
    <row r="127" spans="1:26">
      <c r="A127" s="93"/>
      <c r="B127" s="94"/>
      <c r="C127" s="94"/>
      <c r="D127" s="92"/>
      <c r="E127" s="94"/>
      <c r="F127" s="94"/>
      <c r="G127" s="94"/>
      <c r="H127" s="94"/>
      <c r="I127" s="92"/>
      <c r="J127" s="95"/>
      <c r="K127" s="95"/>
      <c r="L127" s="95"/>
      <c r="M127" s="95"/>
      <c r="N127" s="95"/>
      <c r="O127" s="92"/>
      <c r="P127" s="94"/>
      <c r="Q127" s="94"/>
      <c r="R127" s="94"/>
      <c r="S127" s="95"/>
      <c r="T127" s="94"/>
      <c r="U127" s="92"/>
      <c r="V127" s="94"/>
      <c r="W127" s="94"/>
      <c r="X127" s="94"/>
      <c r="Y127" s="94"/>
      <c r="Z127" s="95"/>
    </row>
    <row r="129" spans="1:26" hidden="1">
      <c r="A129" s="74">
        <f t="shared" ref="A129:A166" si="66">A80</f>
        <v>44470</v>
      </c>
      <c r="B129" s="79">
        <f t="shared" ref="B129:C159" si="67">B80-B170</f>
        <v>0</v>
      </c>
      <c r="C129" s="79">
        <f t="shared" si="67"/>
        <v>0</v>
      </c>
      <c r="D129" s="79"/>
      <c r="E129" s="79">
        <f t="shared" ref="E129:H159" si="68">E80-E170</f>
        <v>-7.3429999999999893</v>
      </c>
      <c r="F129" s="79">
        <f t="shared" si="68"/>
        <v>-7.2870000000000061</v>
      </c>
      <c r="G129" s="79">
        <f t="shared" si="68"/>
        <v>-5.600000000000005E-2</v>
      </c>
      <c r="H129" s="79">
        <f t="shared" si="68"/>
        <v>10.364999999999952</v>
      </c>
      <c r="I129" s="79"/>
      <c r="J129" s="79">
        <f t="shared" ref="J129:N138" si="69">J80-J170</f>
        <v>0.39999999999999947</v>
      </c>
      <c r="K129" s="79">
        <f t="shared" si="69"/>
        <v>0.39999999999999947</v>
      </c>
      <c r="L129" s="79">
        <f t="shared" si="69"/>
        <v>0</v>
      </c>
      <c r="M129" s="79">
        <f t="shared" si="69"/>
        <v>-1.2000000000000011</v>
      </c>
      <c r="N129" s="79">
        <f t="shared" si="69"/>
        <v>9.9999999999999867E-2</v>
      </c>
      <c r="O129" s="79"/>
      <c r="P129" s="79">
        <f t="shared" ref="P129:T138" si="70">P80-P170</f>
        <v>0</v>
      </c>
      <c r="Q129" s="79">
        <f t="shared" si="70"/>
        <v>0</v>
      </c>
      <c r="R129" s="79">
        <f t="shared" si="70"/>
        <v>0</v>
      </c>
      <c r="S129" s="79">
        <f t="shared" si="70"/>
        <v>0</v>
      </c>
      <c r="T129" s="79">
        <f t="shared" si="70"/>
        <v>0</v>
      </c>
      <c r="U129" s="79"/>
      <c r="V129" s="79">
        <f t="shared" ref="V129:Z138" si="71">V80-V170</f>
        <v>0</v>
      </c>
      <c r="W129" s="79">
        <f t="shared" si="71"/>
        <v>0</v>
      </c>
      <c r="X129" s="79">
        <f t="shared" si="71"/>
        <v>3.4200000000000017</v>
      </c>
      <c r="Y129" s="79">
        <f t="shared" si="71"/>
        <v>-21.839999999999996</v>
      </c>
      <c r="Z129" s="79">
        <f t="shared" si="71"/>
        <v>2.7999999999999972</v>
      </c>
    </row>
    <row r="130" spans="1:26" hidden="1">
      <c r="A130" s="74">
        <f t="shared" si="66"/>
        <v>44501</v>
      </c>
      <c r="B130" s="79">
        <f t="shared" si="67"/>
        <v>0.60800000000000409</v>
      </c>
      <c r="C130" s="79">
        <f t="shared" si="67"/>
        <v>-1.2560000000000002</v>
      </c>
      <c r="D130" s="79"/>
      <c r="E130" s="79">
        <f t="shared" si="68"/>
        <v>6.796999999999997</v>
      </c>
      <c r="F130" s="79">
        <f t="shared" si="68"/>
        <v>0.51200000000000045</v>
      </c>
      <c r="G130" s="79">
        <f t="shared" si="68"/>
        <v>6.2849999999999993</v>
      </c>
      <c r="H130" s="79">
        <f t="shared" si="68"/>
        <v>-4.8929999999999723</v>
      </c>
      <c r="I130" s="79"/>
      <c r="J130" s="79">
        <f t="shared" si="69"/>
        <v>-1.1000000000000001</v>
      </c>
      <c r="K130" s="79">
        <f t="shared" si="69"/>
        <v>-1.1000000000000001</v>
      </c>
      <c r="L130" s="79">
        <f t="shared" si="69"/>
        <v>-1.1000000000000005</v>
      </c>
      <c r="M130" s="79">
        <f t="shared" si="69"/>
        <v>-0.80000000000000071</v>
      </c>
      <c r="N130" s="79">
        <f t="shared" si="69"/>
        <v>0.10000000000000009</v>
      </c>
      <c r="O130" s="79"/>
      <c r="P130" s="79">
        <f t="shared" si="70"/>
        <v>-8.2630000000000052</v>
      </c>
      <c r="Q130" s="79">
        <f t="shared" si="70"/>
        <v>-7.911999999999999</v>
      </c>
      <c r="R130" s="79">
        <f t="shared" si="70"/>
        <v>-7.884999999999998</v>
      </c>
      <c r="S130" s="79">
        <f t="shared" si="70"/>
        <v>6.6119999999999983</v>
      </c>
      <c r="T130" s="79">
        <f t="shared" si="70"/>
        <v>-2.7000000000001023E-2</v>
      </c>
      <c r="U130" s="79"/>
      <c r="V130" s="79">
        <f t="shared" si="71"/>
        <v>0</v>
      </c>
      <c r="W130" s="79">
        <f t="shared" si="71"/>
        <v>0</v>
      </c>
      <c r="X130" s="79">
        <f t="shared" si="71"/>
        <v>-0.1980000000000004</v>
      </c>
      <c r="Y130" s="79">
        <f t="shared" si="71"/>
        <v>0</v>
      </c>
      <c r="Z130" s="79">
        <f t="shared" si="71"/>
        <v>-0.20000000000000284</v>
      </c>
    </row>
    <row r="131" spans="1:26" hidden="1">
      <c r="A131" s="74">
        <f t="shared" si="66"/>
        <v>44531</v>
      </c>
      <c r="B131" s="79">
        <f t="shared" si="67"/>
        <v>0</v>
      </c>
      <c r="C131" s="79">
        <f t="shared" si="67"/>
        <v>0</v>
      </c>
      <c r="D131" s="79"/>
      <c r="E131" s="79">
        <f t="shared" si="68"/>
        <v>0</v>
      </c>
      <c r="F131" s="79">
        <f t="shared" si="68"/>
        <v>0</v>
      </c>
      <c r="G131" s="79">
        <f t="shared" si="68"/>
        <v>0</v>
      </c>
      <c r="H131" s="79">
        <f t="shared" si="68"/>
        <v>0</v>
      </c>
      <c r="I131" s="79"/>
      <c r="J131" s="79">
        <f t="shared" si="69"/>
        <v>-0.60000000000000009</v>
      </c>
      <c r="K131" s="79">
        <f t="shared" si="69"/>
        <v>-0.60000000000000009</v>
      </c>
      <c r="L131" s="79">
        <f t="shared" si="69"/>
        <v>0</v>
      </c>
      <c r="M131" s="79">
        <f t="shared" si="69"/>
        <v>-1.512</v>
      </c>
      <c r="N131" s="79">
        <f t="shared" si="69"/>
        <v>-0.98799999999999999</v>
      </c>
      <c r="O131" s="79"/>
      <c r="P131" s="79">
        <f t="shared" si="70"/>
        <v>0</v>
      </c>
      <c r="Q131" s="79">
        <f t="shared" si="70"/>
        <v>0</v>
      </c>
      <c r="R131" s="79">
        <f t="shared" si="70"/>
        <v>0</v>
      </c>
      <c r="S131" s="79">
        <f t="shared" si="70"/>
        <v>-15</v>
      </c>
      <c r="T131" s="79">
        <f t="shared" si="70"/>
        <v>0</v>
      </c>
      <c r="U131" s="79"/>
      <c r="V131" s="79">
        <f t="shared" si="71"/>
        <v>0</v>
      </c>
      <c r="W131" s="79">
        <f t="shared" si="71"/>
        <v>0</v>
      </c>
      <c r="X131" s="79">
        <f t="shared" si="71"/>
        <v>0</v>
      </c>
      <c r="Y131" s="79">
        <f t="shared" si="71"/>
        <v>0</v>
      </c>
      <c r="Z131" s="79">
        <f t="shared" si="71"/>
        <v>0</v>
      </c>
    </row>
    <row r="132" spans="1:26" hidden="1">
      <c r="A132" s="74">
        <f t="shared" si="66"/>
        <v>44562</v>
      </c>
      <c r="B132" s="79">
        <f t="shared" si="67"/>
        <v>0</v>
      </c>
      <c r="C132" s="79">
        <f t="shared" si="67"/>
        <v>0</v>
      </c>
      <c r="D132" s="79"/>
      <c r="E132" s="79">
        <f t="shared" si="68"/>
        <v>0</v>
      </c>
      <c r="F132" s="79">
        <f t="shared" si="68"/>
        <v>-9.7009999999999934</v>
      </c>
      <c r="G132" s="79">
        <f t="shared" si="68"/>
        <v>2.1</v>
      </c>
      <c r="H132" s="79">
        <f t="shared" si="68"/>
        <v>0</v>
      </c>
      <c r="I132" s="79"/>
      <c r="J132" s="79">
        <f t="shared" si="69"/>
        <v>3</v>
      </c>
      <c r="K132" s="79">
        <f t="shared" si="69"/>
        <v>3.0999999999999996</v>
      </c>
      <c r="L132" s="79">
        <f t="shared" si="69"/>
        <v>1.2000000000000002</v>
      </c>
      <c r="M132" s="79">
        <f t="shared" si="69"/>
        <v>8.516</v>
      </c>
      <c r="N132" s="79">
        <f t="shared" si="69"/>
        <v>-8.016</v>
      </c>
      <c r="O132" s="79"/>
      <c r="P132" s="79">
        <f t="shared" si="70"/>
        <v>0</v>
      </c>
      <c r="Q132" s="79">
        <f t="shared" si="70"/>
        <v>0</v>
      </c>
      <c r="R132" s="79">
        <f t="shared" si="70"/>
        <v>0</v>
      </c>
      <c r="S132" s="79">
        <f t="shared" si="70"/>
        <v>-16.300000000000004</v>
      </c>
      <c r="T132" s="79">
        <f t="shared" si="70"/>
        <v>0</v>
      </c>
      <c r="U132" s="79"/>
      <c r="V132" s="79">
        <f t="shared" si="71"/>
        <v>0</v>
      </c>
      <c r="W132" s="79">
        <f t="shared" si="71"/>
        <v>0</v>
      </c>
      <c r="X132" s="79">
        <f t="shared" si="71"/>
        <v>0</v>
      </c>
      <c r="Y132" s="79">
        <f t="shared" si="71"/>
        <v>-4.7939999999999969</v>
      </c>
      <c r="Z132" s="79">
        <f t="shared" si="71"/>
        <v>0.29999999999999716</v>
      </c>
    </row>
    <row r="133" spans="1:26" hidden="1">
      <c r="A133" s="74">
        <f t="shared" si="66"/>
        <v>44593</v>
      </c>
      <c r="B133" s="79">
        <f t="shared" si="67"/>
        <v>0</v>
      </c>
      <c r="C133" s="79">
        <f t="shared" si="67"/>
        <v>0</v>
      </c>
      <c r="D133" s="79"/>
      <c r="E133" s="79">
        <f t="shared" si="68"/>
        <v>0.91700000000000159</v>
      </c>
      <c r="F133" s="79">
        <f t="shared" si="68"/>
        <v>0.91700000000000159</v>
      </c>
      <c r="G133" s="79">
        <f t="shared" si="68"/>
        <v>0</v>
      </c>
      <c r="H133" s="79">
        <f t="shared" si="68"/>
        <v>-0.44700000000000273</v>
      </c>
      <c r="I133" s="79"/>
      <c r="J133" s="79">
        <f t="shared" si="69"/>
        <v>0.80000000000000027</v>
      </c>
      <c r="K133" s="79">
        <f t="shared" si="69"/>
        <v>0.90000000000000036</v>
      </c>
      <c r="L133" s="79">
        <f t="shared" si="69"/>
        <v>0</v>
      </c>
      <c r="M133" s="79">
        <f t="shared" si="69"/>
        <v>2.3280000000000003</v>
      </c>
      <c r="N133" s="79">
        <f t="shared" si="69"/>
        <v>0</v>
      </c>
      <c r="O133" s="79"/>
      <c r="P133" s="79">
        <f t="shared" si="70"/>
        <v>0</v>
      </c>
      <c r="Q133" s="79">
        <f t="shared" si="70"/>
        <v>0</v>
      </c>
      <c r="R133" s="79">
        <f t="shared" si="70"/>
        <v>0</v>
      </c>
      <c r="S133" s="79">
        <f t="shared" si="70"/>
        <v>-16.799999999999997</v>
      </c>
      <c r="T133" s="79">
        <f t="shared" si="70"/>
        <v>0</v>
      </c>
      <c r="U133" s="79"/>
      <c r="V133" s="79">
        <f t="shared" si="71"/>
        <v>0</v>
      </c>
      <c r="W133" s="79">
        <f t="shared" si="71"/>
        <v>0</v>
      </c>
      <c r="X133" s="79">
        <f t="shared" si="71"/>
        <v>0</v>
      </c>
      <c r="Y133" s="79">
        <f t="shared" si="71"/>
        <v>-2.7609999999999957</v>
      </c>
      <c r="Z133" s="79">
        <f t="shared" si="71"/>
        <v>0.30000000000000426</v>
      </c>
    </row>
    <row r="134" spans="1:26" hidden="1">
      <c r="A134" s="74">
        <f t="shared" si="66"/>
        <v>44621</v>
      </c>
      <c r="B134" s="79">
        <f t="shared" si="67"/>
        <v>0</v>
      </c>
      <c r="C134" s="79">
        <f t="shared" si="67"/>
        <v>0</v>
      </c>
      <c r="D134" s="79"/>
      <c r="E134" s="79">
        <f t="shared" si="68"/>
        <v>5.1440000000000055</v>
      </c>
      <c r="F134" s="79">
        <f t="shared" si="68"/>
        <v>5.6599999999999966</v>
      </c>
      <c r="G134" s="79">
        <f t="shared" si="68"/>
        <v>-0.51600000000000001</v>
      </c>
      <c r="H134" s="79">
        <f t="shared" si="68"/>
        <v>0.77800000000002001</v>
      </c>
      <c r="I134" s="79"/>
      <c r="J134" s="79">
        <f t="shared" si="69"/>
        <v>0.80000000000000027</v>
      </c>
      <c r="K134" s="79">
        <f t="shared" si="69"/>
        <v>0.89999999999999991</v>
      </c>
      <c r="L134" s="79">
        <f t="shared" si="69"/>
        <v>0</v>
      </c>
      <c r="M134" s="79">
        <f t="shared" si="69"/>
        <v>6.3</v>
      </c>
      <c r="N134" s="79">
        <f t="shared" si="69"/>
        <v>-2.5</v>
      </c>
      <c r="O134" s="79"/>
      <c r="P134" s="79">
        <f t="shared" si="70"/>
        <v>0</v>
      </c>
      <c r="Q134" s="79">
        <f t="shared" si="70"/>
        <v>0</v>
      </c>
      <c r="R134" s="79">
        <f t="shared" si="70"/>
        <v>0</v>
      </c>
      <c r="S134" s="79">
        <f t="shared" si="70"/>
        <v>-15.400000000000002</v>
      </c>
      <c r="T134" s="79">
        <f t="shared" si="70"/>
        <v>0</v>
      </c>
      <c r="U134" s="79"/>
      <c r="V134" s="79">
        <f t="shared" si="71"/>
        <v>7.4140000000000015</v>
      </c>
      <c r="W134" s="79">
        <f t="shared" si="71"/>
        <v>7.2449999999999974</v>
      </c>
      <c r="X134" s="79">
        <f t="shared" si="71"/>
        <v>-4.5760000000000005</v>
      </c>
      <c r="Y134" s="79">
        <f t="shared" si="71"/>
        <v>16.563999999999993</v>
      </c>
      <c r="Z134" s="79">
        <f t="shared" si="71"/>
        <v>-4</v>
      </c>
    </row>
    <row r="135" spans="1:26" hidden="1">
      <c r="A135" s="74">
        <f t="shared" si="66"/>
        <v>44652</v>
      </c>
      <c r="B135" s="79">
        <f t="shared" si="67"/>
        <v>0</v>
      </c>
      <c r="C135" s="79">
        <f t="shared" si="67"/>
        <v>0</v>
      </c>
      <c r="D135" s="79"/>
      <c r="E135" s="79">
        <f t="shared" si="68"/>
        <v>-5.0790000000000077</v>
      </c>
      <c r="F135" s="79">
        <f t="shared" si="68"/>
        <v>-4.7760000000000105</v>
      </c>
      <c r="G135" s="79">
        <f t="shared" si="68"/>
        <v>-0.30299999999999994</v>
      </c>
      <c r="H135" s="79">
        <f t="shared" si="68"/>
        <v>-5.5090000000000146</v>
      </c>
      <c r="I135" s="79"/>
      <c r="J135" s="79">
        <f t="shared" si="69"/>
        <v>1.9</v>
      </c>
      <c r="K135" s="79">
        <f t="shared" si="69"/>
        <v>2</v>
      </c>
      <c r="L135" s="79">
        <f t="shared" si="69"/>
        <v>9.9999999999999645E-2</v>
      </c>
      <c r="M135" s="79">
        <f t="shared" si="69"/>
        <v>5.5449999999999999</v>
      </c>
      <c r="N135" s="79">
        <f t="shared" si="69"/>
        <v>-2.1</v>
      </c>
      <c r="O135" s="79"/>
      <c r="P135" s="79">
        <f t="shared" si="70"/>
        <v>0.20900000000000318</v>
      </c>
      <c r="Q135" s="79">
        <f t="shared" si="70"/>
        <v>0.31900000000000261</v>
      </c>
      <c r="R135" s="79">
        <f t="shared" si="70"/>
        <v>0.10500000000000398</v>
      </c>
      <c r="S135" s="79">
        <f t="shared" si="70"/>
        <v>-15.600000000000001</v>
      </c>
      <c r="T135" s="79">
        <f t="shared" si="70"/>
        <v>-8.9999999999999858E-2</v>
      </c>
      <c r="U135" s="79"/>
      <c r="V135" s="79">
        <f t="shared" si="71"/>
        <v>-2.0579999999999998</v>
      </c>
      <c r="W135" s="79">
        <f t="shared" si="71"/>
        <v>-2.0260000000000034</v>
      </c>
      <c r="X135" s="79">
        <f t="shared" si="71"/>
        <v>1.6559999999999917</v>
      </c>
      <c r="Y135" s="79">
        <f t="shared" si="71"/>
        <v>8.1069999999999993</v>
      </c>
      <c r="Z135" s="79">
        <f t="shared" si="71"/>
        <v>1.6000000000000014</v>
      </c>
    </row>
    <row r="136" spans="1:26" hidden="1">
      <c r="A136" s="74">
        <f t="shared" si="66"/>
        <v>44682</v>
      </c>
      <c r="B136" s="79">
        <f t="shared" si="67"/>
        <v>0</v>
      </c>
      <c r="C136" s="79">
        <f t="shared" si="67"/>
        <v>0</v>
      </c>
      <c r="D136" s="79"/>
      <c r="E136" s="79">
        <f t="shared" si="68"/>
        <v>0.23399999999998045</v>
      </c>
      <c r="F136" s="79">
        <f t="shared" si="68"/>
        <v>0.33500000000000796</v>
      </c>
      <c r="G136" s="79">
        <f t="shared" si="68"/>
        <v>-0.10099999999999998</v>
      </c>
      <c r="H136" s="79">
        <f t="shared" si="68"/>
        <v>-3.6469999999999914</v>
      </c>
      <c r="I136" s="79"/>
      <c r="J136" s="79">
        <f t="shared" si="69"/>
        <v>0</v>
      </c>
      <c r="K136" s="79">
        <f t="shared" si="69"/>
        <v>0</v>
      </c>
      <c r="L136" s="79">
        <f t="shared" si="69"/>
        <v>0</v>
      </c>
      <c r="M136" s="79">
        <f t="shared" si="69"/>
        <v>0</v>
      </c>
      <c r="N136" s="79">
        <f t="shared" si="69"/>
        <v>-3.1000000000000005</v>
      </c>
      <c r="O136" s="79"/>
      <c r="P136" s="79">
        <f t="shared" si="70"/>
        <v>0</v>
      </c>
      <c r="Q136" s="79">
        <f t="shared" si="70"/>
        <v>0</v>
      </c>
      <c r="R136" s="79">
        <f t="shared" si="70"/>
        <v>0</v>
      </c>
      <c r="S136" s="79">
        <f t="shared" si="70"/>
        <v>-17.3</v>
      </c>
      <c r="T136" s="79">
        <f t="shared" si="70"/>
        <v>0</v>
      </c>
      <c r="U136" s="79"/>
      <c r="V136" s="79">
        <f t="shared" si="71"/>
        <v>3.8909999999999982</v>
      </c>
      <c r="W136" s="79">
        <f t="shared" si="71"/>
        <v>3.786999999999999</v>
      </c>
      <c r="X136" s="79">
        <f t="shared" si="71"/>
        <v>10.861999999999995</v>
      </c>
      <c r="Y136" s="79">
        <f t="shared" si="71"/>
        <v>6.0800000000000125</v>
      </c>
      <c r="Z136" s="79">
        <f t="shared" si="71"/>
        <v>10.599999999999994</v>
      </c>
    </row>
    <row r="137" spans="1:26" hidden="1">
      <c r="A137" s="74">
        <f t="shared" si="66"/>
        <v>44713</v>
      </c>
      <c r="B137" s="79">
        <f t="shared" si="67"/>
        <v>0</v>
      </c>
      <c r="C137" s="79">
        <f t="shared" si="67"/>
        <v>0</v>
      </c>
      <c r="D137" s="79"/>
      <c r="E137" s="79">
        <f t="shared" si="68"/>
        <v>0</v>
      </c>
      <c r="F137" s="79">
        <f t="shared" si="68"/>
        <v>0</v>
      </c>
      <c r="G137" s="79">
        <f t="shared" si="68"/>
        <v>0</v>
      </c>
      <c r="H137" s="79">
        <f t="shared" si="68"/>
        <v>0</v>
      </c>
      <c r="I137" s="79"/>
      <c r="J137" s="79">
        <f t="shared" si="69"/>
        <v>1.2999999999999998</v>
      </c>
      <c r="K137" s="79">
        <f t="shared" si="69"/>
        <v>1.4</v>
      </c>
      <c r="L137" s="79">
        <f t="shared" si="69"/>
        <v>0</v>
      </c>
      <c r="M137" s="79">
        <f t="shared" si="69"/>
        <v>0</v>
      </c>
      <c r="N137" s="79">
        <f t="shared" si="69"/>
        <v>-3</v>
      </c>
      <c r="O137" s="79"/>
      <c r="P137" s="79">
        <f t="shared" si="70"/>
        <v>0</v>
      </c>
      <c r="Q137" s="79">
        <f t="shared" si="70"/>
        <v>0</v>
      </c>
      <c r="R137" s="79">
        <f t="shared" si="70"/>
        <v>0</v>
      </c>
      <c r="S137" s="79">
        <f t="shared" si="70"/>
        <v>0</v>
      </c>
      <c r="T137" s="79">
        <f t="shared" si="70"/>
        <v>0</v>
      </c>
      <c r="U137" s="79"/>
      <c r="V137" s="79">
        <f t="shared" si="71"/>
        <v>0</v>
      </c>
      <c r="W137" s="79">
        <f t="shared" si="71"/>
        <v>0</v>
      </c>
      <c r="X137" s="79">
        <f t="shared" si="71"/>
        <v>0</v>
      </c>
      <c r="Y137" s="79">
        <f t="shared" si="71"/>
        <v>0</v>
      </c>
      <c r="Z137" s="79">
        <f t="shared" si="71"/>
        <v>0.69999999999999574</v>
      </c>
    </row>
    <row r="138" spans="1:26" hidden="1">
      <c r="A138" s="74">
        <f t="shared" si="66"/>
        <v>44743</v>
      </c>
      <c r="B138" s="79">
        <f t="shared" si="67"/>
        <v>0</v>
      </c>
      <c r="C138" s="79">
        <f t="shared" si="67"/>
        <v>0</v>
      </c>
      <c r="D138" s="79"/>
      <c r="E138" s="79">
        <f t="shared" si="68"/>
        <v>0</v>
      </c>
      <c r="F138" s="79">
        <f t="shared" si="68"/>
        <v>0</v>
      </c>
      <c r="G138" s="79">
        <f t="shared" si="68"/>
        <v>0</v>
      </c>
      <c r="H138" s="79">
        <f t="shared" si="68"/>
        <v>0</v>
      </c>
      <c r="I138" s="79"/>
      <c r="J138" s="79">
        <f t="shared" si="69"/>
        <v>-0.70000000000000018</v>
      </c>
      <c r="K138" s="79">
        <f t="shared" si="69"/>
        <v>-0.70000000000000018</v>
      </c>
      <c r="L138" s="79">
        <f t="shared" si="69"/>
        <v>0</v>
      </c>
      <c r="M138" s="79">
        <f t="shared" si="69"/>
        <v>0</v>
      </c>
      <c r="N138" s="79">
        <f t="shared" si="69"/>
        <v>-0.30000000000000004</v>
      </c>
      <c r="O138" s="79"/>
      <c r="P138" s="79">
        <f t="shared" si="70"/>
        <v>0</v>
      </c>
      <c r="Q138" s="79">
        <f t="shared" si="70"/>
        <v>0</v>
      </c>
      <c r="R138" s="79">
        <f t="shared" si="70"/>
        <v>0</v>
      </c>
      <c r="S138" s="79">
        <f t="shared" si="70"/>
        <v>-9.7000000000000028</v>
      </c>
      <c r="T138" s="79">
        <f t="shared" si="70"/>
        <v>0</v>
      </c>
      <c r="U138" s="79"/>
      <c r="V138" s="79">
        <f t="shared" si="71"/>
        <v>0</v>
      </c>
      <c r="W138" s="79">
        <f t="shared" si="71"/>
        <v>0</v>
      </c>
      <c r="X138" s="79">
        <f t="shared" si="71"/>
        <v>0</v>
      </c>
      <c r="Y138" s="79">
        <f t="shared" si="71"/>
        <v>0</v>
      </c>
      <c r="Z138" s="79">
        <f t="shared" si="71"/>
        <v>0</v>
      </c>
    </row>
    <row r="139" spans="1:26" hidden="1">
      <c r="A139" s="74">
        <f t="shared" si="66"/>
        <v>44774</v>
      </c>
      <c r="B139" s="79">
        <f t="shared" si="67"/>
        <v>0</v>
      </c>
      <c r="C139" s="79">
        <f t="shared" si="67"/>
        <v>0</v>
      </c>
      <c r="D139" s="79"/>
      <c r="E139" s="79">
        <f t="shared" si="68"/>
        <v>1.7680000000000007</v>
      </c>
      <c r="F139" s="79">
        <f t="shared" si="68"/>
        <v>1.5310000000000059</v>
      </c>
      <c r="G139" s="79">
        <f t="shared" si="68"/>
        <v>0.2370000000000001</v>
      </c>
      <c r="H139" s="79">
        <f t="shared" si="68"/>
        <v>-7.3140000000000214</v>
      </c>
      <c r="I139" s="79"/>
      <c r="J139" s="79">
        <f t="shared" ref="J139:N148" si="72">J90-J180</f>
        <v>-1.2000000000000002</v>
      </c>
      <c r="K139" s="79">
        <f t="shared" si="72"/>
        <v>-1.2000000000000002</v>
      </c>
      <c r="L139" s="79">
        <f t="shared" si="72"/>
        <v>-2.2000000000000011</v>
      </c>
      <c r="M139" s="79">
        <f t="shared" si="72"/>
        <v>0</v>
      </c>
      <c r="N139" s="79">
        <f t="shared" si="72"/>
        <v>0</v>
      </c>
      <c r="O139" s="79"/>
      <c r="P139" s="79">
        <f t="shared" ref="P139:T148" si="73">P90-P180</f>
        <v>0</v>
      </c>
      <c r="Q139" s="79">
        <f t="shared" si="73"/>
        <v>0</v>
      </c>
      <c r="R139" s="79">
        <f t="shared" si="73"/>
        <v>0</v>
      </c>
      <c r="S139" s="79">
        <f t="shared" si="73"/>
        <v>10.299999999999997</v>
      </c>
      <c r="T139" s="79">
        <f t="shared" si="73"/>
        <v>0</v>
      </c>
      <c r="U139" s="79"/>
      <c r="V139" s="79">
        <f t="shared" ref="V139:Z148" si="74">V90-V180</f>
        <v>-6.2010000000000005</v>
      </c>
      <c r="W139" s="79">
        <f t="shared" si="74"/>
        <v>-6.0769999999999982</v>
      </c>
      <c r="X139" s="79">
        <f t="shared" si="74"/>
        <v>1.7379999999999995</v>
      </c>
      <c r="Y139" s="79">
        <f t="shared" si="74"/>
        <v>-8.5510000000000019</v>
      </c>
      <c r="Z139" s="79">
        <f t="shared" si="74"/>
        <v>1.7999999999999972</v>
      </c>
    </row>
    <row r="140" spans="1:26" hidden="1">
      <c r="A140" s="74">
        <f t="shared" si="66"/>
        <v>44805</v>
      </c>
      <c r="B140" s="79">
        <f t="shared" si="67"/>
        <v>0</v>
      </c>
      <c r="C140" s="79">
        <f t="shared" si="67"/>
        <v>0</v>
      </c>
      <c r="D140" s="79"/>
      <c r="E140" s="79">
        <f t="shared" si="68"/>
        <v>0</v>
      </c>
      <c r="F140" s="79">
        <f t="shared" si="68"/>
        <v>0</v>
      </c>
      <c r="G140" s="79">
        <f t="shared" si="68"/>
        <v>0</v>
      </c>
      <c r="H140" s="79">
        <f t="shared" si="68"/>
        <v>0</v>
      </c>
      <c r="I140" s="79"/>
      <c r="J140" s="79">
        <f t="shared" si="72"/>
        <v>1.2000000000000002</v>
      </c>
      <c r="K140" s="79">
        <f t="shared" si="72"/>
        <v>1.3000000000000003</v>
      </c>
      <c r="L140" s="79">
        <f t="shared" si="72"/>
        <v>2.2999999999999998</v>
      </c>
      <c r="M140" s="79">
        <f t="shared" si="72"/>
        <v>0</v>
      </c>
      <c r="N140" s="79">
        <f t="shared" si="72"/>
        <v>-2</v>
      </c>
      <c r="O140" s="79"/>
      <c r="P140" s="79">
        <f t="shared" si="73"/>
        <v>0</v>
      </c>
      <c r="Q140" s="79">
        <f t="shared" si="73"/>
        <v>0</v>
      </c>
      <c r="R140" s="79">
        <f t="shared" si="73"/>
        <v>0</v>
      </c>
      <c r="S140" s="79">
        <f t="shared" si="73"/>
        <v>0</v>
      </c>
      <c r="T140" s="79">
        <f t="shared" si="73"/>
        <v>0</v>
      </c>
      <c r="U140" s="79"/>
      <c r="V140" s="79">
        <f t="shared" si="74"/>
        <v>0</v>
      </c>
      <c r="W140" s="79">
        <f t="shared" si="74"/>
        <v>0</v>
      </c>
      <c r="X140" s="79">
        <f t="shared" si="74"/>
        <v>0</v>
      </c>
      <c r="Y140" s="79">
        <f t="shared" si="74"/>
        <v>0</v>
      </c>
      <c r="Z140" s="79">
        <f t="shared" si="74"/>
        <v>0</v>
      </c>
    </row>
    <row r="141" spans="1:26">
      <c r="A141" s="74">
        <f t="shared" si="66"/>
        <v>44835</v>
      </c>
      <c r="B141" s="79">
        <f t="shared" si="67"/>
        <v>0</v>
      </c>
      <c r="C141" s="79">
        <f t="shared" si="67"/>
        <v>0</v>
      </c>
      <c r="D141" s="79"/>
      <c r="E141" s="79">
        <f t="shared" si="68"/>
        <v>10.375</v>
      </c>
      <c r="F141" s="79">
        <f t="shared" si="68"/>
        <v>9.9470000000000027</v>
      </c>
      <c r="G141" s="79">
        <f t="shared" si="68"/>
        <v>0.42799999999999994</v>
      </c>
      <c r="H141" s="79">
        <f t="shared" si="68"/>
        <v>-11.079999999999984</v>
      </c>
      <c r="I141" s="79"/>
      <c r="J141" s="79">
        <f t="shared" si="72"/>
        <v>0.20000000000000018</v>
      </c>
      <c r="K141" s="79">
        <f t="shared" si="72"/>
        <v>0.30000000000000027</v>
      </c>
      <c r="L141" s="79">
        <f t="shared" si="72"/>
        <v>-1.2470000000000008</v>
      </c>
      <c r="M141" s="79">
        <f t="shared" si="72"/>
        <v>-2.8550000000000004</v>
      </c>
      <c r="N141" s="79">
        <f t="shared" si="72"/>
        <v>-0.89999999999999991</v>
      </c>
      <c r="O141" s="79"/>
      <c r="P141" s="79">
        <f t="shared" si="73"/>
        <v>-1.8999999999999986</v>
      </c>
      <c r="Q141" s="79">
        <f t="shared" si="73"/>
        <v>-1.7299999999999969</v>
      </c>
      <c r="R141" s="79">
        <f t="shared" si="73"/>
        <v>-0.50500000000000256</v>
      </c>
      <c r="S141" s="79">
        <f t="shared" si="73"/>
        <v>-6.8070000000000022</v>
      </c>
      <c r="T141" s="79">
        <f t="shared" si="73"/>
        <v>0.31799999999999784</v>
      </c>
      <c r="U141" s="79"/>
      <c r="V141" s="79">
        <f t="shared" si="74"/>
        <v>2.2000000000000028</v>
      </c>
      <c r="W141" s="79">
        <f t="shared" si="74"/>
        <v>2.2049999999999983</v>
      </c>
      <c r="X141" s="79">
        <f t="shared" si="74"/>
        <v>8.1930000000000049</v>
      </c>
      <c r="Y141" s="79">
        <f t="shared" si="74"/>
        <v>-1.9710000000000036</v>
      </c>
      <c r="Z141" s="79">
        <f t="shared" si="74"/>
        <v>8.8999999999999986</v>
      </c>
    </row>
    <row r="142" spans="1:26">
      <c r="A142" s="74">
        <f t="shared" si="66"/>
        <v>44866</v>
      </c>
      <c r="B142" s="79">
        <f t="shared" si="67"/>
        <v>0</v>
      </c>
      <c r="C142" s="79">
        <f t="shared" si="67"/>
        <v>0</v>
      </c>
      <c r="D142" s="79"/>
      <c r="E142" s="79">
        <f t="shared" si="68"/>
        <v>0</v>
      </c>
      <c r="F142" s="79">
        <f t="shared" si="68"/>
        <v>0</v>
      </c>
      <c r="G142" s="79">
        <f t="shared" si="68"/>
        <v>0</v>
      </c>
      <c r="H142" s="79">
        <f t="shared" si="68"/>
        <v>0</v>
      </c>
      <c r="I142" s="79"/>
      <c r="J142" s="79">
        <f t="shared" si="72"/>
        <v>-0.20000000000000018</v>
      </c>
      <c r="K142" s="79">
        <f t="shared" si="72"/>
        <v>-0.10000000000000009</v>
      </c>
      <c r="L142" s="79">
        <f t="shared" si="72"/>
        <v>0</v>
      </c>
      <c r="M142" s="79">
        <f t="shared" si="72"/>
        <v>0</v>
      </c>
      <c r="N142" s="79">
        <f t="shared" si="72"/>
        <v>-1.1999999999999997</v>
      </c>
      <c r="O142" s="79"/>
      <c r="P142" s="79">
        <f t="shared" si="73"/>
        <v>-0.19700000000000273</v>
      </c>
      <c r="Q142" s="79">
        <f t="shared" si="73"/>
        <v>-0.20499999999999829</v>
      </c>
      <c r="R142" s="79">
        <f t="shared" si="73"/>
        <v>2.0810000000000031</v>
      </c>
      <c r="S142" s="79">
        <f t="shared" si="73"/>
        <v>0.2879999999999967</v>
      </c>
      <c r="T142" s="79">
        <f t="shared" si="73"/>
        <v>-0.15400000000000347</v>
      </c>
      <c r="U142" s="79"/>
      <c r="V142" s="79">
        <f t="shared" si="74"/>
        <v>0</v>
      </c>
      <c r="W142" s="79">
        <f t="shared" si="74"/>
        <v>0</v>
      </c>
      <c r="X142" s="79">
        <f t="shared" si="74"/>
        <v>0</v>
      </c>
      <c r="Y142" s="79">
        <f t="shared" si="74"/>
        <v>0</v>
      </c>
      <c r="Z142" s="79">
        <f t="shared" si="74"/>
        <v>0.10000000000000142</v>
      </c>
    </row>
    <row r="143" spans="1:26">
      <c r="A143" s="74">
        <f t="shared" si="66"/>
        <v>44896</v>
      </c>
      <c r="B143" s="79">
        <f t="shared" si="67"/>
        <v>0</v>
      </c>
      <c r="C143" s="79">
        <f t="shared" si="67"/>
        <v>0</v>
      </c>
      <c r="D143" s="79"/>
      <c r="E143" s="79">
        <f t="shared" si="68"/>
        <v>0</v>
      </c>
      <c r="F143" s="79">
        <f t="shared" si="68"/>
        <v>0</v>
      </c>
      <c r="G143" s="79">
        <f t="shared" si="68"/>
        <v>0</v>
      </c>
      <c r="H143" s="79">
        <f t="shared" si="68"/>
        <v>0</v>
      </c>
      <c r="I143" s="79"/>
      <c r="J143" s="79">
        <f t="shared" si="72"/>
        <v>1.7</v>
      </c>
      <c r="K143" s="79">
        <f t="shared" si="72"/>
        <v>1.8</v>
      </c>
      <c r="L143" s="79">
        <f t="shared" si="72"/>
        <v>0</v>
      </c>
      <c r="M143" s="79">
        <f t="shared" si="72"/>
        <v>0</v>
      </c>
      <c r="N143" s="79">
        <f t="shared" si="72"/>
        <v>-1.4</v>
      </c>
      <c r="O143" s="79"/>
      <c r="P143" s="79">
        <f t="shared" si="73"/>
        <v>0</v>
      </c>
      <c r="Q143" s="79">
        <f t="shared" si="73"/>
        <v>0</v>
      </c>
      <c r="R143" s="79">
        <f t="shared" si="73"/>
        <v>0</v>
      </c>
      <c r="S143" s="79">
        <f t="shared" si="73"/>
        <v>0</v>
      </c>
      <c r="T143" s="79">
        <f t="shared" si="73"/>
        <v>0</v>
      </c>
      <c r="U143" s="79"/>
      <c r="V143" s="79">
        <f t="shared" si="74"/>
        <v>0</v>
      </c>
      <c r="W143" s="79">
        <f t="shared" si="74"/>
        <v>0</v>
      </c>
      <c r="X143" s="79">
        <f t="shared" si="74"/>
        <v>0</v>
      </c>
      <c r="Y143" s="79">
        <f t="shared" si="74"/>
        <v>0</v>
      </c>
      <c r="Z143" s="79">
        <f t="shared" si="74"/>
        <v>9.9999999999994316E-2</v>
      </c>
    </row>
    <row r="144" spans="1:26">
      <c r="A144" s="74">
        <f t="shared" si="66"/>
        <v>44927</v>
      </c>
      <c r="B144" s="79">
        <f t="shared" si="67"/>
        <v>0</v>
      </c>
      <c r="C144" s="79">
        <f t="shared" si="67"/>
        <v>0</v>
      </c>
      <c r="D144" s="79"/>
      <c r="E144" s="79">
        <f t="shared" si="68"/>
        <v>0</v>
      </c>
      <c r="F144" s="79">
        <f t="shared" si="68"/>
        <v>0</v>
      </c>
      <c r="G144" s="79">
        <f t="shared" si="68"/>
        <v>0</v>
      </c>
      <c r="H144" s="79">
        <f t="shared" si="68"/>
        <v>0</v>
      </c>
      <c r="I144" s="79"/>
      <c r="J144" s="79">
        <f t="shared" si="72"/>
        <v>1.2000000000000002</v>
      </c>
      <c r="K144" s="79">
        <f t="shared" si="72"/>
        <v>1.3000000000000003</v>
      </c>
      <c r="L144" s="79">
        <f t="shared" si="72"/>
        <v>0</v>
      </c>
      <c r="M144" s="79">
        <f t="shared" si="72"/>
        <v>0</v>
      </c>
      <c r="N144" s="79">
        <f t="shared" si="72"/>
        <v>-0.10000000000000009</v>
      </c>
      <c r="O144" s="79"/>
      <c r="P144" s="79">
        <f t="shared" si="73"/>
        <v>0</v>
      </c>
      <c r="Q144" s="79">
        <f t="shared" si="73"/>
        <v>0</v>
      </c>
      <c r="R144" s="79">
        <f t="shared" si="73"/>
        <v>0</v>
      </c>
      <c r="S144" s="79">
        <f t="shared" si="73"/>
        <v>0</v>
      </c>
      <c r="T144" s="79">
        <f t="shared" si="73"/>
        <v>0</v>
      </c>
      <c r="U144" s="79"/>
      <c r="V144" s="79">
        <f t="shared" si="74"/>
        <v>0</v>
      </c>
      <c r="W144" s="79">
        <f t="shared" si="74"/>
        <v>0</v>
      </c>
      <c r="X144" s="79">
        <f t="shared" si="74"/>
        <v>0</v>
      </c>
      <c r="Y144" s="79">
        <f t="shared" si="74"/>
        <v>0</v>
      </c>
      <c r="Z144" s="79">
        <f t="shared" si="74"/>
        <v>0.10000000000000142</v>
      </c>
    </row>
    <row r="145" spans="1:26">
      <c r="A145" s="74">
        <f t="shared" si="66"/>
        <v>44958</v>
      </c>
      <c r="B145" s="79">
        <f t="shared" si="67"/>
        <v>0</v>
      </c>
      <c r="C145" s="79">
        <f t="shared" si="67"/>
        <v>0</v>
      </c>
      <c r="D145" s="79"/>
      <c r="E145" s="79">
        <f t="shared" si="68"/>
        <v>0</v>
      </c>
      <c r="F145" s="79">
        <f t="shared" si="68"/>
        <v>0</v>
      </c>
      <c r="G145" s="79">
        <f t="shared" si="68"/>
        <v>0</v>
      </c>
      <c r="H145" s="79">
        <f t="shared" si="68"/>
        <v>0</v>
      </c>
      <c r="I145" s="79"/>
      <c r="J145" s="79">
        <f t="shared" si="72"/>
        <v>0.20000000000000018</v>
      </c>
      <c r="K145" s="79">
        <f t="shared" si="72"/>
        <v>0.30000000000000027</v>
      </c>
      <c r="L145" s="79">
        <f t="shared" si="72"/>
        <v>0</v>
      </c>
      <c r="M145" s="79">
        <f t="shared" si="72"/>
        <v>0</v>
      </c>
      <c r="N145" s="79">
        <f t="shared" si="72"/>
        <v>-0.19999999999999996</v>
      </c>
      <c r="O145" s="79"/>
      <c r="P145" s="79">
        <f t="shared" si="73"/>
        <v>0</v>
      </c>
      <c r="Q145" s="79">
        <f t="shared" si="73"/>
        <v>0</v>
      </c>
      <c r="R145" s="79">
        <f t="shared" si="73"/>
        <v>0</v>
      </c>
      <c r="S145" s="79">
        <f t="shared" si="73"/>
        <v>0</v>
      </c>
      <c r="T145" s="79">
        <f t="shared" si="73"/>
        <v>0</v>
      </c>
      <c r="U145" s="79"/>
      <c r="V145" s="79">
        <f t="shared" si="74"/>
        <v>0</v>
      </c>
      <c r="W145" s="79">
        <f t="shared" si="74"/>
        <v>0</v>
      </c>
      <c r="X145" s="79">
        <f t="shared" si="74"/>
        <v>0</v>
      </c>
      <c r="Y145" s="79">
        <f t="shared" si="74"/>
        <v>0</v>
      </c>
      <c r="Z145" s="79">
        <f t="shared" si="74"/>
        <v>0.10000000000000142</v>
      </c>
    </row>
    <row r="146" spans="1:26">
      <c r="A146" s="74">
        <f t="shared" si="66"/>
        <v>44986</v>
      </c>
      <c r="B146" s="79">
        <f t="shared" si="67"/>
        <v>0</v>
      </c>
      <c r="C146" s="79">
        <f t="shared" si="67"/>
        <v>0</v>
      </c>
      <c r="D146" s="79"/>
      <c r="E146" s="79">
        <f t="shared" si="68"/>
        <v>0</v>
      </c>
      <c r="F146" s="79">
        <f t="shared" si="68"/>
        <v>0</v>
      </c>
      <c r="G146" s="79">
        <f t="shared" si="68"/>
        <v>0</v>
      </c>
      <c r="H146" s="79">
        <f t="shared" si="68"/>
        <v>0</v>
      </c>
      <c r="I146" s="79"/>
      <c r="J146" s="79">
        <f t="shared" si="72"/>
        <v>0.39999999999999991</v>
      </c>
      <c r="K146" s="79">
        <f t="shared" si="72"/>
        <v>0.5</v>
      </c>
      <c r="L146" s="79">
        <f t="shared" si="72"/>
        <v>0</v>
      </c>
      <c r="M146" s="79">
        <f t="shared" si="72"/>
        <v>0</v>
      </c>
      <c r="N146" s="79">
        <f t="shared" si="72"/>
        <v>-0.19999999999999996</v>
      </c>
      <c r="O146" s="79"/>
      <c r="P146" s="79">
        <f t="shared" si="73"/>
        <v>0</v>
      </c>
      <c r="Q146" s="79">
        <f t="shared" si="73"/>
        <v>0</v>
      </c>
      <c r="R146" s="79">
        <f t="shared" si="73"/>
        <v>4.6000000000000014</v>
      </c>
      <c r="S146" s="79">
        <f t="shared" si="73"/>
        <v>0</v>
      </c>
      <c r="T146" s="79">
        <f t="shared" si="73"/>
        <v>0</v>
      </c>
      <c r="U146" s="79"/>
      <c r="V146" s="79">
        <f t="shared" si="74"/>
        <v>0</v>
      </c>
      <c r="W146" s="79">
        <f t="shared" si="74"/>
        <v>0</v>
      </c>
      <c r="X146" s="79">
        <f t="shared" si="74"/>
        <v>0</v>
      </c>
      <c r="Y146" s="79">
        <f t="shared" si="74"/>
        <v>-0.10000000000000853</v>
      </c>
      <c r="Z146" s="79">
        <f t="shared" si="74"/>
        <v>9.9999999999994316E-2</v>
      </c>
    </row>
    <row r="147" spans="1:26">
      <c r="A147" s="74">
        <f t="shared" si="66"/>
        <v>45017</v>
      </c>
      <c r="B147" s="79">
        <f t="shared" si="67"/>
        <v>0</v>
      </c>
      <c r="C147" s="79">
        <f t="shared" si="67"/>
        <v>0</v>
      </c>
      <c r="D147" s="79"/>
      <c r="E147" s="79">
        <f t="shared" si="68"/>
        <v>0</v>
      </c>
      <c r="F147" s="79">
        <f t="shared" si="68"/>
        <v>0</v>
      </c>
      <c r="G147" s="79">
        <f t="shared" si="68"/>
        <v>0</v>
      </c>
      <c r="H147" s="79">
        <f t="shared" si="68"/>
        <v>0</v>
      </c>
      <c r="I147" s="79"/>
      <c r="J147" s="79">
        <f t="shared" si="72"/>
        <v>1.5999999999999999</v>
      </c>
      <c r="K147" s="79">
        <f t="shared" si="72"/>
        <v>1.7</v>
      </c>
      <c r="L147" s="79">
        <f t="shared" si="72"/>
        <v>0</v>
      </c>
      <c r="M147" s="79">
        <f t="shared" si="72"/>
        <v>0</v>
      </c>
      <c r="N147" s="79">
        <f t="shared" si="72"/>
        <v>0</v>
      </c>
      <c r="O147" s="79"/>
      <c r="P147" s="79">
        <f t="shared" si="73"/>
        <v>0</v>
      </c>
      <c r="Q147" s="79">
        <f t="shared" si="73"/>
        <v>0</v>
      </c>
      <c r="R147" s="79">
        <f t="shared" si="73"/>
        <v>9.7999999999999972</v>
      </c>
      <c r="S147" s="79">
        <f t="shared" si="73"/>
        <v>0</v>
      </c>
      <c r="T147" s="79">
        <f t="shared" si="73"/>
        <v>0</v>
      </c>
      <c r="U147" s="79"/>
      <c r="V147" s="79">
        <f t="shared" si="74"/>
        <v>-7.2172351970436921E-2</v>
      </c>
      <c r="W147" s="79">
        <f t="shared" si="74"/>
        <v>-7.1724686466950516E-2</v>
      </c>
      <c r="X147" s="79">
        <f t="shared" si="74"/>
        <v>0</v>
      </c>
      <c r="Y147" s="79">
        <f t="shared" si="74"/>
        <v>0</v>
      </c>
      <c r="Z147" s="79">
        <f t="shared" si="74"/>
        <v>0.10000000000000142</v>
      </c>
    </row>
    <row r="148" spans="1:26">
      <c r="A148" s="74">
        <f t="shared" si="66"/>
        <v>45047</v>
      </c>
      <c r="B148" s="97">
        <f t="shared" si="67"/>
        <v>0</v>
      </c>
      <c r="C148" s="97">
        <f t="shared" si="67"/>
        <v>0</v>
      </c>
      <c r="D148" s="97"/>
      <c r="E148" s="97">
        <f t="shared" si="68"/>
        <v>0</v>
      </c>
      <c r="F148" s="97">
        <f t="shared" si="68"/>
        <v>0</v>
      </c>
      <c r="G148" s="97">
        <f t="shared" si="68"/>
        <v>0</v>
      </c>
      <c r="H148" s="97">
        <f t="shared" si="68"/>
        <v>0</v>
      </c>
      <c r="I148" s="97"/>
      <c r="J148" s="97">
        <f t="shared" si="72"/>
        <v>0</v>
      </c>
      <c r="K148" s="97">
        <f t="shared" si="72"/>
        <v>0</v>
      </c>
      <c r="L148" s="97">
        <f t="shared" si="72"/>
        <v>0</v>
      </c>
      <c r="M148" s="97">
        <f t="shared" si="72"/>
        <v>0</v>
      </c>
      <c r="N148" s="97">
        <f t="shared" si="72"/>
        <v>0</v>
      </c>
      <c r="O148" s="97"/>
      <c r="P148" s="97">
        <f t="shared" si="73"/>
        <v>0</v>
      </c>
      <c r="Q148" s="97">
        <f t="shared" si="73"/>
        <v>0</v>
      </c>
      <c r="R148" s="97">
        <f t="shared" si="73"/>
        <v>9</v>
      </c>
      <c r="S148" s="97">
        <f t="shared" si="73"/>
        <v>0</v>
      </c>
      <c r="T148" s="97">
        <f t="shared" si="73"/>
        <v>0</v>
      </c>
      <c r="U148" s="97"/>
      <c r="V148" s="97">
        <f t="shared" si="74"/>
        <v>0</v>
      </c>
      <c r="W148" s="97">
        <f t="shared" si="74"/>
        <v>0</v>
      </c>
      <c r="X148" s="97">
        <f t="shared" si="74"/>
        <v>0</v>
      </c>
      <c r="Y148" s="97">
        <f t="shared" si="74"/>
        <v>0</v>
      </c>
      <c r="Z148" s="97">
        <f t="shared" si="74"/>
        <v>0</v>
      </c>
    </row>
    <row r="149" spans="1:26">
      <c r="A149" s="74">
        <f t="shared" si="66"/>
        <v>45078</v>
      </c>
      <c r="B149" s="97">
        <f t="shared" si="67"/>
        <v>0</v>
      </c>
      <c r="C149" s="97">
        <f t="shared" si="67"/>
        <v>0</v>
      </c>
      <c r="D149" s="97"/>
      <c r="E149" s="97">
        <f t="shared" si="68"/>
        <v>0</v>
      </c>
      <c r="F149" s="97">
        <f t="shared" si="68"/>
        <v>0</v>
      </c>
      <c r="G149" s="97">
        <f t="shared" si="68"/>
        <v>0</v>
      </c>
      <c r="H149" s="97">
        <f t="shared" si="68"/>
        <v>0</v>
      </c>
      <c r="I149" s="97"/>
      <c r="J149" s="97">
        <f t="shared" ref="J149:N158" si="75">J100-J190</f>
        <v>0</v>
      </c>
      <c r="K149" s="97">
        <f t="shared" si="75"/>
        <v>0</v>
      </c>
      <c r="L149" s="97">
        <f t="shared" si="75"/>
        <v>0</v>
      </c>
      <c r="M149" s="97">
        <f t="shared" si="75"/>
        <v>0</v>
      </c>
      <c r="N149" s="97">
        <f t="shared" si="75"/>
        <v>0</v>
      </c>
      <c r="O149" s="97"/>
      <c r="P149" s="97">
        <f t="shared" ref="P149:T158" si="76">P100-P190</f>
        <v>0</v>
      </c>
      <c r="Q149" s="97">
        <f t="shared" si="76"/>
        <v>0</v>
      </c>
      <c r="R149" s="97">
        <f t="shared" si="76"/>
        <v>0</v>
      </c>
      <c r="S149" s="97">
        <f t="shared" si="76"/>
        <v>0</v>
      </c>
      <c r="T149" s="97">
        <f t="shared" si="76"/>
        <v>0</v>
      </c>
      <c r="U149" s="97"/>
      <c r="V149" s="97">
        <f t="shared" ref="V149:Z158" si="77">V100-V190</f>
        <v>0</v>
      </c>
      <c r="W149" s="97">
        <f t="shared" si="77"/>
        <v>0</v>
      </c>
      <c r="X149" s="97">
        <f t="shared" si="77"/>
        <v>0</v>
      </c>
      <c r="Y149" s="97">
        <f t="shared" si="77"/>
        <v>0</v>
      </c>
      <c r="Z149" s="97">
        <f t="shared" si="77"/>
        <v>5</v>
      </c>
    </row>
    <row r="150" spans="1:26">
      <c r="A150" s="74">
        <f t="shared" si="66"/>
        <v>45108</v>
      </c>
      <c r="B150" s="105">
        <f t="shared" si="67"/>
        <v>0</v>
      </c>
      <c r="C150" s="105">
        <f t="shared" si="67"/>
        <v>0</v>
      </c>
      <c r="D150" s="105"/>
      <c r="E150" s="105">
        <f t="shared" si="68"/>
        <v>0.11400000000000432</v>
      </c>
      <c r="F150" s="105">
        <f t="shared" si="68"/>
        <v>0.13699999999997203</v>
      </c>
      <c r="G150" s="105">
        <f t="shared" si="68"/>
        <v>-2.2999999999999687E-2</v>
      </c>
      <c r="H150" s="105">
        <f t="shared" si="68"/>
        <v>20.980999999999995</v>
      </c>
      <c r="I150" s="105"/>
      <c r="J150" s="105">
        <f t="shared" si="75"/>
        <v>0</v>
      </c>
      <c r="K150" s="105">
        <f t="shared" si="75"/>
        <v>0</v>
      </c>
      <c r="L150" s="105">
        <f t="shared" si="75"/>
        <v>0</v>
      </c>
      <c r="M150" s="105">
        <f t="shared" si="75"/>
        <v>0</v>
      </c>
      <c r="N150" s="105">
        <f t="shared" si="75"/>
        <v>0</v>
      </c>
      <c r="O150" s="105"/>
      <c r="P150" s="105">
        <f t="shared" si="76"/>
        <v>0</v>
      </c>
      <c r="Q150" s="105">
        <f t="shared" si="76"/>
        <v>0</v>
      </c>
      <c r="R150" s="105">
        <f t="shared" si="76"/>
        <v>0.19999999999999574</v>
      </c>
      <c r="S150" s="105">
        <f t="shared" si="76"/>
        <v>0</v>
      </c>
      <c r="T150" s="105">
        <f t="shared" si="76"/>
        <v>0</v>
      </c>
      <c r="U150" s="105"/>
      <c r="V150" s="105">
        <f t="shared" si="77"/>
        <v>0.61899999999999977</v>
      </c>
      <c r="W150" s="105">
        <f t="shared" si="77"/>
        <v>0.60600000000000165</v>
      </c>
      <c r="X150" s="105">
        <f t="shared" si="77"/>
        <v>1.4409999999999954</v>
      </c>
      <c r="Y150" s="105">
        <f t="shared" si="77"/>
        <v>1.2069999999999936</v>
      </c>
      <c r="Z150" s="105">
        <f t="shared" si="77"/>
        <v>0</v>
      </c>
    </row>
    <row r="151" spans="1:26">
      <c r="A151" s="74">
        <f t="shared" si="66"/>
        <v>45139</v>
      </c>
      <c r="B151" s="105">
        <f t="shared" si="67"/>
        <v>0</v>
      </c>
      <c r="C151" s="105">
        <f t="shared" si="67"/>
        <v>0</v>
      </c>
      <c r="D151" s="105"/>
      <c r="E151" s="105">
        <f t="shared" si="68"/>
        <v>0</v>
      </c>
      <c r="F151" s="105">
        <f t="shared" si="68"/>
        <v>0</v>
      </c>
      <c r="G151" s="105">
        <f t="shared" si="68"/>
        <v>0</v>
      </c>
      <c r="H151" s="105">
        <f t="shared" si="68"/>
        <v>0</v>
      </c>
      <c r="I151" s="105"/>
      <c r="J151" s="105">
        <f t="shared" si="75"/>
        <v>0</v>
      </c>
      <c r="K151" s="105">
        <f t="shared" si="75"/>
        <v>0</v>
      </c>
      <c r="L151" s="105">
        <f t="shared" si="75"/>
        <v>0</v>
      </c>
      <c r="M151" s="105">
        <f t="shared" si="75"/>
        <v>0</v>
      </c>
      <c r="N151" s="105">
        <f t="shared" si="75"/>
        <v>0</v>
      </c>
      <c r="O151" s="105"/>
      <c r="P151" s="105">
        <f t="shared" si="76"/>
        <v>0</v>
      </c>
      <c r="Q151" s="105">
        <f t="shared" si="76"/>
        <v>0</v>
      </c>
      <c r="R151" s="105">
        <f t="shared" si="76"/>
        <v>11.299999999999997</v>
      </c>
      <c r="S151" s="105">
        <f t="shared" si="76"/>
        <v>0</v>
      </c>
      <c r="T151" s="105">
        <f t="shared" si="76"/>
        <v>0</v>
      </c>
      <c r="U151" s="105"/>
      <c r="V151" s="105">
        <f t="shared" si="77"/>
        <v>0</v>
      </c>
      <c r="W151" s="105">
        <f t="shared" si="77"/>
        <v>0</v>
      </c>
      <c r="X151" s="105">
        <f t="shared" si="77"/>
        <v>0</v>
      </c>
      <c r="Y151" s="105">
        <f t="shared" si="77"/>
        <v>0</v>
      </c>
      <c r="Z151" s="105">
        <f t="shared" si="77"/>
        <v>0.10000000000000142</v>
      </c>
    </row>
    <row r="152" spans="1:26">
      <c r="A152" s="74">
        <f t="shared" si="66"/>
        <v>45170</v>
      </c>
      <c r="B152" s="105">
        <f t="shared" si="67"/>
        <v>0</v>
      </c>
      <c r="C152" s="105">
        <f t="shared" si="67"/>
        <v>0</v>
      </c>
      <c r="D152" s="105"/>
      <c r="E152" s="105">
        <f t="shared" si="68"/>
        <v>0</v>
      </c>
      <c r="F152" s="105">
        <f t="shared" si="68"/>
        <v>0</v>
      </c>
      <c r="G152" s="105">
        <f t="shared" si="68"/>
        <v>0</v>
      </c>
      <c r="H152" s="105">
        <f t="shared" si="68"/>
        <v>0</v>
      </c>
      <c r="I152" s="105"/>
      <c r="J152" s="105">
        <f t="shared" si="75"/>
        <v>0</v>
      </c>
      <c r="K152" s="105">
        <f t="shared" si="75"/>
        <v>0</v>
      </c>
      <c r="L152" s="105">
        <f t="shared" si="75"/>
        <v>0</v>
      </c>
      <c r="M152" s="105">
        <f t="shared" si="75"/>
        <v>0</v>
      </c>
      <c r="N152" s="105">
        <f t="shared" si="75"/>
        <v>0</v>
      </c>
      <c r="O152" s="105"/>
      <c r="P152" s="105">
        <f t="shared" si="76"/>
        <v>0</v>
      </c>
      <c r="Q152" s="105">
        <f t="shared" si="76"/>
        <v>0</v>
      </c>
      <c r="R152" s="105">
        <f t="shared" si="76"/>
        <v>0</v>
      </c>
      <c r="S152" s="105">
        <f t="shared" si="76"/>
        <v>0</v>
      </c>
      <c r="T152" s="105">
        <f t="shared" si="76"/>
        <v>0</v>
      </c>
      <c r="U152" s="105"/>
      <c r="V152" s="105">
        <f t="shared" si="77"/>
        <v>0</v>
      </c>
      <c r="W152" s="105">
        <f t="shared" si="77"/>
        <v>0</v>
      </c>
      <c r="X152" s="105">
        <f t="shared" si="77"/>
        <v>0</v>
      </c>
      <c r="Y152" s="105">
        <f t="shared" si="77"/>
        <v>0</v>
      </c>
      <c r="Z152" s="105">
        <f t="shared" si="77"/>
        <v>20.199999999999996</v>
      </c>
    </row>
    <row r="153" spans="1:26">
      <c r="A153" s="74">
        <f t="shared" si="66"/>
        <v>45200</v>
      </c>
      <c r="B153" s="105">
        <f t="shared" si="67"/>
        <v>0</v>
      </c>
      <c r="C153" s="105">
        <f t="shared" si="67"/>
        <v>0</v>
      </c>
      <c r="D153" s="105"/>
      <c r="E153" s="105">
        <f t="shared" si="68"/>
        <v>0</v>
      </c>
      <c r="F153" s="105">
        <f t="shared" si="68"/>
        <v>0</v>
      </c>
      <c r="G153" s="105">
        <f t="shared" si="68"/>
        <v>0</v>
      </c>
      <c r="H153" s="105">
        <f t="shared" si="68"/>
        <v>0</v>
      </c>
      <c r="I153" s="105"/>
      <c r="J153" s="105">
        <f t="shared" si="75"/>
        <v>0</v>
      </c>
      <c r="K153" s="105">
        <f t="shared" si="75"/>
        <v>0</v>
      </c>
      <c r="L153" s="105">
        <f t="shared" si="75"/>
        <v>0</v>
      </c>
      <c r="M153" s="105">
        <f t="shared" si="75"/>
        <v>0</v>
      </c>
      <c r="N153" s="105">
        <f t="shared" si="75"/>
        <v>0</v>
      </c>
      <c r="O153" s="105"/>
      <c r="P153" s="105">
        <f t="shared" si="76"/>
        <v>0</v>
      </c>
      <c r="Q153" s="105">
        <f t="shared" si="76"/>
        <v>0</v>
      </c>
      <c r="R153" s="105">
        <f t="shared" si="76"/>
        <v>0</v>
      </c>
      <c r="S153" s="105">
        <f t="shared" si="76"/>
        <v>0</v>
      </c>
      <c r="T153" s="105">
        <f t="shared" si="76"/>
        <v>0</v>
      </c>
      <c r="U153" s="105"/>
      <c r="V153" s="105">
        <f t="shared" si="77"/>
        <v>0</v>
      </c>
      <c r="W153" s="105">
        <f t="shared" si="77"/>
        <v>0</v>
      </c>
      <c r="X153" s="105">
        <f t="shared" si="77"/>
        <v>0</v>
      </c>
      <c r="Y153" s="105">
        <f t="shared" si="77"/>
        <v>0</v>
      </c>
      <c r="Z153" s="105">
        <f t="shared" si="77"/>
        <v>21.300000000000011</v>
      </c>
    </row>
    <row r="154" spans="1:26">
      <c r="A154" s="74">
        <f t="shared" si="66"/>
        <v>45231</v>
      </c>
      <c r="B154" s="105">
        <f t="shared" si="67"/>
        <v>0</v>
      </c>
      <c r="C154" s="105">
        <f t="shared" si="67"/>
        <v>0</v>
      </c>
      <c r="D154" s="105"/>
      <c r="E154" s="105">
        <f t="shared" si="68"/>
        <v>0</v>
      </c>
      <c r="F154" s="105">
        <f t="shared" si="68"/>
        <v>0</v>
      </c>
      <c r="G154" s="105">
        <f t="shared" si="68"/>
        <v>0</v>
      </c>
      <c r="H154" s="105">
        <f t="shared" si="68"/>
        <v>0</v>
      </c>
      <c r="I154" s="105"/>
      <c r="J154" s="105">
        <f t="shared" si="75"/>
        <v>0.70000000000000018</v>
      </c>
      <c r="K154" s="105">
        <f t="shared" si="75"/>
        <v>0.80000000000000027</v>
      </c>
      <c r="L154" s="105">
        <f t="shared" si="75"/>
        <v>0</v>
      </c>
      <c r="M154" s="105">
        <f t="shared" si="75"/>
        <v>0</v>
      </c>
      <c r="N154" s="105">
        <f t="shared" si="75"/>
        <v>0</v>
      </c>
      <c r="O154" s="105"/>
      <c r="P154" s="105">
        <f t="shared" si="76"/>
        <v>0</v>
      </c>
      <c r="Q154" s="105">
        <f t="shared" si="76"/>
        <v>0</v>
      </c>
      <c r="R154" s="105">
        <f t="shared" si="76"/>
        <v>0</v>
      </c>
      <c r="S154" s="105">
        <f t="shared" si="76"/>
        <v>0</v>
      </c>
      <c r="T154" s="105">
        <f t="shared" si="76"/>
        <v>0</v>
      </c>
      <c r="U154" s="105"/>
      <c r="V154" s="105">
        <f t="shared" si="77"/>
        <v>0</v>
      </c>
      <c r="W154" s="105">
        <f t="shared" si="77"/>
        <v>0</v>
      </c>
      <c r="X154" s="105">
        <f t="shared" si="77"/>
        <v>0</v>
      </c>
      <c r="Y154" s="105">
        <f t="shared" si="77"/>
        <v>0</v>
      </c>
      <c r="Z154" s="105">
        <f t="shared" si="77"/>
        <v>22.299999999999997</v>
      </c>
    </row>
    <row r="155" spans="1:26">
      <c r="A155" s="74">
        <f t="shared" si="66"/>
        <v>45261</v>
      </c>
      <c r="B155" s="105">
        <f t="shared" si="67"/>
        <v>0</v>
      </c>
      <c r="C155" s="105">
        <f t="shared" si="67"/>
        <v>0</v>
      </c>
      <c r="D155" s="105"/>
      <c r="E155" s="105">
        <f t="shared" si="68"/>
        <v>0</v>
      </c>
      <c r="F155" s="105">
        <f t="shared" si="68"/>
        <v>0</v>
      </c>
      <c r="G155" s="105">
        <f t="shared" si="68"/>
        <v>0</v>
      </c>
      <c r="H155" s="105">
        <f t="shared" si="68"/>
        <v>0</v>
      </c>
      <c r="I155" s="105"/>
      <c r="J155" s="105">
        <f t="shared" si="75"/>
        <v>0</v>
      </c>
      <c r="K155" s="105">
        <f t="shared" si="75"/>
        <v>0</v>
      </c>
      <c r="L155" s="105">
        <f t="shared" si="75"/>
        <v>0</v>
      </c>
      <c r="M155" s="105">
        <f t="shared" si="75"/>
        <v>0</v>
      </c>
      <c r="N155" s="105">
        <f t="shared" si="75"/>
        <v>0</v>
      </c>
      <c r="O155" s="105"/>
      <c r="P155" s="105">
        <f t="shared" si="76"/>
        <v>0</v>
      </c>
      <c r="Q155" s="105">
        <f t="shared" si="76"/>
        <v>0</v>
      </c>
      <c r="R155" s="105">
        <f t="shared" si="76"/>
        <v>0</v>
      </c>
      <c r="S155" s="105">
        <f t="shared" si="76"/>
        <v>0</v>
      </c>
      <c r="T155" s="105">
        <f t="shared" si="76"/>
        <v>0</v>
      </c>
      <c r="U155" s="105"/>
      <c r="V155" s="105">
        <f t="shared" si="77"/>
        <v>0</v>
      </c>
      <c r="W155" s="105">
        <f t="shared" si="77"/>
        <v>0</v>
      </c>
      <c r="X155" s="105">
        <f t="shared" si="77"/>
        <v>0</v>
      </c>
      <c r="Y155" s="105">
        <f t="shared" si="77"/>
        <v>0</v>
      </c>
      <c r="Z155" s="105">
        <f t="shared" si="77"/>
        <v>39.484999999999999</v>
      </c>
    </row>
    <row r="156" spans="1:26">
      <c r="A156" s="74">
        <f t="shared" si="66"/>
        <v>45292</v>
      </c>
      <c r="B156" s="105">
        <f t="shared" si="67"/>
        <v>0</v>
      </c>
      <c r="C156" s="105">
        <f t="shared" si="67"/>
        <v>0</v>
      </c>
      <c r="D156" s="105"/>
      <c r="E156" s="105">
        <f t="shared" si="68"/>
        <v>0</v>
      </c>
      <c r="F156" s="105">
        <f t="shared" si="68"/>
        <v>-5.5699999999999932</v>
      </c>
      <c r="G156" s="105">
        <f t="shared" si="68"/>
        <v>0.20000000000000018</v>
      </c>
      <c r="H156" s="105">
        <f t="shared" si="68"/>
        <v>0</v>
      </c>
      <c r="I156" s="105"/>
      <c r="J156" s="105">
        <f t="shared" si="75"/>
        <v>0.20000000000000018</v>
      </c>
      <c r="K156" s="105">
        <f t="shared" si="75"/>
        <v>0.20000000000000018</v>
      </c>
      <c r="L156" s="105">
        <f t="shared" si="75"/>
        <v>0</v>
      </c>
      <c r="M156" s="105">
        <f t="shared" si="75"/>
        <v>0</v>
      </c>
      <c r="N156" s="105">
        <f t="shared" si="75"/>
        <v>0</v>
      </c>
      <c r="O156" s="105"/>
      <c r="P156" s="105">
        <f t="shared" si="76"/>
        <v>0</v>
      </c>
      <c r="Q156" s="105">
        <f t="shared" si="76"/>
        <v>0</v>
      </c>
      <c r="R156" s="105">
        <f t="shared" si="76"/>
        <v>-0.27099999999999369</v>
      </c>
      <c r="S156" s="105">
        <f t="shared" si="76"/>
        <v>0</v>
      </c>
      <c r="T156" s="105">
        <f t="shared" si="76"/>
        <v>0</v>
      </c>
      <c r="U156" s="105"/>
      <c r="V156" s="105">
        <f t="shared" si="77"/>
        <v>0</v>
      </c>
      <c r="W156" s="105">
        <f t="shared" si="77"/>
        <v>0</v>
      </c>
      <c r="X156" s="105">
        <f t="shared" si="77"/>
        <v>0</v>
      </c>
      <c r="Y156" s="105">
        <f t="shared" si="77"/>
        <v>0</v>
      </c>
      <c r="Z156" s="105">
        <f t="shared" si="77"/>
        <v>0</v>
      </c>
    </row>
    <row r="157" spans="1:26">
      <c r="A157" s="74">
        <f t="shared" si="66"/>
        <v>45323</v>
      </c>
      <c r="B157" s="105">
        <f t="shared" si="67"/>
        <v>0</v>
      </c>
      <c r="C157" s="105">
        <f t="shared" si="67"/>
        <v>0</v>
      </c>
      <c r="D157" s="105"/>
      <c r="E157" s="105">
        <f t="shared" si="68"/>
        <v>0</v>
      </c>
      <c r="F157" s="105">
        <f t="shared" si="68"/>
        <v>0</v>
      </c>
      <c r="G157" s="105">
        <f t="shared" si="68"/>
        <v>0</v>
      </c>
      <c r="H157" s="105">
        <f t="shared" si="68"/>
        <v>0</v>
      </c>
      <c r="I157" s="105"/>
      <c r="J157" s="105">
        <f t="shared" si="75"/>
        <v>0</v>
      </c>
      <c r="K157" s="105">
        <f t="shared" si="75"/>
        <v>0</v>
      </c>
      <c r="L157" s="105">
        <f t="shared" si="75"/>
        <v>0</v>
      </c>
      <c r="M157" s="105">
        <f t="shared" si="75"/>
        <v>0</v>
      </c>
      <c r="N157" s="105">
        <f t="shared" si="75"/>
        <v>0</v>
      </c>
      <c r="O157" s="105"/>
      <c r="P157" s="105">
        <f t="shared" si="76"/>
        <v>0</v>
      </c>
      <c r="Q157" s="105">
        <f t="shared" si="76"/>
        <v>0</v>
      </c>
      <c r="R157" s="105">
        <f t="shared" si="76"/>
        <v>-0.16400000000000148</v>
      </c>
      <c r="S157" s="105">
        <f t="shared" si="76"/>
        <v>0</v>
      </c>
      <c r="T157" s="105">
        <f t="shared" si="76"/>
        <v>0</v>
      </c>
      <c r="U157" s="105"/>
      <c r="V157" s="105">
        <f t="shared" si="77"/>
        <v>0</v>
      </c>
      <c r="W157" s="105">
        <f t="shared" si="77"/>
        <v>0</v>
      </c>
      <c r="X157" s="105">
        <f t="shared" si="77"/>
        <v>0</v>
      </c>
      <c r="Y157" s="105">
        <f t="shared" si="77"/>
        <v>0</v>
      </c>
      <c r="Z157" s="105">
        <f t="shared" si="77"/>
        <v>29.200000000000003</v>
      </c>
    </row>
    <row r="158" spans="1:26">
      <c r="A158" s="74">
        <f t="shared" si="66"/>
        <v>45352</v>
      </c>
      <c r="B158" s="105">
        <f t="shared" si="67"/>
        <v>0</v>
      </c>
      <c r="C158" s="105">
        <f t="shared" si="67"/>
        <v>0</v>
      </c>
      <c r="D158" s="105"/>
      <c r="E158" s="105">
        <f t="shared" si="68"/>
        <v>0</v>
      </c>
      <c r="F158" s="105">
        <f t="shared" si="68"/>
        <v>0</v>
      </c>
      <c r="G158" s="105">
        <f t="shared" si="68"/>
        <v>0</v>
      </c>
      <c r="H158" s="105">
        <f t="shared" si="68"/>
        <v>0</v>
      </c>
      <c r="I158" s="105"/>
      <c r="J158" s="105">
        <f t="shared" si="75"/>
        <v>0</v>
      </c>
      <c r="K158" s="105">
        <f t="shared" si="75"/>
        <v>0</v>
      </c>
      <c r="L158" s="105">
        <f t="shared" si="75"/>
        <v>0</v>
      </c>
      <c r="M158" s="105">
        <f t="shared" si="75"/>
        <v>0</v>
      </c>
      <c r="N158" s="105">
        <f t="shared" si="75"/>
        <v>0</v>
      </c>
      <c r="O158" s="105"/>
      <c r="P158" s="105">
        <f t="shared" si="76"/>
        <v>0</v>
      </c>
      <c r="Q158" s="105">
        <f t="shared" si="76"/>
        <v>0</v>
      </c>
      <c r="R158" s="105">
        <f t="shared" si="76"/>
        <v>-0.46400000000000574</v>
      </c>
      <c r="S158" s="105">
        <f t="shared" si="76"/>
        <v>0</v>
      </c>
      <c r="T158" s="105">
        <f t="shared" si="76"/>
        <v>0</v>
      </c>
      <c r="U158" s="105"/>
      <c r="V158" s="105">
        <f t="shared" si="77"/>
        <v>0</v>
      </c>
      <c r="W158" s="105">
        <f t="shared" si="77"/>
        <v>0</v>
      </c>
      <c r="X158" s="105">
        <f t="shared" si="77"/>
        <v>0</v>
      </c>
      <c r="Y158" s="105">
        <f t="shared" si="77"/>
        <v>0</v>
      </c>
      <c r="Z158" s="105">
        <f t="shared" si="77"/>
        <v>0</v>
      </c>
    </row>
    <row r="159" spans="1:26">
      <c r="A159" s="74">
        <f t="shared" si="66"/>
        <v>45383</v>
      </c>
      <c r="B159" s="105">
        <f t="shared" si="67"/>
        <v>0</v>
      </c>
      <c r="C159" s="105">
        <f t="shared" si="67"/>
        <v>0</v>
      </c>
      <c r="D159" s="105"/>
      <c r="E159" s="105">
        <f t="shared" si="68"/>
        <v>0</v>
      </c>
      <c r="F159" s="105">
        <f t="shared" si="68"/>
        <v>0</v>
      </c>
      <c r="G159" s="105">
        <f t="shared" si="68"/>
        <v>0</v>
      </c>
      <c r="H159" s="105">
        <f t="shared" si="68"/>
        <v>0</v>
      </c>
      <c r="I159" s="105"/>
      <c r="J159" s="105">
        <f t="shared" ref="J159:N159" si="78">J110-J200</f>
        <v>0</v>
      </c>
      <c r="K159" s="105">
        <f t="shared" si="78"/>
        <v>0</v>
      </c>
      <c r="L159" s="105">
        <f t="shared" si="78"/>
        <v>0</v>
      </c>
      <c r="M159" s="105">
        <f t="shared" si="78"/>
        <v>0</v>
      </c>
      <c r="N159" s="105">
        <f t="shared" si="78"/>
        <v>0</v>
      </c>
      <c r="O159" s="105"/>
      <c r="P159" s="105">
        <f t="shared" ref="P159:T159" si="79">P110-P200</f>
        <v>0</v>
      </c>
      <c r="Q159" s="105">
        <f t="shared" si="79"/>
        <v>0</v>
      </c>
      <c r="R159" s="105">
        <f t="shared" si="79"/>
        <v>-1.2000000000000455E-2</v>
      </c>
      <c r="S159" s="105">
        <f t="shared" si="79"/>
        <v>0</v>
      </c>
      <c r="T159" s="105">
        <f t="shared" si="79"/>
        <v>0</v>
      </c>
      <c r="U159" s="105"/>
      <c r="V159" s="105">
        <f t="shared" ref="V159:Z159" si="80">V110-V200</f>
        <v>0</v>
      </c>
      <c r="W159" s="105">
        <f t="shared" si="80"/>
        <v>0</v>
      </c>
      <c r="X159" s="105">
        <f t="shared" si="80"/>
        <v>0</v>
      </c>
      <c r="Y159" s="105">
        <f t="shared" si="80"/>
        <v>0</v>
      </c>
      <c r="Z159" s="105">
        <f t="shared" si="80"/>
        <v>0</v>
      </c>
    </row>
    <row r="160" spans="1:26">
      <c r="A160" s="74">
        <f t="shared" si="66"/>
        <v>45413</v>
      </c>
      <c r="B160" s="105">
        <f t="shared" ref="B160:C160" si="81">B111-B201</f>
        <v>0</v>
      </c>
      <c r="C160" s="105">
        <f t="shared" si="81"/>
        <v>0</v>
      </c>
      <c r="D160" s="105"/>
      <c r="E160" s="105">
        <f t="shared" ref="E160:H160" si="82">E111-E201</f>
        <v>0</v>
      </c>
      <c r="F160" s="105">
        <f t="shared" si="82"/>
        <v>0</v>
      </c>
      <c r="G160" s="105">
        <f t="shared" si="82"/>
        <v>0</v>
      </c>
      <c r="H160" s="105">
        <f t="shared" si="82"/>
        <v>0</v>
      </c>
      <c r="I160" s="105"/>
      <c r="J160" s="105">
        <f t="shared" ref="J160:N160" si="83">J111-J201</f>
        <v>0</v>
      </c>
      <c r="K160" s="105">
        <f t="shared" si="83"/>
        <v>0</v>
      </c>
      <c r="L160" s="105">
        <f t="shared" si="83"/>
        <v>0</v>
      </c>
      <c r="M160" s="105">
        <f t="shared" si="83"/>
        <v>0</v>
      </c>
      <c r="N160" s="105">
        <f t="shared" si="83"/>
        <v>0</v>
      </c>
      <c r="O160" s="105"/>
      <c r="P160" s="105">
        <f t="shared" ref="P160:T160" si="84">P111-P201</f>
        <v>0</v>
      </c>
      <c r="Q160" s="105">
        <f t="shared" si="84"/>
        <v>0</v>
      </c>
      <c r="R160" s="105">
        <f t="shared" si="84"/>
        <v>0.21309694696212489</v>
      </c>
      <c r="S160" s="105">
        <f t="shared" si="84"/>
        <v>0</v>
      </c>
      <c r="T160" s="105">
        <f t="shared" si="84"/>
        <v>0</v>
      </c>
      <c r="U160" s="105"/>
      <c r="V160" s="105">
        <f t="shared" ref="V160:Z160" si="85">V111-V201</f>
        <v>0</v>
      </c>
      <c r="W160" s="105">
        <f t="shared" si="85"/>
        <v>0</v>
      </c>
      <c r="X160" s="105">
        <f t="shared" si="85"/>
        <v>0</v>
      </c>
      <c r="Y160" s="105">
        <f t="shared" si="85"/>
        <v>0</v>
      </c>
      <c r="Z160" s="105">
        <f t="shared" si="85"/>
        <v>0</v>
      </c>
    </row>
    <row r="161" spans="1:26">
      <c r="A161" s="74">
        <f t="shared" si="66"/>
        <v>45444</v>
      </c>
      <c r="B161" s="105">
        <f t="shared" ref="B161:C161" si="86">B112-B202</f>
        <v>0</v>
      </c>
      <c r="C161" s="105">
        <f t="shared" si="86"/>
        <v>0</v>
      </c>
      <c r="D161" s="105"/>
      <c r="E161" s="105">
        <f t="shared" ref="E161:H161" si="87">E112-E202</f>
        <v>13.043999999999983</v>
      </c>
      <c r="F161" s="105">
        <f t="shared" si="87"/>
        <v>12.757000000000005</v>
      </c>
      <c r="G161" s="105">
        <f t="shared" si="87"/>
        <v>0.28699999999999992</v>
      </c>
      <c r="H161" s="105">
        <f t="shared" si="87"/>
        <v>0.75300000000004275</v>
      </c>
      <c r="I161" s="105"/>
      <c r="J161" s="105">
        <f t="shared" ref="J161:N161" si="88">J112-J202</f>
        <v>0</v>
      </c>
      <c r="K161" s="105">
        <f t="shared" si="88"/>
        <v>0</v>
      </c>
      <c r="L161" s="105">
        <f t="shared" si="88"/>
        <v>-1.2399999999999993</v>
      </c>
      <c r="M161" s="105">
        <f t="shared" si="88"/>
        <v>0.28999999999999959</v>
      </c>
      <c r="N161" s="105">
        <f t="shared" si="88"/>
        <v>0</v>
      </c>
      <c r="O161" s="105"/>
      <c r="P161" s="105">
        <f t="shared" ref="P161:T161" si="89">P112-P202</f>
        <v>-1.1439999999999984</v>
      </c>
      <c r="Q161" s="105">
        <f t="shared" si="89"/>
        <v>-1.0420000000000016</v>
      </c>
      <c r="R161" s="105">
        <f t="shared" si="89"/>
        <v>-0.24499999999999744</v>
      </c>
      <c r="S161" s="105">
        <f t="shared" si="89"/>
        <v>-2.1509999999999962</v>
      </c>
      <c r="T161" s="105">
        <f t="shared" si="89"/>
        <v>1.6070000000000029</v>
      </c>
      <c r="U161" s="105"/>
      <c r="V161" s="105">
        <f t="shared" ref="V161:Z161" si="90">V112-V202</f>
        <v>-0.10700000000000287</v>
      </c>
      <c r="W161" s="105">
        <f t="shared" si="90"/>
        <v>-0.20500000000000185</v>
      </c>
      <c r="X161" s="105">
        <f t="shared" si="90"/>
        <v>7.4140000000000015</v>
      </c>
      <c r="Y161" s="105">
        <f t="shared" si="90"/>
        <v>-10.065000000000012</v>
      </c>
      <c r="Z161" s="105">
        <f t="shared" si="90"/>
        <v>-17.099999999999994</v>
      </c>
    </row>
    <row r="162" spans="1:26">
      <c r="A162" s="74">
        <f t="shared" si="66"/>
        <v>45474</v>
      </c>
      <c r="B162" s="105">
        <f t="shared" ref="B162:C162" si="91">B113-B203</f>
        <v>0</v>
      </c>
      <c r="C162" s="105">
        <f t="shared" si="91"/>
        <v>0</v>
      </c>
      <c r="D162" s="105"/>
      <c r="E162" s="105">
        <f t="shared" ref="E162:H162" si="92">E113-E203</f>
        <v>0</v>
      </c>
      <c r="F162" s="105">
        <f t="shared" si="92"/>
        <v>0</v>
      </c>
      <c r="G162" s="105">
        <f t="shared" si="92"/>
        <v>0</v>
      </c>
      <c r="H162" s="105">
        <f t="shared" si="92"/>
        <v>0</v>
      </c>
      <c r="I162" s="105"/>
      <c r="J162" s="105">
        <f t="shared" ref="J162:N162" si="93">J113-J203</f>
        <v>0</v>
      </c>
      <c r="K162" s="105">
        <f t="shared" si="93"/>
        <v>0</v>
      </c>
      <c r="L162" s="105">
        <f t="shared" si="93"/>
        <v>0</v>
      </c>
      <c r="M162" s="105">
        <f t="shared" si="93"/>
        <v>0</v>
      </c>
      <c r="N162" s="105">
        <f t="shared" si="93"/>
        <v>0</v>
      </c>
      <c r="O162" s="105"/>
      <c r="P162" s="105">
        <f t="shared" ref="P162:T162" si="94">P113-P203</f>
        <v>0</v>
      </c>
      <c r="Q162" s="105">
        <f t="shared" si="94"/>
        <v>0</v>
      </c>
      <c r="R162" s="105">
        <f t="shared" si="94"/>
        <v>0</v>
      </c>
      <c r="S162" s="105">
        <f t="shared" si="94"/>
        <v>0</v>
      </c>
      <c r="T162" s="105">
        <f t="shared" si="94"/>
        <v>0</v>
      </c>
      <c r="U162" s="105"/>
      <c r="V162" s="105">
        <f t="shared" ref="V162:Z162" si="95">V113-V203</f>
        <v>0</v>
      </c>
      <c r="W162" s="105">
        <f t="shared" si="95"/>
        <v>0</v>
      </c>
      <c r="X162" s="105">
        <f t="shared" si="95"/>
        <v>0</v>
      </c>
      <c r="Y162" s="105">
        <f t="shared" si="95"/>
        <v>0</v>
      </c>
      <c r="Z162" s="105">
        <f t="shared" si="95"/>
        <v>0</v>
      </c>
    </row>
    <row r="163" spans="1:26">
      <c r="A163" s="74">
        <f t="shared" si="66"/>
        <v>45505</v>
      </c>
      <c r="B163" s="105">
        <f t="shared" ref="B163:C163" si="96">B114-B204</f>
        <v>0</v>
      </c>
      <c r="C163" s="105">
        <f t="shared" si="96"/>
        <v>0</v>
      </c>
      <c r="D163" s="105"/>
      <c r="E163" s="105">
        <f t="shared" ref="E163:H163" si="97">E114-E204</f>
        <v>0</v>
      </c>
      <c r="F163" s="105">
        <f t="shared" si="97"/>
        <v>1.9600000000000364</v>
      </c>
      <c r="G163" s="105">
        <f t="shared" si="97"/>
        <v>-0.30000000000000027</v>
      </c>
      <c r="H163" s="105">
        <f t="shared" si="97"/>
        <v>0</v>
      </c>
      <c r="I163" s="105"/>
      <c r="J163" s="105">
        <f t="shared" ref="J163:N163" si="98">J114-J204</f>
        <v>0.10000000000000009</v>
      </c>
      <c r="K163" s="105">
        <f t="shared" si="98"/>
        <v>0.10000000000000009</v>
      </c>
      <c r="L163" s="105">
        <f t="shared" si="98"/>
        <v>0</v>
      </c>
      <c r="M163" s="105">
        <f t="shared" si="98"/>
        <v>0</v>
      </c>
      <c r="N163" s="105">
        <f t="shared" si="98"/>
        <v>-0.19999999999999973</v>
      </c>
      <c r="O163" s="105"/>
      <c r="P163" s="105">
        <f t="shared" ref="P163:T163" si="99">P114-P204</f>
        <v>0</v>
      </c>
      <c r="Q163" s="105">
        <f t="shared" si="99"/>
        <v>0</v>
      </c>
      <c r="R163" s="105">
        <f t="shared" si="99"/>
        <v>-3.4640000000000057</v>
      </c>
      <c r="S163" s="105">
        <f t="shared" si="99"/>
        <v>0</v>
      </c>
      <c r="T163" s="105">
        <f t="shared" si="99"/>
        <v>0</v>
      </c>
      <c r="U163" s="105"/>
      <c r="V163" s="105">
        <f t="shared" ref="V163:Z163" si="100">V114-V204</f>
        <v>0</v>
      </c>
      <c r="W163" s="105">
        <f t="shared" si="100"/>
        <v>-4.6460000000000008</v>
      </c>
      <c r="X163" s="105">
        <f t="shared" si="100"/>
        <v>0</v>
      </c>
      <c r="Y163" s="105">
        <f t="shared" si="100"/>
        <v>0</v>
      </c>
      <c r="Z163" s="105">
        <f t="shared" si="100"/>
        <v>-10.199999999999996</v>
      </c>
    </row>
    <row r="164" spans="1:26">
      <c r="A164" s="74">
        <f t="shared" si="66"/>
        <v>45536</v>
      </c>
      <c r="B164" s="105">
        <f t="shared" ref="B164:C164" si="101">B115-B205</f>
        <v>0</v>
      </c>
      <c r="C164" s="105">
        <f t="shared" si="101"/>
        <v>0</v>
      </c>
      <c r="D164" s="105"/>
      <c r="E164" s="105">
        <f t="shared" ref="E164:H164" si="102">E115-E205</f>
        <v>0</v>
      </c>
      <c r="F164" s="105">
        <f t="shared" si="102"/>
        <v>0</v>
      </c>
      <c r="G164" s="105">
        <f t="shared" si="102"/>
        <v>0</v>
      </c>
      <c r="H164" s="105">
        <f t="shared" si="102"/>
        <v>0</v>
      </c>
      <c r="I164" s="105"/>
      <c r="J164" s="105">
        <f t="shared" ref="J164:N164" si="103">J115-J205</f>
        <v>0</v>
      </c>
      <c r="K164" s="105">
        <f t="shared" si="103"/>
        <v>0</v>
      </c>
      <c r="L164" s="105">
        <f t="shared" si="103"/>
        <v>0</v>
      </c>
      <c r="M164" s="105">
        <f t="shared" si="103"/>
        <v>0</v>
      </c>
      <c r="N164" s="105">
        <f t="shared" si="103"/>
        <v>-0.19999999999999973</v>
      </c>
      <c r="O164" s="105"/>
      <c r="P164" s="105">
        <f t="shared" ref="P164:T164" si="104">P115-P205</f>
        <v>0</v>
      </c>
      <c r="Q164" s="105">
        <f t="shared" si="104"/>
        <v>0</v>
      </c>
      <c r="R164" s="105">
        <f t="shared" si="104"/>
        <v>-7.4640000000000057</v>
      </c>
      <c r="S164" s="105">
        <f t="shared" si="104"/>
        <v>0</v>
      </c>
      <c r="T164" s="105">
        <f t="shared" si="104"/>
        <v>0</v>
      </c>
      <c r="U164" s="105"/>
      <c r="V164" s="105">
        <f t="shared" ref="V164:Z164" si="105">V115-V205</f>
        <v>0.1980000000000004</v>
      </c>
      <c r="W164" s="105">
        <f t="shared" si="105"/>
        <v>-14.374000000000002</v>
      </c>
      <c r="X164" s="105">
        <f t="shared" si="105"/>
        <v>0</v>
      </c>
      <c r="Y164" s="105">
        <f t="shared" si="105"/>
        <v>0</v>
      </c>
      <c r="Z164" s="105">
        <f t="shared" si="105"/>
        <v>0</v>
      </c>
    </row>
    <row r="165" spans="1:26">
      <c r="A165" s="74">
        <f t="shared" si="66"/>
        <v>45566</v>
      </c>
      <c r="B165" s="105">
        <f>B116-B206</f>
        <v>0.33599999999999852</v>
      </c>
      <c r="C165" s="105">
        <f>C116-C206</f>
        <v>-3.7000000000000028</v>
      </c>
      <c r="D165" s="105"/>
      <c r="E165" s="105">
        <f t="shared" ref="E165:H166" si="106">E116-E206</f>
        <v>15.545000000000016</v>
      </c>
      <c r="F165" s="105">
        <f t="shared" si="106"/>
        <v>15.390000000000015</v>
      </c>
      <c r="G165" s="105">
        <f t="shared" si="106"/>
        <v>0.15499999999999936</v>
      </c>
      <c r="H165" s="105">
        <f t="shared" si="106"/>
        <v>-9.8350000000000364</v>
      </c>
      <c r="I165" s="105"/>
      <c r="J165" s="105">
        <f t="shared" ref="J165:N166" si="107">J116-J206</f>
        <v>0</v>
      </c>
      <c r="K165" s="105">
        <f t="shared" si="107"/>
        <v>0</v>
      </c>
      <c r="L165" s="105">
        <f t="shared" si="107"/>
        <v>0</v>
      </c>
      <c r="M165" s="105">
        <f t="shared" si="107"/>
        <v>0</v>
      </c>
      <c r="N165" s="105">
        <f t="shared" si="107"/>
        <v>-9.9999999999999645E-2</v>
      </c>
      <c r="O165" s="105"/>
      <c r="P165" s="105">
        <f t="shared" ref="P165:T166" si="108">P116-P206</f>
        <v>0</v>
      </c>
      <c r="Q165" s="105">
        <f t="shared" si="108"/>
        <v>0</v>
      </c>
      <c r="R165" s="105">
        <f t="shared" si="108"/>
        <v>0</v>
      </c>
      <c r="S165" s="105">
        <f t="shared" si="108"/>
        <v>0</v>
      </c>
      <c r="T165" s="105">
        <f t="shared" si="108"/>
        <v>-6.0999999999999943E-2</v>
      </c>
      <c r="U165" s="105"/>
      <c r="V165" s="105">
        <f t="shared" ref="V165:Z166" si="109">V116-V206</f>
        <v>1.6270000000000024</v>
      </c>
      <c r="W165" s="105">
        <f t="shared" si="109"/>
        <v>1.6169999999999973</v>
      </c>
      <c r="X165" s="105">
        <f t="shared" si="109"/>
        <v>-3.6469999999999985</v>
      </c>
      <c r="Y165" s="105">
        <f t="shared" si="109"/>
        <v>0</v>
      </c>
      <c r="Z165" s="105">
        <f t="shared" si="109"/>
        <v>0.87600000000000477</v>
      </c>
    </row>
    <row r="166" spans="1:26">
      <c r="A166" s="74">
        <f t="shared" si="66"/>
        <v>45597</v>
      </c>
      <c r="B166" s="105">
        <f>B117-B207</f>
        <v>0</v>
      </c>
      <c r="C166" s="105">
        <f>C117-C207</f>
        <v>0</v>
      </c>
      <c r="D166" s="105"/>
      <c r="E166" s="105">
        <f t="shared" si="106"/>
        <v>0</v>
      </c>
      <c r="F166" s="105">
        <f t="shared" si="106"/>
        <v>0</v>
      </c>
      <c r="G166" s="105">
        <f t="shared" si="106"/>
        <v>0</v>
      </c>
      <c r="H166" s="105">
        <f t="shared" si="106"/>
        <v>0</v>
      </c>
      <c r="I166" s="105"/>
      <c r="J166" s="105">
        <f t="shared" si="107"/>
        <v>0</v>
      </c>
      <c r="K166" s="105">
        <f t="shared" si="107"/>
        <v>0</v>
      </c>
      <c r="L166" s="105">
        <f t="shared" si="107"/>
        <v>0</v>
      </c>
      <c r="M166" s="105">
        <f t="shared" si="107"/>
        <v>0</v>
      </c>
      <c r="N166" s="105">
        <f t="shared" si="107"/>
        <v>0</v>
      </c>
      <c r="O166" s="105"/>
      <c r="P166" s="105">
        <f t="shared" si="108"/>
        <v>0</v>
      </c>
      <c r="Q166" s="105">
        <f t="shared" si="108"/>
        <v>0</v>
      </c>
      <c r="R166" s="105">
        <f t="shared" si="108"/>
        <v>0</v>
      </c>
      <c r="S166" s="105">
        <f t="shared" si="108"/>
        <v>0</v>
      </c>
      <c r="T166" s="105">
        <f t="shared" si="108"/>
        <v>0</v>
      </c>
      <c r="U166" s="105"/>
      <c r="V166" s="105">
        <f t="shared" si="109"/>
        <v>0</v>
      </c>
      <c r="W166" s="105">
        <f t="shared" si="109"/>
        <v>0</v>
      </c>
      <c r="X166" s="105">
        <f t="shared" si="109"/>
        <v>0</v>
      </c>
      <c r="Y166" s="105">
        <f t="shared" si="109"/>
        <v>0</v>
      </c>
      <c r="Z166" s="105">
        <f t="shared" si="109"/>
        <v>0</v>
      </c>
    </row>
    <row r="167" spans="1:26">
      <c r="A167" s="74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4.25" customHeight="1">
      <c r="A168" s="74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>
      <c r="A169" s="74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idden="1">
      <c r="A170" s="74">
        <v>44470</v>
      </c>
      <c r="B170" s="79">
        <v>39.832999999999998</v>
      </c>
      <c r="C170" s="79">
        <v>53.622999999999998</v>
      </c>
      <c r="E170" s="79">
        <v>236.77699999999999</v>
      </c>
      <c r="F170" s="79">
        <v>231.191</v>
      </c>
      <c r="G170" s="79">
        <v>5.5860000000000003</v>
      </c>
      <c r="H170" s="79">
        <v>292.86200000000002</v>
      </c>
      <c r="J170" s="80">
        <v>4.6000000000000005</v>
      </c>
      <c r="K170" s="80">
        <v>4.6000000000000005</v>
      </c>
      <c r="L170" s="79">
        <v>6.1769999999999996</v>
      </c>
      <c r="M170" s="80">
        <v>9.8000000000000007</v>
      </c>
      <c r="N170" s="80">
        <v>1.7000000000000002</v>
      </c>
      <c r="P170" s="79">
        <v>47.9</v>
      </c>
      <c r="Q170" s="79">
        <v>45.695</v>
      </c>
      <c r="R170" s="79">
        <v>38.26</v>
      </c>
      <c r="S170" s="79">
        <v>37.154000000000003</v>
      </c>
      <c r="T170" s="79">
        <v>23.757000000000001</v>
      </c>
      <c r="X170" s="79">
        <v>63.317999999999998</v>
      </c>
      <c r="Y170" s="79">
        <v>83.49</v>
      </c>
      <c r="Z170" s="80">
        <v>62.2</v>
      </c>
    </row>
    <row r="171" spans="1:26" hidden="1">
      <c r="A171" s="74">
        <v>44501</v>
      </c>
      <c r="B171" s="79">
        <v>37.223999999999997</v>
      </c>
      <c r="C171" s="79">
        <v>71.814999999999998</v>
      </c>
      <c r="E171" s="79">
        <v>229.59100000000001</v>
      </c>
      <c r="F171" s="79">
        <v>224.27600000000001</v>
      </c>
      <c r="G171" s="79">
        <v>5.3150000000000004</v>
      </c>
      <c r="H171" s="79">
        <v>272.31299999999999</v>
      </c>
      <c r="J171" s="80">
        <v>4.2</v>
      </c>
      <c r="K171" s="80">
        <v>4.2</v>
      </c>
      <c r="L171" s="80">
        <v>5.4</v>
      </c>
      <c r="M171" s="80">
        <v>8.7000000000000011</v>
      </c>
      <c r="N171" s="80">
        <v>1.6</v>
      </c>
      <c r="P171" s="79">
        <v>56.209000000000003</v>
      </c>
      <c r="Q171" s="79">
        <v>54.201000000000001</v>
      </c>
      <c r="R171" s="79">
        <v>47.4</v>
      </c>
      <c r="S171" s="79">
        <v>31.486999999999998</v>
      </c>
      <c r="T171" s="79">
        <v>25.14</v>
      </c>
      <c r="X171" s="79">
        <v>59.508000000000003</v>
      </c>
      <c r="Y171" s="79">
        <v>83.706999999999994</v>
      </c>
      <c r="Z171" s="80">
        <v>59.400000000000006</v>
      </c>
    </row>
    <row r="172" spans="1:26" hidden="1">
      <c r="A172" s="74">
        <v>44531</v>
      </c>
      <c r="B172" s="79">
        <v>39.923999999999999</v>
      </c>
      <c r="C172" s="79">
        <v>66.930999999999997</v>
      </c>
      <c r="E172" s="79">
        <v>212.94300000000001</v>
      </c>
      <c r="F172" s="79">
        <v>208.21299999999999</v>
      </c>
      <c r="G172" s="79">
        <v>4.7300000000000004</v>
      </c>
      <c r="H172" s="79">
        <v>305.16300000000001</v>
      </c>
      <c r="J172" s="80">
        <v>2.3000000000000003</v>
      </c>
      <c r="K172" s="80">
        <v>2.2000000000000002</v>
      </c>
      <c r="L172" s="79">
        <v>6.0350000000000001</v>
      </c>
      <c r="M172" s="80">
        <v>3.5</v>
      </c>
      <c r="N172" s="79">
        <v>1.988</v>
      </c>
      <c r="P172" s="79">
        <v>40.71</v>
      </c>
      <c r="Q172" s="79">
        <v>38.722999999999999</v>
      </c>
      <c r="R172" s="79">
        <v>36.609000000000002</v>
      </c>
      <c r="S172" s="80">
        <v>44.2</v>
      </c>
      <c r="T172" s="79">
        <v>22.222000000000001</v>
      </c>
      <c r="X172" s="79">
        <v>67.082999999999998</v>
      </c>
      <c r="Y172" s="79">
        <v>78.947000000000003</v>
      </c>
      <c r="Z172" s="80">
        <v>66.2</v>
      </c>
    </row>
    <row r="173" spans="1:26" hidden="1">
      <c r="A173" s="74">
        <v>44562</v>
      </c>
      <c r="B173" s="79">
        <v>44.722999999999999</v>
      </c>
      <c r="C173" s="79">
        <v>60.478999999999999</v>
      </c>
      <c r="E173" s="79">
        <v>205.267</v>
      </c>
      <c r="F173" s="79">
        <v>210.5</v>
      </c>
      <c r="G173" s="80">
        <v>2.8000000000000003</v>
      </c>
      <c r="H173" s="79">
        <v>303.77999999999997</v>
      </c>
      <c r="J173" s="80">
        <v>1.5</v>
      </c>
      <c r="K173" s="80">
        <v>1.4000000000000001</v>
      </c>
      <c r="L173" s="80">
        <v>4</v>
      </c>
      <c r="M173" s="80">
        <v>1.4000000000000001</v>
      </c>
      <c r="N173" s="79">
        <v>9.9160000000000004</v>
      </c>
      <c r="P173" s="79">
        <v>34.545999999999999</v>
      </c>
      <c r="Q173" s="79">
        <v>32.893999999999998</v>
      </c>
      <c r="R173" s="79">
        <v>29.42</v>
      </c>
      <c r="S173" s="80">
        <v>43.800000000000004</v>
      </c>
      <c r="T173" s="79">
        <v>22.343</v>
      </c>
      <c r="V173" s="79">
        <v>36.914000000000001</v>
      </c>
      <c r="W173" s="79">
        <v>36.427</v>
      </c>
      <c r="X173" s="79">
        <v>48.796999999999997</v>
      </c>
      <c r="Y173" s="79">
        <v>90.888999999999996</v>
      </c>
      <c r="Z173" s="80">
        <v>49.400000000000006</v>
      </c>
    </row>
    <row r="174" spans="1:26" hidden="1">
      <c r="A174" s="74">
        <v>44593</v>
      </c>
      <c r="B174" s="79">
        <v>44.418999999999997</v>
      </c>
      <c r="C174" s="79">
        <v>56.191000000000003</v>
      </c>
      <c r="E174" s="79">
        <v>200.05199999999999</v>
      </c>
      <c r="F174" s="79">
        <v>195.679</v>
      </c>
      <c r="G174" s="79">
        <v>4.3730000000000002</v>
      </c>
      <c r="H174" s="79">
        <v>376.89800000000002</v>
      </c>
      <c r="J174" s="80">
        <v>2.1</v>
      </c>
      <c r="K174" s="80">
        <v>2</v>
      </c>
      <c r="L174" s="79">
        <v>8.1989999999999998</v>
      </c>
      <c r="M174" s="80">
        <v>3</v>
      </c>
      <c r="N174" s="79">
        <v>5.3280000000000003</v>
      </c>
      <c r="P174" s="79">
        <v>37.83</v>
      </c>
      <c r="Q174" s="79">
        <v>36.113</v>
      </c>
      <c r="R174" s="79">
        <v>34.433</v>
      </c>
      <c r="S174" s="80">
        <v>42.5</v>
      </c>
      <c r="T174" s="79">
        <v>20.69</v>
      </c>
      <c r="V174" s="79">
        <v>34.524000000000001</v>
      </c>
      <c r="W174" s="79">
        <v>33.988999999999997</v>
      </c>
      <c r="X174" s="79">
        <v>53.174999999999997</v>
      </c>
      <c r="Y174" s="79">
        <v>98.094999999999999</v>
      </c>
      <c r="Z174" s="80">
        <v>53.5</v>
      </c>
    </row>
    <row r="175" spans="1:26" hidden="1">
      <c r="A175" s="74">
        <v>44621</v>
      </c>
      <c r="B175" s="79">
        <v>46.006</v>
      </c>
      <c r="C175" s="79">
        <v>58.658000000000001</v>
      </c>
      <c r="E175" s="79">
        <v>229.95099999999999</v>
      </c>
      <c r="F175" s="79">
        <v>220.52500000000001</v>
      </c>
      <c r="G175" s="79">
        <v>9.4260000000000002</v>
      </c>
      <c r="H175" s="79">
        <v>403.68799999999999</v>
      </c>
      <c r="J175" s="80">
        <v>2.5</v>
      </c>
      <c r="K175" s="80">
        <v>2.4000000000000004</v>
      </c>
      <c r="L175" s="79">
        <v>1.8240000000000001</v>
      </c>
      <c r="M175" s="80">
        <v>4.1000000000000005</v>
      </c>
      <c r="N175" s="80">
        <v>4.4000000000000004</v>
      </c>
      <c r="P175" s="79">
        <v>41.720999999999997</v>
      </c>
      <c r="Q175" s="79">
        <v>40.929000000000002</v>
      </c>
      <c r="R175" s="79">
        <v>37.243000000000002</v>
      </c>
      <c r="S175" s="80">
        <v>40.700000000000003</v>
      </c>
      <c r="T175" s="79">
        <v>19.265999999999998</v>
      </c>
      <c r="V175" s="79">
        <v>33.503999999999998</v>
      </c>
      <c r="W175" s="79">
        <v>33.106999999999999</v>
      </c>
      <c r="X175" s="79">
        <v>55.372999999999998</v>
      </c>
      <c r="Y175" s="79">
        <v>67.265000000000001</v>
      </c>
      <c r="Z175" s="80">
        <v>55.6</v>
      </c>
    </row>
    <row r="176" spans="1:26" hidden="1">
      <c r="A176" s="74">
        <v>44652</v>
      </c>
      <c r="B176" s="79">
        <v>39.515999999999998</v>
      </c>
      <c r="C176" s="79">
        <v>63.768000000000001</v>
      </c>
      <c r="E176" s="79">
        <v>237.71899999999999</v>
      </c>
      <c r="F176" s="79">
        <v>231.68100000000001</v>
      </c>
      <c r="G176" s="79">
        <v>6.0380000000000003</v>
      </c>
      <c r="H176" s="79">
        <v>377.8</v>
      </c>
      <c r="J176" s="80">
        <v>2.6</v>
      </c>
      <c r="K176" s="80">
        <v>2.5</v>
      </c>
      <c r="L176" s="80">
        <v>4.9000000000000004</v>
      </c>
      <c r="M176" s="80">
        <v>4.4000000000000004</v>
      </c>
      <c r="N176" s="80">
        <v>4.2</v>
      </c>
      <c r="P176" s="79">
        <v>42.003999999999998</v>
      </c>
      <c r="Q176" s="79">
        <v>39.460999999999999</v>
      </c>
      <c r="R176" s="79">
        <v>35.595999999999997</v>
      </c>
      <c r="S176" s="80">
        <v>40.800000000000004</v>
      </c>
      <c r="T176" s="79">
        <v>18.629000000000001</v>
      </c>
      <c r="V176" s="79">
        <v>43.054000000000002</v>
      </c>
      <c r="W176" s="79">
        <v>42.442</v>
      </c>
      <c r="X176" s="79">
        <v>62.792000000000002</v>
      </c>
      <c r="Y176" s="79">
        <v>100.14100000000001</v>
      </c>
      <c r="Z176" s="80">
        <v>62.800000000000004</v>
      </c>
    </row>
    <row r="177" spans="1:26" hidden="1">
      <c r="A177" s="74">
        <v>44682</v>
      </c>
      <c r="B177" s="79">
        <v>41.837000000000003</v>
      </c>
      <c r="C177" s="79">
        <v>60.22</v>
      </c>
      <c r="E177" s="79">
        <v>232.34200000000001</v>
      </c>
      <c r="F177" s="79">
        <v>226.37899999999999</v>
      </c>
      <c r="G177" s="79">
        <v>5.9630000000000001</v>
      </c>
      <c r="H177" s="79">
        <v>402.60500000000002</v>
      </c>
      <c r="J177" s="80">
        <v>2.1179999999999999</v>
      </c>
      <c r="K177" s="80">
        <v>1.988</v>
      </c>
      <c r="L177" s="80">
        <v>6.6059999999999999</v>
      </c>
      <c r="M177" s="80">
        <v>10.404999999999999</v>
      </c>
      <c r="N177" s="80">
        <v>5.3000000000000007</v>
      </c>
      <c r="P177" s="79">
        <v>41.14</v>
      </c>
      <c r="Q177" s="79">
        <v>39.531999999999996</v>
      </c>
      <c r="R177" s="79">
        <v>31.193000000000001</v>
      </c>
      <c r="S177" s="80">
        <v>41.2</v>
      </c>
      <c r="T177" s="79">
        <v>20.567</v>
      </c>
      <c r="V177" s="79">
        <v>44.112000000000002</v>
      </c>
      <c r="W177" s="79">
        <v>43.581000000000003</v>
      </c>
      <c r="X177" s="79">
        <v>61.331000000000003</v>
      </c>
      <c r="Y177" s="79">
        <v>75.846999999999994</v>
      </c>
      <c r="Z177" s="80">
        <v>61.900000000000006</v>
      </c>
    </row>
    <row r="178" spans="1:26" hidden="1">
      <c r="A178" s="74">
        <v>44713</v>
      </c>
      <c r="B178" s="79">
        <v>41.293999999999997</v>
      </c>
      <c r="C178" s="79">
        <v>60.323</v>
      </c>
      <c r="E178" s="79">
        <v>232.31200000000001</v>
      </c>
      <c r="F178" s="79">
        <v>226.51599999999999</v>
      </c>
      <c r="G178" s="79">
        <v>5.7960000000000003</v>
      </c>
      <c r="H178" s="79">
        <v>371.33800000000002</v>
      </c>
      <c r="J178" s="80">
        <v>2.2000000000000002</v>
      </c>
      <c r="K178" s="80">
        <v>2.1</v>
      </c>
      <c r="L178" s="80">
        <v>4.7409999999999997</v>
      </c>
      <c r="M178" s="80">
        <v>8.657</v>
      </c>
      <c r="N178" s="80">
        <v>5.2</v>
      </c>
      <c r="P178" s="79">
        <v>39.472999999999999</v>
      </c>
      <c r="Q178" s="79">
        <v>37.627000000000002</v>
      </c>
      <c r="R178" s="79">
        <v>37.957999999999998</v>
      </c>
      <c r="S178" s="80">
        <v>22.448</v>
      </c>
      <c r="T178" s="79">
        <v>16.898</v>
      </c>
      <c r="V178" s="79">
        <v>41.905999999999999</v>
      </c>
      <c r="W178" s="79">
        <v>41.438000000000002</v>
      </c>
      <c r="X178" s="79">
        <v>51.426000000000002</v>
      </c>
      <c r="Y178" s="79">
        <v>69.367000000000004</v>
      </c>
      <c r="Z178" s="80">
        <v>51.400000000000006</v>
      </c>
    </row>
    <row r="179" spans="1:26" hidden="1">
      <c r="A179" s="74">
        <v>44743</v>
      </c>
      <c r="B179" s="79">
        <v>38.637999999999998</v>
      </c>
      <c r="C179" s="79">
        <v>54.01</v>
      </c>
      <c r="E179" s="79">
        <v>225.04400000000001</v>
      </c>
      <c r="F179" s="79">
        <v>218.96100000000001</v>
      </c>
      <c r="G179" s="79">
        <v>6.0830000000000002</v>
      </c>
      <c r="H179" s="79">
        <v>362.041</v>
      </c>
      <c r="J179" s="80">
        <v>3.8000000000000003</v>
      </c>
      <c r="K179" s="80">
        <v>3.8000000000000003</v>
      </c>
      <c r="L179" s="79">
        <v>9.3109999999999999</v>
      </c>
      <c r="M179" s="79">
        <v>7.7930000000000001</v>
      </c>
      <c r="N179" s="80">
        <v>2.2000000000000002</v>
      </c>
      <c r="P179" s="79">
        <v>53.338000000000001</v>
      </c>
      <c r="Q179" s="79">
        <v>51.542000000000002</v>
      </c>
      <c r="R179" s="79">
        <v>42.167000000000002</v>
      </c>
      <c r="S179" s="80">
        <v>36.700000000000003</v>
      </c>
      <c r="T179" s="79">
        <v>21.844000000000001</v>
      </c>
      <c r="V179" s="79">
        <v>49.320999999999998</v>
      </c>
      <c r="W179" s="79">
        <v>48.607999999999997</v>
      </c>
      <c r="X179" s="79">
        <v>70.914000000000001</v>
      </c>
      <c r="Y179" s="79">
        <v>103.577</v>
      </c>
      <c r="Z179" s="80">
        <v>72.7</v>
      </c>
    </row>
    <row r="180" spans="1:26" hidden="1">
      <c r="A180" s="74">
        <v>44774</v>
      </c>
      <c r="B180" s="79">
        <v>41.835000000000001</v>
      </c>
      <c r="C180" s="79">
        <v>53.192</v>
      </c>
      <c r="E180" s="79">
        <v>231.428</v>
      </c>
      <c r="F180" s="79">
        <v>223.96199999999999</v>
      </c>
      <c r="G180" s="79">
        <v>7.4660000000000002</v>
      </c>
      <c r="H180" s="79">
        <v>343.80700000000002</v>
      </c>
      <c r="J180" s="80">
        <v>4.1000000000000005</v>
      </c>
      <c r="K180" s="80">
        <v>4.1000000000000005</v>
      </c>
      <c r="L180" s="80">
        <v>8.2000000000000011</v>
      </c>
      <c r="M180" s="79">
        <v>6.7629999999999999</v>
      </c>
      <c r="N180" s="80">
        <v>1.9000000000000001</v>
      </c>
      <c r="P180" s="79">
        <v>55.84</v>
      </c>
      <c r="Q180" s="79">
        <v>54.030999999999999</v>
      </c>
      <c r="R180" s="79">
        <v>34.024000000000001</v>
      </c>
      <c r="S180" s="80">
        <v>36</v>
      </c>
      <c r="T180" s="79">
        <v>35.776000000000003</v>
      </c>
      <c r="V180" s="79">
        <v>47.985999999999997</v>
      </c>
      <c r="W180" s="79">
        <v>47.29</v>
      </c>
      <c r="X180" s="79">
        <v>75.070999999999998</v>
      </c>
      <c r="Y180" s="79">
        <v>98.49</v>
      </c>
      <c r="Z180" s="80">
        <v>77.300000000000011</v>
      </c>
    </row>
    <row r="181" spans="1:26" hidden="1">
      <c r="A181" s="74">
        <v>44805</v>
      </c>
      <c r="B181" s="79">
        <v>40.789000000000001</v>
      </c>
      <c r="C181" s="79">
        <v>43.552999999999997</v>
      </c>
      <c r="E181" s="79">
        <v>229.00800000000001</v>
      </c>
      <c r="F181" s="79">
        <v>222.14400000000001</v>
      </c>
      <c r="G181" s="79">
        <v>6.8639999999999999</v>
      </c>
      <c r="H181" s="79">
        <v>353.14699999999999</v>
      </c>
      <c r="J181" s="80">
        <v>1.6</v>
      </c>
      <c r="K181" s="80">
        <v>1.5</v>
      </c>
      <c r="L181" s="80">
        <v>4.1000000000000005</v>
      </c>
      <c r="M181" s="79">
        <v>4.16</v>
      </c>
      <c r="N181" s="80">
        <v>3.9000000000000004</v>
      </c>
      <c r="P181" s="79">
        <v>32.256999999999998</v>
      </c>
      <c r="Q181" s="79">
        <v>31.992000000000001</v>
      </c>
      <c r="R181" s="79">
        <v>28.922999999999998</v>
      </c>
      <c r="S181" s="80">
        <v>45.1</v>
      </c>
      <c r="T181" s="79">
        <v>36.771999999999998</v>
      </c>
      <c r="V181" s="79">
        <v>43.015000000000001</v>
      </c>
      <c r="W181" s="79">
        <v>42.353000000000002</v>
      </c>
      <c r="X181" s="79">
        <v>53.868000000000002</v>
      </c>
      <c r="Y181" s="79">
        <v>91.128</v>
      </c>
      <c r="Z181" s="80">
        <v>55.2</v>
      </c>
    </row>
    <row r="182" spans="1:26">
      <c r="A182" s="74">
        <v>44835</v>
      </c>
      <c r="B182" s="79">
        <v>42.072000000000003</v>
      </c>
      <c r="C182" s="79">
        <v>50.988999999999997</v>
      </c>
      <c r="E182" s="79">
        <v>230.59200000000001</v>
      </c>
      <c r="F182" s="79">
        <v>224.49</v>
      </c>
      <c r="G182" s="79">
        <v>6.1020000000000003</v>
      </c>
      <c r="H182" s="79">
        <v>396.21199999999999</v>
      </c>
      <c r="J182" s="80">
        <v>2.7</v>
      </c>
      <c r="K182" s="80">
        <v>2.6</v>
      </c>
      <c r="L182" s="80">
        <v>5.9</v>
      </c>
      <c r="M182" s="80">
        <v>7.1000000000000005</v>
      </c>
      <c r="N182" s="80">
        <v>4</v>
      </c>
      <c r="P182" s="79">
        <v>42.762999999999998</v>
      </c>
      <c r="Q182" s="79">
        <v>41.594999999999999</v>
      </c>
      <c r="R182" s="79">
        <v>34.713000000000001</v>
      </c>
      <c r="S182" s="80">
        <v>55.1</v>
      </c>
      <c r="T182" s="79">
        <v>40.384</v>
      </c>
      <c r="V182" s="79">
        <v>36.384999999999998</v>
      </c>
      <c r="W182" s="79">
        <v>35.551000000000002</v>
      </c>
      <c r="X182" s="79">
        <v>49.256999999999998</v>
      </c>
      <c r="Y182" s="79">
        <v>80.210999999999999</v>
      </c>
      <c r="Z182" s="80">
        <v>50.300000000000004</v>
      </c>
    </row>
    <row r="183" spans="1:26">
      <c r="A183" s="74">
        <v>44866</v>
      </c>
      <c r="B183" s="105">
        <v>36.786000000000001</v>
      </c>
      <c r="C183" s="105">
        <v>62.253</v>
      </c>
      <c r="E183" s="105">
        <v>232.91200000000001</v>
      </c>
      <c r="F183" s="105">
        <v>222.13499999999999</v>
      </c>
      <c r="G183" s="105">
        <v>10.776999999999999</v>
      </c>
      <c r="H183" s="105">
        <v>409.71100000000001</v>
      </c>
      <c r="J183" s="106">
        <v>3.2</v>
      </c>
      <c r="K183" s="106">
        <v>3.1</v>
      </c>
      <c r="L183" s="105">
        <v>3.43</v>
      </c>
      <c r="M183" s="105">
        <v>5.28</v>
      </c>
      <c r="N183" s="106">
        <v>3.5</v>
      </c>
      <c r="P183" s="105">
        <v>47.124000000000002</v>
      </c>
      <c r="Q183" s="105">
        <v>46.204000000000001</v>
      </c>
      <c r="R183" s="105">
        <v>33.918999999999997</v>
      </c>
      <c r="S183" s="105">
        <v>45.328000000000003</v>
      </c>
      <c r="T183" s="105">
        <v>50.883000000000003</v>
      </c>
      <c r="V183" s="105">
        <v>38.408999999999999</v>
      </c>
      <c r="W183" s="105">
        <v>37.926000000000002</v>
      </c>
      <c r="X183" s="105">
        <v>50.000999999999998</v>
      </c>
      <c r="Y183" s="105">
        <v>101.04300000000001</v>
      </c>
      <c r="Z183" s="106">
        <v>51.2</v>
      </c>
    </row>
    <row r="184" spans="1:26">
      <c r="A184" s="74">
        <v>44896</v>
      </c>
      <c r="B184" s="105">
        <v>31.588999999999999</v>
      </c>
      <c r="C184" s="105">
        <v>62.652999999999999</v>
      </c>
      <c r="E184" s="105">
        <v>193.22900000000001</v>
      </c>
      <c r="F184" s="105">
        <v>182.989</v>
      </c>
      <c r="G184" s="105">
        <v>10.24</v>
      </c>
      <c r="H184" s="105">
        <v>377.887</v>
      </c>
      <c r="J184" s="106">
        <v>1.4000000000000001</v>
      </c>
      <c r="K184" s="106">
        <v>1.3</v>
      </c>
      <c r="L184" s="105">
        <v>4.0199999999999996</v>
      </c>
      <c r="M184" s="105">
        <v>7.1079999999999997</v>
      </c>
      <c r="N184" s="106">
        <v>3.6</v>
      </c>
      <c r="P184" s="105">
        <v>30.984000000000002</v>
      </c>
      <c r="Q184" s="105">
        <v>29.869</v>
      </c>
      <c r="R184" s="105">
        <v>29.082000000000001</v>
      </c>
      <c r="S184" s="105">
        <v>46.631999999999998</v>
      </c>
      <c r="T184" s="105">
        <v>48.472999999999999</v>
      </c>
      <c r="V184" s="105">
        <v>40.036000000000001</v>
      </c>
      <c r="W184" s="105">
        <v>39.57</v>
      </c>
      <c r="X184" s="105">
        <v>46.645000000000003</v>
      </c>
      <c r="Y184" s="105">
        <v>98.918999999999997</v>
      </c>
      <c r="Z184" s="106">
        <v>47.900000000000006</v>
      </c>
    </row>
    <row r="185" spans="1:26">
      <c r="A185" s="74">
        <v>44927</v>
      </c>
      <c r="B185" s="105">
        <v>26.809000000000001</v>
      </c>
      <c r="C185" s="105">
        <v>52.523000000000003</v>
      </c>
      <c r="E185" s="105">
        <v>203.15600000000001</v>
      </c>
      <c r="F185" s="105">
        <v>198.63499999999999</v>
      </c>
      <c r="G185" s="105">
        <v>4.5209999999999999</v>
      </c>
      <c r="H185" s="105">
        <v>342.69400000000002</v>
      </c>
      <c r="J185" s="106">
        <v>1.6</v>
      </c>
      <c r="K185" s="106">
        <v>1.5</v>
      </c>
      <c r="L185" s="105">
        <v>5.4589999999999996</v>
      </c>
      <c r="M185" s="105">
        <v>8.85</v>
      </c>
      <c r="N185" s="106">
        <v>2.2000000000000002</v>
      </c>
      <c r="P185" s="105">
        <v>33.405999999999999</v>
      </c>
      <c r="Q185" s="105">
        <v>32.289000000000001</v>
      </c>
      <c r="R185" s="105">
        <v>39.088999999999999</v>
      </c>
      <c r="S185" s="105">
        <v>54.865000000000002</v>
      </c>
      <c r="T185" s="105">
        <v>39.216999999999999</v>
      </c>
      <c r="V185" s="105">
        <v>40.834000000000003</v>
      </c>
      <c r="W185" s="105">
        <v>40.36</v>
      </c>
      <c r="X185" s="105">
        <v>46.167999999999999</v>
      </c>
      <c r="Y185" s="105">
        <v>72.844999999999999</v>
      </c>
      <c r="Z185" s="106">
        <v>47.800000000000004</v>
      </c>
    </row>
    <row r="186" spans="1:26">
      <c r="A186" s="74">
        <v>44958</v>
      </c>
      <c r="B186" s="105">
        <v>24.699000000000002</v>
      </c>
      <c r="C186" s="105">
        <v>55.149000000000001</v>
      </c>
      <c r="E186" s="105">
        <v>193.523</v>
      </c>
      <c r="F186" s="105">
        <v>190.97399999999999</v>
      </c>
      <c r="G186" s="105">
        <v>2.5489999999999999</v>
      </c>
      <c r="H186" s="105">
        <v>339.58199999999999</v>
      </c>
      <c r="J186" s="106">
        <v>3.1</v>
      </c>
      <c r="K186" s="106">
        <v>3</v>
      </c>
      <c r="L186" s="105">
        <v>4.899</v>
      </c>
      <c r="M186" s="105">
        <v>11.444000000000001</v>
      </c>
      <c r="N186" s="106">
        <v>2</v>
      </c>
      <c r="P186" s="105">
        <v>46.912999999999997</v>
      </c>
      <c r="Q186" s="105">
        <v>45.343000000000004</v>
      </c>
      <c r="R186" s="105">
        <v>34.610999999999997</v>
      </c>
      <c r="S186" s="105">
        <v>54.115000000000002</v>
      </c>
      <c r="T186" s="105">
        <v>47.606000000000002</v>
      </c>
      <c r="V186" s="105">
        <v>47.250999999999998</v>
      </c>
      <c r="W186" s="105">
        <v>46.651000000000003</v>
      </c>
      <c r="X186" s="105">
        <v>50.381999999999998</v>
      </c>
      <c r="Y186" s="105">
        <v>74.623999999999995</v>
      </c>
      <c r="Z186" s="106">
        <v>52.1</v>
      </c>
    </row>
    <row r="187" spans="1:26">
      <c r="A187" s="74">
        <v>44986</v>
      </c>
      <c r="B187" s="105">
        <v>30.97</v>
      </c>
      <c r="C187" s="105">
        <v>57.765999999999998</v>
      </c>
      <c r="E187" s="105">
        <v>212.21700000000001</v>
      </c>
      <c r="F187" s="105">
        <v>210.37</v>
      </c>
      <c r="G187" s="105">
        <v>1.847</v>
      </c>
      <c r="H187" s="105">
        <v>349.65800000000002</v>
      </c>
      <c r="J187" s="106">
        <v>2.8000000000000003</v>
      </c>
      <c r="K187" s="106">
        <v>2.7</v>
      </c>
      <c r="L187" s="105">
        <v>3.782</v>
      </c>
      <c r="M187" s="105">
        <v>11.837999999999999</v>
      </c>
      <c r="N187" s="106">
        <v>1.9000000000000001</v>
      </c>
      <c r="P187" s="105">
        <v>44.284999999999997</v>
      </c>
      <c r="Q187" s="105">
        <v>43.4</v>
      </c>
      <c r="R187" s="106">
        <v>36.4</v>
      </c>
      <c r="S187" s="105">
        <v>57.951999999999998</v>
      </c>
      <c r="T187" s="105">
        <v>50.454999999999998</v>
      </c>
      <c r="V187" s="105">
        <v>32.134999999999998</v>
      </c>
      <c r="W187" s="105">
        <v>31.55</v>
      </c>
      <c r="X187" s="105">
        <v>41.167000000000002</v>
      </c>
      <c r="Y187" s="105">
        <v>78.221000000000004</v>
      </c>
      <c r="Z187" s="106">
        <v>42.900000000000006</v>
      </c>
    </row>
    <row r="188" spans="1:26">
      <c r="A188" s="74">
        <v>45017</v>
      </c>
      <c r="B188" s="105">
        <v>24.541</v>
      </c>
      <c r="C188" s="105">
        <v>51.052999999999997</v>
      </c>
      <c r="E188" s="105">
        <v>170.12299999999999</v>
      </c>
      <c r="F188" s="105">
        <v>165.93100000000001</v>
      </c>
      <c r="G188" s="105">
        <v>4.1920000000000002</v>
      </c>
      <c r="H188" s="105">
        <v>339.13299999999998</v>
      </c>
      <c r="J188" s="106">
        <v>1.4000000000000001</v>
      </c>
      <c r="K188" s="106">
        <v>1.3</v>
      </c>
      <c r="L188" s="105">
        <v>5.2990000000000004</v>
      </c>
      <c r="M188" s="105">
        <v>7.7530000000000001</v>
      </c>
      <c r="N188" s="106">
        <v>2.1</v>
      </c>
      <c r="P188" s="105">
        <v>30.736000000000001</v>
      </c>
      <c r="Q188" s="105">
        <v>29.753</v>
      </c>
      <c r="R188" s="106">
        <v>30.200000000000003</v>
      </c>
      <c r="S188" s="105">
        <v>60.180999999999997</v>
      </c>
      <c r="T188" s="105">
        <v>40.097000000000001</v>
      </c>
      <c r="V188" s="106">
        <v>38.411391151564771</v>
      </c>
      <c r="W188" s="106">
        <v>37.850295415803117</v>
      </c>
      <c r="X188" s="105">
        <v>45.457000000000001</v>
      </c>
      <c r="Y188" s="105">
        <v>73.61</v>
      </c>
      <c r="Z188" s="106">
        <v>47.800000000000004</v>
      </c>
    </row>
    <row r="189" spans="1:26">
      <c r="A189" s="74">
        <v>45047</v>
      </c>
      <c r="B189" s="105">
        <v>23.887</v>
      </c>
      <c r="C189" s="105">
        <v>53.832999999999998</v>
      </c>
      <c r="E189" s="105">
        <v>190.797</v>
      </c>
      <c r="F189" s="105">
        <v>185.10900000000001</v>
      </c>
      <c r="G189" s="105">
        <v>5.6879999999999997</v>
      </c>
      <c r="H189" s="105">
        <v>356.70800000000003</v>
      </c>
      <c r="J189" s="106">
        <v>3</v>
      </c>
      <c r="K189" s="106">
        <v>3</v>
      </c>
      <c r="L189" s="105">
        <v>5.0730000000000004</v>
      </c>
      <c r="M189" s="105">
        <v>7.819</v>
      </c>
      <c r="N189" s="106">
        <v>2.1</v>
      </c>
      <c r="P189" s="105">
        <v>25.594999999999999</v>
      </c>
      <c r="Q189" s="105">
        <v>24.562000000000001</v>
      </c>
      <c r="R189" s="106">
        <v>28</v>
      </c>
      <c r="S189" s="105">
        <v>51.037999999999997</v>
      </c>
      <c r="T189" s="105">
        <v>28.042000000000002</v>
      </c>
      <c r="V189" s="106">
        <v>38.588291318847773</v>
      </c>
      <c r="W189" s="106">
        <v>38.019615371757283</v>
      </c>
      <c r="X189" s="105">
        <v>45.475000000000001</v>
      </c>
      <c r="Y189" s="105">
        <v>73.489000000000004</v>
      </c>
      <c r="Z189" s="106">
        <v>47</v>
      </c>
    </row>
    <row r="190" spans="1:26">
      <c r="A190" s="74">
        <v>45078</v>
      </c>
      <c r="B190" s="105">
        <v>22.359000000000002</v>
      </c>
      <c r="C190" s="105">
        <v>62.207000000000001</v>
      </c>
      <c r="E190" s="105">
        <v>195.76400000000001</v>
      </c>
      <c r="F190" s="105">
        <v>189.84899999999999</v>
      </c>
      <c r="G190" s="105">
        <v>5.915</v>
      </c>
      <c r="H190" s="105">
        <v>356.51400000000001</v>
      </c>
      <c r="J190" s="106">
        <v>3.1</v>
      </c>
      <c r="K190" s="106">
        <v>3.1</v>
      </c>
      <c r="L190" s="105">
        <v>2.6819999999999999</v>
      </c>
      <c r="M190" s="105">
        <v>10.02</v>
      </c>
      <c r="N190" s="106">
        <v>1.9000000000000001</v>
      </c>
      <c r="P190" s="105">
        <v>50.679000000000002</v>
      </c>
      <c r="Q190" s="105">
        <v>48.639000000000003</v>
      </c>
      <c r="R190" s="105">
        <v>31.690999999999999</v>
      </c>
      <c r="S190" s="105">
        <v>51.984000000000002</v>
      </c>
      <c r="T190" s="105">
        <v>35.683999999999997</v>
      </c>
      <c r="V190" s="105">
        <v>38.42</v>
      </c>
      <c r="W190" s="105">
        <v>38.314999999999998</v>
      </c>
      <c r="X190" s="105">
        <v>44.500999999999998</v>
      </c>
      <c r="Y190" s="105">
        <v>71.698999999999998</v>
      </c>
      <c r="Z190" s="106">
        <v>45.800000000000004</v>
      </c>
    </row>
    <row r="191" spans="1:26">
      <c r="A191" s="74">
        <v>45108</v>
      </c>
      <c r="B191" s="105">
        <v>24.312000000000001</v>
      </c>
      <c r="C191" s="105">
        <v>60.642000000000003</v>
      </c>
      <c r="E191" s="105">
        <v>184.666</v>
      </c>
      <c r="F191" s="105">
        <v>176.99700000000001</v>
      </c>
      <c r="G191" s="105">
        <v>7.6689999999999996</v>
      </c>
      <c r="H191" s="105">
        <v>332.64400000000001</v>
      </c>
      <c r="J191" s="106">
        <v>3.3000000000000003</v>
      </c>
      <c r="K191" s="106">
        <v>3.3000000000000003</v>
      </c>
      <c r="L191" s="105">
        <v>3.4</v>
      </c>
      <c r="M191" s="105">
        <v>13.882999999999999</v>
      </c>
      <c r="N191" s="106">
        <v>1.6</v>
      </c>
      <c r="P191" s="105">
        <v>37.399000000000001</v>
      </c>
      <c r="Q191" s="105">
        <v>36.140999999999998</v>
      </c>
      <c r="R191" s="106">
        <v>32.800000000000004</v>
      </c>
      <c r="S191" s="105">
        <v>44.841999999999999</v>
      </c>
      <c r="T191" s="105">
        <v>38.598999999999997</v>
      </c>
      <c r="V191" s="105">
        <v>37.719000000000001</v>
      </c>
      <c r="W191" s="105">
        <v>37.597999999999999</v>
      </c>
      <c r="X191" s="105">
        <v>43.447000000000003</v>
      </c>
      <c r="Y191" s="105">
        <v>86.623000000000005</v>
      </c>
      <c r="Z191" s="105">
        <v>65.277000000000001</v>
      </c>
    </row>
    <row r="192" spans="1:26">
      <c r="A192" s="74">
        <v>45139</v>
      </c>
      <c r="B192" s="107">
        <v>30.803000000000001</v>
      </c>
      <c r="C192" s="107">
        <v>48.116999999999997</v>
      </c>
      <c r="E192" s="107">
        <v>211.34800000000001</v>
      </c>
      <c r="F192" s="107">
        <v>201.911</v>
      </c>
      <c r="G192" s="107">
        <v>9.4369999999999994</v>
      </c>
      <c r="H192" s="107">
        <v>340.69299999999998</v>
      </c>
      <c r="J192" s="107">
        <v>3.3000000000000003</v>
      </c>
      <c r="K192" s="107">
        <v>3.3000000000000003</v>
      </c>
      <c r="L192" s="107">
        <v>4.4459999999999997</v>
      </c>
      <c r="M192" s="107">
        <v>14.176</v>
      </c>
      <c r="N192" s="107">
        <v>1.5</v>
      </c>
      <c r="P192" s="107">
        <v>35.658999999999999</v>
      </c>
      <c r="Q192" s="107">
        <v>33.773000000000003</v>
      </c>
      <c r="R192" s="107">
        <v>31.700000000000003</v>
      </c>
      <c r="S192" s="107">
        <v>52.506999999999998</v>
      </c>
      <c r="T192" s="107">
        <v>29.803999999999998</v>
      </c>
      <c r="V192" s="107">
        <v>31.646000000000001</v>
      </c>
      <c r="W192" s="107">
        <v>31.193999999999999</v>
      </c>
      <c r="X192" s="107">
        <v>59.052999999999997</v>
      </c>
      <c r="Y192" s="107">
        <v>89.686000000000007</v>
      </c>
      <c r="Z192" s="107">
        <v>63.300000000000004</v>
      </c>
    </row>
    <row r="193" spans="1:26">
      <c r="A193" s="74">
        <v>45170</v>
      </c>
      <c r="B193" s="107">
        <v>24.981999999999999</v>
      </c>
      <c r="C193" s="107">
        <v>71.122</v>
      </c>
      <c r="E193" s="107">
        <v>199.137</v>
      </c>
      <c r="F193" s="107">
        <v>186.68</v>
      </c>
      <c r="G193" s="107">
        <v>12.457000000000001</v>
      </c>
      <c r="H193" s="107">
        <v>355.51799999999997</v>
      </c>
      <c r="J193" s="107">
        <v>3.1</v>
      </c>
      <c r="K193" s="107">
        <v>3.1</v>
      </c>
      <c r="L193" s="107">
        <v>4.6879999999999997</v>
      </c>
      <c r="M193" s="107">
        <v>9.77</v>
      </c>
      <c r="N193" s="107">
        <v>1.9000000000000001</v>
      </c>
      <c r="P193" s="107">
        <v>36.039000000000001</v>
      </c>
      <c r="Q193" s="107">
        <v>34.890999999999998</v>
      </c>
      <c r="R193" s="107">
        <v>24.533000000000001</v>
      </c>
      <c r="S193" s="107">
        <v>48.963999999999999</v>
      </c>
      <c r="T193" s="107">
        <v>37.792000000000002</v>
      </c>
      <c r="V193" s="107">
        <v>44.769721080643464</v>
      </c>
      <c r="W193" s="107">
        <v>43.938742610697098</v>
      </c>
      <c r="X193" s="107">
        <v>44.207999999999998</v>
      </c>
      <c r="Y193" s="107">
        <v>77.084999999999994</v>
      </c>
      <c r="Z193" s="107">
        <v>46.300000000000004</v>
      </c>
    </row>
    <row r="194" spans="1:26">
      <c r="A194" s="74">
        <v>45200</v>
      </c>
      <c r="B194" s="107">
        <v>45.341999999999999</v>
      </c>
      <c r="C194" s="107">
        <v>60.917000000000002</v>
      </c>
      <c r="E194" s="107">
        <v>231.358</v>
      </c>
      <c r="F194" s="107">
        <v>227.48599999999999</v>
      </c>
      <c r="G194" s="107">
        <v>3.8719999999999999</v>
      </c>
      <c r="H194" s="107">
        <v>328.15100000000001</v>
      </c>
      <c r="J194" s="107">
        <v>3</v>
      </c>
      <c r="K194" s="107">
        <v>3</v>
      </c>
      <c r="L194" s="107">
        <v>5.5990000000000002</v>
      </c>
      <c r="M194" s="107">
        <v>8.3859999999999992</v>
      </c>
      <c r="N194" s="107">
        <v>2</v>
      </c>
      <c r="P194" s="107">
        <v>45.18</v>
      </c>
      <c r="Q194" s="107">
        <v>43.267000000000003</v>
      </c>
      <c r="R194" s="107">
        <v>30.315999999999999</v>
      </c>
      <c r="S194" s="107">
        <v>42.003</v>
      </c>
      <c r="T194" s="107">
        <v>48.670999999999999</v>
      </c>
      <c r="V194" s="107">
        <v>29.783000000000001</v>
      </c>
      <c r="W194" s="107">
        <v>29.512</v>
      </c>
      <c r="X194" s="107">
        <v>42.142000000000003</v>
      </c>
      <c r="Y194" s="107">
        <v>61.735999999999997</v>
      </c>
      <c r="Z194" s="107">
        <v>44</v>
      </c>
    </row>
    <row r="195" spans="1:26">
      <c r="A195" s="74">
        <v>45231</v>
      </c>
      <c r="B195" s="79">
        <v>44.17</v>
      </c>
      <c r="C195" s="79">
        <v>85.835999999999999</v>
      </c>
      <c r="E195" s="79">
        <v>204.36099999999999</v>
      </c>
      <c r="F195" s="79">
        <v>189.15799999999999</v>
      </c>
      <c r="G195" s="79">
        <v>2.5489999999999999</v>
      </c>
      <c r="H195" s="79">
        <v>339.53199999999998</v>
      </c>
      <c r="J195" s="80">
        <v>2.2000000000000002</v>
      </c>
      <c r="K195" s="80">
        <v>2.1</v>
      </c>
      <c r="L195" s="79">
        <v>3.9430000000000001</v>
      </c>
      <c r="M195" s="79">
        <v>5.3289999999999997</v>
      </c>
      <c r="N195" s="80">
        <v>2.3000000000000003</v>
      </c>
      <c r="P195" s="79">
        <v>26.474</v>
      </c>
      <c r="Q195" s="79">
        <v>25.268000000000001</v>
      </c>
      <c r="R195" s="79">
        <v>31.878</v>
      </c>
      <c r="S195" s="79">
        <v>45.997</v>
      </c>
      <c r="T195" s="79">
        <v>39.389000000000003</v>
      </c>
      <c r="V195" s="97">
        <v>25.041</v>
      </c>
      <c r="W195" s="79">
        <v>24.893000000000001</v>
      </c>
      <c r="X195" s="97">
        <v>40.667000000000002</v>
      </c>
      <c r="Y195" s="79">
        <v>66.676000000000002</v>
      </c>
      <c r="Z195" s="106">
        <v>40.700000000000003</v>
      </c>
    </row>
    <row r="196" spans="1:26">
      <c r="A196" s="74">
        <v>45261</v>
      </c>
      <c r="B196" s="79">
        <v>43.017000000000003</v>
      </c>
      <c r="C196" s="79">
        <v>92.256</v>
      </c>
      <c r="E196" s="79">
        <v>166.64599999999999</v>
      </c>
      <c r="F196" s="80">
        <v>159.5</v>
      </c>
      <c r="G196" s="80">
        <v>6.9</v>
      </c>
      <c r="H196" s="79">
        <v>358.22300000000001</v>
      </c>
      <c r="J196" s="80">
        <v>2.8000000000000003</v>
      </c>
      <c r="K196" s="80">
        <v>2.8000000000000003</v>
      </c>
      <c r="L196" s="79">
        <v>3.56</v>
      </c>
      <c r="M196" s="79">
        <v>3.3929999999999998</v>
      </c>
      <c r="N196" s="80">
        <v>2.5</v>
      </c>
      <c r="P196" s="79">
        <v>33.148000000000003</v>
      </c>
      <c r="Q196" s="79">
        <v>31.867999999999999</v>
      </c>
      <c r="R196" s="79">
        <v>31.776</v>
      </c>
      <c r="S196" s="79">
        <v>41.043999999999997</v>
      </c>
      <c r="T196" s="79">
        <v>37.572000000000003</v>
      </c>
      <c r="V196" s="97">
        <v>26.071999999999999</v>
      </c>
      <c r="W196" s="79">
        <v>25.808</v>
      </c>
      <c r="X196" s="97">
        <v>29.062000000000001</v>
      </c>
      <c r="Y196" s="79">
        <v>59.161999999999999</v>
      </c>
      <c r="Z196" s="106">
        <v>26</v>
      </c>
    </row>
    <row r="197" spans="1:26">
      <c r="A197" s="74">
        <v>45292</v>
      </c>
      <c r="B197" s="79">
        <v>43.246000000000002</v>
      </c>
      <c r="C197" s="79">
        <v>90.578000000000003</v>
      </c>
      <c r="E197" s="79">
        <v>189.667</v>
      </c>
      <c r="F197" s="80">
        <v>186.77</v>
      </c>
      <c r="G197" s="80">
        <f>MROUND(FORECAST(F197,G189:G196,F189:F196),0.1)</f>
        <v>6.9</v>
      </c>
      <c r="H197" s="79">
        <v>342.96100000000001</v>
      </c>
      <c r="J197" s="80">
        <f t="shared" ref="J197" si="110">MROUND(FORECAST(M197,J189:J196,M189:M196),0.1)</f>
        <v>2.7</v>
      </c>
      <c r="K197" s="80">
        <f t="shared" ref="K197" si="111">MROUND(FORECAST(J197,K189:K196,J189:J196),0.1)</f>
        <v>2.7</v>
      </c>
      <c r="L197" s="79">
        <v>5.3609999999999998</v>
      </c>
      <c r="M197" s="79">
        <v>4.8120000000000003</v>
      </c>
      <c r="N197" s="80">
        <f t="shared" ref="N197" si="112">MROUND(FORECAST(M197,N189:N196,M189:M196),0.1)</f>
        <v>2.4000000000000004</v>
      </c>
      <c r="P197" s="79">
        <v>33.024000000000001</v>
      </c>
      <c r="Q197" s="79">
        <v>31.795999999999999</v>
      </c>
      <c r="R197" s="80">
        <f>T196+Q197-T197</f>
        <v>39.270999999999994</v>
      </c>
      <c r="S197" s="79">
        <v>40.616999999999997</v>
      </c>
      <c r="T197" s="79">
        <v>30.097000000000001</v>
      </c>
      <c r="V197" s="97">
        <v>24.687999999999999</v>
      </c>
      <c r="W197" s="79">
        <v>24.51</v>
      </c>
      <c r="X197" s="97">
        <v>42.250999999999998</v>
      </c>
      <c r="Y197" s="79">
        <v>72.576999999999998</v>
      </c>
      <c r="Z197" s="96">
        <v>57.232999999999997</v>
      </c>
    </row>
    <row r="198" spans="1:26">
      <c r="A198" s="74">
        <v>45323</v>
      </c>
      <c r="B198" s="79">
        <v>39.926000000000002</v>
      </c>
      <c r="C198" s="79">
        <v>98.361999999999995</v>
      </c>
      <c r="E198" s="79">
        <v>199.83500000000001</v>
      </c>
      <c r="F198" s="79">
        <v>196.56</v>
      </c>
      <c r="G198" s="79">
        <v>3.2749999999999999</v>
      </c>
      <c r="H198" s="79">
        <v>328.01100000000002</v>
      </c>
      <c r="J198" s="80">
        <v>3</v>
      </c>
      <c r="K198" s="80">
        <v>3</v>
      </c>
      <c r="L198" s="79">
        <v>8.44</v>
      </c>
      <c r="M198" s="79">
        <v>6.9880000000000004</v>
      </c>
      <c r="N198" s="80">
        <v>2.2000000000000002</v>
      </c>
      <c r="P198" s="79">
        <v>36.831000000000003</v>
      </c>
      <c r="Q198" s="79">
        <v>35.359000000000002</v>
      </c>
      <c r="R198" s="80">
        <v>36.164000000000001</v>
      </c>
      <c r="S198" s="79">
        <v>37.438000000000002</v>
      </c>
      <c r="T198" s="79">
        <v>29.292000000000002</v>
      </c>
      <c r="V198" s="79">
        <v>21.616</v>
      </c>
      <c r="W198" s="79">
        <v>21.434999999999999</v>
      </c>
      <c r="X198" s="79">
        <v>27.815000000000001</v>
      </c>
      <c r="Y198" s="79">
        <v>93.966999999999999</v>
      </c>
      <c r="Z198" s="106">
        <v>29.5</v>
      </c>
    </row>
    <row r="199" spans="1:26">
      <c r="A199" s="74">
        <v>45352</v>
      </c>
      <c r="B199" s="79">
        <v>36.104999999999997</v>
      </c>
      <c r="C199" s="79">
        <v>87.191000000000003</v>
      </c>
      <c r="E199" s="79">
        <v>181.46799999999999</v>
      </c>
      <c r="F199" s="79">
        <v>178.85499999999999</v>
      </c>
      <c r="G199" s="79">
        <v>2.613</v>
      </c>
      <c r="H199" s="79">
        <v>315.92200000000003</v>
      </c>
      <c r="J199" s="80">
        <v>2.8000000000000003</v>
      </c>
      <c r="K199" s="80">
        <v>2.8000000000000003</v>
      </c>
      <c r="L199" s="79">
        <v>5.38</v>
      </c>
      <c r="M199" s="79">
        <v>3.5030000000000001</v>
      </c>
      <c r="N199" s="80">
        <v>2.5</v>
      </c>
      <c r="P199" s="79">
        <v>39.828000000000003</v>
      </c>
      <c r="Q199" s="79">
        <v>38.637999999999998</v>
      </c>
      <c r="R199" s="80">
        <v>40.464000000000006</v>
      </c>
      <c r="S199" s="79">
        <v>34.289000000000001</v>
      </c>
      <c r="T199" s="79">
        <v>27.466000000000001</v>
      </c>
      <c r="V199" s="79">
        <v>21.82</v>
      </c>
      <c r="W199" s="79">
        <v>21.466999999999999</v>
      </c>
      <c r="X199" s="79">
        <v>37.709000000000003</v>
      </c>
      <c r="Y199" s="79">
        <v>63.34</v>
      </c>
      <c r="Z199" s="96">
        <v>58.351999999999997</v>
      </c>
    </row>
    <row r="200" spans="1:26">
      <c r="A200" s="74">
        <v>45383</v>
      </c>
      <c r="B200" s="79">
        <v>41.814</v>
      </c>
      <c r="C200" s="79">
        <v>87.2</v>
      </c>
      <c r="E200" s="79">
        <v>213.684</v>
      </c>
      <c r="F200" s="79">
        <v>210.91</v>
      </c>
      <c r="G200" s="79">
        <v>2.774</v>
      </c>
      <c r="H200" s="79">
        <v>298.93799999999999</v>
      </c>
      <c r="J200" s="80">
        <v>3.1</v>
      </c>
      <c r="K200" s="80">
        <v>3.1</v>
      </c>
      <c r="L200" s="79">
        <v>8.6760000000000002</v>
      </c>
      <c r="M200" s="79">
        <v>9.0779999999999994</v>
      </c>
      <c r="N200" s="80">
        <v>2</v>
      </c>
      <c r="P200" s="79">
        <v>28.265000000000001</v>
      </c>
      <c r="Q200" s="79">
        <v>26.692</v>
      </c>
      <c r="R200" s="80">
        <v>28.012</v>
      </c>
      <c r="S200" s="79">
        <v>36.713999999999999</v>
      </c>
      <c r="T200" s="79">
        <v>26.146000000000001</v>
      </c>
      <c r="V200" s="79">
        <v>27.516999999999999</v>
      </c>
      <c r="W200" s="79">
        <v>27.172999999999998</v>
      </c>
      <c r="X200" s="79">
        <v>36.274999999999999</v>
      </c>
      <c r="Y200" s="79">
        <v>91.176000000000002</v>
      </c>
      <c r="Z200" s="96">
        <v>60.939</v>
      </c>
    </row>
    <row r="201" spans="1:26">
      <c r="A201" s="74">
        <v>45413</v>
      </c>
      <c r="B201" s="79">
        <v>41.344999999999999</v>
      </c>
      <c r="C201" s="79">
        <v>62.1</v>
      </c>
      <c r="E201" s="79">
        <v>182.642</v>
      </c>
      <c r="F201" s="79">
        <v>180.98599999999999</v>
      </c>
      <c r="G201" s="79">
        <v>5.8000000000000007</v>
      </c>
      <c r="H201" s="79">
        <v>304.87099999999998</v>
      </c>
      <c r="J201" s="79">
        <v>2.8000000000000003</v>
      </c>
      <c r="K201" s="79">
        <v>2.8000000000000003</v>
      </c>
      <c r="L201" s="79">
        <v>3.847</v>
      </c>
      <c r="M201" s="79">
        <v>4.01</v>
      </c>
      <c r="N201" s="79">
        <v>2.5</v>
      </c>
      <c r="P201" s="79">
        <v>27.90274450560889</v>
      </c>
      <c r="Q201" s="79">
        <v>26.708903053037879</v>
      </c>
      <c r="R201" s="79">
        <v>33.786903053037875</v>
      </c>
      <c r="S201" s="79">
        <v>37.641305780497568</v>
      </c>
      <c r="T201" s="79">
        <v>19.068000000000001</v>
      </c>
      <c r="V201" s="79">
        <v>34.100999999999999</v>
      </c>
      <c r="W201" s="79">
        <v>33.567</v>
      </c>
      <c r="X201" s="79">
        <v>41.95</v>
      </c>
      <c r="Y201" s="79">
        <v>108.947</v>
      </c>
      <c r="Z201" s="79">
        <v>52.384999999999998</v>
      </c>
    </row>
    <row r="202" spans="1:26">
      <c r="A202" s="74">
        <v>45444</v>
      </c>
      <c r="B202" s="79">
        <v>36.348999999999997</v>
      </c>
      <c r="C202" s="79">
        <v>73.227999999999994</v>
      </c>
      <c r="E202" s="79">
        <v>183.10900000000001</v>
      </c>
      <c r="F202" s="96">
        <v>180.19</v>
      </c>
      <c r="G202" s="96">
        <v>2.919</v>
      </c>
      <c r="H202" s="79">
        <v>262.38799999999998</v>
      </c>
      <c r="I202" s="135"/>
      <c r="J202" s="80">
        <v>2.8000000000000003</v>
      </c>
      <c r="K202" s="80">
        <v>2.8000000000000003</v>
      </c>
      <c r="L202" s="79">
        <v>9.0329999999999995</v>
      </c>
      <c r="M202" s="79">
        <v>2.7480000000000002</v>
      </c>
      <c r="N202" s="80">
        <v>2.6</v>
      </c>
      <c r="P202" s="96">
        <v>45.487000000000002</v>
      </c>
      <c r="Q202" s="96">
        <v>43.627000000000002</v>
      </c>
      <c r="R202" s="96">
        <v>32.311999999999998</v>
      </c>
      <c r="S202" s="96">
        <v>36.963999999999999</v>
      </c>
      <c r="T202" s="79">
        <v>27.582999999999998</v>
      </c>
      <c r="V202" s="79">
        <v>28.155000000000001</v>
      </c>
      <c r="W202" s="79">
        <v>27.981000000000002</v>
      </c>
      <c r="X202" s="79">
        <v>36.158000000000001</v>
      </c>
      <c r="Y202" s="79">
        <v>125.79600000000001</v>
      </c>
      <c r="Z202" s="106">
        <v>69.5</v>
      </c>
    </row>
    <row r="203" spans="1:26">
      <c r="A203" s="74">
        <v>45474</v>
      </c>
      <c r="B203" s="79">
        <v>38.768999999999998</v>
      </c>
      <c r="C203" s="79">
        <v>76.171999999999997</v>
      </c>
      <c r="E203" s="79">
        <v>185.47399999999999</v>
      </c>
      <c r="F203" s="79">
        <v>181.37100000000001</v>
      </c>
      <c r="G203" s="79">
        <v>4.1029999999999998</v>
      </c>
      <c r="H203" s="79">
        <v>288.39</v>
      </c>
      <c r="J203" s="79">
        <v>2.9000000000000004</v>
      </c>
      <c r="K203" s="79">
        <v>2.9000000000000004</v>
      </c>
      <c r="L203" s="79">
        <v>4.7809999999999997</v>
      </c>
      <c r="M203" s="79">
        <v>4.4000000000000004</v>
      </c>
      <c r="N203" s="79">
        <v>2.4000000000000004</v>
      </c>
      <c r="P203" s="79">
        <v>34.691000000000003</v>
      </c>
      <c r="Q203" s="79">
        <v>33.277000000000001</v>
      </c>
      <c r="R203" s="79">
        <v>34</v>
      </c>
      <c r="S203" s="79">
        <v>29.838000000000001</v>
      </c>
      <c r="T203" s="79">
        <v>28.849</v>
      </c>
      <c r="V203" s="79">
        <v>31.341999999999999</v>
      </c>
      <c r="W203" s="79">
        <v>31.004000000000001</v>
      </c>
      <c r="X203" s="79">
        <v>40.741</v>
      </c>
      <c r="Y203" s="79">
        <v>126.06</v>
      </c>
      <c r="Z203" s="79">
        <v>49.400000000000006</v>
      </c>
    </row>
    <row r="204" spans="1:26">
      <c r="A204" s="74">
        <v>45505</v>
      </c>
      <c r="B204" s="79">
        <v>36.335999999999999</v>
      </c>
      <c r="C204" s="79">
        <v>79.099999999999994</v>
      </c>
      <c r="E204" s="79">
        <v>206.71700000000001</v>
      </c>
      <c r="F204" s="79">
        <v>201.64</v>
      </c>
      <c r="G204" s="80">
        <f>MROUND(FORECAST(F204,G196:G203,F196:F203),0.1)</f>
        <v>3.3000000000000003</v>
      </c>
      <c r="H204" s="79">
        <v>266.685</v>
      </c>
      <c r="J204" s="80">
        <v>2.8000000000000003</v>
      </c>
      <c r="K204" s="80">
        <v>2.8000000000000003</v>
      </c>
      <c r="L204" s="79">
        <v>5.5060000000000002</v>
      </c>
      <c r="M204" s="79">
        <v>4.601</v>
      </c>
      <c r="N204" s="80">
        <v>2.6</v>
      </c>
      <c r="P204" s="79">
        <v>32.988999999999997</v>
      </c>
      <c r="Q204" s="79">
        <v>31.667999999999999</v>
      </c>
      <c r="R204" s="80">
        <v>40.464000000000006</v>
      </c>
      <c r="S204" s="79">
        <v>35.896000000000001</v>
      </c>
      <c r="T204" s="79">
        <v>23.433</v>
      </c>
      <c r="V204" s="79">
        <v>45.575000000000003</v>
      </c>
      <c r="W204" s="79">
        <v>49.838999999999999</v>
      </c>
      <c r="X204" s="79">
        <v>49.838999999999999</v>
      </c>
      <c r="Y204" s="79">
        <v>97.894000000000005</v>
      </c>
      <c r="Z204" s="80">
        <v>69.5</v>
      </c>
    </row>
    <row r="205" spans="1:26">
      <c r="A205" s="74">
        <v>45536</v>
      </c>
      <c r="B205" s="79">
        <v>40.298999999999999</v>
      </c>
      <c r="C205" s="107">
        <v>83.463999999999999</v>
      </c>
      <c r="E205" s="79">
        <v>188.483</v>
      </c>
      <c r="F205" s="79">
        <v>182.559</v>
      </c>
      <c r="G205" s="79">
        <v>5.9240000000000004</v>
      </c>
      <c r="H205" s="79">
        <v>255.47300000000001</v>
      </c>
      <c r="J205" s="80">
        <v>2.8000000000000003</v>
      </c>
      <c r="K205" s="80">
        <v>2.8000000000000003</v>
      </c>
      <c r="L205" s="79">
        <v>6.53</v>
      </c>
      <c r="M205" s="79">
        <v>3.891</v>
      </c>
      <c r="N205" s="80">
        <v>2.6</v>
      </c>
      <c r="P205" s="79">
        <v>44.575000000000003</v>
      </c>
      <c r="Q205" s="79">
        <v>43.256</v>
      </c>
      <c r="R205" s="80">
        <v>40.464000000000006</v>
      </c>
      <c r="S205" s="79">
        <v>23.952000000000002</v>
      </c>
      <c r="T205" s="79">
        <v>34.023000000000003</v>
      </c>
      <c r="V205" s="79">
        <v>36.738</v>
      </c>
      <c r="W205" s="79">
        <v>51.112000000000002</v>
      </c>
      <c r="X205" s="79">
        <v>51.112000000000002</v>
      </c>
      <c r="Y205" s="79">
        <v>77.195999999999998</v>
      </c>
      <c r="Z205" s="79">
        <v>73.210999999999999</v>
      </c>
    </row>
    <row r="206" spans="1:26">
      <c r="A206" s="74">
        <v>45566</v>
      </c>
      <c r="B206" s="79">
        <v>42.081000000000003</v>
      </c>
      <c r="C206" s="79">
        <v>86.01</v>
      </c>
      <c r="E206" s="79">
        <v>201.20099999999999</v>
      </c>
      <c r="F206" s="96">
        <v>195.011</v>
      </c>
      <c r="G206" s="96">
        <v>6.19</v>
      </c>
      <c r="H206" s="79">
        <v>301.25400000000002</v>
      </c>
      <c r="I206" s="135"/>
      <c r="J206" s="80">
        <f t="shared" ref="J206" si="113">MROUND(FORECAST(M206,J198:J205,M198:M205),0.1)</f>
        <v>2.8000000000000003</v>
      </c>
      <c r="K206" s="80">
        <f t="shared" ref="K206" si="114">MROUND(FORECAST(J206,K198:K205,J198:J205),0.1)</f>
        <v>2.8000000000000003</v>
      </c>
      <c r="L206" s="79">
        <v>5.4180000000000001</v>
      </c>
      <c r="M206" s="79">
        <v>3.4590000000000001</v>
      </c>
      <c r="N206" s="80">
        <f t="shared" ref="N206" si="115">MROUND(FORECAST(L206,N198:N205,L198:L205),0.1)</f>
        <v>2.5</v>
      </c>
      <c r="P206" s="96">
        <v>36.22</v>
      </c>
      <c r="Q206" s="96">
        <v>33.783000000000001</v>
      </c>
      <c r="R206" s="80">
        <f t="shared" ref="R206" si="116">MROUND(T205+Q206-T206,1)</f>
        <v>36</v>
      </c>
      <c r="S206" s="96">
        <v>18.234000000000002</v>
      </c>
      <c r="T206" s="79">
        <v>31.78</v>
      </c>
      <c r="V206" s="79">
        <v>33.933</v>
      </c>
      <c r="W206" s="79">
        <v>33.566000000000003</v>
      </c>
      <c r="X206" s="79">
        <v>49.781999999999996</v>
      </c>
      <c r="Y206" s="79">
        <v>137.197</v>
      </c>
      <c r="Z206" s="96">
        <v>78.795000000000002</v>
      </c>
    </row>
    <row r="207" spans="1:26">
      <c r="A207" s="74">
        <v>45597</v>
      </c>
      <c r="B207" s="79">
        <v>31.305</v>
      </c>
      <c r="C207" s="79">
        <v>70.105999999999995</v>
      </c>
      <c r="E207" s="79">
        <v>186.67699999999999</v>
      </c>
      <c r="F207" s="80">
        <v>181.69900000000001</v>
      </c>
      <c r="G207" s="80">
        <v>4.9779999999999998</v>
      </c>
      <c r="H207" s="79">
        <v>277.19400000000002</v>
      </c>
      <c r="I207">
        <v>0.97333361903180371</v>
      </c>
      <c r="J207" s="80">
        <v>2.8000000000000003</v>
      </c>
      <c r="K207" s="80">
        <v>2.8000000000000003</v>
      </c>
      <c r="L207" s="79">
        <v>5.56</v>
      </c>
      <c r="M207" s="79">
        <v>3.5430000000000001</v>
      </c>
      <c r="N207" s="80">
        <v>2.4000000000000004</v>
      </c>
      <c r="P207" s="79">
        <v>31.11</v>
      </c>
      <c r="Q207" s="79">
        <v>29.584</v>
      </c>
      <c r="R207" s="80">
        <v>31</v>
      </c>
      <c r="S207" s="79">
        <v>14.208</v>
      </c>
      <c r="T207" s="79">
        <v>30.797999999999998</v>
      </c>
      <c r="V207" s="97">
        <v>37.518000000000001</v>
      </c>
      <c r="W207" s="79">
        <v>37.200000000000003</v>
      </c>
      <c r="X207" s="97">
        <v>45.127000000000002</v>
      </c>
      <c r="Y207" s="79">
        <v>84.542000000000002</v>
      </c>
      <c r="Z207" s="96">
        <v>60.7</v>
      </c>
    </row>
  </sheetData>
  <mergeCells count="5">
    <mergeCell ref="B1:C1"/>
    <mergeCell ref="E1:H1"/>
    <mergeCell ref="P1:T1"/>
    <mergeCell ref="J1:N1"/>
    <mergeCell ref="V1:Z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88AA-F6D2-4E6F-852F-B6BE4C8E3029}">
  <sheetPr codeName="Sheet8"/>
  <dimension ref="A1:BR1279"/>
  <sheetViews>
    <sheetView zoomScale="85" zoomScaleNormal="85" workbookViewId="0">
      <pane xSplit="1" ySplit="1" topLeftCell="B754" activePane="bottomRight" state="frozen"/>
      <selection pane="topRight" activeCell="B1" sqref="B1"/>
      <selection pane="bottomLeft" activeCell="A3" sqref="A3"/>
      <selection pane="bottomRight" activeCell="H772" sqref="H772"/>
    </sheetView>
  </sheetViews>
  <sheetFormatPr defaultColWidth="9.140625" defaultRowHeight="15"/>
  <cols>
    <col min="1" max="1" width="12.42578125" style="38" bestFit="1" customWidth="1"/>
    <col min="2" max="2" width="9.140625" style="38"/>
    <col min="3" max="3" width="10" style="38" bestFit="1" customWidth="1"/>
    <col min="4" max="6" width="11.42578125" style="38" customWidth="1"/>
    <col min="7" max="7" width="8.7109375"/>
    <col min="8" max="10" width="11.42578125" style="38" customWidth="1"/>
    <col min="11" max="11" width="8.7109375"/>
    <col min="12" max="12" width="10.7109375" style="38" customWidth="1"/>
    <col min="13" max="14" width="10.7109375" customWidth="1"/>
    <col min="15" max="15" width="8.7109375"/>
    <col min="16" max="21" width="11.42578125" style="38" customWidth="1"/>
    <col min="22" max="23" width="9.140625" style="38"/>
    <col min="24" max="25" width="11.42578125" style="38" customWidth="1"/>
    <col min="26" max="51" width="9.140625" style="38"/>
    <col min="52" max="52" width="9.85546875" style="38" bestFit="1" customWidth="1"/>
    <col min="53" max="16384" width="9.140625" style="38"/>
  </cols>
  <sheetData>
    <row r="1" spans="1:19" s="121" customFormat="1" ht="67.5">
      <c r="D1" s="120" t="s">
        <v>397</v>
      </c>
      <c r="E1" s="120" t="s">
        <v>396</v>
      </c>
      <c r="F1" s="120" t="s">
        <v>395</v>
      </c>
      <c r="H1" s="120" t="s">
        <v>394</v>
      </c>
      <c r="I1" s="120" t="s">
        <v>393</v>
      </c>
      <c r="J1" s="120" t="s">
        <v>392</v>
      </c>
      <c r="L1" s="120" t="s">
        <v>391</v>
      </c>
      <c r="M1" s="120" t="s">
        <v>390</v>
      </c>
      <c r="N1" s="120" t="s">
        <v>389</v>
      </c>
      <c r="O1" s="120"/>
      <c r="P1" s="120" t="s">
        <v>388</v>
      </c>
      <c r="Q1" s="120" t="s">
        <v>387</v>
      </c>
      <c r="R1" s="120"/>
      <c r="S1" s="120" t="s">
        <v>386</v>
      </c>
    </row>
    <row r="2" spans="1:19">
      <c r="A2" s="123">
        <v>40280</v>
      </c>
      <c r="B2" s="121">
        <f t="shared" ref="B2:B65" si="0">MONTH(A2)</f>
        <v>4</v>
      </c>
      <c r="C2" s="121">
        <f t="shared" ref="C2:C65" si="1">YEAR(A2)</f>
        <v>2010</v>
      </c>
      <c r="D2" s="124">
        <v>0.91549999999999998</v>
      </c>
      <c r="E2" s="124"/>
      <c r="F2" s="109"/>
      <c r="G2" s="121"/>
      <c r="H2" s="124"/>
      <c r="I2" s="124"/>
      <c r="J2" s="124"/>
      <c r="K2" s="121"/>
      <c r="L2" s="121"/>
      <c r="M2" s="121"/>
      <c r="N2" s="121"/>
      <c r="O2" s="121"/>
      <c r="P2" s="129">
        <f t="shared" ref="P2:P65" si="2">D2*52</f>
        <v>47.606000000000002</v>
      </c>
      <c r="Q2" s="121"/>
      <c r="R2" s="121"/>
      <c r="S2" s="124">
        <v>74.75</v>
      </c>
    </row>
    <row r="3" spans="1:19">
      <c r="A3" s="123">
        <v>40287</v>
      </c>
      <c r="B3" s="121">
        <f t="shared" si="0"/>
        <v>4</v>
      </c>
      <c r="C3" s="121">
        <f t="shared" si="1"/>
        <v>2010</v>
      </c>
      <c r="D3" s="124">
        <v>0.9194</v>
      </c>
      <c r="E3" s="124"/>
      <c r="F3" s="109"/>
      <c r="G3" s="121"/>
      <c r="H3" s="124"/>
      <c r="I3" s="124"/>
      <c r="J3" s="124"/>
      <c r="K3" s="121"/>
      <c r="L3" s="121"/>
      <c r="M3" s="121"/>
      <c r="N3" s="121"/>
      <c r="O3" s="121"/>
      <c r="P3" s="129">
        <f t="shared" si="2"/>
        <v>47.808799999999998</v>
      </c>
      <c r="Q3" s="121"/>
      <c r="R3" s="121"/>
      <c r="S3" s="124">
        <v>74.75</v>
      </c>
    </row>
    <row r="4" spans="1:19">
      <c r="A4" s="123">
        <v>40294</v>
      </c>
      <c r="B4" s="121">
        <f t="shared" si="0"/>
        <v>4</v>
      </c>
      <c r="C4" s="121">
        <f t="shared" si="1"/>
        <v>2010</v>
      </c>
      <c r="D4" s="124">
        <v>0.91920000000000002</v>
      </c>
      <c r="E4" s="124"/>
      <c r="F4" s="109"/>
      <c r="G4" s="121"/>
      <c r="H4" s="124"/>
      <c r="I4" s="124"/>
      <c r="J4" s="124"/>
      <c r="K4" s="121"/>
      <c r="L4" s="121"/>
      <c r="M4" s="121"/>
      <c r="N4" s="121"/>
      <c r="O4" s="121"/>
      <c r="P4" s="129">
        <f t="shared" si="2"/>
        <v>47.798400000000001</v>
      </c>
      <c r="Q4" s="121"/>
      <c r="R4" s="121"/>
      <c r="S4" s="124">
        <v>74.75</v>
      </c>
    </row>
    <row r="5" spans="1:19">
      <c r="A5" s="123">
        <v>40301</v>
      </c>
      <c r="B5" s="121">
        <f t="shared" si="0"/>
        <v>5</v>
      </c>
      <c r="C5" s="121">
        <f t="shared" si="1"/>
        <v>2010</v>
      </c>
      <c r="D5" s="124">
        <v>0.98585</v>
      </c>
      <c r="E5" s="124"/>
      <c r="F5" s="109"/>
      <c r="G5" s="121"/>
      <c r="H5" s="124"/>
      <c r="I5" s="124"/>
      <c r="J5" s="124"/>
      <c r="K5" s="121"/>
      <c r="L5" s="121"/>
      <c r="M5" s="121"/>
      <c r="N5" s="121"/>
      <c r="O5" s="121"/>
      <c r="P5" s="129">
        <f t="shared" si="2"/>
        <v>51.264200000000002</v>
      </c>
      <c r="Q5" s="121"/>
      <c r="R5" s="121"/>
      <c r="S5" s="124">
        <v>118.3</v>
      </c>
    </row>
    <row r="6" spans="1:19">
      <c r="A6" s="123">
        <v>40308</v>
      </c>
      <c r="B6" s="121">
        <f t="shared" si="0"/>
        <v>5</v>
      </c>
      <c r="C6" s="121">
        <f t="shared" si="1"/>
        <v>2010</v>
      </c>
      <c r="D6" s="124">
        <v>0.96135000000000004</v>
      </c>
      <c r="E6" s="124"/>
      <c r="F6" s="109"/>
      <c r="G6" s="121"/>
      <c r="H6" s="124"/>
      <c r="I6" s="124"/>
      <c r="J6" s="124"/>
      <c r="K6" s="121"/>
      <c r="L6" s="121"/>
      <c r="M6" s="121"/>
      <c r="N6" s="121"/>
      <c r="O6" s="121"/>
      <c r="P6" s="129">
        <f t="shared" si="2"/>
        <v>49.990200000000002</v>
      </c>
      <c r="Q6" s="121"/>
      <c r="R6" s="121"/>
      <c r="S6" s="124">
        <v>79.05</v>
      </c>
    </row>
    <row r="7" spans="1:19">
      <c r="A7" s="123">
        <v>40315</v>
      </c>
      <c r="B7" s="121">
        <f t="shared" si="0"/>
        <v>5</v>
      </c>
      <c r="C7" s="121">
        <f t="shared" si="1"/>
        <v>2010</v>
      </c>
      <c r="D7" s="124">
        <v>0.98729999999999996</v>
      </c>
      <c r="E7" s="124"/>
      <c r="F7" s="109"/>
      <c r="G7" s="121"/>
      <c r="H7" s="124"/>
      <c r="I7" s="124"/>
      <c r="J7" s="124"/>
      <c r="K7" s="121"/>
      <c r="L7" s="121"/>
      <c r="M7" s="121"/>
      <c r="N7" s="121"/>
      <c r="O7" s="121"/>
      <c r="P7" s="129">
        <f t="shared" si="2"/>
        <v>51.339599999999997</v>
      </c>
      <c r="Q7" s="121"/>
      <c r="R7" s="121"/>
      <c r="S7" s="124">
        <v>47.75</v>
      </c>
    </row>
    <row r="8" spans="1:19">
      <c r="A8" s="123">
        <v>40322</v>
      </c>
      <c r="B8" s="121">
        <f t="shared" si="0"/>
        <v>5</v>
      </c>
      <c r="C8" s="121">
        <f t="shared" si="1"/>
        <v>2010</v>
      </c>
      <c r="D8" s="124">
        <v>1.0085500000000001</v>
      </c>
      <c r="E8" s="124"/>
      <c r="F8" s="109"/>
      <c r="G8" s="121"/>
      <c r="H8" s="124"/>
      <c r="I8" s="124"/>
      <c r="J8" s="124"/>
      <c r="K8" s="121"/>
      <c r="L8" s="121"/>
      <c r="M8" s="121"/>
      <c r="N8" s="121"/>
      <c r="O8" s="121"/>
      <c r="P8" s="129">
        <f t="shared" si="2"/>
        <v>52.444600000000001</v>
      </c>
      <c r="Q8" s="121"/>
      <c r="R8" s="121"/>
      <c r="S8" s="124">
        <v>-40</v>
      </c>
    </row>
    <row r="9" spans="1:19">
      <c r="A9" s="123">
        <v>40329</v>
      </c>
      <c r="B9" s="121">
        <f t="shared" si="0"/>
        <v>5</v>
      </c>
      <c r="C9" s="121">
        <f t="shared" si="1"/>
        <v>2010</v>
      </c>
      <c r="D9" s="124">
        <v>0.97199999999999998</v>
      </c>
      <c r="E9" s="124"/>
      <c r="F9" s="109"/>
      <c r="G9" s="121"/>
      <c r="H9" s="124"/>
      <c r="I9" s="124"/>
      <c r="J9" s="124"/>
      <c r="K9" s="121"/>
      <c r="L9" s="121"/>
      <c r="M9" s="121"/>
      <c r="N9" s="121"/>
      <c r="O9" s="121"/>
      <c r="P9" s="129">
        <f t="shared" si="2"/>
        <v>50.543999999999997</v>
      </c>
      <c r="Q9" s="121"/>
      <c r="R9" s="121"/>
      <c r="S9" s="124">
        <v>-60.65</v>
      </c>
    </row>
    <row r="10" spans="1:19">
      <c r="A10" s="123">
        <v>40336</v>
      </c>
      <c r="B10" s="121">
        <f t="shared" si="0"/>
        <v>6</v>
      </c>
      <c r="C10" s="121">
        <f t="shared" si="1"/>
        <v>2010</v>
      </c>
      <c r="D10" s="124">
        <v>0.97299999999999998</v>
      </c>
      <c r="E10" s="124"/>
      <c r="F10" s="109"/>
      <c r="G10" s="121"/>
      <c r="H10" s="124"/>
      <c r="I10" s="124"/>
      <c r="J10" s="124"/>
      <c r="K10" s="121"/>
      <c r="L10" s="121"/>
      <c r="M10" s="121"/>
      <c r="N10" s="121"/>
      <c r="O10" s="121"/>
      <c r="P10" s="129">
        <f t="shared" si="2"/>
        <v>50.595999999999997</v>
      </c>
      <c r="Q10" s="121"/>
      <c r="R10" s="121"/>
      <c r="S10" s="124">
        <v>-119.8</v>
      </c>
    </row>
    <row r="11" spans="1:19">
      <c r="A11" s="123">
        <v>40343</v>
      </c>
      <c r="B11" s="121">
        <f t="shared" si="0"/>
        <v>6</v>
      </c>
      <c r="C11" s="121">
        <f t="shared" si="1"/>
        <v>2010</v>
      </c>
      <c r="D11" s="124">
        <v>1.0824499999999999</v>
      </c>
      <c r="E11" s="124"/>
      <c r="F11" s="109"/>
      <c r="G11" s="121"/>
      <c r="H11" s="124"/>
      <c r="I11" s="124"/>
      <c r="J11" s="124"/>
      <c r="K11" s="121"/>
      <c r="L11" s="121"/>
      <c r="M11" s="121"/>
      <c r="N11" s="121"/>
      <c r="O11" s="121"/>
      <c r="P11" s="129">
        <f t="shared" si="2"/>
        <v>56.287399999999998</v>
      </c>
      <c r="Q11" s="121"/>
      <c r="R11" s="121"/>
      <c r="S11" s="124">
        <v>-119.8</v>
      </c>
    </row>
    <row r="12" spans="1:19">
      <c r="A12" s="123">
        <v>40350</v>
      </c>
      <c r="B12" s="121">
        <f t="shared" si="0"/>
        <v>6</v>
      </c>
      <c r="C12" s="121">
        <f t="shared" si="1"/>
        <v>2010</v>
      </c>
      <c r="D12" s="124">
        <v>1.0886</v>
      </c>
      <c r="E12" s="124"/>
      <c r="F12" s="109"/>
      <c r="G12" s="121"/>
      <c r="H12" s="124"/>
      <c r="I12" s="124"/>
      <c r="J12" s="124"/>
      <c r="K12" s="121"/>
      <c r="L12" s="121"/>
      <c r="M12" s="121"/>
      <c r="N12" s="121"/>
      <c r="O12" s="121"/>
      <c r="P12" s="129">
        <f t="shared" si="2"/>
        <v>56.607199999999999</v>
      </c>
      <c r="Q12" s="121"/>
      <c r="R12" s="121"/>
      <c r="S12" s="124">
        <v>-9.15</v>
      </c>
    </row>
    <row r="13" spans="1:19">
      <c r="A13" s="123">
        <v>40357</v>
      </c>
      <c r="B13" s="121">
        <f t="shared" si="0"/>
        <v>6</v>
      </c>
      <c r="C13" s="121">
        <f t="shared" si="1"/>
        <v>2010</v>
      </c>
      <c r="D13" s="124">
        <v>1.0570999999999999</v>
      </c>
      <c r="E13" s="124"/>
      <c r="F13" s="109"/>
      <c r="G13" s="121"/>
      <c r="H13" s="124"/>
      <c r="I13" s="124"/>
      <c r="J13" s="124"/>
      <c r="K13" s="121"/>
      <c r="L13" s="121"/>
      <c r="M13" s="121"/>
      <c r="N13" s="121"/>
      <c r="O13" s="121"/>
      <c r="P13" s="129">
        <f t="shared" si="2"/>
        <v>54.969199999999994</v>
      </c>
      <c r="Q13" s="121"/>
      <c r="R13" s="121"/>
      <c r="S13" s="124">
        <v>-17</v>
      </c>
    </row>
    <row r="14" spans="1:19">
      <c r="A14" s="123">
        <v>40364</v>
      </c>
      <c r="B14" s="121">
        <f t="shared" si="0"/>
        <v>7</v>
      </c>
      <c r="C14" s="121">
        <f t="shared" si="1"/>
        <v>2010</v>
      </c>
      <c r="D14" s="124">
        <v>1.1034999999999999</v>
      </c>
      <c r="E14" s="124"/>
      <c r="F14" s="109"/>
      <c r="G14" s="121"/>
      <c r="H14" s="124"/>
      <c r="I14" s="124"/>
      <c r="J14" s="124"/>
      <c r="K14" s="121"/>
      <c r="L14" s="121"/>
      <c r="M14" s="121"/>
      <c r="N14" s="121"/>
      <c r="O14" s="121"/>
      <c r="P14" s="129">
        <f t="shared" si="2"/>
        <v>57.381999999999998</v>
      </c>
      <c r="Q14" s="121"/>
      <c r="R14" s="121"/>
      <c r="S14" s="124">
        <v>22.25</v>
      </c>
    </row>
    <row r="15" spans="1:19">
      <c r="A15" s="123">
        <v>40371</v>
      </c>
      <c r="B15" s="121">
        <f t="shared" si="0"/>
        <v>7</v>
      </c>
      <c r="C15" s="121">
        <f t="shared" si="1"/>
        <v>2010</v>
      </c>
      <c r="D15" s="124">
        <v>1.1500999999999999</v>
      </c>
      <c r="E15" s="124"/>
      <c r="F15" s="109"/>
      <c r="G15" s="121"/>
      <c r="H15" s="124"/>
      <c r="I15" s="124"/>
      <c r="J15" s="124"/>
      <c r="K15" s="121"/>
      <c r="L15" s="121"/>
      <c r="M15" s="121"/>
      <c r="N15" s="121"/>
      <c r="O15" s="121"/>
      <c r="P15" s="129">
        <f t="shared" si="2"/>
        <v>59.805199999999992</v>
      </c>
      <c r="Q15" s="121"/>
      <c r="R15" s="121"/>
      <c r="S15" s="124">
        <v>118.5</v>
      </c>
    </row>
    <row r="16" spans="1:19">
      <c r="A16" s="123">
        <v>40378</v>
      </c>
      <c r="B16" s="121">
        <f t="shared" si="0"/>
        <v>7</v>
      </c>
      <c r="C16" s="121">
        <f t="shared" si="1"/>
        <v>2010</v>
      </c>
      <c r="D16" s="124">
        <v>1.0128999999999999</v>
      </c>
      <c r="E16" s="124"/>
      <c r="F16" s="109"/>
      <c r="G16" s="121"/>
      <c r="H16" s="124"/>
      <c r="I16" s="124"/>
      <c r="J16" s="124"/>
      <c r="K16" s="121"/>
      <c r="L16" s="121"/>
      <c r="M16" s="121"/>
      <c r="N16" s="121"/>
      <c r="O16" s="121"/>
      <c r="P16" s="129">
        <f t="shared" si="2"/>
        <v>52.670799999999993</v>
      </c>
      <c r="Q16" s="121"/>
      <c r="R16" s="121"/>
      <c r="S16" s="124">
        <v>118.5</v>
      </c>
    </row>
    <row r="17" spans="1:19">
      <c r="A17" s="123">
        <v>40385</v>
      </c>
      <c r="B17" s="121">
        <f t="shared" si="0"/>
        <v>7</v>
      </c>
      <c r="C17" s="121">
        <f t="shared" si="1"/>
        <v>2010</v>
      </c>
      <c r="D17" s="124">
        <v>1.042</v>
      </c>
      <c r="E17" s="124"/>
      <c r="F17" s="109"/>
      <c r="G17" s="121"/>
      <c r="H17" s="124"/>
      <c r="I17" s="124"/>
      <c r="J17" s="124"/>
      <c r="K17" s="121"/>
      <c r="L17" s="121"/>
      <c r="M17" s="121"/>
      <c r="N17" s="121"/>
      <c r="O17" s="121"/>
      <c r="P17" s="129">
        <f t="shared" si="2"/>
        <v>54.184000000000005</v>
      </c>
      <c r="Q17" s="121"/>
      <c r="R17" s="121"/>
      <c r="S17" s="124">
        <v>130.30000000000001</v>
      </c>
    </row>
    <row r="18" spans="1:19">
      <c r="A18" s="123">
        <v>40392</v>
      </c>
      <c r="B18" s="121">
        <f t="shared" si="0"/>
        <v>8</v>
      </c>
      <c r="C18" s="121">
        <f t="shared" si="1"/>
        <v>2010</v>
      </c>
      <c r="D18" s="124">
        <v>1.1069</v>
      </c>
      <c r="E18" s="124"/>
      <c r="F18" s="109"/>
      <c r="G18" s="121"/>
      <c r="H18" s="124"/>
      <c r="I18" s="124"/>
      <c r="J18" s="124"/>
      <c r="K18" s="121"/>
      <c r="L18" s="121"/>
      <c r="M18" s="121"/>
      <c r="N18" s="121"/>
      <c r="O18" s="121"/>
      <c r="P18" s="129">
        <f t="shared" si="2"/>
        <v>57.558799999999998</v>
      </c>
      <c r="Q18" s="121"/>
      <c r="R18" s="121"/>
      <c r="S18" s="124">
        <v>198.1</v>
      </c>
    </row>
    <row r="19" spans="1:19">
      <c r="A19" s="123">
        <v>40399</v>
      </c>
      <c r="B19" s="121">
        <f t="shared" si="0"/>
        <v>8</v>
      </c>
      <c r="C19" s="121">
        <f t="shared" si="1"/>
        <v>2010</v>
      </c>
      <c r="D19" s="124">
        <v>1.1213</v>
      </c>
      <c r="E19" s="124"/>
      <c r="F19" s="109"/>
      <c r="G19" s="121"/>
      <c r="H19" s="124"/>
      <c r="I19" s="124"/>
      <c r="J19" s="124"/>
      <c r="K19" s="121"/>
      <c r="L19" s="121"/>
      <c r="M19" s="121"/>
      <c r="N19" s="121"/>
      <c r="O19" s="121"/>
      <c r="P19" s="129">
        <f t="shared" si="2"/>
        <v>58.307600000000001</v>
      </c>
      <c r="Q19" s="121"/>
      <c r="R19" s="121"/>
      <c r="S19" s="124">
        <v>149.5</v>
      </c>
    </row>
    <row r="20" spans="1:19">
      <c r="A20" s="123">
        <v>40406</v>
      </c>
      <c r="B20" s="121">
        <f t="shared" si="0"/>
        <v>8</v>
      </c>
      <c r="C20" s="121">
        <f t="shared" si="1"/>
        <v>2010</v>
      </c>
      <c r="D20" s="124">
        <v>1.13435</v>
      </c>
      <c r="E20" s="124"/>
      <c r="F20" s="109"/>
      <c r="G20" s="121"/>
      <c r="H20" s="124">
        <v>6.02</v>
      </c>
      <c r="I20" s="124"/>
      <c r="J20" s="124"/>
      <c r="K20" s="121"/>
      <c r="L20" s="121"/>
      <c r="M20" s="121"/>
      <c r="N20" s="121"/>
      <c r="O20" s="121"/>
      <c r="P20" s="129">
        <f t="shared" si="2"/>
        <v>58.986199999999997</v>
      </c>
      <c r="Q20" s="129">
        <f t="shared" ref="Q20:Q83" si="3">IF(H20="","",IF(D20="","",H20/(D20/7)))</f>
        <v>37.149028077753776</v>
      </c>
      <c r="R20" s="121"/>
      <c r="S20" s="124">
        <v>175</v>
      </c>
    </row>
    <row r="21" spans="1:19">
      <c r="A21" s="123">
        <v>40413</v>
      </c>
      <c r="B21" s="121">
        <f t="shared" si="0"/>
        <v>8</v>
      </c>
      <c r="C21" s="121">
        <f t="shared" si="1"/>
        <v>2010</v>
      </c>
      <c r="D21" s="124">
        <v>0.99124999999999996</v>
      </c>
      <c r="E21" s="124"/>
      <c r="F21" s="109"/>
      <c r="G21" s="121"/>
      <c r="H21" s="124">
        <v>6.1</v>
      </c>
      <c r="I21" s="124"/>
      <c r="J21" s="124"/>
      <c r="K21" s="121"/>
      <c r="L21" s="121"/>
      <c r="M21" s="121"/>
      <c r="N21" s="121"/>
      <c r="O21" s="121"/>
      <c r="P21" s="129">
        <f t="shared" si="2"/>
        <v>51.545000000000002</v>
      </c>
      <c r="Q21" s="129">
        <f t="shared" si="3"/>
        <v>43.07692307692308</v>
      </c>
      <c r="R21" s="121"/>
      <c r="S21" s="124">
        <v>165.75</v>
      </c>
    </row>
    <row r="22" spans="1:19">
      <c r="A22" s="123">
        <v>40420</v>
      </c>
      <c r="B22" s="121">
        <f t="shared" si="0"/>
        <v>8</v>
      </c>
      <c r="C22" s="121">
        <f t="shared" si="1"/>
        <v>2010</v>
      </c>
      <c r="D22" s="124">
        <v>1.0474000000000001</v>
      </c>
      <c r="E22" s="124"/>
      <c r="F22" s="109"/>
      <c r="G22" s="121"/>
      <c r="H22" s="124">
        <v>6.0190000000000001</v>
      </c>
      <c r="I22" s="124"/>
      <c r="J22" s="124"/>
      <c r="K22" s="121"/>
      <c r="L22" s="121"/>
      <c r="M22" s="121"/>
      <c r="N22" s="121"/>
      <c r="O22" s="121"/>
      <c r="P22" s="129">
        <f t="shared" si="2"/>
        <v>54.464800000000004</v>
      </c>
      <c r="Q22" s="129">
        <f t="shared" si="3"/>
        <v>40.226274584685882</v>
      </c>
      <c r="R22" s="121"/>
      <c r="S22" s="124">
        <v>165.75</v>
      </c>
    </row>
    <row r="23" spans="1:19">
      <c r="A23" s="123">
        <v>40427</v>
      </c>
      <c r="B23" s="121">
        <f t="shared" si="0"/>
        <v>9</v>
      </c>
      <c r="C23" s="121">
        <f t="shared" si="1"/>
        <v>2010</v>
      </c>
      <c r="D23" s="124">
        <v>1.0507</v>
      </c>
      <c r="E23" s="124"/>
      <c r="F23" s="109"/>
      <c r="G23" s="121"/>
      <c r="H23" s="124">
        <v>5.8129999999999997</v>
      </c>
      <c r="I23" s="124"/>
      <c r="J23" s="124"/>
      <c r="K23" s="121"/>
      <c r="L23" s="121"/>
      <c r="M23" s="121"/>
      <c r="N23" s="121"/>
      <c r="O23" s="121"/>
      <c r="P23" s="129">
        <f t="shared" si="2"/>
        <v>54.636399999999995</v>
      </c>
      <c r="Q23" s="129">
        <f t="shared" si="3"/>
        <v>38.727514990006668</v>
      </c>
      <c r="R23" s="121"/>
      <c r="S23" s="124">
        <v>65.75</v>
      </c>
    </row>
    <row r="24" spans="1:19">
      <c r="A24" s="123">
        <v>40434</v>
      </c>
      <c r="B24" s="121">
        <f t="shared" si="0"/>
        <v>9</v>
      </c>
      <c r="C24" s="121">
        <f t="shared" si="1"/>
        <v>2010</v>
      </c>
      <c r="D24" s="124">
        <v>1.1382000000000001</v>
      </c>
      <c r="E24" s="124"/>
      <c r="F24" s="109"/>
      <c r="G24" s="121"/>
      <c r="H24" s="124">
        <v>6.0379999999999994</v>
      </c>
      <c r="I24" s="124"/>
      <c r="J24" s="124"/>
      <c r="K24" s="121"/>
      <c r="L24" s="121"/>
      <c r="M24" s="121"/>
      <c r="N24" s="121"/>
      <c r="O24" s="121"/>
      <c r="P24" s="129">
        <f t="shared" si="2"/>
        <v>59.186400000000006</v>
      </c>
      <c r="Q24" s="129">
        <f t="shared" si="3"/>
        <v>37.134071340713398</v>
      </c>
      <c r="R24" s="121"/>
      <c r="S24" s="124">
        <v>6.5</v>
      </c>
    </row>
    <row r="25" spans="1:19">
      <c r="A25" s="123">
        <v>40441</v>
      </c>
      <c r="B25" s="121">
        <f t="shared" si="0"/>
        <v>9</v>
      </c>
      <c r="C25" s="121">
        <f t="shared" si="1"/>
        <v>2010</v>
      </c>
      <c r="D25" s="124">
        <v>1.1615</v>
      </c>
      <c r="E25" s="124"/>
      <c r="F25" s="109"/>
      <c r="G25" s="121"/>
      <c r="H25" s="124">
        <v>5.8870000000000005</v>
      </c>
      <c r="I25" s="124"/>
      <c r="J25" s="124"/>
      <c r="K25" s="121"/>
      <c r="L25" s="121"/>
      <c r="M25" s="121"/>
      <c r="N25" s="121"/>
      <c r="O25" s="121"/>
      <c r="P25" s="129">
        <f t="shared" si="2"/>
        <v>60.397999999999996</v>
      </c>
      <c r="Q25" s="129">
        <f t="shared" si="3"/>
        <v>35.479121825226002</v>
      </c>
      <c r="R25" s="121"/>
      <c r="S25" s="124">
        <v>6.5</v>
      </c>
    </row>
    <row r="26" spans="1:19">
      <c r="A26" s="123">
        <v>40448</v>
      </c>
      <c r="B26" s="121">
        <f t="shared" si="0"/>
        <v>9</v>
      </c>
      <c r="C26" s="121">
        <f t="shared" si="1"/>
        <v>2010</v>
      </c>
      <c r="D26" s="124">
        <v>1.0076000000000001</v>
      </c>
      <c r="E26" s="124"/>
      <c r="F26" s="109"/>
      <c r="G26" s="121"/>
      <c r="H26" s="124">
        <v>5.8039999999999994</v>
      </c>
      <c r="I26" s="124"/>
      <c r="J26" s="124"/>
      <c r="K26" s="121"/>
      <c r="L26" s="121"/>
      <c r="M26" s="121"/>
      <c r="N26" s="121"/>
      <c r="O26" s="121"/>
      <c r="P26" s="129">
        <f t="shared" si="2"/>
        <v>52.395200000000003</v>
      </c>
      <c r="Q26" s="129">
        <f t="shared" si="3"/>
        <v>40.321556173084552</v>
      </c>
      <c r="R26" s="121"/>
      <c r="S26" s="124">
        <v>215.25</v>
      </c>
    </row>
    <row r="27" spans="1:19">
      <c r="A27" s="123">
        <v>40455</v>
      </c>
      <c r="B27" s="121">
        <f t="shared" si="0"/>
        <v>10</v>
      </c>
      <c r="C27" s="121">
        <f t="shared" si="1"/>
        <v>2010</v>
      </c>
      <c r="D27" s="124">
        <v>0.88990000000000002</v>
      </c>
      <c r="E27" s="124"/>
      <c r="F27" s="109"/>
      <c r="G27" s="121"/>
      <c r="H27" s="124"/>
      <c r="I27" s="124"/>
      <c r="J27" s="124"/>
      <c r="K27" s="121"/>
      <c r="L27" s="121"/>
      <c r="M27" s="121"/>
      <c r="N27" s="121"/>
      <c r="O27" s="121"/>
      <c r="P27" s="129">
        <f t="shared" si="2"/>
        <v>46.274799999999999</v>
      </c>
      <c r="Q27" s="129" t="str">
        <f t="shared" si="3"/>
        <v/>
      </c>
      <c r="R27" s="121"/>
      <c r="S27" s="124">
        <v>310</v>
      </c>
    </row>
    <row r="28" spans="1:19">
      <c r="A28" s="123">
        <v>40462</v>
      </c>
      <c r="B28" s="121">
        <f t="shared" si="0"/>
        <v>10</v>
      </c>
      <c r="C28" s="121">
        <f t="shared" si="1"/>
        <v>2010</v>
      </c>
      <c r="D28" s="124">
        <v>1.1870000000000001</v>
      </c>
      <c r="E28" s="124"/>
      <c r="F28" s="109"/>
      <c r="G28" s="121"/>
      <c r="H28" s="124">
        <v>5.6655999999999995</v>
      </c>
      <c r="I28" s="124"/>
      <c r="J28" s="124"/>
      <c r="K28" s="121"/>
      <c r="L28" s="121"/>
      <c r="M28" s="121"/>
      <c r="N28" s="121"/>
      <c r="O28" s="121"/>
      <c r="P28" s="129">
        <f t="shared" si="2"/>
        <v>61.724000000000004</v>
      </c>
      <c r="Q28" s="129">
        <f t="shared" si="3"/>
        <v>33.411288963774219</v>
      </c>
      <c r="R28" s="121"/>
      <c r="S28" s="124">
        <v>381.75</v>
      </c>
    </row>
    <row r="29" spans="1:19">
      <c r="A29" s="123">
        <v>40469</v>
      </c>
      <c r="B29" s="121">
        <f t="shared" si="0"/>
        <v>10</v>
      </c>
      <c r="C29" s="121">
        <f t="shared" si="1"/>
        <v>2010</v>
      </c>
      <c r="D29" s="124">
        <v>1.2681</v>
      </c>
      <c r="E29" s="124"/>
      <c r="F29" s="109"/>
      <c r="G29" s="121"/>
      <c r="H29" s="124">
        <v>5.4325000000000001</v>
      </c>
      <c r="I29" s="124"/>
      <c r="J29" s="124"/>
      <c r="K29" s="121"/>
      <c r="L29" s="121"/>
      <c r="M29" s="121"/>
      <c r="N29" s="121"/>
      <c r="O29" s="121"/>
      <c r="P29" s="129">
        <f t="shared" si="2"/>
        <v>65.941199999999995</v>
      </c>
      <c r="Q29" s="129">
        <f t="shared" si="3"/>
        <v>29.987776989196437</v>
      </c>
      <c r="R29" s="121"/>
      <c r="S29" s="124">
        <v>274</v>
      </c>
    </row>
    <row r="30" spans="1:19">
      <c r="A30" s="123">
        <v>40476</v>
      </c>
      <c r="B30" s="121">
        <f t="shared" si="0"/>
        <v>10</v>
      </c>
      <c r="C30" s="121">
        <f t="shared" si="1"/>
        <v>2010</v>
      </c>
      <c r="D30" s="124">
        <v>1.1754500000000001</v>
      </c>
      <c r="E30" s="124"/>
      <c r="F30" s="109"/>
      <c r="G30" s="121"/>
      <c r="H30" s="124">
        <v>5.3624999999999998</v>
      </c>
      <c r="I30" s="124"/>
      <c r="J30" s="124"/>
      <c r="K30" s="121"/>
      <c r="L30" s="121"/>
      <c r="M30" s="121"/>
      <c r="N30" s="121"/>
      <c r="O30" s="121"/>
      <c r="P30" s="129">
        <f t="shared" si="2"/>
        <v>61.123400000000004</v>
      </c>
      <c r="Q30" s="129">
        <f t="shared" si="3"/>
        <v>31.934578246628949</v>
      </c>
      <c r="R30" s="121"/>
      <c r="S30" s="124">
        <v>131</v>
      </c>
    </row>
    <row r="31" spans="1:19">
      <c r="A31" s="123">
        <v>40483</v>
      </c>
      <c r="B31" s="121">
        <f t="shared" si="0"/>
        <v>11</v>
      </c>
      <c r="C31" s="121">
        <f t="shared" si="1"/>
        <v>2010</v>
      </c>
      <c r="D31" s="124">
        <v>1.1995</v>
      </c>
      <c r="E31" s="124"/>
      <c r="F31" s="109"/>
      <c r="G31" s="121"/>
      <c r="H31" s="124">
        <v>5.63</v>
      </c>
      <c r="I31" s="124"/>
      <c r="J31" s="124"/>
      <c r="K31" s="121"/>
      <c r="L31" s="121"/>
      <c r="M31" s="121"/>
      <c r="N31" s="121"/>
      <c r="O31" s="121"/>
      <c r="P31" s="129">
        <f t="shared" si="2"/>
        <v>62.374000000000002</v>
      </c>
      <c r="Q31" s="129">
        <f t="shared" si="3"/>
        <v>32.855356398499374</v>
      </c>
      <c r="R31" s="121"/>
      <c r="S31" s="124">
        <v>339</v>
      </c>
    </row>
    <row r="32" spans="1:19">
      <c r="A32" s="123">
        <v>40490</v>
      </c>
      <c r="B32" s="121">
        <f t="shared" si="0"/>
        <v>11</v>
      </c>
      <c r="C32" s="121">
        <f t="shared" si="1"/>
        <v>2010</v>
      </c>
      <c r="D32" s="124">
        <v>1.177</v>
      </c>
      <c r="E32" s="124"/>
      <c r="F32" s="109"/>
      <c r="G32" s="121"/>
      <c r="H32" s="124">
        <v>5.835</v>
      </c>
      <c r="I32" s="124"/>
      <c r="J32" s="124"/>
      <c r="K32" s="121"/>
      <c r="L32" s="121"/>
      <c r="M32" s="121"/>
      <c r="N32" s="121"/>
      <c r="O32" s="121"/>
      <c r="P32" s="129">
        <f t="shared" si="2"/>
        <v>61.204000000000001</v>
      </c>
      <c r="Q32" s="129">
        <f t="shared" si="3"/>
        <v>34.702633814783347</v>
      </c>
      <c r="R32" s="121"/>
      <c r="S32" s="124">
        <v>407.5</v>
      </c>
    </row>
    <row r="33" spans="1:19">
      <c r="A33" s="123">
        <v>40497</v>
      </c>
      <c r="B33" s="121">
        <f t="shared" si="0"/>
        <v>11</v>
      </c>
      <c r="C33" s="121">
        <f t="shared" si="1"/>
        <v>2010</v>
      </c>
      <c r="D33" s="124">
        <v>1.1934</v>
      </c>
      <c r="E33" s="124"/>
      <c r="F33" s="109"/>
      <c r="G33" s="121"/>
      <c r="H33" s="124">
        <v>5.7685000000000004</v>
      </c>
      <c r="I33" s="124"/>
      <c r="J33" s="124"/>
      <c r="K33" s="121"/>
      <c r="L33" s="121"/>
      <c r="M33" s="121"/>
      <c r="N33" s="121"/>
      <c r="O33" s="121"/>
      <c r="P33" s="129">
        <f t="shared" si="2"/>
        <v>62.056800000000003</v>
      </c>
      <c r="Q33" s="129">
        <f t="shared" si="3"/>
        <v>33.835679570973689</v>
      </c>
      <c r="R33" s="121"/>
      <c r="S33" s="124">
        <v>407.5</v>
      </c>
    </row>
    <row r="34" spans="1:19">
      <c r="A34" s="123">
        <v>40504</v>
      </c>
      <c r="B34" s="121">
        <f t="shared" si="0"/>
        <v>11</v>
      </c>
      <c r="C34" s="121">
        <f t="shared" si="1"/>
        <v>2010</v>
      </c>
      <c r="D34" s="124">
        <v>1.1566000000000001</v>
      </c>
      <c r="E34" s="124"/>
      <c r="F34" s="109"/>
      <c r="G34" s="121"/>
      <c r="H34" s="124">
        <v>5.7726999999999995</v>
      </c>
      <c r="I34" s="124"/>
      <c r="J34" s="124"/>
      <c r="K34" s="121"/>
      <c r="L34" s="121"/>
      <c r="M34" s="121"/>
      <c r="N34" s="121"/>
      <c r="O34" s="121"/>
      <c r="P34" s="129">
        <f t="shared" si="2"/>
        <v>60.143200000000007</v>
      </c>
      <c r="Q34" s="129">
        <f t="shared" si="3"/>
        <v>34.937662113090084</v>
      </c>
      <c r="R34" s="121"/>
      <c r="S34" s="124">
        <v>60.5</v>
      </c>
    </row>
    <row r="35" spans="1:19">
      <c r="A35" s="123">
        <v>40511</v>
      </c>
      <c r="B35" s="121">
        <f t="shared" si="0"/>
        <v>11</v>
      </c>
      <c r="C35" s="121">
        <f t="shared" si="1"/>
        <v>2010</v>
      </c>
      <c r="D35" s="124">
        <v>1.038</v>
      </c>
      <c r="E35" s="124"/>
      <c r="F35" s="109"/>
      <c r="G35" s="121"/>
      <c r="H35" s="124">
        <v>5.9990999999999994</v>
      </c>
      <c r="I35" s="124"/>
      <c r="J35" s="124"/>
      <c r="K35" s="121"/>
      <c r="L35" s="121"/>
      <c r="M35" s="121"/>
      <c r="N35" s="121"/>
      <c r="O35" s="121"/>
      <c r="P35" s="129">
        <f t="shared" si="2"/>
        <v>53.975999999999999</v>
      </c>
      <c r="Q35" s="129">
        <f t="shared" si="3"/>
        <v>40.456358381502881</v>
      </c>
      <c r="R35" s="121"/>
      <c r="S35" s="124">
        <v>-17.5</v>
      </c>
    </row>
    <row r="36" spans="1:19">
      <c r="A36" s="123">
        <v>40518</v>
      </c>
      <c r="B36" s="121">
        <f t="shared" si="0"/>
        <v>12</v>
      </c>
      <c r="C36" s="121">
        <f t="shared" si="1"/>
        <v>2010</v>
      </c>
      <c r="D36" s="124">
        <v>0.87429999999999997</v>
      </c>
      <c r="E36" s="124"/>
      <c r="F36" s="109"/>
      <c r="G36" s="121"/>
      <c r="H36" s="124">
        <v>6.3447000000000005</v>
      </c>
      <c r="I36" s="124"/>
      <c r="J36" s="124"/>
      <c r="K36" s="121"/>
      <c r="L36" s="121"/>
      <c r="M36" s="121"/>
      <c r="N36" s="121"/>
      <c r="O36" s="121"/>
      <c r="P36" s="129">
        <f t="shared" si="2"/>
        <v>45.4636</v>
      </c>
      <c r="Q36" s="129">
        <f t="shared" si="3"/>
        <v>50.7982385908727</v>
      </c>
      <c r="R36" s="121"/>
      <c r="S36" s="124">
        <v>-17.5</v>
      </c>
    </row>
    <row r="37" spans="1:19">
      <c r="A37" s="123">
        <v>40525</v>
      </c>
      <c r="B37" s="121">
        <f t="shared" si="0"/>
        <v>12</v>
      </c>
      <c r="C37" s="121">
        <f t="shared" si="1"/>
        <v>2010</v>
      </c>
      <c r="D37" s="124">
        <v>0.95250000000000001</v>
      </c>
      <c r="E37" s="124"/>
      <c r="F37" s="109"/>
      <c r="G37" s="121"/>
      <c r="H37" s="124">
        <v>6.3733000000000004</v>
      </c>
      <c r="I37" s="124"/>
      <c r="J37" s="124"/>
      <c r="K37" s="121"/>
      <c r="L37" s="121"/>
      <c r="M37" s="121"/>
      <c r="N37" s="121"/>
      <c r="O37" s="121"/>
      <c r="P37" s="129">
        <f t="shared" si="2"/>
        <v>49.53</v>
      </c>
      <c r="Q37" s="129">
        <f t="shared" si="3"/>
        <v>46.837900262467194</v>
      </c>
      <c r="R37" s="121"/>
      <c r="S37" s="124">
        <v>-29</v>
      </c>
    </row>
    <row r="38" spans="1:19">
      <c r="A38" s="123">
        <v>40532</v>
      </c>
      <c r="B38" s="121">
        <f t="shared" si="0"/>
        <v>12</v>
      </c>
      <c r="C38" s="121">
        <f t="shared" si="1"/>
        <v>2010</v>
      </c>
      <c r="D38" s="124">
        <v>1.0743499999999999</v>
      </c>
      <c r="E38" s="124"/>
      <c r="F38" s="109"/>
      <c r="G38" s="121"/>
      <c r="H38" s="124">
        <v>6.3563000000000001</v>
      </c>
      <c r="I38" s="124"/>
      <c r="J38" s="124"/>
      <c r="K38" s="121"/>
      <c r="L38" s="121"/>
      <c r="M38" s="121"/>
      <c r="N38" s="121"/>
      <c r="O38" s="121"/>
      <c r="P38" s="129">
        <f t="shared" si="2"/>
        <v>55.866199999999992</v>
      </c>
      <c r="Q38" s="129">
        <f t="shared" si="3"/>
        <v>41.414902033787875</v>
      </c>
      <c r="R38" s="121"/>
      <c r="S38" s="124">
        <v>118</v>
      </c>
    </row>
    <row r="39" spans="1:19">
      <c r="A39" s="123">
        <v>40539</v>
      </c>
      <c r="B39" s="121">
        <f t="shared" si="0"/>
        <v>12</v>
      </c>
      <c r="C39" s="121">
        <f t="shared" si="1"/>
        <v>2010</v>
      </c>
      <c r="D39" s="124">
        <v>0.99585000000000001</v>
      </c>
      <c r="E39" s="124"/>
      <c r="F39" s="109"/>
      <c r="G39" s="121"/>
      <c r="H39" s="124">
        <v>6.2975000000000003</v>
      </c>
      <c r="I39" s="124"/>
      <c r="J39" s="124"/>
      <c r="K39" s="121"/>
      <c r="L39" s="121"/>
      <c r="M39" s="121"/>
      <c r="N39" s="121"/>
      <c r="O39" s="121"/>
      <c r="P39" s="129">
        <f t="shared" si="2"/>
        <v>51.784199999999998</v>
      </c>
      <c r="Q39" s="129">
        <f t="shared" si="3"/>
        <v>44.266204749711306</v>
      </c>
      <c r="R39" s="121"/>
      <c r="S39" s="124">
        <v>118</v>
      </c>
    </row>
    <row r="40" spans="1:19">
      <c r="A40" s="123">
        <v>40546</v>
      </c>
      <c r="B40" s="121">
        <f t="shared" si="0"/>
        <v>1</v>
      </c>
      <c r="C40" s="121">
        <f t="shared" si="1"/>
        <v>2011</v>
      </c>
      <c r="D40" s="124">
        <v>1.0134000000000001</v>
      </c>
      <c r="E40" s="124"/>
      <c r="F40" s="109"/>
      <c r="G40" s="121"/>
      <c r="H40" s="124">
        <v>6.2111000000000001</v>
      </c>
      <c r="I40" s="124"/>
      <c r="J40" s="124"/>
      <c r="K40" s="121"/>
      <c r="L40" s="121"/>
      <c r="M40" s="121"/>
      <c r="N40" s="121"/>
      <c r="O40" s="121"/>
      <c r="P40" s="129">
        <f t="shared" si="2"/>
        <v>52.696800000000003</v>
      </c>
      <c r="Q40" s="129">
        <f t="shared" si="3"/>
        <v>42.902802447207421</v>
      </c>
      <c r="R40" s="121"/>
      <c r="S40" s="124">
        <v>224.7</v>
      </c>
    </row>
    <row r="41" spans="1:19">
      <c r="A41" s="123">
        <v>40553</v>
      </c>
      <c r="B41" s="121">
        <f t="shared" si="0"/>
        <v>1</v>
      </c>
      <c r="C41" s="121">
        <f t="shared" si="1"/>
        <v>2011</v>
      </c>
      <c r="D41" s="125">
        <f>AVERAGE(D40,D42)</f>
        <v>1.023825</v>
      </c>
      <c r="E41" s="124"/>
      <c r="F41" s="109"/>
      <c r="G41" s="121"/>
      <c r="H41" s="124"/>
      <c r="I41" s="124"/>
      <c r="J41" s="124"/>
      <c r="K41" s="121"/>
      <c r="L41" s="121"/>
      <c r="M41" s="121"/>
      <c r="N41" s="121"/>
      <c r="O41" s="121"/>
      <c r="P41" s="129">
        <f t="shared" si="2"/>
        <v>53.238900000000001</v>
      </c>
      <c r="Q41" s="129" t="str">
        <f t="shared" si="3"/>
        <v/>
      </c>
      <c r="R41" s="121"/>
      <c r="S41" s="124">
        <v>96.75</v>
      </c>
    </row>
    <row r="42" spans="1:19">
      <c r="A42" s="123">
        <v>40560</v>
      </c>
      <c r="B42" s="121">
        <f t="shared" si="0"/>
        <v>1</v>
      </c>
      <c r="C42" s="121">
        <f t="shared" si="1"/>
        <v>2011</v>
      </c>
      <c r="D42" s="124">
        <v>1.0342499999999999</v>
      </c>
      <c r="E42" s="124"/>
      <c r="F42" s="109"/>
      <c r="G42" s="121"/>
      <c r="H42" s="124">
        <v>6.2290999999999999</v>
      </c>
      <c r="I42" s="124"/>
      <c r="J42" s="124"/>
      <c r="K42" s="121"/>
      <c r="L42" s="121"/>
      <c r="M42" s="121"/>
      <c r="N42" s="121"/>
      <c r="O42" s="121"/>
      <c r="P42" s="129">
        <f t="shared" si="2"/>
        <v>53.780999999999992</v>
      </c>
      <c r="Q42" s="129">
        <f t="shared" si="3"/>
        <v>42.159729272419632</v>
      </c>
      <c r="R42" s="121"/>
      <c r="S42" s="124">
        <v>48.25</v>
      </c>
    </row>
    <row r="43" spans="1:19">
      <c r="A43" s="123">
        <v>40567</v>
      </c>
      <c r="B43" s="121">
        <f t="shared" si="0"/>
        <v>1</v>
      </c>
      <c r="C43" s="121">
        <f t="shared" si="1"/>
        <v>2011</v>
      </c>
      <c r="D43" s="124">
        <v>0.88949999999999996</v>
      </c>
      <c r="E43" s="124"/>
      <c r="F43" s="109"/>
      <c r="G43" s="121"/>
      <c r="H43" s="124">
        <v>6.26</v>
      </c>
      <c r="I43" s="124"/>
      <c r="J43" s="124"/>
      <c r="K43" s="121"/>
      <c r="L43" s="121"/>
      <c r="M43" s="121"/>
      <c r="N43" s="121"/>
      <c r="O43" s="121"/>
      <c r="P43" s="129">
        <f t="shared" si="2"/>
        <v>46.253999999999998</v>
      </c>
      <c r="Q43" s="129">
        <f t="shared" si="3"/>
        <v>49.263631253513211</v>
      </c>
      <c r="R43" s="121"/>
      <c r="S43" s="124">
        <v>57.5</v>
      </c>
    </row>
    <row r="44" spans="1:19">
      <c r="A44" s="123">
        <v>40574</v>
      </c>
      <c r="B44" s="121">
        <f t="shared" si="0"/>
        <v>1</v>
      </c>
      <c r="C44" s="121">
        <f t="shared" si="1"/>
        <v>2011</v>
      </c>
      <c r="D44" s="124">
        <v>0.24460000000000001</v>
      </c>
      <c r="E44" s="124"/>
      <c r="F44" s="109"/>
      <c r="G44" s="121"/>
      <c r="H44" s="124"/>
      <c r="I44" s="124"/>
      <c r="J44" s="124"/>
      <c r="K44" s="121"/>
      <c r="L44" s="121"/>
      <c r="M44" s="121"/>
      <c r="N44" s="121"/>
      <c r="O44" s="121"/>
      <c r="P44" s="129">
        <f t="shared" si="2"/>
        <v>12.719200000000001</v>
      </c>
      <c r="Q44" s="129" t="str">
        <f t="shared" si="3"/>
        <v/>
      </c>
      <c r="R44" s="121"/>
      <c r="S44" s="124">
        <v>57.5</v>
      </c>
    </row>
    <row r="45" spans="1:19">
      <c r="A45" s="123">
        <v>40581</v>
      </c>
      <c r="B45" s="121">
        <f t="shared" si="0"/>
        <v>2</v>
      </c>
      <c r="C45" s="121">
        <f t="shared" si="1"/>
        <v>2011</v>
      </c>
      <c r="D45" s="124">
        <v>0.28720000000000001</v>
      </c>
      <c r="E45" s="124"/>
      <c r="F45" s="109"/>
      <c r="G45" s="121"/>
      <c r="H45" s="124"/>
      <c r="I45" s="124"/>
      <c r="J45" s="124"/>
      <c r="K45" s="121"/>
      <c r="L45" s="121"/>
      <c r="M45" s="121"/>
      <c r="N45" s="121"/>
      <c r="O45" s="121"/>
      <c r="P45" s="129">
        <f t="shared" si="2"/>
        <v>14.9344</v>
      </c>
      <c r="Q45" s="129" t="str">
        <f t="shared" si="3"/>
        <v/>
      </c>
      <c r="R45" s="121"/>
      <c r="S45" s="124">
        <v>165.15</v>
      </c>
    </row>
    <row r="46" spans="1:19">
      <c r="A46" s="123">
        <v>40588</v>
      </c>
      <c r="B46" s="121">
        <f t="shared" si="0"/>
        <v>2</v>
      </c>
      <c r="C46" s="121">
        <f t="shared" si="1"/>
        <v>2011</v>
      </c>
      <c r="D46" s="124">
        <v>0.78195000000000003</v>
      </c>
      <c r="E46" s="124"/>
      <c r="F46" s="109"/>
      <c r="G46" s="121"/>
      <c r="H46" s="124">
        <v>6.4007000000000005</v>
      </c>
      <c r="I46" s="124"/>
      <c r="J46" s="124"/>
      <c r="K46" s="121"/>
      <c r="L46" s="121"/>
      <c r="M46" s="121"/>
      <c r="N46" s="121"/>
      <c r="O46" s="121"/>
      <c r="P46" s="129">
        <f t="shared" si="2"/>
        <v>40.6614</v>
      </c>
      <c r="Q46" s="129">
        <f t="shared" si="3"/>
        <v>57.298932156787515</v>
      </c>
      <c r="R46" s="121"/>
      <c r="S46" s="124">
        <v>183.75</v>
      </c>
    </row>
    <row r="47" spans="1:19">
      <c r="A47" s="123">
        <v>40595</v>
      </c>
      <c r="B47" s="121">
        <f t="shared" si="0"/>
        <v>2</v>
      </c>
      <c r="C47" s="121">
        <f t="shared" si="1"/>
        <v>2011</v>
      </c>
      <c r="D47" s="124">
        <v>0.93762000000000001</v>
      </c>
      <c r="E47" s="124"/>
      <c r="F47" s="109"/>
      <c r="G47" s="121"/>
      <c r="H47" s="124">
        <v>6.3033999999999999</v>
      </c>
      <c r="I47" s="124"/>
      <c r="J47" s="124"/>
      <c r="K47" s="121"/>
      <c r="L47" s="121"/>
      <c r="M47" s="121"/>
      <c r="N47" s="121"/>
      <c r="O47" s="121"/>
      <c r="P47" s="129">
        <f t="shared" si="2"/>
        <v>48.756239999999998</v>
      </c>
      <c r="Q47" s="129">
        <f t="shared" si="3"/>
        <v>47.059363068193939</v>
      </c>
      <c r="R47" s="121"/>
      <c r="S47" s="124">
        <v>38.25</v>
      </c>
    </row>
    <row r="48" spans="1:19">
      <c r="A48" s="123">
        <v>40602</v>
      </c>
      <c r="B48" s="121">
        <f t="shared" si="0"/>
        <v>2</v>
      </c>
      <c r="C48" s="121">
        <f t="shared" si="1"/>
        <v>2011</v>
      </c>
      <c r="D48" s="124">
        <v>0.99704999999999999</v>
      </c>
      <c r="E48" s="124"/>
      <c r="F48" s="109"/>
      <c r="G48" s="121"/>
      <c r="H48" s="124"/>
      <c r="I48" s="124"/>
      <c r="J48" s="124"/>
      <c r="K48" s="121"/>
      <c r="L48" s="121"/>
      <c r="M48" s="121"/>
      <c r="N48" s="121"/>
      <c r="O48" s="121"/>
      <c r="P48" s="129">
        <f t="shared" si="2"/>
        <v>51.846600000000002</v>
      </c>
      <c r="Q48" s="129" t="str">
        <f t="shared" si="3"/>
        <v/>
      </c>
      <c r="R48" s="121"/>
      <c r="S48" s="124">
        <v>6.75</v>
      </c>
    </row>
    <row r="49" spans="1:19">
      <c r="A49" s="123">
        <v>40609</v>
      </c>
      <c r="B49" s="121">
        <f t="shared" si="0"/>
        <v>3</v>
      </c>
      <c r="C49" s="121">
        <f t="shared" si="1"/>
        <v>2011</v>
      </c>
      <c r="D49" s="124">
        <v>0.93959999999999999</v>
      </c>
      <c r="E49" s="124"/>
      <c r="F49" s="109"/>
      <c r="G49" s="121"/>
      <c r="H49" s="124">
        <v>5.9441999999999995</v>
      </c>
      <c r="I49" s="124"/>
      <c r="J49" s="124"/>
      <c r="K49" s="121"/>
      <c r="L49" s="121"/>
      <c r="M49" s="121"/>
      <c r="N49" s="121"/>
      <c r="O49" s="121"/>
      <c r="P49" s="129">
        <f t="shared" si="2"/>
        <v>48.859200000000001</v>
      </c>
      <c r="Q49" s="129">
        <f t="shared" si="3"/>
        <v>44.284163473818644</v>
      </c>
      <c r="R49" s="121"/>
      <c r="S49" s="124">
        <v>19.75</v>
      </c>
    </row>
    <row r="50" spans="1:19">
      <c r="A50" s="123">
        <v>40616</v>
      </c>
      <c r="B50" s="121">
        <f t="shared" si="0"/>
        <v>3</v>
      </c>
      <c r="C50" s="121">
        <f t="shared" si="1"/>
        <v>2011</v>
      </c>
      <c r="D50" s="124">
        <v>0.91564999999999996</v>
      </c>
      <c r="E50" s="124"/>
      <c r="F50" s="109"/>
      <c r="G50" s="121"/>
      <c r="H50" s="124">
        <v>5.9225000000000003</v>
      </c>
      <c r="I50" s="124"/>
      <c r="J50" s="124"/>
      <c r="K50" s="121"/>
      <c r="L50" s="121"/>
      <c r="M50" s="121"/>
      <c r="N50" s="121"/>
      <c r="O50" s="121"/>
      <c r="P50" s="129">
        <f t="shared" si="2"/>
        <v>47.613799999999998</v>
      </c>
      <c r="Q50" s="129">
        <f t="shared" si="3"/>
        <v>45.276579479058597</v>
      </c>
      <c r="R50" s="121"/>
      <c r="S50" s="124">
        <v>-91.55</v>
      </c>
    </row>
    <row r="51" spans="1:19">
      <c r="A51" s="123">
        <v>40623</v>
      </c>
      <c r="B51" s="121">
        <f t="shared" si="0"/>
        <v>3</v>
      </c>
      <c r="C51" s="121">
        <f t="shared" si="1"/>
        <v>2011</v>
      </c>
      <c r="D51" s="124">
        <v>0.88915</v>
      </c>
      <c r="E51" s="124"/>
      <c r="F51" s="109"/>
      <c r="G51" s="121"/>
      <c r="H51" s="124">
        <v>6.1478999999999999</v>
      </c>
      <c r="I51" s="124"/>
      <c r="J51" s="124"/>
      <c r="K51" s="121"/>
      <c r="L51" s="121"/>
      <c r="M51" s="121"/>
      <c r="N51" s="121"/>
      <c r="O51" s="121"/>
      <c r="P51" s="129">
        <f t="shared" si="2"/>
        <v>46.235799999999998</v>
      </c>
      <c r="Q51" s="129">
        <f t="shared" si="3"/>
        <v>48.400494854636456</v>
      </c>
      <c r="R51" s="121"/>
      <c r="S51" s="124">
        <v>-50.8</v>
      </c>
    </row>
    <row r="52" spans="1:19">
      <c r="A52" s="123">
        <v>40630</v>
      </c>
      <c r="B52" s="121">
        <f t="shared" si="0"/>
        <v>3</v>
      </c>
      <c r="C52" s="121">
        <f t="shared" si="1"/>
        <v>2011</v>
      </c>
      <c r="D52" s="124">
        <v>0.82045000000000001</v>
      </c>
      <c r="E52" s="124"/>
      <c r="F52" s="109"/>
      <c r="G52" s="121"/>
      <c r="H52" s="124">
        <v>6.1185999999999998</v>
      </c>
      <c r="I52" s="124"/>
      <c r="J52" s="124"/>
      <c r="K52" s="121"/>
      <c r="L52" s="121"/>
      <c r="M52" s="121"/>
      <c r="N52" s="121"/>
      <c r="O52" s="121"/>
      <c r="P52" s="129">
        <f t="shared" si="2"/>
        <v>42.663400000000003</v>
      </c>
      <c r="Q52" s="129">
        <f t="shared" si="3"/>
        <v>52.203303065390941</v>
      </c>
      <c r="R52" s="121"/>
      <c r="S52" s="124">
        <v>-27.25</v>
      </c>
    </row>
    <row r="53" spans="1:19">
      <c r="A53" s="123">
        <v>40637</v>
      </c>
      <c r="B53" s="121">
        <f t="shared" si="0"/>
        <v>4</v>
      </c>
      <c r="C53" s="121">
        <f t="shared" si="1"/>
        <v>2011</v>
      </c>
      <c r="D53" s="124">
        <v>0.87655000000000005</v>
      </c>
      <c r="E53" s="124"/>
      <c r="F53" s="109"/>
      <c r="G53" s="121"/>
      <c r="H53" s="124">
        <v>6.0132000000000003</v>
      </c>
      <c r="I53" s="124"/>
      <c r="J53" s="124"/>
      <c r="K53" s="121"/>
      <c r="L53" s="121"/>
      <c r="M53" s="121"/>
      <c r="N53" s="121"/>
      <c r="O53" s="121"/>
      <c r="P53" s="129">
        <f t="shared" si="2"/>
        <v>45.580600000000004</v>
      </c>
      <c r="Q53" s="129">
        <f t="shared" si="3"/>
        <v>48.02053505219326</v>
      </c>
      <c r="R53" s="121"/>
      <c r="S53" s="124">
        <v>-150.05000000000001</v>
      </c>
    </row>
    <row r="54" spans="1:19">
      <c r="A54" s="123">
        <v>40644</v>
      </c>
      <c r="B54" s="121">
        <f t="shared" si="0"/>
        <v>4</v>
      </c>
      <c r="C54" s="121">
        <f t="shared" si="1"/>
        <v>2011</v>
      </c>
      <c r="D54" s="124">
        <v>0.96675</v>
      </c>
      <c r="E54" s="124"/>
      <c r="F54" s="109"/>
      <c r="G54" s="121"/>
      <c r="H54" s="124">
        <v>6.0196000000000005</v>
      </c>
      <c r="I54" s="124"/>
      <c r="J54" s="124"/>
      <c r="K54" s="121"/>
      <c r="L54" s="121"/>
      <c r="M54" s="121"/>
      <c r="N54" s="121"/>
      <c r="O54" s="121"/>
      <c r="P54" s="129">
        <f t="shared" si="2"/>
        <v>50.271000000000001</v>
      </c>
      <c r="Q54" s="129">
        <f t="shared" si="3"/>
        <v>43.586449444013454</v>
      </c>
      <c r="R54" s="121"/>
      <c r="S54" s="124">
        <v>-68.55</v>
      </c>
    </row>
    <row r="55" spans="1:19">
      <c r="A55" s="123">
        <v>40651</v>
      </c>
      <c r="B55" s="121">
        <f t="shared" si="0"/>
        <v>4</v>
      </c>
      <c r="C55" s="121">
        <f t="shared" si="1"/>
        <v>2011</v>
      </c>
      <c r="D55" s="124">
        <v>0.93955</v>
      </c>
      <c r="E55" s="124"/>
      <c r="F55" s="109"/>
      <c r="G55" s="121"/>
      <c r="H55" s="124">
        <v>6.0709</v>
      </c>
      <c r="I55" s="124"/>
      <c r="J55" s="124"/>
      <c r="K55" s="121"/>
      <c r="L55" s="121"/>
      <c r="M55" s="121"/>
      <c r="N55" s="121"/>
      <c r="O55" s="121"/>
      <c r="P55" s="129">
        <f t="shared" si="2"/>
        <v>48.8566</v>
      </c>
      <c r="Q55" s="129">
        <f t="shared" si="3"/>
        <v>45.230482677877703</v>
      </c>
      <c r="R55" s="121"/>
      <c r="S55" s="124">
        <v>-87.05</v>
      </c>
    </row>
    <row r="56" spans="1:19">
      <c r="A56" s="123">
        <v>40658</v>
      </c>
      <c r="B56" s="121">
        <f t="shared" si="0"/>
        <v>4</v>
      </c>
      <c r="C56" s="121">
        <f t="shared" si="1"/>
        <v>2011</v>
      </c>
      <c r="D56" s="124">
        <v>0.91500000000000004</v>
      </c>
      <c r="E56" s="124"/>
      <c r="F56" s="109"/>
      <c r="G56" s="121"/>
      <c r="H56" s="124">
        <v>6.2801999999999998</v>
      </c>
      <c r="I56" s="124"/>
      <c r="J56" s="124"/>
      <c r="K56" s="121"/>
      <c r="L56" s="121"/>
      <c r="M56" s="121"/>
      <c r="N56" s="121"/>
      <c r="O56" s="121"/>
      <c r="P56" s="129">
        <f t="shared" si="2"/>
        <v>47.58</v>
      </c>
      <c r="Q56" s="129">
        <f t="shared" si="3"/>
        <v>48.045245901639341</v>
      </c>
      <c r="R56" s="121"/>
      <c r="S56" s="124">
        <v>-26.3</v>
      </c>
    </row>
    <row r="57" spans="1:19">
      <c r="A57" s="123">
        <v>40665</v>
      </c>
      <c r="B57" s="121">
        <f t="shared" si="0"/>
        <v>5</v>
      </c>
      <c r="C57" s="121">
        <f t="shared" si="1"/>
        <v>2011</v>
      </c>
      <c r="D57" s="124">
        <v>0.97240000000000004</v>
      </c>
      <c r="E57" s="124"/>
      <c r="F57" s="109"/>
      <c r="G57" s="121"/>
      <c r="H57" s="124">
        <v>6.5236000000000001</v>
      </c>
      <c r="I57" s="124"/>
      <c r="J57" s="124"/>
      <c r="K57" s="121"/>
      <c r="L57" s="121"/>
      <c r="M57" s="121"/>
      <c r="N57" s="121"/>
      <c r="O57" s="121"/>
      <c r="P57" s="129">
        <f t="shared" si="2"/>
        <v>50.564800000000005</v>
      </c>
      <c r="Q57" s="129">
        <f t="shared" si="3"/>
        <v>46.961332784862201</v>
      </c>
      <c r="R57" s="121"/>
      <c r="S57" s="124">
        <v>-26.3</v>
      </c>
    </row>
    <row r="58" spans="1:19">
      <c r="A58" s="123">
        <v>40672</v>
      </c>
      <c r="B58" s="121">
        <f t="shared" si="0"/>
        <v>5</v>
      </c>
      <c r="C58" s="121">
        <f t="shared" si="1"/>
        <v>2011</v>
      </c>
      <c r="D58" s="124">
        <v>1.0904</v>
      </c>
      <c r="E58" s="124"/>
      <c r="F58" s="109"/>
      <c r="G58" s="121"/>
      <c r="H58" s="124">
        <v>6.4001999999999999</v>
      </c>
      <c r="I58" s="124"/>
      <c r="J58" s="124"/>
      <c r="K58" s="121"/>
      <c r="L58" s="121"/>
      <c r="M58" s="121"/>
      <c r="N58" s="121"/>
      <c r="O58" s="121"/>
      <c r="P58" s="129">
        <f t="shared" si="2"/>
        <v>56.700800000000001</v>
      </c>
      <c r="Q58" s="129">
        <f t="shared" si="3"/>
        <v>41.087123991195888</v>
      </c>
      <c r="R58" s="121"/>
      <c r="S58" s="124">
        <v>-51.25</v>
      </c>
    </row>
    <row r="59" spans="1:19">
      <c r="A59" s="123">
        <v>40679</v>
      </c>
      <c r="B59" s="121">
        <f t="shared" si="0"/>
        <v>5</v>
      </c>
      <c r="C59" s="121">
        <f t="shared" si="1"/>
        <v>2011</v>
      </c>
      <c r="D59" s="124">
        <v>1.00145</v>
      </c>
      <c r="E59" s="124"/>
      <c r="F59" s="109"/>
      <c r="G59" s="121"/>
      <c r="H59" s="124">
        <v>6.4557000000000002</v>
      </c>
      <c r="I59" s="124"/>
      <c r="J59" s="124"/>
      <c r="K59" s="121"/>
      <c r="L59" s="121"/>
      <c r="M59" s="121"/>
      <c r="N59" s="121"/>
      <c r="O59" s="121"/>
      <c r="P59" s="129">
        <f t="shared" si="2"/>
        <v>52.075399999999995</v>
      </c>
      <c r="Q59" s="129">
        <f t="shared" si="3"/>
        <v>45.12446951919717</v>
      </c>
      <c r="R59" s="121"/>
      <c r="S59" s="124">
        <v>-88.25</v>
      </c>
    </row>
    <row r="60" spans="1:19">
      <c r="A60" s="123">
        <v>40686</v>
      </c>
      <c r="B60" s="121">
        <f t="shared" si="0"/>
        <v>5</v>
      </c>
      <c r="C60" s="121">
        <f t="shared" si="1"/>
        <v>2011</v>
      </c>
      <c r="D60" s="124">
        <v>0.97509999999999997</v>
      </c>
      <c r="E60" s="124"/>
      <c r="F60" s="109"/>
      <c r="G60" s="121"/>
      <c r="H60" s="124">
        <v>6.5462999999999996</v>
      </c>
      <c r="I60" s="124"/>
      <c r="J60" s="124"/>
      <c r="K60" s="121"/>
      <c r="L60" s="121"/>
      <c r="M60" s="121"/>
      <c r="N60" s="121"/>
      <c r="O60" s="121"/>
      <c r="P60" s="129">
        <f t="shared" si="2"/>
        <v>50.705199999999998</v>
      </c>
      <c r="Q60" s="129">
        <f t="shared" si="3"/>
        <v>46.994256999282122</v>
      </c>
      <c r="R60" s="121"/>
      <c r="S60" s="124">
        <v>-88.25</v>
      </c>
    </row>
    <row r="61" spans="1:19">
      <c r="A61" s="123">
        <v>40693</v>
      </c>
      <c r="B61" s="121">
        <f t="shared" si="0"/>
        <v>5</v>
      </c>
      <c r="C61" s="121">
        <f t="shared" si="1"/>
        <v>2011</v>
      </c>
      <c r="D61" s="124">
        <v>1.0181</v>
      </c>
      <c r="E61" s="124"/>
      <c r="F61" s="109"/>
      <c r="G61" s="121"/>
      <c r="H61" s="124">
        <v>6.6719000000000008</v>
      </c>
      <c r="I61" s="124"/>
      <c r="J61" s="124"/>
      <c r="K61" s="121"/>
      <c r="L61" s="121"/>
      <c r="M61" s="121"/>
      <c r="N61" s="121"/>
      <c r="O61" s="121"/>
      <c r="P61" s="129">
        <f t="shared" si="2"/>
        <v>52.941200000000002</v>
      </c>
      <c r="Q61" s="129">
        <f t="shared" si="3"/>
        <v>45.872998723111685</v>
      </c>
      <c r="R61" s="121"/>
      <c r="S61" s="124">
        <v>-88.25</v>
      </c>
    </row>
    <row r="62" spans="1:19">
      <c r="A62" s="123">
        <v>40700</v>
      </c>
      <c r="B62" s="121">
        <f t="shared" si="0"/>
        <v>6</v>
      </c>
      <c r="C62" s="121">
        <f t="shared" si="1"/>
        <v>2011</v>
      </c>
      <c r="D62" s="124">
        <v>1.0051000000000001</v>
      </c>
      <c r="E62" s="124"/>
      <c r="F62" s="109"/>
      <c r="G62" s="121"/>
      <c r="H62" s="124">
        <v>6.6924999999999999</v>
      </c>
      <c r="I62" s="124">
        <v>83.63</v>
      </c>
      <c r="J62" s="124"/>
      <c r="K62" s="121"/>
      <c r="L62" s="121"/>
      <c r="M62" s="121"/>
      <c r="N62" s="121"/>
      <c r="O62" s="121"/>
      <c r="P62" s="129">
        <f t="shared" si="2"/>
        <v>52.265200000000007</v>
      </c>
      <c r="Q62" s="129">
        <f t="shared" si="3"/>
        <v>46.609790070639733</v>
      </c>
      <c r="R62" s="121"/>
      <c r="S62" s="124">
        <v>-88.25</v>
      </c>
    </row>
    <row r="63" spans="1:19">
      <c r="A63" s="123">
        <v>40707</v>
      </c>
      <c r="B63" s="121">
        <f t="shared" si="0"/>
        <v>6</v>
      </c>
      <c r="C63" s="121">
        <f t="shared" si="1"/>
        <v>2011</v>
      </c>
      <c r="D63" s="124">
        <v>1.0771999999999999</v>
      </c>
      <c r="E63" s="124"/>
      <c r="F63" s="109"/>
      <c r="G63" s="121"/>
      <c r="H63" s="124">
        <v>6.6379999999999999</v>
      </c>
      <c r="I63" s="124">
        <v>82.93</v>
      </c>
      <c r="J63" s="124"/>
      <c r="K63" s="121"/>
      <c r="L63" s="121"/>
      <c r="M63" s="121"/>
      <c r="N63" s="121"/>
      <c r="O63" s="121"/>
      <c r="P63" s="129">
        <f t="shared" si="2"/>
        <v>56.014399999999995</v>
      </c>
      <c r="Q63" s="129">
        <f t="shared" si="3"/>
        <v>43.135907909394732</v>
      </c>
      <c r="R63" s="121"/>
      <c r="S63" s="124">
        <v>104.45</v>
      </c>
    </row>
    <row r="64" spans="1:19">
      <c r="A64" s="123">
        <v>40714</v>
      </c>
      <c r="B64" s="121">
        <f t="shared" si="0"/>
        <v>6</v>
      </c>
      <c r="C64" s="121">
        <f t="shared" si="1"/>
        <v>2011</v>
      </c>
      <c r="D64" s="124">
        <v>1.0184</v>
      </c>
      <c r="E64" s="124"/>
      <c r="F64" s="109"/>
      <c r="G64" s="121"/>
      <c r="H64" s="124">
        <v>6.6766999999999994</v>
      </c>
      <c r="I64" s="124">
        <v>83.59</v>
      </c>
      <c r="J64" s="124"/>
      <c r="K64" s="121"/>
      <c r="L64" s="121"/>
      <c r="M64" s="121"/>
      <c r="N64" s="121"/>
      <c r="O64" s="121"/>
      <c r="P64" s="129">
        <f t="shared" si="2"/>
        <v>52.956800000000001</v>
      </c>
      <c r="Q64" s="129">
        <f t="shared" si="3"/>
        <v>45.892478397486251</v>
      </c>
      <c r="R64" s="121"/>
      <c r="S64" s="124">
        <v>85.95</v>
      </c>
    </row>
    <row r="65" spans="1:19">
      <c r="A65" s="123">
        <v>40721</v>
      </c>
      <c r="B65" s="121">
        <f t="shared" si="0"/>
        <v>6</v>
      </c>
      <c r="C65" s="121">
        <f t="shared" si="1"/>
        <v>2011</v>
      </c>
      <c r="D65" s="124">
        <v>1.0901000000000001</v>
      </c>
      <c r="E65" s="124"/>
      <c r="F65" s="109"/>
      <c r="G65" s="121"/>
      <c r="H65" s="124">
        <v>6.8266999999999998</v>
      </c>
      <c r="I65" s="124">
        <v>90.28</v>
      </c>
      <c r="J65" s="124">
        <v>111.4</v>
      </c>
      <c r="K65" s="121"/>
      <c r="L65" s="121"/>
      <c r="M65" s="121"/>
      <c r="N65" s="121"/>
      <c r="O65" s="121"/>
      <c r="P65" s="129">
        <f t="shared" si="2"/>
        <v>56.685200000000002</v>
      </c>
      <c r="Q65" s="129">
        <f t="shared" si="3"/>
        <v>43.837170901752131</v>
      </c>
      <c r="R65" s="121"/>
      <c r="S65" s="124">
        <v>101.65</v>
      </c>
    </row>
    <row r="66" spans="1:19">
      <c r="A66" s="123">
        <v>40728</v>
      </c>
      <c r="B66" s="121">
        <f t="shared" ref="B66:B129" si="4">MONTH(A66)</f>
        <v>7</v>
      </c>
      <c r="C66" s="121">
        <f t="shared" ref="C66:C129" si="5">YEAR(A66)</f>
        <v>2011</v>
      </c>
      <c r="D66" s="124">
        <v>1.0883499999999999</v>
      </c>
      <c r="E66" s="124"/>
      <c r="F66" s="109"/>
      <c r="G66" s="121"/>
      <c r="H66" s="124">
        <v>6.9734000000000007</v>
      </c>
      <c r="I66" s="124">
        <v>89.85</v>
      </c>
      <c r="J66" s="124">
        <v>111.83</v>
      </c>
      <c r="K66" s="121"/>
      <c r="L66" s="121"/>
      <c r="M66" s="121"/>
      <c r="N66" s="121"/>
      <c r="O66" s="121"/>
      <c r="P66" s="129">
        <f t="shared" ref="P66:P129" si="6">D66*52</f>
        <v>56.594199999999994</v>
      </c>
      <c r="Q66" s="129">
        <f t="shared" si="3"/>
        <v>44.851196765746323</v>
      </c>
      <c r="R66" s="121"/>
      <c r="S66" s="124">
        <v>101.65</v>
      </c>
    </row>
    <row r="67" spans="1:19">
      <c r="A67" s="123">
        <v>40735</v>
      </c>
      <c r="B67" s="121">
        <f t="shared" si="4"/>
        <v>7</v>
      </c>
      <c r="C67" s="121">
        <f t="shared" si="5"/>
        <v>2011</v>
      </c>
      <c r="D67" s="124">
        <v>1.1043000000000001</v>
      </c>
      <c r="E67" s="124"/>
      <c r="F67" s="109"/>
      <c r="G67" s="121"/>
      <c r="H67" s="124">
        <v>7.0849000000000002</v>
      </c>
      <c r="I67" s="124">
        <v>91.38</v>
      </c>
      <c r="J67" s="124">
        <v>110.05</v>
      </c>
      <c r="K67" s="121"/>
      <c r="L67" s="121"/>
      <c r="M67" s="121"/>
      <c r="N67" s="121"/>
      <c r="O67" s="121"/>
      <c r="P67" s="129">
        <f t="shared" si="6"/>
        <v>57.4236</v>
      </c>
      <c r="Q67" s="129">
        <f t="shared" si="3"/>
        <v>44.910169338042195</v>
      </c>
      <c r="R67" s="121"/>
      <c r="S67" s="124">
        <v>-22.75</v>
      </c>
    </row>
    <row r="68" spans="1:19">
      <c r="A68" s="123">
        <v>40742</v>
      </c>
      <c r="B68" s="121">
        <f t="shared" si="4"/>
        <v>7</v>
      </c>
      <c r="C68" s="121">
        <f t="shared" si="5"/>
        <v>2011</v>
      </c>
      <c r="D68" s="124">
        <v>1.1979</v>
      </c>
      <c r="E68" s="124"/>
      <c r="F68" s="109"/>
      <c r="G68" s="121"/>
      <c r="H68" s="124">
        <v>6.9582000000000006</v>
      </c>
      <c r="I68" s="124">
        <v>89.21</v>
      </c>
      <c r="J68" s="124">
        <v>106.31</v>
      </c>
      <c r="K68" s="121"/>
      <c r="L68" s="121"/>
      <c r="M68" s="121"/>
      <c r="N68" s="121"/>
      <c r="O68" s="121"/>
      <c r="P68" s="129">
        <f t="shared" si="6"/>
        <v>62.290799999999997</v>
      </c>
      <c r="Q68" s="129">
        <f t="shared" si="3"/>
        <v>40.660656148259456</v>
      </c>
      <c r="R68" s="121"/>
      <c r="S68" s="124">
        <v>-95</v>
      </c>
    </row>
    <row r="69" spans="1:19">
      <c r="A69" s="123">
        <v>40749</v>
      </c>
      <c r="B69" s="121">
        <f t="shared" si="4"/>
        <v>7</v>
      </c>
      <c r="C69" s="121">
        <f t="shared" si="5"/>
        <v>2011</v>
      </c>
      <c r="D69" s="124">
        <v>1.1711</v>
      </c>
      <c r="E69" s="124"/>
      <c r="F69" s="109"/>
      <c r="G69" s="121"/>
      <c r="H69" s="124">
        <v>6.9390000000000001</v>
      </c>
      <c r="I69" s="124">
        <v>86.44</v>
      </c>
      <c r="J69" s="124">
        <v>108.2</v>
      </c>
      <c r="K69" s="121"/>
      <c r="L69" s="121"/>
      <c r="M69" s="121"/>
      <c r="N69" s="121"/>
      <c r="O69" s="121"/>
      <c r="P69" s="129">
        <f t="shared" si="6"/>
        <v>60.897199999999998</v>
      </c>
      <c r="Q69" s="129">
        <f t="shared" si="3"/>
        <v>41.476389719067541</v>
      </c>
      <c r="R69" s="121"/>
      <c r="S69" s="124">
        <v>-67.25</v>
      </c>
    </row>
    <row r="70" spans="1:19">
      <c r="A70" s="123">
        <v>40756</v>
      </c>
      <c r="B70" s="121">
        <f t="shared" si="4"/>
        <v>8</v>
      </c>
      <c r="C70" s="121">
        <f t="shared" si="5"/>
        <v>2011</v>
      </c>
      <c r="D70" s="124">
        <v>1.1036999999999999</v>
      </c>
      <c r="E70" s="124"/>
      <c r="F70" s="109"/>
      <c r="G70" s="121"/>
      <c r="H70" s="124">
        <v>6.96</v>
      </c>
      <c r="I70" s="124">
        <v>88.89</v>
      </c>
      <c r="J70" s="124">
        <v>101.38</v>
      </c>
      <c r="K70" s="121"/>
      <c r="L70" s="121"/>
      <c r="M70" s="121"/>
      <c r="N70" s="121"/>
      <c r="O70" s="121"/>
      <c r="P70" s="129">
        <f t="shared" si="6"/>
        <v>57.392399999999995</v>
      </c>
      <c r="Q70" s="129">
        <f t="shared" si="3"/>
        <v>44.142430008154399</v>
      </c>
      <c r="R70" s="121"/>
      <c r="S70" s="124">
        <v>-77.349999999999994</v>
      </c>
    </row>
    <row r="71" spans="1:19">
      <c r="A71" s="123">
        <v>40763</v>
      </c>
      <c r="B71" s="121">
        <f t="shared" si="4"/>
        <v>8</v>
      </c>
      <c r="C71" s="121">
        <f t="shared" si="5"/>
        <v>2011</v>
      </c>
      <c r="D71" s="124">
        <v>1.0452999999999999</v>
      </c>
      <c r="E71" s="124"/>
      <c r="F71" s="109"/>
      <c r="G71" s="121"/>
      <c r="H71" s="124">
        <v>6.8559999999999999</v>
      </c>
      <c r="I71" s="124">
        <v>90.09</v>
      </c>
      <c r="J71" s="124">
        <v>98</v>
      </c>
      <c r="K71" s="121"/>
      <c r="L71" s="121"/>
      <c r="M71" s="121"/>
      <c r="N71" s="121"/>
      <c r="O71" s="121"/>
      <c r="P71" s="129">
        <f t="shared" si="6"/>
        <v>54.355599999999995</v>
      </c>
      <c r="Q71" s="129">
        <f t="shared" si="3"/>
        <v>45.912178322012821</v>
      </c>
      <c r="R71" s="121"/>
      <c r="S71" s="124">
        <v>-118</v>
      </c>
    </row>
    <row r="72" spans="1:19">
      <c r="A72" s="123">
        <v>40770</v>
      </c>
      <c r="B72" s="121">
        <f t="shared" si="4"/>
        <v>8</v>
      </c>
      <c r="C72" s="121">
        <f t="shared" si="5"/>
        <v>2011</v>
      </c>
      <c r="D72" s="124">
        <v>1.1047</v>
      </c>
      <c r="E72" s="124"/>
      <c r="F72" s="109"/>
      <c r="G72" s="121"/>
      <c r="H72" s="124">
        <v>6.6866999999999992</v>
      </c>
      <c r="I72" s="124">
        <v>93.2</v>
      </c>
      <c r="J72" s="124">
        <v>93.08</v>
      </c>
      <c r="K72" s="121"/>
      <c r="L72" s="121"/>
      <c r="M72" s="121"/>
      <c r="N72" s="121"/>
      <c r="O72" s="121"/>
      <c r="P72" s="129">
        <f t="shared" si="6"/>
        <v>57.444400000000002</v>
      </c>
      <c r="Q72" s="129">
        <f t="shared" si="3"/>
        <v>42.370688874807634</v>
      </c>
      <c r="R72" s="121"/>
      <c r="S72" s="124">
        <v>-150.80000000000001</v>
      </c>
    </row>
    <row r="73" spans="1:19">
      <c r="A73" s="123">
        <v>40777</v>
      </c>
      <c r="B73" s="121">
        <f t="shared" si="4"/>
        <v>8</v>
      </c>
      <c r="C73" s="121">
        <f t="shared" si="5"/>
        <v>2011</v>
      </c>
      <c r="D73" s="124">
        <v>1.1462000000000001</v>
      </c>
      <c r="E73" s="124"/>
      <c r="F73" s="109"/>
      <c r="G73" s="121"/>
      <c r="H73" s="124">
        <v>6.5598000000000001</v>
      </c>
      <c r="I73" s="124">
        <v>93.46</v>
      </c>
      <c r="J73" s="124">
        <v>87.96</v>
      </c>
      <c r="K73" s="121"/>
      <c r="L73" s="121"/>
      <c r="M73" s="121"/>
      <c r="N73" s="121"/>
      <c r="O73" s="121"/>
      <c r="P73" s="129">
        <f t="shared" si="6"/>
        <v>59.602400000000003</v>
      </c>
      <c r="Q73" s="129">
        <f t="shared" si="3"/>
        <v>40.061594835107307</v>
      </c>
      <c r="R73" s="121"/>
      <c r="S73" s="124">
        <v>-145.25</v>
      </c>
    </row>
    <row r="74" spans="1:19">
      <c r="A74" s="123">
        <v>40784</v>
      </c>
      <c r="B74" s="121">
        <f t="shared" si="4"/>
        <v>8</v>
      </c>
      <c r="C74" s="121">
        <f t="shared" si="5"/>
        <v>2011</v>
      </c>
      <c r="D74" s="124">
        <v>1.1721999999999999</v>
      </c>
      <c r="E74" s="124"/>
      <c r="F74" s="109"/>
      <c r="G74" s="121"/>
      <c r="H74" s="124">
        <v>6.3991999999999996</v>
      </c>
      <c r="I74" s="124">
        <v>93.73</v>
      </c>
      <c r="J74" s="124">
        <v>89.5</v>
      </c>
      <c r="K74" s="121"/>
      <c r="L74" s="121"/>
      <c r="M74" s="121"/>
      <c r="N74" s="121"/>
      <c r="O74" s="121"/>
      <c r="P74" s="129">
        <f t="shared" si="6"/>
        <v>60.954399999999993</v>
      </c>
      <c r="Q74" s="129">
        <f t="shared" si="3"/>
        <v>38.213956662685554</v>
      </c>
      <c r="R74" s="121"/>
      <c r="S74" s="124">
        <v>-17.7</v>
      </c>
    </row>
    <row r="75" spans="1:19">
      <c r="A75" s="123">
        <v>40791</v>
      </c>
      <c r="B75" s="121">
        <f t="shared" si="4"/>
        <v>9</v>
      </c>
      <c r="C75" s="121">
        <f t="shared" si="5"/>
        <v>2011</v>
      </c>
      <c r="D75" s="124">
        <v>1.1926000000000001</v>
      </c>
      <c r="E75" s="124"/>
      <c r="F75" s="109"/>
      <c r="G75" s="121"/>
      <c r="H75" s="124">
        <v>6.0005999999999995</v>
      </c>
      <c r="I75" s="124">
        <v>92.56</v>
      </c>
      <c r="J75" s="124">
        <v>83.52</v>
      </c>
      <c r="K75" s="121"/>
      <c r="L75" s="121"/>
      <c r="M75" s="121"/>
      <c r="N75" s="121"/>
      <c r="O75" s="121"/>
      <c r="P75" s="129">
        <f t="shared" si="6"/>
        <v>62.015200000000007</v>
      </c>
      <c r="Q75" s="129">
        <f t="shared" si="3"/>
        <v>35.220694281401975</v>
      </c>
      <c r="R75" s="121"/>
      <c r="S75" s="124">
        <v>-54.7</v>
      </c>
    </row>
    <row r="76" spans="1:19">
      <c r="A76" s="123">
        <v>40798</v>
      </c>
      <c r="B76" s="121">
        <f t="shared" si="4"/>
        <v>9</v>
      </c>
      <c r="C76" s="121">
        <f t="shared" si="5"/>
        <v>2011</v>
      </c>
      <c r="D76" s="124">
        <v>1.1415</v>
      </c>
      <c r="E76" s="124"/>
      <c r="F76" s="109"/>
      <c r="G76" s="121"/>
      <c r="H76" s="124">
        <v>5.9089999999999998</v>
      </c>
      <c r="I76" s="124">
        <v>96.54</v>
      </c>
      <c r="J76" s="124">
        <v>78.41</v>
      </c>
      <c r="K76" s="121"/>
      <c r="L76" s="121"/>
      <c r="M76" s="121"/>
      <c r="N76" s="121"/>
      <c r="O76" s="121"/>
      <c r="P76" s="129">
        <f t="shared" si="6"/>
        <v>59.357999999999997</v>
      </c>
      <c r="Q76" s="129">
        <f t="shared" si="3"/>
        <v>36.235654840122649</v>
      </c>
      <c r="R76" s="121"/>
      <c r="S76" s="124">
        <v>-54.7</v>
      </c>
    </row>
    <row r="77" spans="1:19">
      <c r="A77" s="123">
        <v>40805</v>
      </c>
      <c r="B77" s="121">
        <f t="shared" si="4"/>
        <v>9</v>
      </c>
      <c r="C77" s="121">
        <f t="shared" si="5"/>
        <v>2011</v>
      </c>
      <c r="D77" s="124">
        <v>1.1402000000000001</v>
      </c>
      <c r="E77" s="124"/>
      <c r="F77" s="109"/>
      <c r="G77" s="121"/>
      <c r="H77" s="124">
        <v>5.9163999999999994</v>
      </c>
      <c r="I77" s="124">
        <v>95.98</v>
      </c>
      <c r="J77" s="124">
        <v>73.5</v>
      </c>
      <c r="K77" s="121"/>
      <c r="L77" s="121"/>
      <c r="M77" s="121"/>
      <c r="N77" s="121"/>
      <c r="O77" s="121"/>
      <c r="P77" s="129">
        <f t="shared" si="6"/>
        <v>59.290400000000005</v>
      </c>
      <c r="Q77" s="129">
        <f t="shared" si="3"/>
        <v>36.322399579021216</v>
      </c>
      <c r="R77" s="121"/>
      <c r="S77" s="124">
        <v>-93.95</v>
      </c>
    </row>
    <row r="78" spans="1:19">
      <c r="A78" s="123">
        <v>40812</v>
      </c>
      <c r="B78" s="121">
        <f t="shared" si="4"/>
        <v>9</v>
      </c>
      <c r="C78" s="121">
        <f t="shared" si="5"/>
        <v>2011</v>
      </c>
      <c r="D78" s="124">
        <v>1.1585000000000001</v>
      </c>
      <c r="E78" s="124"/>
      <c r="F78" s="109"/>
      <c r="G78" s="121"/>
      <c r="H78" s="124">
        <v>6.0179999999999998</v>
      </c>
      <c r="I78" s="124"/>
      <c r="J78" s="124"/>
      <c r="K78" s="121"/>
      <c r="L78" s="121"/>
      <c r="M78" s="121"/>
      <c r="N78" s="121"/>
      <c r="O78" s="121"/>
      <c r="P78" s="129">
        <f t="shared" si="6"/>
        <v>60.242000000000004</v>
      </c>
      <c r="Q78" s="129">
        <f t="shared" si="3"/>
        <v>36.362537764350449</v>
      </c>
      <c r="R78" s="121"/>
      <c r="S78" s="124">
        <v>-178.55</v>
      </c>
    </row>
    <row r="79" spans="1:19">
      <c r="A79" s="123">
        <v>40819</v>
      </c>
      <c r="B79" s="121">
        <f t="shared" si="4"/>
        <v>10</v>
      </c>
      <c r="C79" s="121">
        <f t="shared" si="5"/>
        <v>2011</v>
      </c>
      <c r="D79" s="124">
        <v>0.79559999999999997</v>
      </c>
      <c r="E79" s="124"/>
      <c r="F79" s="109"/>
      <c r="G79" s="121"/>
      <c r="H79" s="124"/>
      <c r="I79" s="124">
        <v>95.35</v>
      </c>
      <c r="J79" s="124">
        <v>53.7</v>
      </c>
      <c r="K79" s="121"/>
      <c r="L79" s="121"/>
      <c r="M79" s="121"/>
      <c r="N79" s="121"/>
      <c r="O79" s="121"/>
      <c r="P79" s="129">
        <f t="shared" si="6"/>
        <v>41.371200000000002</v>
      </c>
      <c r="Q79" s="129" t="str">
        <f t="shared" si="3"/>
        <v/>
      </c>
      <c r="R79" s="121"/>
      <c r="S79" s="124">
        <v>-262.64999999999998</v>
      </c>
    </row>
    <row r="80" spans="1:19">
      <c r="A80" s="123">
        <v>40826</v>
      </c>
      <c r="B80" s="121">
        <f t="shared" si="4"/>
        <v>10</v>
      </c>
      <c r="C80" s="121">
        <f t="shared" si="5"/>
        <v>2011</v>
      </c>
      <c r="D80" s="124">
        <v>1.1811</v>
      </c>
      <c r="E80" s="124"/>
      <c r="F80" s="109"/>
      <c r="G80" s="121"/>
      <c r="H80" s="124">
        <v>5.6592999999999991</v>
      </c>
      <c r="I80" s="124">
        <v>97.27</v>
      </c>
      <c r="J80" s="124">
        <v>55.85</v>
      </c>
      <c r="K80" s="121"/>
      <c r="L80" s="121"/>
      <c r="M80" s="121"/>
      <c r="N80" s="121"/>
      <c r="O80" s="121"/>
      <c r="P80" s="129">
        <f t="shared" si="6"/>
        <v>61.417200000000001</v>
      </c>
      <c r="Q80" s="129">
        <f t="shared" si="3"/>
        <v>33.540851748370159</v>
      </c>
      <c r="R80" s="121"/>
      <c r="S80" s="124">
        <v>-262.64999999999998</v>
      </c>
    </row>
    <row r="81" spans="1:19">
      <c r="A81" s="123">
        <v>40833</v>
      </c>
      <c r="B81" s="121">
        <f t="shared" si="4"/>
        <v>10</v>
      </c>
      <c r="C81" s="121">
        <f t="shared" si="5"/>
        <v>2011</v>
      </c>
      <c r="D81" s="125">
        <f>AVERAGE(D80,D82)</f>
        <v>1.2659500000000001</v>
      </c>
      <c r="E81" s="124"/>
      <c r="F81" s="109"/>
      <c r="G81" s="121"/>
      <c r="H81" s="124">
        <v>5.51</v>
      </c>
      <c r="I81" s="124">
        <v>98.97</v>
      </c>
      <c r="J81" s="124">
        <v>56.76</v>
      </c>
      <c r="K81" s="121"/>
      <c r="L81" s="121"/>
      <c r="M81" s="121"/>
      <c r="N81" s="121"/>
      <c r="O81" s="121"/>
      <c r="P81" s="129">
        <f t="shared" si="6"/>
        <v>65.829400000000007</v>
      </c>
      <c r="Q81" s="129">
        <f t="shared" si="3"/>
        <v>30.467238042576717</v>
      </c>
      <c r="R81" s="121"/>
      <c r="S81" s="124">
        <v>-143.30000000000001</v>
      </c>
    </row>
    <row r="82" spans="1:19">
      <c r="A82" s="123">
        <v>40840</v>
      </c>
      <c r="B82" s="121">
        <f t="shared" si="4"/>
        <v>10</v>
      </c>
      <c r="C82" s="121">
        <f t="shared" si="5"/>
        <v>2011</v>
      </c>
      <c r="D82" s="124">
        <v>1.3508</v>
      </c>
      <c r="E82" s="124"/>
      <c r="F82" s="109"/>
      <c r="G82" s="121"/>
      <c r="H82" s="124">
        <v>5.4278999999999993</v>
      </c>
      <c r="I82" s="124">
        <v>99.28</v>
      </c>
      <c r="J82" s="124">
        <v>66.8</v>
      </c>
      <c r="K82" s="121"/>
      <c r="L82" s="121"/>
      <c r="M82" s="121"/>
      <c r="N82" s="121"/>
      <c r="O82" s="121"/>
      <c r="P82" s="129">
        <f t="shared" si="6"/>
        <v>70.241600000000005</v>
      </c>
      <c r="Q82" s="129">
        <f t="shared" si="3"/>
        <v>28.127998223275092</v>
      </c>
      <c r="R82" s="121"/>
      <c r="S82" s="124">
        <v>-183.95</v>
      </c>
    </row>
    <row r="83" spans="1:19">
      <c r="A83" s="123">
        <v>40847</v>
      </c>
      <c r="B83" s="121">
        <f t="shared" si="4"/>
        <v>10</v>
      </c>
      <c r="C83" s="121">
        <f t="shared" si="5"/>
        <v>2011</v>
      </c>
      <c r="D83" s="124">
        <v>1.1834</v>
      </c>
      <c r="E83" s="124"/>
      <c r="F83" s="109"/>
      <c r="G83" s="121"/>
      <c r="H83" s="124">
        <v>5.3952</v>
      </c>
      <c r="I83" s="124">
        <v>102.34</v>
      </c>
      <c r="J83" s="124">
        <v>62.04</v>
      </c>
      <c r="K83" s="121"/>
      <c r="L83" s="121"/>
      <c r="M83" s="121"/>
      <c r="N83" s="121"/>
      <c r="O83" s="121"/>
      <c r="P83" s="129">
        <f t="shared" si="6"/>
        <v>61.536799999999999</v>
      </c>
      <c r="Q83" s="129">
        <f t="shared" si="3"/>
        <v>31.913469663680921</v>
      </c>
      <c r="R83" s="121"/>
      <c r="S83" s="124">
        <v>-232.45</v>
      </c>
    </row>
    <row r="84" spans="1:19">
      <c r="A84" s="123">
        <v>40854</v>
      </c>
      <c r="B84" s="121">
        <f t="shared" si="4"/>
        <v>11</v>
      </c>
      <c r="C84" s="121">
        <f t="shared" si="5"/>
        <v>2011</v>
      </c>
      <c r="D84" s="124">
        <v>1.2602</v>
      </c>
      <c r="E84" s="124"/>
      <c r="F84" s="109"/>
      <c r="G84" s="121"/>
      <c r="H84" s="124">
        <v>5.3574999999999999</v>
      </c>
      <c r="I84" s="124">
        <v>104.215</v>
      </c>
      <c r="J84" s="124">
        <v>60.27</v>
      </c>
      <c r="K84" s="121"/>
      <c r="L84" s="121"/>
      <c r="M84" s="121"/>
      <c r="N84" s="121"/>
      <c r="O84" s="121"/>
      <c r="P84" s="129">
        <f t="shared" si="6"/>
        <v>65.5304</v>
      </c>
      <c r="Q84" s="129">
        <f t="shared" ref="Q84:Q147" si="7">IF(H84="","",IF(D84="","",H84/(D84/7)))</f>
        <v>29.759165211871132</v>
      </c>
      <c r="R84" s="121"/>
      <c r="S84" s="124">
        <v>-313.75</v>
      </c>
    </row>
    <row r="85" spans="1:19">
      <c r="A85" s="123">
        <v>40861</v>
      </c>
      <c r="B85" s="121">
        <f t="shared" si="4"/>
        <v>11</v>
      </c>
      <c r="C85" s="121">
        <f t="shared" si="5"/>
        <v>2011</v>
      </c>
      <c r="D85" s="124">
        <v>1.3383</v>
      </c>
      <c r="E85" s="124"/>
      <c r="F85" s="109"/>
      <c r="G85" s="121"/>
      <c r="H85" s="124">
        <v>5.4312000000000005</v>
      </c>
      <c r="I85" s="124">
        <v>104.64</v>
      </c>
      <c r="J85" s="124">
        <v>64.06</v>
      </c>
      <c r="K85" s="121"/>
      <c r="L85" s="121"/>
      <c r="M85" s="121"/>
      <c r="N85" s="121"/>
      <c r="O85" s="121"/>
      <c r="P85" s="129">
        <f t="shared" si="6"/>
        <v>69.5916</v>
      </c>
      <c r="Q85" s="129">
        <f t="shared" si="7"/>
        <v>28.407980273481282</v>
      </c>
      <c r="R85" s="121"/>
      <c r="S85" s="124">
        <v>-323</v>
      </c>
    </row>
    <row r="86" spans="1:19">
      <c r="A86" s="123">
        <v>40868</v>
      </c>
      <c r="B86" s="121">
        <f t="shared" si="4"/>
        <v>11</v>
      </c>
      <c r="C86" s="121">
        <f t="shared" si="5"/>
        <v>2011</v>
      </c>
      <c r="D86" s="124">
        <v>1.3057000000000001</v>
      </c>
      <c r="E86" s="124"/>
      <c r="F86" s="109"/>
      <c r="G86" s="121"/>
      <c r="H86" s="124">
        <v>5.41</v>
      </c>
      <c r="I86" s="124">
        <v>107.44</v>
      </c>
      <c r="J86" s="124">
        <v>69.739999999999995</v>
      </c>
      <c r="K86" s="121"/>
      <c r="L86" s="121"/>
      <c r="M86" s="121"/>
      <c r="N86" s="121"/>
      <c r="O86" s="121"/>
      <c r="P86" s="129">
        <f t="shared" si="6"/>
        <v>67.8964</v>
      </c>
      <c r="Q86" s="129">
        <f t="shared" si="7"/>
        <v>29.003599601746188</v>
      </c>
      <c r="R86" s="121"/>
      <c r="S86" s="124">
        <v>-320.64999999999998</v>
      </c>
    </row>
    <row r="87" spans="1:19">
      <c r="A87" s="123">
        <v>40875</v>
      </c>
      <c r="B87" s="121">
        <f t="shared" si="4"/>
        <v>11</v>
      </c>
      <c r="C87" s="121">
        <f t="shared" si="5"/>
        <v>2011</v>
      </c>
      <c r="D87" s="124">
        <v>1.1850000000000001</v>
      </c>
      <c r="E87" s="124"/>
      <c r="F87" s="109"/>
      <c r="G87" s="121"/>
      <c r="H87" s="124">
        <v>5.3501000000000003</v>
      </c>
      <c r="I87" s="124">
        <v>106.14</v>
      </c>
      <c r="J87" s="124">
        <v>56.62</v>
      </c>
      <c r="K87" s="121"/>
      <c r="L87" s="121"/>
      <c r="M87" s="121"/>
      <c r="N87" s="121"/>
      <c r="O87" s="121"/>
      <c r="P87" s="129">
        <f t="shared" si="6"/>
        <v>61.620000000000005</v>
      </c>
      <c r="Q87" s="129">
        <f t="shared" si="7"/>
        <v>31.60396624472574</v>
      </c>
      <c r="R87" s="121"/>
      <c r="S87" s="124">
        <v>-366.9</v>
      </c>
    </row>
    <row r="88" spans="1:19">
      <c r="A88" s="123">
        <v>40882</v>
      </c>
      <c r="B88" s="121">
        <f t="shared" si="4"/>
        <v>12</v>
      </c>
      <c r="C88" s="121">
        <f t="shared" si="5"/>
        <v>2011</v>
      </c>
      <c r="D88" s="124">
        <v>1.2414000000000001</v>
      </c>
      <c r="E88" s="124"/>
      <c r="F88" s="109"/>
      <c r="G88" s="121"/>
      <c r="H88" s="124">
        <v>5.2571000000000003</v>
      </c>
      <c r="I88" s="124">
        <v>105.05</v>
      </c>
      <c r="J88" s="124">
        <v>61.48</v>
      </c>
      <c r="K88" s="121"/>
      <c r="L88" s="121"/>
      <c r="M88" s="121"/>
      <c r="N88" s="121"/>
      <c r="O88" s="121"/>
      <c r="P88" s="129">
        <f t="shared" si="6"/>
        <v>64.552800000000005</v>
      </c>
      <c r="Q88" s="129">
        <f t="shared" si="7"/>
        <v>29.643708715965843</v>
      </c>
      <c r="R88" s="121"/>
      <c r="S88" s="124">
        <v>-366.9</v>
      </c>
    </row>
    <row r="89" spans="1:19">
      <c r="A89" s="123">
        <v>40889</v>
      </c>
      <c r="B89" s="121">
        <f t="shared" si="4"/>
        <v>12</v>
      </c>
      <c r="C89" s="121">
        <f t="shared" si="5"/>
        <v>2011</v>
      </c>
      <c r="D89" s="124">
        <v>1.2884</v>
      </c>
      <c r="E89" s="124"/>
      <c r="F89" s="109"/>
      <c r="G89" s="121"/>
      <c r="H89" s="124">
        <v>5.1842999999999995</v>
      </c>
      <c r="I89" s="124">
        <v>105.435</v>
      </c>
      <c r="J89" s="124">
        <v>62.34</v>
      </c>
      <c r="K89" s="121"/>
      <c r="L89" s="121"/>
      <c r="M89" s="121"/>
      <c r="N89" s="121"/>
      <c r="O89" s="121"/>
      <c r="P89" s="129">
        <f t="shared" si="6"/>
        <v>66.996799999999993</v>
      </c>
      <c r="Q89" s="129">
        <f t="shared" si="7"/>
        <v>28.166796026078853</v>
      </c>
      <c r="R89" s="121"/>
      <c r="S89" s="124">
        <v>-226.05</v>
      </c>
    </row>
    <row r="90" spans="1:19">
      <c r="A90" s="123">
        <v>40896</v>
      </c>
      <c r="B90" s="121">
        <f t="shared" si="4"/>
        <v>12</v>
      </c>
      <c r="C90" s="121">
        <f t="shared" si="5"/>
        <v>2011</v>
      </c>
      <c r="D90" s="124">
        <v>1.3332999999999999</v>
      </c>
      <c r="E90" s="124"/>
      <c r="F90" s="109"/>
      <c r="G90" s="121"/>
      <c r="H90" s="124">
        <v>5.0757000000000003</v>
      </c>
      <c r="I90" s="124">
        <v>105.56</v>
      </c>
      <c r="J90" s="124">
        <v>58.54</v>
      </c>
      <c r="K90" s="121"/>
      <c r="L90" s="121"/>
      <c r="M90" s="121"/>
      <c r="N90" s="121"/>
      <c r="O90" s="121"/>
      <c r="P90" s="129">
        <f t="shared" si="6"/>
        <v>69.331599999999995</v>
      </c>
      <c r="Q90" s="129">
        <f t="shared" si="7"/>
        <v>26.64809120228006</v>
      </c>
      <c r="R90" s="121"/>
      <c r="S90" s="124">
        <v>5.3</v>
      </c>
    </row>
    <row r="91" spans="1:19">
      <c r="A91" s="123">
        <v>40903</v>
      </c>
      <c r="B91" s="121">
        <f t="shared" si="4"/>
        <v>12</v>
      </c>
      <c r="C91" s="121">
        <f t="shared" si="5"/>
        <v>2011</v>
      </c>
      <c r="D91" s="125">
        <f>AVERAGE(D90,D92)</f>
        <v>1.3262999999999998</v>
      </c>
      <c r="E91" s="124"/>
      <c r="F91" s="109"/>
      <c r="G91" s="121"/>
      <c r="H91" s="124">
        <v>5.1163999999999996</v>
      </c>
      <c r="I91" s="125">
        <f>AVERAGE(I90,I92)</f>
        <v>103.27000000000001</v>
      </c>
      <c r="J91" s="124">
        <v>59.25</v>
      </c>
      <c r="K91" s="121"/>
      <c r="L91" s="121"/>
      <c r="M91" s="121"/>
      <c r="N91" s="121"/>
      <c r="O91" s="121"/>
      <c r="P91" s="129">
        <f t="shared" si="6"/>
        <v>68.96759999999999</v>
      </c>
      <c r="Q91" s="129">
        <f t="shared" si="7"/>
        <v>27.003543692980475</v>
      </c>
      <c r="R91" s="121"/>
      <c r="S91" s="124">
        <v>48.25</v>
      </c>
    </row>
    <row r="92" spans="1:19">
      <c r="A92" s="123">
        <v>40910</v>
      </c>
      <c r="B92" s="121">
        <f t="shared" si="4"/>
        <v>1</v>
      </c>
      <c r="C92" s="121">
        <f t="shared" si="5"/>
        <v>2012</v>
      </c>
      <c r="D92" s="124">
        <v>1.3192999999999999</v>
      </c>
      <c r="E92" s="124"/>
      <c r="F92" s="109"/>
      <c r="G92" s="121"/>
      <c r="H92" s="124"/>
      <c r="I92" s="124">
        <v>100.98</v>
      </c>
      <c r="J92" s="124">
        <v>56.29</v>
      </c>
      <c r="K92" s="121"/>
      <c r="L92" s="121"/>
      <c r="M92" s="121"/>
      <c r="N92" s="121"/>
      <c r="O92" s="121"/>
      <c r="P92" s="129">
        <f t="shared" si="6"/>
        <v>68.6036</v>
      </c>
      <c r="Q92" s="129" t="str">
        <f t="shared" si="7"/>
        <v/>
      </c>
      <c r="R92" s="121"/>
      <c r="S92" s="124">
        <v>110.2</v>
      </c>
    </row>
    <row r="93" spans="1:19">
      <c r="A93" s="123">
        <v>40917</v>
      </c>
      <c r="B93" s="121">
        <f t="shared" si="4"/>
        <v>1</v>
      </c>
      <c r="C93" s="121">
        <f t="shared" si="5"/>
        <v>2012</v>
      </c>
      <c r="D93" s="124">
        <v>1.3542000000000001</v>
      </c>
      <c r="E93" s="124"/>
      <c r="F93" s="109"/>
      <c r="G93" s="121"/>
      <c r="H93" s="124">
        <v>4.9058999999999999</v>
      </c>
      <c r="I93" s="124">
        <v>99.3</v>
      </c>
      <c r="J93" s="124"/>
      <c r="K93" s="121"/>
      <c r="L93" s="121"/>
      <c r="M93" s="121"/>
      <c r="N93" s="121"/>
      <c r="O93" s="121"/>
      <c r="P93" s="129">
        <f t="shared" si="6"/>
        <v>70.418400000000005</v>
      </c>
      <c r="Q93" s="129">
        <f t="shared" si="7"/>
        <v>25.35910500664599</v>
      </c>
      <c r="R93" s="121"/>
      <c r="S93" s="124">
        <v>110.2</v>
      </c>
    </row>
    <row r="94" spans="1:19">
      <c r="A94" s="123">
        <v>40924</v>
      </c>
      <c r="B94" s="121">
        <f t="shared" si="4"/>
        <v>1</v>
      </c>
      <c r="C94" s="121">
        <f t="shared" si="5"/>
        <v>2012</v>
      </c>
      <c r="D94" s="124">
        <v>1.0779000000000001</v>
      </c>
      <c r="E94" s="124"/>
      <c r="F94" s="109"/>
      <c r="G94" s="121"/>
      <c r="H94" s="124"/>
      <c r="I94" s="125">
        <f>AVERAGE(I93,I95)</f>
        <v>98.974999999999994</v>
      </c>
      <c r="J94" s="124"/>
      <c r="K94" s="121"/>
      <c r="L94" s="121"/>
      <c r="M94" s="121"/>
      <c r="N94" s="121"/>
      <c r="O94" s="121"/>
      <c r="P94" s="129">
        <f t="shared" si="6"/>
        <v>56.050800000000002</v>
      </c>
      <c r="Q94" s="129" t="str">
        <f t="shared" si="7"/>
        <v/>
      </c>
      <c r="R94" s="121"/>
      <c r="S94" s="124">
        <v>114.5</v>
      </c>
    </row>
    <row r="95" spans="1:19">
      <c r="A95" s="123">
        <v>40931</v>
      </c>
      <c r="B95" s="121">
        <f t="shared" si="4"/>
        <v>1</v>
      </c>
      <c r="C95" s="121">
        <f t="shared" si="5"/>
        <v>2012</v>
      </c>
      <c r="D95" s="124">
        <v>3.9800000000000002E-2</v>
      </c>
      <c r="E95" s="124"/>
      <c r="F95" s="109"/>
      <c r="G95" s="121"/>
      <c r="H95" s="124">
        <v>5.7730999999999995</v>
      </c>
      <c r="I95" s="124">
        <v>98.65</v>
      </c>
      <c r="J95" s="124"/>
      <c r="K95" s="121"/>
      <c r="L95" s="121"/>
      <c r="M95" s="121"/>
      <c r="N95" s="121"/>
      <c r="O95" s="121"/>
      <c r="P95" s="129">
        <f t="shared" si="6"/>
        <v>2.0696000000000003</v>
      </c>
      <c r="Q95" s="129">
        <f t="shared" si="7"/>
        <v>1015.3693467336682</v>
      </c>
      <c r="R95" s="121"/>
      <c r="S95" s="124">
        <v>114.5</v>
      </c>
    </row>
    <row r="96" spans="1:19">
      <c r="A96" s="123">
        <v>40938</v>
      </c>
      <c r="B96" s="121">
        <f t="shared" si="4"/>
        <v>1</v>
      </c>
      <c r="C96" s="121">
        <f t="shared" si="5"/>
        <v>2012</v>
      </c>
      <c r="D96" s="124">
        <v>0.61929999999999996</v>
      </c>
      <c r="E96" s="124"/>
      <c r="F96" s="109"/>
      <c r="G96" s="121"/>
      <c r="H96" s="124"/>
      <c r="I96" s="124">
        <v>94.28</v>
      </c>
      <c r="J96" s="124"/>
      <c r="K96" s="121"/>
      <c r="L96" s="121"/>
      <c r="M96" s="121"/>
      <c r="N96" s="121"/>
      <c r="O96" s="121"/>
      <c r="P96" s="129">
        <f t="shared" si="6"/>
        <v>32.203599999999994</v>
      </c>
      <c r="Q96" s="129" t="str">
        <f t="shared" si="7"/>
        <v/>
      </c>
      <c r="R96" s="121"/>
      <c r="S96" s="124">
        <v>168.55</v>
      </c>
    </row>
    <row r="97" spans="1:19">
      <c r="A97" s="123">
        <v>40945</v>
      </c>
      <c r="B97" s="121">
        <f t="shared" si="4"/>
        <v>2</v>
      </c>
      <c r="C97" s="121">
        <f t="shared" si="5"/>
        <v>2012</v>
      </c>
      <c r="D97" s="124">
        <v>1.1135999999999999</v>
      </c>
      <c r="E97" s="124"/>
      <c r="F97" s="109"/>
      <c r="G97" s="121"/>
      <c r="H97" s="124">
        <v>5.6409000000000002</v>
      </c>
      <c r="I97" s="124">
        <v>93.14</v>
      </c>
      <c r="J97" s="124">
        <v>59.01</v>
      </c>
      <c r="K97" s="121"/>
      <c r="L97" s="121"/>
      <c r="M97" s="121"/>
      <c r="N97" s="121"/>
      <c r="O97" s="121"/>
      <c r="P97" s="129">
        <f t="shared" si="6"/>
        <v>57.907199999999996</v>
      </c>
      <c r="Q97" s="129">
        <f t="shared" si="7"/>
        <v>35.458243534482762</v>
      </c>
      <c r="R97" s="121"/>
      <c r="S97" s="124">
        <v>168.55</v>
      </c>
    </row>
    <row r="98" spans="1:19">
      <c r="A98" s="123">
        <v>40952</v>
      </c>
      <c r="B98" s="121">
        <f t="shared" si="4"/>
        <v>2</v>
      </c>
      <c r="C98" s="121">
        <f t="shared" si="5"/>
        <v>2012</v>
      </c>
      <c r="D98" s="124">
        <v>1.2761</v>
      </c>
      <c r="E98" s="124"/>
      <c r="F98" s="109"/>
      <c r="G98" s="121"/>
      <c r="H98" s="124">
        <v>5.399</v>
      </c>
      <c r="I98" s="124">
        <v>92.84</v>
      </c>
      <c r="J98" s="124">
        <v>59.83</v>
      </c>
      <c r="K98" s="121"/>
      <c r="L98" s="121"/>
      <c r="M98" s="121"/>
      <c r="N98" s="121"/>
      <c r="O98" s="121"/>
      <c r="P98" s="129">
        <f t="shared" si="6"/>
        <v>66.357200000000006</v>
      </c>
      <c r="Q98" s="129">
        <f t="shared" si="7"/>
        <v>29.616017553483271</v>
      </c>
      <c r="R98" s="121"/>
      <c r="S98" s="124">
        <v>162.80000000000001</v>
      </c>
    </row>
    <row r="99" spans="1:19">
      <c r="A99" s="123">
        <v>40959</v>
      </c>
      <c r="B99" s="121">
        <f t="shared" si="4"/>
        <v>2</v>
      </c>
      <c r="C99" s="121">
        <f t="shared" si="5"/>
        <v>2012</v>
      </c>
      <c r="D99" s="124">
        <v>1.2769999999999999</v>
      </c>
      <c r="E99" s="124"/>
      <c r="F99" s="109"/>
      <c r="G99" s="121"/>
      <c r="H99" s="124">
        <v>5.0977999999999994</v>
      </c>
      <c r="I99" s="124">
        <v>91.6</v>
      </c>
      <c r="J99" s="124">
        <v>69.62</v>
      </c>
      <c r="K99" s="121"/>
      <c r="L99" s="121"/>
      <c r="M99" s="121"/>
      <c r="N99" s="121"/>
      <c r="O99" s="121"/>
      <c r="P99" s="129">
        <f t="shared" si="6"/>
        <v>66.403999999999996</v>
      </c>
      <c r="Q99" s="129">
        <f t="shared" si="7"/>
        <v>27.944087705559905</v>
      </c>
      <c r="R99" s="121"/>
      <c r="S99" s="124">
        <v>162.80000000000001</v>
      </c>
    </row>
    <row r="100" spans="1:19">
      <c r="A100" s="123">
        <v>40966</v>
      </c>
      <c r="B100" s="121">
        <f t="shared" si="4"/>
        <v>2</v>
      </c>
      <c r="C100" s="121">
        <f t="shared" si="5"/>
        <v>2012</v>
      </c>
      <c r="D100" s="124">
        <v>1.11635</v>
      </c>
      <c r="E100" s="124"/>
      <c r="F100" s="109"/>
      <c r="G100" s="121"/>
      <c r="H100" s="124"/>
      <c r="I100" s="124">
        <v>87.295000000000002</v>
      </c>
      <c r="J100" s="124">
        <v>71.09</v>
      </c>
      <c r="K100" s="121"/>
      <c r="L100" s="121"/>
      <c r="M100" s="121"/>
      <c r="N100" s="121"/>
      <c r="O100" s="121"/>
      <c r="P100" s="129">
        <f t="shared" si="6"/>
        <v>58.050199999999997</v>
      </c>
      <c r="Q100" s="129" t="str">
        <f t="shared" si="7"/>
        <v/>
      </c>
      <c r="R100" s="121"/>
      <c r="S100" s="124">
        <v>162.80000000000001</v>
      </c>
    </row>
    <row r="101" spans="1:19">
      <c r="A101" s="123">
        <v>40973</v>
      </c>
      <c r="B101" s="121">
        <f t="shared" si="4"/>
        <v>3</v>
      </c>
      <c r="C101" s="121">
        <f t="shared" si="5"/>
        <v>2012</v>
      </c>
      <c r="D101" s="124">
        <v>1.05585</v>
      </c>
      <c r="E101" s="124"/>
      <c r="F101" s="109"/>
      <c r="G101" s="121"/>
      <c r="H101" s="124">
        <v>5.0102000000000002</v>
      </c>
      <c r="I101" s="124">
        <v>87.884</v>
      </c>
      <c r="J101" s="124">
        <v>79.42</v>
      </c>
      <c r="K101" s="121"/>
      <c r="L101" s="121"/>
      <c r="M101" s="121"/>
      <c r="N101" s="121"/>
      <c r="O101" s="121"/>
      <c r="P101" s="129">
        <f t="shared" si="6"/>
        <v>54.904199999999996</v>
      </c>
      <c r="Q101" s="129">
        <f t="shared" si="7"/>
        <v>33.21627125065114</v>
      </c>
      <c r="R101" s="121"/>
      <c r="S101" s="124">
        <v>132.6</v>
      </c>
    </row>
    <row r="102" spans="1:19">
      <c r="A102" s="123">
        <v>40980</v>
      </c>
      <c r="B102" s="121">
        <f t="shared" si="4"/>
        <v>3</v>
      </c>
      <c r="C102" s="121">
        <f t="shared" si="5"/>
        <v>2012</v>
      </c>
      <c r="D102" s="124">
        <v>1.0704499999999999</v>
      </c>
      <c r="E102" s="124"/>
      <c r="F102" s="109"/>
      <c r="G102" s="121"/>
      <c r="H102" s="124">
        <v>4.9604999999999997</v>
      </c>
      <c r="I102" s="124">
        <v>90.7</v>
      </c>
      <c r="J102" s="124">
        <v>69.430000000000007</v>
      </c>
      <c r="K102" s="121"/>
      <c r="L102" s="121"/>
      <c r="M102" s="121"/>
      <c r="N102" s="121"/>
      <c r="O102" s="121"/>
      <c r="P102" s="129">
        <f t="shared" si="6"/>
        <v>55.663399999999996</v>
      </c>
      <c r="Q102" s="129">
        <f t="shared" si="7"/>
        <v>32.438226913914704</v>
      </c>
      <c r="R102" s="121"/>
      <c r="S102" s="124">
        <v>169.6</v>
      </c>
    </row>
    <row r="103" spans="1:19">
      <c r="A103" s="123">
        <v>40987</v>
      </c>
      <c r="B103" s="121">
        <f t="shared" si="4"/>
        <v>3</v>
      </c>
      <c r="C103" s="121">
        <f t="shared" si="5"/>
        <v>2012</v>
      </c>
      <c r="D103" s="124">
        <v>1.0785499999999999</v>
      </c>
      <c r="E103" s="124"/>
      <c r="F103" s="109"/>
      <c r="G103" s="121"/>
      <c r="H103" s="124">
        <v>4.7657999999999996</v>
      </c>
      <c r="I103" s="124">
        <v>90.3</v>
      </c>
      <c r="J103" s="124">
        <v>64.42</v>
      </c>
      <c r="K103" s="121"/>
      <c r="L103" s="121"/>
      <c r="M103" s="121"/>
      <c r="N103" s="121"/>
      <c r="O103" s="121"/>
      <c r="P103" s="129">
        <f t="shared" si="6"/>
        <v>56.084599999999995</v>
      </c>
      <c r="Q103" s="129">
        <f t="shared" si="7"/>
        <v>30.930972138519305</v>
      </c>
      <c r="R103" s="121"/>
      <c r="S103" s="124">
        <v>171</v>
      </c>
    </row>
    <row r="104" spans="1:19">
      <c r="A104" s="123">
        <v>40994</v>
      </c>
      <c r="B104" s="121">
        <f t="shared" si="4"/>
        <v>3</v>
      </c>
      <c r="C104" s="121">
        <f t="shared" si="5"/>
        <v>2012</v>
      </c>
      <c r="D104" s="124">
        <v>1.0682</v>
      </c>
      <c r="E104" s="124"/>
      <c r="F104" s="109"/>
      <c r="G104" s="121"/>
      <c r="H104" s="124">
        <v>4.8170999999999999</v>
      </c>
      <c r="I104" s="125">
        <f>AVERAGE(I103,I105)</f>
        <v>88.12</v>
      </c>
      <c r="J104" s="124"/>
      <c r="K104" s="121"/>
      <c r="L104" s="121"/>
      <c r="M104" s="121"/>
      <c r="N104" s="121"/>
      <c r="O104" s="121"/>
      <c r="P104" s="129">
        <f t="shared" si="6"/>
        <v>55.546400000000006</v>
      </c>
      <c r="Q104" s="129">
        <f t="shared" si="7"/>
        <v>31.566841415465266</v>
      </c>
      <c r="R104" s="121"/>
      <c r="S104" s="124">
        <v>319.2</v>
      </c>
    </row>
    <row r="105" spans="1:19">
      <c r="A105" s="123">
        <v>41001</v>
      </c>
      <c r="B105" s="121">
        <f t="shared" si="4"/>
        <v>4</v>
      </c>
      <c r="C105" s="121">
        <f t="shared" si="5"/>
        <v>2012</v>
      </c>
      <c r="D105" s="124">
        <v>0.98309999999999997</v>
      </c>
      <c r="E105" s="124"/>
      <c r="F105" s="109"/>
      <c r="G105" s="121"/>
      <c r="H105" s="124">
        <v>4.7850000000000001</v>
      </c>
      <c r="I105" s="124">
        <v>85.94</v>
      </c>
      <c r="J105" s="124">
        <v>46.84</v>
      </c>
      <c r="K105" s="121"/>
      <c r="L105" s="121"/>
      <c r="M105" s="121"/>
      <c r="N105" s="121"/>
      <c r="O105" s="121"/>
      <c r="P105" s="129">
        <f t="shared" si="6"/>
        <v>51.121200000000002</v>
      </c>
      <c r="Q105" s="129">
        <f t="shared" si="7"/>
        <v>34.070796460176993</v>
      </c>
      <c r="R105" s="121"/>
      <c r="S105" s="124">
        <v>501.7</v>
      </c>
    </row>
    <row r="106" spans="1:19">
      <c r="A106" s="123">
        <v>41008</v>
      </c>
      <c r="B106" s="121">
        <f t="shared" si="4"/>
        <v>4</v>
      </c>
      <c r="C106" s="121">
        <f t="shared" si="5"/>
        <v>2012</v>
      </c>
      <c r="D106" s="124">
        <v>0.95684999999999998</v>
      </c>
      <c r="E106" s="124"/>
      <c r="F106" s="109"/>
      <c r="G106" s="121"/>
      <c r="H106" s="124">
        <v>4.5744999999999996</v>
      </c>
      <c r="I106" s="124">
        <v>82.71</v>
      </c>
      <c r="J106" s="124">
        <v>48.43</v>
      </c>
      <c r="K106" s="121"/>
      <c r="L106" s="121"/>
      <c r="M106" s="121"/>
      <c r="N106" s="121"/>
      <c r="O106" s="121"/>
      <c r="P106" s="129">
        <f t="shared" si="6"/>
        <v>49.7562</v>
      </c>
      <c r="Q106" s="129">
        <f t="shared" si="7"/>
        <v>33.465537963108112</v>
      </c>
      <c r="R106" s="121"/>
      <c r="S106" s="124">
        <v>486</v>
      </c>
    </row>
    <row r="107" spans="1:19">
      <c r="A107" s="123">
        <v>41015</v>
      </c>
      <c r="B107" s="121">
        <f t="shared" si="4"/>
        <v>4</v>
      </c>
      <c r="C107" s="121">
        <f t="shared" si="5"/>
        <v>2012</v>
      </c>
      <c r="D107" s="124">
        <v>1.1250500000000001</v>
      </c>
      <c r="E107" s="124"/>
      <c r="F107" s="109"/>
      <c r="G107" s="121"/>
      <c r="H107" s="124">
        <v>4.7545999999999999</v>
      </c>
      <c r="I107" s="124">
        <v>84.734999999999999</v>
      </c>
      <c r="J107" s="124">
        <v>57.75</v>
      </c>
      <c r="K107" s="121"/>
      <c r="L107" s="121"/>
      <c r="M107" s="121"/>
      <c r="N107" s="121"/>
      <c r="O107" s="121"/>
      <c r="P107" s="129">
        <f t="shared" si="6"/>
        <v>58.502600000000008</v>
      </c>
      <c r="Q107" s="129">
        <f t="shared" si="7"/>
        <v>29.582862983867379</v>
      </c>
      <c r="R107" s="121"/>
      <c r="S107" s="124">
        <v>401.8</v>
      </c>
    </row>
    <row r="108" spans="1:19">
      <c r="A108" s="123">
        <v>41022</v>
      </c>
      <c r="B108" s="121">
        <f t="shared" si="4"/>
        <v>4</v>
      </c>
      <c r="C108" s="121">
        <f t="shared" si="5"/>
        <v>2012</v>
      </c>
      <c r="D108" s="124">
        <v>1.05135</v>
      </c>
      <c r="E108" s="124"/>
      <c r="F108" s="109"/>
      <c r="G108" s="121"/>
      <c r="H108" s="124">
        <v>5.2402999999999995</v>
      </c>
      <c r="I108" s="125">
        <f>AVERAGE(I107,I109)</f>
        <v>87.922499999999999</v>
      </c>
      <c r="J108" s="124"/>
      <c r="K108" s="121"/>
      <c r="L108" s="121"/>
      <c r="M108" s="121"/>
      <c r="N108" s="121"/>
      <c r="O108" s="121"/>
      <c r="P108" s="129">
        <f t="shared" si="6"/>
        <v>54.670200000000001</v>
      </c>
      <c r="Q108" s="129">
        <f t="shared" si="7"/>
        <v>34.890474152280397</v>
      </c>
      <c r="R108" s="121"/>
      <c r="S108" s="124">
        <v>258.14999999999998</v>
      </c>
    </row>
    <row r="109" spans="1:19">
      <c r="A109" s="123">
        <v>41029</v>
      </c>
      <c r="B109" s="121">
        <f t="shared" si="4"/>
        <v>4</v>
      </c>
      <c r="C109" s="121">
        <f t="shared" si="5"/>
        <v>2012</v>
      </c>
      <c r="D109" s="124">
        <v>1.0505</v>
      </c>
      <c r="E109" s="124"/>
      <c r="F109" s="109"/>
      <c r="G109" s="121"/>
      <c r="H109" s="124"/>
      <c r="I109" s="124">
        <v>91.11</v>
      </c>
      <c r="J109" s="124">
        <v>55.97</v>
      </c>
      <c r="K109" s="121"/>
      <c r="L109" s="121"/>
      <c r="M109" s="121"/>
      <c r="N109" s="121"/>
      <c r="O109" s="121"/>
      <c r="P109" s="129">
        <f t="shared" si="6"/>
        <v>54.625999999999998</v>
      </c>
      <c r="Q109" s="129" t="str">
        <f t="shared" si="7"/>
        <v/>
      </c>
      <c r="R109" s="121"/>
      <c r="S109" s="124">
        <v>201.8</v>
      </c>
    </row>
    <row r="110" spans="1:19">
      <c r="A110" s="123">
        <v>41036</v>
      </c>
      <c r="B110" s="121">
        <f t="shared" si="4"/>
        <v>5</v>
      </c>
      <c r="C110" s="121">
        <f t="shared" si="5"/>
        <v>2012</v>
      </c>
      <c r="D110" s="124">
        <v>1.1470499999999999</v>
      </c>
      <c r="E110" s="124"/>
      <c r="F110" s="109"/>
      <c r="G110" s="121"/>
      <c r="H110" s="124">
        <v>5.4704999999999995</v>
      </c>
      <c r="I110" s="124">
        <v>94.06</v>
      </c>
      <c r="J110" s="124">
        <v>69.319999999999993</v>
      </c>
      <c r="K110" s="121"/>
      <c r="L110" s="121"/>
      <c r="M110" s="121"/>
      <c r="N110" s="121"/>
      <c r="O110" s="121"/>
      <c r="P110" s="129">
        <f t="shared" si="6"/>
        <v>59.646599999999992</v>
      </c>
      <c r="Q110" s="129">
        <f t="shared" si="7"/>
        <v>33.384333725644041</v>
      </c>
      <c r="R110" s="121"/>
      <c r="S110" s="124">
        <v>116.3</v>
      </c>
    </row>
    <row r="111" spans="1:19">
      <c r="A111" s="123">
        <v>41043</v>
      </c>
      <c r="B111" s="121">
        <f t="shared" si="4"/>
        <v>5</v>
      </c>
      <c r="C111" s="121">
        <f t="shared" si="5"/>
        <v>2012</v>
      </c>
      <c r="D111" s="124">
        <v>1.1619999999999999</v>
      </c>
      <c r="E111" s="124"/>
      <c r="F111" s="109"/>
      <c r="G111" s="121"/>
      <c r="H111" s="124">
        <v>5.5659999999999998</v>
      </c>
      <c r="I111" s="124">
        <v>94.42</v>
      </c>
      <c r="J111" s="124">
        <v>72.06</v>
      </c>
      <c r="K111" s="121"/>
      <c r="L111" s="121"/>
      <c r="M111" s="121"/>
      <c r="N111" s="121"/>
      <c r="O111" s="121"/>
      <c r="P111" s="129">
        <f t="shared" si="6"/>
        <v>60.423999999999992</v>
      </c>
      <c r="Q111" s="129">
        <f t="shared" si="7"/>
        <v>33.53012048192771</v>
      </c>
      <c r="R111" s="121"/>
      <c r="S111" s="124">
        <v>-20.5</v>
      </c>
    </row>
    <row r="112" spans="1:19">
      <c r="A112" s="123">
        <v>41050</v>
      </c>
      <c r="B112" s="121">
        <f t="shared" si="4"/>
        <v>5</v>
      </c>
      <c r="C112" s="121">
        <f t="shared" si="5"/>
        <v>2012</v>
      </c>
      <c r="D112" s="124">
        <v>1.0502</v>
      </c>
      <c r="E112" s="124"/>
      <c r="F112" s="109"/>
      <c r="G112" s="121"/>
      <c r="H112" s="124">
        <v>6.2732000000000001</v>
      </c>
      <c r="I112" s="124">
        <v>98.394999999999996</v>
      </c>
      <c r="J112" s="124">
        <v>69.61</v>
      </c>
      <c r="K112" s="121"/>
      <c r="L112" s="121"/>
      <c r="M112" s="121"/>
      <c r="N112" s="121"/>
      <c r="O112" s="121"/>
      <c r="P112" s="129">
        <f t="shared" si="6"/>
        <v>54.610399999999998</v>
      </c>
      <c r="Q112" s="129">
        <f t="shared" si="7"/>
        <v>41.813368882117693</v>
      </c>
      <c r="R112" s="121"/>
      <c r="S112" s="124">
        <v>-45.45</v>
      </c>
    </row>
    <row r="113" spans="1:19">
      <c r="A113" s="123">
        <v>41057</v>
      </c>
      <c r="B113" s="121">
        <f t="shared" si="4"/>
        <v>5</v>
      </c>
      <c r="C113" s="121">
        <f t="shared" si="5"/>
        <v>2012</v>
      </c>
      <c r="D113" s="124">
        <v>1.1618999999999999</v>
      </c>
      <c r="E113" s="124"/>
      <c r="F113" s="109"/>
      <c r="G113" s="121"/>
      <c r="H113" s="124"/>
      <c r="I113" s="124">
        <v>100.23</v>
      </c>
      <c r="J113" s="124">
        <v>74.91</v>
      </c>
      <c r="K113" s="121"/>
      <c r="L113" s="121"/>
      <c r="M113" s="121"/>
      <c r="N113" s="121"/>
      <c r="O113" s="121"/>
      <c r="P113" s="129">
        <f t="shared" si="6"/>
        <v>60.418799999999997</v>
      </c>
      <c r="Q113" s="129" t="str">
        <f t="shared" si="7"/>
        <v/>
      </c>
      <c r="R113" s="121"/>
      <c r="S113" s="124">
        <v>-123.1</v>
      </c>
    </row>
    <row r="114" spans="1:19">
      <c r="A114" s="123">
        <v>41064</v>
      </c>
      <c r="B114" s="121">
        <f t="shared" si="4"/>
        <v>6</v>
      </c>
      <c r="C114" s="121">
        <f t="shared" si="5"/>
        <v>2012</v>
      </c>
      <c r="D114" s="124">
        <v>1.2010000000000001</v>
      </c>
      <c r="E114" s="124"/>
      <c r="F114" s="109"/>
      <c r="G114" s="121"/>
      <c r="H114" s="124">
        <v>6.4052999999999995</v>
      </c>
      <c r="I114" s="124">
        <v>103.43</v>
      </c>
      <c r="J114" s="124">
        <v>74.489999999999995</v>
      </c>
      <c r="K114" s="121"/>
      <c r="L114" s="121"/>
      <c r="M114" s="121"/>
      <c r="N114" s="121"/>
      <c r="O114" s="121"/>
      <c r="P114" s="129">
        <f t="shared" si="6"/>
        <v>62.452000000000005</v>
      </c>
      <c r="Q114" s="129">
        <f t="shared" si="7"/>
        <v>37.333139050791004</v>
      </c>
      <c r="R114" s="121"/>
      <c r="S114" s="124">
        <v>-211.5</v>
      </c>
    </row>
    <row r="115" spans="1:19">
      <c r="A115" s="123">
        <v>41071</v>
      </c>
      <c r="B115" s="121">
        <f t="shared" si="4"/>
        <v>6</v>
      </c>
      <c r="C115" s="121">
        <f t="shared" si="5"/>
        <v>2012</v>
      </c>
      <c r="D115" s="124">
        <v>1.1938</v>
      </c>
      <c r="E115" s="124"/>
      <c r="F115" s="109"/>
      <c r="G115" s="121"/>
      <c r="H115" s="124">
        <v>6.4997000000000007</v>
      </c>
      <c r="I115" s="124">
        <v>108.044</v>
      </c>
      <c r="J115" s="124">
        <v>77.7</v>
      </c>
      <c r="K115" s="121"/>
      <c r="L115" s="121"/>
      <c r="M115" s="121"/>
      <c r="N115" s="121"/>
      <c r="O115" s="121"/>
      <c r="P115" s="129">
        <f t="shared" si="6"/>
        <v>62.077599999999997</v>
      </c>
      <c r="Q115" s="129">
        <f t="shared" si="7"/>
        <v>38.111827776847051</v>
      </c>
      <c r="R115" s="121"/>
      <c r="S115" s="124">
        <v>-211.5</v>
      </c>
    </row>
    <row r="116" spans="1:19">
      <c r="A116" s="123">
        <v>41078</v>
      </c>
      <c r="B116" s="121">
        <f t="shared" si="4"/>
        <v>6</v>
      </c>
      <c r="C116" s="121">
        <f t="shared" si="5"/>
        <v>2012</v>
      </c>
      <c r="D116" s="124">
        <v>1.2007000000000001</v>
      </c>
      <c r="E116" s="124"/>
      <c r="F116" s="109"/>
      <c r="G116" s="121"/>
      <c r="H116" s="124">
        <v>6.6246</v>
      </c>
      <c r="I116" s="124">
        <v>110.24</v>
      </c>
      <c r="J116" s="124">
        <v>83.19</v>
      </c>
      <c r="K116" s="121"/>
      <c r="L116" s="121"/>
      <c r="M116" s="121"/>
      <c r="N116" s="121"/>
      <c r="O116" s="121"/>
      <c r="P116" s="129">
        <f t="shared" si="6"/>
        <v>62.436400000000006</v>
      </c>
      <c r="Q116" s="129">
        <f t="shared" si="7"/>
        <v>38.620971100191554</v>
      </c>
      <c r="R116" s="121"/>
      <c r="S116" s="124">
        <v>-161.69999999999999</v>
      </c>
    </row>
    <row r="117" spans="1:19">
      <c r="A117" s="123">
        <v>41085</v>
      </c>
      <c r="B117" s="121">
        <f t="shared" si="4"/>
        <v>6</v>
      </c>
      <c r="C117" s="121">
        <f t="shared" si="5"/>
        <v>2012</v>
      </c>
      <c r="D117" s="124">
        <v>1.1829000000000001</v>
      </c>
      <c r="E117" s="124"/>
      <c r="F117" s="109"/>
      <c r="G117" s="121"/>
      <c r="H117" s="124">
        <v>6.7950999999999997</v>
      </c>
      <c r="I117" s="124">
        <v>117.6</v>
      </c>
      <c r="J117" s="124">
        <v>85.92</v>
      </c>
      <c r="K117" s="121"/>
      <c r="L117" s="121"/>
      <c r="M117" s="121"/>
      <c r="N117" s="121"/>
      <c r="O117" s="121"/>
      <c r="P117" s="129">
        <f t="shared" si="6"/>
        <v>61.510800000000003</v>
      </c>
      <c r="Q117" s="129">
        <f t="shared" si="7"/>
        <v>40.211091385577816</v>
      </c>
      <c r="R117" s="121"/>
      <c r="S117" s="124">
        <v>-33.299999999999997</v>
      </c>
    </row>
    <row r="118" spans="1:19">
      <c r="A118" s="123">
        <v>41092</v>
      </c>
      <c r="B118" s="121">
        <f t="shared" si="4"/>
        <v>7</v>
      </c>
      <c r="C118" s="121">
        <f t="shared" si="5"/>
        <v>2012</v>
      </c>
      <c r="D118" s="124">
        <v>1.1369</v>
      </c>
      <c r="E118" s="124"/>
      <c r="F118" s="109"/>
      <c r="G118" s="121"/>
      <c r="H118" s="124">
        <v>6.7734000000000005</v>
      </c>
      <c r="I118" s="124">
        <v>118.06</v>
      </c>
      <c r="J118" s="124">
        <v>94.85</v>
      </c>
      <c r="K118" s="121"/>
      <c r="L118" s="121"/>
      <c r="M118" s="121"/>
      <c r="N118" s="121"/>
      <c r="O118" s="121"/>
      <c r="P118" s="129">
        <f t="shared" si="6"/>
        <v>59.1188</v>
      </c>
      <c r="Q118" s="129">
        <f t="shared" si="7"/>
        <v>41.704459495118307</v>
      </c>
      <c r="R118" s="121"/>
      <c r="S118" s="124">
        <v>49.3</v>
      </c>
    </row>
    <row r="119" spans="1:19">
      <c r="A119" s="123">
        <v>41099</v>
      </c>
      <c r="B119" s="121">
        <f t="shared" si="4"/>
        <v>7</v>
      </c>
      <c r="C119" s="121">
        <f t="shared" si="5"/>
        <v>2012</v>
      </c>
      <c r="D119" s="124">
        <v>1.17205</v>
      </c>
      <c r="E119" s="124"/>
      <c r="F119" s="109"/>
      <c r="G119" s="121"/>
      <c r="H119" s="124">
        <v>6.6487999999999996</v>
      </c>
      <c r="I119" s="124">
        <v>115.32</v>
      </c>
      <c r="J119" s="124">
        <v>77.569999999999993</v>
      </c>
      <c r="K119" s="121"/>
      <c r="L119" s="121"/>
      <c r="M119" s="121"/>
      <c r="N119" s="121"/>
      <c r="O119" s="121"/>
      <c r="P119" s="129">
        <f t="shared" si="6"/>
        <v>60.946600000000004</v>
      </c>
      <c r="Q119" s="129">
        <f t="shared" si="7"/>
        <v>39.709568704406806</v>
      </c>
      <c r="R119" s="121"/>
      <c r="S119" s="124">
        <v>49.3</v>
      </c>
    </row>
    <row r="120" spans="1:19">
      <c r="A120" s="123">
        <v>41106</v>
      </c>
      <c r="B120" s="121">
        <f t="shared" si="4"/>
        <v>7</v>
      </c>
      <c r="C120" s="121">
        <f t="shared" si="5"/>
        <v>2012</v>
      </c>
      <c r="D120" s="124">
        <v>1.2733000000000001</v>
      </c>
      <c r="E120" s="124"/>
      <c r="F120" s="109"/>
      <c r="G120" s="121"/>
      <c r="H120" s="124">
        <v>6.62</v>
      </c>
      <c r="I120" s="124">
        <v>116.3</v>
      </c>
      <c r="J120" s="124">
        <v>86.37</v>
      </c>
      <c r="K120" s="121"/>
      <c r="L120" s="121"/>
      <c r="M120" s="121"/>
      <c r="N120" s="121"/>
      <c r="O120" s="121"/>
      <c r="P120" s="129">
        <f t="shared" si="6"/>
        <v>66.211600000000004</v>
      </c>
      <c r="Q120" s="129">
        <f t="shared" si="7"/>
        <v>36.393622869708629</v>
      </c>
      <c r="R120" s="121"/>
      <c r="S120" s="124">
        <v>234.75</v>
      </c>
    </row>
    <row r="121" spans="1:19">
      <c r="A121" s="123">
        <v>41113</v>
      </c>
      <c r="B121" s="121">
        <f t="shared" si="4"/>
        <v>7</v>
      </c>
      <c r="C121" s="121">
        <f t="shared" si="5"/>
        <v>2012</v>
      </c>
      <c r="D121" s="124">
        <v>1.30975</v>
      </c>
      <c r="E121" s="124"/>
      <c r="F121" s="109"/>
      <c r="G121" s="121"/>
      <c r="H121" s="124">
        <v>6.7160000000000002</v>
      </c>
      <c r="I121" s="124">
        <v>117.747</v>
      </c>
      <c r="J121" s="124">
        <v>85.28</v>
      </c>
      <c r="K121" s="121"/>
      <c r="L121" s="121"/>
      <c r="M121" s="121"/>
      <c r="N121" s="121"/>
      <c r="O121" s="121"/>
      <c r="P121" s="129">
        <f t="shared" si="6"/>
        <v>68.106999999999999</v>
      </c>
      <c r="Q121" s="129">
        <f t="shared" si="7"/>
        <v>35.893872876503153</v>
      </c>
      <c r="R121" s="121"/>
      <c r="S121" s="124">
        <v>96.55</v>
      </c>
    </row>
    <row r="122" spans="1:19">
      <c r="A122" s="123">
        <v>41120</v>
      </c>
      <c r="B122" s="121">
        <f t="shared" si="4"/>
        <v>7</v>
      </c>
      <c r="C122" s="121">
        <f t="shared" si="5"/>
        <v>2012</v>
      </c>
      <c r="D122" s="124">
        <v>1.20065</v>
      </c>
      <c r="E122" s="124"/>
      <c r="F122" s="109"/>
      <c r="G122" s="121"/>
      <c r="H122" s="124">
        <v>6.7189999999999994</v>
      </c>
      <c r="I122" s="124">
        <v>116.98</v>
      </c>
      <c r="J122" s="124">
        <v>83.8</v>
      </c>
      <c r="K122" s="121"/>
      <c r="L122" s="121"/>
      <c r="M122" s="121"/>
      <c r="N122" s="121"/>
      <c r="O122" s="121"/>
      <c r="P122" s="129">
        <f t="shared" si="6"/>
        <v>62.433799999999998</v>
      </c>
      <c r="Q122" s="129">
        <f t="shared" si="7"/>
        <v>39.172947986507303</v>
      </c>
      <c r="R122" s="121"/>
      <c r="S122" s="124">
        <v>130.25</v>
      </c>
    </row>
    <row r="123" spans="1:19">
      <c r="A123" s="123">
        <v>41127</v>
      </c>
      <c r="B123" s="121">
        <f t="shared" si="4"/>
        <v>8</v>
      </c>
      <c r="C123" s="121">
        <f t="shared" si="5"/>
        <v>2012</v>
      </c>
      <c r="D123" s="124">
        <v>1.2294499999999999</v>
      </c>
      <c r="E123" s="124"/>
      <c r="F123" s="109"/>
      <c r="G123" s="121"/>
      <c r="H123" s="124">
        <v>6.7029999999999994</v>
      </c>
      <c r="I123" s="124">
        <v>116.72</v>
      </c>
      <c r="J123" s="124">
        <v>88.78</v>
      </c>
      <c r="K123" s="121"/>
      <c r="L123" s="121"/>
      <c r="M123" s="121"/>
      <c r="N123" s="121"/>
      <c r="O123" s="121"/>
      <c r="P123" s="129">
        <f t="shared" si="6"/>
        <v>63.931399999999996</v>
      </c>
      <c r="Q123" s="129">
        <f t="shared" si="7"/>
        <v>38.164219773069256</v>
      </c>
      <c r="R123" s="121"/>
      <c r="S123" s="124">
        <v>152.69999999999999</v>
      </c>
    </row>
    <row r="124" spans="1:19">
      <c r="A124" s="123">
        <v>41134</v>
      </c>
      <c r="B124" s="121">
        <f t="shared" si="4"/>
        <v>8</v>
      </c>
      <c r="C124" s="121">
        <f t="shared" si="5"/>
        <v>2012</v>
      </c>
      <c r="D124" s="124">
        <v>1.2486999999999999</v>
      </c>
      <c r="E124" s="124"/>
      <c r="F124" s="109"/>
      <c r="G124" s="121"/>
      <c r="H124" s="124">
        <v>6.6170000000000009</v>
      </c>
      <c r="I124" s="124">
        <v>117.69</v>
      </c>
      <c r="J124" s="124">
        <v>104.74</v>
      </c>
      <c r="K124" s="121"/>
      <c r="L124" s="121"/>
      <c r="M124" s="121"/>
      <c r="N124" s="121"/>
      <c r="O124" s="121"/>
      <c r="P124" s="129">
        <f t="shared" si="6"/>
        <v>64.932400000000001</v>
      </c>
      <c r="Q124" s="129">
        <f t="shared" si="7"/>
        <v>37.093777528629779</v>
      </c>
      <c r="R124" s="121"/>
      <c r="S124" s="124">
        <v>160.75</v>
      </c>
    </row>
    <row r="125" spans="1:19">
      <c r="A125" s="123">
        <v>41141</v>
      </c>
      <c r="B125" s="121">
        <f t="shared" si="4"/>
        <v>8</v>
      </c>
      <c r="C125" s="121">
        <f t="shared" si="5"/>
        <v>2012</v>
      </c>
      <c r="D125" s="124">
        <v>1.18005</v>
      </c>
      <c r="E125" s="124"/>
      <c r="F125" s="109"/>
      <c r="G125" s="121"/>
      <c r="H125" s="124">
        <v>6.6210000000000004</v>
      </c>
      <c r="I125" s="124">
        <v>115.31</v>
      </c>
      <c r="J125" s="124">
        <v>89.32</v>
      </c>
      <c r="K125" s="121"/>
      <c r="L125" s="121"/>
      <c r="M125" s="121"/>
      <c r="N125" s="121"/>
      <c r="O125" s="121"/>
      <c r="P125" s="129">
        <f t="shared" si="6"/>
        <v>61.3626</v>
      </c>
      <c r="Q125" s="129">
        <f t="shared" si="7"/>
        <v>39.275454429897039</v>
      </c>
      <c r="R125" s="121"/>
      <c r="S125" s="124">
        <v>250</v>
      </c>
    </row>
    <row r="126" spans="1:19">
      <c r="A126" s="123">
        <v>41148</v>
      </c>
      <c r="B126" s="121">
        <f t="shared" si="4"/>
        <v>8</v>
      </c>
      <c r="C126" s="121">
        <f t="shared" si="5"/>
        <v>2012</v>
      </c>
      <c r="D126" s="124">
        <v>1.2482</v>
      </c>
      <c r="E126" s="124"/>
      <c r="F126" s="109"/>
      <c r="G126" s="121"/>
      <c r="H126" s="124">
        <v>6.6710000000000003</v>
      </c>
      <c r="I126" s="124">
        <v>114.93</v>
      </c>
      <c r="J126" s="124">
        <v>85.09</v>
      </c>
      <c r="K126" s="121"/>
      <c r="L126" s="121"/>
      <c r="M126" s="121"/>
      <c r="N126" s="121"/>
      <c r="O126" s="121"/>
      <c r="P126" s="129">
        <f t="shared" si="6"/>
        <v>64.906400000000005</v>
      </c>
      <c r="Q126" s="129">
        <f t="shared" si="7"/>
        <v>37.41147252042942</v>
      </c>
      <c r="R126" s="121"/>
      <c r="S126" s="124">
        <v>313.3</v>
      </c>
    </row>
    <row r="127" spans="1:19">
      <c r="A127" s="123">
        <v>41155</v>
      </c>
      <c r="B127" s="121">
        <f t="shared" si="4"/>
        <v>9</v>
      </c>
      <c r="C127" s="121">
        <f t="shared" si="5"/>
        <v>2012</v>
      </c>
      <c r="D127" s="124">
        <v>1.2501</v>
      </c>
      <c r="E127" s="124"/>
      <c r="F127" s="109"/>
      <c r="G127" s="121"/>
      <c r="H127" s="124">
        <v>6.7457000000000003</v>
      </c>
      <c r="I127" s="124">
        <v>117.705</v>
      </c>
      <c r="J127" s="124">
        <v>88.15</v>
      </c>
      <c r="K127" s="121"/>
      <c r="L127" s="121"/>
      <c r="M127" s="121"/>
      <c r="N127" s="121"/>
      <c r="O127" s="121"/>
      <c r="P127" s="129">
        <f t="shared" si="6"/>
        <v>65.005200000000002</v>
      </c>
      <c r="Q127" s="129">
        <f t="shared" si="7"/>
        <v>37.772898168146547</v>
      </c>
      <c r="R127" s="121"/>
      <c r="S127" s="124">
        <v>380.8</v>
      </c>
    </row>
    <row r="128" spans="1:19">
      <c r="A128" s="123">
        <v>41162</v>
      </c>
      <c r="B128" s="121">
        <f t="shared" si="4"/>
        <v>9</v>
      </c>
      <c r="C128" s="121">
        <f t="shared" si="5"/>
        <v>2012</v>
      </c>
      <c r="D128" s="124">
        <v>1.37645</v>
      </c>
      <c r="E128" s="124"/>
      <c r="F128" s="109"/>
      <c r="G128" s="121"/>
      <c r="H128" s="124">
        <v>6.7825999999999995</v>
      </c>
      <c r="I128" s="124">
        <v>124.37</v>
      </c>
      <c r="J128" s="124">
        <v>79.06</v>
      </c>
      <c r="K128" s="121"/>
      <c r="L128" s="121"/>
      <c r="M128" s="121"/>
      <c r="N128" s="121"/>
      <c r="O128" s="121"/>
      <c r="P128" s="129">
        <f t="shared" si="6"/>
        <v>71.575400000000002</v>
      </c>
      <c r="Q128" s="129">
        <f t="shared" si="7"/>
        <v>34.493225326019832</v>
      </c>
      <c r="R128" s="121"/>
      <c r="S128" s="124">
        <v>380.8</v>
      </c>
    </row>
    <row r="129" spans="1:19">
      <c r="A129" s="123">
        <v>41169</v>
      </c>
      <c r="B129" s="121">
        <f t="shared" si="4"/>
        <v>9</v>
      </c>
      <c r="C129" s="121">
        <f t="shared" si="5"/>
        <v>2012</v>
      </c>
      <c r="D129" s="124">
        <v>1.5180199999999999</v>
      </c>
      <c r="E129" s="124"/>
      <c r="F129" s="109"/>
      <c r="G129" s="121"/>
      <c r="H129" s="124">
        <v>6.4727999999999994</v>
      </c>
      <c r="I129" s="124">
        <v>122.92</v>
      </c>
      <c r="J129" s="124">
        <v>101.4</v>
      </c>
      <c r="K129" s="121"/>
      <c r="L129" s="121"/>
      <c r="M129" s="121"/>
      <c r="N129" s="121"/>
      <c r="O129" s="121"/>
      <c r="P129" s="129">
        <f t="shared" si="6"/>
        <v>78.937039999999996</v>
      </c>
      <c r="Q129" s="129">
        <f t="shared" si="7"/>
        <v>29.847828091856496</v>
      </c>
      <c r="R129" s="121"/>
      <c r="S129" s="124">
        <v>320.85000000000002</v>
      </c>
    </row>
    <row r="130" spans="1:19">
      <c r="A130" s="123">
        <v>41176</v>
      </c>
      <c r="B130" s="121">
        <f t="shared" ref="B130:B193" si="8">MONTH(A130)</f>
        <v>9</v>
      </c>
      <c r="C130" s="121">
        <f t="shared" ref="C130:C193" si="9">YEAR(A130)</f>
        <v>2012</v>
      </c>
      <c r="D130" s="124">
        <v>1.4575</v>
      </c>
      <c r="E130" s="124"/>
      <c r="F130" s="109"/>
      <c r="G130" s="121"/>
      <c r="H130" s="124">
        <v>5.9320000000000004</v>
      </c>
      <c r="I130" s="125">
        <f>AVERAGE(I129,I131)</f>
        <v>126.42500000000001</v>
      </c>
      <c r="J130" s="124"/>
      <c r="K130" s="121"/>
      <c r="L130" s="121"/>
      <c r="M130" s="121"/>
      <c r="N130" s="121"/>
      <c r="O130" s="121"/>
      <c r="P130" s="129">
        <f t="shared" ref="P130:P193" si="10">D130*52</f>
        <v>75.790000000000006</v>
      </c>
      <c r="Q130" s="129">
        <f t="shared" si="7"/>
        <v>28.489879931389368</v>
      </c>
      <c r="R130" s="121"/>
      <c r="S130" s="124">
        <v>266.55</v>
      </c>
    </row>
    <row r="131" spans="1:19">
      <c r="A131" s="123">
        <v>41183</v>
      </c>
      <c r="B131" s="121">
        <f t="shared" si="8"/>
        <v>10</v>
      </c>
      <c r="C131" s="121">
        <f t="shared" si="9"/>
        <v>2012</v>
      </c>
      <c r="D131" s="124">
        <v>0.63692000000000004</v>
      </c>
      <c r="E131" s="124"/>
      <c r="F131" s="109"/>
      <c r="G131" s="121"/>
      <c r="H131" s="124">
        <v>5.9603000000000002</v>
      </c>
      <c r="I131" s="124">
        <v>129.93</v>
      </c>
      <c r="J131" s="124">
        <v>81.349999999999994</v>
      </c>
      <c r="K131" s="121"/>
      <c r="L131" s="121"/>
      <c r="M131" s="121"/>
      <c r="N131" s="121"/>
      <c r="O131" s="121"/>
      <c r="P131" s="129">
        <f t="shared" si="10"/>
        <v>33.119840000000003</v>
      </c>
      <c r="Q131" s="129">
        <f t="shared" si="7"/>
        <v>65.506029014632915</v>
      </c>
      <c r="R131" s="121"/>
      <c r="S131" s="124"/>
    </row>
    <row r="132" spans="1:19">
      <c r="A132" s="123">
        <v>41190</v>
      </c>
      <c r="B132" s="121">
        <f t="shared" si="8"/>
        <v>10</v>
      </c>
      <c r="C132" s="121">
        <f t="shared" si="9"/>
        <v>2012</v>
      </c>
      <c r="D132" s="124">
        <v>0.99128000000000005</v>
      </c>
      <c r="E132" s="124"/>
      <c r="F132" s="109"/>
      <c r="G132" s="121"/>
      <c r="H132" s="124">
        <v>6.0850999999999997</v>
      </c>
      <c r="I132" s="124">
        <v>132.55000000000001</v>
      </c>
      <c r="J132" s="124">
        <v>82.54</v>
      </c>
      <c r="K132" s="121"/>
      <c r="L132" s="121"/>
      <c r="M132" s="121"/>
      <c r="N132" s="121"/>
      <c r="O132" s="121"/>
      <c r="P132" s="129">
        <f t="shared" si="10"/>
        <v>51.546559999999999</v>
      </c>
      <c r="Q132" s="129">
        <f t="shared" si="7"/>
        <v>42.970401904608181</v>
      </c>
      <c r="R132" s="121"/>
      <c r="S132" s="124">
        <v>26.7</v>
      </c>
    </row>
    <row r="133" spans="1:19">
      <c r="A133" s="123">
        <v>41197</v>
      </c>
      <c r="B133" s="121">
        <f t="shared" si="8"/>
        <v>10</v>
      </c>
      <c r="C133" s="121">
        <f t="shared" si="9"/>
        <v>2012</v>
      </c>
      <c r="D133" s="124">
        <v>1.3129</v>
      </c>
      <c r="E133" s="124"/>
      <c r="F133" s="109"/>
      <c r="G133" s="121"/>
      <c r="H133" s="124">
        <v>6.1154999999999999</v>
      </c>
      <c r="I133" s="124">
        <v>139.04</v>
      </c>
      <c r="J133" s="124">
        <v>83.42</v>
      </c>
      <c r="K133" s="121"/>
      <c r="L133" s="121"/>
      <c r="M133" s="121"/>
      <c r="N133" s="121"/>
      <c r="O133" s="121"/>
      <c r="P133" s="129">
        <f t="shared" si="10"/>
        <v>68.270799999999994</v>
      </c>
      <c r="Q133" s="129">
        <f t="shared" si="7"/>
        <v>32.606062914159494</v>
      </c>
      <c r="R133" s="121"/>
      <c r="S133" s="124">
        <v>-449.25</v>
      </c>
    </row>
    <row r="134" spans="1:19">
      <c r="A134" s="123">
        <v>41204</v>
      </c>
      <c r="B134" s="121">
        <f t="shared" si="8"/>
        <v>10</v>
      </c>
      <c r="C134" s="121">
        <f t="shared" si="9"/>
        <v>2012</v>
      </c>
      <c r="D134" s="124">
        <v>1.3163</v>
      </c>
      <c r="E134" s="124"/>
      <c r="F134" s="109"/>
      <c r="G134" s="121"/>
      <c r="H134" s="124">
        <v>5.3571</v>
      </c>
      <c r="I134" s="124">
        <v>136.97499999999999</v>
      </c>
      <c r="J134" s="124">
        <v>86.1</v>
      </c>
      <c r="K134" s="121"/>
      <c r="L134" s="121"/>
      <c r="M134" s="121"/>
      <c r="N134" s="121"/>
      <c r="O134" s="121"/>
      <c r="P134" s="129">
        <f t="shared" si="10"/>
        <v>68.447599999999994</v>
      </c>
      <c r="Q134" s="129">
        <f t="shared" si="7"/>
        <v>28.488718377269617</v>
      </c>
      <c r="R134" s="121"/>
      <c r="S134" s="124">
        <v>-425.3</v>
      </c>
    </row>
    <row r="135" spans="1:19">
      <c r="A135" s="123">
        <v>41211</v>
      </c>
      <c r="B135" s="121">
        <f t="shared" si="8"/>
        <v>10</v>
      </c>
      <c r="C135" s="121">
        <f t="shared" si="9"/>
        <v>2012</v>
      </c>
      <c r="D135" s="124">
        <v>1.2061500000000001</v>
      </c>
      <c r="E135" s="124"/>
      <c r="F135" s="109"/>
      <c r="G135" s="121"/>
      <c r="H135" s="124"/>
      <c r="I135" s="124">
        <v>140.137</v>
      </c>
      <c r="J135" s="124">
        <v>91.27</v>
      </c>
      <c r="K135" s="121"/>
      <c r="L135" s="121"/>
      <c r="M135" s="121"/>
      <c r="N135" s="121"/>
      <c r="O135" s="121"/>
      <c r="P135" s="129">
        <f t="shared" si="10"/>
        <v>62.719800000000006</v>
      </c>
      <c r="Q135" s="129" t="str">
        <f t="shared" si="7"/>
        <v/>
      </c>
      <c r="R135" s="121"/>
      <c r="S135" s="124">
        <v>-509.4</v>
      </c>
    </row>
    <row r="136" spans="1:19">
      <c r="A136" s="123">
        <v>41218</v>
      </c>
      <c r="B136" s="121">
        <f t="shared" si="8"/>
        <v>11</v>
      </c>
      <c r="C136" s="121">
        <f t="shared" si="9"/>
        <v>2012</v>
      </c>
      <c r="D136" s="124">
        <v>1.0547500000000001</v>
      </c>
      <c r="E136" s="124"/>
      <c r="F136" s="109"/>
      <c r="G136" s="121"/>
      <c r="H136" s="124">
        <v>5.3098000000000001</v>
      </c>
      <c r="I136" s="124">
        <v>142.88999999999999</v>
      </c>
      <c r="J136" s="124">
        <v>83.76</v>
      </c>
      <c r="K136" s="121"/>
      <c r="L136" s="121"/>
      <c r="M136" s="121"/>
      <c r="N136" s="121"/>
      <c r="O136" s="121"/>
      <c r="P136" s="129">
        <f t="shared" si="10"/>
        <v>54.847000000000001</v>
      </c>
      <c r="Q136" s="129">
        <f t="shared" si="7"/>
        <v>35.239251007347711</v>
      </c>
      <c r="R136" s="121"/>
      <c r="S136" s="124">
        <v>-575.5</v>
      </c>
    </row>
    <row r="137" spans="1:19">
      <c r="A137" s="123">
        <v>41225</v>
      </c>
      <c r="B137" s="121">
        <f t="shared" si="8"/>
        <v>11</v>
      </c>
      <c r="C137" s="121">
        <f t="shared" si="9"/>
        <v>2012</v>
      </c>
      <c r="D137" s="124">
        <v>1.1492500000000001</v>
      </c>
      <c r="E137" s="124"/>
      <c r="F137" s="109"/>
      <c r="G137" s="121"/>
      <c r="H137" s="124">
        <v>5.2255999999999991</v>
      </c>
      <c r="I137" s="124">
        <v>145.36000000000001</v>
      </c>
      <c r="J137" s="124">
        <v>76</v>
      </c>
      <c r="K137" s="121"/>
      <c r="L137" s="121"/>
      <c r="M137" s="121"/>
      <c r="N137" s="121"/>
      <c r="O137" s="121"/>
      <c r="P137" s="129">
        <f t="shared" si="10"/>
        <v>59.761000000000003</v>
      </c>
      <c r="Q137" s="129">
        <f t="shared" si="7"/>
        <v>31.828757885577541</v>
      </c>
      <c r="R137" s="121"/>
      <c r="S137" s="124">
        <v>-724</v>
      </c>
    </row>
    <row r="138" spans="1:19">
      <c r="A138" s="123">
        <v>41232</v>
      </c>
      <c r="B138" s="121">
        <f t="shared" si="8"/>
        <v>11</v>
      </c>
      <c r="C138" s="121">
        <f t="shared" si="9"/>
        <v>2012</v>
      </c>
      <c r="D138" s="124">
        <v>1.21635</v>
      </c>
      <c r="E138" s="124"/>
      <c r="F138" s="109"/>
      <c r="G138" s="121"/>
      <c r="H138" s="124">
        <v>5.2695000000000007</v>
      </c>
      <c r="I138" s="124">
        <v>145.36000000000001</v>
      </c>
      <c r="J138" s="124">
        <v>74.33</v>
      </c>
      <c r="K138" s="121"/>
      <c r="L138" s="121"/>
      <c r="M138" s="121"/>
      <c r="N138" s="121"/>
      <c r="O138" s="121"/>
      <c r="P138" s="129">
        <f t="shared" si="10"/>
        <v>63.2502</v>
      </c>
      <c r="Q138" s="129">
        <f t="shared" si="7"/>
        <v>30.325564187939328</v>
      </c>
      <c r="R138" s="121"/>
      <c r="S138" s="124">
        <v>-862.4</v>
      </c>
    </row>
    <row r="139" spans="1:19">
      <c r="A139" s="123">
        <v>41239</v>
      </c>
      <c r="B139" s="121">
        <f t="shared" si="8"/>
        <v>11</v>
      </c>
      <c r="C139" s="121">
        <f t="shared" si="9"/>
        <v>2012</v>
      </c>
      <c r="D139" s="124">
        <v>1.26325</v>
      </c>
      <c r="E139" s="124"/>
      <c r="F139" s="109"/>
      <c r="G139" s="121"/>
      <c r="H139" s="124">
        <v>5.3366999999999996</v>
      </c>
      <c r="I139" s="124">
        <v>142.28</v>
      </c>
      <c r="J139" s="124">
        <v>86.41</v>
      </c>
      <c r="K139" s="121"/>
      <c r="L139" s="121"/>
      <c r="M139" s="121"/>
      <c r="N139" s="121"/>
      <c r="O139" s="121"/>
      <c r="P139" s="129">
        <f t="shared" si="10"/>
        <v>65.688999999999993</v>
      </c>
      <c r="Q139" s="129">
        <f t="shared" si="7"/>
        <v>29.572056204235103</v>
      </c>
      <c r="R139" s="121"/>
      <c r="S139" s="124">
        <v>-645.9</v>
      </c>
    </row>
    <row r="140" spans="1:19">
      <c r="A140" s="123">
        <v>41246</v>
      </c>
      <c r="B140" s="121">
        <f t="shared" si="8"/>
        <v>12</v>
      </c>
      <c r="C140" s="121">
        <f t="shared" si="9"/>
        <v>2012</v>
      </c>
      <c r="D140" s="124">
        <v>1.14415</v>
      </c>
      <c r="E140" s="124"/>
      <c r="F140" s="109"/>
      <c r="G140" s="121"/>
      <c r="H140" s="124">
        <v>5.5778999999999996</v>
      </c>
      <c r="I140" s="124">
        <v>130.22499999999999</v>
      </c>
      <c r="J140" s="124">
        <v>83.23</v>
      </c>
      <c r="K140" s="121"/>
      <c r="L140" s="121"/>
      <c r="M140" s="121"/>
      <c r="N140" s="121"/>
      <c r="O140" s="121"/>
      <c r="P140" s="129">
        <f t="shared" si="10"/>
        <v>59.495800000000003</v>
      </c>
      <c r="Q140" s="129">
        <f t="shared" si="7"/>
        <v>34.126032425818288</v>
      </c>
      <c r="R140" s="121"/>
      <c r="S140" s="124">
        <v>-436.25</v>
      </c>
    </row>
    <row r="141" spans="1:19">
      <c r="A141" s="123">
        <v>41253</v>
      </c>
      <c r="B141" s="121">
        <f t="shared" si="8"/>
        <v>12</v>
      </c>
      <c r="C141" s="121">
        <f t="shared" si="9"/>
        <v>2012</v>
      </c>
      <c r="D141" s="124">
        <v>1.2978499999999999</v>
      </c>
      <c r="E141" s="124"/>
      <c r="F141" s="109"/>
      <c r="G141" s="121"/>
      <c r="H141" s="124">
        <v>5.4529999999999994</v>
      </c>
      <c r="I141" s="124">
        <v>129.26</v>
      </c>
      <c r="J141" s="124">
        <v>61.69</v>
      </c>
      <c r="K141" s="121"/>
      <c r="L141" s="121"/>
      <c r="M141" s="121"/>
      <c r="N141" s="121"/>
      <c r="O141" s="121"/>
      <c r="P141" s="129">
        <f t="shared" si="10"/>
        <v>67.488199999999992</v>
      </c>
      <c r="Q141" s="129">
        <f t="shared" si="7"/>
        <v>29.410948876988865</v>
      </c>
      <c r="R141" s="121"/>
      <c r="S141" s="124">
        <v>-317.75</v>
      </c>
    </row>
    <row r="142" spans="1:19">
      <c r="A142" s="123">
        <v>41260</v>
      </c>
      <c r="B142" s="121">
        <f t="shared" si="8"/>
        <v>12</v>
      </c>
      <c r="C142" s="121">
        <f t="shared" si="9"/>
        <v>2012</v>
      </c>
      <c r="D142" s="124">
        <v>1.33</v>
      </c>
      <c r="E142" s="124"/>
      <c r="F142" s="109"/>
      <c r="G142" s="121"/>
      <c r="H142" s="124">
        <v>5.3727999999999998</v>
      </c>
      <c r="I142" s="124">
        <v>123.18</v>
      </c>
      <c r="J142" s="124">
        <v>64.52</v>
      </c>
      <c r="K142" s="121"/>
      <c r="L142" s="121"/>
      <c r="M142" s="121"/>
      <c r="N142" s="121"/>
      <c r="O142" s="121"/>
      <c r="P142" s="129">
        <f t="shared" si="10"/>
        <v>69.16</v>
      </c>
      <c r="Q142" s="129">
        <f t="shared" si="7"/>
        <v>28.277894736842104</v>
      </c>
      <c r="R142" s="121"/>
      <c r="S142" s="124">
        <v>-88.75</v>
      </c>
    </row>
    <row r="143" spans="1:19">
      <c r="A143" s="123">
        <v>41267</v>
      </c>
      <c r="B143" s="121">
        <f t="shared" si="8"/>
        <v>12</v>
      </c>
      <c r="C143" s="121">
        <f t="shared" si="9"/>
        <v>2012</v>
      </c>
      <c r="D143" s="124">
        <v>1.337</v>
      </c>
      <c r="E143" s="124"/>
      <c r="F143" s="109"/>
      <c r="G143" s="121"/>
      <c r="H143" s="124">
        <v>5.2786</v>
      </c>
      <c r="I143" s="125">
        <f>AVERAGE(I142,I144)</f>
        <v>119.4365</v>
      </c>
      <c r="J143" s="124">
        <v>66.72</v>
      </c>
      <c r="K143" s="121"/>
      <c r="L143" s="121"/>
      <c r="M143" s="121"/>
      <c r="N143" s="121"/>
      <c r="O143" s="121"/>
      <c r="P143" s="129">
        <f t="shared" si="10"/>
        <v>69.524000000000001</v>
      </c>
      <c r="Q143" s="129">
        <f t="shared" si="7"/>
        <v>27.636649214659684</v>
      </c>
      <c r="R143" s="121"/>
      <c r="S143" s="124">
        <v>-135.19999999999999</v>
      </c>
    </row>
    <row r="144" spans="1:19">
      <c r="A144" s="123">
        <v>41274</v>
      </c>
      <c r="B144" s="121">
        <f t="shared" si="8"/>
        <v>12</v>
      </c>
      <c r="C144" s="121">
        <f t="shared" si="9"/>
        <v>2012</v>
      </c>
      <c r="D144" s="124">
        <v>1.1315999999999999</v>
      </c>
      <c r="E144" s="124"/>
      <c r="F144" s="109"/>
      <c r="G144" s="121"/>
      <c r="H144" s="124"/>
      <c r="I144" s="124">
        <v>115.693</v>
      </c>
      <c r="J144" s="124">
        <v>63.79</v>
      </c>
      <c r="K144" s="121"/>
      <c r="L144" s="121"/>
      <c r="M144" s="121"/>
      <c r="N144" s="121"/>
      <c r="O144" s="121"/>
      <c r="P144" s="129">
        <f t="shared" si="10"/>
        <v>58.843199999999996</v>
      </c>
      <c r="Q144" s="129" t="str">
        <f t="shared" si="7"/>
        <v/>
      </c>
      <c r="R144" s="121"/>
      <c r="S144" s="124">
        <v>-329.6</v>
      </c>
    </row>
    <row r="145" spans="1:19">
      <c r="A145" s="123">
        <v>41281</v>
      </c>
      <c r="B145" s="121">
        <f t="shared" si="8"/>
        <v>1</v>
      </c>
      <c r="C145" s="121">
        <f t="shared" si="9"/>
        <v>2013</v>
      </c>
      <c r="D145" s="124">
        <v>1.3049500000000001</v>
      </c>
      <c r="E145" s="124"/>
      <c r="F145" s="109"/>
      <c r="G145" s="121"/>
      <c r="H145" s="124">
        <v>5.1714000000000002</v>
      </c>
      <c r="I145" s="124">
        <v>108.458</v>
      </c>
      <c r="J145" s="124">
        <v>44.3</v>
      </c>
      <c r="K145" s="121"/>
      <c r="L145" s="121"/>
      <c r="M145" s="121"/>
      <c r="N145" s="121"/>
      <c r="O145" s="121"/>
      <c r="P145" s="129">
        <f t="shared" si="10"/>
        <v>67.857399999999998</v>
      </c>
      <c r="Q145" s="129">
        <f t="shared" si="7"/>
        <v>27.740373194375266</v>
      </c>
      <c r="R145" s="121"/>
      <c r="S145" s="124">
        <v>-337.65</v>
      </c>
    </row>
    <row r="146" spans="1:19">
      <c r="A146" s="123">
        <v>41288</v>
      </c>
      <c r="B146" s="121">
        <f t="shared" si="8"/>
        <v>1</v>
      </c>
      <c r="C146" s="121">
        <f t="shared" si="9"/>
        <v>2013</v>
      </c>
      <c r="D146" s="124">
        <v>1.4494</v>
      </c>
      <c r="E146" s="124"/>
      <c r="F146" s="109"/>
      <c r="G146" s="121"/>
      <c r="H146" s="124">
        <v>5.0495000000000001</v>
      </c>
      <c r="I146" s="124">
        <v>108.256</v>
      </c>
      <c r="J146" s="124">
        <v>66.680000000000007</v>
      </c>
      <c r="K146" s="121"/>
      <c r="L146" s="121"/>
      <c r="M146" s="121"/>
      <c r="N146" s="121"/>
      <c r="O146" s="121"/>
      <c r="P146" s="129">
        <f t="shared" si="10"/>
        <v>75.368800000000007</v>
      </c>
      <c r="Q146" s="129">
        <f t="shared" si="7"/>
        <v>24.386987719056162</v>
      </c>
      <c r="R146" s="121"/>
      <c r="S146" s="124">
        <v>-306.7</v>
      </c>
    </row>
    <row r="147" spans="1:19">
      <c r="A147" s="123">
        <v>41295</v>
      </c>
      <c r="B147" s="121">
        <f t="shared" si="8"/>
        <v>1</v>
      </c>
      <c r="C147" s="121">
        <f t="shared" si="9"/>
        <v>2013</v>
      </c>
      <c r="D147" s="124">
        <v>1.3754</v>
      </c>
      <c r="E147" s="124"/>
      <c r="F147" s="109"/>
      <c r="G147" s="121"/>
      <c r="H147" s="124">
        <v>4.7947000000000006</v>
      </c>
      <c r="I147" s="124">
        <v>103.41</v>
      </c>
      <c r="J147" s="124">
        <v>66.11</v>
      </c>
      <c r="K147" s="121"/>
      <c r="L147" s="121"/>
      <c r="M147" s="121"/>
      <c r="N147" s="121"/>
      <c r="O147" s="121"/>
      <c r="P147" s="129">
        <f t="shared" si="10"/>
        <v>71.520799999999994</v>
      </c>
      <c r="Q147" s="129">
        <f t="shared" si="7"/>
        <v>24.402282972226264</v>
      </c>
      <c r="R147" s="121"/>
      <c r="S147" s="124">
        <v>-257.85000000000002</v>
      </c>
    </row>
    <row r="148" spans="1:19">
      <c r="A148" s="123">
        <v>41302</v>
      </c>
      <c r="B148" s="121">
        <f t="shared" si="8"/>
        <v>1</v>
      </c>
      <c r="C148" s="121">
        <f t="shared" si="9"/>
        <v>2013</v>
      </c>
      <c r="D148" s="124">
        <v>1.2304999999999999</v>
      </c>
      <c r="E148" s="124"/>
      <c r="F148" s="109"/>
      <c r="G148" s="121"/>
      <c r="H148" s="124"/>
      <c r="I148" s="125">
        <v>103.26</v>
      </c>
      <c r="J148" s="124"/>
      <c r="K148" s="121"/>
      <c r="L148" s="121"/>
      <c r="M148" s="121"/>
      <c r="N148" s="121"/>
      <c r="O148" s="121"/>
      <c r="P148" s="129">
        <f t="shared" si="10"/>
        <v>63.985999999999997</v>
      </c>
      <c r="Q148" s="129" t="str">
        <f t="shared" ref="Q148:Q211" si="11">IF(H148="","",IF(D148="","",H148/(D148/7)))</f>
        <v/>
      </c>
      <c r="R148" s="121"/>
      <c r="S148" s="124">
        <v>22.9</v>
      </c>
    </row>
    <row r="149" spans="1:19">
      <c r="A149" s="123">
        <v>41309</v>
      </c>
      <c r="B149" s="121">
        <f t="shared" si="8"/>
        <v>2</v>
      </c>
      <c r="C149" s="121">
        <f t="shared" si="9"/>
        <v>2013</v>
      </c>
      <c r="D149" s="124">
        <v>0.70879999999999999</v>
      </c>
      <c r="E149" s="124"/>
      <c r="F149" s="109"/>
      <c r="G149" s="121"/>
      <c r="H149" s="124"/>
      <c r="I149" s="125">
        <v>103.13</v>
      </c>
      <c r="J149" s="124">
        <v>85.26</v>
      </c>
      <c r="K149" s="121"/>
      <c r="L149" s="121"/>
      <c r="M149" s="121"/>
      <c r="N149" s="121"/>
      <c r="O149" s="121"/>
      <c r="P149" s="129">
        <f t="shared" si="10"/>
        <v>36.857599999999998</v>
      </c>
      <c r="Q149" s="129" t="str">
        <f t="shared" si="11"/>
        <v/>
      </c>
      <c r="R149" s="121"/>
      <c r="S149" s="124">
        <v>22.9</v>
      </c>
    </row>
    <row r="150" spans="1:19">
      <c r="A150" s="123">
        <v>41316</v>
      </c>
      <c r="B150" s="121">
        <f t="shared" si="8"/>
        <v>2</v>
      </c>
      <c r="C150" s="121">
        <f t="shared" si="9"/>
        <v>2013</v>
      </c>
      <c r="D150" s="124">
        <v>0.1022</v>
      </c>
      <c r="E150" s="124"/>
      <c r="F150" s="109"/>
      <c r="G150" s="121"/>
      <c r="H150" s="124"/>
      <c r="I150" s="124">
        <v>103</v>
      </c>
      <c r="J150" s="124"/>
      <c r="K150" s="121"/>
      <c r="L150" s="121"/>
      <c r="M150" s="121"/>
      <c r="N150" s="121"/>
      <c r="O150" s="121"/>
      <c r="P150" s="129">
        <f t="shared" si="10"/>
        <v>5.3144</v>
      </c>
      <c r="Q150" s="129" t="str">
        <f t="shared" si="11"/>
        <v/>
      </c>
      <c r="R150" s="121"/>
      <c r="S150" s="124">
        <v>22.9</v>
      </c>
    </row>
    <row r="151" spans="1:19">
      <c r="A151" s="123">
        <v>41323</v>
      </c>
      <c r="B151" s="121">
        <f t="shared" si="8"/>
        <v>2</v>
      </c>
      <c r="C151" s="121">
        <f t="shared" si="9"/>
        <v>2013</v>
      </c>
      <c r="D151" s="124">
        <v>0.91769999999999996</v>
      </c>
      <c r="E151" s="124"/>
      <c r="F151" s="109"/>
      <c r="G151" s="121"/>
      <c r="H151" s="124">
        <v>5.3510999999999997</v>
      </c>
      <c r="I151" s="124">
        <v>98.75</v>
      </c>
      <c r="J151" s="124">
        <v>41.67</v>
      </c>
      <c r="K151" s="121"/>
      <c r="L151" s="121"/>
      <c r="M151" s="121"/>
      <c r="N151" s="121"/>
      <c r="O151" s="121"/>
      <c r="P151" s="129">
        <f t="shared" si="10"/>
        <v>47.720399999999998</v>
      </c>
      <c r="Q151" s="129">
        <f t="shared" si="11"/>
        <v>40.816933638443935</v>
      </c>
      <c r="R151" s="121"/>
      <c r="S151" s="124">
        <v>86.1</v>
      </c>
    </row>
    <row r="152" spans="1:19">
      <c r="A152" s="123">
        <v>41330</v>
      </c>
      <c r="B152" s="121">
        <f t="shared" si="8"/>
        <v>2</v>
      </c>
      <c r="C152" s="121">
        <f t="shared" si="9"/>
        <v>2013</v>
      </c>
      <c r="D152" s="124">
        <v>1.3075000000000001</v>
      </c>
      <c r="E152" s="124"/>
      <c r="F152" s="109"/>
      <c r="G152" s="121"/>
      <c r="H152" s="124">
        <v>5.1501999999999999</v>
      </c>
      <c r="I152" s="124">
        <v>102.18</v>
      </c>
      <c r="J152" s="124">
        <v>49.76</v>
      </c>
      <c r="K152" s="121"/>
      <c r="L152" s="121"/>
      <c r="M152" s="121"/>
      <c r="N152" s="121"/>
      <c r="O152" s="121"/>
      <c r="P152" s="129">
        <f t="shared" si="10"/>
        <v>67.990000000000009</v>
      </c>
      <c r="Q152" s="129">
        <f t="shared" si="11"/>
        <v>27.572772466539192</v>
      </c>
      <c r="R152" s="121"/>
      <c r="S152" s="124">
        <v>153.5</v>
      </c>
    </row>
    <row r="153" spans="1:19">
      <c r="A153" s="123">
        <v>41337</v>
      </c>
      <c r="B153" s="121">
        <f t="shared" si="8"/>
        <v>3</v>
      </c>
      <c r="C153" s="121">
        <f t="shared" si="9"/>
        <v>2013</v>
      </c>
      <c r="D153" s="124">
        <v>1.1211</v>
      </c>
      <c r="E153" s="124"/>
      <c r="F153" s="109"/>
      <c r="G153" s="121"/>
      <c r="H153" s="124">
        <v>4.7776999999999994</v>
      </c>
      <c r="I153" s="124">
        <v>103.03</v>
      </c>
      <c r="J153" s="124">
        <v>51.55</v>
      </c>
      <c r="K153" s="121"/>
      <c r="L153" s="121"/>
      <c r="M153" s="121"/>
      <c r="N153" s="121"/>
      <c r="O153" s="121"/>
      <c r="P153" s="129">
        <f t="shared" si="10"/>
        <v>58.297199999999997</v>
      </c>
      <c r="Q153" s="129">
        <f t="shared" si="11"/>
        <v>29.831326375880828</v>
      </c>
      <c r="R153" s="121"/>
      <c r="S153" s="124">
        <v>160.35</v>
      </c>
    </row>
    <row r="154" spans="1:19">
      <c r="A154" s="123">
        <v>41344</v>
      </c>
      <c r="B154" s="121">
        <f t="shared" si="8"/>
        <v>3</v>
      </c>
      <c r="C154" s="121">
        <f t="shared" si="9"/>
        <v>2013</v>
      </c>
      <c r="D154" s="124">
        <v>1.0593999999999999</v>
      </c>
      <c r="E154" s="124"/>
      <c r="F154" s="109"/>
      <c r="G154" s="121"/>
      <c r="H154" s="124">
        <v>4.4931999999999999</v>
      </c>
      <c r="I154" s="124">
        <v>103.32</v>
      </c>
      <c r="J154" s="124">
        <v>36.380000000000003</v>
      </c>
      <c r="K154" s="121"/>
      <c r="L154" s="121"/>
      <c r="M154" s="121"/>
      <c r="N154" s="121"/>
      <c r="O154" s="121"/>
      <c r="P154" s="129">
        <f t="shared" si="10"/>
        <v>55.088799999999992</v>
      </c>
      <c r="Q154" s="129">
        <f t="shared" si="11"/>
        <v>29.688880498395317</v>
      </c>
      <c r="R154" s="121"/>
      <c r="S154" s="124">
        <v>186</v>
      </c>
    </row>
    <row r="155" spans="1:19">
      <c r="A155" s="123">
        <v>41351</v>
      </c>
      <c r="B155" s="121">
        <f t="shared" si="8"/>
        <v>3</v>
      </c>
      <c r="C155" s="121">
        <f t="shared" si="9"/>
        <v>2013</v>
      </c>
      <c r="D155" s="124">
        <v>1.08575</v>
      </c>
      <c r="E155" s="124"/>
      <c r="F155" s="109"/>
      <c r="G155" s="121"/>
      <c r="H155" s="124">
        <v>4.3715999999999999</v>
      </c>
      <c r="I155" s="124">
        <v>104.78</v>
      </c>
      <c r="J155" s="124">
        <v>40.76</v>
      </c>
      <c r="K155" s="121"/>
      <c r="L155" s="121"/>
      <c r="M155" s="121"/>
      <c r="N155" s="121"/>
      <c r="O155" s="121"/>
      <c r="P155" s="129">
        <f t="shared" si="10"/>
        <v>56.459000000000003</v>
      </c>
      <c r="Q155" s="129">
        <f t="shared" si="11"/>
        <v>28.184388671425282</v>
      </c>
      <c r="R155" s="121"/>
      <c r="S155" s="124">
        <v>123.65</v>
      </c>
    </row>
    <row r="156" spans="1:19">
      <c r="A156" s="123">
        <v>41358</v>
      </c>
      <c r="B156" s="121">
        <f t="shared" si="8"/>
        <v>3</v>
      </c>
      <c r="C156" s="121">
        <f t="shared" si="9"/>
        <v>2013</v>
      </c>
      <c r="D156" s="124">
        <v>1.2238500000000001</v>
      </c>
      <c r="E156" s="124"/>
      <c r="F156" s="109"/>
      <c r="G156" s="121"/>
      <c r="H156" s="124">
        <v>4.2690999999999999</v>
      </c>
      <c r="I156" s="124">
        <v>105.807</v>
      </c>
      <c r="J156" s="124">
        <v>50.27</v>
      </c>
      <c r="K156" s="121"/>
      <c r="L156" s="121"/>
      <c r="M156" s="121"/>
      <c r="N156" s="121"/>
      <c r="O156" s="121"/>
      <c r="P156" s="129">
        <f t="shared" si="10"/>
        <v>63.640200000000007</v>
      </c>
      <c r="Q156" s="129">
        <f t="shared" si="11"/>
        <v>24.417779956694037</v>
      </c>
      <c r="R156" s="121"/>
      <c r="S156" s="124">
        <v>65.400000000000006</v>
      </c>
    </row>
    <row r="157" spans="1:19">
      <c r="A157" s="123">
        <v>41365</v>
      </c>
      <c r="B157" s="121">
        <f t="shared" si="8"/>
        <v>4</v>
      </c>
      <c r="C157" s="121">
        <f t="shared" si="9"/>
        <v>2013</v>
      </c>
      <c r="D157" s="124">
        <v>1.0344</v>
      </c>
      <c r="E157" s="124"/>
      <c r="F157" s="109"/>
      <c r="G157" s="121"/>
      <c r="H157" s="124">
        <v>4.1673999999999998</v>
      </c>
      <c r="I157" s="124">
        <v>101.71</v>
      </c>
      <c r="J157" s="124">
        <v>50.25</v>
      </c>
      <c r="K157" s="121"/>
      <c r="L157" s="121"/>
      <c r="M157" s="121"/>
      <c r="N157" s="121"/>
      <c r="O157" s="121"/>
      <c r="P157" s="129">
        <f t="shared" si="10"/>
        <v>53.788800000000002</v>
      </c>
      <c r="Q157" s="129">
        <f t="shared" si="11"/>
        <v>28.201662799690638</v>
      </c>
      <c r="R157" s="121"/>
      <c r="S157" s="124">
        <v>-101.6</v>
      </c>
    </row>
    <row r="158" spans="1:19">
      <c r="A158" s="123">
        <v>41372</v>
      </c>
      <c r="B158" s="121">
        <f t="shared" si="8"/>
        <v>4</v>
      </c>
      <c r="C158" s="121">
        <f t="shared" si="9"/>
        <v>2013</v>
      </c>
      <c r="D158" s="124">
        <v>1.1376999999999999</v>
      </c>
      <c r="E158" s="124"/>
      <c r="F158" s="109"/>
      <c r="G158" s="121"/>
      <c r="H158" s="124">
        <v>4.0724999999999998</v>
      </c>
      <c r="I158" s="124">
        <v>105.87</v>
      </c>
      <c r="J158" s="124">
        <v>51.47</v>
      </c>
      <c r="K158" s="121"/>
      <c r="L158" s="121"/>
      <c r="M158" s="121"/>
      <c r="N158" s="121"/>
      <c r="O158" s="121"/>
      <c r="P158" s="129">
        <f t="shared" si="10"/>
        <v>59.160399999999996</v>
      </c>
      <c r="Q158" s="129">
        <f t="shared" si="11"/>
        <v>25.057132811813307</v>
      </c>
      <c r="R158" s="121"/>
      <c r="S158" s="124">
        <v>-42.35</v>
      </c>
    </row>
    <row r="159" spans="1:19">
      <c r="A159" s="123">
        <v>41379</v>
      </c>
      <c r="B159" s="121">
        <f t="shared" si="8"/>
        <v>4</v>
      </c>
      <c r="C159" s="121">
        <f t="shared" si="9"/>
        <v>2013</v>
      </c>
      <c r="D159" s="124">
        <v>1.0912500000000001</v>
      </c>
      <c r="E159" s="124"/>
      <c r="F159" s="109"/>
      <c r="G159" s="121"/>
      <c r="H159" s="124">
        <v>3.9470999999999998</v>
      </c>
      <c r="I159" s="124">
        <v>100.39</v>
      </c>
      <c r="J159" s="124">
        <v>54.52</v>
      </c>
      <c r="K159" s="121"/>
      <c r="L159" s="121"/>
      <c r="M159" s="121"/>
      <c r="N159" s="121"/>
      <c r="O159" s="121"/>
      <c r="P159" s="129">
        <f t="shared" si="10"/>
        <v>56.745000000000005</v>
      </c>
      <c r="Q159" s="129">
        <f t="shared" si="11"/>
        <v>25.319312714776633</v>
      </c>
      <c r="R159" s="121"/>
      <c r="S159" s="124">
        <v>-44.75</v>
      </c>
    </row>
    <row r="160" spans="1:19">
      <c r="A160" s="123">
        <v>41386</v>
      </c>
      <c r="B160" s="121">
        <f t="shared" si="8"/>
        <v>4</v>
      </c>
      <c r="C160" s="121">
        <f t="shared" si="9"/>
        <v>2013</v>
      </c>
      <c r="D160" s="124">
        <v>1.1352</v>
      </c>
      <c r="E160" s="124"/>
      <c r="F160" s="109"/>
      <c r="G160" s="121"/>
      <c r="H160" s="124">
        <v>4.0420999999999996</v>
      </c>
      <c r="I160" s="124"/>
      <c r="J160" s="124">
        <v>52.51</v>
      </c>
      <c r="K160" s="121"/>
      <c r="L160" s="121"/>
      <c r="M160" s="121"/>
      <c r="N160" s="121"/>
      <c r="O160" s="121"/>
      <c r="P160" s="129">
        <f t="shared" si="10"/>
        <v>59.0304</v>
      </c>
      <c r="Q160" s="129">
        <f t="shared" si="11"/>
        <v>24.924859055673007</v>
      </c>
      <c r="R160" s="121"/>
      <c r="S160" s="124">
        <v>-72.7</v>
      </c>
    </row>
    <row r="161" spans="1:19">
      <c r="A161" s="123">
        <v>41393</v>
      </c>
      <c r="B161" s="121">
        <f t="shared" si="8"/>
        <v>4</v>
      </c>
      <c r="C161" s="121">
        <f t="shared" si="9"/>
        <v>2013</v>
      </c>
      <c r="D161" s="124">
        <v>1.00535</v>
      </c>
      <c r="E161" s="124"/>
      <c r="F161" s="109"/>
      <c r="G161" s="121"/>
      <c r="H161" s="124">
        <v>4.1132999999999997</v>
      </c>
      <c r="I161" s="124">
        <v>93.38</v>
      </c>
      <c r="J161" s="124">
        <v>50.25</v>
      </c>
      <c r="K161" s="121"/>
      <c r="L161" s="121"/>
      <c r="M161" s="121"/>
      <c r="N161" s="121"/>
      <c r="O161" s="121"/>
      <c r="P161" s="129">
        <f t="shared" si="10"/>
        <v>52.278199999999998</v>
      </c>
      <c r="Q161" s="129">
        <f t="shared" si="11"/>
        <v>28.639876659869696</v>
      </c>
      <c r="R161" s="121"/>
      <c r="S161" s="124">
        <v>-104.9</v>
      </c>
    </row>
    <row r="162" spans="1:19">
      <c r="A162" s="123">
        <v>41400</v>
      </c>
      <c r="B162" s="121">
        <f t="shared" si="8"/>
        <v>5</v>
      </c>
      <c r="C162" s="121">
        <f t="shared" si="9"/>
        <v>2013</v>
      </c>
      <c r="D162" s="124">
        <v>1.0667</v>
      </c>
      <c r="E162" s="124"/>
      <c r="F162" s="109"/>
      <c r="G162" s="121"/>
      <c r="H162" s="124">
        <v>4.0598999999999998</v>
      </c>
      <c r="I162" s="124">
        <v>93.4</v>
      </c>
      <c r="J162" s="124">
        <v>43.61</v>
      </c>
      <c r="K162" s="121"/>
      <c r="L162" s="121"/>
      <c r="M162" s="121"/>
      <c r="N162" s="121"/>
      <c r="O162" s="121"/>
      <c r="P162" s="129">
        <f t="shared" si="10"/>
        <v>55.468400000000003</v>
      </c>
      <c r="Q162" s="129">
        <f t="shared" si="11"/>
        <v>26.642261179338142</v>
      </c>
      <c r="R162" s="121"/>
      <c r="S162" s="124">
        <v>-76.400000000000006</v>
      </c>
    </row>
    <row r="163" spans="1:19">
      <c r="A163" s="123">
        <v>41407</v>
      </c>
      <c r="B163" s="121">
        <f t="shared" si="8"/>
        <v>5</v>
      </c>
      <c r="C163" s="121">
        <f t="shared" si="9"/>
        <v>2013</v>
      </c>
      <c r="D163" s="124">
        <v>1.1173</v>
      </c>
      <c r="E163" s="124"/>
      <c r="F163" s="109"/>
      <c r="G163" s="121"/>
      <c r="H163" s="124">
        <v>4.0651999999999999</v>
      </c>
      <c r="I163" s="124">
        <v>95.17</v>
      </c>
      <c r="J163" s="124">
        <v>43.91</v>
      </c>
      <c r="K163" s="121"/>
      <c r="L163" s="121"/>
      <c r="M163" s="121"/>
      <c r="N163" s="121"/>
      <c r="O163" s="121"/>
      <c r="P163" s="129">
        <f t="shared" si="10"/>
        <v>58.099599999999995</v>
      </c>
      <c r="Q163" s="129">
        <f t="shared" si="11"/>
        <v>25.468898236820909</v>
      </c>
      <c r="R163" s="121"/>
      <c r="S163" s="124">
        <v>-41</v>
      </c>
    </row>
    <row r="164" spans="1:19">
      <c r="A164" s="123">
        <v>41414</v>
      </c>
      <c r="B164" s="121">
        <f t="shared" si="8"/>
        <v>5</v>
      </c>
      <c r="C164" s="121">
        <f t="shared" si="9"/>
        <v>2013</v>
      </c>
      <c r="D164" s="124">
        <v>1.0829</v>
      </c>
      <c r="E164" s="124"/>
      <c r="F164" s="109"/>
      <c r="G164" s="121"/>
      <c r="H164" s="124">
        <v>4.1974</v>
      </c>
      <c r="I164" s="124">
        <v>97.75</v>
      </c>
      <c r="J164" s="124">
        <v>39.21</v>
      </c>
      <c r="K164" s="121"/>
      <c r="L164" s="121"/>
      <c r="M164" s="121"/>
      <c r="N164" s="121"/>
      <c r="O164" s="121"/>
      <c r="P164" s="129">
        <f t="shared" si="10"/>
        <v>56.3108</v>
      </c>
      <c r="Q164" s="129">
        <f t="shared" si="11"/>
        <v>27.13251454427925</v>
      </c>
      <c r="R164" s="121"/>
      <c r="S164" s="124">
        <v>48.75</v>
      </c>
    </row>
    <row r="165" spans="1:19">
      <c r="A165" s="123">
        <v>41421</v>
      </c>
      <c r="B165" s="121">
        <f t="shared" si="8"/>
        <v>5</v>
      </c>
      <c r="C165" s="121">
        <f t="shared" si="9"/>
        <v>2013</v>
      </c>
      <c r="D165" s="124">
        <v>1.2374000000000001</v>
      </c>
      <c r="E165" s="124"/>
      <c r="F165" s="109"/>
      <c r="G165" s="121"/>
      <c r="H165" s="124">
        <v>4.3354999999999997</v>
      </c>
      <c r="I165" s="124">
        <v>95.83</v>
      </c>
      <c r="J165" s="124">
        <v>38.53</v>
      </c>
      <c r="K165" s="121"/>
      <c r="L165" s="121"/>
      <c r="M165" s="121"/>
      <c r="N165" s="121"/>
      <c r="O165" s="121"/>
      <c r="P165" s="129">
        <f t="shared" si="10"/>
        <v>64.344800000000006</v>
      </c>
      <c r="Q165" s="129">
        <f t="shared" si="11"/>
        <v>24.526022304832711</v>
      </c>
      <c r="R165" s="121"/>
      <c r="S165" s="124">
        <v>129.25</v>
      </c>
    </row>
    <row r="166" spans="1:19">
      <c r="A166" s="123">
        <v>41428</v>
      </c>
      <c r="B166" s="121">
        <f t="shared" si="8"/>
        <v>6</v>
      </c>
      <c r="C166" s="121">
        <f t="shared" si="9"/>
        <v>2013</v>
      </c>
      <c r="D166" s="124">
        <v>1.2485999999999999</v>
      </c>
      <c r="E166" s="124">
        <v>0.99263699999999999</v>
      </c>
      <c r="F166" s="109">
        <v>224.74799999999999</v>
      </c>
      <c r="G166" s="121"/>
      <c r="H166" s="124">
        <v>4.4379999999999997</v>
      </c>
      <c r="I166" s="124"/>
      <c r="J166" s="124">
        <v>65.8</v>
      </c>
      <c r="K166" s="121"/>
      <c r="L166" s="130">
        <f t="shared" ref="L166:L197" si="12">E166/D166</f>
        <v>0.79500000000000004</v>
      </c>
      <c r="M166" s="130">
        <f t="shared" ref="M166:M197" si="13">F166/1000/D166</f>
        <v>0.18000000000000002</v>
      </c>
      <c r="N166" s="130">
        <f t="shared" ref="N166:N197" si="14">M166+L166</f>
        <v>0.97500000000000009</v>
      </c>
      <c r="O166" s="130"/>
      <c r="P166" s="129">
        <f t="shared" si="10"/>
        <v>64.927199999999999</v>
      </c>
      <c r="Q166" s="129">
        <f t="shared" si="11"/>
        <v>24.880666346307862</v>
      </c>
      <c r="R166" s="121"/>
      <c r="S166" s="124">
        <v>25.65</v>
      </c>
    </row>
    <row r="167" spans="1:19">
      <c r="A167" s="123">
        <v>41435</v>
      </c>
      <c r="B167" s="121">
        <f t="shared" si="8"/>
        <v>6</v>
      </c>
      <c r="C167" s="121">
        <f t="shared" si="9"/>
        <v>2013</v>
      </c>
      <c r="D167" s="125">
        <f>AVERAGE(D166,D168)</f>
        <v>1.31915</v>
      </c>
      <c r="E167" s="125">
        <f>AVERAGE(E166,E168)</f>
        <v>1.048724</v>
      </c>
      <c r="F167" s="125">
        <f>AVERAGE(F166,F168)</f>
        <v>237.447</v>
      </c>
      <c r="G167" s="121"/>
      <c r="H167" s="124">
        <v>4.4614000000000003</v>
      </c>
      <c r="I167" s="124">
        <v>96.79</v>
      </c>
      <c r="J167" s="124">
        <v>40.909999999999997</v>
      </c>
      <c r="K167" s="121"/>
      <c r="L167" s="130">
        <f t="shared" si="12"/>
        <v>0.79499981048402379</v>
      </c>
      <c r="M167" s="130">
        <f t="shared" si="13"/>
        <v>0.18</v>
      </c>
      <c r="N167" s="130">
        <f t="shared" si="14"/>
        <v>0.97499981048402384</v>
      </c>
      <c r="O167" s="130"/>
      <c r="P167" s="129">
        <f t="shared" si="10"/>
        <v>68.595799999999997</v>
      </c>
      <c r="Q167" s="129">
        <f t="shared" si="11"/>
        <v>23.674184133722473</v>
      </c>
      <c r="R167" s="121"/>
      <c r="S167" s="124">
        <v>25.65</v>
      </c>
    </row>
    <row r="168" spans="1:19">
      <c r="A168" s="123">
        <v>41442</v>
      </c>
      <c r="B168" s="121">
        <f t="shared" si="8"/>
        <v>6</v>
      </c>
      <c r="C168" s="121">
        <f t="shared" si="9"/>
        <v>2013</v>
      </c>
      <c r="D168" s="124">
        <v>1.3896999999999999</v>
      </c>
      <c r="E168" s="124">
        <v>1.104811</v>
      </c>
      <c r="F168" s="109">
        <v>250.14599999999999</v>
      </c>
      <c r="G168" s="121"/>
      <c r="H168" s="124">
        <v>4.6772999999999998</v>
      </c>
      <c r="I168" s="124">
        <v>100.21</v>
      </c>
      <c r="J168" s="124">
        <v>55.3</v>
      </c>
      <c r="K168" s="121"/>
      <c r="L168" s="130">
        <f t="shared" si="12"/>
        <v>0.79499964021011726</v>
      </c>
      <c r="M168" s="130">
        <f t="shared" si="13"/>
        <v>0.18</v>
      </c>
      <c r="N168" s="130">
        <f t="shared" si="14"/>
        <v>0.97499964021011731</v>
      </c>
      <c r="O168" s="130"/>
      <c r="P168" s="129">
        <f t="shared" si="10"/>
        <v>72.264399999999995</v>
      </c>
      <c r="Q168" s="129">
        <f t="shared" si="11"/>
        <v>23.559833057494423</v>
      </c>
      <c r="R168" s="121"/>
      <c r="S168" s="124">
        <v>-20.25</v>
      </c>
    </row>
    <row r="169" spans="1:19">
      <c r="A169" s="123">
        <v>41449</v>
      </c>
      <c r="B169" s="121">
        <f t="shared" si="8"/>
        <v>6</v>
      </c>
      <c r="C169" s="121">
        <f t="shared" si="9"/>
        <v>2013</v>
      </c>
      <c r="D169" s="124">
        <v>1.3120000000000001</v>
      </c>
      <c r="E169" s="124">
        <v>1.04304</v>
      </c>
      <c r="F169" s="109">
        <v>236.16</v>
      </c>
      <c r="G169" s="121"/>
      <c r="H169" s="124">
        <v>4.8250000000000002</v>
      </c>
      <c r="I169" s="124">
        <v>97.96</v>
      </c>
      <c r="J169" s="124">
        <v>64.97</v>
      </c>
      <c r="K169" s="121"/>
      <c r="L169" s="130">
        <f t="shared" si="12"/>
        <v>0.79499999999999993</v>
      </c>
      <c r="M169" s="130">
        <f t="shared" si="13"/>
        <v>0.18</v>
      </c>
      <c r="N169" s="130">
        <f t="shared" si="14"/>
        <v>0.97499999999999987</v>
      </c>
      <c r="O169" s="130"/>
      <c r="P169" s="129">
        <f t="shared" si="10"/>
        <v>68.224000000000004</v>
      </c>
      <c r="Q169" s="129">
        <f t="shared" si="11"/>
        <v>25.743140243902438</v>
      </c>
      <c r="R169" s="121"/>
      <c r="S169" s="124">
        <v>-159.5</v>
      </c>
    </row>
    <row r="170" spans="1:19">
      <c r="A170" s="123">
        <v>41456</v>
      </c>
      <c r="B170" s="121">
        <f t="shared" si="8"/>
        <v>7</v>
      </c>
      <c r="C170" s="121">
        <f t="shared" si="9"/>
        <v>2013</v>
      </c>
      <c r="D170" s="124">
        <v>1.4303999999999999</v>
      </c>
      <c r="E170" s="124">
        <v>1.137168</v>
      </c>
      <c r="F170" s="109">
        <v>257.47199999999998</v>
      </c>
      <c r="G170" s="121"/>
      <c r="H170" s="124">
        <v>5.2960000000000003</v>
      </c>
      <c r="I170" s="124">
        <v>98.92</v>
      </c>
      <c r="J170" s="124">
        <v>38.86</v>
      </c>
      <c r="K170" s="121"/>
      <c r="L170" s="130">
        <f t="shared" si="12"/>
        <v>0.79500000000000004</v>
      </c>
      <c r="M170" s="130">
        <f t="shared" si="13"/>
        <v>0.18</v>
      </c>
      <c r="N170" s="130">
        <f t="shared" si="14"/>
        <v>0.97500000000000009</v>
      </c>
      <c r="O170" s="130"/>
      <c r="P170" s="129">
        <f t="shared" si="10"/>
        <v>74.380799999999994</v>
      </c>
      <c r="Q170" s="129">
        <f t="shared" si="11"/>
        <v>25.917225950782999</v>
      </c>
      <c r="R170" s="121"/>
      <c r="S170" s="124">
        <v>-32.700000000000003</v>
      </c>
    </row>
    <row r="171" spans="1:19">
      <c r="A171" s="123">
        <v>41463</v>
      </c>
      <c r="B171" s="121">
        <f t="shared" si="8"/>
        <v>7</v>
      </c>
      <c r="C171" s="121">
        <f t="shared" si="9"/>
        <v>2013</v>
      </c>
      <c r="D171" s="124">
        <v>1.2407999999999999</v>
      </c>
      <c r="E171" s="124">
        <v>0.98643599999999998</v>
      </c>
      <c r="F171" s="109">
        <v>223.34399999999999</v>
      </c>
      <c r="G171" s="121"/>
      <c r="H171" s="124">
        <v>5.3914</v>
      </c>
      <c r="I171" s="124">
        <v>96.38</v>
      </c>
      <c r="J171" s="124">
        <v>72.05</v>
      </c>
      <c r="K171" s="121"/>
      <c r="L171" s="130">
        <f t="shared" si="12"/>
        <v>0.79500000000000004</v>
      </c>
      <c r="M171" s="130">
        <f t="shared" si="13"/>
        <v>0.18</v>
      </c>
      <c r="N171" s="130">
        <f t="shared" si="14"/>
        <v>0.97500000000000009</v>
      </c>
      <c r="O171" s="130"/>
      <c r="P171" s="129">
        <f t="shared" si="10"/>
        <v>64.521599999999992</v>
      </c>
      <c r="Q171" s="129">
        <f t="shared" si="11"/>
        <v>30.415699548678276</v>
      </c>
      <c r="R171" s="121"/>
      <c r="S171" s="124">
        <v>87.35</v>
      </c>
    </row>
    <row r="172" spans="1:19">
      <c r="A172" s="123">
        <v>41470</v>
      </c>
      <c r="B172" s="121">
        <f t="shared" si="8"/>
        <v>7</v>
      </c>
      <c r="C172" s="121">
        <f t="shared" si="9"/>
        <v>2013</v>
      </c>
      <c r="D172" s="124">
        <v>1.34965</v>
      </c>
      <c r="E172" s="124">
        <v>1.0729709999999999</v>
      </c>
      <c r="F172" s="109">
        <v>242.93700000000001</v>
      </c>
      <c r="G172" s="121"/>
      <c r="H172" s="124">
        <v>5.5907000000000009</v>
      </c>
      <c r="I172" s="124">
        <v>100.45</v>
      </c>
      <c r="J172" s="124">
        <v>73.739999999999995</v>
      </c>
      <c r="K172" s="121"/>
      <c r="L172" s="130">
        <f t="shared" si="12"/>
        <v>0.79499944430037406</v>
      </c>
      <c r="M172" s="130">
        <f t="shared" si="13"/>
        <v>0.18000000000000002</v>
      </c>
      <c r="N172" s="130">
        <f t="shared" si="14"/>
        <v>0.97499944430037411</v>
      </c>
      <c r="O172" s="130"/>
      <c r="P172" s="129">
        <f t="shared" si="10"/>
        <v>70.181799999999996</v>
      </c>
      <c r="Q172" s="129">
        <f t="shared" si="11"/>
        <v>28.996332382469532</v>
      </c>
      <c r="R172" s="121"/>
      <c r="S172" s="124">
        <v>68.849999999999994</v>
      </c>
    </row>
    <row r="173" spans="1:19">
      <c r="A173" s="123">
        <v>41477</v>
      </c>
      <c r="B173" s="121">
        <f t="shared" si="8"/>
        <v>7</v>
      </c>
      <c r="C173" s="121">
        <f t="shared" si="9"/>
        <v>2013</v>
      </c>
      <c r="D173" s="124">
        <v>1.4185000000000001</v>
      </c>
      <c r="E173" s="124">
        <v>1.127707</v>
      </c>
      <c r="F173" s="109">
        <v>255.33</v>
      </c>
      <c r="G173" s="121"/>
      <c r="H173" s="124">
        <v>6.2687999999999997</v>
      </c>
      <c r="I173" s="124">
        <v>104.5</v>
      </c>
      <c r="J173" s="124">
        <v>83.43</v>
      </c>
      <c r="K173" s="121"/>
      <c r="L173" s="130">
        <f t="shared" si="12"/>
        <v>0.79499964751498053</v>
      </c>
      <c r="M173" s="130">
        <f t="shared" si="13"/>
        <v>0.18</v>
      </c>
      <c r="N173" s="130">
        <f t="shared" si="14"/>
        <v>0.97499964751498047</v>
      </c>
      <c r="O173" s="130"/>
      <c r="P173" s="129">
        <f t="shared" si="10"/>
        <v>73.762</v>
      </c>
      <c r="Q173" s="129">
        <f t="shared" si="11"/>
        <v>30.935213253436725</v>
      </c>
      <c r="R173" s="121"/>
      <c r="S173" s="124">
        <v>113.3</v>
      </c>
    </row>
    <row r="174" spans="1:19">
      <c r="A174" s="123">
        <v>41484</v>
      </c>
      <c r="B174" s="121">
        <f t="shared" si="8"/>
        <v>7</v>
      </c>
      <c r="C174" s="121">
        <f t="shared" si="9"/>
        <v>2013</v>
      </c>
      <c r="D174" s="124">
        <v>1.3915</v>
      </c>
      <c r="E174" s="124">
        <v>1.1062419999999999</v>
      </c>
      <c r="F174" s="109">
        <v>250.47</v>
      </c>
      <c r="G174" s="121"/>
      <c r="H174" s="124">
        <v>6.2737999999999996</v>
      </c>
      <c r="I174" s="124">
        <v>104.46</v>
      </c>
      <c r="J174" s="124">
        <v>85.26</v>
      </c>
      <c r="K174" s="121"/>
      <c r="L174" s="130">
        <f t="shared" si="12"/>
        <v>0.79499964067552997</v>
      </c>
      <c r="M174" s="130">
        <f t="shared" si="13"/>
        <v>0.18000000000000002</v>
      </c>
      <c r="N174" s="130">
        <f t="shared" si="14"/>
        <v>0.97499964067553002</v>
      </c>
      <c r="O174" s="130"/>
      <c r="P174" s="129">
        <f t="shared" si="10"/>
        <v>72.358000000000004</v>
      </c>
      <c r="Q174" s="129">
        <f t="shared" si="11"/>
        <v>31.560618038088393</v>
      </c>
      <c r="R174" s="121"/>
      <c r="S174" s="124">
        <v>90.15</v>
      </c>
    </row>
    <row r="175" spans="1:19">
      <c r="A175" s="123">
        <v>41491</v>
      </c>
      <c r="B175" s="121">
        <f t="shared" si="8"/>
        <v>8</v>
      </c>
      <c r="C175" s="121">
        <f t="shared" si="9"/>
        <v>2013</v>
      </c>
      <c r="D175" s="124">
        <v>1.286</v>
      </c>
      <c r="E175" s="124">
        <v>1.02237</v>
      </c>
      <c r="F175" s="109">
        <v>231.48</v>
      </c>
      <c r="G175" s="121"/>
      <c r="H175" s="124">
        <v>6.3433999999999999</v>
      </c>
      <c r="I175" s="124">
        <v>103.83</v>
      </c>
      <c r="J175" s="124">
        <v>44.95</v>
      </c>
      <c r="K175" s="121"/>
      <c r="L175" s="130">
        <f t="shared" si="12"/>
        <v>0.79499999999999993</v>
      </c>
      <c r="M175" s="130">
        <f t="shared" si="13"/>
        <v>0.18</v>
      </c>
      <c r="N175" s="130">
        <f t="shared" si="14"/>
        <v>0.97499999999999987</v>
      </c>
      <c r="O175" s="130"/>
      <c r="P175" s="129">
        <f t="shared" si="10"/>
        <v>66.872</v>
      </c>
      <c r="Q175" s="129">
        <f t="shared" si="11"/>
        <v>34.528615863141525</v>
      </c>
      <c r="R175" s="121"/>
      <c r="S175" s="124">
        <v>19.399999999999999</v>
      </c>
    </row>
    <row r="176" spans="1:19">
      <c r="A176" s="123">
        <v>41498</v>
      </c>
      <c r="B176" s="121">
        <f t="shared" si="8"/>
        <v>8</v>
      </c>
      <c r="C176" s="121">
        <f t="shared" si="9"/>
        <v>2013</v>
      </c>
      <c r="D176" s="124">
        <v>1.29345</v>
      </c>
      <c r="E176" s="124">
        <v>1.028292</v>
      </c>
      <c r="F176" s="109">
        <v>232.821</v>
      </c>
      <c r="G176" s="121"/>
      <c r="H176" s="124">
        <v>6.3255999999999997</v>
      </c>
      <c r="I176" s="124">
        <v>104.74</v>
      </c>
      <c r="J176" s="124">
        <v>79.87</v>
      </c>
      <c r="K176" s="121"/>
      <c r="L176" s="130">
        <f t="shared" si="12"/>
        <v>0.79499942015539837</v>
      </c>
      <c r="M176" s="130">
        <f t="shared" si="13"/>
        <v>0.18</v>
      </c>
      <c r="N176" s="130">
        <f t="shared" si="14"/>
        <v>0.97499942015539842</v>
      </c>
      <c r="O176" s="130"/>
      <c r="P176" s="129">
        <f t="shared" si="10"/>
        <v>67.259399999999999</v>
      </c>
      <c r="Q176" s="129">
        <f t="shared" si="11"/>
        <v>34.233406780316209</v>
      </c>
      <c r="R176" s="121"/>
      <c r="S176" s="124">
        <v>102.3</v>
      </c>
    </row>
    <row r="177" spans="1:19">
      <c r="A177" s="123">
        <v>41505</v>
      </c>
      <c r="B177" s="121">
        <f t="shared" si="8"/>
        <v>8</v>
      </c>
      <c r="C177" s="121">
        <f t="shared" si="9"/>
        <v>2013</v>
      </c>
      <c r="D177" s="124">
        <v>1.4371</v>
      </c>
      <c r="E177" s="124">
        <v>1.1424939999999999</v>
      </c>
      <c r="F177" s="109">
        <v>258.678</v>
      </c>
      <c r="G177" s="121"/>
      <c r="H177" s="124">
        <v>6.3180999999999994</v>
      </c>
      <c r="I177" s="124">
        <v>105.76</v>
      </c>
      <c r="J177" s="124">
        <v>67.55</v>
      </c>
      <c r="K177" s="121"/>
      <c r="L177" s="130">
        <f t="shared" si="12"/>
        <v>0.79499965207709966</v>
      </c>
      <c r="M177" s="130">
        <f t="shared" si="13"/>
        <v>0.18000000000000002</v>
      </c>
      <c r="N177" s="130">
        <f t="shared" si="14"/>
        <v>0.97499965207709971</v>
      </c>
      <c r="O177" s="130"/>
      <c r="P177" s="129">
        <f t="shared" si="10"/>
        <v>74.729200000000006</v>
      </c>
      <c r="Q177" s="129">
        <f t="shared" si="11"/>
        <v>30.774963468095464</v>
      </c>
      <c r="R177" s="121"/>
      <c r="S177" s="124">
        <v>264.5</v>
      </c>
    </row>
    <row r="178" spans="1:19">
      <c r="A178" s="123">
        <v>41512</v>
      </c>
      <c r="B178" s="121">
        <f t="shared" si="8"/>
        <v>8</v>
      </c>
      <c r="C178" s="121">
        <f t="shared" si="9"/>
        <v>2013</v>
      </c>
      <c r="D178" s="124">
        <v>1.4903</v>
      </c>
      <c r="E178" s="124">
        <v>1.184788</v>
      </c>
      <c r="F178" s="109">
        <v>268.25400000000002</v>
      </c>
      <c r="G178" s="121"/>
      <c r="H178" s="124">
        <v>6.3247</v>
      </c>
      <c r="I178" s="124">
        <v>101.81</v>
      </c>
      <c r="J178" s="124">
        <v>64.05</v>
      </c>
      <c r="K178" s="121"/>
      <c r="L178" s="130">
        <f t="shared" si="12"/>
        <v>0.79499966449708115</v>
      </c>
      <c r="M178" s="130">
        <f t="shared" si="13"/>
        <v>0.18</v>
      </c>
      <c r="N178" s="130">
        <f t="shared" si="14"/>
        <v>0.97499966449708109</v>
      </c>
      <c r="O178" s="130"/>
      <c r="P178" s="129">
        <f t="shared" si="10"/>
        <v>77.495599999999996</v>
      </c>
      <c r="Q178" s="129">
        <f t="shared" si="11"/>
        <v>29.70737435415688</v>
      </c>
      <c r="R178" s="121"/>
      <c r="S178" s="124">
        <v>321.25</v>
      </c>
    </row>
    <row r="179" spans="1:19">
      <c r="A179" s="123">
        <v>41519</v>
      </c>
      <c r="B179" s="121">
        <f t="shared" si="8"/>
        <v>9</v>
      </c>
      <c r="C179" s="121">
        <f t="shared" si="9"/>
        <v>2013</v>
      </c>
      <c r="D179" s="124">
        <v>1.38052</v>
      </c>
      <c r="E179" s="124">
        <v>1.0991029999999999</v>
      </c>
      <c r="F179" s="109">
        <v>248.85300000000001</v>
      </c>
      <c r="G179" s="121"/>
      <c r="H179" s="124">
        <v>6.1858000000000004</v>
      </c>
      <c r="I179" s="124">
        <v>97.17</v>
      </c>
      <c r="J179" s="124">
        <v>82.01</v>
      </c>
      <c r="K179" s="121"/>
      <c r="L179" s="130">
        <f t="shared" si="12"/>
        <v>0.79615145017819366</v>
      </c>
      <c r="M179" s="130">
        <f t="shared" si="13"/>
        <v>0.18026033668472752</v>
      </c>
      <c r="N179" s="130">
        <f t="shared" si="14"/>
        <v>0.97641178686292118</v>
      </c>
      <c r="O179" s="130"/>
      <c r="P179" s="129">
        <f t="shared" si="10"/>
        <v>71.787040000000005</v>
      </c>
      <c r="Q179" s="129">
        <f t="shared" si="11"/>
        <v>31.365427520064909</v>
      </c>
      <c r="R179" s="121"/>
      <c r="S179" s="124">
        <v>295.89999999999998</v>
      </c>
    </row>
    <row r="180" spans="1:19">
      <c r="A180" s="123">
        <v>41526</v>
      </c>
      <c r="B180" s="121">
        <f t="shared" si="8"/>
        <v>9</v>
      </c>
      <c r="C180" s="121">
        <f t="shared" si="9"/>
        <v>2013</v>
      </c>
      <c r="D180" s="124">
        <v>1.46132</v>
      </c>
      <c r="E180" s="124">
        <v>1.1617489999999999</v>
      </c>
      <c r="F180" s="109">
        <v>263.03699999999998</v>
      </c>
      <c r="G180" s="121"/>
      <c r="H180" s="124">
        <v>6.0667999999999997</v>
      </c>
      <c r="I180" s="124">
        <v>99.56</v>
      </c>
      <c r="J180" s="124">
        <v>55.45</v>
      </c>
      <c r="K180" s="121"/>
      <c r="L180" s="130">
        <f t="shared" si="12"/>
        <v>0.7949997262748747</v>
      </c>
      <c r="M180" s="130">
        <f t="shared" si="13"/>
        <v>0.17999958941231214</v>
      </c>
      <c r="N180" s="130">
        <f t="shared" si="14"/>
        <v>0.97499931568718678</v>
      </c>
      <c r="O180" s="130"/>
      <c r="P180" s="129">
        <f t="shared" si="10"/>
        <v>75.988640000000004</v>
      </c>
      <c r="Q180" s="129">
        <f t="shared" si="11"/>
        <v>29.061122820463687</v>
      </c>
      <c r="R180" s="121"/>
      <c r="S180" s="124">
        <v>277.32</v>
      </c>
    </row>
    <row r="181" spans="1:19">
      <c r="A181" s="123">
        <v>41533</v>
      </c>
      <c r="B181" s="121">
        <f t="shared" si="8"/>
        <v>9</v>
      </c>
      <c r="C181" s="121">
        <f t="shared" si="9"/>
        <v>2013</v>
      </c>
      <c r="D181" s="124">
        <v>1.4215</v>
      </c>
      <c r="E181" s="124">
        <v>1.1300920000000001</v>
      </c>
      <c r="F181" s="109">
        <v>255.87</v>
      </c>
      <c r="G181" s="121"/>
      <c r="H181" s="124">
        <v>5.8407000000000009</v>
      </c>
      <c r="I181" s="124">
        <v>103.25</v>
      </c>
      <c r="J181" s="124">
        <v>58.95</v>
      </c>
      <c r="K181" s="121"/>
      <c r="L181" s="130">
        <f t="shared" si="12"/>
        <v>0.79499964825888159</v>
      </c>
      <c r="M181" s="130">
        <f t="shared" si="13"/>
        <v>0.18</v>
      </c>
      <c r="N181" s="130">
        <f t="shared" si="14"/>
        <v>0.97499964825888163</v>
      </c>
      <c r="O181" s="130"/>
      <c r="P181" s="129">
        <f t="shared" si="10"/>
        <v>73.918000000000006</v>
      </c>
      <c r="Q181" s="129">
        <f t="shared" si="11"/>
        <v>28.761800914526912</v>
      </c>
      <c r="R181" s="121"/>
      <c r="S181" s="124">
        <v>227.8</v>
      </c>
    </row>
    <row r="182" spans="1:19">
      <c r="A182" s="123">
        <v>41540</v>
      </c>
      <c r="B182" s="121">
        <f t="shared" si="8"/>
        <v>9</v>
      </c>
      <c r="C182" s="121">
        <f t="shared" si="9"/>
        <v>2013</v>
      </c>
      <c r="D182" s="124">
        <v>1.3673999999999999</v>
      </c>
      <c r="E182" s="124">
        <v>1.087083</v>
      </c>
      <c r="F182" s="109">
        <v>246.13200000000001</v>
      </c>
      <c r="G182" s="121"/>
      <c r="H182" s="124">
        <v>5.6487999999999996</v>
      </c>
      <c r="I182" s="124"/>
      <c r="J182" s="124"/>
      <c r="K182" s="121"/>
      <c r="L182" s="130">
        <f t="shared" si="12"/>
        <v>0.79500000000000004</v>
      </c>
      <c r="M182" s="130">
        <f t="shared" si="13"/>
        <v>0.18000000000000002</v>
      </c>
      <c r="N182" s="130">
        <f t="shared" si="14"/>
        <v>0.97500000000000009</v>
      </c>
      <c r="O182" s="130"/>
      <c r="P182" s="129">
        <f t="shared" si="10"/>
        <v>71.104799999999997</v>
      </c>
      <c r="Q182" s="129">
        <f t="shared" si="11"/>
        <v>28.917361415825656</v>
      </c>
      <c r="R182" s="121"/>
      <c r="S182" s="124">
        <v>209.3</v>
      </c>
    </row>
    <row r="183" spans="1:19">
      <c r="A183" s="123">
        <v>41547</v>
      </c>
      <c r="B183" s="121">
        <f t="shared" si="8"/>
        <v>9</v>
      </c>
      <c r="C183" s="121">
        <f t="shared" si="9"/>
        <v>2013</v>
      </c>
      <c r="D183" s="124">
        <v>1.2133</v>
      </c>
      <c r="E183" s="124">
        <v>0.96457300000000001</v>
      </c>
      <c r="F183" s="109">
        <v>218.39400000000001</v>
      </c>
      <c r="G183" s="121"/>
      <c r="H183" s="124">
        <v>5.5875000000000004</v>
      </c>
      <c r="I183" s="124">
        <v>102.69</v>
      </c>
      <c r="J183" s="124">
        <v>43.61</v>
      </c>
      <c r="K183" s="121"/>
      <c r="L183" s="130">
        <f t="shared" si="12"/>
        <v>0.79499958790076652</v>
      </c>
      <c r="M183" s="130">
        <f t="shared" si="13"/>
        <v>0.18</v>
      </c>
      <c r="N183" s="130">
        <f t="shared" si="14"/>
        <v>0.97499958790076646</v>
      </c>
      <c r="O183" s="130"/>
      <c r="P183" s="129">
        <f t="shared" si="10"/>
        <v>63.0916</v>
      </c>
      <c r="Q183" s="129">
        <f t="shared" si="11"/>
        <v>32.236462540179673</v>
      </c>
      <c r="R183" s="121"/>
      <c r="S183" s="124">
        <v>209.3</v>
      </c>
    </row>
    <row r="184" spans="1:19">
      <c r="A184" s="123">
        <v>41554</v>
      </c>
      <c r="B184" s="121">
        <f t="shared" si="8"/>
        <v>10</v>
      </c>
      <c r="C184" s="121">
        <f t="shared" si="9"/>
        <v>2013</v>
      </c>
      <c r="D184" s="124">
        <v>1.2356</v>
      </c>
      <c r="E184" s="124">
        <v>0.98230200000000001</v>
      </c>
      <c r="F184" s="109">
        <v>222.40799999999999</v>
      </c>
      <c r="G184" s="121"/>
      <c r="H184" s="124">
        <v>5.1151999999999997</v>
      </c>
      <c r="I184" s="124">
        <v>103.69</v>
      </c>
      <c r="J184" s="124">
        <v>26.9</v>
      </c>
      <c r="K184" s="121"/>
      <c r="L184" s="130">
        <f t="shared" si="12"/>
        <v>0.79500000000000004</v>
      </c>
      <c r="M184" s="130">
        <f t="shared" si="13"/>
        <v>0.18</v>
      </c>
      <c r="N184" s="130">
        <f t="shared" si="14"/>
        <v>0.97500000000000009</v>
      </c>
      <c r="O184" s="130"/>
      <c r="P184" s="129">
        <f t="shared" si="10"/>
        <v>64.251199999999997</v>
      </c>
      <c r="Q184" s="129">
        <f t="shared" si="11"/>
        <v>28.978957591453543</v>
      </c>
      <c r="R184" s="121"/>
      <c r="S184" s="124">
        <v>185.25</v>
      </c>
    </row>
    <row r="185" spans="1:19">
      <c r="A185" s="123">
        <v>41561</v>
      </c>
      <c r="B185" s="121">
        <f t="shared" si="8"/>
        <v>10</v>
      </c>
      <c r="C185" s="121">
        <f t="shared" si="9"/>
        <v>2013</v>
      </c>
      <c r="D185" s="124">
        <v>1.3957999999999999</v>
      </c>
      <c r="E185" s="124">
        <v>1.105845</v>
      </c>
      <c r="F185" s="109">
        <v>250.38</v>
      </c>
      <c r="G185" s="121"/>
      <c r="H185" s="124">
        <v>4.8829000000000002</v>
      </c>
      <c r="I185" s="124">
        <v>100.03</v>
      </c>
      <c r="J185" s="124">
        <v>22.75</v>
      </c>
      <c r="K185" s="121"/>
      <c r="L185" s="130">
        <f t="shared" si="12"/>
        <v>0.79226608396618425</v>
      </c>
      <c r="M185" s="130">
        <f t="shared" si="13"/>
        <v>0.17938100014328701</v>
      </c>
      <c r="N185" s="130">
        <f t="shared" si="14"/>
        <v>0.97164708410947132</v>
      </c>
      <c r="O185" s="130"/>
      <c r="P185" s="129">
        <f t="shared" si="10"/>
        <v>72.581599999999995</v>
      </c>
      <c r="Q185" s="129">
        <f t="shared" si="11"/>
        <v>24.487963891675026</v>
      </c>
      <c r="R185" s="121"/>
      <c r="S185" s="124">
        <v>213</v>
      </c>
    </row>
    <row r="186" spans="1:19">
      <c r="A186" s="123">
        <v>41568</v>
      </c>
      <c r="B186" s="121">
        <f t="shared" si="8"/>
        <v>10</v>
      </c>
      <c r="C186" s="121">
        <f t="shared" si="9"/>
        <v>2013</v>
      </c>
      <c r="D186" s="124">
        <v>1.4723999999999999</v>
      </c>
      <c r="E186" s="124">
        <v>1.170558</v>
      </c>
      <c r="F186" s="109">
        <v>265.03199999999998</v>
      </c>
      <c r="G186" s="121"/>
      <c r="H186" s="124">
        <v>4.7065000000000001</v>
      </c>
      <c r="I186" s="124">
        <v>103.45</v>
      </c>
      <c r="J186" s="124">
        <v>42.95</v>
      </c>
      <c r="K186" s="121"/>
      <c r="L186" s="130">
        <f t="shared" si="12"/>
        <v>0.79500000000000004</v>
      </c>
      <c r="M186" s="130">
        <f t="shared" si="13"/>
        <v>0.18</v>
      </c>
      <c r="N186" s="130">
        <f t="shared" si="14"/>
        <v>0.97500000000000009</v>
      </c>
      <c r="O186" s="130"/>
      <c r="P186" s="129">
        <f t="shared" si="10"/>
        <v>76.564799999999991</v>
      </c>
      <c r="Q186" s="129">
        <f t="shared" si="11"/>
        <v>22.375373539798968</v>
      </c>
      <c r="R186" s="121"/>
      <c r="S186" s="124">
        <v>180.8</v>
      </c>
    </row>
    <row r="187" spans="1:19">
      <c r="A187" s="123">
        <v>41575</v>
      </c>
      <c r="B187" s="121">
        <f t="shared" si="8"/>
        <v>10</v>
      </c>
      <c r="C187" s="121">
        <f t="shared" si="9"/>
        <v>2013</v>
      </c>
      <c r="D187" s="124">
        <v>1.3425</v>
      </c>
      <c r="E187" s="124">
        <v>1.0672870000000001</v>
      </c>
      <c r="F187" s="109">
        <v>241.65</v>
      </c>
      <c r="G187" s="121"/>
      <c r="H187" s="124"/>
      <c r="I187" s="124">
        <v>107.06</v>
      </c>
      <c r="J187" s="124">
        <v>64.180000000000007</v>
      </c>
      <c r="K187" s="121"/>
      <c r="L187" s="130">
        <f t="shared" si="12"/>
        <v>0.79499962756052145</v>
      </c>
      <c r="M187" s="130">
        <f t="shared" si="13"/>
        <v>0.18</v>
      </c>
      <c r="N187" s="130">
        <f t="shared" si="14"/>
        <v>0.9749996275605215</v>
      </c>
      <c r="O187" s="130"/>
      <c r="P187" s="129">
        <f t="shared" si="10"/>
        <v>69.81</v>
      </c>
      <c r="Q187" s="129" t="str">
        <f t="shared" si="11"/>
        <v/>
      </c>
      <c r="R187" s="121"/>
      <c r="S187" s="124">
        <v>92.25</v>
      </c>
    </row>
    <row r="188" spans="1:19">
      <c r="A188" s="123">
        <v>41582</v>
      </c>
      <c r="B188" s="121">
        <f t="shared" si="8"/>
        <v>11</v>
      </c>
      <c r="C188" s="121">
        <f t="shared" si="9"/>
        <v>2013</v>
      </c>
      <c r="D188" s="124">
        <v>1.3777999999999999</v>
      </c>
      <c r="E188" s="124">
        <v>1.095351</v>
      </c>
      <c r="F188" s="109">
        <v>248.00399999999999</v>
      </c>
      <c r="G188" s="121"/>
      <c r="H188" s="124">
        <v>4.7673000000000005</v>
      </c>
      <c r="I188" s="124">
        <v>104.08</v>
      </c>
      <c r="J188" s="124">
        <v>26.9</v>
      </c>
      <c r="K188" s="121"/>
      <c r="L188" s="130">
        <f t="shared" si="12"/>
        <v>0.79500000000000004</v>
      </c>
      <c r="M188" s="130">
        <f t="shared" si="13"/>
        <v>0.18000000000000002</v>
      </c>
      <c r="N188" s="130">
        <f t="shared" si="14"/>
        <v>0.97500000000000009</v>
      </c>
      <c r="O188" s="130"/>
      <c r="P188" s="129">
        <f t="shared" si="10"/>
        <v>71.645600000000002</v>
      </c>
      <c r="Q188" s="129">
        <f t="shared" si="11"/>
        <v>24.220569023080277</v>
      </c>
      <c r="R188" s="121"/>
      <c r="S188" s="124">
        <v>70.05</v>
      </c>
    </row>
    <row r="189" spans="1:19">
      <c r="A189" s="123">
        <v>41589</v>
      </c>
      <c r="B189" s="121">
        <f t="shared" si="8"/>
        <v>11</v>
      </c>
      <c r="C189" s="121">
        <f t="shared" si="9"/>
        <v>2013</v>
      </c>
      <c r="D189" s="124">
        <v>1.3147</v>
      </c>
      <c r="E189" s="124">
        <v>1.0451859999999999</v>
      </c>
      <c r="F189" s="109">
        <v>236.64599999999999</v>
      </c>
      <c r="G189" s="121"/>
      <c r="H189" s="124">
        <v>4.8079999999999998</v>
      </c>
      <c r="I189" s="124">
        <v>101.9</v>
      </c>
      <c r="J189" s="124">
        <v>41.3</v>
      </c>
      <c r="K189" s="121"/>
      <c r="L189" s="130">
        <f t="shared" si="12"/>
        <v>0.79499961968509925</v>
      </c>
      <c r="M189" s="130">
        <f t="shared" si="13"/>
        <v>0.18</v>
      </c>
      <c r="N189" s="130">
        <f t="shared" si="14"/>
        <v>0.97499961968509918</v>
      </c>
      <c r="O189" s="130"/>
      <c r="P189" s="129">
        <f t="shared" si="10"/>
        <v>68.364400000000003</v>
      </c>
      <c r="Q189" s="129">
        <f t="shared" si="11"/>
        <v>25.599756598463529</v>
      </c>
      <c r="R189" s="121"/>
      <c r="S189" s="124">
        <v>151.75</v>
      </c>
    </row>
    <row r="190" spans="1:19">
      <c r="A190" s="123">
        <v>41596</v>
      </c>
      <c r="B190" s="121">
        <f t="shared" si="8"/>
        <v>11</v>
      </c>
      <c r="C190" s="121">
        <f t="shared" si="9"/>
        <v>2013</v>
      </c>
      <c r="D190" s="124">
        <v>1.38636</v>
      </c>
      <c r="E190" s="124">
        <v>1.095478</v>
      </c>
      <c r="F190" s="109">
        <v>248.03200000000001</v>
      </c>
      <c r="G190" s="121"/>
      <c r="H190" s="124">
        <v>4.8822000000000001</v>
      </c>
      <c r="I190" s="124">
        <v>102.38</v>
      </c>
      <c r="J190" s="124">
        <v>41.65</v>
      </c>
      <c r="K190" s="121"/>
      <c r="L190" s="130">
        <f t="shared" si="12"/>
        <v>0.79018292506996735</v>
      </c>
      <c r="M190" s="130">
        <f t="shared" si="13"/>
        <v>0.17890879713782856</v>
      </c>
      <c r="N190" s="130">
        <f t="shared" si="14"/>
        <v>0.96909172220779594</v>
      </c>
      <c r="O190" s="130"/>
      <c r="P190" s="129">
        <f t="shared" si="10"/>
        <v>72.090720000000005</v>
      </c>
      <c r="Q190" s="129">
        <f t="shared" si="11"/>
        <v>24.651172855535361</v>
      </c>
      <c r="R190" s="121"/>
      <c r="S190" s="124">
        <v>152.30000000000001</v>
      </c>
    </row>
    <row r="191" spans="1:19">
      <c r="A191" s="123">
        <v>41603</v>
      </c>
      <c r="B191" s="121">
        <f t="shared" si="8"/>
        <v>11</v>
      </c>
      <c r="C191" s="121">
        <f t="shared" si="9"/>
        <v>2013</v>
      </c>
      <c r="D191" s="124">
        <v>1.4531700000000001</v>
      </c>
      <c r="E191" s="124">
        <v>1.158847</v>
      </c>
      <c r="F191" s="109">
        <v>262.38</v>
      </c>
      <c r="G191" s="121"/>
      <c r="H191" s="124">
        <v>5.2547000000000006</v>
      </c>
      <c r="I191" s="124">
        <v>100.46</v>
      </c>
      <c r="J191" s="124">
        <v>37.299999999999997</v>
      </c>
      <c r="K191" s="121"/>
      <c r="L191" s="130">
        <f t="shared" si="12"/>
        <v>0.79746141194767295</v>
      </c>
      <c r="M191" s="130">
        <f t="shared" si="13"/>
        <v>0.18055698920291499</v>
      </c>
      <c r="N191" s="130">
        <f t="shared" si="14"/>
        <v>0.97801840115058791</v>
      </c>
      <c r="O191" s="130"/>
      <c r="P191" s="129">
        <f t="shared" si="10"/>
        <v>75.564840000000004</v>
      </c>
      <c r="Q191" s="129">
        <f t="shared" si="11"/>
        <v>25.312179579815165</v>
      </c>
      <c r="R191" s="121"/>
      <c r="S191" s="124">
        <v>342.55</v>
      </c>
    </row>
    <row r="192" spans="1:19">
      <c r="A192" s="123">
        <v>41610</v>
      </c>
      <c r="B192" s="121">
        <f t="shared" si="8"/>
        <v>12</v>
      </c>
      <c r="C192" s="121">
        <f t="shared" si="9"/>
        <v>2013</v>
      </c>
      <c r="D192" s="124">
        <v>1.6109199999999999</v>
      </c>
      <c r="E192" s="124">
        <v>1.280681</v>
      </c>
      <c r="F192" s="109">
        <v>289.96499999999997</v>
      </c>
      <c r="G192" s="121"/>
      <c r="H192" s="124">
        <v>5.2397999999999998</v>
      </c>
      <c r="I192" s="124">
        <v>99.73</v>
      </c>
      <c r="J192" s="124">
        <v>72.05</v>
      </c>
      <c r="K192" s="121"/>
      <c r="L192" s="130">
        <f t="shared" si="12"/>
        <v>0.79499975169468384</v>
      </c>
      <c r="M192" s="130">
        <f t="shared" si="13"/>
        <v>0.17999962754202567</v>
      </c>
      <c r="N192" s="130">
        <f t="shared" si="14"/>
        <v>0.97499937923670954</v>
      </c>
      <c r="O192" s="130"/>
      <c r="P192" s="129">
        <f t="shared" si="10"/>
        <v>83.767839999999993</v>
      </c>
      <c r="Q192" s="129">
        <f t="shared" si="11"/>
        <v>22.768728428475654</v>
      </c>
      <c r="R192" s="121"/>
      <c r="S192" s="124">
        <v>366.6</v>
      </c>
    </row>
    <row r="193" spans="1:19">
      <c r="A193" s="123">
        <v>41617</v>
      </c>
      <c r="B193" s="121">
        <f t="shared" si="8"/>
        <v>12</v>
      </c>
      <c r="C193" s="121">
        <f t="shared" si="9"/>
        <v>2013</v>
      </c>
      <c r="D193" s="124">
        <v>1.6605000000000001</v>
      </c>
      <c r="E193" s="124">
        <v>1.3200970000000001</v>
      </c>
      <c r="F193" s="109">
        <v>298.89</v>
      </c>
      <c r="G193" s="121"/>
      <c r="H193" s="124">
        <v>5.3070000000000004</v>
      </c>
      <c r="I193" s="124">
        <v>97.284999999999997</v>
      </c>
      <c r="J193" s="124">
        <v>40.01</v>
      </c>
      <c r="K193" s="121"/>
      <c r="L193" s="130">
        <f t="shared" si="12"/>
        <v>0.79499969888587774</v>
      </c>
      <c r="M193" s="130">
        <f t="shared" si="13"/>
        <v>0.18</v>
      </c>
      <c r="N193" s="130">
        <f t="shared" si="14"/>
        <v>0.97499969888587779</v>
      </c>
      <c r="O193" s="130"/>
      <c r="P193" s="129">
        <f t="shared" si="10"/>
        <v>86.346000000000004</v>
      </c>
      <c r="Q193" s="129">
        <f t="shared" si="11"/>
        <v>22.372177055103883</v>
      </c>
      <c r="R193" s="121"/>
      <c r="S193" s="124">
        <v>391.25</v>
      </c>
    </row>
    <row r="194" spans="1:19">
      <c r="A194" s="123">
        <v>41624</v>
      </c>
      <c r="B194" s="121">
        <f t="shared" ref="B194:B257" si="15">MONTH(A194)</f>
        <v>12</v>
      </c>
      <c r="C194" s="121">
        <f t="shared" ref="C194:C257" si="16">YEAR(A194)</f>
        <v>2013</v>
      </c>
      <c r="D194" s="124">
        <v>1.73746</v>
      </c>
      <c r="E194" s="124">
        <v>1.3812800000000001</v>
      </c>
      <c r="F194" s="109">
        <v>312.74200000000002</v>
      </c>
      <c r="G194" s="121"/>
      <c r="H194" s="124">
        <v>5.1920999999999999</v>
      </c>
      <c r="I194" s="124">
        <v>98.21</v>
      </c>
      <c r="J194" s="124">
        <v>50.45</v>
      </c>
      <c r="K194" s="121"/>
      <c r="L194" s="130">
        <f t="shared" si="12"/>
        <v>0.79499959711302715</v>
      </c>
      <c r="M194" s="130">
        <f t="shared" si="13"/>
        <v>0.17999953955774523</v>
      </c>
      <c r="N194" s="130">
        <f t="shared" si="14"/>
        <v>0.97499913667077243</v>
      </c>
      <c r="O194" s="130"/>
      <c r="P194" s="129">
        <f t="shared" ref="P194:P246" si="17">D194*52</f>
        <v>90.347920000000002</v>
      </c>
      <c r="Q194" s="129">
        <f t="shared" si="11"/>
        <v>20.918294521888274</v>
      </c>
      <c r="R194" s="121"/>
      <c r="S194" s="124">
        <v>332.5</v>
      </c>
    </row>
    <row r="195" spans="1:19">
      <c r="A195" s="123">
        <v>41631</v>
      </c>
      <c r="B195" s="121">
        <f t="shared" si="15"/>
        <v>12</v>
      </c>
      <c r="C195" s="121">
        <f t="shared" si="16"/>
        <v>2013</v>
      </c>
      <c r="D195" s="124">
        <v>1.6495500000000001</v>
      </c>
      <c r="E195" s="124">
        <v>1.297479</v>
      </c>
      <c r="F195" s="109">
        <v>293.76900000000001</v>
      </c>
      <c r="G195" s="121"/>
      <c r="H195" s="124">
        <v>5.0420999999999996</v>
      </c>
      <c r="I195" s="124">
        <v>98.33</v>
      </c>
      <c r="J195" s="124">
        <v>60.38</v>
      </c>
      <c r="K195" s="121"/>
      <c r="L195" s="130">
        <f t="shared" si="12"/>
        <v>0.78656542693461851</v>
      </c>
      <c r="M195" s="130">
        <f t="shared" si="13"/>
        <v>0.17809038828771481</v>
      </c>
      <c r="N195" s="130">
        <f t="shared" si="14"/>
        <v>0.96465581522233335</v>
      </c>
      <c r="O195" s="130"/>
      <c r="P195" s="129">
        <f t="shared" si="17"/>
        <v>85.776600000000002</v>
      </c>
      <c r="Q195" s="129">
        <f t="shared" si="11"/>
        <v>21.396562698917887</v>
      </c>
      <c r="R195" s="121"/>
      <c r="S195" s="124">
        <v>257.64999999999998</v>
      </c>
    </row>
    <row r="196" spans="1:19">
      <c r="A196" s="123">
        <v>41638</v>
      </c>
      <c r="B196" s="121">
        <f t="shared" si="15"/>
        <v>12</v>
      </c>
      <c r="C196" s="121">
        <f t="shared" si="16"/>
        <v>2013</v>
      </c>
      <c r="D196" s="124">
        <v>1.4732000000000001</v>
      </c>
      <c r="E196" s="124">
        <v>1.1711940000000001</v>
      </c>
      <c r="F196" s="109">
        <v>265.17599999999999</v>
      </c>
      <c r="G196" s="121"/>
      <c r="H196" s="124">
        <v>5.0994000000000002</v>
      </c>
      <c r="I196" s="124">
        <v>97.37</v>
      </c>
      <c r="J196" s="124">
        <v>63.5</v>
      </c>
      <c r="K196" s="121"/>
      <c r="L196" s="130">
        <f t="shared" si="12"/>
        <v>0.79500000000000004</v>
      </c>
      <c r="M196" s="130">
        <f t="shared" si="13"/>
        <v>0.17999999999999997</v>
      </c>
      <c r="N196" s="130">
        <f t="shared" si="14"/>
        <v>0.97499999999999998</v>
      </c>
      <c r="O196" s="130"/>
      <c r="P196" s="129">
        <f t="shared" si="17"/>
        <v>76.606400000000008</v>
      </c>
      <c r="Q196" s="129">
        <f t="shared" si="11"/>
        <v>24.230111322291609</v>
      </c>
      <c r="R196" s="121"/>
      <c r="S196" s="124">
        <v>260.64999999999998</v>
      </c>
    </row>
    <row r="197" spans="1:19">
      <c r="A197" s="123">
        <v>41645</v>
      </c>
      <c r="B197" s="121">
        <f t="shared" si="15"/>
        <v>1</v>
      </c>
      <c r="C197" s="121">
        <f t="shared" si="16"/>
        <v>2014</v>
      </c>
      <c r="D197" s="124">
        <v>1.5708500000000001</v>
      </c>
      <c r="E197" s="124">
        <v>1.2488250000000001</v>
      </c>
      <c r="F197" s="109">
        <v>282.75299999999999</v>
      </c>
      <c r="G197" s="121"/>
      <c r="H197" s="124">
        <v>5.0766999999999998</v>
      </c>
      <c r="I197" s="124">
        <v>96.593999999999994</v>
      </c>
      <c r="J197" s="124">
        <v>60.22</v>
      </c>
      <c r="K197" s="121"/>
      <c r="L197" s="130">
        <f t="shared" si="12"/>
        <v>0.79499952255148487</v>
      </c>
      <c r="M197" s="130">
        <f t="shared" si="13"/>
        <v>0.17999999999999997</v>
      </c>
      <c r="N197" s="130">
        <f t="shared" si="14"/>
        <v>0.97499952255148481</v>
      </c>
      <c r="O197" s="130"/>
      <c r="P197" s="129">
        <f t="shared" si="17"/>
        <v>81.684200000000004</v>
      </c>
      <c r="Q197" s="129">
        <f t="shared" si="11"/>
        <v>22.622720183340228</v>
      </c>
      <c r="R197" s="121"/>
      <c r="S197" s="124">
        <v>190.15</v>
      </c>
    </row>
    <row r="198" spans="1:19">
      <c r="A198" s="123">
        <v>41652</v>
      </c>
      <c r="B198" s="121">
        <f t="shared" si="15"/>
        <v>1</v>
      </c>
      <c r="C198" s="121">
        <f t="shared" si="16"/>
        <v>2014</v>
      </c>
      <c r="D198" s="124">
        <v>1.7081999999999999</v>
      </c>
      <c r="E198" s="124">
        <v>1.3699440000000001</v>
      </c>
      <c r="F198" s="109">
        <v>310.17599999999999</v>
      </c>
      <c r="G198" s="121"/>
      <c r="H198" s="124">
        <v>4.9401000000000002</v>
      </c>
      <c r="I198" s="124">
        <v>98.555000000000007</v>
      </c>
      <c r="J198" s="124">
        <v>60.18</v>
      </c>
      <c r="K198" s="121"/>
      <c r="L198" s="130">
        <f t="shared" ref="L198:L229" si="18">E198/D198</f>
        <v>0.80198103266596421</v>
      </c>
      <c r="M198" s="130">
        <f t="shared" ref="M198:M229" si="19">F198/1000/D198</f>
        <v>0.18158061116965227</v>
      </c>
      <c r="N198" s="130">
        <f t="shared" ref="N198:N229" si="20">M198+L198</f>
        <v>0.98356164383561651</v>
      </c>
      <c r="O198" s="130"/>
      <c r="P198" s="129">
        <f t="shared" si="17"/>
        <v>88.826399999999992</v>
      </c>
      <c r="Q198" s="129">
        <f t="shared" si="11"/>
        <v>20.243940990516332</v>
      </c>
      <c r="R198" s="121"/>
      <c r="S198" s="124">
        <v>107.25</v>
      </c>
    </row>
    <row r="199" spans="1:19">
      <c r="A199" s="123">
        <v>41659</v>
      </c>
      <c r="B199" s="121">
        <f t="shared" si="15"/>
        <v>1</v>
      </c>
      <c r="C199" s="121">
        <f t="shared" si="16"/>
        <v>2014</v>
      </c>
      <c r="D199" s="124">
        <v>1.589</v>
      </c>
      <c r="E199" s="124">
        <v>1.263255</v>
      </c>
      <c r="F199" s="109">
        <v>286.02</v>
      </c>
      <c r="G199" s="121"/>
      <c r="H199" s="124">
        <v>4.8101000000000003</v>
      </c>
      <c r="I199" s="124"/>
      <c r="J199" s="124"/>
      <c r="K199" s="121"/>
      <c r="L199" s="130">
        <f t="shared" si="18"/>
        <v>0.79500000000000004</v>
      </c>
      <c r="M199" s="130">
        <f t="shared" si="19"/>
        <v>0.18</v>
      </c>
      <c r="N199" s="130">
        <f t="shared" si="20"/>
        <v>0.97500000000000009</v>
      </c>
      <c r="O199" s="130"/>
      <c r="P199" s="129">
        <f t="shared" si="17"/>
        <v>82.628</v>
      </c>
      <c r="Q199" s="129">
        <f t="shared" si="11"/>
        <v>21.189867841409693</v>
      </c>
      <c r="R199" s="121"/>
      <c r="S199" s="124">
        <v>107.25</v>
      </c>
    </row>
    <row r="200" spans="1:19">
      <c r="A200" s="123">
        <v>41666</v>
      </c>
      <c r="B200" s="121">
        <f t="shared" si="15"/>
        <v>1</v>
      </c>
      <c r="C200" s="121">
        <f t="shared" si="16"/>
        <v>2014</v>
      </c>
      <c r="D200" s="124">
        <v>0.54679999999999995</v>
      </c>
      <c r="E200" s="124">
        <v>0.43470599999999998</v>
      </c>
      <c r="F200" s="109">
        <v>98.424000000000007</v>
      </c>
      <c r="G200" s="121"/>
      <c r="H200" s="124"/>
      <c r="I200" s="124"/>
      <c r="J200" s="124"/>
      <c r="K200" s="121"/>
      <c r="L200" s="130">
        <f t="shared" si="18"/>
        <v>0.79500000000000004</v>
      </c>
      <c r="M200" s="130">
        <f t="shared" si="19"/>
        <v>0.18000000000000005</v>
      </c>
      <c r="N200" s="130">
        <f t="shared" si="20"/>
        <v>0.97500000000000009</v>
      </c>
      <c r="O200" s="130"/>
      <c r="P200" s="129">
        <f t="shared" si="17"/>
        <v>28.433599999999998</v>
      </c>
      <c r="Q200" s="129" t="str">
        <f t="shared" si="11"/>
        <v/>
      </c>
      <c r="R200" s="121"/>
      <c r="S200" s="124">
        <v>107.25</v>
      </c>
    </row>
    <row r="201" spans="1:19">
      <c r="A201" s="123">
        <v>41673</v>
      </c>
      <c r="B201" s="121">
        <f t="shared" si="15"/>
        <v>2</v>
      </c>
      <c r="C201" s="121">
        <f t="shared" si="16"/>
        <v>2014</v>
      </c>
      <c r="D201" s="124">
        <v>0.22889999999999999</v>
      </c>
      <c r="E201" s="124">
        <v>0.181975</v>
      </c>
      <c r="F201" s="109">
        <v>41.201999999999998</v>
      </c>
      <c r="G201" s="121"/>
      <c r="H201" s="124">
        <v>5.2604999999999995</v>
      </c>
      <c r="I201" s="124">
        <v>98.367999999999995</v>
      </c>
      <c r="J201" s="124">
        <v>40.76</v>
      </c>
      <c r="K201" s="121"/>
      <c r="L201" s="130">
        <f t="shared" si="18"/>
        <v>0.79499781564001748</v>
      </c>
      <c r="M201" s="130">
        <f t="shared" si="19"/>
        <v>0.18</v>
      </c>
      <c r="N201" s="130">
        <f t="shared" si="20"/>
        <v>0.97499781564001742</v>
      </c>
      <c r="O201" s="130"/>
      <c r="P201" s="129">
        <f t="shared" si="17"/>
        <v>11.902799999999999</v>
      </c>
      <c r="Q201" s="129">
        <f t="shared" si="11"/>
        <v>160.87155963302752</v>
      </c>
      <c r="R201" s="121"/>
      <c r="S201" s="124">
        <v>36</v>
      </c>
    </row>
    <row r="202" spans="1:19">
      <c r="A202" s="123">
        <v>41680</v>
      </c>
      <c r="B202" s="121">
        <f t="shared" si="15"/>
        <v>2</v>
      </c>
      <c r="C202" s="121">
        <f t="shared" si="16"/>
        <v>2014</v>
      </c>
      <c r="D202" s="124">
        <v>1.1852</v>
      </c>
      <c r="E202" s="124">
        <v>0.94223400000000002</v>
      </c>
      <c r="F202" s="109">
        <v>213.33600000000001</v>
      </c>
      <c r="G202" s="121"/>
      <c r="H202" s="124">
        <v>5.4622999999999999</v>
      </c>
      <c r="I202" s="124">
        <v>96.17</v>
      </c>
      <c r="J202" s="124">
        <v>45.79</v>
      </c>
      <c r="K202" s="121"/>
      <c r="L202" s="130">
        <f t="shared" si="18"/>
        <v>0.79500000000000004</v>
      </c>
      <c r="M202" s="130">
        <f t="shared" si="19"/>
        <v>0.18000000000000002</v>
      </c>
      <c r="N202" s="130">
        <f t="shared" si="20"/>
        <v>0.97500000000000009</v>
      </c>
      <c r="O202" s="130"/>
      <c r="P202" s="129">
        <f t="shared" si="17"/>
        <v>61.630400000000002</v>
      </c>
      <c r="Q202" s="129">
        <f t="shared" si="11"/>
        <v>32.261306108673637</v>
      </c>
      <c r="R202" s="121"/>
      <c r="S202" s="124">
        <v>36</v>
      </c>
    </row>
    <row r="203" spans="1:19">
      <c r="A203" s="123">
        <v>41687</v>
      </c>
      <c r="B203" s="121">
        <f t="shared" si="15"/>
        <v>2</v>
      </c>
      <c r="C203" s="121">
        <f t="shared" si="16"/>
        <v>2014</v>
      </c>
      <c r="D203" s="124">
        <v>1.5314000000000001</v>
      </c>
      <c r="E203" s="124">
        <v>1.217463</v>
      </c>
      <c r="F203" s="109">
        <v>275.65199999999999</v>
      </c>
      <c r="G203" s="121"/>
      <c r="H203" s="124">
        <v>5.1004000000000005</v>
      </c>
      <c r="I203" s="124">
        <v>98.32</v>
      </c>
      <c r="J203" s="124">
        <v>68.75</v>
      </c>
      <c r="K203" s="121"/>
      <c r="L203" s="130">
        <f t="shared" si="18"/>
        <v>0.79499999999999993</v>
      </c>
      <c r="M203" s="130">
        <f t="shared" si="19"/>
        <v>0.18</v>
      </c>
      <c r="N203" s="130">
        <f t="shared" si="20"/>
        <v>0.97499999999999987</v>
      </c>
      <c r="O203" s="130"/>
      <c r="P203" s="129">
        <f t="shared" si="17"/>
        <v>79.632800000000003</v>
      </c>
      <c r="Q203" s="129">
        <f t="shared" si="11"/>
        <v>23.313830481911975</v>
      </c>
      <c r="R203" s="121"/>
      <c r="S203" s="124">
        <v>30.45</v>
      </c>
    </row>
    <row r="204" spans="1:19">
      <c r="A204" s="123">
        <v>41694</v>
      </c>
      <c r="B204" s="121">
        <f t="shared" si="15"/>
        <v>2</v>
      </c>
      <c r="C204" s="121">
        <f t="shared" si="16"/>
        <v>2014</v>
      </c>
      <c r="D204" s="124">
        <v>1.4458</v>
      </c>
      <c r="E204" s="124">
        <v>1.149411</v>
      </c>
      <c r="F204" s="109">
        <v>260.24400000000003</v>
      </c>
      <c r="G204" s="121"/>
      <c r="H204" s="124">
        <v>5.1360000000000001</v>
      </c>
      <c r="I204" s="124">
        <v>98.77</v>
      </c>
      <c r="J204" s="124">
        <v>63.5</v>
      </c>
      <c r="K204" s="121"/>
      <c r="L204" s="130">
        <f t="shared" si="18"/>
        <v>0.79500000000000004</v>
      </c>
      <c r="M204" s="130">
        <f t="shared" si="19"/>
        <v>0.18000000000000002</v>
      </c>
      <c r="N204" s="130">
        <f t="shared" si="20"/>
        <v>0.97500000000000009</v>
      </c>
      <c r="O204" s="130"/>
      <c r="P204" s="129">
        <f t="shared" si="17"/>
        <v>75.181600000000003</v>
      </c>
      <c r="Q204" s="129">
        <f t="shared" si="11"/>
        <v>24.866509890717943</v>
      </c>
      <c r="R204" s="121"/>
      <c r="S204" s="124">
        <v>-113.5</v>
      </c>
    </row>
    <row r="205" spans="1:19">
      <c r="A205" s="123">
        <v>41701</v>
      </c>
      <c r="B205" s="121">
        <f t="shared" si="15"/>
        <v>3</v>
      </c>
      <c r="C205" s="121">
        <f t="shared" si="16"/>
        <v>2014</v>
      </c>
      <c r="D205" s="124">
        <v>1.1580999999999999</v>
      </c>
      <c r="E205" s="124">
        <v>0.92068899999999998</v>
      </c>
      <c r="F205" s="109">
        <v>208.458</v>
      </c>
      <c r="G205" s="121"/>
      <c r="H205" s="124">
        <v>5.2412000000000001</v>
      </c>
      <c r="I205" s="124">
        <v>98.24</v>
      </c>
      <c r="J205" s="124">
        <v>86.39</v>
      </c>
      <c r="K205" s="121"/>
      <c r="L205" s="130">
        <f t="shared" si="18"/>
        <v>0.79499956825835427</v>
      </c>
      <c r="M205" s="130">
        <f t="shared" si="19"/>
        <v>0.18000000000000002</v>
      </c>
      <c r="N205" s="130">
        <f t="shared" si="20"/>
        <v>0.97499956825835432</v>
      </c>
      <c r="O205" s="130"/>
      <c r="P205" s="129">
        <f t="shared" si="17"/>
        <v>60.221199999999996</v>
      </c>
      <c r="Q205" s="129">
        <f t="shared" si="11"/>
        <v>31.67982039547535</v>
      </c>
      <c r="R205" s="121"/>
      <c r="S205" s="124">
        <v>-168.65</v>
      </c>
    </row>
    <row r="206" spans="1:19">
      <c r="A206" s="123">
        <v>41708</v>
      </c>
      <c r="B206" s="121">
        <f t="shared" si="15"/>
        <v>3</v>
      </c>
      <c r="C206" s="121">
        <f t="shared" si="16"/>
        <v>2014</v>
      </c>
      <c r="D206" s="124">
        <v>1.1708499999999999</v>
      </c>
      <c r="E206" s="124">
        <v>0.93082500000000001</v>
      </c>
      <c r="F206" s="109">
        <v>210.75299999999999</v>
      </c>
      <c r="G206" s="121"/>
      <c r="H206" s="124">
        <v>5.3162000000000003</v>
      </c>
      <c r="I206" s="124">
        <v>95.84</v>
      </c>
      <c r="J206" s="124">
        <v>88.37</v>
      </c>
      <c r="K206" s="121"/>
      <c r="L206" s="130">
        <f t="shared" si="18"/>
        <v>0.79499935943972333</v>
      </c>
      <c r="M206" s="130">
        <f t="shared" si="19"/>
        <v>0.18</v>
      </c>
      <c r="N206" s="130">
        <f t="shared" si="20"/>
        <v>0.97499935943972327</v>
      </c>
      <c r="O206" s="130"/>
      <c r="P206" s="129">
        <f t="shared" si="17"/>
        <v>60.8842</v>
      </c>
      <c r="Q206" s="129">
        <f t="shared" si="11"/>
        <v>31.783234402357266</v>
      </c>
      <c r="R206" s="121"/>
      <c r="S206" s="124">
        <v>-239.9</v>
      </c>
    </row>
    <row r="207" spans="1:19">
      <c r="A207" s="123">
        <v>41715</v>
      </c>
      <c r="B207" s="121">
        <f t="shared" si="15"/>
        <v>3</v>
      </c>
      <c r="C207" s="121">
        <f t="shared" si="16"/>
        <v>2014</v>
      </c>
      <c r="D207" s="124">
        <v>1.2021999999999999</v>
      </c>
      <c r="E207" s="124">
        <v>0.95574899999999996</v>
      </c>
      <c r="F207" s="109">
        <v>216.39599999999999</v>
      </c>
      <c r="G207" s="121"/>
      <c r="H207" s="124">
        <v>5.2904999999999998</v>
      </c>
      <c r="I207" s="124">
        <v>97.6</v>
      </c>
      <c r="J207" s="124">
        <v>78.849999999999994</v>
      </c>
      <c r="K207" s="121"/>
      <c r="L207" s="130">
        <f t="shared" si="18"/>
        <v>0.79500000000000004</v>
      </c>
      <c r="M207" s="130">
        <f t="shared" si="19"/>
        <v>0.18</v>
      </c>
      <c r="N207" s="130">
        <f t="shared" si="20"/>
        <v>0.97500000000000009</v>
      </c>
      <c r="O207" s="130"/>
      <c r="P207" s="129">
        <f t="shared" si="17"/>
        <v>62.514399999999995</v>
      </c>
      <c r="Q207" s="129">
        <f t="shared" si="11"/>
        <v>30.804774579936783</v>
      </c>
      <c r="R207" s="121"/>
      <c r="S207" s="124">
        <v>-336.5</v>
      </c>
    </row>
    <row r="208" spans="1:19">
      <c r="A208" s="123">
        <v>41722</v>
      </c>
      <c r="B208" s="121">
        <f t="shared" si="15"/>
        <v>3</v>
      </c>
      <c r="C208" s="121">
        <f t="shared" si="16"/>
        <v>2014</v>
      </c>
      <c r="D208" s="124">
        <v>1.3984000000000001</v>
      </c>
      <c r="E208" s="124">
        <v>1.111728</v>
      </c>
      <c r="F208" s="109">
        <v>251.71199999999999</v>
      </c>
      <c r="G208" s="121"/>
      <c r="H208" s="124">
        <v>5.2290000000000001</v>
      </c>
      <c r="I208" s="124">
        <v>96.99</v>
      </c>
      <c r="J208" s="124">
        <v>77.58</v>
      </c>
      <c r="K208" s="121"/>
      <c r="L208" s="130">
        <f t="shared" si="18"/>
        <v>0.79500000000000004</v>
      </c>
      <c r="M208" s="130">
        <f t="shared" si="19"/>
        <v>0.18</v>
      </c>
      <c r="N208" s="130">
        <f t="shared" si="20"/>
        <v>0.97500000000000009</v>
      </c>
      <c r="O208" s="130"/>
      <c r="P208" s="129">
        <f t="shared" si="17"/>
        <v>72.716800000000006</v>
      </c>
      <c r="Q208" s="129">
        <f t="shared" si="11"/>
        <v>26.174914187643022</v>
      </c>
      <c r="R208" s="121"/>
      <c r="S208" s="124">
        <v>-283.75</v>
      </c>
    </row>
    <row r="209" spans="1:19">
      <c r="A209" s="123">
        <v>41729</v>
      </c>
      <c r="B209" s="121">
        <f t="shared" si="15"/>
        <v>3</v>
      </c>
      <c r="C209" s="121">
        <f t="shared" si="16"/>
        <v>2014</v>
      </c>
      <c r="D209" s="124">
        <v>1.4059999999999999</v>
      </c>
      <c r="E209" s="124">
        <v>0.25308000000000003</v>
      </c>
      <c r="F209" s="109">
        <v>253.08</v>
      </c>
      <c r="G209" s="121"/>
      <c r="H209" s="124">
        <v>5.3273000000000001</v>
      </c>
      <c r="I209" s="124">
        <v>99.33</v>
      </c>
      <c r="J209" s="124">
        <v>79.650000000000006</v>
      </c>
      <c r="K209" s="121"/>
      <c r="L209" s="130">
        <f t="shared" si="18"/>
        <v>0.18000000000000002</v>
      </c>
      <c r="M209" s="130">
        <f t="shared" si="19"/>
        <v>0.18000000000000002</v>
      </c>
      <c r="N209" s="130">
        <f t="shared" si="20"/>
        <v>0.36000000000000004</v>
      </c>
      <c r="O209" s="130"/>
      <c r="P209" s="129">
        <f t="shared" si="17"/>
        <v>73.111999999999995</v>
      </c>
      <c r="Q209" s="129">
        <f t="shared" si="11"/>
        <v>26.522830725462306</v>
      </c>
      <c r="R209" s="121"/>
      <c r="S209" s="124">
        <v>-67.7</v>
      </c>
    </row>
    <row r="210" spans="1:19">
      <c r="A210" s="123">
        <v>41736</v>
      </c>
      <c r="B210" s="121">
        <f t="shared" si="15"/>
        <v>4</v>
      </c>
      <c r="C210" s="121">
        <f t="shared" si="16"/>
        <v>2014</v>
      </c>
      <c r="D210" s="124">
        <v>1.2940499999999999</v>
      </c>
      <c r="E210" s="124">
        <v>1.028769</v>
      </c>
      <c r="F210" s="109">
        <v>232.929</v>
      </c>
      <c r="G210" s="121"/>
      <c r="H210" s="124">
        <v>5.4382000000000001</v>
      </c>
      <c r="I210" s="124">
        <v>97.29</v>
      </c>
      <c r="J210" s="124">
        <v>82.16</v>
      </c>
      <c r="K210" s="121"/>
      <c r="L210" s="130">
        <f t="shared" si="18"/>
        <v>0.79499942042424954</v>
      </c>
      <c r="M210" s="130">
        <f t="shared" si="19"/>
        <v>0.18000000000000002</v>
      </c>
      <c r="N210" s="130">
        <f t="shared" si="20"/>
        <v>0.97499942042424959</v>
      </c>
      <c r="O210" s="130"/>
      <c r="P210" s="129">
        <f t="shared" si="17"/>
        <v>67.290599999999998</v>
      </c>
      <c r="Q210" s="129">
        <f t="shared" si="11"/>
        <v>29.417255902013061</v>
      </c>
      <c r="R210" s="121"/>
      <c r="S210" s="124">
        <v>-244.5</v>
      </c>
    </row>
    <row r="211" spans="1:19">
      <c r="A211" s="123">
        <v>41743</v>
      </c>
      <c r="B211" s="121">
        <f t="shared" si="15"/>
        <v>4</v>
      </c>
      <c r="C211" s="121">
        <f t="shared" si="16"/>
        <v>2014</v>
      </c>
      <c r="D211" s="124">
        <v>1.51955</v>
      </c>
      <c r="E211" s="124">
        <v>1.037793</v>
      </c>
      <c r="F211" s="109">
        <v>234.97200000000001</v>
      </c>
      <c r="G211" s="121"/>
      <c r="H211" s="124">
        <v>5.7532000000000005</v>
      </c>
      <c r="I211" s="124">
        <v>98.51</v>
      </c>
      <c r="J211" s="124">
        <v>89.93</v>
      </c>
      <c r="K211" s="121"/>
      <c r="L211" s="130">
        <f t="shared" si="18"/>
        <v>0.68296074495738868</v>
      </c>
      <c r="M211" s="130">
        <f t="shared" si="19"/>
        <v>0.15463262149978613</v>
      </c>
      <c r="N211" s="130">
        <f t="shared" si="20"/>
        <v>0.83759336645717486</v>
      </c>
      <c r="O211" s="130"/>
      <c r="P211" s="129">
        <f t="shared" si="17"/>
        <v>79.016599999999997</v>
      </c>
      <c r="Q211" s="129">
        <f t="shared" si="11"/>
        <v>26.502846237372911</v>
      </c>
      <c r="R211" s="121"/>
      <c r="S211" s="124">
        <v>-244.5</v>
      </c>
    </row>
    <row r="212" spans="1:19">
      <c r="A212" s="123">
        <v>41750</v>
      </c>
      <c r="B212" s="121">
        <f t="shared" si="15"/>
        <v>4</v>
      </c>
      <c r="C212" s="121">
        <f t="shared" si="16"/>
        <v>2014</v>
      </c>
      <c r="D212" s="124">
        <v>1.4995499999999999</v>
      </c>
      <c r="E212" s="124">
        <v>1.192142</v>
      </c>
      <c r="F212" s="109">
        <v>269.91899999999998</v>
      </c>
      <c r="G212" s="121"/>
      <c r="H212" s="124">
        <v>5.5982000000000003</v>
      </c>
      <c r="I212" s="124">
        <v>100.67</v>
      </c>
      <c r="J212" s="124">
        <v>89.65</v>
      </c>
      <c r="K212" s="121"/>
      <c r="L212" s="130">
        <f t="shared" si="18"/>
        <v>0.79499983328331836</v>
      </c>
      <c r="M212" s="130">
        <f t="shared" si="19"/>
        <v>0.18</v>
      </c>
      <c r="N212" s="130">
        <f t="shared" si="20"/>
        <v>0.9749998332833183</v>
      </c>
      <c r="O212" s="130"/>
      <c r="P212" s="129">
        <f t="shared" si="17"/>
        <v>77.976599999999991</v>
      </c>
      <c r="Q212" s="129">
        <f t="shared" ref="Q212:Q275" si="21">IF(H212="","",IF(D212="","",H212/(D212/7)))</f>
        <v>26.13277316528292</v>
      </c>
      <c r="R212" s="121"/>
      <c r="S212" s="124">
        <v>-244.5</v>
      </c>
    </row>
    <row r="213" spans="1:19">
      <c r="A213" s="123">
        <v>41757</v>
      </c>
      <c r="B213" s="121">
        <f t="shared" si="15"/>
        <v>4</v>
      </c>
      <c r="C213" s="121">
        <f t="shared" si="16"/>
        <v>2014</v>
      </c>
      <c r="D213" s="124">
        <v>1.1918500000000001</v>
      </c>
      <c r="E213" s="124">
        <v>0.94752000000000003</v>
      </c>
      <c r="F213" s="109">
        <v>214.53299999999999</v>
      </c>
      <c r="G213" s="121"/>
      <c r="H213" s="124">
        <v>5.7232000000000003</v>
      </c>
      <c r="I213" s="124">
        <v>103.17</v>
      </c>
      <c r="J213" s="124">
        <v>76.06</v>
      </c>
      <c r="K213" s="121"/>
      <c r="L213" s="130">
        <f t="shared" si="18"/>
        <v>0.79499937072618199</v>
      </c>
      <c r="M213" s="130">
        <f t="shared" si="19"/>
        <v>0.17999999999999997</v>
      </c>
      <c r="N213" s="130">
        <f t="shared" si="20"/>
        <v>0.97499937072618192</v>
      </c>
      <c r="O213" s="130"/>
      <c r="P213" s="129">
        <f t="shared" si="17"/>
        <v>61.976200000000006</v>
      </c>
      <c r="Q213" s="129">
        <f t="shared" si="21"/>
        <v>33.613625875739395</v>
      </c>
      <c r="R213" s="121"/>
      <c r="S213" s="124">
        <v>-126.15</v>
      </c>
    </row>
    <row r="214" spans="1:19">
      <c r="A214" s="123">
        <v>41764</v>
      </c>
      <c r="B214" s="121">
        <f t="shared" si="15"/>
        <v>5</v>
      </c>
      <c r="C214" s="121">
        <f t="shared" si="16"/>
        <v>2014</v>
      </c>
      <c r="D214" s="124">
        <v>1.2051499999999999</v>
      </c>
      <c r="E214" s="124">
        <v>0.958094</v>
      </c>
      <c r="F214" s="109">
        <v>216.92699999999999</v>
      </c>
      <c r="G214" s="121"/>
      <c r="H214" s="124">
        <v>5.8692999999999991</v>
      </c>
      <c r="I214" s="124">
        <v>106.79</v>
      </c>
      <c r="J214" s="124">
        <v>78.67</v>
      </c>
      <c r="K214" s="121"/>
      <c r="L214" s="130">
        <f t="shared" si="18"/>
        <v>0.7949997925569432</v>
      </c>
      <c r="M214" s="130">
        <f t="shared" si="19"/>
        <v>0.18</v>
      </c>
      <c r="N214" s="130">
        <f t="shared" si="20"/>
        <v>0.97499979255694313</v>
      </c>
      <c r="O214" s="130"/>
      <c r="P214" s="129">
        <f t="shared" si="17"/>
        <v>62.6678</v>
      </c>
      <c r="Q214" s="129">
        <f t="shared" si="21"/>
        <v>34.091274945027585</v>
      </c>
      <c r="R214" s="121"/>
      <c r="S214" s="124">
        <v>-201</v>
      </c>
    </row>
    <row r="215" spans="1:19">
      <c r="A215" s="123">
        <v>41771</v>
      </c>
      <c r="B215" s="121">
        <f t="shared" si="15"/>
        <v>5</v>
      </c>
      <c r="C215" s="121">
        <f t="shared" si="16"/>
        <v>2014</v>
      </c>
      <c r="D215" s="124">
        <v>1.3826499999999999</v>
      </c>
      <c r="E215" s="124">
        <v>1.0992059999999999</v>
      </c>
      <c r="F215" s="109">
        <v>248.87700000000001</v>
      </c>
      <c r="G215" s="121"/>
      <c r="H215" s="124">
        <v>5.8069000000000006</v>
      </c>
      <c r="I215" s="124">
        <v>104.09</v>
      </c>
      <c r="J215" s="124">
        <v>72.41</v>
      </c>
      <c r="K215" s="121"/>
      <c r="L215" s="130">
        <f t="shared" si="18"/>
        <v>0.79499945756337465</v>
      </c>
      <c r="M215" s="130">
        <f t="shared" si="19"/>
        <v>0.18000000000000002</v>
      </c>
      <c r="N215" s="130">
        <f t="shared" si="20"/>
        <v>0.97499945756337469</v>
      </c>
      <c r="O215" s="130"/>
      <c r="P215" s="129">
        <f t="shared" si="17"/>
        <v>71.897799999999989</v>
      </c>
      <c r="Q215" s="129">
        <f t="shared" si="21"/>
        <v>29.398835569377649</v>
      </c>
      <c r="R215" s="121"/>
      <c r="S215" s="124">
        <v>-244.65</v>
      </c>
    </row>
    <row r="216" spans="1:19">
      <c r="A216" s="123">
        <v>41778</v>
      </c>
      <c r="B216" s="121">
        <f t="shared" si="15"/>
        <v>5</v>
      </c>
      <c r="C216" s="121">
        <f t="shared" si="16"/>
        <v>2014</v>
      </c>
      <c r="D216" s="124">
        <v>1.56185</v>
      </c>
      <c r="E216" s="124">
        <v>1.2416700000000001</v>
      </c>
      <c r="F216" s="109">
        <v>281.13299999999998</v>
      </c>
      <c r="G216" s="121"/>
      <c r="H216" s="124">
        <v>5.9316999999999993</v>
      </c>
      <c r="I216" s="124">
        <v>111.57</v>
      </c>
      <c r="J216" s="124">
        <v>85.14</v>
      </c>
      <c r="K216" s="121"/>
      <c r="L216" s="130">
        <f t="shared" si="18"/>
        <v>0.79499951980023698</v>
      </c>
      <c r="M216" s="130">
        <f t="shared" si="19"/>
        <v>0.18</v>
      </c>
      <c r="N216" s="130">
        <f t="shared" si="20"/>
        <v>0.97499951980023702</v>
      </c>
      <c r="O216" s="130"/>
      <c r="P216" s="129">
        <f t="shared" si="17"/>
        <v>81.216200000000001</v>
      </c>
      <c r="Q216" s="129">
        <f t="shared" si="21"/>
        <v>26.585075391362807</v>
      </c>
      <c r="R216" s="121"/>
      <c r="S216" s="124">
        <v>-189.5</v>
      </c>
    </row>
    <row r="217" spans="1:19">
      <c r="A217" s="123">
        <v>41785</v>
      </c>
      <c r="B217" s="121">
        <f t="shared" si="15"/>
        <v>5</v>
      </c>
      <c r="C217" s="121">
        <f t="shared" si="16"/>
        <v>2014</v>
      </c>
      <c r="D217" s="124">
        <v>1.56325</v>
      </c>
      <c r="E217" s="124">
        <v>1.2369000000000001</v>
      </c>
      <c r="F217" s="109">
        <v>280.053</v>
      </c>
      <c r="G217" s="121"/>
      <c r="H217" s="124">
        <v>5.9550999999999998</v>
      </c>
      <c r="I217" s="124">
        <v>114</v>
      </c>
      <c r="J217" s="124">
        <v>85.98</v>
      </c>
      <c r="K217" s="121"/>
      <c r="L217" s="130">
        <f t="shared" si="18"/>
        <v>0.79123620662082206</v>
      </c>
      <c r="M217" s="130">
        <f t="shared" si="19"/>
        <v>0.17914792899408283</v>
      </c>
      <c r="N217" s="130">
        <f t="shared" si="20"/>
        <v>0.97038413561490489</v>
      </c>
      <c r="O217" s="130"/>
      <c r="P217" s="129">
        <f t="shared" si="17"/>
        <v>81.289000000000001</v>
      </c>
      <c r="Q217" s="129">
        <f t="shared" si="21"/>
        <v>26.666048296817525</v>
      </c>
      <c r="R217" s="121"/>
      <c r="S217" s="124">
        <v>-189.5</v>
      </c>
    </row>
    <row r="218" spans="1:19">
      <c r="A218" s="123">
        <v>41792</v>
      </c>
      <c r="B218" s="121">
        <f t="shared" si="15"/>
        <v>6</v>
      </c>
      <c r="C218" s="121">
        <f t="shared" si="16"/>
        <v>2014</v>
      </c>
      <c r="D218" s="124">
        <v>1.3797999999999999</v>
      </c>
      <c r="E218" s="124">
        <v>1.0969409999999999</v>
      </c>
      <c r="F218" s="109">
        <v>248.364</v>
      </c>
      <c r="G218" s="121"/>
      <c r="H218" s="124">
        <v>6.0461</v>
      </c>
      <c r="I218" s="124">
        <v>117.96</v>
      </c>
      <c r="J218" s="124">
        <v>85.21</v>
      </c>
      <c r="K218" s="121"/>
      <c r="L218" s="130">
        <f t="shared" si="18"/>
        <v>0.79500000000000004</v>
      </c>
      <c r="M218" s="130">
        <f t="shared" si="19"/>
        <v>0.18000000000000002</v>
      </c>
      <c r="N218" s="130">
        <f t="shared" si="20"/>
        <v>0.97500000000000009</v>
      </c>
      <c r="O218" s="130"/>
      <c r="P218" s="129">
        <f t="shared" si="17"/>
        <v>71.749600000000001</v>
      </c>
      <c r="Q218" s="129">
        <f t="shared" si="21"/>
        <v>30.673068560660965</v>
      </c>
      <c r="R218" s="121"/>
      <c r="S218" s="124">
        <v>-288.5</v>
      </c>
    </row>
    <row r="219" spans="1:19">
      <c r="A219" s="123">
        <v>41799</v>
      </c>
      <c r="B219" s="121">
        <f t="shared" si="15"/>
        <v>6</v>
      </c>
      <c r="C219" s="121">
        <f t="shared" si="16"/>
        <v>2014</v>
      </c>
      <c r="D219" s="124">
        <v>1.5580000000000001</v>
      </c>
      <c r="E219" s="124">
        <v>1.23861</v>
      </c>
      <c r="F219" s="109">
        <v>280.44</v>
      </c>
      <c r="G219" s="121"/>
      <c r="H219" s="124">
        <v>5.8779999999999992</v>
      </c>
      <c r="I219" s="124">
        <v>120.79</v>
      </c>
      <c r="J219" s="124">
        <v>92.73</v>
      </c>
      <c r="K219" s="121"/>
      <c r="L219" s="130">
        <f t="shared" si="18"/>
        <v>0.79499999999999993</v>
      </c>
      <c r="M219" s="130">
        <f t="shared" si="19"/>
        <v>0.18000000000000002</v>
      </c>
      <c r="N219" s="130">
        <f t="shared" si="20"/>
        <v>0.97499999999999998</v>
      </c>
      <c r="O219" s="130"/>
      <c r="P219" s="129">
        <f t="shared" si="17"/>
        <v>81.016000000000005</v>
      </c>
      <c r="Q219" s="129">
        <f t="shared" si="21"/>
        <v>26.409499358151471</v>
      </c>
      <c r="R219" s="121"/>
      <c r="S219" s="124">
        <v>-179.25</v>
      </c>
    </row>
    <row r="220" spans="1:19">
      <c r="A220" s="123">
        <v>41806</v>
      </c>
      <c r="B220" s="121">
        <f t="shared" si="15"/>
        <v>6</v>
      </c>
      <c r="C220" s="121">
        <f t="shared" si="16"/>
        <v>2014</v>
      </c>
      <c r="D220" s="124">
        <v>1.5909</v>
      </c>
      <c r="E220" s="124">
        <v>1.2647649999999999</v>
      </c>
      <c r="F220" s="109">
        <v>286.36200000000002</v>
      </c>
      <c r="G220" s="121"/>
      <c r="H220" s="124">
        <v>5.9405999999999999</v>
      </c>
      <c r="I220" s="124">
        <v>124.44</v>
      </c>
      <c r="J220" s="124">
        <v>100.03</v>
      </c>
      <c r="K220" s="121"/>
      <c r="L220" s="130">
        <f t="shared" si="18"/>
        <v>0.79499968571248969</v>
      </c>
      <c r="M220" s="130">
        <f t="shared" si="19"/>
        <v>0.18</v>
      </c>
      <c r="N220" s="130">
        <f t="shared" si="20"/>
        <v>0.97499968571248963</v>
      </c>
      <c r="O220" s="130"/>
      <c r="P220" s="129">
        <f t="shared" si="17"/>
        <v>82.726799999999997</v>
      </c>
      <c r="Q220" s="129">
        <f t="shared" si="21"/>
        <v>26.138789364510654</v>
      </c>
      <c r="R220" s="121"/>
      <c r="S220" s="124">
        <v>-179.25</v>
      </c>
    </row>
    <row r="221" spans="1:19">
      <c r="A221" s="123">
        <v>41813</v>
      </c>
      <c r="B221" s="121">
        <f t="shared" si="15"/>
        <v>6</v>
      </c>
      <c r="C221" s="121">
        <f t="shared" si="16"/>
        <v>2014</v>
      </c>
      <c r="D221" s="124">
        <v>1.3806</v>
      </c>
      <c r="E221" s="124">
        <v>1.097577</v>
      </c>
      <c r="F221" s="109">
        <v>248.50800000000001</v>
      </c>
      <c r="G221" s="121"/>
      <c r="H221" s="124">
        <v>6.0548999999999999</v>
      </c>
      <c r="I221" s="124">
        <v>125.74</v>
      </c>
      <c r="J221" s="124">
        <v>96.42</v>
      </c>
      <c r="K221" s="121"/>
      <c r="L221" s="130">
        <f t="shared" si="18"/>
        <v>0.79500000000000004</v>
      </c>
      <c r="M221" s="130">
        <f t="shared" si="19"/>
        <v>0.18</v>
      </c>
      <c r="N221" s="130">
        <f t="shared" si="20"/>
        <v>0.97500000000000009</v>
      </c>
      <c r="O221" s="130"/>
      <c r="P221" s="129">
        <f t="shared" si="17"/>
        <v>71.791200000000003</v>
      </c>
      <c r="Q221" s="129">
        <f t="shared" si="21"/>
        <v>30.69991308126901</v>
      </c>
      <c r="R221" s="121"/>
      <c r="S221" s="124">
        <v>-187.3</v>
      </c>
    </row>
    <row r="222" spans="1:19">
      <c r="A222" s="123">
        <v>41820</v>
      </c>
      <c r="B222" s="121">
        <f t="shared" si="15"/>
        <v>6</v>
      </c>
      <c r="C222" s="121">
        <f t="shared" si="16"/>
        <v>2014</v>
      </c>
      <c r="D222" s="124">
        <v>1.3065</v>
      </c>
      <c r="E222" s="124">
        <v>1.038667</v>
      </c>
      <c r="F222" s="109">
        <v>235.17</v>
      </c>
      <c r="G222" s="121"/>
      <c r="H222" s="124"/>
      <c r="I222" s="125">
        <f>AVERAGE(I221,I223)</f>
        <v>126.99000000000001</v>
      </c>
      <c r="J222" s="124">
        <v>86.39</v>
      </c>
      <c r="K222" s="121"/>
      <c r="L222" s="130">
        <f t="shared" si="18"/>
        <v>0.79499961729812474</v>
      </c>
      <c r="M222" s="130">
        <f t="shared" si="19"/>
        <v>0.18</v>
      </c>
      <c r="N222" s="130">
        <f t="shared" si="20"/>
        <v>0.97499961729812479</v>
      </c>
      <c r="O222" s="130"/>
      <c r="P222" s="129">
        <f t="shared" si="17"/>
        <v>67.938000000000002</v>
      </c>
      <c r="Q222" s="129" t="str">
        <f t="shared" si="21"/>
        <v/>
      </c>
      <c r="R222" s="121"/>
      <c r="S222" s="124">
        <v>-230.65</v>
      </c>
    </row>
    <row r="223" spans="1:19">
      <c r="A223" s="123">
        <v>41827</v>
      </c>
      <c r="B223" s="121">
        <f t="shared" si="15"/>
        <v>7</v>
      </c>
      <c r="C223" s="121">
        <f t="shared" si="16"/>
        <v>2014</v>
      </c>
      <c r="D223" s="124">
        <v>1.3224</v>
      </c>
      <c r="E223" s="124">
        <v>1.0513079999999999</v>
      </c>
      <c r="F223" s="109">
        <v>238.03200000000001</v>
      </c>
      <c r="G223" s="121"/>
      <c r="H223" s="124">
        <v>6.0596000000000005</v>
      </c>
      <c r="I223" s="124">
        <v>128.24</v>
      </c>
      <c r="J223" s="124">
        <v>42.9</v>
      </c>
      <c r="K223" s="121"/>
      <c r="L223" s="130">
        <f t="shared" si="18"/>
        <v>0.79499999999999993</v>
      </c>
      <c r="M223" s="130">
        <f t="shared" si="19"/>
        <v>0.18000000000000002</v>
      </c>
      <c r="N223" s="130">
        <f t="shared" si="20"/>
        <v>0.97499999999999998</v>
      </c>
      <c r="O223" s="130"/>
      <c r="P223" s="129">
        <f t="shared" si="17"/>
        <v>68.764800000000008</v>
      </c>
      <c r="Q223" s="129">
        <f t="shared" si="21"/>
        <v>32.075922565033274</v>
      </c>
      <c r="R223" s="121"/>
      <c r="S223" s="124">
        <v>-321.60000000000002</v>
      </c>
    </row>
    <row r="224" spans="1:19">
      <c r="A224" s="123">
        <v>41834</v>
      </c>
      <c r="B224" s="121">
        <f t="shared" si="15"/>
        <v>7</v>
      </c>
      <c r="C224" s="121">
        <f t="shared" si="16"/>
        <v>2014</v>
      </c>
      <c r="D224" s="124">
        <v>1.4577</v>
      </c>
      <c r="E224" s="124">
        <v>1.158871</v>
      </c>
      <c r="F224" s="109">
        <v>262.38600000000002</v>
      </c>
      <c r="G224" s="121"/>
      <c r="H224" s="124">
        <v>5.9808000000000003</v>
      </c>
      <c r="I224" s="124">
        <v>130.26</v>
      </c>
      <c r="J224" s="124">
        <v>101.02</v>
      </c>
      <c r="K224" s="121"/>
      <c r="L224" s="130">
        <f t="shared" si="18"/>
        <v>0.79499965699389452</v>
      </c>
      <c r="M224" s="130">
        <f t="shared" si="19"/>
        <v>0.18</v>
      </c>
      <c r="N224" s="130">
        <f t="shared" si="20"/>
        <v>0.97499965699389457</v>
      </c>
      <c r="O224" s="130"/>
      <c r="P224" s="129">
        <f t="shared" si="17"/>
        <v>75.800399999999996</v>
      </c>
      <c r="Q224" s="129">
        <f t="shared" si="21"/>
        <v>28.720312821568225</v>
      </c>
      <c r="R224" s="121"/>
      <c r="S224" s="124">
        <v>-364.25</v>
      </c>
    </row>
    <row r="225" spans="1:19">
      <c r="A225" s="123">
        <v>41841</v>
      </c>
      <c r="B225" s="121">
        <f t="shared" si="15"/>
        <v>7</v>
      </c>
      <c r="C225" s="121">
        <f t="shared" si="16"/>
        <v>2014</v>
      </c>
      <c r="D225" s="124">
        <v>1.3369</v>
      </c>
      <c r="E225" s="124">
        <v>1.062835</v>
      </c>
      <c r="F225" s="109">
        <v>240.642</v>
      </c>
      <c r="G225" s="121"/>
      <c r="H225" s="124">
        <v>5.9317999999999991</v>
      </c>
      <c r="I225" s="124">
        <v>131.13</v>
      </c>
      <c r="J225" s="124">
        <v>88.79</v>
      </c>
      <c r="K225" s="121"/>
      <c r="L225" s="130">
        <f t="shared" si="18"/>
        <v>0.79499962600044882</v>
      </c>
      <c r="M225" s="130">
        <f t="shared" si="19"/>
        <v>0.18</v>
      </c>
      <c r="N225" s="130">
        <f t="shared" si="20"/>
        <v>0.97499962600044876</v>
      </c>
      <c r="O225" s="130"/>
      <c r="P225" s="129">
        <f t="shared" si="17"/>
        <v>69.518799999999999</v>
      </c>
      <c r="Q225" s="129">
        <f t="shared" si="21"/>
        <v>31.05886752935896</v>
      </c>
      <c r="R225" s="121"/>
      <c r="S225" s="124">
        <v>-332.75</v>
      </c>
    </row>
    <row r="226" spans="1:19">
      <c r="A226" s="123">
        <v>41848</v>
      </c>
      <c r="B226" s="121">
        <f t="shared" si="15"/>
        <v>7</v>
      </c>
      <c r="C226" s="121">
        <f t="shared" si="16"/>
        <v>2014</v>
      </c>
      <c r="D226" s="124">
        <v>1.46705</v>
      </c>
      <c r="E226" s="124">
        <v>1.166304</v>
      </c>
      <c r="F226" s="109">
        <v>264.06900000000002</v>
      </c>
      <c r="G226" s="121"/>
      <c r="H226" s="124">
        <v>6.2732000000000001</v>
      </c>
      <c r="I226" s="124">
        <v>130.43</v>
      </c>
      <c r="J226" s="124">
        <v>85</v>
      </c>
      <c r="K226" s="121"/>
      <c r="L226" s="130">
        <f t="shared" si="18"/>
        <v>0.79499948876998061</v>
      </c>
      <c r="M226" s="130">
        <f t="shared" si="19"/>
        <v>0.18</v>
      </c>
      <c r="N226" s="130">
        <f t="shared" si="20"/>
        <v>0.97499948876998066</v>
      </c>
      <c r="O226" s="130"/>
      <c r="P226" s="129">
        <f t="shared" si="17"/>
        <v>76.286599999999993</v>
      </c>
      <c r="Q226" s="129">
        <f t="shared" si="21"/>
        <v>29.932449473433081</v>
      </c>
      <c r="R226" s="121"/>
      <c r="S226" s="124">
        <v>-292.5</v>
      </c>
    </row>
    <row r="227" spans="1:19">
      <c r="A227" s="123">
        <v>41855</v>
      </c>
      <c r="B227" s="121">
        <f t="shared" si="15"/>
        <v>8</v>
      </c>
      <c r="C227" s="121">
        <f t="shared" si="16"/>
        <v>2014</v>
      </c>
      <c r="D227" s="124">
        <v>1.62825</v>
      </c>
      <c r="E227" s="124">
        <v>1.2944580000000001</v>
      </c>
      <c r="F227" s="109">
        <v>293.08499999999998</v>
      </c>
      <c r="G227" s="121"/>
      <c r="H227" s="124">
        <v>6.5721000000000007</v>
      </c>
      <c r="I227" s="124">
        <v>136.25</v>
      </c>
      <c r="J227" s="124">
        <v>89.7</v>
      </c>
      <c r="K227" s="121"/>
      <c r="L227" s="130">
        <f t="shared" si="18"/>
        <v>0.79499953938277301</v>
      </c>
      <c r="M227" s="130">
        <f t="shared" si="19"/>
        <v>0.18</v>
      </c>
      <c r="N227" s="130">
        <f t="shared" si="20"/>
        <v>0.97499953938277306</v>
      </c>
      <c r="O227" s="130"/>
      <c r="P227" s="129">
        <f t="shared" si="17"/>
        <v>84.668999999999997</v>
      </c>
      <c r="Q227" s="129">
        <f t="shared" si="21"/>
        <v>28.2540764624597</v>
      </c>
      <c r="R227" s="121"/>
      <c r="S227" s="124">
        <v>-332.75</v>
      </c>
    </row>
    <row r="228" spans="1:19">
      <c r="A228" s="123">
        <v>41862</v>
      </c>
      <c r="B228" s="121">
        <f t="shared" si="15"/>
        <v>8</v>
      </c>
      <c r="C228" s="121">
        <f t="shared" si="16"/>
        <v>2014</v>
      </c>
      <c r="D228" s="124">
        <v>1.4882500000000001</v>
      </c>
      <c r="E228" s="124">
        <v>1.1831579999999999</v>
      </c>
      <c r="F228" s="109">
        <v>267.88499999999999</v>
      </c>
      <c r="G228" s="121"/>
      <c r="H228" s="124">
        <v>6.5721000000000007</v>
      </c>
      <c r="I228" s="124">
        <v>136.25</v>
      </c>
      <c r="J228" s="124">
        <v>87.89</v>
      </c>
      <c r="K228" s="121"/>
      <c r="L228" s="130">
        <f t="shared" si="18"/>
        <v>0.79499949605241049</v>
      </c>
      <c r="M228" s="130">
        <f t="shared" si="19"/>
        <v>0.18</v>
      </c>
      <c r="N228" s="130">
        <f t="shared" si="20"/>
        <v>0.97499949605241043</v>
      </c>
      <c r="O228" s="130"/>
      <c r="P228" s="129">
        <f t="shared" si="17"/>
        <v>77.38900000000001</v>
      </c>
      <c r="Q228" s="129">
        <f t="shared" si="21"/>
        <v>30.911943557869986</v>
      </c>
      <c r="R228" s="121"/>
      <c r="S228" s="124">
        <v>-348.85</v>
      </c>
    </row>
    <row r="229" spans="1:19">
      <c r="A229" s="123">
        <v>41869</v>
      </c>
      <c r="B229" s="121">
        <f t="shared" si="15"/>
        <v>8</v>
      </c>
      <c r="C229" s="121">
        <f t="shared" si="16"/>
        <v>2014</v>
      </c>
      <c r="D229" s="124">
        <v>1.42245</v>
      </c>
      <c r="E229" s="124">
        <v>1.1308469999999999</v>
      </c>
      <c r="F229" s="109">
        <v>256.041</v>
      </c>
      <c r="G229" s="121"/>
      <c r="H229" s="124">
        <v>6.5151000000000003</v>
      </c>
      <c r="I229" s="124">
        <v>133.35</v>
      </c>
      <c r="J229" s="124">
        <v>86.22</v>
      </c>
      <c r="K229" s="121"/>
      <c r="L229" s="130">
        <f t="shared" si="18"/>
        <v>0.79499947274069382</v>
      </c>
      <c r="M229" s="130">
        <f t="shared" si="19"/>
        <v>0.18000000000000002</v>
      </c>
      <c r="N229" s="130">
        <f t="shared" si="20"/>
        <v>0.97499947274069387</v>
      </c>
      <c r="O229" s="130"/>
      <c r="P229" s="129">
        <f t="shared" si="17"/>
        <v>73.967399999999998</v>
      </c>
      <c r="Q229" s="129">
        <f t="shared" si="21"/>
        <v>32.061372983233156</v>
      </c>
      <c r="R229" s="121"/>
      <c r="S229" s="124">
        <v>-258.10000000000002</v>
      </c>
    </row>
    <row r="230" spans="1:19">
      <c r="A230" s="123">
        <v>41876</v>
      </c>
      <c r="B230" s="121">
        <f t="shared" si="15"/>
        <v>8</v>
      </c>
      <c r="C230" s="121">
        <f t="shared" si="16"/>
        <v>2014</v>
      </c>
      <c r="D230" s="124">
        <v>1.51305</v>
      </c>
      <c r="E230" s="124">
        <v>1.202874</v>
      </c>
      <c r="F230" s="109">
        <v>272.34899999999999</v>
      </c>
      <c r="G230" s="121"/>
      <c r="H230" s="124">
        <v>6.4360999999999997</v>
      </c>
      <c r="I230" s="124">
        <v>135.56</v>
      </c>
      <c r="J230" s="124">
        <v>87.98</v>
      </c>
      <c r="K230" s="121"/>
      <c r="L230" s="130">
        <f t="shared" ref="L230:L246" si="22">E230/D230</f>
        <v>0.79499950431248145</v>
      </c>
      <c r="M230" s="130">
        <f t="shared" ref="M230:M246" si="23">F230/1000/D230</f>
        <v>0.18</v>
      </c>
      <c r="N230" s="130">
        <f t="shared" ref="N230:N246" si="24">M230+L230</f>
        <v>0.9749995043124815</v>
      </c>
      <c r="O230" s="130"/>
      <c r="P230" s="129">
        <f t="shared" si="17"/>
        <v>78.678600000000003</v>
      </c>
      <c r="Q230" s="129">
        <f t="shared" si="21"/>
        <v>29.776081424936383</v>
      </c>
      <c r="R230" s="121"/>
      <c r="S230" s="124">
        <v>-269.75</v>
      </c>
    </row>
    <row r="231" spans="1:19">
      <c r="A231" s="123">
        <v>41883</v>
      </c>
      <c r="B231" s="121">
        <f t="shared" si="15"/>
        <v>9</v>
      </c>
      <c r="C231" s="121">
        <f t="shared" si="16"/>
        <v>2014</v>
      </c>
      <c r="D231" s="124">
        <v>1.2790999999999999</v>
      </c>
      <c r="E231" s="124">
        <v>1.0168839999999999</v>
      </c>
      <c r="F231" s="109">
        <v>230.238</v>
      </c>
      <c r="G231" s="121"/>
      <c r="H231" s="124">
        <v>6.4360999999999997</v>
      </c>
      <c r="I231" s="124">
        <v>135.91999999999999</v>
      </c>
      <c r="J231" s="124">
        <v>73.41</v>
      </c>
      <c r="K231" s="121"/>
      <c r="L231" s="130">
        <f t="shared" si="22"/>
        <v>0.79499960910014855</v>
      </c>
      <c r="M231" s="130">
        <f t="shared" si="23"/>
        <v>0.18000000000000002</v>
      </c>
      <c r="N231" s="130">
        <f t="shared" si="24"/>
        <v>0.9749996091001486</v>
      </c>
      <c r="O231" s="130"/>
      <c r="P231" s="129">
        <f t="shared" si="17"/>
        <v>66.513199999999998</v>
      </c>
      <c r="Q231" s="129">
        <f t="shared" si="21"/>
        <v>35.222187475568759</v>
      </c>
      <c r="R231" s="121"/>
      <c r="S231" s="124">
        <v>-303.14999999999998</v>
      </c>
    </row>
    <row r="232" spans="1:19">
      <c r="A232" s="123">
        <v>41890</v>
      </c>
      <c r="B232" s="121">
        <f t="shared" si="15"/>
        <v>9</v>
      </c>
      <c r="C232" s="121">
        <f t="shared" si="16"/>
        <v>2014</v>
      </c>
      <c r="D232" s="124">
        <v>1.3102499999999999</v>
      </c>
      <c r="E232" s="124">
        <v>1.0416479999999999</v>
      </c>
      <c r="F232" s="109">
        <v>235.345</v>
      </c>
      <c r="G232" s="121"/>
      <c r="H232" s="124">
        <v>6.2582000000000004</v>
      </c>
      <c r="I232" s="124">
        <v>130.54</v>
      </c>
      <c r="J232" s="124">
        <v>81.319999999999993</v>
      </c>
      <c r="K232" s="121"/>
      <c r="L232" s="130">
        <f t="shared" si="22"/>
        <v>0.79499942759015452</v>
      </c>
      <c r="M232" s="130">
        <f t="shared" si="23"/>
        <v>0.17961839343636712</v>
      </c>
      <c r="N232" s="130">
        <f t="shared" si="24"/>
        <v>0.97461782102652161</v>
      </c>
      <c r="O232" s="130"/>
      <c r="P232" s="129">
        <f t="shared" si="17"/>
        <v>68.132999999999996</v>
      </c>
      <c r="Q232" s="129">
        <f t="shared" si="21"/>
        <v>33.434382751383325</v>
      </c>
      <c r="R232" s="121"/>
      <c r="S232" s="124">
        <v>-334.15</v>
      </c>
    </row>
    <row r="233" spans="1:19">
      <c r="A233" s="123">
        <v>41897</v>
      </c>
      <c r="B233" s="121">
        <f t="shared" si="15"/>
        <v>9</v>
      </c>
      <c r="C233" s="121">
        <f t="shared" si="16"/>
        <v>2014</v>
      </c>
      <c r="D233" s="124">
        <v>1.49065</v>
      </c>
      <c r="E233" s="124">
        <v>1.185066</v>
      </c>
      <c r="F233" s="109">
        <v>268.31700000000001</v>
      </c>
      <c r="G233" s="121"/>
      <c r="H233" s="124">
        <v>6.1052</v>
      </c>
      <c r="I233" s="124">
        <v>132.62</v>
      </c>
      <c r="J233" s="124">
        <v>73.349999999999994</v>
      </c>
      <c r="K233" s="121"/>
      <c r="L233" s="130">
        <f t="shared" si="22"/>
        <v>0.79499949686378424</v>
      </c>
      <c r="M233" s="130">
        <f t="shared" si="23"/>
        <v>0.18000000000000002</v>
      </c>
      <c r="N233" s="130">
        <f t="shared" si="24"/>
        <v>0.97499949686378429</v>
      </c>
      <c r="O233" s="130"/>
      <c r="P233" s="129">
        <f t="shared" si="17"/>
        <v>77.513800000000003</v>
      </c>
      <c r="Q233" s="129">
        <f t="shared" si="21"/>
        <v>28.669640760741959</v>
      </c>
      <c r="R233" s="121"/>
      <c r="S233" s="124">
        <v>-334.15</v>
      </c>
    </row>
    <row r="234" spans="1:19">
      <c r="A234" s="123">
        <v>41904</v>
      </c>
      <c r="B234" s="121">
        <f t="shared" si="15"/>
        <v>9</v>
      </c>
      <c r="C234" s="121">
        <f t="shared" si="16"/>
        <v>2014</v>
      </c>
      <c r="D234" s="124">
        <v>1.5069999999999999</v>
      </c>
      <c r="E234" s="124">
        <v>1.1980649999999999</v>
      </c>
      <c r="F234" s="109">
        <v>271.26</v>
      </c>
      <c r="G234" s="121"/>
      <c r="H234" s="124"/>
      <c r="I234" s="124">
        <v>132.63999999999999</v>
      </c>
      <c r="J234" s="124">
        <v>69.05</v>
      </c>
      <c r="K234" s="121"/>
      <c r="L234" s="130">
        <f t="shared" si="22"/>
        <v>0.79500000000000004</v>
      </c>
      <c r="M234" s="130">
        <f t="shared" si="23"/>
        <v>0.18000000000000002</v>
      </c>
      <c r="N234" s="130">
        <f t="shared" si="24"/>
        <v>0.97500000000000009</v>
      </c>
      <c r="O234" s="130"/>
      <c r="P234" s="129">
        <f t="shared" si="17"/>
        <v>78.36399999999999</v>
      </c>
      <c r="Q234" s="129" t="str">
        <f t="shared" si="21"/>
        <v/>
      </c>
      <c r="R234" s="121"/>
      <c r="S234" s="124">
        <v>-84.15</v>
      </c>
    </row>
    <row r="235" spans="1:19">
      <c r="A235" s="123">
        <v>41911</v>
      </c>
      <c r="B235" s="121">
        <f t="shared" si="15"/>
        <v>9</v>
      </c>
      <c r="C235" s="121">
        <f t="shared" si="16"/>
        <v>2014</v>
      </c>
      <c r="D235" s="124">
        <v>1.28955</v>
      </c>
      <c r="E235" s="124">
        <v>1.0251920000000001</v>
      </c>
      <c r="F235" s="109">
        <v>232.119</v>
      </c>
      <c r="G235" s="121"/>
      <c r="H235" s="124"/>
      <c r="I235" s="125">
        <f>AVERAGE(I234,I236)</f>
        <v>135.30000000000001</v>
      </c>
      <c r="J235" s="124">
        <v>60.22</v>
      </c>
      <c r="K235" s="121"/>
      <c r="L235" s="130">
        <f t="shared" si="22"/>
        <v>0.79499980613392274</v>
      </c>
      <c r="M235" s="130">
        <f t="shared" si="23"/>
        <v>0.18</v>
      </c>
      <c r="N235" s="130">
        <f t="shared" si="24"/>
        <v>0.97499980613392268</v>
      </c>
      <c r="O235" s="130"/>
      <c r="P235" s="129">
        <f t="shared" si="17"/>
        <v>67.056600000000003</v>
      </c>
      <c r="Q235" s="129" t="str">
        <f t="shared" si="21"/>
        <v/>
      </c>
      <c r="R235" s="121"/>
      <c r="S235" s="124">
        <v>-84.15</v>
      </c>
    </row>
    <row r="236" spans="1:19">
      <c r="A236" s="123">
        <v>41918</v>
      </c>
      <c r="B236" s="121">
        <f t="shared" si="15"/>
        <v>10</v>
      </c>
      <c r="C236" s="121">
        <f t="shared" si="16"/>
        <v>2014</v>
      </c>
      <c r="D236" s="124">
        <v>1.1940500000000001</v>
      </c>
      <c r="E236" s="124">
        <v>0.94926900000000003</v>
      </c>
      <c r="F236" s="109">
        <v>214.929</v>
      </c>
      <c r="G236" s="121"/>
      <c r="H236" s="124"/>
      <c r="I236" s="124">
        <v>137.96</v>
      </c>
      <c r="J236" s="124">
        <v>57.92</v>
      </c>
      <c r="K236" s="121"/>
      <c r="L236" s="130">
        <f t="shared" si="22"/>
        <v>0.79499937188559944</v>
      </c>
      <c r="M236" s="130">
        <f t="shared" si="23"/>
        <v>0.18</v>
      </c>
      <c r="N236" s="130">
        <f t="shared" si="24"/>
        <v>0.97499937188559938</v>
      </c>
      <c r="O236" s="130"/>
      <c r="P236" s="129">
        <f t="shared" si="17"/>
        <v>62.090600000000002</v>
      </c>
      <c r="Q236" s="129" t="str">
        <f t="shared" si="21"/>
        <v/>
      </c>
      <c r="R236" s="121"/>
      <c r="S236" s="124">
        <v>-25.4</v>
      </c>
    </row>
    <row r="237" spans="1:19">
      <c r="A237" s="123">
        <v>41925</v>
      </c>
      <c r="B237" s="121">
        <f t="shared" si="15"/>
        <v>10</v>
      </c>
      <c r="C237" s="121">
        <f t="shared" si="16"/>
        <v>2014</v>
      </c>
      <c r="D237" s="124">
        <v>1.4741500000000001</v>
      </c>
      <c r="E237" s="124">
        <v>1.1719489999999999</v>
      </c>
      <c r="F237" s="109">
        <v>265.34699999999998</v>
      </c>
      <c r="G237" s="121"/>
      <c r="H237" s="124"/>
      <c r="I237" s="124">
        <v>135.517</v>
      </c>
      <c r="J237" s="124">
        <v>51.2</v>
      </c>
      <c r="K237" s="121"/>
      <c r="L237" s="130">
        <f t="shared" si="22"/>
        <v>0.79499983041074507</v>
      </c>
      <c r="M237" s="130">
        <f t="shared" si="23"/>
        <v>0.18</v>
      </c>
      <c r="N237" s="130">
        <f t="shared" si="24"/>
        <v>0.97499983041074501</v>
      </c>
      <c r="O237" s="130"/>
      <c r="P237" s="129">
        <f t="shared" si="17"/>
        <v>76.655799999999999</v>
      </c>
      <c r="Q237" s="129" t="str">
        <f t="shared" si="21"/>
        <v/>
      </c>
      <c r="R237" s="121"/>
      <c r="S237" s="124">
        <v>58</v>
      </c>
    </row>
    <row r="238" spans="1:19">
      <c r="A238" s="123">
        <v>41932</v>
      </c>
      <c r="B238" s="121">
        <f t="shared" si="15"/>
        <v>10</v>
      </c>
      <c r="C238" s="121">
        <f t="shared" si="16"/>
        <v>2014</v>
      </c>
      <c r="D238" s="124">
        <v>1.45645</v>
      </c>
      <c r="E238" s="124">
        <v>1.157877</v>
      </c>
      <c r="F238" s="109">
        <v>262.161</v>
      </c>
      <c r="G238" s="121"/>
      <c r="H238" s="124"/>
      <c r="I238" s="124">
        <v>134.21</v>
      </c>
      <c r="J238" s="124">
        <v>52.77</v>
      </c>
      <c r="K238" s="121"/>
      <c r="L238" s="130">
        <f t="shared" si="22"/>
        <v>0.79499948504926365</v>
      </c>
      <c r="M238" s="130">
        <f t="shared" si="23"/>
        <v>0.18</v>
      </c>
      <c r="N238" s="130">
        <f t="shared" si="24"/>
        <v>0.97499948504926359</v>
      </c>
      <c r="O238" s="130"/>
      <c r="P238" s="129">
        <f t="shared" si="17"/>
        <v>75.735399999999998</v>
      </c>
      <c r="Q238" s="129" t="str">
        <f t="shared" si="21"/>
        <v/>
      </c>
      <c r="R238" s="121"/>
      <c r="S238" s="124">
        <v>98.75</v>
      </c>
    </row>
    <row r="239" spans="1:19">
      <c r="A239" s="123">
        <v>41939</v>
      </c>
      <c r="B239" s="121">
        <f t="shared" si="15"/>
        <v>10</v>
      </c>
      <c r="C239" s="121">
        <f t="shared" si="16"/>
        <v>2014</v>
      </c>
      <c r="D239" s="124">
        <v>1.38215</v>
      </c>
      <c r="E239" s="124">
        <v>1.0988089999999999</v>
      </c>
      <c r="F239" s="109">
        <v>248.78700000000001</v>
      </c>
      <c r="G239" s="121"/>
      <c r="H239" s="124"/>
      <c r="I239" s="124">
        <v>131.88999999999999</v>
      </c>
      <c r="J239" s="124">
        <v>49.17</v>
      </c>
      <c r="K239" s="121"/>
      <c r="L239" s="130">
        <f t="shared" si="22"/>
        <v>0.79499981912238171</v>
      </c>
      <c r="M239" s="130">
        <f t="shared" si="23"/>
        <v>0.18000000000000002</v>
      </c>
      <c r="N239" s="130">
        <f t="shared" si="24"/>
        <v>0.97499981912238176</v>
      </c>
      <c r="O239" s="130"/>
      <c r="P239" s="129">
        <f t="shared" si="17"/>
        <v>71.871799999999993</v>
      </c>
      <c r="Q239" s="129" t="str">
        <f t="shared" si="21"/>
        <v/>
      </c>
      <c r="R239" s="121"/>
      <c r="S239" s="124">
        <v>182.15</v>
      </c>
    </row>
    <row r="240" spans="1:19">
      <c r="A240" s="123">
        <v>41946</v>
      </c>
      <c r="B240" s="121">
        <f t="shared" si="15"/>
        <v>11</v>
      </c>
      <c r="C240" s="121">
        <f t="shared" si="16"/>
        <v>2014</v>
      </c>
      <c r="D240" s="124">
        <v>1.19825</v>
      </c>
      <c r="E240" s="124">
        <v>0.95260800000000001</v>
      </c>
      <c r="F240" s="109">
        <v>215.685</v>
      </c>
      <c r="G240" s="121"/>
      <c r="H240" s="124">
        <v>4.4047999999999998</v>
      </c>
      <c r="I240" s="124">
        <v>129.19999999999999</v>
      </c>
      <c r="J240" s="124">
        <v>42.9</v>
      </c>
      <c r="K240" s="121"/>
      <c r="L240" s="130">
        <f t="shared" si="22"/>
        <v>0.79499937408721055</v>
      </c>
      <c r="M240" s="130">
        <f t="shared" si="23"/>
        <v>0.18000000000000002</v>
      </c>
      <c r="N240" s="130">
        <f t="shared" si="24"/>
        <v>0.9749993740872106</v>
      </c>
      <c r="O240" s="130"/>
      <c r="P240" s="129">
        <f t="shared" si="17"/>
        <v>62.309000000000005</v>
      </c>
      <c r="Q240" s="129">
        <f t="shared" si="21"/>
        <v>25.732192781139162</v>
      </c>
      <c r="R240" s="121"/>
      <c r="S240" s="124">
        <v>159.85</v>
      </c>
    </row>
    <row r="241" spans="1:19">
      <c r="A241" s="123">
        <v>41953</v>
      </c>
      <c r="B241" s="121">
        <f t="shared" si="15"/>
        <v>11</v>
      </c>
      <c r="C241" s="121">
        <f t="shared" si="16"/>
        <v>2014</v>
      </c>
      <c r="D241" s="124">
        <v>1.32155</v>
      </c>
      <c r="E241" s="124">
        <v>1.050632</v>
      </c>
      <c r="F241" s="109">
        <v>237.87899999999999</v>
      </c>
      <c r="G241" s="121"/>
      <c r="H241" s="124"/>
      <c r="I241" s="124">
        <v>122.47</v>
      </c>
      <c r="J241" s="124">
        <v>40.700000000000003</v>
      </c>
      <c r="K241" s="121"/>
      <c r="L241" s="130">
        <f t="shared" si="22"/>
        <v>0.79499981082819415</v>
      </c>
      <c r="M241" s="130">
        <f t="shared" si="23"/>
        <v>0.18</v>
      </c>
      <c r="N241" s="130">
        <f t="shared" si="24"/>
        <v>0.97499981082819409</v>
      </c>
      <c r="O241" s="130"/>
      <c r="P241" s="129">
        <f t="shared" si="17"/>
        <v>68.720600000000005</v>
      </c>
      <c r="Q241" s="129" t="str">
        <f t="shared" si="21"/>
        <v/>
      </c>
      <c r="R241" s="121"/>
      <c r="S241" s="124">
        <v>235.7</v>
      </c>
    </row>
    <row r="242" spans="1:19">
      <c r="A242" s="123">
        <v>41960</v>
      </c>
      <c r="B242" s="121">
        <f t="shared" si="15"/>
        <v>11</v>
      </c>
      <c r="C242" s="121">
        <f t="shared" si="16"/>
        <v>2014</v>
      </c>
      <c r="D242" s="124">
        <v>1.46235</v>
      </c>
      <c r="E242" s="124">
        <v>1.162568</v>
      </c>
      <c r="F242" s="109">
        <v>263.22300000000001</v>
      </c>
      <c r="G242" s="121"/>
      <c r="H242" s="124"/>
      <c r="I242" s="124">
        <v>123.15</v>
      </c>
      <c r="J242" s="124">
        <v>39.44</v>
      </c>
      <c r="K242" s="121"/>
      <c r="L242" s="130">
        <f t="shared" si="22"/>
        <v>0.79499982904229494</v>
      </c>
      <c r="M242" s="130">
        <f t="shared" si="23"/>
        <v>0.18000000000000002</v>
      </c>
      <c r="N242" s="130">
        <f t="shared" si="24"/>
        <v>0.97499982904229499</v>
      </c>
      <c r="O242" s="130"/>
      <c r="P242" s="129">
        <f t="shared" si="17"/>
        <v>76.042200000000008</v>
      </c>
      <c r="Q242" s="129" t="str">
        <f t="shared" si="21"/>
        <v/>
      </c>
      <c r="R242" s="121"/>
      <c r="S242" s="124">
        <v>155.05000000000001</v>
      </c>
    </row>
    <row r="243" spans="1:19">
      <c r="A243" s="123">
        <v>41967</v>
      </c>
      <c r="B243" s="121">
        <f t="shared" si="15"/>
        <v>11</v>
      </c>
      <c r="C243" s="121">
        <f t="shared" si="16"/>
        <v>2014</v>
      </c>
      <c r="D243" s="124">
        <v>1.4679</v>
      </c>
      <c r="E243" s="124">
        <v>1.1669799999999999</v>
      </c>
      <c r="F243" s="109">
        <v>264.22199999999998</v>
      </c>
      <c r="G243" s="121"/>
      <c r="H243" s="124"/>
      <c r="I243" s="124">
        <v>119.05500000000001</v>
      </c>
      <c r="J243" s="124">
        <v>38.42</v>
      </c>
      <c r="K243" s="121"/>
      <c r="L243" s="130">
        <f t="shared" si="22"/>
        <v>0.79499965937734174</v>
      </c>
      <c r="M243" s="130">
        <f t="shared" si="23"/>
        <v>0.17999999999999997</v>
      </c>
      <c r="N243" s="130">
        <f t="shared" si="24"/>
        <v>0.97499965937734168</v>
      </c>
      <c r="O243" s="130"/>
      <c r="P243" s="129">
        <f t="shared" si="17"/>
        <v>76.330799999999996</v>
      </c>
      <c r="Q243" s="129" t="str">
        <f t="shared" si="21"/>
        <v/>
      </c>
      <c r="R243" s="121"/>
      <c r="S243" s="124">
        <v>138.94999999999999</v>
      </c>
    </row>
    <row r="244" spans="1:19">
      <c r="A244" s="123">
        <v>41974</v>
      </c>
      <c r="B244" s="121">
        <f t="shared" si="15"/>
        <v>12</v>
      </c>
      <c r="C244" s="121">
        <f t="shared" si="16"/>
        <v>2014</v>
      </c>
      <c r="D244" s="124">
        <v>1.6091</v>
      </c>
      <c r="E244" s="124">
        <v>1.279234</v>
      </c>
      <c r="F244" s="109">
        <v>289.63799999999998</v>
      </c>
      <c r="G244" s="121"/>
      <c r="H244" s="124"/>
      <c r="I244" s="124">
        <v>119.44499999999999</v>
      </c>
      <c r="J244" s="124"/>
      <c r="K244" s="121"/>
      <c r="L244" s="130">
        <f t="shared" si="22"/>
        <v>0.79499968926729225</v>
      </c>
      <c r="M244" s="130">
        <f t="shared" si="23"/>
        <v>0.17999999999999997</v>
      </c>
      <c r="N244" s="130">
        <f t="shared" si="24"/>
        <v>0.97499968926729219</v>
      </c>
      <c r="O244" s="130"/>
      <c r="P244" s="129">
        <f t="shared" si="17"/>
        <v>83.673199999999994</v>
      </c>
      <c r="Q244" s="129" t="str">
        <f t="shared" si="21"/>
        <v/>
      </c>
      <c r="R244" s="121"/>
      <c r="S244" s="124">
        <v>102.45</v>
      </c>
    </row>
    <row r="245" spans="1:19">
      <c r="A245" s="123">
        <v>41981</v>
      </c>
      <c r="B245" s="121">
        <f t="shared" si="15"/>
        <v>12</v>
      </c>
      <c r="C245" s="121">
        <f t="shared" si="16"/>
        <v>2014</v>
      </c>
      <c r="D245" s="124">
        <v>1.6449</v>
      </c>
      <c r="E245" s="124">
        <v>1.3076950000000001</v>
      </c>
      <c r="F245" s="109">
        <v>296.08199999999999</v>
      </c>
      <c r="G245" s="121"/>
      <c r="H245" s="124"/>
      <c r="I245" s="124">
        <v>118.63</v>
      </c>
      <c r="J245" s="124">
        <v>42.48</v>
      </c>
      <c r="K245" s="121"/>
      <c r="L245" s="130">
        <f t="shared" si="22"/>
        <v>0.79499969603015386</v>
      </c>
      <c r="M245" s="130">
        <f t="shared" si="23"/>
        <v>0.18</v>
      </c>
      <c r="N245" s="130">
        <f t="shared" si="24"/>
        <v>0.97499969603015391</v>
      </c>
      <c r="O245" s="130"/>
      <c r="P245" s="129">
        <f t="shared" si="17"/>
        <v>85.534800000000004</v>
      </c>
      <c r="Q245" s="129" t="str">
        <f t="shared" si="21"/>
        <v/>
      </c>
      <c r="R245" s="121"/>
      <c r="S245" s="124">
        <v>102.45</v>
      </c>
    </row>
    <row r="246" spans="1:19">
      <c r="A246" s="123">
        <v>41988</v>
      </c>
      <c r="B246" s="121">
        <f t="shared" si="15"/>
        <v>12</v>
      </c>
      <c r="C246" s="121">
        <f t="shared" si="16"/>
        <v>2014</v>
      </c>
      <c r="D246" s="124">
        <v>1.6348</v>
      </c>
      <c r="E246" s="124">
        <v>1.299666</v>
      </c>
      <c r="F246" s="109">
        <v>294.26400000000001</v>
      </c>
      <c r="G246" s="121"/>
      <c r="H246" s="124">
        <v>4.4051999999999998</v>
      </c>
      <c r="I246" s="124">
        <v>110.99</v>
      </c>
      <c r="J246" s="124">
        <v>50.16</v>
      </c>
      <c r="K246" s="121"/>
      <c r="L246" s="130">
        <f t="shared" si="22"/>
        <v>0.79499999999999993</v>
      </c>
      <c r="M246" s="130">
        <f t="shared" si="23"/>
        <v>0.18000000000000002</v>
      </c>
      <c r="N246" s="130">
        <f t="shared" si="24"/>
        <v>0.97499999999999998</v>
      </c>
      <c r="O246" s="130"/>
      <c r="P246" s="129">
        <f t="shared" si="17"/>
        <v>85.009600000000006</v>
      </c>
      <c r="Q246" s="129">
        <f t="shared" si="21"/>
        <v>18.862490824565697</v>
      </c>
      <c r="R246" s="121"/>
      <c r="S246" s="124">
        <v>161.19999999999999</v>
      </c>
    </row>
    <row r="247" spans="1:19">
      <c r="A247" s="123">
        <v>41995</v>
      </c>
      <c r="B247" s="121">
        <f t="shared" si="15"/>
        <v>12</v>
      </c>
      <c r="C247" s="121">
        <f t="shared" si="16"/>
        <v>2014</v>
      </c>
      <c r="D247" s="125"/>
      <c r="E247" s="125"/>
      <c r="F247" s="125"/>
      <c r="G247" s="121"/>
      <c r="H247" s="124"/>
      <c r="I247" s="124"/>
      <c r="J247" s="124">
        <v>51.93</v>
      </c>
      <c r="K247" s="121"/>
      <c r="L247" s="130"/>
      <c r="M247" s="130"/>
      <c r="N247" s="130"/>
      <c r="O247" s="130"/>
      <c r="P247" s="129"/>
      <c r="Q247" s="129" t="str">
        <f t="shared" si="21"/>
        <v/>
      </c>
      <c r="R247" s="121"/>
      <c r="S247" s="124">
        <v>161.19999999999999</v>
      </c>
    </row>
    <row r="248" spans="1:19">
      <c r="A248" s="123">
        <v>42002</v>
      </c>
      <c r="B248" s="121">
        <f t="shared" si="15"/>
        <v>12</v>
      </c>
      <c r="C248" s="121">
        <f t="shared" si="16"/>
        <v>2014</v>
      </c>
      <c r="D248" s="124">
        <v>1.4997</v>
      </c>
      <c r="E248" s="124">
        <v>1.192261</v>
      </c>
      <c r="F248" s="109">
        <v>269.94600000000003</v>
      </c>
      <c r="G248" s="121"/>
      <c r="H248" s="124"/>
      <c r="I248" s="124">
        <v>114.81</v>
      </c>
      <c r="J248" s="124"/>
      <c r="K248" s="121"/>
      <c r="L248" s="130">
        <f t="shared" ref="L248:L279" si="25">E248/D248</f>
        <v>0.79499966659998667</v>
      </c>
      <c r="M248" s="130">
        <f t="shared" ref="M248:M279" si="26">F248/1000/D248</f>
        <v>0.18000000000000002</v>
      </c>
      <c r="N248" s="130">
        <f t="shared" ref="N248:N279" si="27">M248+L248</f>
        <v>0.97499966659998671</v>
      </c>
      <c r="O248" s="130"/>
      <c r="P248" s="129">
        <f t="shared" ref="P248:P311" si="28">D248*52</f>
        <v>77.984400000000008</v>
      </c>
      <c r="Q248" s="129" t="str">
        <f t="shared" si="21"/>
        <v/>
      </c>
      <c r="R248" s="121"/>
      <c r="S248" s="124">
        <v>177.3</v>
      </c>
    </row>
    <row r="249" spans="1:19">
      <c r="A249" s="123">
        <v>42009</v>
      </c>
      <c r="B249" s="121">
        <f t="shared" si="15"/>
        <v>1</v>
      </c>
      <c r="C249" s="121">
        <f t="shared" si="16"/>
        <v>2015</v>
      </c>
      <c r="D249" s="124">
        <v>1.6759500000000001</v>
      </c>
      <c r="E249" s="124">
        <v>1.3192619999999999</v>
      </c>
      <c r="F249" s="109">
        <v>298.70999999999998</v>
      </c>
      <c r="G249" s="121"/>
      <c r="H249" s="124">
        <v>4.3972000000000007</v>
      </c>
      <c r="I249" s="124">
        <v>107.64</v>
      </c>
      <c r="J249" s="124">
        <v>51.93</v>
      </c>
      <c r="K249" s="121"/>
      <c r="L249" s="130">
        <f t="shared" si="25"/>
        <v>0.78717264834869771</v>
      </c>
      <c r="M249" s="130">
        <f t="shared" si="26"/>
        <v>0.17823324084847397</v>
      </c>
      <c r="N249" s="130">
        <f t="shared" si="27"/>
        <v>0.96540588919717174</v>
      </c>
      <c r="O249" s="130"/>
      <c r="P249" s="129">
        <f t="shared" si="28"/>
        <v>87.1494</v>
      </c>
      <c r="Q249" s="129">
        <f t="shared" si="21"/>
        <v>18.365941704704795</v>
      </c>
      <c r="R249" s="121"/>
      <c r="S249" s="124">
        <v>237.05</v>
      </c>
    </row>
    <row r="250" spans="1:19">
      <c r="A250" s="123">
        <v>42016</v>
      </c>
      <c r="B250" s="121">
        <f t="shared" si="15"/>
        <v>1</v>
      </c>
      <c r="C250" s="121">
        <f t="shared" si="16"/>
        <v>2015</v>
      </c>
      <c r="D250" s="124">
        <v>1.728</v>
      </c>
      <c r="E250" s="124">
        <v>1.3737600000000001</v>
      </c>
      <c r="F250" s="109">
        <v>311.04000000000002</v>
      </c>
      <c r="G250" s="121"/>
      <c r="H250" s="124"/>
      <c r="I250" s="124"/>
      <c r="J250" s="124">
        <v>73.17</v>
      </c>
      <c r="K250" s="121"/>
      <c r="L250" s="130">
        <f t="shared" si="25"/>
        <v>0.79500000000000004</v>
      </c>
      <c r="M250" s="130">
        <f t="shared" si="26"/>
        <v>0.18000000000000002</v>
      </c>
      <c r="N250" s="130">
        <f t="shared" si="27"/>
        <v>0.97500000000000009</v>
      </c>
      <c r="O250" s="130"/>
      <c r="P250" s="129">
        <f t="shared" si="28"/>
        <v>89.855999999999995</v>
      </c>
      <c r="Q250" s="129" t="str">
        <f t="shared" si="21"/>
        <v/>
      </c>
      <c r="R250" s="121"/>
      <c r="S250" s="124">
        <v>110.75</v>
      </c>
    </row>
    <row r="251" spans="1:19">
      <c r="A251" s="123">
        <v>42023</v>
      </c>
      <c r="B251" s="121">
        <f t="shared" si="15"/>
        <v>1</v>
      </c>
      <c r="C251" s="121">
        <f t="shared" si="16"/>
        <v>2015</v>
      </c>
      <c r="D251" s="124">
        <v>1.7014499999999999</v>
      </c>
      <c r="E251" s="124">
        <v>1.352652</v>
      </c>
      <c r="F251" s="109">
        <v>306.26100000000002</v>
      </c>
      <c r="G251" s="121"/>
      <c r="H251" s="124">
        <v>4.6975999999999996</v>
      </c>
      <c r="I251" s="124">
        <v>96.68</v>
      </c>
      <c r="J251" s="124">
        <v>81.069999999999993</v>
      </c>
      <c r="K251" s="121"/>
      <c r="L251" s="130">
        <f t="shared" si="25"/>
        <v>0.79499955919950638</v>
      </c>
      <c r="M251" s="130">
        <f t="shared" si="26"/>
        <v>0.18000000000000002</v>
      </c>
      <c r="N251" s="130">
        <f t="shared" si="27"/>
        <v>0.97499955919950643</v>
      </c>
      <c r="O251" s="130"/>
      <c r="P251" s="129">
        <f t="shared" si="28"/>
        <v>88.475399999999993</v>
      </c>
      <c r="Q251" s="129">
        <f t="shared" si="21"/>
        <v>19.326574392429986</v>
      </c>
      <c r="R251" s="121"/>
      <c r="S251" s="124">
        <v>70.5</v>
      </c>
    </row>
    <row r="252" spans="1:19">
      <c r="A252" s="123">
        <v>42030</v>
      </c>
      <c r="B252" s="121">
        <f t="shared" si="15"/>
        <v>1</v>
      </c>
      <c r="C252" s="121">
        <f t="shared" si="16"/>
        <v>2015</v>
      </c>
      <c r="D252" s="124">
        <v>1.5321499999999999</v>
      </c>
      <c r="E252" s="124">
        <v>1.218059</v>
      </c>
      <c r="F252" s="109">
        <v>275.78699999999998</v>
      </c>
      <c r="G252" s="121"/>
      <c r="H252" s="124">
        <v>4.6456</v>
      </c>
      <c r="I252" s="124">
        <v>88.814999999999998</v>
      </c>
      <c r="J252" s="124">
        <v>51.93</v>
      </c>
      <c r="K252" s="121"/>
      <c r="L252" s="130">
        <f t="shared" si="25"/>
        <v>0.79499983683059761</v>
      </c>
      <c r="M252" s="130">
        <f t="shared" si="26"/>
        <v>0.18000000000000002</v>
      </c>
      <c r="N252" s="130">
        <f t="shared" si="27"/>
        <v>0.97499983683059765</v>
      </c>
      <c r="O252" s="130"/>
      <c r="P252" s="129">
        <f t="shared" si="28"/>
        <v>79.67179999999999</v>
      </c>
      <c r="Q252" s="129">
        <f t="shared" si="21"/>
        <v>21.224553731684235</v>
      </c>
      <c r="R252" s="121"/>
      <c r="S252" s="124">
        <v>92.75</v>
      </c>
    </row>
    <row r="253" spans="1:19">
      <c r="A253" s="123">
        <v>42037</v>
      </c>
      <c r="B253" s="121">
        <f t="shared" si="15"/>
        <v>2</v>
      </c>
      <c r="C253" s="121">
        <f t="shared" si="16"/>
        <v>2015</v>
      </c>
      <c r="D253" s="124">
        <v>1.4971000000000001</v>
      </c>
      <c r="E253" s="124">
        <v>1.190194</v>
      </c>
      <c r="F253" s="109">
        <v>269.47800000000001</v>
      </c>
      <c r="G253" s="121"/>
      <c r="H253" s="124"/>
      <c r="I253" s="125">
        <f t="shared" ref="I253:I258" si="29">($I$259-$I$252)/7+I252</f>
        <v>86.805714285714288</v>
      </c>
      <c r="J253" s="124"/>
      <c r="K253" s="121"/>
      <c r="L253" s="130">
        <f t="shared" si="25"/>
        <v>0.79499966602097383</v>
      </c>
      <c r="M253" s="130">
        <f t="shared" si="26"/>
        <v>0.18</v>
      </c>
      <c r="N253" s="130">
        <f t="shared" si="27"/>
        <v>0.97499966602097388</v>
      </c>
      <c r="O253" s="130"/>
      <c r="P253" s="129">
        <f t="shared" si="28"/>
        <v>77.84920000000001</v>
      </c>
      <c r="Q253" s="129" t="str">
        <f t="shared" si="21"/>
        <v/>
      </c>
      <c r="R253" s="121"/>
      <c r="S253" s="124">
        <v>45.1</v>
      </c>
    </row>
    <row r="254" spans="1:19">
      <c r="A254" s="123">
        <v>42044</v>
      </c>
      <c r="B254" s="121">
        <f t="shared" si="15"/>
        <v>2</v>
      </c>
      <c r="C254" s="121">
        <f t="shared" si="16"/>
        <v>2015</v>
      </c>
      <c r="D254" s="124">
        <v>1.4769000000000001</v>
      </c>
      <c r="E254" s="124">
        <v>1.1741349999999999</v>
      </c>
      <c r="F254" s="109">
        <v>265.84199999999998</v>
      </c>
      <c r="G254" s="121"/>
      <c r="H254" s="124"/>
      <c r="I254" s="125">
        <f t="shared" si="29"/>
        <v>84.796428571428578</v>
      </c>
      <c r="J254" s="124"/>
      <c r="K254" s="121"/>
      <c r="L254" s="130">
        <f t="shared" si="25"/>
        <v>0.79499966145304346</v>
      </c>
      <c r="M254" s="130">
        <f t="shared" si="26"/>
        <v>0.17999999999999997</v>
      </c>
      <c r="N254" s="130">
        <f t="shared" si="27"/>
        <v>0.9749996614530434</v>
      </c>
      <c r="O254" s="130"/>
      <c r="P254" s="129">
        <f t="shared" si="28"/>
        <v>76.7988</v>
      </c>
      <c r="Q254" s="129" t="str">
        <f t="shared" si="21"/>
        <v/>
      </c>
      <c r="R254" s="121"/>
      <c r="S254" s="124">
        <v>95.1</v>
      </c>
    </row>
    <row r="255" spans="1:19">
      <c r="A255" s="123">
        <v>42051</v>
      </c>
      <c r="B255" s="121">
        <f t="shared" si="15"/>
        <v>2</v>
      </c>
      <c r="C255" s="121">
        <f t="shared" si="16"/>
        <v>2015</v>
      </c>
      <c r="D255" s="124">
        <v>0.23</v>
      </c>
      <c r="E255" s="124">
        <v>0.18285000000000001</v>
      </c>
      <c r="F255" s="109">
        <v>41.4</v>
      </c>
      <c r="G255" s="121"/>
      <c r="H255" s="124"/>
      <c r="I255" s="125">
        <f t="shared" si="29"/>
        <v>82.787142857142868</v>
      </c>
      <c r="J255" s="124"/>
      <c r="K255" s="121"/>
      <c r="L255" s="130">
        <f t="shared" si="25"/>
        <v>0.79500000000000004</v>
      </c>
      <c r="M255" s="130">
        <f t="shared" si="26"/>
        <v>0.18</v>
      </c>
      <c r="N255" s="130">
        <f t="shared" si="27"/>
        <v>0.97500000000000009</v>
      </c>
      <c r="O255" s="130"/>
      <c r="P255" s="129">
        <f t="shared" si="28"/>
        <v>11.96</v>
      </c>
      <c r="Q255" s="129" t="str">
        <f t="shared" si="21"/>
        <v/>
      </c>
      <c r="R255" s="121"/>
      <c r="S255" s="124">
        <v>95.1</v>
      </c>
    </row>
    <row r="256" spans="1:19">
      <c r="A256" s="123">
        <v>42058</v>
      </c>
      <c r="B256" s="121">
        <f t="shared" si="15"/>
        <v>2</v>
      </c>
      <c r="C256" s="121">
        <f t="shared" si="16"/>
        <v>2015</v>
      </c>
      <c r="D256" s="124">
        <v>0.248</v>
      </c>
      <c r="E256" s="124">
        <v>0.19716</v>
      </c>
      <c r="F256" s="109">
        <v>44.64</v>
      </c>
      <c r="G256" s="121"/>
      <c r="H256" s="124"/>
      <c r="I256" s="125">
        <f t="shared" si="29"/>
        <v>80.777857142857158</v>
      </c>
      <c r="J256" s="124"/>
      <c r="K256" s="121"/>
      <c r="L256" s="130">
        <f t="shared" si="25"/>
        <v>0.79500000000000004</v>
      </c>
      <c r="M256" s="130">
        <f t="shared" si="26"/>
        <v>0.18</v>
      </c>
      <c r="N256" s="130">
        <f t="shared" si="27"/>
        <v>0.97500000000000009</v>
      </c>
      <c r="O256" s="130"/>
      <c r="P256" s="129">
        <f t="shared" si="28"/>
        <v>12.896000000000001</v>
      </c>
      <c r="Q256" s="129" t="str">
        <f t="shared" si="21"/>
        <v/>
      </c>
      <c r="R256" s="121"/>
      <c r="S256" s="124">
        <v>223.9</v>
      </c>
    </row>
    <row r="257" spans="1:19">
      <c r="A257" s="123">
        <v>42065</v>
      </c>
      <c r="B257" s="121">
        <f t="shared" si="15"/>
        <v>3</v>
      </c>
      <c r="C257" s="121">
        <f t="shared" si="16"/>
        <v>2015</v>
      </c>
      <c r="D257" s="124">
        <v>1.3073999999999999</v>
      </c>
      <c r="E257" s="124">
        <v>1.0393829999999999</v>
      </c>
      <c r="F257" s="109">
        <v>235.33199999999999</v>
      </c>
      <c r="G257" s="121"/>
      <c r="H257" s="124"/>
      <c r="I257" s="125">
        <f t="shared" si="29"/>
        <v>78.768571428571448</v>
      </c>
      <c r="J257" s="124">
        <v>72.55</v>
      </c>
      <c r="K257" s="121"/>
      <c r="L257" s="130">
        <f t="shared" si="25"/>
        <v>0.79500000000000004</v>
      </c>
      <c r="M257" s="130">
        <f t="shared" si="26"/>
        <v>0.18</v>
      </c>
      <c r="N257" s="130">
        <f t="shared" si="27"/>
        <v>0.97500000000000009</v>
      </c>
      <c r="O257" s="130"/>
      <c r="P257" s="129">
        <f t="shared" si="28"/>
        <v>67.984799999999993</v>
      </c>
      <c r="Q257" s="129" t="str">
        <f t="shared" si="21"/>
        <v/>
      </c>
      <c r="R257" s="121"/>
      <c r="S257" s="124">
        <v>255.45</v>
      </c>
    </row>
    <row r="258" spans="1:19">
      <c r="A258" s="123">
        <v>42072</v>
      </c>
      <c r="B258" s="121">
        <f t="shared" ref="B258:B321" si="30">MONTH(A258)</f>
        <v>3</v>
      </c>
      <c r="C258" s="121">
        <f t="shared" ref="C258:C321" si="31">YEAR(A258)</f>
        <v>2015</v>
      </c>
      <c r="D258" s="124">
        <v>1.5801000000000001</v>
      </c>
      <c r="E258" s="124">
        <v>1.2561789999999999</v>
      </c>
      <c r="F258" s="109">
        <v>284.41800000000001</v>
      </c>
      <c r="G258" s="121"/>
      <c r="H258" s="124"/>
      <c r="I258" s="125">
        <f t="shared" si="29"/>
        <v>76.759285714285738</v>
      </c>
      <c r="J258" s="124"/>
      <c r="K258" s="121"/>
      <c r="L258" s="130">
        <f t="shared" si="25"/>
        <v>0.79499968356433126</v>
      </c>
      <c r="M258" s="130">
        <f t="shared" si="26"/>
        <v>0.18</v>
      </c>
      <c r="N258" s="130">
        <f t="shared" si="27"/>
        <v>0.97499968356433131</v>
      </c>
      <c r="O258" s="130"/>
      <c r="P258" s="129">
        <f t="shared" si="28"/>
        <v>82.165199999999999</v>
      </c>
      <c r="Q258" s="129" t="str">
        <f t="shared" si="21"/>
        <v/>
      </c>
      <c r="R258" s="121"/>
      <c r="S258" s="124">
        <v>231.3</v>
      </c>
    </row>
    <row r="259" spans="1:19">
      <c r="A259" s="123">
        <v>42079</v>
      </c>
      <c r="B259" s="121">
        <f t="shared" si="30"/>
        <v>3</v>
      </c>
      <c r="C259" s="121">
        <f t="shared" si="31"/>
        <v>2015</v>
      </c>
      <c r="D259" s="124">
        <v>1.54375</v>
      </c>
      <c r="E259" s="124">
        <v>1.2272810000000001</v>
      </c>
      <c r="F259" s="109">
        <v>277.875</v>
      </c>
      <c r="G259" s="121"/>
      <c r="H259" s="124">
        <v>4.1882999999999999</v>
      </c>
      <c r="I259" s="124">
        <v>74.75</v>
      </c>
      <c r="J259" s="124">
        <v>69.14</v>
      </c>
      <c r="K259" s="121"/>
      <c r="L259" s="130">
        <f t="shared" si="25"/>
        <v>0.79499983805668017</v>
      </c>
      <c r="M259" s="130">
        <f t="shared" si="26"/>
        <v>0.18</v>
      </c>
      <c r="N259" s="130">
        <f t="shared" si="27"/>
        <v>0.97499983805668022</v>
      </c>
      <c r="O259" s="130"/>
      <c r="P259" s="129">
        <f t="shared" si="28"/>
        <v>80.274999999999991</v>
      </c>
      <c r="Q259" s="129">
        <f t="shared" si="21"/>
        <v>18.991481781376518</v>
      </c>
      <c r="R259" s="121"/>
      <c r="S259" s="124">
        <v>192.25</v>
      </c>
    </row>
    <row r="260" spans="1:19">
      <c r="A260" s="123">
        <v>42086</v>
      </c>
      <c r="B260" s="121">
        <f t="shared" si="30"/>
        <v>3</v>
      </c>
      <c r="C260" s="121">
        <f t="shared" si="31"/>
        <v>2015</v>
      </c>
      <c r="D260" s="124">
        <v>1.3645</v>
      </c>
      <c r="E260" s="124">
        <v>1.0847770000000001</v>
      </c>
      <c r="F260" s="109">
        <v>245.61</v>
      </c>
      <c r="G260" s="121"/>
      <c r="H260" s="124">
        <v>4.1882999999999999</v>
      </c>
      <c r="I260" s="124">
        <v>69.23</v>
      </c>
      <c r="J260" s="124">
        <v>72.260000000000005</v>
      </c>
      <c r="K260" s="121"/>
      <c r="L260" s="130">
        <f t="shared" si="25"/>
        <v>0.79499963356540859</v>
      </c>
      <c r="M260" s="130">
        <f t="shared" si="26"/>
        <v>0.18000000000000002</v>
      </c>
      <c r="N260" s="130">
        <f t="shared" si="27"/>
        <v>0.97499963356540864</v>
      </c>
      <c r="O260" s="130"/>
      <c r="P260" s="129">
        <f t="shared" si="28"/>
        <v>70.954000000000008</v>
      </c>
      <c r="Q260" s="129">
        <f t="shared" si="21"/>
        <v>21.486331989739831</v>
      </c>
      <c r="R260" s="121"/>
      <c r="S260" s="124">
        <v>176.15</v>
      </c>
    </row>
    <row r="261" spans="1:19">
      <c r="A261" s="123">
        <v>42093</v>
      </c>
      <c r="B261" s="121">
        <f t="shared" si="30"/>
        <v>3</v>
      </c>
      <c r="C261" s="121">
        <f t="shared" si="31"/>
        <v>2015</v>
      </c>
      <c r="D261" s="124">
        <v>1.1387</v>
      </c>
      <c r="E261" s="124">
        <v>0.90526600000000002</v>
      </c>
      <c r="F261" s="109">
        <v>204.96600000000001</v>
      </c>
      <c r="G261" s="121"/>
      <c r="H261" s="124">
        <v>4.0693000000000001</v>
      </c>
      <c r="I261" s="124">
        <v>65.094999999999999</v>
      </c>
      <c r="J261" s="124">
        <v>61.66</v>
      </c>
      <c r="K261" s="121"/>
      <c r="L261" s="130">
        <f t="shared" si="25"/>
        <v>0.7949995609027839</v>
      </c>
      <c r="M261" s="130">
        <f t="shared" si="26"/>
        <v>0.18</v>
      </c>
      <c r="N261" s="130">
        <f t="shared" si="27"/>
        <v>0.97499956090278395</v>
      </c>
      <c r="O261" s="130"/>
      <c r="P261" s="129">
        <f t="shared" si="28"/>
        <v>59.212400000000002</v>
      </c>
      <c r="Q261" s="129">
        <f t="shared" si="21"/>
        <v>25.015456222007554</v>
      </c>
      <c r="R261" s="121"/>
      <c r="S261" s="124">
        <v>162.44999999999999</v>
      </c>
    </row>
    <row r="262" spans="1:19">
      <c r="A262" s="123">
        <v>42100</v>
      </c>
      <c r="B262" s="121">
        <f t="shared" si="30"/>
        <v>4</v>
      </c>
      <c r="C262" s="121">
        <f t="shared" si="31"/>
        <v>2015</v>
      </c>
      <c r="D262" s="124">
        <v>1.25475</v>
      </c>
      <c r="E262" s="124">
        <v>0.99752600000000002</v>
      </c>
      <c r="F262" s="109">
        <v>225.85499999999999</v>
      </c>
      <c r="G262" s="121"/>
      <c r="H262" s="124"/>
      <c r="I262" s="124">
        <v>64.12</v>
      </c>
      <c r="J262" s="124">
        <v>61.14</v>
      </c>
      <c r="K262" s="121"/>
      <c r="L262" s="130">
        <f t="shared" si="25"/>
        <v>0.79499980075712295</v>
      </c>
      <c r="M262" s="130">
        <f t="shared" si="26"/>
        <v>0.18</v>
      </c>
      <c r="N262" s="130">
        <f t="shared" si="27"/>
        <v>0.974999800757123</v>
      </c>
      <c r="O262" s="130"/>
      <c r="P262" s="129">
        <f t="shared" si="28"/>
        <v>65.247</v>
      </c>
      <c r="Q262" s="129" t="str">
        <f t="shared" si="21"/>
        <v/>
      </c>
      <c r="R262" s="121"/>
      <c r="S262" s="124">
        <v>114.15</v>
      </c>
    </row>
    <row r="263" spans="1:19">
      <c r="A263" s="123">
        <v>42107</v>
      </c>
      <c r="B263" s="121">
        <f t="shared" si="30"/>
        <v>4</v>
      </c>
      <c r="C263" s="121">
        <f t="shared" si="31"/>
        <v>2015</v>
      </c>
      <c r="D263" s="124">
        <v>1.35745</v>
      </c>
      <c r="E263" s="124">
        <v>1.079172</v>
      </c>
      <c r="F263" s="109">
        <v>244.34100000000001</v>
      </c>
      <c r="G263" s="121"/>
      <c r="H263" s="124"/>
      <c r="I263" s="124">
        <v>64.12</v>
      </c>
      <c r="J263" s="124">
        <v>47.14</v>
      </c>
      <c r="K263" s="121"/>
      <c r="L263" s="130">
        <f t="shared" si="25"/>
        <v>0.79499944749346196</v>
      </c>
      <c r="M263" s="130">
        <f t="shared" si="26"/>
        <v>0.18</v>
      </c>
      <c r="N263" s="130">
        <f t="shared" si="27"/>
        <v>0.97499944749346201</v>
      </c>
      <c r="O263" s="130"/>
      <c r="P263" s="129">
        <f t="shared" si="28"/>
        <v>70.587400000000002</v>
      </c>
      <c r="Q263" s="129" t="str">
        <f t="shared" si="21"/>
        <v/>
      </c>
      <c r="R263" s="121"/>
      <c r="S263" s="124">
        <v>85.55</v>
      </c>
    </row>
    <row r="264" spans="1:19">
      <c r="A264" s="123">
        <v>42114</v>
      </c>
      <c r="B264" s="121">
        <f t="shared" si="30"/>
        <v>4</v>
      </c>
      <c r="C264" s="121">
        <f t="shared" si="31"/>
        <v>2015</v>
      </c>
      <c r="D264" s="124">
        <v>1.3053999999999999</v>
      </c>
      <c r="E264" s="124">
        <v>1.037793</v>
      </c>
      <c r="F264" s="109">
        <v>234.97200000000001</v>
      </c>
      <c r="G264" s="121"/>
      <c r="H264" s="124">
        <v>4.3732999999999995</v>
      </c>
      <c r="I264" s="124">
        <v>62.47</v>
      </c>
      <c r="J264" s="124">
        <v>44.95</v>
      </c>
      <c r="K264" s="121"/>
      <c r="L264" s="130">
        <f t="shared" si="25"/>
        <v>0.79500000000000004</v>
      </c>
      <c r="M264" s="130">
        <f t="shared" si="26"/>
        <v>0.18000000000000002</v>
      </c>
      <c r="N264" s="130">
        <f t="shared" si="27"/>
        <v>0.97500000000000009</v>
      </c>
      <c r="O264" s="130"/>
      <c r="P264" s="129">
        <f t="shared" si="28"/>
        <v>67.880799999999994</v>
      </c>
      <c r="Q264" s="129">
        <f t="shared" si="21"/>
        <v>23.451126091619425</v>
      </c>
      <c r="R264" s="121"/>
      <c r="S264" s="124">
        <v>45.3</v>
      </c>
    </row>
    <row r="265" spans="1:19">
      <c r="A265" s="123">
        <v>42121</v>
      </c>
      <c r="B265" s="121">
        <f t="shared" si="30"/>
        <v>4</v>
      </c>
      <c r="C265" s="121">
        <f t="shared" si="31"/>
        <v>2015</v>
      </c>
      <c r="D265" s="124">
        <v>1.2543</v>
      </c>
      <c r="E265" s="124">
        <v>1.00003</v>
      </c>
      <c r="F265" s="109">
        <v>226.422</v>
      </c>
      <c r="G265" s="121"/>
      <c r="H265" s="124"/>
      <c r="I265" s="125">
        <f>AVERAGE(I266,I264)</f>
        <v>62.166499999999999</v>
      </c>
      <c r="J265" s="124"/>
      <c r="K265" s="121"/>
      <c r="L265" s="130">
        <f t="shared" si="25"/>
        <v>0.79728135214860874</v>
      </c>
      <c r="M265" s="130">
        <f t="shared" si="26"/>
        <v>0.18051662281750777</v>
      </c>
      <c r="N265" s="130">
        <f t="shared" si="27"/>
        <v>0.97779797496611653</v>
      </c>
      <c r="O265" s="130"/>
      <c r="P265" s="129">
        <f t="shared" si="28"/>
        <v>65.223600000000005</v>
      </c>
      <c r="Q265" s="129" t="str">
        <f t="shared" si="21"/>
        <v/>
      </c>
      <c r="R265" s="121"/>
      <c r="S265" s="124">
        <v>109.7</v>
      </c>
    </row>
    <row r="266" spans="1:19">
      <c r="A266" s="123">
        <v>42128</v>
      </c>
      <c r="B266" s="121">
        <f t="shared" si="30"/>
        <v>5</v>
      </c>
      <c r="C266" s="121">
        <f t="shared" si="31"/>
        <v>2015</v>
      </c>
      <c r="D266" s="124">
        <v>1.34005</v>
      </c>
      <c r="E266" s="124">
        <v>1.065339</v>
      </c>
      <c r="F266" s="109">
        <v>241.209</v>
      </c>
      <c r="G266" s="121"/>
      <c r="H266" s="124">
        <v>4.1078999999999999</v>
      </c>
      <c r="I266" s="124">
        <v>61.863</v>
      </c>
      <c r="J266" s="124">
        <v>38.43</v>
      </c>
      <c r="K266" s="121"/>
      <c r="L266" s="130">
        <f t="shared" si="25"/>
        <v>0.79499944031939107</v>
      </c>
      <c r="M266" s="130">
        <f t="shared" si="26"/>
        <v>0.18000000000000002</v>
      </c>
      <c r="N266" s="130">
        <f t="shared" si="27"/>
        <v>0.97499944031939112</v>
      </c>
      <c r="O266" s="130"/>
      <c r="P266" s="129">
        <f t="shared" si="28"/>
        <v>69.682599999999994</v>
      </c>
      <c r="Q266" s="129">
        <f t="shared" si="21"/>
        <v>21.458378418715718</v>
      </c>
      <c r="R266" s="121"/>
      <c r="S266" s="124">
        <v>137.44999999999999</v>
      </c>
    </row>
    <row r="267" spans="1:19">
      <c r="A267" s="123">
        <v>42135</v>
      </c>
      <c r="B267" s="121">
        <f t="shared" si="30"/>
        <v>5</v>
      </c>
      <c r="C267" s="121">
        <f t="shared" si="31"/>
        <v>2015</v>
      </c>
      <c r="D267" s="124">
        <v>1.6334500000000001</v>
      </c>
      <c r="E267" s="124">
        <v>1.298592</v>
      </c>
      <c r="F267" s="109">
        <v>294.02100000000002</v>
      </c>
      <c r="G267" s="121"/>
      <c r="H267" s="124">
        <v>4.6440000000000001</v>
      </c>
      <c r="I267" s="124">
        <v>63.81</v>
      </c>
      <c r="J267" s="124">
        <v>45.64</v>
      </c>
      <c r="K267" s="121"/>
      <c r="L267" s="130">
        <f t="shared" si="25"/>
        <v>0.79499954084912294</v>
      </c>
      <c r="M267" s="130">
        <f t="shared" si="26"/>
        <v>0.18000000000000002</v>
      </c>
      <c r="N267" s="130">
        <f t="shared" si="27"/>
        <v>0.97499954084912299</v>
      </c>
      <c r="O267" s="130"/>
      <c r="P267" s="129">
        <f t="shared" si="28"/>
        <v>84.939400000000006</v>
      </c>
      <c r="Q267" s="129">
        <f t="shared" si="21"/>
        <v>19.90143561174202</v>
      </c>
      <c r="R267" s="121"/>
      <c r="S267" s="124">
        <v>124.25</v>
      </c>
    </row>
    <row r="268" spans="1:19">
      <c r="A268" s="123">
        <v>42142</v>
      </c>
      <c r="B268" s="121">
        <f t="shared" si="30"/>
        <v>5</v>
      </c>
      <c r="C268" s="121">
        <f t="shared" si="31"/>
        <v>2015</v>
      </c>
      <c r="D268" s="124">
        <v>1.6821999999999999</v>
      </c>
      <c r="E268" s="124">
        <v>1.3373489999999999</v>
      </c>
      <c r="F268" s="109">
        <v>302.79599999999999</v>
      </c>
      <c r="G268" s="121"/>
      <c r="H268" s="124">
        <v>4.5460000000000003</v>
      </c>
      <c r="I268" s="124">
        <v>67.5</v>
      </c>
      <c r="J268" s="124">
        <v>54.01</v>
      </c>
      <c r="K268" s="121"/>
      <c r="L268" s="130">
        <f t="shared" si="25"/>
        <v>0.79499999999999993</v>
      </c>
      <c r="M268" s="130">
        <f t="shared" si="26"/>
        <v>0.18000000000000002</v>
      </c>
      <c r="N268" s="130">
        <f t="shared" si="27"/>
        <v>0.97499999999999998</v>
      </c>
      <c r="O268" s="130"/>
      <c r="P268" s="129">
        <f t="shared" si="28"/>
        <v>87.474400000000003</v>
      </c>
      <c r="Q268" s="129">
        <f t="shared" si="21"/>
        <v>18.916894542860543</v>
      </c>
      <c r="R268" s="121"/>
      <c r="S268" s="124">
        <v>59.85</v>
      </c>
    </row>
    <row r="269" spans="1:19">
      <c r="A269" s="123">
        <v>42149</v>
      </c>
      <c r="B269" s="121">
        <f t="shared" si="30"/>
        <v>5</v>
      </c>
      <c r="C269" s="121">
        <f t="shared" si="31"/>
        <v>2015</v>
      </c>
      <c r="D269" s="124">
        <v>1.6519999999999999</v>
      </c>
      <c r="E269" s="124">
        <v>1.31334</v>
      </c>
      <c r="F269" s="109">
        <v>297.36</v>
      </c>
      <c r="G269" s="121"/>
      <c r="H269" s="124"/>
      <c r="I269" s="124">
        <v>69</v>
      </c>
      <c r="J269" s="124">
        <v>58.71</v>
      </c>
      <c r="K269" s="121"/>
      <c r="L269" s="130">
        <f t="shared" si="25"/>
        <v>0.79500000000000004</v>
      </c>
      <c r="M269" s="130">
        <f t="shared" si="26"/>
        <v>0.18000000000000002</v>
      </c>
      <c r="N269" s="130">
        <f t="shared" si="27"/>
        <v>0.97500000000000009</v>
      </c>
      <c r="O269" s="130"/>
      <c r="P269" s="129">
        <f t="shared" si="28"/>
        <v>85.903999999999996</v>
      </c>
      <c r="Q269" s="129" t="str">
        <f t="shared" si="21"/>
        <v/>
      </c>
      <c r="R269" s="121"/>
      <c r="S269" s="124">
        <v>-42.75</v>
      </c>
    </row>
    <row r="270" spans="1:19">
      <c r="A270" s="123">
        <v>42156</v>
      </c>
      <c r="B270" s="121">
        <f t="shared" si="30"/>
        <v>6</v>
      </c>
      <c r="C270" s="121">
        <f t="shared" si="31"/>
        <v>2015</v>
      </c>
      <c r="D270" s="124">
        <v>1.5485</v>
      </c>
      <c r="E270" s="124">
        <v>1.2310570000000001</v>
      </c>
      <c r="F270" s="109">
        <v>278.73</v>
      </c>
      <c r="G270" s="121"/>
      <c r="H270" s="124">
        <v>4.6379000000000001</v>
      </c>
      <c r="I270" s="124">
        <v>71.459999999999994</v>
      </c>
      <c r="J270" s="124">
        <v>53.46</v>
      </c>
      <c r="K270" s="121"/>
      <c r="L270" s="130">
        <f t="shared" si="25"/>
        <v>0.79499967710687769</v>
      </c>
      <c r="M270" s="130">
        <f t="shared" si="26"/>
        <v>0.18000000000000002</v>
      </c>
      <c r="N270" s="130">
        <f t="shared" si="27"/>
        <v>0.97499967710687774</v>
      </c>
      <c r="O270" s="130"/>
      <c r="P270" s="129">
        <f t="shared" si="28"/>
        <v>80.522000000000006</v>
      </c>
      <c r="Q270" s="129">
        <f t="shared" si="21"/>
        <v>20.96564417177914</v>
      </c>
      <c r="R270" s="121"/>
      <c r="S270" s="124">
        <v>-36.75</v>
      </c>
    </row>
    <row r="271" spans="1:19">
      <c r="A271" s="123">
        <v>42163</v>
      </c>
      <c r="B271" s="121">
        <f t="shared" si="30"/>
        <v>6</v>
      </c>
      <c r="C271" s="121">
        <f t="shared" si="31"/>
        <v>2015</v>
      </c>
      <c r="D271" s="124">
        <v>1.6676500000000001</v>
      </c>
      <c r="E271" s="124">
        <v>1.3257810000000001</v>
      </c>
      <c r="F271" s="109">
        <v>300.17700000000002</v>
      </c>
      <c r="G271" s="121"/>
      <c r="H271" s="124">
        <v>4.6947999999999999</v>
      </c>
      <c r="I271" s="124">
        <v>77.67</v>
      </c>
      <c r="J271" s="124">
        <v>59.17</v>
      </c>
      <c r="K271" s="121"/>
      <c r="L271" s="130">
        <f t="shared" si="25"/>
        <v>0.79499955026534352</v>
      </c>
      <c r="M271" s="130">
        <f t="shared" si="26"/>
        <v>0.18000000000000002</v>
      </c>
      <c r="N271" s="130">
        <f t="shared" si="27"/>
        <v>0.97499955026534357</v>
      </c>
      <c r="O271" s="130"/>
      <c r="P271" s="129">
        <f t="shared" si="28"/>
        <v>86.717800000000011</v>
      </c>
      <c r="Q271" s="129">
        <f t="shared" si="21"/>
        <v>19.706533145444187</v>
      </c>
      <c r="R271" s="121"/>
      <c r="S271" s="124">
        <v>13.05</v>
      </c>
    </row>
    <row r="272" spans="1:19">
      <c r="A272" s="123">
        <v>42170</v>
      </c>
      <c r="B272" s="121">
        <f t="shared" si="30"/>
        <v>6</v>
      </c>
      <c r="C272" s="121">
        <f t="shared" si="31"/>
        <v>2015</v>
      </c>
      <c r="D272" s="124">
        <v>1.7041999999999999</v>
      </c>
      <c r="E272" s="124">
        <v>1.3548389999999999</v>
      </c>
      <c r="F272" s="109">
        <v>306.75599999999997</v>
      </c>
      <c r="G272" s="121"/>
      <c r="H272" s="124"/>
      <c r="I272" s="124"/>
      <c r="J272" s="124">
        <v>70.760000000000005</v>
      </c>
      <c r="K272" s="121"/>
      <c r="L272" s="130">
        <f t="shared" si="25"/>
        <v>0.79499999999999993</v>
      </c>
      <c r="M272" s="130">
        <f t="shared" si="26"/>
        <v>0.18</v>
      </c>
      <c r="N272" s="130">
        <f t="shared" si="27"/>
        <v>0.97499999999999987</v>
      </c>
      <c r="O272" s="130"/>
      <c r="P272" s="129">
        <f t="shared" si="28"/>
        <v>88.618399999999994</v>
      </c>
      <c r="Q272" s="129" t="str">
        <f t="shared" si="21"/>
        <v/>
      </c>
      <c r="R272" s="121"/>
      <c r="S272" s="124">
        <v>-3.05</v>
      </c>
    </row>
    <row r="273" spans="1:19">
      <c r="A273" s="123">
        <v>42177</v>
      </c>
      <c r="B273" s="121">
        <f t="shared" si="30"/>
        <v>6</v>
      </c>
      <c r="C273" s="121">
        <f t="shared" si="31"/>
        <v>2015</v>
      </c>
      <c r="D273" s="124">
        <v>1.7088000000000001</v>
      </c>
      <c r="E273" s="124">
        <v>1.3584959999999999</v>
      </c>
      <c r="F273" s="109">
        <v>307.584</v>
      </c>
      <c r="G273" s="121"/>
      <c r="H273" s="124">
        <v>5.3311999999999999</v>
      </c>
      <c r="I273" s="124">
        <v>84.54</v>
      </c>
      <c r="J273" s="124">
        <v>73.39</v>
      </c>
      <c r="K273" s="121"/>
      <c r="L273" s="130">
        <f t="shared" si="25"/>
        <v>0.79499999999999993</v>
      </c>
      <c r="M273" s="130">
        <f t="shared" si="26"/>
        <v>0.18</v>
      </c>
      <c r="N273" s="130">
        <f t="shared" si="27"/>
        <v>0.97499999999999987</v>
      </c>
      <c r="O273" s="130"/>
      <c r="P273" s="129">
        <f t="shared" si="28"/>
        <v>88.857600000000005</v>
      </c>
      <c r="Q273" s="129">
        <f t="shared" si="21"/>
        <v>21.838951310861422</v>
      </c>
      <c r="R273" s="121"/>
      <c r="S273" s="124">
        <v>77.45</v>
      </c>
    </row>
    <row r="274" spans="1:19">
      <c r="A274" s="123">
        <v>42184</v>
      </c>
      <c r="B274" s="121">
        <f t="shared" si="30"/>
        <v>6</v>
      </c>
      <c r="C274" s="121">
        <f t="shared" si="31"/>
        <v>2015</v>
      </c>
      <c r="D274" s="124">
        <v>1.5952500000000001</v>
      </c>
      <c r="E274" s="124">
        <v>1.2682230000000001</v>
      </c>
      <c r="F274" s="109">
        <v>287.14499999999998</v>
      </c>
      <c r="G274" s="121"/>
      <c r="H274" s="124"/>
      <c r="I274" s="125">
        <f>AVERAGE(I275,I273)</f>
        <v>88.235000000000014</v>
      </c>
      <c r="J274" s="124"/>
      <c r="K274" s="121"/>
      <c r="L274" s="130">
        <f t="shared" si="25"/>
        <v>0.79499952985425482</v>
      </c>
      <c r="M274" s="130">
        <f t="shared" si="26"/>
        <v>0.18</v>
      </c>
      <c r="N274" s="130">
        <f t="shared" si="27"/>
        <v>0.97499952985425486</v>
      </c>
      <c r="O274" s="130"/>
      <c r="P274" s="129">
        <f t="shared" si="28"/>
        <v>82.953000000000003</v>
      </c>
      <c r="Q274" s="129" t="str">
        <f t="shared" si="21"/>
        <v/>
      </c>
      <c r="R274" s="121"/>
      <c r="S274" s="124">
        <v>139.44999999999999</v>
      </c>
    </row>
    <row r="275" spans="1:19">
      <c r="A275" s="123">
        <v>42191</v>
      </c>
      <c r="B275" s="121">
        <f t="shared" si="30"/>
        <v>7</v>
      </c>
      <c r="C275" s="121">
        <f t="shared" si="31"/>
        <v>2015</v>
      </c>
      <c r="D275" s="124">
        <v>1.6187</v>
      </c>
      <c r="E275" s="124">
        <v>1.2868660000000001</v>
      </c>
      <c r="F275" s="109">
        <v>291.36599999999999</v>
      </c>
      <c r="G275" s="121"/>
      <c r="H275" s="124">
        <v>5.3891999999999998</v>
      </c>
      <c r="I275" s="124">
        <v>91.93</v>
      </c>
      <c r="J275" s="124">
        <v>74.02</v>
      </c>
      <c r="K275" s="121"/>
      <c r="L275" s="130">
        <f t="shared" si="25"/>
        <v>0.79499969111015012</v>
      </c>
      <c r="M275" s="130">
        <f t="shared" si="26"/>
        <v>0.17999999999999997</v>
      </c>
      <c r="N275" s="130">
        <f t="shared" si="27"/>
        <v>0.97499969111015006</v>
      </c>
      <c r="O275" s="130"/>
      <c r="P275" s="129">
        <f t="shared" si="28"/>
        <v>84.172399999999996</v>
      </c>
      <c r="Q275" s="129">
        <f t="shared" si="21"/>
        <v>23.305368505590906</v>
      </c>
      <c r="R275" s="121"/>
      <c r="S275" s="124">
        <v>177.3</v>
      </c>
    </row>
    <row r="276" spans="1:19">
      <c r="A276" s="123">
        <v>42198</v>
      </c>
      <c r="B276" s="121">
        <f t="shared" si="30"/>
        <v>7</v>
      </c>
      <c r="C276" s="121">
        <f t="shared" si="31"/>
        <v>2015</v>
      </c>
      <c r="D276" s="124">
        <v>1.6943999999999999</v>
      </c>
      <c r="E276" s="124">
        <v>1.347048</v>
      </c>
      <c r="F276" s="109">
        <v>304.99200000000002</v>
      </c>
      <c r="G276" s="121"/>
      <c r="H276" s="124"/>
      <c r="I276" s="124"/>
      <c r="J276" s="124">
        <v>80.569999999999993</v>
      </c>
      <c r="K276" s="121"/>
      <c r="L276" s="130">
        <f t="shared" si="25"/>
        <v>0.79500000000000004</v>
      </c>
      <c r="M276" s="130">
        <f t="shared" si="26"/>
        <v>0.18000000000000002</v>
      </c>
      <c r="N276" s="130">
        <f t="shared" si="27"/>
        <v>0.97500000000000009</v>
      </c>
      <c r="O276" s="130"/>
      <c r="P276" s="129">
        <f t="shared" si="28"/>
        <v>88.108800000000002</v>
      </c>
      <c r="Q276" s="129" t="str">
        <f t="shared" ref="Q276:Q339" si="32">IF(H276="","",IF(D276="","",H276/(D276/7)))</f>
        <v/>
      </c>
      <c r="R276" s="121"/>
      <c r="S276" s="124">
        <v>177.3</v>
      </c>
    </row>
    <row r="277" spans="1:19">
      <c r="A277" s="123">
        <v>42205</v>
      </c>
      <c r="B277" s="121">
        <f t="shared" si="30"/>
        <v>7</v>
      </c>
      <c r="C277" s="121">
        <f t="shared" si="31"/>
        <v>2015</v>
      </c>
      <c r="D277" s="124">
        <v>1.7895000000000001</v>
      </c>
      <c r="E277" s="124">
        <v>1.422652</v>
      </c>
      <c r="F277" s="109">
        <v>322.11</v>
      </c>
      <c r="G277" s="121"/>
      <c r="H277" s="124">
        <v>5.5133000000000001</v>
      </c>
      <c r="I277" s="124">
        <v>96.61</v>
      </c>
      <c r="J277" s="124">
        <v>80.739999999999995</v>
      </c>
      <c r="K277" s="121"/>
      <c r="L277" s="130">
        <f t="shared" si="25"/>
        <v>0.79499972059234425</v>
      </c>
      <c r="M277" s="130">
        <f t="shared" si="26"/>
        <v>0.18</v>
      </c>
      <c r="N277" s="130">
        <f t="shared" si="27"/>
        <v>0.97499972059234419</v>
      </c>
      <c r="O277" s="130"/>
      <c r="P277" s="129">
        <f t="shared" si="28"/>
        <v>93.054000000000002</v>
      </c>
      <c r="Q277" s="129">
        <f t="shared" si="32"/>
        <v>21.566415199776472</v>
      </c>
      <c r="R277" s="121"/>
      <c r="S277" s="124">
        <v>177.3</v>
      </c>
    </row>
    <row r="278" spans="1:19">
      <c r="A278" s="123">
        <v>42212</v>
      </c>
      <c r="B278" s="121">
        <f t="shared" si="30"/>
        <v>7</v>
      </c>
      <c r="C278" s="121">
        <f t="shared" si="31"/>
        <v>2015</v>
      </c>
      <c r="D278" s="124">
        <v>1.6068</v>
      </c>
      <c r="E278" s="124">
        <v>1.277406</v>
      </c>
      <c r="F278" s="109">
        <v>289.22399999999999</v>
      </c>
      <c r="G278" s="121"/>
      <c r="H278" s="124"/>
      <c r="I278" s="124"/>
      <c r="J278" s="124">
        <v>85.974999999999994</v>
      </c>
      <c r="K278" s="121"/>
      <c r="L278" s="130">
        <f t="shared" si="25"/>
        <v>0.79500000000000004</v>
      </c>
      <c r="M278" s="130">
        <f t="shared" si="26"/>
        <v>0.18</v>
      </c>
      <c r="N278" s="130">
        <f t="shared" si="27"/>
        <v>0.97500000000000009</v>
      </c>
      <c r="O278" s="130"/>
      <c r="P278" s="129">
        <f t="shared" si="28"/>
        <v>83.553600000000003</v>
      </c>
      <c r="Q278" s="129" t="str">
        <f t="shared" si="32"/>
        <v/>
      </c>
      <c r="R278" s="121"/>
      <c r="S278" s="124">
        <v>143.9</v>
      </c>
    </row>
    <row r="279" spans="1:19">
      <c r="A279" s="123">
        <v>42219</v>
      </c>
      <c r="B279" s="121">
        <f t="shared" si="30"/>
        <v>8</v>
      </c>
      <c r="C279" s="121">
        <f t="shared" si="31"/>
        <v>2015</v>
      </c>
      <c r="D279" s="124">
        <v>1.5503</v>
      </c>
      <c r="E279" s="124">
        <v>1.422652</v>
      </c>
      <c r="F279" s="109">
        <v>322.11</v>
      </c>
      <c r="G279" s="121"/>
      <c r="H279" s="124">
        <v>5.4973000000000001</v>
      </c>
      <c r="I279" s="124">
        <v>103.6</v>
      </c>
      <c r="J279" s="124">
        <v>85.97</v>
      </c>
      <c r="K279" s="121"/>
      <c r="L279" s="130">
        <f t="shared" si="25"/>
        <v>0.91766238792491772</v>
      </c>
      <c r="M279" s="130">
        <f t="shared" si="26"/>
        <v>0.20777268915693736</v>
      </c>
      <c r="N279" s="130">
        <f t="shared" si="27"/>
        <v>1.1254350770818551</v>
      </c>
      <c r="O279" s="130"/>
      <c r="P279" s="129">
        <f t="shared" si="28"/>
        <v>80.615600000000001</v>
      </c>
      <c r="Q279" s="129">
        <f t="shared" si="32"/>
        <v>24.821711926723861</v>
      </c>
      <c r="R279" s="121"/>
      <c r="S279" s="124">
        <v>110.5</v>
      </c>
    </row>
    <row r="280" spans="1:19">
      <c r="A280" s="123">
        <v>42226</v>
      </c>
      <c r="B280" s="121">
        <f t="shared" si="30"/>
        <v>8</v>
      </c>
      <c r="C280" s="121">
        <f t="shared" si="31"/>
        <v>2015</v>
      </c>
      <c r="D280" s="124">
        <v>1.6492</v>
      </c>
      <c r="E280" s="124">
        <v>1.3111139999999999</v>
      </c>
      <c r="F280" s="109">
        <v>296.85599999999999</v>
      </c>
      <c r="G280" s="121"/>
      <c r="H280" s="124">
        <v>6.1429999999999998</v>
      </c>
      <c r="I280" s="124">
        <v>104.95</v>
      </c>
      <c r="J280" s="124">
        <v>76.72</v>
      </c>
      <c r="K280" s="121"/>
      <c r="L280" s="130">
        <f t="shared" ref="L280:L311" si="33">E280/D280</f>
        <v>0.79499999999999993</v>
      </c>
      <c r="M280" s="130">
        <f t="shared" ref="M280:M311" si="34">F280/1000/D280</f>
        <v>0.18</v>
      </c>
      <c r="N280" s="130">
        <f t="shared" ref="N280:N311" si="35">M280+L280</f>
        <v>0.97499999999999987</v>
      </c>
      <c r="O280" s="130"/>
      <c r="P280" s="129">
        <f t="shared" si="28"/>
        <v>85.758399999999995</v>
      </c>
      <c r="Q280" s="129">
        <f t="shared" si="32"/>
        <v>26.073853989813241</v>
      </c>
      <c r="R280" s="121"/>
      <c r="S280" s="124">
        <v>185.35</v>
      </c>
    </row>
    <row r="281" spans="1:19">
      <c r="A281" s="123">
        <v>42233</v>
      </c>
      <c r="B281" s="121">
        <f t="shared" si="30"/>
        <v>8</v>
      </c>
      <c r="C281" s="121">
        <f t="shared" si="31"/>
        <v>2015</v>
      </c>
      <c r="D281" s="124">
        <v>1.875</v>
      </c>
      <c r="E281" s="124">
        <v>1.4906250000000001</v>
      </c>
      <c r="F281" s="109">
        <v>337.5</v>
      </c>
      <c r="G281" s="121"/>
      <c r="H281" s="124">
        <v>6.4014999999999995</v>
      </c>
      <c r="I281" s="124">
        <v>105.12</v>
      </c>
      <c r="J281" s="124">
        <v>84.56</v>
      </c>
      <c r="K281" s="121"/>
      <c r="L281" s="130">
        <f t="shared" si="33"/>
        <v>0.79500000000000004</v>
      </c>
      <c r="M281" s="130">
        <f t="shared" si="34"/>
        <v>0.18000000000000002</v>
      </c>
      <c r="N281" s="130">
        <f t="shared" si="35"/>
        <v>0.97500000000000009</v>
      </c>
      <c r="O281" s="130"/>
      <c r="P281" s="129">
        <f t="shared" si="28"/>
        <v>97.5</v>
      </c>
      <c r="Q281" s="129">
        <f t="shared" si="32"/>
        <v>23.898933333333332</v>
      </c>
      <c r="R281" s="121"/>
      <c r="S281" s="124">
        <v>153.15</v>
      </c>
    </row>
    <row r="282" spans="1:19">
      <c r="A282" s="123">
        <v>42240</v>
      </c>
      <c r="B282" s="121">
        <f t="shared" si="30"/>
        <v>8</v>
      </c>
      <c r="C282" s="121">
        <f t="shared" si="31"/>
        <v>2015</v>
      </c>
      <c r="D282" s="124">
        <v>1.73925</v>
      </c>
      <c r="E282" s="124">
        <v>1.382703</v>
      </c>
      <c r="F282" s="109">
        <v>313.065</v>
      </c>
      <c r="G282" s="121"/>
      <c r="H282" s="124"/>
      <c r="I282" s="125">
        <f>(($I$284-$I$281)/3)+I281</f>
        <v>103.37</v>
      </c>
      <c r="J282" s="124"/>
      <c r="K282" s="121"/>
      <c r="L282" s="130">
        <f t="shared" si="33"/>
        <v>0.79499956877964639</v>
      </c>
      <c r="M282" s="130">
        <f t="shared" si="34"/>
        <v>0.18</v>
      </c>
      <c r="N282" s="130">
        <f t="shared" si="35"/>
        <v>0.97499956877964644</v>
      </c>
      <c r="O282" s="130"/>
      <c r="P282" s="129">
        <f t="shared" si="28"/>
        <v>90.441000000000003</v>
      </c>
      <c r="Q282" s="129" t="str">
        <f t="shared" si="32"/>
        <v/>
      </c>
      <c r="R282" s="121"/>
      <c r="S282" s="124">
        <v>118.55</v>
      </c>
    </row>
    <row r="283" spans="1:19">
      <c r="A283" s="123">
        <v>42247</v>
      </c>
      <c r="B283" s="121">
        <f t="shared" si="30"/>
        <v>8</v>
      </c>
      <c r="C283" s="121">
        <f t="shared" si="31"/>
        <v>2015</v>
      </c>
      <c r="D283" s="124">
        <v>1.4681500000000001</v>
      </c>
      <c r="E283" s="124">
        <v>1.167179</v>
      </c>
      <c r="F283" s="109">
        <v>264.267</v>
      </c>
      <c r="G283" s="121"/>
      <c r="H283" s="124"/>
      <c r="I283" s="125">
        <f>(($I$284-$I$281)/3)+I282</f>
        <v>101.62</v>
      </c>
      <c r="J283" s="124"/>
      <c r="K283" s="121"/>
      <c r="L283" s="130">
        <f t="shared" si="33"/>
        <v>0.7949998297176718</v>
      </c>
      <c r="M283" s="130">
        <f t="shared" si="34"/>
        <v>0.17999999999999997</v>
      </c>
      <c r="N283" s="130">
        <f t="shared" si="35"/>
        <v>0.97499982971767174</v>
      </c>
      <c r="O283" s="130"/>
      <c r="P283" s="129">
        <f t="shared" si="28"/>
        <v>76.343800000000002</v>
      </c>
      <c r="Q283" s="129" t="str">
        <f t="shared" si="32"/>
        <v/>
      </c>
      <c r="R283" s="121"/>
      <c r="S283" s="124">
        <v>118.55</v>
      </c>
    </row>
    <row r="284" spans="1:19">
      <c r="A284" s="123">
        <v>42254</v>
      </c>
      <c r="B284" s="121">
        <f t="shared" si="30"/>
        <v>9</v>
      </c>
      <c r="C284" s="121">
        <f t="shared" si="31"/>
        <v>2015</v>
      </c>
      <c r="D284" s="124">
        <v>1.6746000000000001</v>
      </c>
      <c r="E284" s="124">
        <v>1.331307</v>
      </c>
      <c r="F284" s="109">
        <v>301.428</v>
      </c>
      <c r="G284" s="121"/>
      <c r="H284" s="124">
        <v>6.5472999999999999</v>
      </c>
      <c r="I284" s="124">
        <v>99.87</v>
      </c>
      <c r="J284" s="124">
        <v>83.87</v>
      </c>
      <c r="K284" s="121"/>
      <c r="L284" s="130">
        <f t="shared" si="33"/>
        <v>0.79499999999999993</v>
      </c>
      <c r="M284" s="130">
        <f t="shared" si="34"/>
        <v>0.17999999999999997</v>
      </c>
      <c r="N284" s="130">
        <f t="shared" si="35"/>
        <v>0.97499999999999987</v>
      </c>
      <c r="O284" s="130"/>
      <c r="P284" s="129">
        <f t="shared" si="28"/>
        <v>87.0792</v>
      </c>
      <c r="Q284" s="129">
        <f t="shared" si="32"/>
        <v>27.368386480353518</v>
      </c>
      <c r="R284" s="121"/>
      <c r="S284" s="124">
        <v>94.4</v>
      </c>
    </row>
    <row r="285" spans="1:19">
      <c r="A285" s="123">
        <v>42261</v>
      </c>
      <c r="B285" s="121">
        <f t="shared" si="30"/>
        <v>9</v>
      </c>
      <c r="C285" s="121">
        <f t="shared" si="31"/>
        <v>2015</v>
      </c>
      <c r="D285" s="124">
        <v>1.7831999999999999</v>
      </c>
      <c r="E285" s="124">
        <v>1.4176439999999999</v>
      </c>
      <c r="F285" s="109">
        <v>320.976</v>
      </c>
      <c r="G285" s="121"/>
      <c r="H285" s="124">
        <v>6.3548</v>
      </c>
      <c r="I285" s="124">
        <v>95.79</v>
      </c>
      <c r="J285" s="124">
        <v>74.430000000000007</v>
      </c>
      <c r="K285" s="121"/>
      <c r="L285" s="130">
        <f t="shared" si="33"/>
        <v>0.79500000000000004</v>
      </c>
      <c r="M285" s="130">
        <f t="shared" si="34"/>
        <v>0.18</v>
      </c>
      <c r="N285" s="130">
        <f t="shared" si="35"/>
        <v>0.97500000000000009</v>
      </c>
      <c r="O285" s="130"/>
      <c r="P285" s="129">
        <f t="shared" si="28"/>
        <v>92.726399999999998</v>
      </c>
      <c r="Q285" s="129">
        <f t="shared" si="32"/>
        <v>24.94593988335577</v>
      </c>
      <c r="R285" s="121"/>
      <c r="S285" s="124">
        <v>126.6</v>
      </c>
    </row>
    <row r="286" spans="1:19">
      <c r="A286" s="123">
        <v>42268</v>
      </c>
      <c r="B286" s="121">
        <f t="shared" si="30"/>
        <v>9</v>
      </c>
      <c r="C286" s="121">
        <f t="shared" si="31"/>
        <v>2015</v>
      </c>
      <c r="D286" s="124">
        <v>1.744</v>
      </c>
      <c r="E286" s="124">
        <v>1.3864799999999999</v>
      </c>
      <c r="F286" s="109">
        <v>313.92</v>
      </c>
      <c r="G286" s="121"/>
      <c r="H286" s="124"/>
      <c r="I286" s="125">
        <f>(($I$289-$I$285)/4)+I285</f>
        <v>95.677500000000009</v>
      </c>
      <c r="J286" s="124">
        <v>68.08</v>
      </c>
      <c r="K286" s="121"/>
      <c r="L286" s="130">
        <f t="shared" si="33"/>
        <v>0.79499999999999993</v>
      </c>
      <c r="M286" s="130">
        <f t="shared" si="34"/>
        <v>0.18000000000000002</v>
      </c>
      <c r="N286" s="130">
        <f t="shared" si="35"/>
        <v>0.97499999999999998</v>
      </c>
      <c r="O286" s="130"/>
      <c r="P286" s="129">
        <f t="shared" si="28"/>
        <v>90.688000000000002</v>
      </c>
      <c r="Q286" s="129" t="str">
        <f t="shared" si="32"/>
        <v/>
      </c>
      <c r="R286" s="121"/>
      <c r="S286" s="124">
        <v>101.25</v>
      </c>
    </row>
    <row r="287" spans="1:19">
      <c r="A287" s="123">
        <v>42275</v>
      </c>
      <c r="B287" s="121">
        <f t="shared" si="30"/>
        <v>9</v>
      </c>
      <c r="C287" s="121">
        <f t="shared" si="31"/>
        <v>2015</v>
      </c>
      <c r="D287" s="124">
        <v>1.3797999999999999</v>
      </c>
      <c r="E287" s="124">
        <v>1.0969409999999999</v>
      </c>
      <c r="F287" s="109">
        <v>248.364</v>
      </c>
      <c r="G287" s="121"/>
      <c r="H287" s="124"/>
      <c r="I287" s="125">
        <f>(($I$289-$I$285)/4)+I286</f>
        <v>95.565000000000012</v>
      </c>
      <c r="J287" s="124">
        <v>55.86</v>
      </c>
      <c r="K287" s="121"/>
      <c r="L287" s="130">
        <f t="shared" si="33"/>
        <v>0.79500000000000004</v>
      </c>
      <c r="M287" s="130">
        <f t="shared" si="34"/>
        <v>0.18000000000000002</v>
      </c>
      <c r="N287" s="130">
        <f t="shared" si="35"/>
        <v>0.97500000000000009</v>
      </c>
      <c r="O287" s="130"/>
      <c r="P287" s="129">
        <f t="shared" si="28"/>
        <v>71.749600000000001</v>
      </c>
      <c r="Q287" s="129" t="str">
        <f t="shared" si="32"/>
        <v/>
      </c>
      <c r="R287" s="121"/>
      <c r="S287" s="124">
        <v>110.5</v>
      </c>
    </row>
    <row r="288" spans="1:19">
      <c r="A288" s="123">
        <v>42282</v>
      </c>
      <c r="B288" s="121">
        <f t="shared" si="30"/>
        <v>10</v>
      </c>
      <c r="C288" s="121">
        <f t="shared" si="31"/>
        <v>2015</v>
      </c>
      <c r="D288" s="124">
        <v>1.0331999999999999</v>
      </c>
      <c r="E288" s="124">
        <v>0.82139399999999996</v>
      </c>
      <c r="F288" s="109">
        <v>185.976</v>
      </c>
      <c r="G288" s="121"/>
      <c r="H288" s="124"/>
      <c r="I288" s="125">
        <f>(($I$289-$I$285)/4)+I287</f>
        <v>95.452500000000015</v>
      </c>
      <c r="J288" s="124">
        <v>74.02</v>
      </c>
      <c r="K288" s="121"/>
      <c r="L288" s="130">
        <f t="shared" si="33"/>
        <v>0.79500000000000004</v>
      </c>
      <c r="M288" s="130">
        <f t="shared" si="34"/>
        <v>0.18000000000000002</v>
      </c>
      <c r="N288" s="130">
        <f t="shared" si="35"/>
        <v>0.97500000000000009</v>
      </c>
      <c r="O288" s="130"/>
      <c r="P288" s="129">
        <f t="shared" si="28"/>
        <v>53.726399999999998</v>
      </c>
      <c r="Q288" s="129" t="str">
        <f t="shared" si="32"/>
        <v/>
      </c>
      <c r="R288" s="121"/>
      <c r="S288" s="124">
        <v>110.5</v>
      </c>
    </row>
    <row r="289" spans="1:19">
      <c r="A289" s="123">
        <v>42289</v>
      </c>
      <c r="B289" s="121">
        <f t="shared" si="30"/>
        <v>10</v>
      </c>
      <c r="C289" s="121">
        <f t="shared" si="31"/>
        <v>2015</v>
      </c>
      <c r="D289" s="124">
        <v>1.6736</v>
      </c>
      <c r="E289" s="124">
        <v>1.3864799999999999</v>
      </c>
      <c r="F289" s="109">
        <v>313.92</v>
      </c>
      <c r="G289" s="121"/>
      <c r="H289" s="124">
        <v>6.2073</v>
      </c>
      <c r="I289" s="124">
        <v>95.34</v>
      </c>
      <c r="J289" s="124">
        <v>56.16</v>
      </c>
      <c r="K289" s="121"/>
      <c r="L289" s="130">
        <f t="shared" si="33"/>
        <v>0.82844168260038242</v>
      </c>
      <c r="M289" s="130">
        <f t="shared" si="34"/>
        <v>0.18757170172084131</v>
      </c>
      <c r="N289" s="130">
        <f t="shared" si="35"/>
        <v>1.0160133843212238</v>
      </c>
      <c r="O289" s="130"/>
      <c r="P289" s="129">
        <f t="shared" si="28"/>
        <v>87.027199999999993</v>
      </c>
      <c r="Q289" s="129">
        <f t="shared" si="32"/>
        <v>25.96265535372849</v>
      </c>
      <c r="R289" s="121"/>
      <c r="S289" s="124">
        <v>185.35</v>
      </c>
    </row>
    <row r="290" spans="1:19">
      <c r="A290" s="123">
        <v>42296</v>
      </c>
      <c r="B290" s="121">
        <f t="shared" si="30"/>
        <v>10</v>
      </c>
      <c r="C290" s="121">
        <f t="shared" si="31"/>
        <v>2015</v>
      </c>
      <c r="D290" s="124">
        <v>1.8141</v>
      </c>
      <c r="E290" s="124">
        <v>1.4422090000000001</v>
      </c>
      <c r="F290" s="109">
        <v>326.53800000000001</v>
      </c>
      <c r="G290" s="121"/>
      <c r="H290" s="124">
        <v>5.7312000000000003</v>
      </c>
      <c r="I290" s="124">
        <v>96.27</v>
      </c>
      <c r="J290" s="124">
        <v>52.46</v>
      </c>
      <c r="K290" s="121"/>
      <c r="L290" s="130">
        <f t="shared" si="33"/>
        <v>0.79499972438123589</v>
      </c>
      <c r="M290" s="130">
        <f t="shared" si="34"/>
        <v>0.18</v>
      </c>
      <c r="N290" s="130">
        <f t="shared" si="35"/>
        <v>0.97499972438123583</v>
      </c>
      <c r="O290" s="130"/>
      <c r="P290" s="129">
        <f t="shared" si="28"/>
        <v>94.333200000000005</v>
      </c>
      <c r="Q290" s="129">
        <f t="shared" si="32"/>
        <v>22.114767653381843</v>
      </c>
      <c r="R290" s="121"/>
      <c r="S290" s="124">
        <v>194.6</v>
      </c>
    </row>
    <row r="291" spans="1:19">
      <c r="A291" s="123">
        <v>42303</v>
      </c>
      <c r="B291" s="121">
        <f t="shared" si="30"/>
        <v>10</v>
      </c>
      <c r="C291" s="121">
        <f t="shared" si="31"/>
        <v>2015</v>
      </c>
      <c r="D291" s="124">
        <v>1.72495</v>
      </c>
      <c r="E291" s="124">
        <v>1.371335</v>
      </c>
      <c r="F291" s="109">
        <v>310.49099999999999</v>
      </c>
      <c r="G291" s="121"/>
      <c r="H291" s="124"/>
      <c r="I291" s="125">
        <f>(($I$293-$I$290)/3)+I290</f>
        <v>96.63</v>
      </c>
      <c r="J291" s="124"/>
      <c r="K291" s="121"/>
      <c r="L291" s="130">
        <f t="shared" si="33"/>
        <v>0.79499985506826287</v>
      </c>
      <c r="M291" s="130">
        <f t="shared" si="34"/>
        <v>0.17999999999999997</v>
      </c>
      <c r="N291" s="130">
        <f t="shared" si="35"/>
        <v>0.97499985506826281</v>
      </c>
      <c r="O291" s="130"/>
      <c r="P291" s="129">
        <f t="shared" si="28"/>
        <v>89.697400000000002</v>
      </c>
      <c r="Q291" s="129" t="str">
        <f t="shared" si="32"/>
        <v/>
      </c>
      <c r="R291" s="121"/>
      <c r="S291" s="124">
        <v>185.35</v>
      </c>
    </row>
    <row r="292" spans="1:19">
      <c r="A292" s="123">
        <v>42310</v>
      </c>
      <c r="B292" s="121">
        <f t="shared" si="30"/>
        <v>11</v>
      </c>
      <c r="C292" s="121">
        <f t="shared" si="31"/>
        <v>2015</v>
      </c>
      <c r="D292" s="124">
        <v>1.7216</v>
      </c>
      <c r="E292" s="124">
        <v>1.3686720000000001</v>
      </c>
      <c r="F292" s="109">
        <v>309.88799999999998</v>
      </c>
      <c r="G292" s="121"/>
      <c r="H292" s="124"/>
      <c r="I292" s="125">
        <f>(($I$293-$I$290)/3)+I291</f>
        <v>96.99</v>
      </c>
      <c r="J292" s="124"/>
      <c r="K292" s="121"/>
      <c r="L292" s="130">
        <f t="shared" si="33"/>
        <v>0.79500000000000004</v>
      </c>
      <c r="M292" s="130">
        <f t="shared" si="34"/>
        <v>0.18</v>
      </c>
      <c r="N292" s="130">
        <f t="shared" si="35"/>
        <v>0.97500000000000009</v>
      </c>
      <c r="O292" s="130"/>
      <c r="P292" s="129">
        <f t="shared" si="28"/>
        <v>89.523200000000003</v>
      </c>
      <c r="Q292" s="129" t="str">
        <f t="shared" si="32"/>
        <v/>
      </c>
      <c r="R292" s="121"/>
      <c r="S292" s="124">
        <v>120.95</v>
      </c>
    </row>
    <row r="293" spans="1:19">
      <c r="A293" s="123">
        <v>42317</v>
      </c>
      <c r="B293" s="121">
        <f t="shared" si="30"/>
        <v>11</v>
      </c>
      <c r="C293" s="121">
        <f t="shared" si="31"/>
        <v>2015</v>
      </c>
      <c r="D293" s="124">
        <v>1.6791499999999999</v>
      </c>
      <c r="E293" s="124">
        <v>1.334924</v>
      </c>
      <c r="F293" s="109">
        <v>302.24700000000001</v>
      </c>
      <c r="G293" s="121"/>
      <c r="H293" s="124">
        <v>5.2951999999999995</v>
      </c>
      <c r="I293" s="124">
        <v>97.35</v>
      </c>
      <c r="J293" s="124">
        <v>57.1</v>
      </c>
      <c r="K293" s="121"/>
      <c r="L293" s="130">
        <f t="shared" si="33"/>
        <v>0.79499985111514759</v>
      </c>
      <c r="M293" s="130">
        <f t="shared" si="34"/>
        <v>0.18</v>
      </c>
      <c r="N293" s="130">
        <f t="shared" si="35"/>
        <v>0.97499985111514764</v>
      </c>
      <c r="O293" s="130"/>
      <c r="P293" s="129">
        <f t="shared" si="28"/>
        <v>87.315799999999996</v>
      </c>
      <c r="Q293" s="129">
        <f t="shared" si="32"/>
        <v>22.074501980168538</v>
      </c>
      <c r="R293" s="121"/>
      <c r="S293" s="124">
        <v>88.75</v>
      </c>
    </row>
    <row r="294" spans="1:19">
      <c r="A294" s="123">
        <v>42324</v>
      </c>
      <c r="B294" s="121">
        <f t="shared" si="30"/>
        <v>11</v>
      </c>
      <c r="C294" s="121">
        <f t="shared" si="31"/>
        <v>2015</v>
      </c>
      <c r="D294" s="124">
        <v>1.6909000000000001</v>
      </c>
      <c r="E294" s="124">
        <v>1.344265</v>
      </c>
      <c r="F294" s="109">
        <v>304.36200000000002</v>
      </c>
      <c r="G294" s="121"/>
      <c r="H294" s="124">
        <v>5.3574999999999999</v>
      </c>
      <c r="I294" s="124">
        <v>101.85</v>
      </c>
      <c r="J294" s="124">
        <v>63.4</v>
      </c>
      <c r="K294" s="121"/>
      <c r="L294" s="130">
        <f t="shared" si="33"/>
        <v>0.79499970429948552</v>
      </c>
      <c r="M294" s="130">
        <f t="shared" si="34"/>
        <v>0.18</v>
      </c>
      <c r="N294" s="130">
        <f t="shared" si="35"/>
        <v>0.97499970429948557</v>
      </c>
      <c r="O294" s="130"/>
      <c r="P294" s="129">
        <f t="shared" si="28"/>
        <v>87.9268</v>
      </c>
      <c r="Q294" s="129">
        <f t="shared" si="32"/>
        <v>22.17901709148974</v>
      </c>
      <c r="R294" s="121"/>
      <c r="S294" s="124">
        <v>-1</v>
      </c>
    </row>
    <row r="295" spans="1:19">
      <c r="A295" s="123">
        <v>42331</v>
      </c>
      <c r="B295" s="121">
        <f t="shared" si="30"/>
        <v>11</v>
      </c>
      <c r="C295" s="121">
        <f t="shared" si="31"/>
        <v>2015</v>
      </c>
      <c r="D295" s="124">
        <v>1.6115999999999999</v>
      </c>
      <c r="E295" s="124">
        <v>1.2812220000000001</v>
      </c>
      <c r="F295" s="109">
        <v>290.08800000000002</v>
      </c>
      <c r="G295" s="121"/>
      <c r="H295" s="124"/>
      <c r="I295" s="124"/>
      <c r="J295" s="124">
        <v>60.81</v>
      </c>
      <c r="K295" s="121"/>
      <c r="L295" s="130">
        <f t="shared" si="33"/>
        <v>0.79500000000000004</v>
      </c>
      <c r="M295" s="130">
        <f t="shared" si="34"/>
        <v>0.18000000000000002</v>
      </c>
      <c r="N295" s="130">
        <f t="shared" si="35"/>
        <v>0.97500000000000009</v>
      </c>
      <c r="O295" s="130"/>
      <c r="P295" s="129">
        <f t="shared" si="28"/>
        <v>83.80319999999999</v>
      </c>
      <c r="Q295" s="129" t="str">
        <f t="shared" si="32"/>
        <v/>
      </c>
      <c r="R295" s="121"/>
      <c r="S295" s="124">
        <v>111.85</v>
      </c>
    </row>
    <row r="296" spans="1:19">
      <c r="A296" s="123">
        <v>42338</v>
      </c>
      <c r="B296" s="121">
        <f t="shared" si="30"/>
        <v>11</v>
      </c>
      <c r="C296" s="121">
        <f t="shared" si="31"/>
        <v>2015</v>
      </c>
      <c r="D296" s="124">
        <v>1.76685</v>
      </c>
      <c r="E296" s="124">
        <v>1.4046449999999999</v>
      </c>
      <c r="F296" s="109">
        <v>318.03300000000002</v>
      </c>
      <c r="G296" s="121"/>
      <c r="H296" s="124">
        <v>5.7014999999999993</v>
      </c>
      <c r="I296" s="124">
        <v>101.5</v>
      </c>
      <c r="J296" s="124">
        <v>59.174999999999997</v>
      </c>
      <c r="K296" s="121"/>
      <c r="L296" s="130">
        <f t="shared" si="33"/>
        <v>0.79499957551574829</v>
      </c>
      <c r="M296" s="130">
        <f t="shared" si="34"/>
        <v>0.18</v>
      </c>
      <c r="N296" s="130">
        <f t="shared" si="35"/>
        <v>0.97499957551574834</v>
      </c>
      <c r="O296" s="130"/>
      <c r="P296" s="129">
        <f t="shared" si="28"/>
        <v>91.876199999999997</v>
      </c>
      <c r="Q296" s="129">
        <f t="shared" si="32"/>
        <v>22.588504966465738</v>
      </c>
      <c r="R296" s="121"/>
      <c r="S296" s="124">
        <v>146.44999999999999</v>
      </c>
    </row>
    <row r="297" spans="1:19">
      <c r="A297" s="123">
        <v>42345</v>
      </c>
      <c r="B297" s="121">
        <f t="shared" si="30"/>
        <v>12</v>
      </c>
      <c r="C297" s="121">
        <f t="shared" si="31"/>
        <v>2015</v>
      </c>
      <c r="D297" s="124">
        <v>1.8294999999999999</v>
      </c>
      <c r="E297" s="124">
        <v>1.4544520000000001</v>
      </c>
      <c r="F297" s="109">
        <v>329.31</v>
      </c>
      <c r="G297" s="121"/>
      <c r="H297" s="124">
        <v>5.6995000000000005</v>
      </c>
      <c r="I297" s="124">
        <v>98.27</v>
      </c>
      <c r="J297" s="124">
        <v>57.11</v>
      </c>
      <c r="K297" s="121"/>
      <c r="L297" s="130">
        <f t="shared" si="33"/>
        <v>0.7949997267012846</v>
      </c>
      <c r="M297" s="130">
        <f t="shared" si="34"/>
        <v>0.18</v>
      </c>
      <c r="N297" s="130">
        <f t="shared" si="35"/>
        <v>0.97499972670128465</v>
      </c>
      <c r="O297" s="130"/>
      <c r="P297" s="129">
        <f t="shared" si="28"/>
        <v>95.134</v>
      </c>
      <c r="Q297" s="129">
        <f t="shared" si="32"/>
        <v>21.807324405575297</v>
      </c>
      <c r="R297" s="121"/>
      <c r="S297" s="124">
        <v>113.05</v>
      </c>
    </row>
    <row r="298" spans="1:19">
      <c r="A298" s="123">
        <v>42352</v>
      </c>
      <c r="B298" s="121">
        <f t="shared" si="30"/>
        <v>12</v>
      </c>
      <c r="C298" s="121">
        <f t="shared" si="31"/>
        <v>2015</v>
      </c>
      <c r="D298" s="124">
        <v>1.8689</v>
      </c>
      <c r="E298" s="124">
        <v>1.4857750000000001</v>
      </c>
      <c r="F298" s="109">
        <v>336.40199999999999</v>
      </c>
      <c r="G298" s="121"/>
      <c r="H298" s="124">
        <v>5.8773999999999997</v>
      </c>
      <c r="I298" s="124">
        <v>99.33</v>
      </c>
      <c r="J298" s="124">
        <v>57.11</v>
      </c>
      <c r="K298" s="121"/>
      <c r="L298" s="130">
        <f t="shared" si="33"/>
        <v>0.7949997324629462</v>
      </c>
      <c r="M298" s="130">
        <f t="shared" si="34"/>
        <v>0.18</v>
      </c>
      <c r="N298" s="130">
        <f t="shared" si="35"/>
        <v>0.97499973246294624</v>
      </c>
      <c r="O298" s="130"/>
      <c r="P298" s="129">
        <f t="shared" si="28"/>
        <v>97.1828</v>
      </c>
      <c r="Q298" s="129">
        <f t="shared" si="32"/>
        <v>22.013911926801864</v>
      </c>
      <c r="R298" s="121"/>
      <c r="S298" s="124">
        <v>105</v>
      </c>
    </row>
    <row r="299" spans="1:19">
      <c r="A299" s="123">
        <v>42359</v>
      </c>
      <c r="B299" s="121">
        <f t="shared" si="30"/>
        <v>12</v>
      </c>
      <c r="C299" s="121">
        <f t="shared" si="31"/>
        <v>2015</v>
      </c>
      <c r="D299" s="124">
        <v>1.8546</v>
      </c>
      <c r="E299" s="124">
        <v>1.474407</v>
      </c>
      <c r="F299" s="109">
        <v>333.83800000000002</v>
      </c>
      <c r="G299" s="121"/>
      <c r="H299" s="124"/>
      <c r="I299" s="125">
        <f>(($I$302-$I$298)/4)+I298</f>
        <v>94.587500000000006</v>
      </c>
      <c r="J299" s="124">
        <v>73.52</v>
      </c>
      <c r="K299" s="121"/>
      <c r="L299" s="130">
        <f t="shared" si="33"/>
        <v>0.79500000000000004</v>
      </c>
      <c r="M299" s="130">
        <f t="shared" si="34"/>
        <v>0.18000539199827456</v>
      </c>
      <c r="N299" s="130">
        <f t="shared" si="35"/>
        <v>0.97500539199827463</v>
      </c>
      <c r="O299" s="130"/>
      <c r="P299" s="129">
        <f t="shared" si="28"/>
        <v>96.4392</v>
      </c>
      <c r="Q299" s="129" t="str">
        <f t="shared" si="32"/>
        <v/>
      </c>
      <c r="R299" s="121"/>
      <c r="S299" s="124">
        <v>114.25</v>
      </c>
    </row>
    <row r="300" spans="1:19">
      <c r="A300" s="123">
        <v>42366</v>
      </c>
      <c r="B300" s="121">
        <f t="shared" si="30"/>
        <v>12</v>
      </c>
      <c r="C300" s="121">
        <f t="shared" si="31"/>
        <v>2015</v>
      </c>
      <c r="D300" s="124">
        <v>1.7988500000000001</v>
      </c>
      <c r="E300" s="124">
        <v>1.430086</v>
      </c>
      <c r="F300" s="109">
        <v>323.79300000000001</v>
      </c>
      <c r="G300" s="121"/>
      <c r="H300" s="124"/>
      <c r="I300" s="125">
        <f>(($I$302-$I$298)/4)+I299</f>
        <v>89.844999999999999</v>
      </c>
      <c r="J300" s="124"/>
      <c r="K300" s="121"/>
      <c r="L300" s="130">
        <f t="shared" si="33"/>
        <v>0.79500013897768018</v>
      </c>
      <c r="M300" s="130">
        <f t="shared" si="34"/>
        <v>0.18</v>
      </c>
      <c r="N300" s="130">
        <f t="shared" si="35"/>
        <v>0.97500013897768012</v>
      </c>
      <c r="O300" s="130"/>
      <c r="P300" s="129">
        <f t="shared" si="28"/>
        <v>93.540199999999999</v>
      </c>
      <c r="Q300" s="129" t="str">
        <f t="shared" si="32"/>
        <v/>
      </c>
      <c r="R300" s="121"/>
      <c r="S300" s="124">
        <v>114.25</v>
      </c>
    </row>
    <row r="301" spans="1:19">
      <c r="A301" s="123">
        <v>42373</v>
      </c>
      <c r="B301" s="121">
        <f t="shared" si="30"/>
        <v>1</v>
      </c>
      <c r="C301" s="121">
        <f t="shared" si="31"/>
        <v>2016</v>
      </c>
      <c r="D301" s="124">
        <v>1.5923499999999999</v>
      </c>
      <c r="E301" s="124">
        <v>1.2659180000000001</v>
      </c>
      <c r="F301" s="109">
        <v>286.62299999999999</v>
      </c>
      <c r="G301" s="121"/>
      <c r="H301" s="124"/>
      <c r="I301" s="125">
        <f>(($I$302-$I$298)/4)+I300</f>
        <v>85.102499999999992</v>
      </c>
      <c r="J301" s="124">
        <v>72.56</v>
      </c>
      <c r="K301" s="121"/>
      <c r="L301" s="130">
        <f t="shared" si="33"/>
        <v>0.79499984299934068</v>
      </c>
      <c r="M301" s="130">
        <f t="shared" si="34"/>
        <v>0.18000000000000002</v>
      </c>
      <c r="N301" s="130">
        <f t="shared" si="35"/>
        <v>0.97499984299934073</v>
      </c>
      <c r="O301" s="130"/>
      <c r="P301" s="129">
        <f t="shared" si="28"/>
        <v>82.802199999999999</v>
      </c>
      <c r="Q301" s="129" t="str">
        <f t="shared" si="32"/>
        <v/>
      </c>
      <c r="R301" s="121"/>
      <c r="S301" s="124">
        <v>88.4</v>
      </c>
    </row>
    <row r="302" spans="1:19">
      <c r="A302" s="123">
        <v>42380</v>
      </c>
      <c r="B302" s="121">
        <f t="shared" si="30"/>
        <v>1</v>
      </c>
      <c r="C302" s="121">
        <f t="shared" si="31"/>
        <v>2016</v>
      </c>
      <c r="D302" s="124">
        <v>1.7663</v>
      </c>
      <c r="E302" s="124">
        <v>1.404209</v>
      </c>
      <c r="F302" s="109">
        <v>317.93400000000003</v>
      </c>
      <c r="G302" s="121"/>
      <c r="H302" s="124">
        <v>6.0308999999999999</v>
      </c>
      <c r="I302" s="124">
        <v>80.36</v>
      </c>
      <c r="J302" s="124">
        <v>77.55</v>
      </c>
      <c r="K302" s="121"/>
      <c r="L302" s="130">
        <f t="shared" si="33"/>
        <v>0.79500028307761994</v>
      </c>
      <c r="M302" s="130">
        <f t="shared" si="34"/>
        <v>0.18000000000000002</v>
      </c>
      <c r="N302" s="130">
        <f t="shared" si="35"/>
        <v>0.97500028307761999</v>
      </c>
      <c r="O302" s="130"/>
      <c r="P302" s="129">
        <f t="shared" si="28"/>
        <v>91.8476</v>
      </c>
      <c r="Q302" s="129">
        <f t="shared" si="32"/>
        <v>23.900979448564797</v>
      </c>
      <c r="R302" s="121"/>
      <c r="S302" s="124">
        <v>71.099999999999994</v>
      </c>
    </row>
    <row r="303" spans="1:19">
      <c r="A303" s="123">
        <v>42387</v>
      </c>
      <c r="B303" s="121">
        <f t="shared" si="30"/>
        <v>1</v>
      </c>
      <c r="C303" s="121">
        <f t="shared" si="31"/>
        <v>2016</v>
      </c>
      <c r="D303" s="124">
        <v>1.8533999999999999</v>
      </c>
      <c r="E303" s="124">
        <v>1.4734529999999999</v>
      </c>
      <c r="F303" s="109">
        <v>333.61200000000002</v>
      </c>
      <c r="G303" s="121"/>
      <c r="H303" s="124">
        <v>5.7638999999999996</v>
      </c>
      <c r="I303" s="124">
        <v>78.489999999999995</v>
      </c>
      <c r="J303" s="124">
        <v>68.709999999999994</v>
      </c>
      <c r="K303" s="121"/>
      <c r="L303" s="130">
        <f t="shared" si="33"/>
        <v>0.79499999999999993</v>
      </c>
      <c r="M303" s="130">
        <f t="shared" si="34"/>
        <v>0.18000000000000002</v>
      </c>
      <c r="N303" s="130">
        <f t="shared" si="35"/>
        <v>0.97499999999999998</v>
      </c>
      <c r="O303" s="130"/>
      <c r="P303" s="129">
        <f t="shared" si="28"/>
        <v>96.376800000000003</v>
      </c>
      <c r="Q303" s="129">
        <f t="shared" si="32"/>
        <v>21.769342829394628</v>
      </c>
      <c r="R303" s="121"/>
      <c r="S303" s="124">
        <v>131.1</v>
      </c>
    </row>
    <row r="304" spans="1:19">
      <c r="A304" s="123">
        <v>42394</v>
      </c>
      <c r="B304" s="121">
        <f t="shared" si="30"/>
        <v>1</v>
      </c>
      <c r="C304" s="121">
        <f t="shared" si="31"/>
        <v>2016</v>
      </c>
      <c r="D304" s="124">
        <v>1.671</v>
      </c>
      <c r="E304" s="124">
        <v>1.3284450000000001</v>
      </c>
      <c r="F304" s="109">
        <v>300.77999999999997</v>
      </c>
      <c r="G304" s="121"/>
      <c r="H304" s="124"/>
      <c r="I304" s="125">
        <f>(($I$307-$I$303)/4)+I303</f>
        <v>75.789999999999992</v>
      </c>
      <c r="J304" s="124"/>
      <c r="K304" s="121"/>
      <c r="L304" s="130">
        <f t="shared" si="33"/>
        <v>0.79500000000000004</v>
      </c>
      <c r="M304" s="130">
        <f t="shared" si="34"/>
        <v>0.18</v>
      </c>
      <c r="N304" s="130">
        <f t="shared" si="35"/>
        <v>0.97500000000000009</v>
      </c>
      <c r="O304" s="130"/>
      <c r="P304" s="129">
        <f t="shared" si="28"/>
        <v>86.891999999999996</v>
      </c>
      <c r="Q304" s="129" t="str">
        <f t="shared" si="32"/>
        <v/>
      </c>
      <c r="R304" s="121"/>
      <c r="S304" s="124">
        <v>128.19999999999999</v>
      </c>
    </row>
    <row r="305" spans="1:19">
      <c r="A305" s="123">
        <v>42401</v>
      </c>
      <c r="B305" s="121">
        <f t="shared" si="30"/>
        <v>2</v>
      </c>
      <c r="C305" s="121">
        <f t="shared" si="31"/>
        <v>2016</v>
      </c>
      <c r="D305" s="124">
        <v>0.98699999999999999</v>
      </c>
      <c r="E305" s="124">
        <v>0.78466499999999995</v>
      </c>
      <c r="F305" s="109">
        <v>177.66</v>
      </c>
      <c r="G305" s="121"/>
      <c r="H305" s="124"/>
      <c r="I305" s="125">
        <f>(($I$307-$I$303)/4)+I304</f>
        <v>73.089999999999989</v>
      </c>
      <c r="J305" s="124"/>
      <c r="K305" s="121"/>
      <c r="L305" s="130">
        <f t="shared" si="33"/>
        <v>0.79499999999999993</v>
      </c>
      <c r="M305" s="130">
        <f t="shared" si="34"/>
        <v>0.18</v>
      </c>
      <c r="N305" s="130">
        <f t="shared" si="35"/>
        <v>0.97499999999999987</v>
      </c>
      <c r="O305" s="130"/>
      <c r="P305" s="129">
        <f t="shared" si="28"/>
        <v>51.323999999999998</v>
      </c>
      <c r="Q305" s="129" t="str">
        <f t="shared" si="32"/>
        <v/>
      </c>
      <c r="R305" s="121"/>
      <c r="S305" s="124">
        <v>128.19999999999999</v>
      </c>
    </row>
    <row r="306" spans="1:19">
      <c r="A306" s="123">
        <v>42408</v>
      </c>
      <c r="B306" s="121">
        <f t="shared" si="30"/>
        <v>2</v>
      </c>
      <c r="C306" s="121">
        <f t="shared" si="31"/>
        <v>2016</v>
      </c>
      <c r="D306" s="124">
        <v>4.5499999999999999E-2</v>
      </c>
      <c r="E306" s="124">
        <v>3.6172999999999997E-2</v>
      </c>
      <c r="F306" s="109">
        <v>8.19</v>
      </c>
      <c r="G306" s="121"/>
      <c r="H306" s="124"/>
      <c r="I306" s="125">
        <f>(($I$307-$I$303)/4)+I305</f>
        <v>70.389999999999986</v>
      </c>
      <c r="J306" s="124">
        <v>39.44</v>
      </c>
      <c r="K306" s="121"/>
      <c r="L306" s="130">
        <f t="shared" si="33"/>
        <v>0.79501098901098899</v>
      </c>
      <c r="M306" s="130">
        <f t="shared" si="34"/>
        <v>0.18</v>
      </c>
      <c r="N306" s="130">
        <f t="shared" si="35"/>
        <v>0.97501098901098904</v>
      </c>
      <c r="O306" s="130"/>
      <c r="P306" s="129">
        <f t="shared" si="28"/>
        <v>2.3660000000000001</v>
      </c>
      <c r="Q306" s="129" t="str">
        <f t="shared" si="32"/>
        <v/>
      </c>
      <c r="R306" s="121"/>
      <c r="S306" s="124"/>
    </row>
    <row r="307" spans="1:19">
      <c r="A307" s="123">
        <v>42415</v>
      </c>
      <c r="B307" s="121">
        <f t="shared" si="30"/>
        <v>2</v>
      </c>
      <c r="C307" s="121">
        <f t="shared" si="31"/>
        <v>2016</v>
      </c>
      <c r="D307" s="124">
        <v>0.66290000000000004</v>
      </c>
      <c r="E307" s="124">
        <v>0.52700599999999997</v>
      </c>
      <c r="F307" s="109">
        <v>119.322</v>
      </c>
      <c r="G307" s="121"/>
      <c r="H307" s="124">
        <v>5.9314999999999998</v>
      </c>
      <c r="I307" s="124">
        <v>67.69</v>
      </c>
      <c r="J307" s="124">
        <v>42.545000000000002</v>
      </c>
      <c r="K307" s="121"/>
      <c r="L307" s="130">
        <f t="shared" si="33"/>
        <v>0.79500075426157779</v>
      </c>
      <c r="M307" s="130">
        <f t="shared" si="34"/>
        <v>0.18</v>
      </c>
      <c r="N307" s="130">
        <f t="shared" si="35"/>
        <v>0.97500075426157773</v>
      </c>
      <c r="O307" s="130"/>
      <c r="P307" s="129">
        <f t="shared" si="28"/>
        <v>34.470800000000004</v>
      </c>
      <c r="Q307" s="129">
        <f t="shared" si="32"/>
        <v>62.634635691657863</v>
      </c>
      <c r="R307" s="121"/>
      <c r="S307" s="124">
        <v>172.05</v>
      </c>
    </row>
    <row r="308" spans="1:19">
      <c r="A308" s="123">
        <v>42422</v>
      </c>
      <c r="B308" s="121">
        <f t="shared" si="30"/>
        <v>2</v>
      </c>
      <c r="C308" s="121">
        <f t="shared" si="31"/>
        <v>2016</v>
      </c>
      <c r="D308" s="124">
        <v>1.58185</v>
      </c>
      <c r="E308" s="124">
        <v>1.257571</v>
      </c>
      <c r="F308" s="109">
        <v>284.733</v>
      </c>
      <c r="G308" s="121"/>
      <c r="H308" s="124">
        <v>5.8930999999999996</v>
      </c>
      <c r="I308" s="124">
        <v>63.82</v>
      </c>
      <c r="J308" s="124">
        <v>57.042999999999999</v>
      </c>
      <c r="K308" s="121"/>
      <c r="L308" s="130">
        <f t="shared" si="33"/>
        <v>0.795000158042798</v>
      </c>
      <c r="M308" s="130">
        <f t="shared" si="34"/>
        <v>0.18000000000000002</v>
      </c>
      <c r="N308" s="130">
        <f t="shared" si="35"/>
        <v>0.97500015804279805</v>
      </c>
      <c r="O308" s="130"/>
      <c r="P308" s="129">
        <f t="shared" si="28"/>
        <v>82.256199999999993</v>
      </c>
      <c r="Q308" s="129">
        <f t="shared" si="32"/>
        <v>26.078136359326106</v>
      </c>
      <c r="R308" s="121"/>
      <c r="S308" s="124">
        <v>82.3</v>
      </c>
    </row>
    <row r="309" spans="1:19">
      <c r="A309" s="123">
        <v>42429</v>
      </c>
      <c r="B309" s="121">
        <f t="shared" si="30"/>
        <v>2</v>
      </c>
      <c r="C309" s="121">
        <f t="shared" si="31"/>
        <v>2016</v>
      </c>
      <c r="D309" s="124">
        <v>1.5887</v>
      </c>
      <c r="E309" s="124">
        <v>1.2630159999999999</v>
      </c>
      <c r="F309" s="109">
        <v>285.96600000000001</v>
      </c>
      <c r="G309" s="121"/>
      <c r="H309" s="124">
        <v>5.7530999999999999</v>
      </c>
      <c r="I309" s="124">
        <v>62.5</v>
      </c>
      <c r="J309" s="124">
        <v>73.599999999999994</v>
      </c>
      <c r="K309" s="121"/>
      <c r="L309" s="130">
        <f t="shared" si="33"/>
        <v>0.79499968527727072</v>
      </c>
      <c r="M309" s="130">
        <f t="shared" si="34"/>
        <v>0.18</v>
      </c>
      <c r="N309" s="130">
        <f t="shared" si="35"/>
        <v>0.97499968527727066</v>
      </c>
      <c r="O309" s="130"/>
      <c r="P309" s="129">
        <f t="shared" si="28"/>
        <v>82.612399999999994</v>
      </c>
      <c r="Q309" s="129">
        <f t="shared" si="32"/>
        <v>25.348838673128974</v>
      </c>
      <c r="R309" s="121"/>
      <c r="S309" s="124">
        <v>36.5</v>
      </c>
    </row>
    <row r="310" spans="1:19">
      <c r="A310" s="123">
        <v>42436</v>
      </c>
      <c r="B310" s="121">
        <f t="shared" si="30"/>
        <v>3</v>
      </c>
      <c r="C310" s="121">
        <f t="shared" si="31"/>
        <v>2016</v>
      </c>
      <c r="D310" s="124">
        <v>1.6002000000000001</v>
      </c>
      <c r="E310" s="124">
        <v>1.273272</v>
      </c>
      <c r="F310" s="109">
        <v>288.28800000000001</v>
      </c>
      <c r="G310" s="121"/>
      <c r="H310" s="124">
        <v>5.5171000000000001</v>
      </c>
      <c r="I310" s="124">
        <v>65.150000000000006</v>
      </c>
      <c r="J310" s="124">
        <v>74.510000000000005</v>
      </c>
      <c r="K310" s="121"/>
      <c r="L310" s="130">
        <f t="shared" si="33"/>
        <v>0.79569553805774274</v>
      </c>
      <c r="M310" s="130">
        <f t="shared" si="34"/>
        <v>0.18015748031496062</v>
      </c>
      <c r="N310" s="130">
        <f t="shared" si="35"/>
        <v>0.97585301837270333</v>
      </c>
      <c r="O310" s="130"/>
      <c r="P310" s="129">
        <f t="shared" si="28"/>
        <v>83.210400000000007</v>
      </c>
      <c r="Q310" s="129">
        <f t="shared" si="32"/>
        <v>24.134295713035872</v>
      </c>
      <c r="R310" s="121"/>
      <c r="S310" s="124">
        <v>34</v>
      </c>
    </row>
    <row r="311" spans="1:19">
      <c r="A311" s="123">
        <v>42443</v>
      </c>
      <c r="B311" s="121">
        <f t="shared" si="30"/>
        <v>3</v>
      </c>
      <c r="C311" s="121">
        <f t="shared" si="31"/>
        <v>2016</v>
      </c>
      <c r="D311" s="124">
        <v>1.3348500000000001</v>
      </c>
      <c r="E311" s="124">
        <v>1.061205</v>
      </c>
      <c r="F311" s="109">
        <v>240.273</v>
      </c>
      <c r="G311" s="121"/>
      <c r="H311" s="124">
        <v>5.3000999999999996</v>
      </c>
      <c r="I311" s="124">
        <v>61.4</v>
      </c>
      <c r="J311" s="124">
        <v>76.37</v>
      </c>
      <c r="K311" s="121"/>
      <c r="L311" s="130">
        <f t="shared" si="33"/>
        <v>0.79499943813911667</v>
      </c>
      <c r="M311" s="130">
        <f t="shared" si="34"/>
        <v>0.17999999999999997</v>
      </c>
      <c r="N311" s="130">
        <f t="shared" si="35"/>
        <v>0.9749994381391166</v>
      </c>
      <c r="O311" s="130"/>
      <c r="P311" s="129">
        <f t="shared" si="28"/>
        <v>69.412199999999999</v>
      </c>
      <c r="Q311" s="129">
        <f t="shared" si="32"/>
        <v>27.793909428025614</v>
      </c>
      <c r="R311" s="121"/>
      <c r="S311" s="124">
        <v>36.4</v>
      </c>
    </row>
    <row r="312" spans="1:19">
      <c r="A312" s="123">
        <v>42450</v>
      </c>
      <c r="B312" s="121">
        <f t="shared" si="30"/>
        <v>3</v>
      </c>
      <c r="C312" s="121">
        <f t="shared" si="31"/>
        <v>2016</v>
      </c>
      <c r="D312" s="125">
        <f>AVERAGE(D311,D313)</f>
        <v>1.4196249999999999</v>
      </c>
      <c r="E312" s="125">
        <f>AVERAGE(E311,E313)</f>
        <v>1.1286014999999998</v>
      </c>
      <c r="F312" s="125">
        <f>AVERAGE(F311,F313)</f>
        <v>255.53249999999997</v>
      </c>
      <c r="G312" s="121"/>
      <c r="H312" s="124">
        <v>5.3274999999999997</v>
      </c>
      <c r="I312" s="124">
        <v>61.85</v>
      </c>
      <c r="J312" s="124">
        <v>77.97</v>
      </c>
      <c r="K312" s="121"/>
      <c r="L312" s="130">
        <f t="shared" ref="L312:L343" si="36">E312/D312</f>
        <v>0.7949997358457338</v>
      </c>
      <c r="M312" s="130">
        <f t="shared" ref="M312:M343" si="37">F312/1000/D312</f>
        <v>0.18000000000000002</v>
      </c>
      <c r="N312" s="130">
        <f t="shared" ref="N312:N343" si="38">M312+L312</f>
        <v>0.97499973584573385</v>
      </c>
      <c r="O312" s="130"/>
      <c r="P312" s="129">
        <f t="shared" ref="P312:P375" si="39">D312*52</f>
        <v>73.820499999999996</v>
      </c>
      <c r="Q312" s="129">
        <f t="shared" si="32"/>
        <v>26.269261248569165</v>
      </c>
      <c r="R312" s="121"/>
      <c r="S312" s="124">
        <v>36.4</v>
      </c>
    </row>
    <row r="313" spans="1:19">
      <c r="A313" s="123">
        <v>42457</v>
      </c>
      <c r="B313" s="121">
        <f t="shared" si="30"/>
        <v>3</v>
      </c>
      <c r="C313" s="121">
        <f t="shared" si="31"/>
        <v>2016</v>
      </c>
      <c r="D313" s="124">
        <v>1.5044</v>
      </c>
      <c r="E313" s="124">
        <v>1.1959979999999999</v>
      </c>
      <c r="F313" s="109">
        <v>270.79199999999997</v>
      </c>
      <c r="G313" s="121"/>
      <c r="H313" s="124">
        <v>5.3914999999999997</v>
      </c>
      <c r="I313" s="124">
        <v>61.06</v>
      </c>
      <c r="J313" s="124">
        <v>65.099999999999994</v>
      </c>
      <c r="K313" s="121"/>
      <c r="L313" s="130">
        <f t="shared" si="36"/>
        <v>0.79499999999999993</v>
      </c>
      <c r="M313" s="130">
        <f t="shared" si="37"/>
        <v>0.18</v>
      </c>
      <c r="N313" s="130">
        <f t="shared" si="38"/>
        <v>0.97499999999999987</v>
      </c>
      <c r="O313" s="130"/>
      <c r="P313" s="129">
        <f t="shared" si="39"/>
        <v>78.228799999999993</v>
      </c>
      <c r="Q313" s="129">
        <f t="shared" si="32"/>
        <v>25.086745546397236</v>
      </c>
      <c r="R313" s="121"/>
      <c r="S313" s="124">
        <v>89.5</v>
      </c>
    </row>
    <row r="314" spans="1:19">
      <c r="A314" s="123">
        <v>42464</v>
      </c>
      <c r="B314" s="121">
        <f t="shared" si="30"/>
        <v>4</v>
      </c>
      <c r="C314" s="121">
        <f t="shared" si="31"/>
        <v>2016</v>
      </c>
      <c r="D314" s="124">
        <v>1.3567</v>
      </c>
      <c r="E314" s="124">
        <v>1.078576</v>
      </c>
      <c r="F314" s="109">
        <v>244.20599999999999</v>
      </c>
      <c r="G314" s="121"/>
      <c r="H314" s="124"/>
      <c r="I314" s="124"/>
      <c r="J314" s="124"/>
      <c r="K314" s="121"/>
      <c r="L314" s="130">
        <f t="shared" si="36"/>
        <v>0.79499963145868646</v>
      </c>
      <c r="M314" s="130">
        <f t="shared" si="37"/>
        <v>0.18</v>
      </c>
      <c r="N314" s="130">
        <f t="shared" si="38"/>
        <v>0.9749996314586864</v>
      </c>
      <c r="O314" s="130"/>
      <c r="P314" s="129">
        <f t="shared" si="39"/>
        <v>70.548400000000001</v>
      </c>
      <c r="Q314" s="129" t="str">
        <f t="shared" si="32"/>
        <v/>
      </c>
      <c r="R314" s="121"/>
      <c r="S314" s="124">
        <v>89.5</v>
      </c>
    </row>
    <row r="315" spans="1:19">
      <c r="A315" s="123">
        <v>42471</v>
      </c>
      <c r="B315" s="121">
        <f t="shared" si="30"/>
        <v>4</v>
      </c>
      <c r="C315" s="121">
        <f t="shared" si="31"/>
        <v>2016</v>
      </c>
      <c r="D315" s="124">
        <v>1.5737000000000001</v>
      </c>
      <c r="E315" s="124">
        <v>1.251091</v>
      </c>
      <c r="F315" s="109">
        <v>283.26600000000002</v>
      </c>
      <c r="G315" s="121"/>
      <c r="H315" s="124">
        <v>5.8045000000000009</v>
      </c>
      <c r="I315" s="124">
        <v>62.13</v>
      </c>
      <c r="J315" s="124">
        <v>65.400000000000006</v>
      </c>
      <c r="K315" s="121"/>
      <c r="L315" s="130">
        <f t="shared" si="36"/>
        <v>0.79499968227743523</v>
      </c>
      <c r="M315" s="130">
        <f t="shared" si="37"/>
        <v>0.18</v>
      </c>
      <c r="N315" s="130">
        <f t="shared" si="38"/>
        <v>0.97499968227743516</v>
      </c>
      <c r="O315" s="130"/>
      <c r="P315" s="129">
        <f t="shared" si="39"/>
        <v>81.832400000000007</v>
      </c>
      <c r="Q315" s="129">
        <f t="shared" si="32"/>
        <v>25.819088771684569</v>
      </c>
      <c r="R315" s="121"/>
      <c r="S315" s="124">
        <v>108</v>
      </c>
    </row>
    <row r="316" spans="1:19">
      <c r="A316" s="123">
        <v>42478</v>
      </c>
      <c r="B316" s="121">
        <f t="shared" si="30"/>
        <v>4</v>
      </c>
      <c r="C316" s="121">
        <f t="shared" si="31"/>
        <v>2016</v>
      </c>
      <c r="D316" s="124">
        <v>1.6416999999999999</v>
      </c>
      <c r="E316" s="124">
        <v>1.305151</v>
      </c>
      <c r="F316" s="109">
        <v>295.50599999999997</v>
      </c>
      <c r="G316" s="121"/>
      <c r="H316" s="124">
        <v>5.6315</v>
      </c>
      <c r="I316" s="124">
        <v>64.73</v>
      </c>
      <c r="J316" s="124">
        <v>68.290000000000006</v>
      </c>
      <c r="K316" s="121"/>
      <c r="L316" s="130">
        <f t="shared" si="36"/>
        <v>0.79499969543765614</v>
      </c>
      <c r="M316" s="130">
        <f t="shared" si="37"/>
        <v>0.18</v>
      </c>
      <c r="N316" s="130">
        <f t="shared" si="38"/>
        <v>0.97499969543765608</v>
      </c>
      <c r="O316" s="130"/>
      <c r="P316" s="129">
        <f t="shared" si="39"/>
        <v>85.368399999999994</v>
      </c>
      <c r="Q316" s="129">
        <f t="shared" si="32"/>
        <v>24.011999756350125</v>
      </c>
      <c r="R316" s="121"/>
      <c r="S316" s="124">
        <v>328.45</v>
      </c>
    </row>
    <row r="317" spans="1:19">
      <c r="A317" s="123">
        <v>42485</v>
      </c>
      <c r="B317" s="121">
        <f t="shared" si="30"/>
        <v>4</v>
      </c>
      <c r="C317" s="121">
        <f t="shared" si="31"/>
        <v>2016</v>
      </c>
      <c r="D317" s="124">
        <v>1.6744000000000001</v>
      </c>
      <c r="E317" s="124">
        <v>1.331148</v>
      </c>
      <c r="F317" s="109">
        <v>301.392</v>
      </c>
      <c r="G317" s="121"/>
      <c r="H317" s="124">
        <v>5.7816000000000001</v>
      </c>
      <c r="I317" s="124">
        <v>63.8</v>
      </c>
      <c r="J317" s="124">
        <v>78.7</v>
      </c>
      <c r="K317" s="121"/>
      <c r="L317" s="130">
        <f t="shared" si="36"/>
        <v>0.79499999999999993</v>
      </c>
      <c r="M317" s="130">
        <f t="shared" si="37"/>
        <v>0.18</v>
      </c>
      <c r="N317" s="130">
        <f t="shared" si="38"/>
        <v>0.97499999999999987</v>
      </c>
      <c r="O317" s="130"/>
      <c r="P317" s="129">
        <f t="shared" si="39"/>
        <v>87.06880000000001</v>
      </c>
      <c r="Q317" s="129">
        <f t="shared" si="32"/>
        <v>24.170568561872908</v>
      </c>
      <c r="R317" s="121"/>
      <c r="S317" s="124">
        <v>328.45</v>
      </c>
    </row>
    <row r="318" spans="1:19">
      <c r="A318" s="123">
        <v>42492</v>
      </c>
      <c r="B318" s="121">
        <f t="shared" si="30"/>
        <v>5</v>
      </c>
      <c r="C318" s="121">
        <f t="shared" si="31"/>
        <v>2016</v>
      </c>
      <c r="D318" s="124">
        <v>1.4741500000000001</v>
      </c>
      <c r="E318" s="124">
        <v>1.1719489999999999</v>
      </c>
      <c r="F318" s="109">
        <v>265.34699999999998</v>
      </c>
      <c r="G318" s="121"/>
      <c r="H318" s="124">
        <v>5.6096000000000004</v>
      </c>
      <c r="I318" s="124">
        <v>68.53</v>
      </c>
      <c r="J318" s="124">
        <v>85.52</v>
      </c>
      <c r="K318" s="121"/>
      <c r="L318" s="130">
        <f t="shared" si="36"/>
        <v>0.79499983041074507</v>
      </c>
      <c r="M318" s="130">
        <f t="shared" si="37"/>
        <v>0.18</v>
      </c>
      <c r="N318" s="130">
        <f t="shared" si="38"/>
        <v>0.97499983041074501</v>
      </c>
      <c r="O318" s="130"/>
      <c r="P318" s="129">
        <f t="shared" si="39"/>
        <v>76.655799999999999</v>
      </c>
      <c r="Q318" s="129">
        <f t="shared" si="32"/>
        <v>26.637180748227792</v>
      </c>
      <c r="R318" s="121"/>
      <c r="S318" s="124">
        <v>220.4</v>
      </c>
    </row>
    <row r="319" spans="1:19">
      <c r="A319" s="123">
        <v>42499</v>
      </c>
      <c r="B319" s="121">
        <f t="shared" si="30"/>
        <v>5</v>
      </c>
      <c r="C319" s="121">
        <f t="shared" si="31"/>
        <v>2016</v>
      </c>
      <c r="D319" s="124">
        <v>1.5921000000000001</v>
      </c>
      <c r="E319" s="124">
        <v>1.265719</v>
      </c>
      <c r="F319" s="109">
        <v>286.57799999999997</v>
      </c>
      <c r="G319" s="121"/>
      <c r="H319" s="124">
        <v>5.8105999999999991</v>
      </c>
      <c r="I319" s="124">
        <v>69.64</v>
      </c>
      <c r="J319" s="124">
        <v>70.459999999999994</v>
      </c>
      <c r="K319" s="121"/>
      <c r="L319" s="130">
        <f t="shared" si="36"/>
        <v>0.79499968594937498</v>
      </c>
      <c r="M319" s="130">
        <f t="shared" si="37"/>
        <v>0.18</v>
      </c>
      <c r="N319" s="130">
        <f t="shared" si="38"/>
        <v>0.97499968594937503</v>
      </c>
      <c r="O319" s="130"/>
      <c r="P319" s="129">
        <f t="shared" si="39"/>
        <v>82.789200000000008</v>
      </c>
      <c r="Q319" s="129">
        <f t="shared" si="32"/>
        <v>25.547515859556558</v>
      </c>
      <c r="R319" s="121"/>
      <c r="S319" s="124">
        <v>275.75</v>
      </c>
    </row>
    <row r="320" spans="1:19">
      <c r="A320" s="123">
        <v>42506</v>
      </c>
      <c r="B320" s="121">
        <f t="shared" si="30"/>
        <v>5</v>
      </c>
      <c r="C320" s="121">
        <f t="shared" si="31"/>
        <v>2016</v>
      </c>
      <c r="D320" s="124">
        <v>1.78945</v>
      </c>
      <c r="E320" s="124">
        <v>1.422612</v>
      </c>
      <c r="F320" s="109">
        <v>322.101</v>
      </c>
      <c r="G320" s="121"/>
      <c r="H320" s="124">
        <v>5.8746</v>
      </c>
      <c r="I320" s="124">
        <v>73.010000000000005</v>
      </c>
      <c r="J320" s="124">
        <v>66.05</v>
      </c>
      <c r="K320" s="121"/>
      <c r="L320" s="130">
        <f t="shared" si="36"/>
        <v>0.79499958087680567</v>
      </c>
      <c r="M320" s="130">
        <f t="shared" si="37"/>
        <v>0.18000000000000002</v>
      </c>
      <c r="N320" s="130">
        <f t="shared" si="38"/>
        <v>0.97499958087680572</v>
      </c>
      <c r="O320" s="130"/>
      <c r="P320" s="129">
        <f t="shared" si="39"/>
        <v>93.051400000000001</v>
      </c>
      <c r="Q320" s="129">
        <f t="shared" si="32"/>
        <v>22.980357092961523</v>
      </c>
      <c r="R320" s="121"/>
      <c r="S320" s="124">
        <v>364.3</v>
      </c>
    </row>
    <row r="321" spans="1:19">
      <c r="A321" s="123">
        <v>42513</v>
      </c>
      <c r="B321" s="121">
        <f t="shared" si="30"/>
        <v>5</v>
      </c>
      <c r="C321" s="121">
        <f t="shared" si="31"/>
        <v>2016</v>
      </c>
      <c r="D321" s="124">
        <v>1.9060999999999999</v>
      </c>
      <c r="E321" s="124">
        <v>1.5153490000000001</v>
      </c>
      <c r="F321" s="109">
        <v>343.09800000000001</v>
      </c>
      <c r="G321" s="121"/>
      <c r="H321" s="124">
        <v>6.0236000000000001</v>
      </c>
      <c r="I321" s="124">
        <v>76.62</v>
      </c>
      <c r="J321" s="124">
        <v>72.290000000000006</v>
      </c>
      <c r="K321" s="121"/>
      <c r="L321" s="130">
        <f t="shared" si="36"/>
        <v>0.7949997376842769</v>
      </c>
      <c r="M321" s="130">
        <f t="shared" si="37"/>
        <v>0.18000000000000002</v>
      </c>
      <c r="N321" s="130">
        <f t="shared" si="38"/>
        <v>0.97499973768427695</v>
      </c>
      <c r="O321" s="130"/>
      <c r="P321" s="129">
        <f t="shared" si="39"/>
        <v>99.117199999999997</v>
      </c>
      <c r="Q321" s="129">
        <f t="shared" si="32"/>
        <v>22.121189864120456</v>
      </c>
      <c r="R321" s="121"/>
      <c r="S321" s="124">
        <v>290.3</v>
      </c>
    </row>
    <row r="322" spans="1:19">
      <c r="A322" s="123">
        <v>42520</v>
      </c>
      <c r="B322" s="121">
        <f t="shared" ref="B322:B385" si="40">MONTH(A322)</f>
        <v>5</v>
      </c>
      <c r="C322" s="121">
        <f t="shared" ref="C322:C385" si="41">YEAR(A322)</f>
        <v>2016</v>
      </c>
      <c r="D322" s="124">
        <v>1.81985</v>
      </c>
      <c r="E322" s="124">
        <v>1.44678</v>
      </c>
      <c r="F322" s="109">
        <v>327.57299999999998</v>
      </c>
      <c r="G322" s="121"/>
      <c r="H322" s="124"/>
      <c r="I322" s="125">
        <f>AVERAGE(I321,I323)</f>
        <v>80.88</v>
      </c>
      <c r="J322" s="124">
        <v>74.319999999999993</v>
      </c>
      <c r="K322" s="121"/>
      <c r="L322" s="130">
        <f t="shared" si="36"/>
        <v>0.79499958787812186</v>
      </c>
      <c r="M322" s="130">
        <f t="shared" si="37"/>
        <v>0.18</v>
      </c>
      <c r="N322" s="130">
        <f t="shared" si="38"/>
        <v>0.97499958787812191</v>
      </c>
      <c r="O322" s="130"/>
      <c r="P322" s="129">
        <f t="shared" si="39"/>
        <v>94.632199999999997</v>
      </c>
      <c r="Q322" s="129" t="str">
        <f t="shared" si="32"/>
        <v/>
      </c>
      <c r="R322" s="121"/>
      <c r="S322" s="124">
        <v>454.9</v>
      </c>
    </row>
    <row r="323" spans="1:19">
      <c r="A323" s="123">
        <v>42527</v>
      </c>
      <c r="B323" s="121">
        <f t="shared" si="40"/>
        <v>6</v>
      </c>
      <c r="C323" s="121">
        <f t="shared" si="41"/>
        <v>2016</v>
      </c>
      <c r="D323" s="124">
        <v>1.7259</v>
      </c>
      <c r="E323" s="124">
        <v>1.37209</v>
      </c>
      <c r="F323" s="109">
        <v>310.66199999999998</v>
      </c>
      <c r="G323" s="121"/>
      <c r="H323" s="124">
        <v>6.1189</v>
      </c>
      <c r="I323" s="124">
        <v>85.14</v>
      </c>
      <c r="J323" s="124">
        <v>72.64</v>
      </c>
      <c r="K323" s="121"/>
      <c r="L323" s="130">
        <f t="shared" si="36"/>
        <v>0.79499971029607741</v>
      </c>
      <c r="M323" s="130">
        <f t="shared" si="37"/>
        <v>0.18</v>
      </c>
      <c r="N323" s="130">
        <f t="shared" si="38"/>
        <v>0.97499971029607746</v>
      </c>
      <c r="O323" s="130"/>
      <c r="P323" s="129">
        <f t="shared" si="39"/>
        <v>89.746799999999993</v>
      </c>
      <c r="Q323" s="129">
        <f t="shared" si="32"/>
        <v>24.817370647198562</v>
      </c>
      <c r="R323" s="121"/>
      <c r="S323" s="124">
        <v>544.65</v>
      </c>
    </row>
    <row r="324" spans="1:19">
      <c r="A324" s="123">
        <v>42534</v>
      </c>
      <c r="B324" s="121">
        <f t="shared" si="40"/>
        <v>6</v>
      </c>
      <c r="C324" s="121">
        <f t="shared" si="41"/>
        <v>2016</v>
      </c>
      <c r="D324" s="124">
        <v>1.66605</v>
      </c>
      <c r="E324" s="124">
        <v>1.3245089999999999</v>
      </c>
      <c r="F324" s="109">
        <v>299.88900000000001</v>
      </c>
      <c r="G324" s="121"/>
      <c r="H324" s="124">
        <v>6.2359</v>
      </c>
      <c r="I324" s="124">
        <v>91.25</v>
      </c>
      <c r="J324" s="124">
        <v>62.28</v>
      </c>
      <c r="K324" s="121"/>
      <c r="L324" s="130">
        <f t="shared" si="36"/>
        <v>0.79499954983343835</v>
      </c>
      <c r="M324" s="130">
        <f t="shared" si="37"/>
        <v>0.18</v>
      </c>
      <c r="N324" s="130">
        <f t="shared" si="38"/>
        <v>0.97499954983343828</v>
      </c>
      <c r="O324" s="130"/>
      <c r="P324" s="129">
        <f t="shared" si="39"/>
        <v>86.634600000000006</v>
      </c>
      <c r="Q324" s="129">
        <f t="shared" si="32"/>
        <v>26.200474175444914</v>
      </c>
      <c r="R324" s="121"/>
      <c r="S324" s="124">
        <v>661.8</v>
      </c>
    </row>
    <row r="325" spans="1:19">
      <c r="A325" s="123">
        <v>42541</v>
      </c>
      <c r="B325" s="121">
        <f t="shared" si="40"/>
        <v>6</v>
      </c>
      <c r="C325" s="121">
        <f t="shared" si="41"/>
        <v>2016</v>
      </c>
      <c r="D325" s="124">
        <v>1.73655</v>
      </c>
      <c r="E325" s="124">
        <v>1.380557</v>
      </c>
      <c r="F325" s="109">
        <v>312.57900000000001</v>
      </c>
      <c r="G325" s="121"/>
      <c r="H325" s="124">
        <v>6.2916999999999996</v>
      </c>
      <c r="I325" s="124">
        <v>92.47</v>
      </c>
      <c r="J325" s="124">
        <v>61.94</v>
      </c>
      <c r="K325" s="121"/>
      <c r="L325" s="130">
        <f t="shared" si="36"/>
        <v>0.794999856036394</v>
      </c>
      <c r="M325" s="130">
        <f t="shared" si="37"/>
        <v>0.18</v>
      </c>
      <c r="N325" s="130">
        <f t="shared" si="38"/>
        <v>0.97499985603639394</v>
      </c>
      <c r="O325" s="130"/>
      <c r="P325" s="129">
        <f t="shared" si="39"/>
        <v>90.300600000000003</v>
      </c>
      <c r="Q325" s="129">
        <f t="shared" si="32"/>
        <v>25.361722956436612</v>
      </c>
      <c r="R325" s="121"/>
      <c r="S325" s="124">
        <v>635.25</v>
      </c>
    </row>
    <row r="326" spans="1:19">
      <c r="A326" s="123">
        <v>42548</v>
      </c>
      <c r="B326" s="121">
        <f t="shared" si="40"/>
        <v>6</v>
      </c>
      <c r="C326" s="121">
        <f t="shared" si="41"/>
        <v>2016</v>
      </c>
      <c r="D326" s="124">
        <v>1.6812</v>
      </c>
      <c r="E326" s="124">
        <v>1.336554</v>
      </c>
      <c r="F326" s="109">
        <v>302.61599999999999</v>
      </c>
      <c r="G326" s="121"/>
      <c r="H326" s="124">
        <v>6.3224999999999998</v>
      </c>
      <c r="I326" s="124">
        <v>102.46</v>
      </c>
      <c r="J326" s="124">
        <v>72.56</v>
      </c>
      <c r="K326" s="121"/>
      <c r="L326" s="130">
        <f t="shared" si="36"/>
        <v>0.79500000000000004</v>
      </c>
      <c r="M326" s="130">
        <f t="shared" si="37"/>
        <v>0.18</v>
      </c>
      <c r="N326" s="130">
        <f t="shared" si="38"/>
        <v>0.97500000000000009</v>
      </c>
      <c r="O326" s="130"/>
      <c r="P326" s="129">
        <f t="shared" si="39"/>
        <v>87.422399999999996</v>
      </c>
      <c r="Q326" s="129">
        <f t="shared" si="32"/>
        <v>26.324946466809422</v>
      </c>
      <c r="R326" s="121"/>
      <c r="S326" s="124">
        <v>548.65</v>
      </c>
    </row>
    <row r="327" spans="1:19">
      <c r="A327" s="123">
        <v>42555</v>
      </c>
      <c r="B327" s="121">
        <f t="shared" si="40"/>
        <v>7</v>
      </c>
      <c r="C327" s="121">
        <f t="shared" si="41"/>
        <v>2016</v>
      </c>
      <c r="D327" s="124">
        <v>1.6232</v>
      </c>
      <c r="E327" s="124">
        <v>1.2904439999999999</v>
      </c>
      <c r="F327" s="109">
        <v>292.17599999999999</v>
      </c>
      <c r="G327" s="121"/>
      <c r="H327" s="124">
        <v>6.1712999999999996</v>
      </c>
      <c r="I327" s="124">
        <v>107.16</v>
      </c>
      <c r="J327" s="124">
        <v>76</v>
      </c>
      <c r="K327" s="121"/>
      <c r="L327" s="130">
        <f t="shared" si="36"/>
        <v>0.79499999999999993</v>
      </c>
      <c r="M327" s="130">
        <f t="shared" si="37"/>
        <v>0.18</v>
      </c>
      <c r="N327" s="130">
        <f t="shared" si="38"/>
        <v>0.97499999999999987</v>
      </c>
      <c r="O327" s="130"/>
      <c r="P327" s="129">
        <f t="shared" si="39"/>
        <v>84.406400000000005</v>
      </c>
      <c r="Q327" s="129">
        <f t="shared" si="32"/>
        <v>26.613541153277474</v>
      </c>
      <c r="R327" s="121"/>
      <c r="S327" s="124">
        <v>492.3</v>
      </c>
    </row>
    <row r="328" spans="1:19">
      <c r="A328" s="123">
        <v>42562</v>
      </c>
      <c r="B328" s="121">
        <f t="shared" si="40"/>
        <v>7</v>
      </c>
      <c r="C328" s="121">
        <f t="shared" si="41"/>
        <v>2016</v>
      </c>
      <c r="D328" s="124">
        <v>1.70289</v>
      </c>
      <c r="E328" s="124">
        <v>1.3537969999999999</v>
      </c>
      <c r="F328" s="109">
        <v>306.52</v>
      </c>
      <c r="G328" s="121"/>
      <c r="H328" s="124">
        <v>6.1204999999999998</v>
      </c>
      <c r="I328" s="124">
        <v>108.99</v>
      </c>
      <c r="J328" s="124">
        <v>78.09</v>
      </c>
      <c r="K328" s="121"/>
      <c r="L328" s="130">
        <f t="shared" si="36"/>
        <v>0.79499967701965479</v>
      </c>
      <c r="M328" s="130">
        <f t="shared" si="37"/>
        <v>0.17999988255260171</v>
      </c>
      <c r="N328" s="130">
        <f t="shared" si="38"/>
        <v>0.97499955957225648</v>
      </c>
      <c r="O328" s="130"/>
      <c r="P328" s="129">
        <f t="shared" si="39"/>
        <v>88.550280000000001</v>
      </c>
      <c r="Q328" s="129">
        <f t="shared" si="32"/>
        <v>25.159288033871828</v>
      </c>
      <c r="R328" s="121"/>
      <c r="S328" s="124">
        <v>19.649999999999999</v>
      </c>
    </row>
    <row r="329" spans="1:19">
      <c r="A329" s="123">
        <v>42569</v>
      </c>
      <c r="B329" s="121">
        <f t="shared" si="40"/>
        <v>7</v>
      </c>
      <c r="C329" s="121">
        <f t="shared" si="41"/>
        <v>2016</v>
      </c>
      <c r="D329" s="124">
        <v>1.7832399999999999</v>
      </c>
      <c r="E329" s="124">
        <v>1.417675</v>
      </c>
      <c r="F329" s="109">
        <v>320.983</v>
      </c>
      <c r="G329" s="121"/>
      <c r="H329" s="124">
        <v>6.1004999999999994</v>
      </c>
      <c r="I329" s="124">
        <v>110.68</v>
      </c>
      <c r="J329" s="124">
        <v>85.29</v>
      </c>
      <c r="K329" s="121"/>
      <c r="L329" s="130">
        <f t="shared" si="36"/>
        <v>0.79499955137838996</v>
      </c>
      <c r="M329" s="130">
        <f t="shared" si="37"/>
        <v>0.1799998878445975</v>
      </c>
      <c r="N329" s="130">
        <f t="shared" si="38"/>
        <v>0.97499943922298749</v>
      </c>
      <c r="O329" s="130"/>
      <c r="P329" s="129">
        <f t="shared" si="39"/>
        <v>92.72847999999999</v>
      </c>
      <c r="Q329" s="129">
        <f t="shared" si="32"/>
        <v>23.947141158789616</v>
      </c>
      <c r="R329" s="121"/>
      <c r="S329" s="124">
        <v>-126.45</v>
      </c>
    </row>
    <row r="330" spans="1:19">
      <c r="A330" s="123">
        <v>42576</v>
      </c>
      <c r="B330" s="121">
        <f t="shared" si="40"/>
        <v>7</v>
      </c>
      <c r="C330" s="121">
        <f t="shared" si="41"/>
        <v>2016</v>
      </c>
      <c r="D330" s="124">
        <v>1.6254900000000001</v>
      </c>
      <c r="E330" s="124">
        <v>1.2922640000000001</v>
      </c>
      <c r="F330" s="109">
        <v>292.58800000000002</v>
      </c>
      <c r="G330" s="121"/>
      <c r="H330" s="124"/>
      <c r="I330" s="124"/>
      <c r="J330" s="124">
        <v>92.63</v>
      </c>
      <c r="K330" s="121"/>
      <c r="L330" s="130">
        <f t="shared" si="36"/>
        <v>0.79499966164048996</v>
      </c>
      <c r="M330" s="130">
        <f t="shared" si="37"/>
        <v>0.17999987696017816</v>
      </c>
      <c r="N330" s="130">
        <f t="shared" si="38"/>
        <v>0.97499953860066813</v>
      </c>
      <c r="O330" s="130"/>
      <c r="P330" s="129">
        <f t="shared" si="39"/>
        <v>84.525480000000002</v>
      </c>
      <c r="Q330" s="129" t="str">
        <f t="shared" si="32"/>
        <v/>
      </c>
      <c r="R330" s="121"/>
      <c r="S330" s="124">
        <v>-159.85</v>
      </c>
    </row>
    <row r="331" spans="1:19">
      <c r="A331" s="123">
        <v>42583</v>
      </c>
      <c r="B331" s="121">
        <f t="shared" si="40"/>
        <v>8</v>
      </c>
      <c r="C331" s="121">
        <f t="shared" si="41"/>
        <v>2016</v>
      </c>
      <c r="D331" s="124">
        <v>1.5230999999999999</v>
      </c>
      <c r="E331" s="124">
        <v>1.2108639999999999</v>
      </c>
      <c r="F331" s="109">
        <v>274.15800000000002</v>
      </c>
      <c r="G331" s="121"/>
      <c r="H331" s="124">
        <v>6.5302999999999995</v>
      </c>
      <c r="I331" s="124">
        <v>115.86</v>
      </c>
      <c r="J331" s="124">
        <v>76</v>
      </c>
      <c r="K331" s="121"/>
      <c r="L331" s="130">
        <f t="shared" si="36"/>
        <v>0.79499967172214558</v>
      </c>
      <c r="M331" s="130">
        <f t="shared" si="37"/>
        <v>0.18000000000000002</v>
      </c>
      <c r="N331" s="130">
        <f t="shared" si="38"/>
        <v>0.97499967172214563</v>
      </c>
      <c r="O331" s="130"/>
      <c r="P331" s="129">
        <f t="shared" si="39"/>
        <v>79.2012</v>
      </c>
      <c r="Q331" s="129">
        <f t="shared" si="32"/>
        <v>30.012540214037163</v>
      </c>
      <c r="R331" s="121"/>
      <c r="S331" s="124">
        <v>-231.1</v>
      </c>
    </row>
    <row r="332" spans="1:19">
      <c r="A332" s="123">
        <v>42590</v>
      </c>
      <c r="B332" s="121">
        <f t="shared" si="40"/>
        <v>8</v>
      </c>
      <c r="C332" s="121">
        <f t="shared" si="41"/>
        <v>2016</v>
      </c>
      <c r="D332" s="124">
        <v>1.6258999999999999</v>
      </c>
      <c r="E332" s="124">
        <v>1.2957700000000001</v>
      </c>
      <c r="F332" s="109">
        <v>293.38200000000001</v>
      </c>
      <c r="G332" s="121"/>
      <c r="H332" s="124">
        <v>6.5223000000000004</v>
      </c>
      <c r="I332" s="124">
        <v>115.82</v>
      </c>
      <c r="J332" s="124">
        <v>84.32</v>
      </c>
      <c r="K332" s="121"/>
      <c r="L332" s="130">
        <f t="shared" si="36"/>
        <v>0.79695553232056104</v>
      </c>
      <c r="M332" s="130">
        <f t="shared" si="37"/>
        <v>0.18044283166246389</v>
      </c>
      <c r="N332" s="130">
        <f t="shared" si="38"/>
        <v>0.97739836398302493</v>
      </c>
      <c r="O332" s="130"/>
      <c r="P332" s="129">
        <f t="shared" si="39"/>
        <v>84.54679999999999</v>
      </c>
      <c r="Q332" s="129">
        <f t="shared" si="32"/>
        <v>28.080509256411837</v>
      </c>
      <c r="R332" s="121"/>
      <c r="S332" s="124">
        <v>-164.3</v>
      </c>
    </row>
    <row r="333" spans="1:19">
      <c r="A333" s="123">
        <v>42597</v>
      </c>
      <c r="B333" s="121">
        <f t="shared" si="40"/>
        <v>8</v>
      </c>
      <c r="C333" s="121">
        <f t="shared" si="41"/>
        <v>2016</v>
      </c>
      <c r="D333" s="124">
        <v>1.7387999999999999</v>
      </c>
      <c r="E333" s="125">
        <f>AVERAGE(E332,E334)</f>
        <v>1.3390580000000001</v>
      </c>
      <c r="F333" s="125">
        <f>AVERAGE(F332,F334)</f>
        <v>307.68299999999999</v>
      </c>
      <c r="G333" s="121"/>
      <c r="H333" s="124">
        <v>6.5652999999999997</v>
      </c>
      <c r="I333" s="124">
        <v>115.39</v>
      </c>
      <c r="J333" s="124">
        <v>85.77</v>
      </c>
      <c r="K333" s="121"/>
      <c r="L333" s="130">
        <f t="shared" si="36"/>
        <v>0.77010466988727866</v>
      </c>
      <c r="M333" s="130">
        <f t="shared" si="37"/>
        <v>0.17695134575569357</v>
      </c>
      <c r="N333" s="130">
        <f t="shared" si="38"/>
        <v>0.94705601564297226</v>
      </c>
      <c r="O333" s="130"/>
      <c r="P333" s="129">
        <f t="shared" si="39"/>
        <v>90.417599999999993</v>
      </c>
      <c r="Q333" s="129">
        <f t="shared" si="32"/>
        <v>26.43035426731079</v>
      </c>
      <c r="R333" s="121"/>
      <c r="S333" s="124">
        <v>-112</v>
      </c>
    </row>
    <row r="334" spans="1:19">
      <c r="A334" s="123">
        <v>42604</v>
      </c>
      <c r="B334" s="121">
        <f t="shared" si="40"/>
        <v>8</v>
      </c>
      <c r="C334" s="121">
        <f t="shared" si="41"/>
        <v>2016</v>
      </c>
      <c r="D334" s="124">
        <v>1.7387999999999999</v>
      </c>
      <c r="E334" s="124">
        <v>1.3823460000000001</v>
      </c>
      <c r="F334" s="109">
        <v>321.98399999999998</v>
      </c>
      <c r="G334" s="121"/>
      <c r="H334" s="124">
        <v>6.4342999999999995</v>
      </c>
      <c r="I334" s="124">
        <v>116.73</v>
      </c>
      <c r="J334" s="124">
        <v>80.95</v>
      </c>
      <c r="K334" s="121"/>
      <c r="L334" s="130">
        <f t="shared" si="36"/>
        <v>0.79500000000000004</v>
      </c>
      <c r="M334" s="130">
        <f t="shared" si="37"/>
        <v>0.18517598343685301</v>
      </c>
      <c r="N334" s="130">
        <f t="shared" si="38"/>
        <v>0.98017598343685308</v>
      </c>
      <c r="O334" s="130"/>
      <c r="P334" s="129">
        <f t="shared" si="39"/>
        <v>90.417599999999993</v>
      </c>
      <c r="Q334" s="129">
        <f t="shared" si="32"/>
        <v>25.902979066022542</v>
      </c>
      <c r="R334" s="121"/>
      <c r="S334" s="124">
        <v>-95.8</v>
      </c>
    </row>
    <row r="335" spans="1:19">
      <c r="A335" s="123">
        <v>42611</v>
      </c>
      <c r="B335" s="121">
        <f t="shared" si="40"/>
        <v>8</v>
      </c>
      <c r="C335" s="121">
        <f t="shared" si="41"/>
        <v>2016</v>
      </c>
      <c r="D335" s="124">
        <v>1.5867</v>
      </c>
      <c r="E335" s="124">
        <v>1.2614259999999999</v>
      </c>
      <c r="F335" s="109">
        <v>285.60599999999999</v>
      </c>
      <c r="G335" s="121"/>
      <c r="H335" s="124">
        <v>6.6234999999999999</v>
      </c>
      <c r="I335" s="124">
        <v>120.32</v>
      </c>
      <c r="J335" s="124">
        <v>72.849999999999994</v>
      </c>
      <c r="K335" s="121"/>
      <c r="L335" s="130">
        <f t="shared" si="36"/>
        <v>0.79499968488056971</v>
      </c>
      <c r="M335" s="130">
        <f t="shared" si="37"/>
        <v>0.18</v>
      </c>
      <c r="N335" s="130">
        <f t="shared" si="38"/>
        <v>0.97499968488056976</v>
      </c>
      <c r="O335" s="130"/>
      <c r="P335" s="129">
        <f t="shared" si="39"/>
        <v>82.508399999999995</v>
      </c>
      <c r="Q335" s="129">
        <f t="shared" si="32"/>
        <v>29.220709648956955</v>
      </c>
      <c r="R335" s="121"/>
      <c r="S335" s="124">
        <v>-119.95</v>
      </c>
    </row>
    <row r="336" spans="1:19">
      <c r="A336" s="123">
        <v>42618</v>
      </c>
      <c r="B336" s="121">
        <f t="shared" si="40"/>
        <v>9</v>
      </c>
      <c r="C336" s="121">
        <f t="shared" si="41"/>
        <v>2016</v>
      </c>
      <c r="D336" s="124">
        <v>1.5338000000000001</v>
      </c>
      <c r="E336" s="124">
        <v>1.219371</v>
      </c>
      <c r="F336" s="109">
        <v>276.084</v>
      </c>
      <c r="G336" s="121"/>
      <c r="H336" s="124">
        <v>6.7484999999999999</v>
      </c>
      <c r="I336" s="124">
        <v>118.14</v>
      </c>
      <c r="J336" s="124">
        <v>62.12</v>
      </c>
      <c r="K336" s="121"/>
      <c r="L336" s="130">
        <f t="shared" si="36"/>
        <v>0.79499999999999993</v>
      </c>
      <c r="M336" s="130">
        <f t="shared" si="37"/>
        <v>0.18</v>
      </c>
      <c r="N336" s="130">
        <f t="shared" si="38"/>
        <v>0.97499999999999987</v>
      </c>
      <c r="O336" s="130"/>
      <c r="P336" s="129">
        <f t="shared" si="39"/>
        <v>79.757599999999996</v>
      </c>
      <c r="Q336" s="129">
        <f t="shared" si="32"/>
        <v>30.798995957751984</v>
      </c>
      <c r="R336" s="121"/>
      <c r="S336" s="124">
        <v>-63</v>
      </c>
    </row>
    <row r="337" spans="1:19">
      <c r="A337" s="123">
        <v>42625</v>
      </c>
      <c r="B337" s="121">
        <f t="shared" si="40"/>
        <v>9</v>
      </c>
      <c r="C337" s="121">
        <f t="shared" si="41"/>
        <v>2016</v>
      </c>
      <c r="D337" s="124">
        <v>1.665</v>
      </c>
      <c r="E337" s="124">
        <v>1.3236749999999999</v>
      </c>
      <c r="F337" s="109">
        <v>299.7</v>
      </c>
      <c r="G337" s="121"/>
      <c r="H337" s="124">
        <v>6.3123000000000005</v>
      </c>
      <c r="I337" s="124">
        <v>117.34</v>
      </c>
      <c r="J337" s="124">
        <v>57.59</v>
      </c>
      <c r="K337" s="121"/>
      <c r="L337" s="130">
        <f t="shared" si="36"/>
        <v>0.79499999999999993</v>
      </c>
      <c r="M337" s="130">
        <f t="shared" si="37"/>
        <v>0.17999999999999997</v>
      </c>
      <c r="N337" s="130">
        <f t="shared" si="38"/>
        <v>0.97499999999999987</v>
      </c>
      <c r="O337" s="130"/>
      <c r="P337" s="129">
        <f t="shared" si="39"/>
        <v>86.58</v>
      </c>
      <c r="Q337" s="129">
        <f t="shared" si="32"/>
        <v>26.538198198198202</v>
      </c>
      <c r="R337" s="121"/>
      <c r="S337" s="124">
        <v>-63</v>
      </c>
    </row>
    <row r="338" spans="1:19">
      <c r="A338" s="123">
        <v>42632</v>
      </c>
      <c r="B338" s="121">
        <f t="shared" si="40"/>
        <v>9</v>
      </c>
      <c r="C338" s="121">
        <f t="shared" si="41"/>
        <v>2016</v>
      </c>
      <c r="D338" s="124">
        <v>1.58755</v>
      </c>
      <c r="E338" s="124">
        <v>1.2621020000000001</v>
      </c>
      <c r="F338" s="109">
        <v>285.75900000000001</v>
      </c>
      <c r="G338" s="121"/>
      <c r="H338" s="124">
        <v>6.1882000000000001</v>
      </c>
      <c r="I338" s="124">
        <v>118.94</v>
      </c>
      <c r="J338" s="124">
        <v>57.76</v>
      </c>
      <c r="K338" s="121"/>
      <c r="L338" s="130">
        <f t="shared" si="36"/>
        <v>0.79499984252464495</v>
      </c>
      <c r="M338" s="130">
        <f t="shared" si="37"/>
        <v>0.18000000000000002</v>
      </c>
      <c r="N338" s="130">
        <f t="shared" si="38"/>
        <v>0.974999842524645</v>
      </c>
      <c r="O338" s="130"/>
      <c r="P338" s="129">
        <f t="shared" si="39"/>
        <v>82.552599999999998</v>
      </c>
      <c r="Q338" s="129">
        <f t="shared" si="32"/>
        <v>27.285691789234985</v>
      </c>
      <c r="R338" s="121"/>
      <c r="S338" s="124">
        <v>-31</v>
      </c>
    </row>
    <row r="339" spans="1:19">
      <c r="A339" s="123">
        <v>42639</v>
      </c>
      <c r="B339" s="121">
        <f t="shared" si="40"/>
        <v>9</v>
      </c>
      <c r="C339" s="121">
        <f t="shared" si="41"/>
        <v>2016</v>
      </c>
      <c r="D339" s="125">
        <f>AVERAGE(D338,D340)</f>
        <v>1.5931500000000001</v>
      </c>
      <c r="E339" s="125">
        <f>AVERAGE(E338,E340)</f>
        <v>1.2665540000000002</v>
      </c>
      <c r="F339" s="125">
        <f>AVERAGE(F338,F340)</f>
        <v>286.767</v>
      </c>
      <c r="G339" s="121"/>
      <c r="H339" s="124"/>
      <c r="I339" s="125">
        <f>(($I$341-$I$338)/3)+I338</f>
        <v>118.96</v>
      </c>
      <c r="J339" s="124"/>
      <c r="K339" s="121"/>
      <c r="L339" s="130">
        <f t="shared" si="36"/>
        <v>0.7949998430781785</v>
      </c>
      <c r="M339" s="130">
        <f t="shared" si="37"/>
        <v>0.18</v>
      </c>
      <c r="N339" s="130">
        <f t="shared" si="38"/>
        <v>0.97499984307817855</v>
      </c>
      <c r="O339" s="130"/>
      <c r="P339" s="129">
        <f t="shared" si="39"/>
        <v>82.843800000000002</v>
      </c>
      <c r="Q339" s="129" t="str">
        <f t="shared" si="32"/>
        <v/>
      </c>
      <c r="R339" s="121"/>
      <c r="S339" s="124">
        <v>-11</v>
      </c>
    </row>
    <row r="340" spans="1:19">
      <c r="A340" s="123">
        <v>42646</v>
      </c>
      <c r="B340" s="121">
        <f t="shared" si="40"/>
        <v>10</v>
      </c>
      <c r="C340" s="121">
        <f t="shared" si="41"/>
        <v>2016</v>
      </c>
      <c r="D340" s="124">
        <v>1.5987499999999999</v>
      </c>
      <c r="E340" s="124">
        <v>1.2710060000000001</v>
      </c>
      <c r="F340" s="109">
        <v>287.77499999999998</v>
      </c>
      <c r="G340" s="121"/>
      <c r="H340" s="124"/>
      <c r="I340" s="125">
        <f>(($I$341-$I$338)/3)+I339</f>
        <v>118.97999999999999</v>
      </c>
      <c r="J340" s="124">
        <v>72.64</v>
      </c>
      <c r="K340" s="121"/>
      <c r="L340" s="130">
        <f t="shared" si="36"/>
        <v>0.79499984362783438</v>
      </c>
      <c r="M340" s="130">
        <f t="shared" si="37"/>
        <v>0.18000000000000002</v>
      </c>
      <c r="N340" s="130">
        <f t="shared" si="38"/>
        <v>0.97499984362783443</v>
      </c>
      <c r="O340" s="130"/>
      <c r="P340" s="129">
        <f t="shared" si="39"/>
        <v>83.134999999999991</v>
      </c>
      <c r="Q340" s="129" t="str">
        <f t="shared" ref="Q340:Q403" si="42">IF(H340="","",IF(D340="","",H340/(D340/7)))</f>
        <v/>
      </c>
      <c r="R340" s="121"/>
      <c r="S340" s="124">
        <v>-11</v>
      </c>
    </row>
    <row r="341" spans="1:19">
      <c r="A341" s="123">
        <v>42653</v>
      </c>
      <c r="B341" s="121">
        <f t="shared" si="40"/>
        <v>10</v>
      </c>
      <c r="C341" s="121">
        <f t="shared" si="41"/>
        <v>2016</v>
      </c>
      <c r="D341" s="124">
        <v>1.5904499999999999</v>
      </c>
      <c r="E341" s="124">
        <v>1.2596369999999999</v>
      </c>
      <c r="F341" s="109">
        <v>285.20100000000002</v>
      </c>
      <c r="G341" s="121"/>
      <c r="H341" s="124">
        <v>5.8392999999999997</v>
      </c>
      <c r="I341" s="124">
        <v>119</v>
      </c>
      <c r="J341" s="124">
        <v>57.76</v>
      </c>
      <c r="K341" s="121"/>
      <c r="L341" s="130">
        <f t="shared" si="36"/>
        <v>0.79200037725172123</v>
      </c>
      <c r="M341" s="130">
        <f t="shared" si="37"/>
        <v>0.17932094690182027</v>
      </c>
      <c r="N341" s="130">
        <f t="shared" si="38"/>
        <v>0.97132132415354144</v>
      </c>
      <c r="O341" s="130"/>
      <c r="P341" s="129">
        <f t="shared" si="39"/>
        <v>82.703400000000002</v>
      </c>
      <c r="Q341" s="129">
        <f t="shared" si="42"/>
        <v>25.700336382784744</v>
      </c>
      <c r="R341" s="121"/>
      <c r="S341" s="124">
        <v>-2</v>
      </c>
    </row>
    <row r="342" spans="1:19">
      <c r="A342" s="123">
        <v>42660</v>
      </c>
      <c r="B342" s="121">
        <f t="shared" si="40"/>
        <v>10</v>
      </c>
      <c r="C342" s="121">
        <f t="shared" si="41"/>
        <v>2016</v>
      </c>
      <c r="D342" s="124">
        <v>1.65785</v>
      </c>
      <c r="E342" s="125">
        <f>AVERAGE(E341,E343)</f>
        <v>1.2888134999999998</v>
      </c>
      <c r="F342" s="125">
        <f>AVERAGE(F341,F343)</f>
        <v>291.80700000000002</v>
      </c>
      <c r="G342" s="121"/>
      <c r="H342" s="124">
        <v>5.4169000000000009</v>
      </c>
      <c r="I342" s="124">
        <v>117.61</v>
      </c>
      <c r="J342" s="124">
        <v>56.93</v>
      </c>
      <c r="K342" s="121"/>
      <c r="L342" s="130">
        <f t="shared" si="36"/>
        <v>0.77740054890370047</v>
      </c>
      <c r="M342" s="130">
        <f t="shared" si="37"/>
        <v>0.17601532104834577</v>
      </c>
      <c r="N342" s="130">
        <f t="shared" si="38"/>
        <v>0.9534158699520463</v>
      </c>
      <c r="O342" s="130"/>
      <c r="P342" s="129">
        <f t="shared" si="39"/>
        <v>86.208200000000005</v>
      </c>
      <c r="Q342" s="129">
        <f t="shared" si="42"/>
        <v>22.871972735772239</v>
      </c>
      <c r="R342" s="121"/>
      <c r="S342" s="124">
        <v>16</v>
      </c>
    </row>
    <row r="343" spans="1:19">
      <c r="A343" s="123">
        <v>42667</v>
      </c>
      <c r="B343" s="121">
        <f t="shared" si="40"/>
        <v>10</v>
      </c>
      <c r="C343" s="121">
        <f t="shared" si="41"/>
        <v>2016</v>
      </c>
      <c r="D343" s="124">
        <v>1.65785</v>
      </c>
      <c r="E343" s="124">
        <v>1.31799</v>
      </c>
      <c r="F343" s="109">
        <v>298.41300000000001</v>
      </c>
      <c r="G343" s="121"/>
      <c r="H343" s="124">
        <v>5.5869000000000009</v>
      </c>
      <c r="I343" s="124">
        <v>113.34</v>
      </c>
      <c r="J343" s="124">
        <v>51.35</v>
      </c>
      <c r="K343" s="121"/>
      <c r="L343" s="130">
        <f t="shared" si="36"/>
        <v>0.79499954760684011</v>
      </c>
      <c r="M343" s="130">
        <f t="shared" si="37"/>
        <v>0.18</v>
      </c>
      <c r="N343" s="130">
        <f t="shared" si="38"/>
        <v>0.97499954760684004</v>
      </c>
      <c r="O343" s="130"/>
      <c r="P343" s="129">
        <f t="shared" si="39"/>
        <v>86.208200000000005</v>
      </c>
      <c r="Q343" s="129">
        <f t="shared" si="42"/>
        <v>23.589769882679377</v>
      </c>
      <c r="R343" s="121"/>
      <c r="S343" s="124">
        <v>88.95</v>
      </c>
    </row>
    <row r="344" spans="1:19">
      <c r="A344" s="123">
        <v>42674</v>
      </c>
      <c r="B344" s="121">
        <f t="shared" si="40"/>
        <v>10</v>
      </c>
      <c r="C344" s="121">
        <f t="shared" si="41"/>
        <v>2016</v>
      </c>
      <c r="D344" s="124">
        <v>1.7142500000000001</v>
      </c>
      <c r="E344" s="124">
        <v>1.31799</v>
      </c>
      <c r="F344" s="109">
        <v>298.41300000000001</v>
      </c>
      <c r="G344" s="121"/>
      <c r="H344" s="124">
        <v>5.5083000000000002</v>
      </c>
      <c r="I344" s="124">
        <v>107.63</v>
      </c>
      <c r="J344" s="124">
        <v>49.52</v>
      </c>
      <c r="K344" s="121"/>
      <c r="L344" s="130">
        <f t="shared" ref="L344:L375" si="43">E344/D344</f>
        <v>0.76884351757328273</v>
      </c>
      <c r="M344" s="130">
        <f t="shared" ref="M344:M375" si="44">F344/1000/D344</f>
        <v>0.17407787662242963</v>
      </c>
      <c r="N344" s="130">
        <f t="shared" ref="N344:N375" si="45">M344+L344</f>
        <v>0.94292139419571241</v>
      </c>
      <c r="O344" s="130"/>
      <c r="P344" s="129">
        <f t="shared" si="39"/>
        <v>89.141000000000005</v>
      </c>
      <c r="Q344" s="129">
        <f t="shared" si="42"/>
        <v>22.492693597783287</v>
      </c>
      <c r="R344" s="121"/>
      <c r="S344" s="124">
        <v>35</v>
      </c>
    </row>
    <row r="345" spans="1:19">
      <c r="A345" s="123">
        <v>42681</v>
      </c>
      <c r="B345" s="121">
        <f t="shared" si="40"/>
        <v>11</v>
      </c>
      <c r="C345" s="121">
        <f t="shared" si="41"/>
        <v>2016</v>
      </c>
      <c r="D345" s="124">
        <v>1.7682500000000001</v>
      </c>
      <c r="E345" s="124">
        <v>1.4057580000000001</v>
      </c>
      <c r="F345" s="109">
        <v>318.28500000000003</v>
      </c>
      <c r="G345" s="121"/>
      <c r="H345" s="124">
        <v>5.4754999999999994</v>
      </c>
      <c r="I345" s="124">
        <v>106.54</v>
      </c>
      <c r="J345" s="124">
        <v>44</v>
      </c>
      <c r="K345" s="121"/>
      <c r="L345" s="130">
        <f t="shared" si="43"/>
        <v>0.7949995758518309</v>
      </c>
      <c r="M345" s="130">
        <f t="shared" si="44"/>
        <v>0.18000000000000002</v>
      </c>
      <c r="N345" s="130">
        <f t="shared" si="45"/>
        <v>0.97499957585183095</v>
      </c>
      <c r="O345" s="130"/>
      <c r="P345" s="129">
        <f t="shared" si="39"/>
        <v>91.949000000000012</v>
      </c>
      <c r="Q345" s="129">
        <f t="shared" si="42"/>
        <v>21.675950798812384</v>
      </c>
      <c r="R345" s="121"/>
      <c r="S345" s="124">
        <v>82</v>
      </c>
    </row>
    <row r="346" spans="1:19">
      <c r="A346" s="123">
        <v>42688</v>
      </c>
      <c r="B346" s="121">
        <f t="shared" si="40"/>
        <v>11</v>
      </c>
      <c r="C346" s="121">
        <f t="shared" si="41"/>
        <v>2016</v>
      </c>
      <c r="D346" s="124">
        <v>1.8098000000000001</v>
      </c>
      <c r="E346" s="124">
        <v>1.4387909999999999</v>
      </c>
      <c r="F346" s="109">
        <v>325.76400000000001</v>
      </c>
      <c r="G346" s="121"/>
      <c r="H346" s="124">
        <v>5.5204999999999993</v>
      </c>
      <c r="I346" s="124">
        <v>103.16</v>
      </c>
      <c r="J346" s="124">
        <v>41.74</v>
      </c>
      <c r="K346" s="121"/>
      <c r="L346" s="130">
        <f t="shared" si="43"/>
        <v>0.79499999999999993</v>
      </c>
      <c r="M346" s="130">
        <f t="shared" si="44"/>
        <v>0.18</v>
      </c>
      <c r="N346" s="130">
        <f t="shared" si="45"/>
        <v>0.97499999999999987</v>
      </c>
      <c r="O346" s="130"/>
      <c r="P346" s="129">
        <f t="shared" si="39"/>
        <v>94.1096</v>
      </c>
      <c r="Q346" s="129">
        <f t="shared" si="42"/>
        <v>21.35235937672671</v>
      </c>
      <c r="R346" s="121"/>
      <c r="S346" s="124">
        <v>82</v>
      </c>
    </row>
    <row r="347" spans="1:19">
      <c r="A347" s="123">
        <v>42695</v>
      </c>
      <c r="B347" s="121">
        <f t="shared" si="40"/>
        <v>11</v>
      </c>
      <c r="C347" s="121">
        <f t="shared" si="41"/>
        <v>2016</v>
      </c>
      <c r="D347" s="124">
        <v>1.8248500000000001</v>
      </c>
      <c r="E347" s="125">
        <f>AVERAGE(E346,E348)</f>
        <v>1.4447730000000001</v>
      </c>
      <c r="F347" s="125">
        <f>AVERAGE(F346,F348)</f>
        <v>327.11850000000004</v>
      </c>
      <c r="G347" s="121"/>
      <c r="H347" s="124">
        <v>5.7062999999999997</v>
      </c>
      <c r="I347" s="124">
        <v>99.65</v>
      </c>
      <c r="J347" s="124">
        <v>39.36</v>
      </c>
      <c r="K347" s="121"/>
      <c r="L347" s="130">
        <f t="shared" si="43"/>
        <v>0.7917215113570979</v>
      </c>
      <c r="M347" s="130">
        <f t="shared" si="44"/>
        <v>0.17925774721209964</v>
      </c>
      <c r="N347" s="130">
        <f t="shared" si="45"/>
        <v>0.97097925856919753</v>
      </c>
      <c r="O347" s="130"/>
      <c r="P347" s="129">
        <f t="shared" si="39"/>
        <v>94.892200000000003</v>
      </c>
      <c r="Q347" s="129">
        <f t="shared" si="42"/>
        <v>21.888977176206261</v>
      </c>
      <c r="R347" s="121"/>
      <c r="S347" s="124">
        <v>238</v>
      </c>
    </row>
    <row r="348" spans="1:19">
      <c r="A348" s="123">
        <v>42702</v>
      </c>
      <c r="B348" s="121">
        <f t="shared" si="40"/>
        <v>11</v>
      </c>
      <c r="C348" s="121">
        <f t="shared" si="41"/>
        <v>2016</v>
      </c>
      <c r="D348" s="124">
        <v>1.8248500000000001</v>
      </c>
      <c r="E348" s="124">
        <v>1.450755</v>
      </c>
      <c r="F348" s="109">
        <v>328.47300000000001</v>
      </c>
      <c r="G348" s="121"/>
      <c r="H348" s="124">
        <v>5.6710000000000003</v>
      </c>
      <c r="I348" s="124">
        <v>96.61</v>
      </c>
      <c r="J348" s="124">
        <v>39.44</v>
      </c>
      <c r="K348" s="121"/>
      <c r="L348" s="130">
        <f t="shared" si="43"/>
        <v>0.7949995890073156</v>
      </c>
      <c r="M348" s="130">
        <f t="shared" si="44"/>
        <v>0.18</v>
      </c>
      <c r="N348" s="130">
        <f t="shared" si="45"/>
        <v>0.97499958900731554</v>
      </c>
      <c r="O348" s="130"/>
      <c r="P348" s="129">
        <f t="shared" si="39"/>
        <v>94.892200000000003</v>
      </c>
      <c r="Q348" s="129">
        <f t="shared" si="42"/>
        <v>21.753568786475601</v>
      </c>
      <c r="R348" s="121"/>
      <c r="S348" s="124">
        <v>301</v>
      </c>
    </row>
    <row r="349" spans="1:19">
      <c r="A349" s="123">
        <v>42709</v>
      </c>
      <c r="B349" s="121">
        <f t="shared" si="40"/>
        <v>12</v>
      </c>
      <c r="C349" s="121">
        <f t="shared" si="41"/>
        <v>2016</v>
      </c>
      <c r="D349" s="124">
        <v>1.8667</v>
      </c>
      <c r="E349" s="124">
        <v>1.4840260000000001</v>
      </c>
      <c r="F349" s="109">
        <v>336.00599999999997</v>
      </c>
      <c r="G349" s="121"/>
      <c r="H349" s="124">
        <v>5.6478999999999999</v>
      </c>
      <c r="I349" s="124">
        <v>92.94</v>
      </c>
      <c r="J349" s="124">
        <v>37.1</v>
      </c>
      <c r="K349" s="121"/>
      <c r="L349" s="130">
        <f t="shared" si="43"/>
        <v>0.79499973214764019</v>
      </c>
      <c r="M349" s="130">
        <f t="shared" si="44"/>
        <v>0.18</v>
      </c>
      <c r="N349" s="130">
        <f t="shared" si="45"/>
        <v>0.97499973214764024</v>
      </c>
      <c r="O349" s="130"/>
      <c r="P349" s="129">
        <f t="shared" si="39"/>
        <v>97.068399999999997</v>
      </c>
      <c r="Q349" s="129">
        <f t="shared" si="42"/>
        <v>21.1792467991643</v>
      </c>
      <c r="R349" s="121"/>
      <c r="S349" s="124">
        <v>239</v>
      </c>
    </row>
    <row r="350" spans="1:19">
      <c r="A350" s="123">
        <v>42716</v>
      </c>
      <c r="B350" s="121">
        <f t="shared" si="40"/>
        <v>12</v>
      </c>
      <c r="C350" s="121">
        <f t="shared" si="41"/>
        <v>2016</v>
      </c>
      <c r="D350" s="124">
        <v>1.8595999999999999</v>
      </c>
      <c r="E350" s="124">
        <v>1.4783820000000001</v>
      </c>
      <c r="F350" s="109">
        <v>334.72800000000001</v>
      </c>
      <c r="G350" s="121"/>
      <c r="H350" s="124">
        <v>5.5924000000000005</v>
      </c>
      <c r="I350" s="124">
        <v>91.49</v>
      </c>
      <c r="J350" s="124">
        <v>36.35</v>
      </c>
      <c r="K350" s="121"/>
      <c r="L350" s="130">
        <f t="shared" si="43"/>
        <v>0.79500000000000004</v>
      </c>
      <c r="M350" s="130">
        <f t="shared" si="44"/>
        <v>0.18000000000000002</v>
      </c>
      <c r="N350" s="130">
        <f t="shared" si="45"/>
        <v>0.97500000000000009</v>
      </c>
      <c r="O350" s="130"/>
      <c r="P350" s="129">
        <f t="shared" si="39"/>
        <v>96.69919999999999</v>
      </c>
      <c r="Q350" s="129">
        <f t="shared" si="42"/>
        <v>21.051193805119382</v>
      </c>
      <c r="R350" s="121"/>
      <c r="S350" s="124">
        <v>494</v>
      </c>
    </row>
    <row r="351" spans="1:19">
      <c r="A351" s="123">
        <v>42723</v>
      </c>
      <c r="B351" s="121">
        <f t="shared" si="40"/>
        <v>12</v>
      </c>
      <c r="C351" s="121">
        <f t="shared" si="41"/>
        <v>2016</v>
      </c>
      <c r="D351" s="124">
        <v>1.8623000000000001</v>
      </c>
      <c r="E351" s="124">
        <v>1.4805280000000001</v>
      </c>
      <c r="F351" s="109">
        <v>335.214</v>
      </c>
      <c r="G351" s="121"/>
      <c r="H351" s="124">
        <v>5.6562999999999999</v>
      </c>
      <c r="I351" s="124">
        <v>91.39</v>
      </c>
      <c r="J351" s="124">
        <v>43.71</v>
      </c>
      <c r="K351" s="121"/>
      <c r="L351" s="130">
        <f t="shared" si="43"/>
        <v>0.79499973151479353</v>
      </c>
      <c r="M351" s="130">
        <f t="shared" si="44"/>
        <v>0.18</v>
      </c>
      <c r="N351" s="130">
        <f t="shared" si="45"/>
        <v>0.97499973151479358</v>
      </c>
      <c r="O351" s="130"/>
      <c r="P351" s="129">
        <f t="shared" si="39"/>
        <v>96.839600000000004</v>
      </c>
      <c r="Q351" s="129">
        <f t="shared" si="42"/>
        <v>21.260860226601515</v>
      </c>
      <c r="R351" s="121"/>
      <c r="S351" s="124">
        <v>378</v>
      </c>
    </row>
    <row r="352" spans="1:19">
      <c r="A352" s="123">
        <v>42730</v>
      </c>
      <c r="B352" s="121">
        <f t="shared" si="40"/>
        <v>12</v>
      </c>
      <c r="C352" s="121">
        <f t="shared" si="41"/>
        <v>2016</v>
      </c>
      <c r="D352" s="124">
        <v>1.95285</v>
      </c>
      <c r="E352" s="124">
        <v>1.5525150000000001</v>
      </c>
      <c r="F352" s="109">
        <v>351.51299999999998</v>
      </c>
      <c r="G352" s="121"/>
      <c r="H352" s="124">
        <v>5.6102999999999996</v>
      </c>
      <c r="I352" s="124">
        <v>98.97</v>
      </c>
      <c r="J352" s="124">
        <v>52.96</v>
      </c>
      <c r="K352" s="121"/>
      <c r="L352" s="130">
        <f t="shared" si="43"/>
        <v>0.79499961594592528</v>
      </c>
      <c r="M352" s="130">
        <f t="shared" si="44"/>
        <v>0.18</v>
      </c>
      <c r="N352" s="130">
        <f t="shared" si="45"/>
        <v>0.97499961594592532</v>
      </c>
      <c r="O352" s="130"/>
      <c r="P352" s="129">
        <f t="shared" si="39"/>
        <v>101.54819999999999</v>
      </c>
      <c r="Q352" s="129">
        <f t="shared" si="42"/>
        <v>20.110146708656579</v>
      </c>
      <c r="R352" s="121"/>
      <c r="S352" s="124">
        <v>339</v>
      </c>
    </row>
    <row r="353" spans="1:19">
      <c r="A353" s="123">
        <v>42737</v>
      </c>
      <c r="B353" s="121">
        <f t="shared" si="40"/>
        <v>1</v>
      </c>
      <c r="C353" s="121">
        <f t="shared" si="41"/>
        <v>2017</v>
      </c>
      <c r="D353" s="124">
        <v>1.9414</v>
      </c>
      <c r="E353" s="124">
        <v>1.5434129999999999</v>
      </c>
      <c r="F353" s="109">
        <v>349.452</v>
      </c>
      <c r="G353" s="121"/>
      <c r="H353" s="124">
        <v>5.7350000000000003</v>
      </c>
      <c r="I353" s="124">
        <v>93</v>
      </c>
      <c r="J353" s="124">
        <v>64.75</v>
      </c>
      <c r="K353" s="121"/>
      <c r="L353" s="130">
        <f t="shared" si="43"/>
        <v>0.79499999999999993</v>
      </c>
      <c r="M353" s="130">
        <f t="shared" si="44"/>
        <v>0.18</v>
      </c>
      <c r="N353" s="130">
        <f t="shared" si="45"/>
        <v>0.97499999999999987</v>
      </c>
      <c r="O353" s="130"/>
      <c r="P353" s="129">
        <f t="shared" si="39"/>
        <v>100.9528</v>
      </c>
      <c r="Q353" s="129">
        <f t="shared" si="42"/>
        <v>20.678376429380858</v>
      </c>
      <c r="R353" s="121"/>
      <c r="S353" s="124">
        <v>339</v>
      </c>
    </row>
    <row r="354" spans="1:19">
      <c r="A354" s="123">
        <v>42744</v>
      </c>
      <c r="B354" s="121">
        <f t="shared" si="40"/>
        <v>1</v>
      </c>
      <c r="C354" s="121">
        <f t="shared" si="41"/>
        <v>2017</v>
      </c>
      <c r="D354" s="124">
        <v>1.8098000000000001</v>
      </c>
      <c r="E354" s="124">
        <v>1.4387909999999999</v>
      </c>
      <c r="F354" s="109">
        <v>325.76400000000001</v>
      </c>
      <c r="G354" s="121"/>
      <c r="H354" s="124">
        <v>5.9383000000000008</v>
      </c>
      <c r="I354" s="124">
        <v>97.245999999999995</v>
      </c>
      <c r="J354" s="124">
        <v>70.86</v>
      </c>
      <c r="K354" s="121"/>
      <c r="L354" s="130">
        <f t="shared" si="43"/>
        <v>0.79499999999999993</v>
      </c>
      <c r="M354" s="130">
        <f t="shared" si="44"/>
        <v>0.18</v>
      </c>
      <c r="N354" s="130">
        <f t="shared" si="45"/>
        <v>0.97499999999999987</v>
      </c>
      <c r="O354" s="130"/>
      <c r="P354" s="129">
        <f t="shared" si="39"/>
        <v>94.1096</v>
      </c>
      <c r="Q354" s="129">
        <f t="shared" si="42"/>
        <v>22.96833904298818</v>
      </c>
      <c r="R354" s="121"/>
      <c r="S354" s="124">
        <v>339</v>
      </c>
    </row>
    <row r="355" spans="1:19">
      <c r="A355" s="123">
        <v>42751</v>
      </c>
      <c r="B355" s="121">
        <f t="shared" si="40"/>
        <v>1</v>
      </c>
      <c r="C355" s="121">
        <f t="shared" si="41"/>
        <v>2017</v>
      </c>
      <c r="D355" s="124">
        <v>2.0281500000000001</v>
      </c>
      <c r="E355" s="124">
        <v>1.612379</v>
      </c>
      <c r="F355" s="109">
        <v>365.06700000000001</v>
      </c>
      <c r="G355" s="121"/>
      <c r="H355" s="124"/>
      <c r="I355" s="125">
        <f>(($I$358-$I$354)/4)+I354</f>
        <v>99.031999999999996</v>
      </c>
      <c r="J355" s="124">
        <v>65.86</v>
      </c>
      <c r="K355" s="121"/>
      <c r="L355" s="130">
        <f t="shared" si="43"/>
        <v>0.79499987673495542</v>
      </c>
      <c r="M355" s="130">
        <f t="shared" si="44"/>
        <v>0.18</v>
      </c>
      <c r="N355" s="130">
        <f t="shared" si="45"/>
        <v>0.97499987673495547</v>
      </c>
      <c r="O355" s="130"/>
      <c r="P355" s="129">
        <f t="shared" si="39"/>
        <v>105.46380000000001</v>
      </c>
      <c r="Q355" s="129" t="str">
        <f t="shared" si="42"/>
        <v/>
      </c>
      <c r="R355" s="121"/>
      <c r="S355" s="124">
        <v>240</v>
      </c>
    </row>
    <row r="356" spans="1:19">
      <c r="A356" s="123">
        <v>42758</v>
      </c>
      <c r="B356" s="121">
        <f t="shared" si="40"/>
        <v>1</v>
      </c>
      <c r="C356" s="121">
        <f t="shared" si="41"/>
        <v>2017</v>
      </c>
      <c r="D356" s="124">
        <v>0.90639999999999998</v>
      </c>
      <c r="E356" s="124">
        <v>0.72058800000000001</v>
      </c>
      <c r="F356" s="109">
        <v>163.15199999999999</v>
      </c>
      <c r="G356" s="121"/>
      <c r="H356" s="124"/>
      <c r="I356" s="125">
        <f>(($I$358-$I$354)/4)+I355</f>
        <v>100.818</v>
      </c>
      <c r="J356" s="124">
        <v>65.86</v>
      </c>
      <c r="K356" s="121"/>
      <c r="L356" s="130">
        <f t="shared" si="43"/>
        <v>0.79500000000000004</v>
      </c>
      <c r="M356" s="130">
        <f t="shared" si="44"/>
        <v>0.18</v>
      </c>
      <c r="N356" s="130">
        <f t="shared" si="45"/>
        <v>0.97500000000000009</v>
      </c>
      <c r="O356" s="130"/>
      <c r="P356" s="129">
        <f t="shared" si="39"/>
        <v>47.132799999999996</v>
      </c>
      <c r="Q356" s="129" t="str">
        <f t="shared" si="42"/>
        <v/>
      </c>
      <c r="R356" s="121"/>
      <c r="S356" s="124">
        <v>240</v>
      </c>
    </row>
    <row r="357" spans="1:19">
      <c r="A357" s="123">
        <v>42765</v>
      </c>
      <c r="B357" s="121">
        <f t="shared" si="40"/>
        <v>1</v>
      </c>
      <c r="C357" s="121">
        <f t="shared" si="41"/>
        <v>2017</v>
      </c>
      <c r="D357" s="124">
        <v>7.4200000000000002E-2</v>
      </c>
      <c r="E357" s="124">
        <v>5.8989E-2</v>
      </c>
      <c r="F357" s="109">
        <v>13.356</v>
      </c>
      <c r="G357" s="121"/>
      <c r="H357" s="124">
        <v>6.0549999999999997</v>
      </c>
      <c r="I357" s="125">
        <f>(($I$358-$I$354)/4)+I356</f>
        <v>102.604</v>
      </c>
      <c r="J357" s="124">
        <v>64.400000000000006</v>
      </c>
      <c r="K357" s="121"/>
      <c r="L357" s="130">
        <f t="shared" si="43"/>
        <v>0.79499999999999993</v>
      </c>
      <c r="M357" s="130">
        <f t="shared" si="44"/>
        <v>0.18</v>
      </c>
      <c r="N357" s="130">
        <f t="shared" si="45"/>
        <v>0.97499999999999987</v>
      </c>
      <c r="O357" s="130"/>
      <c r="P357" s="129">
        <f t="shared" si="39"/>
        <v>3.8584000000000001</v>
      </c>
      <c r="Q357" s="129">
        <f t="shared" si="42"/>
        <v>571.22641509433959</v>
      </c>
      <c r="R357" s="121"/>
      <c r="S357" s="124">
        <v>240</v>
      </c>
    </row>
    <row r="358" spans="1:19">
      <c r="A358" s="123">
        <v>42772</v>
      </c>
      <c r="B358" s="121">
        <f t="shared" si="40"/>
        <v>2</v>
      </c>
      <c r="C358" s="121">
        <f t="shared" si="41"/>
        <v>2017</v>
      </c>
      <c r="D358" s="124">
        <v>1.2236</v>
      </c>
      <c r="E358" s="124">
        <v>0.97276200000000002</v>
      </c>
      <c r="F358" s="109">
        <v>220.24799999999999</v>
      </c>
      <c r="G358" s="121"/>
      <c r="H358" s="124">
        <v>6.165</v>
      </c>
      <c r="I358" s="124">
        <v>104.39</v>
      </c>
      <c r="J358" s="124">
        <v>64.400000000000006</v>
      </c>
      <c r="K358" s="121"/>
      <c r="L358" s="130">
        <f t="shared" si="43"/>
        <v>0.79500000000000004</v>
      </c>
      <c r="M358" s="130">
        <f t="shared" si="44"/>
        <v>0.18</v>
      </c>
      <c r="N358" s="130">
        <f t="shared" si="45"/>
        <v>0.97500000000000009</v>
      </c>
      <c r="O358" s="130"/>
      <c r="P358" s="129">
        <f t="shared" si="39"/>
        <v>63.627200000000002</v>
      </c>
      <c r="Q358" s="129">
        <f t="shared" si="42"/>
        <v>35.268878718535468</v>
      </c>
      <c r="R358" s="121"/>
      <c r="S358" s="124">
        <v>209</v>
      </c>
    </row>
    <row r="359" spans="1:19">
      <c r="A359" s="123">
        <v>42779</v>
      </c>
      <c r="B359" s="121">
        <f t="shared" si="40"/>
        <v>2</v>
      </c>
      <c r="C359" s="121">
        <f t="shared" si="41"/>
        <v>2017</v>
      </c>
      <c r="D359" s="124">
        <v>1.8141</v>
      </c>
      <c r="E359" s="124">
        <v>1.4422090000000001</v>
      </c>
      <c r="F359" s="109">
        <v>326.53800000000001</v>
      </c>
      <c r="G359" s="121"/>
      <c r="H359" s="124">
        <v>6.3159999999999998</v>
      </c>
      <c r="I359" s="124">
        <v>110.37</v>
      </c>
      <c r="J359" s="124">
        <v>75.31</v>
      </c>
      <c r="K359" s="121"/>
      <c r="L359" s="130">
        <f t="shared" si="43"/>
        <v>0.79499972438123589</v>
      </c>
      <c r="M359" s="130">
        <f t="shared" si="44"/>
        <v>0.18</v>
      </c>
      <c r="N359" s="130">
        <f t="shared" si="45"/>
        <v>0.97499972438123583</v>
      </c>
      <c r="O359" s="130"/>
      <c r="P359" s="129">
        <f t="shared" si="39"/>
        <v>94.333200000000005</v>
      </c>
      <c r="Q359" s="129">
        <f t="shared" si="42"/>
        <v>24.371313599029822</v>
      </c>
      <c r="R359" s="121"/>
      <c r="S359" s="124">
        <v>200</v>
      </c>
    </row>
    <row r="360" spans="1:19">
      <c r="A360" s="123">
        <v>42786</v>
      </c>
      <c r="B360" s="121">
        <f t="shared" si="40"/>
        <v>2</v>
      </c>
      <c r="C360" s="121">
        <f t="shared" si="41"/>
        <v>2017</v>
      </c>
      <c r="D360" s="124">
        <v>1.8902000000000001</v>
      </c>
      <c r="E360" s="124">
        <v>1.5027090000000001</v>
      </c>
      <c r="F360" s="109">
        <v>340.23599999999999</v>
      </c>
      <c r="G360" s="121"/>
      <c r="H360" s="124"/>
      <c r="I360" s="124"/>
      <c r="J360" s="124">
        <v>87.81</v>
      </c>
      <c r="K360" s="121"/>
      <c r="L360" s="130">
        <f t="shared" si="43"/>
        <v>0.79500000000000004</v>
      </c>
      <c r="M360" s="130">
        <f t="shared" si="44"/>
        <v>0.18</v>
      </c>
      <c r="N360" s="130">
        <f t="shared" si="45"/>
        <v>0.97500000000000009</v>
      </c>
      <c r="O360" s="130"/>
      <c r="P360" s="129">
        <f t="shared" si="39"/>
        <v>98.290400000000005</v>
      </c>
      <c r="Q360" s="129" t="str">
        <f t="shared" si="42"/>
        <v/>
      </c>
      <c r="R360" s="121"/>
      <c r="S360" s="124">
        <v>200</v>
      </c>
    </row>
    <row r="361" spans="1:19">
      <c r="A361" s="123">
        <v>42793</v>
      </c>
      <c r="B361" s="121">
        <f t="shared" si="40"/>
        <v>2</v>
      </c>
      <c r="C361" s="121">
        <f t="shared" si="41"/>
        <v>2017</v>
      </c>
      <c r="D361" s="124">
        <v>1.5962000000000001</v>
      </c>
      <c r="E361" s="124">
        <v>1.2689790000000001</v>
      </c>
      <c r="F361" s="109">
        <v>287.31599999999997</v>
      </c>
      <c r="G361" s="121"/>
      <c r="H361" s="124">
        <v>5.7350000000000003</v>
      </c>
      <c r="I361" s="124">
        <v>91.39</v>
      </c>
      <c r="J361" s="124">
        <v>87.16</v>
      </c>
      <c r="K361" s="121"/>
      <c r="L361" s="130">
        <f t="shared" si="43"/>
        <v>0.79500000000000004</v>
      </c>
      <c r="M361" s="130">
        <f t="shared" si="44"/>
        <v>0.17999999999999997</v>
      </c>
      <c r="N361" s="130">
        <f t="shared" si="45"/>
        <v>0.97499999999999998</v>
      </c>
      <c r="O361" s="130"/>
      <c r="P361" s="129">
        <f t="shared" si="39"/>
        <v>83.002400000000009</v>
      </c>
      <c r="Q361" s="129">
        <f t="shared" si="42"/>
        <v>25.150357098108007</v>
      </c>
      <c r="R361" s="121"/>
      <c r="S361" s="124">
        <v>131</v>
      </c>
    </row>
    <row r="362" spans="1:19">
      <c r="A362" s="123">
        <v>42800</v>
      </c>
      <c r="B362" s="121">
        <f t="shared" si="40"/>
        <v>3</v>
      </c>
      <c r="C362" s="121">
        <f t="shared" si="41"/>
        <v>2017</v>
      </c>
      <c r="D362" s="124">
        <v>1.4902</v>
      </c>
      <c r="E362" s="124">
        <v>1.184709</v>
      </c>
      <c r="F362" s="109">
        <v>268.23599999999999</v>
      </c>
      <c r="G362" s="121"/>
      <c r="H362" s="124"/>
      <c r="I362" s="124"/>
      <c r="J362" s="124">
        <v>72.98</v>
      </c>
      <c r="K362" s="121"/>
      <c r="L362" s="130">
        <f t="shared" si="43"/>
        <v>0.79500000000000004</v>
      </c>
      <c r="M362" s="130">
        <f t="shared" si="44"/>
        <v>0.18</v>
      </c>
      <c r="N362" s="130">
        <f t="shared" si="45"/>
        <v>0.97500000000000009</v>
      </c>
      <c r="O362" s="130"/>
      <c r="P362" s="129">
        <f t="shared" si="39"/>
        <v>77.490399999999994</v>
      </c>
      <c r="Q362" s="129" t="str">
        <f t="shared" si="42"/>
        <v/>
      </c>
      <c r="R362" s="121"/>
      <c r="S362" s="124">
        <v>85</v>
      </c>
    </row>
    <row r="363" spans="1:19">
      <c r="A363" s="123">
        <v>42807</v>
      </c>
      <c r="B363" s="121">
        <f t="shared" si="40"/>
        <v>3</v>
      </c>
      <c r="C363" s="121">
        <f t="shared" si="41"/>
        <v>2017</v>
      </c>
      <c r="D363" s="124">
        <v>1.5933999999999999</v>
      </c>
      <c r="E363" s="124">
        <v>1.266753</v>
      </c>
      <c r="F363" s="109">
        <v>286.81200000000001</v>
      </c>
      <c r="G363" s="121"/>
      <c r="H363" s="124"/>
      <c r="I363" s="124"/>
      <c r="J363" s="124">
        <v>77.41</v>
      </c>
      <c r="K363" s="121"/>
      <c r="L363" s="130">
        <f t="shared" si="43"/>
        <v>0.79500000000000004</v>
      </c>
      <c r="M363" s="130">
        <f t="shared" si="44"/>
        <v>0.18000000000000002</v>
      </c>
      <c r="N363" s="130">
        <f t="shared" si="45"/>
        <v>0.97500000000000009</v>
      </c>
      <c r="O363" s="130"/>
      <c r="P363" s="129">
        <f t="shared" si="39"/>
        <v>82.856799999999993</v>
      </c>
      <c r="Q363" s="129" t="str">
        <f t="shared" si="42"/>
        <v/>
      </c>
      <c r="R363" s="121"/>
      <c r="S363" s="124">
        <v>0.45</v>
      </c>
    </row>
    <row r="364" spans="1:19">
      <c r="A364" s="123">
        <v>42814</v>
      </c>
      <c r="B364" s="121">
        <f t="shared" si="40"/>
        <v>3</v>
      </c>
      <c r="C364" s="121">
        <f t="shared" si="41"/>
        <v>2017</v>
      </c>
      <c r="D364" s="124">
        <v>1.5266</v>
      </c>
      <c r="E364" s="124">
        <v>1.2136469999999999</v>
      </c>
      <c r="F364" s="109">
        <v>274.78800000000001</v>
      </c>
      <c r="G364" s="121"/>
      <c r="H364" s="124"/>
      <c r="I364" s="124"/>
      <c r="J364" s="124">
        <v>83.96</v>
      </c>
      <c r="K364" s="121"/>
      <c r="L364" s="130">
        <f t="shared" si="43"/>
        <v>0.79499999999999993</v>
      </c>
      <c r="M364" s="130">
        <f t="shared" si="44"/>
        <v>0.18000000000000002</v>
      </c>
      <c r="N364" s="130">
        <f t="shared" si="45"/>
        <v>0.97499999999999998</v>
      </c>
      <c r="O364" s="130"/>
      <c r="P364" s="129">
        <f t="shared" si="39"/>
        <v>79.383200000000002</v>
      </c>
      <c r="Q364" s="129" t="str">
        <f t="shared" si="42"/>
        <v/>
      </c>
      <c r="R364" s="121"/>
      <c r="S364" s="124">
        <v>0.45</v>
      </c>
    </row>
    <row r="365" spans="1:19">
      <c r="A365" s="123">
        <v>42821</v>
      </c>
      <c r="B365" s="121">
        <f t="shared" si="40"/>
        <v>3</v>
      </c>
      <c r="C365" s="121">
        <f t="shared" si="41"/>
        <v>2017</v>
      </c>
      <c r="D365" s="124">
        <v>1.4902</v>
      </c>
      <c r="E365" s="124">
        <v>1.184709</v>
      </c>
      <c r="F365" s="109">
        <v>268.23599999999999</v>
      </c>
      <c r="G365" s="121"/>
      <c r="H365" s="124">
        <v>5.7149999999999999</v>
      </c>
      <c r="I365" s="124">
        <v>111.41</v>
      </c>
      <c r="J365" s="124">
        <v>72.75</v>
      </c>
      <c r="K365" s="121"/>
      <c r="L365" s="130">
        <f t="shared" si="43"/>
        <v>0.79500000000000004</v>
      </c>
      <c r="M365" s="130">
        <f t="shared" si="44"/>
        <v>0.18</v>
      </c>
      <c r="N365" s="130">
        <f t="shared" si="45"/>
        <v>0.97500000000000009</v>
      </c>
      <c r="O365" s="130"/>
      <c r="P365" s="129">
        <f t="shared" si="39"/>
        <v>77.490399999999994</v>
      </c>
      <c r="Q365" s="129">
        <f t="shared" si="42"/>
        <v>26.845389880552943</v>
      </c>
      <c r="R365" s="121"/>
      <c r="S365" s="124">
        <v>-79</v>
      </c>
    </row>
    <row r="366" spans="1:19">
      <c r="A366" s="123">
        <v>42828</v>
      </c>
      <c r="B366" s="121">
        <f t="shared" si="40"/>
        <v>4</v>
      </c>
      <c r="C366" s="121">
        <f t="shared" si="41"/>
        <v>2017</v>
      </c>
      <c r="D366" s="125">
        <f>AVERAGE(D365,D367)</f>
        <v>1.526</v>
      </c>
      <c r="E366" s="125">
        <f>AVERAGE(E365,E367)</f>
        <v>1.2131699999999999</v>
      </c>
      <c r="F366" s="125">
        <f>AVERAGE(F365,F367)</f>
        <v>274.68</v>
      </c>
      <c r="G366" s="121"/>
      <c r="H366" s="124"/>
      <c r="I366" s="124"/>
      <c r="J366" s="124">
        <v>67.06</v>
      </c>
      <c r="K366" s="121"/>
      <c r="L366" s="130">
        <f t="shared" si="43"/>
        <v>0.79499999999999993</v>
      </c>
      <c r="M366" s="130">
        <f t="shared" si="44"/>
        <v>0.18</v>
      </c>
      <c r="N366" s="130">
        <f t="shared" si="45"/>
        <v>0.97499999999999987</v>
      </c>
      <c r="O366" s="130"/>
      <c r="P366" s="129">
        <f t="shared" si="39"/>
        <v>79.352000000000004</v>
      </c>
      <c r="Q366" s="129" t="str">
        <f t="shared" si="42"/>
        <v/>
      </c>
      <c r="R366" s="121"/>
      <c r="S366" s="124">
        <v>-75</v>
      </c>
    </row>
    <row r="367" spans="1:19">
      <c r="A367" s="123">
        <v>42835</v>
      </c>
      <c r="B367" s="121">
        <f t="shared" si="40"/>
        <v>4</v>
      </c>
      <c r="C367" s="121">
        <f t="shared" si="41"/>
        <v>2017</v>
      </c>
      <c r="D367" s="124">
        <v>1.5618000000000001</v>
      </c>
      <c r="E367" s="124">
        <v>1.2416309999999999</v>
      </c>
      <c r="F367" s="109">
        <v>281.12400000000002</v>
      </c>
      <c r="G367" s="121"/>
      <c r="H367" s="124">
        <v>6.1705999999999994</v>
      </c>
      <c r="I367" s="124">
        <v>113.85</v>
      </c>
      <c r="J367" s="124">
        <v>59.1</v>
      </c>
      <c r="K367" s="121"/>
      <c r="L367" s="130">
        <f t="shared" si="43"/>
        <v>0.79499999999999993</v>
      </c>
      <c r="M367" s="130">
        <f t="shared" si="44"/>
        <v>0.18000000000000002</v>
      </c>
      <c r="N367" s="130">
        <f t="shared" si="45"/>
        <v>0.97499999999999998</v>
      </c>
      <c r="O367" s="130"/>
      <c r="P367" s="129">
        <f t="shared" si="39"/>
        <v>81.2136</v>
      </c>
      <c r="Q367" s="129">
        <f t="shared" si="42"/>
        <v>27.656678191829933</v>
      </c>
      <c r="R367" s="121"/>
      <c r="S367" s="124">
        <v>-46</v>
      </c>
    </row>
    <row r="368" spans="1:19">
      <c r="A368" s="123">
        <v>42842</v>
      </c>
      <c r="B368" s="121">
        <f t="shared" si="40"/>
        <v>4</v>
      </c>
      <c r="C368" s="121">
        <f t="shared" si="41"/>
        <v>2017</v>
      </c>
      <c r="D368" s="124">
        <v>1.7981</v>
      </c>
      <c r="E368" s="124">
        <v>1.4267069999999999</v>
      </c>
      <c r="F368" s="109">
        <v>323.02800000000002</v>
      </c>
      <c r="G368" s="121"/>
      <c r="H368" s="124">
        <v>6.0635000000000003</v>
      </c>
      <c r="I368" s="124">
        <v>114.21</v>
      </c>
      <c r="J368" s="124">
        <v>61.72</v>
      </c>
      <c r="K368" s="121"/>
      <c r="L368" s="130">
        <f t="shared" si="43"/>
        <v>0.79345253322952003</v>
      </c>
      <c r="M368" s="130">
        <f t="shared" si="44"/>
        <v>0.17964963016517438</v>
      </c>
      <c r="N368" s="130">
        <f t="shared" si="45"/>
        <v>0.97310216339469435</v>
      </c>
      <c r="O368" s="130"/>
      <c r="P368" s="129">
        <f t="shared" si="39"/>
        <v>93.501199999999997</v>
      </c>
      <c r="Q368" s="129">
        <f t="shared" si="42"/>
        <v>23.605194371836941</v>
      </c>
      <c r="R368" s="121"/>
      <c r="S368" s="124">
        <v>-46</v>
      </c>
    </row>
    <row r="369" spans="1:19">
      <c r="A369" s="123">
        <v>42849</v>
      </c>
      <c r="B369" s="121">
        <f t="shared" si="40"/>
        <v>4</v>
      </c>
      <c r="C369" s="121">
        <f t="shared" si="41"/>
        <v>2017</v>
      </c>
      <c r="D369" s="124">
        <v>1.8767</v>
      </c>
      <c r="E369" s="124">
        <v>1.491976</v>
      </c>
      <c r="F369" s="109">
        <v>337.80599999999998</v>
      </c>
      <c r="G369" s="121"/>
      <c r="H369" s="124">
        <v>6.0129999999999999</v>
      </c>
      <c r="I369" s="124">
        <v>114.93</v>
      </c>
      <c r="J369" s="124">
        <v>70.349999999999994</v>
      </c>
      <c r="K369" s="121"/>
      <c r="L369" s="130">
        <f t="shared" si="43"/>
        <v>0.79499973357489206</v>
      </c>
      <c r="M369" s="130">
        <f t="shared" si="44"/>
        <v>0.18</v>
      </c>
      <c r="N369" s="130">
        <f t="shared" si="45"/>
        <v>0.97499973357489211</v>
      </c>
      <c r="O369" s="130"/>
      <c r="P369" s="129">
        <f t="shared" si="39"/>
        <v>97.588400000000007</v>
      </c>
      <c r="Q369" s="129">
        <f t="shared" si="42"/>
        <v>22.428198433420366</v>
      </c>
      <c r="R369" s="121"/>
      <c r="S369" s="124">
        <v>-55</v>
      </c>
    </row>
    <row r="370" spans="1:19">
      <c r="A370" s="123">
        <v>42856</v>
      </c>
      <c r="B370" s="121">
        <f t="shared" si="40"/>
        <v>5</v>
      </c>
      <c r="C370" s="121">
        <f t="shared" si="41"/>
        <v>2017</v>
      </c>
      <c r="D370" s="124">
        <v>1.8364</v>
      </c>
      <c r="E370" s="124">
        <v>1.459938</v>
      </c>
      <c r="F370" s="109">
        <v>330.55200000000002</v>
      </c>
      <c r="G370" s="121"/>
      <c r="H370" s="124">
        <v>5.8579999999999997</v>
      </c>
      <c r="I370" s="124">
        <v>124.19</v>
      </c>
      <c r="J370" s="124">
        <v>83.39</v>
      </c>
      <c r="K370" s="121"/>
      <c r="L370" s="130">
        <f t="shared" si="43"/>
        <v>0.79499999999999993</v>
      </c>
      <c r="M370" s="130">
        <f t="shared" si="44"/>
        <v>0.18</v>
      </c>
      <c r="N370" s="130">
        <f t="shared" si="45"/>
        <v>0.97499999999999987</v>
      </c>
      <c r="O370" s="130"/>
      <c r="P370" s="129">
        <f t="shared" si="39"/>
        <v>95.492800000000003</v>
      </c>
      <c r="Q370" s="129">
        <f t="shared" si="42"/>
        <v>22.329557830538008</v>
      </c>
      <c r="R370" s="121"/>
      <c r="S370" s="124">
        <v>-24</v>
      </c>
    </row>
    <row r="371" spans="1:19">
      <c r="A371" s="123">
        <v>42863</v>
      </c>
      <c r="B371" s="121">
        <f t="shared" si="40"/>
        <v>5</v>
      </c>
      <c r="C371" s="121">
        <f t="shared" si="41"/>
        <v>2017</v>
      </c>
      <c r="D371" s="124">
        <v>1.8284499999999999</v>
      </c>
      <c r="E371" s="124">
        <v>1.4536169999999999</v>
      </c>
      <c r="F371" s="109">
        <v>329.12099999999998</v>
      </c>
      <c r="G371" s="121"/>
      <c r="H371" s="124">
        <v>5.7170000000000005</v>
      </c>
      <c r="I371" s="124">
        <v>123.49</v>
      </c>
      <c r="J371" s="124">
        <v>87.39</v>
      </c>
      <c r="K371" s="121"/>
      <c r="L371" s="130">
        <f t="shared" si="43"/>
        <v>0.79499958981651131</v>
      </c>
      <c r="M371" s="130">
        <f t="shared" si="44"/>
        <v>0.18000000000000002</v>
      </c>
      <c r="N371" s="130">
        <f t="shared" si="45"/>
        <v>0.97499958981651136</v>
      </c>
      <c r="O371" s="130"/>
      <c r="P371" s="129">
        <f t="shared" si="39"/>
        <v>95.079399999999993</v>
      </c>
      <c r="Q371" s="129">
        <f t="shared" si="42"/>
        <v>21.886844048237581</v>
      </c>
      <c r="R371" s="121"/>
      <c r="S371" s="124">
        <v>-50</v>
      </c>
    </row>
    <row r="372" spans="1:19">
      <c r="A372" s="123">
        <v>42870</v>
      </c>
      <c r="B372" s="121">
        <f t="shared" si="40"/>
        <v>5</v>
      </c>
      <c r="C372" s="121">
        <f t="shared" si="41"/>
        <v>2017</v>
      </c>
      <c r="D372" s="124">
        <v>1.83175</v>
      </c>
      <c r="E372" s="124">
        <v>1.4562409999999999</v>
      </c>
      <c r="F372" s="109">
        <v>329.71499999999997</v>
      </c>
      <c r="G372" s="121"/>
      <c r="H372" s="124">
        <v>5.9173</v>
      </c>
      <c r="I372" s="124">
        <v>121.04</v>
      </c>
      <c r="J372" s="124">
        <v>101.45</v>
      </c>
      <c r="K372" s="121"/>
      <c r="L372" s="130">
        <f t="shared" si="43"/>
        <v>0.79499986351849317</v>
      </c>
      <c r="M372" s="130">
        <f t="shared" si="44"/>
        <v>0.18</v>
      </c>
      <c r="N372" s="130">
        <f t="shared" si="45"/>
        <v>0.9749998635184931</v>
      </c>
      <c r="O372" s="130"/>
      <c r="P372" s="129">
        <f t="shared" si="39"/>
        <v>95.251000000000005</v>
      </c>
      <c r="Q372" s="129">
        <f t="shared" si="42"/>
        <v>22.6128565579364</v>
      </c>
      <c r="R372" s="121"/>
      <c r="S372" s="124">
        <v>-161</v>
      </c>
    </row>
    <row r="373" spans="1:19">
      <c r="A373" s="123">
        <v>42877</v>
      </c>
      <c r="B373" s="121">
        <f t="shared" si="40"/>
        <v>5</v>
      </c>
      <c r="C373" s="121">
        <f t="shared" si="41"/>
        <v>2017</v>
      </c>
      <c r="D373" s="124">
        <v>1.8181</v>
      </c>
      <c r="E373" s="124">
        <v>1.445389</v>
      </c>
      <c r="F373" s="109">
        <v>327.25799999999998</v>
      </c>
      <c r="G373" s="121"/>
      <c r="H373" s="124">
        <v>6.3042999999999996</v>
      </c>
      <c r="I373" s="124"/>
      <c r="J373" s="124">
        <v>108.63</v>
      </c>
      <c r="K373" s="121"/>
      <c r="L373" s="130">
        <f t="shared" si="43"/>
        <v>0.79499972498762439</v>
      </c>
      <c r="M373" s="130">
        <f t="shared" si="44"/>
        <v>0.18</v>
      </c>
      <c r="N373" s="130">
        <f t="shared" si="45"/>
        <v>0.97499972498762433</v>
      </c>
      <c r="O373" s="130"/>
      <c r="P373" s="129">
        <f t="shared" si="39"/>
        <v>94.541200000000003</v>
      </c>
      <c r="Q373" s="129">
        <f t="shared" si="42"/>
        <v>24.272647269127109</v>
      </c>
      <c r="R373" s="121"/>
      <c r="S373" s="124">
        <v>-71</v>
      </c>
    </row>
    <row r="374" spans="1:19">
      <c r="A374" s="123">
        <v>42884</v>
      </c>
      <c r="B374" s="121">
        <f t="shared" si="40"/>
        <v>5</v>
      </c>
      <c r="C374" s="121">
        <f t="shared" si="41"/>
        <v>2017</v>
      </c>
      <c r="D374" s="124">
        <v>1.7236</v>
      </c>
      <c r="E374" s="124">
        <v>1.3702620000000001</v>
      </c>
      <c r="F374" s="109">
        <v>310.24799999999999</v>
      </c>
      <c r="G374" s="121"/>
      <c r="H374" s="124">
        <v>6.4349999999999996</v>
      </c>
      <c r="I374" s="124">
        <v>123</v>
      </c>
      <c r="J374" s="124">
        <v>115.75</v>
      </c>
      <c r="K374" s="121"/>
      <c r="L374" s="130">
        <f t="shared" si="43"/>
        <v>0.79500000000000004</v>
      </c>
      <c r="M374" s="130">
        <f t="shared" si="44"/>
        <v>0.17999999999999997</v>
      </c>
      <c r="N374" s="130">
        <f t="shared" si="45"/>
        <v>0.97499999999999998</v>
      </c>
      <c r="O374" s="130"/>
      <c r="P374" s="129">
        <f t="shared" si="39"/>
        <v>89.627200000000002</v>
      </c>
      <c r="Q374" s="129">
        <f t="shared" si="42"/>
        <v>26.134253887212807</v>
      </c>
      <c r="R374" s="121"/>
      <c r="S374" s="124">
        <v>-161</v>
      </c>
    </row>
    <row r="375" spans="1:19">
      <c r="A375" s="123">
        <v>42891</v>
      </c>
      <c r="B375" s="121">
        <f t="shared" si="40"/>
        <v>6</v>
      </c>
      <c r="C375" s="121">
        <f t="shared" si="41"/>
        <v>2017</v>
      </c>
      <c r="D375" s="124">
        <v>1.7307999999999999</v>
      </c>
      <c r="E375" s="124">
        <v>1.3759859999999999</v>
      </c>
      <c r="F375" s="109">
        <v>311.54399999999998</v>
      </c>
      <c r="G375" s="121"/>
      <c r="H375" s="124">
        <v>6.4870000000000001</v>
      </c>
      <c r="I375" s="124">
        <v>123.81</v>
      </c>
      <c r="J375" s="124">
        <v>114.3</v>
      </c>
      <c r="K375" s="121"/>
      <c r="L375" s="130">
        <f t="shared" si="43"/>
        <v>0.79500000000000004</v>
      </c>
      <c r="M375" s="130">
        <f t="shared" si="44"/>
        <v>0.18</v>
      </c>
      <c r="N375" s="130">
        <f t="shared" si="45"/>
        <v>0.97500000000000009</v>
      </c>
      <c r="O375" s="130"/>
      <c r="P375" s="129">
        <f t="shared" si="39"/>
        <v>90.001599999999996</v>
      </c>
      <c r="Q375" s="129">
        <f t="shared" si="42"/>
        <v>26.235844696094293</v>
      </c>
      <c r="R375" s="121"/>
      <c r="S375" s="124">
        <v>-97</v>
      </c>
    </row>
    <row r="376" spans="1:19">
      <c r="A376" s="123">
        <v>42898</v>
      </c>
      <c r="B376" s="121">
        <f t="shared" si="40"/>
        <v>6</v>
      </c>
      <c r="C376" s="121">
        <f t="shared" si="41"/>
        <v>2017</v>
      </c>
      <c r="D376" s="124">
        <v>1.7733000000000001</v>
      </c>
      <c r="E376" s="124">
        <v>0.140428</v>
      </c>
      <c r="F376" s="109">
        <v>317.93400000000003</v>
      </c>
      <c r="G376" s="121"/>
      <c r="H376" s="124">
        <v>6.5673000000000004</v>
      </c>
      <c r="I376" s="124">
        <v>126.75</v>
      </c>
      <c r="J376" s="124">
        <v>119.27</v>
      </c>
      <c r="K376" s="121"/>
      <c r="L376" s="130">
        <f t="shared" ref="L376:L407" si="46">E376/D376</f>
        <v>7.9190210342299658E-2</v>
      </c>
      <c r="M376" s="130">
        <f t="shared" ref="M376:M407" si="47">F376/1000/D376</f>
        <v>0.17928946032820167</v>
      </c>
      <c r="N376" s="130">
        <f t="shared" ref="N376:N407" si="48">M376+L376</f>
        <v>0.25847967067050132</v>
      </c>
      <c r="O376" s="130"/>
      <c r="P376" s="129">
        <f t="shared" ref="P376:P439" si="49">D376*52</f>
        <v>92.211600000000004</v>
      </c>
      <c r="Q376" s="129">
        <f t="shared" si="42"/>
        <v>25.924039925562511</v>
      </c>
      <c r="R376" s="121"/>
      <c r="S376" s="124">
        <v>-136</v>
      </c>
    </row>
    <row r="377" spans="1:19">
      <c r="A377" s="123">
        <v>42905</v>
      </c>
      <c r="B377" s="121">
        <f t="shared" si="40"/>
        <v>6</v>
      </c>
      <c r="C377" s="121">
        <f t="shared" si="41"/>
        <v>2017</v>
      </c>
      <c r="D377" s="125">
        <f>AVERAGE(D376,D378)</f>
        <v>1.8017500000000002</v>
      </c>
      <c r="E377" s="125">
        <f>AVERAGE(E376,E378)</f>
        <v>0.7977185</v>
      </c>
      <c r="F377" s="125">
        <f>AVERAGE(F376,F378)</f>
        <v>323.685</v>
      </c>
      <c r="G377" s="121"/>
      <c r="H377" s="124">
        <v>6.7654999999999994</v>
      </c>
      <c r="I377" s="124"/>
      <c r="J377" s="124">
        <v>120.39</v>
      </c>
      <c r="K377" s="121"/>
      <c r="L377" s="130">
        <f t="shared" si="46"/>
        <v>0.44274649646177322</v>
      </c>
      <c r="M377" s="130">
        <f t="shared" si="47"/>
        <v>0.17965033994727347</v>
      </c>
      <c r="N377" s="130">
        <f t="shared" si="48"/>
        <v>0.62239683640904664</v>
      </c>
      <c r="O377" s="130"/>
      <c r="P377" s="129">
        <f t="shared" si="49"/>
        <v>93.691000000000003</v>
      </c>
      <c r="Q377" s="129">
        <f t="shared" si="42"/>
        <v>26.284723185791588</v>
      </c>
      <c r="R377" s="121"/>
      <c r="S377" s="124">
        <v>-136</v>
      </c>
    </row>
    <row r="378" spans="1:19">
      <c r="A378" s="123">
        <v>42912</v>
      </c>
      <c r="B378" s="121">
        <f t="shared" si="40"/>
        <v>6</v>
      </c>
      <c r="C378" s="121">
        <f t="shared" si="41"/>
        <v>2017</v>
      </c>
      <c r="D378" s="124">
        <v>1.8302</v>
      </c>
      <c r="E378" s="124">
        <v>1.455009</v>
      </c>
      <c r="F378" s="109">
        <v>329.43599999999998</v>
      </c>
      <c r="G378" s="121"/>
      <c r="H378" s="124">
        <v>6.8624999999999998</v>
      </c>
      <c r="I378" s="124">
        <v>129.28</v>
      </c>
      <c r="J378" s="124">
        <v>105.32</v>
      </c>
      <c r="K378" s="121"/>
      <c r="L378" s="130">
        <f t="shared" si="46"/>
        <v>0.79499999999999993</v>
      </c>
      <c r="M378" s="130">
        <f t="shared" si="47"/>
        <v>0.17999999999999997</v>
      </c>
      <c r="N378" s="130">
        <f t="shared" si="48"/>
        <v>0.97499999999999987</v>
      </c>
      <c r="O378" s="130"/>
      <c r="P378" s="129">
        <f t="shared" si="49"/>
        <v>95.170400000000001</v>
      </c>
      <c r="Q378" s="129">
        <f t="shared" si="42"/>
        <v>26.247131461042507</v>
      </c>
      <c r="R378" s="121"/>
      <c r="S378" s="124">
        <v>-117</v>
      </c>
    </row>
    <row r="379" spans="1:19">
      <c r="A379" s="123">
        <v>42919</v>
      </c>
      <c r="B379" s="121">
        <f t="shared" si="40"/>
        <v>7</v>
      </c>
      <c r="C379" s="121">
        <f t="shared" si="41"/>
        <v>2017</v>
      </c>
      <c r="D379" s="124">
        <v>1.6438999999999999</v>
      </c>
      <c r="E379" s="124">
        <v>1.3069</v>
      </c>
      <c r="F379" s="109">
        <v>295.90199999999999</v>
      </c>
      <c r="G379" s="121"/>
      <c r="H379" s="124">
        <v>7.0154999999999994</v>
      </c>
      <c r="I379" s="124">
        <v>125.25</v>
      </c>
      <c r="J379" s="124">
        <v>107.43</v>
      </c>
      <c r="K379" s="121"/>
      <c r="L379" s="130">
        <f t="shared" si="46"/>
        <v>0.7949996958452461</v>
      </c>
      <c r="M379" s="130">
        <f t="shared" si="47"/>
        <v>0.18000000000000002</v>
      </c>
      <c r="N379" s="130">
        <f t="shared" si="48"/>
        <v>0.97499969584524615</v>
      </c>
      <c r="O379" s="130"/>
      <c r="P379" s="129">
        <f t="shared" si="49"/>
        <v>85.482799999999997</v>
      </c>
      <c r="Q379" s="129">
        <f t="shared" si="42"/>
        <v>29.873167467607519</v>
      </c>
      <c r="R379" s="121"/>
      <c r="S379" s="124">
        <v>27.6</v>
      </c>
    </row>
    <row r="380" spans="1:19">
      <c r="A380" s="123">
        <v>42926</v>
      </c>
      <c r="B380" s="121">
        <f t="shared" si="40"/>
        <v>7</v>
      </c>
      <c r="C380" s="121">
        <f t="shared" si="41"/>
        <v>2017</v>
      </c>
      <c r="D380" s="124">
        <v>1.7382</v>
      </c>
      <c r="E380" s="124">
        <v>1.381869</v>
      </c>
      <c r="F380" s="109">
        <v>312.87599999999998</v>
      </c>
      <c r="G380" s="121"/>
      <c r="H380" s="124">
        <v>6.9335000000000004</v>
      </c>
      <c r="I380" s="124">
        <v>128.69999999999999</v>
      </c>
      <c r="J380" s="124">
        <v>112.83</v>
      </c>
      <c r="K380" s="121"/>
      <c r="L380" s="130">
        <f t="shared" si="46"/>
        <v>0.79500000000000004</v>
      </c>
      <c r="M380" s="130">
        <f t="shared" si="47"/>
        <v>0.18</v>
      </c>
      <c r="N380" s="130">
        <f t="shared" si="48"/>
        <v>0.97500000000000009</v>
      </c>
      <c r="O380" s="130"/>
      <c r="P380" s="129">
        <f t="shared" si="49"/>
        <v>90.386399999999995</v>
      </c>
      <c r="Q380" s="129">
        <f t="shared" si="42"/>
        <v>27.922275917615927</v>
      </c>
      <c r="R380" s="121"/>
      <c r="S380" s="124">
        <v>29.85</v>
      </c>
    </row>
    <row r="381" spans="1:19">
      <c r="A381" s="123">
        <v>42933</v>
      </c>
      <c r="B381" s="121">
        <f t="shared" si="40"/>
        <v>7</v>
      </c>
      <c r="C381" s="121">
        <f t="shared" si="41"/>
        <v>2017</v>
      </c>
      <c r="D381" s="124">
        <v>1.966</v>
      </c>
      <c r="E381" s="124">
        <v>1.56297</v>
      </c>
      <c r="F381" s="109">
        <v>353.88</v>
      </c>
      <c r="G381" s="121"/>
      <c r="H381" s="124">
        <v>7.0347</v>
      </c>
      <c r="I381" s="124">
        <v>133.71</v>
      </c>
      <c r="J381" s="124">
        <v>112.83</v>
      </c>
      <c r="K381" s="121"/>
      <c r="L381" s="130">
        <f t="shared" si="46"/>
        <v>0.79500000000000004</v>
      </c>
      <c r="M381" s="130">
        <f t="shared" si="47"/>
        <v>0.18</v>
      </c>
      <c r="N381" s="130">
        <f t="shared" si="48"/>
        <v>0.97500000000000009</v>
      </c>
      <c r="O381" s="130"/>
      <c r="P381" s="129">
        <f t="shared" si="49"/>
        <v>102.232</v>
      </c>
      <c r="Q381" s="129">
        <f t="shared" si="42"/>
        <v>25.047253306205494</v>
      </c>
      <c r="R381" s="121"/>
      <c r="S381" s="124">
        <v>58</v>
      </c>
    </row>
    <row r="382" spans="1:19">
      <c r="A382" s="123">
        <v>42940</v>
      </c>
      <c r="B382" s="121">
        <f t="shared" si="40"/>
        <v>7</v>
      </c>
      <c r="C382" s="121">
        <f t="shared" si="41"/>
        <v>2017</v>
      </c>
      <c r="D382" s="124">
        <v>1.8993</v>
      </c>
      <c r="E382" s="124">
        <v>1.509943</v>
      </c>
      <c r="F382" s="109">
        <v>341.87400000000002</v>
      </c>
      <c r="G382" s="121"/>
      <c r="H382" s="124">
        <v>7.2427000000000001</v>
      </c>
      <c r="I382" s="124">
        <v>137.6</v>
      </c>
      <c r="J382" s="124">
        <v>122.32</v>
      </c>
      <c r="K382" s="121"/>
      <c r="L382" s="130">
        <f t="shared" si="46"/>
        <v>0.79499973674511659</v>
      </c>
      <c r="M382" s="130">
        <f t="shared" si="47"/>
        <v>0.18</v>
      </c>
      <c r="N382" s="130">
        <f t="shared" si="48"/>
        <v>0.97499973674511664</v>
      </c>
      <c r="O382" s="130"/>
      <c r="P382" s="129">
        <f t="shared" si="49"/>
        <v>98.763599999999997</v>
      </c>
      <c r="Q382" s="129">
        <f t="shared" si="42"/>
        <v>26.693466013794556</v>
      </c>
      <c r="R382" s="121"/>
      <c r="S382" s="124">
        <v>74</v>
      </c>
    </row>
    <row r="383" spans="1:19">
      <c r="A383" s="123">
        <v>42947</v>
      </c>
      <c r="B383" s="121">
        <f t="shared" si="40"/>
        <v>7</v>
      </c>
      <c r="C383" s="121">
        <f t="shared" si="41"/>
        <v>2017</v>
      </c>
      <c r="D383" s="124">
        <v>1.7085999999999999</v>
      </c>
      <c r="E383" s="124">
        <v>1.3583369999999999</v>
      </c>
      <c r="F383" s="109">
        <v>307.548</v>
      </c>
      <c r="G383" s="121"/>
      <c r="H383" s="124">
        <v>7.4961000000000002</v>
      </c>
      <c r="I383" s="124">
        <v>141.04</v>
      </c>
      <c r="J383" s="124">
        <v>122.76</v>
      </c>
      <c r="K383" s="121"/>
      <c r="L383" s="130">
        <f t="shared" si="46"/>
        <v>0.79500000000000004</v>
      </c>
      <c r="M383" s="130">
        <f t="shared" si="47"/>
        <v>0.18</v>
      </c>
      <c r="N383" s="130">
        <f t="shared" si="48"/>
        <v>0.97500000000000009</v>
      </c>
      <c r="O383" s="130"/>
      <c r="P383" s="129">
        <f t="shared" si="49"/>
        <v>88.847200000000001</v>
      </c>
      <c r="Q383" s="129">
        <f t="shared" si="42"/>
        <v>30.71093292754302</v>
      </c>
      <c r="R383" s="121"/>
      <c r="S383" s="124">
        <v>15.5</v>
      </c>
    </row>
    <row r="384" spans="1:19">
      <c r="A384" s="123">
        <v>42954</v>
      </c>
      <c r="B384" s="121">
        <f t="shared" si="40"/>
        <v>8</v>
      </c>
      <c r="C384" s="121">
        <f t="shared" si="41"/>
        <v>2017</v>
      </c>
      <c r="D384" s="124">
        <v>1.6935</v>
      </c>
      <c r="E384" s="124">
        <v>1.3463320000000001</v>
      </c>
      <c r="F384" s="109">
        <v>304.83</v>
      </c>
      <c r="G384" s="121"/>
      <c r="H384" s="124">
        <v>7.2011000000000003</v>
      </c>
      <c r="I384" s="124"/>
      <c r="J384" s="124"/>
      <c r="K384" s="121"/>
      <c r="L384" s="130">
        <f t="shared" si="46"/>
        <v>0.79499970475346915</v>
      </c>
      <c r="M384" s="130">
        <f t="shared" si="47"/>
        <v>0.18</v>
      </c>
      <c r="N384" s="130">
        <f t="shared" si="48"/>
        <v>0.97499970475346909</v>
      </c>
      <c r="O384" s="130"/>
      <c r="P384" s="129">
        <f t="shared" si="49"/>
        <v>88.061999999999998</v>
      </c>
      <c r="Q384" s="129">
        <f t="shared" si="42"/>
        <v>29.765397106583997</v>
      </c>
      <c r="R384" s="121"/>
      <c r="S384" s="124">
        <v>101</v>
      </c>
    </row>
    <row r="385" spans="1:70">
      <c r="A385" s="123">
        <v>42961</v>
      </c>
      <c r="B385" s="121">
        <f t="shared" si="40"/>
        <v>8</v>
      </c>
      <c r="C385" s="121">
        <f t="shared" si="41"/>
        <v>2017</v>
      </c>
      <c r="D385" s="124">
        <v>1.8045</v>
      </c>
      <c r="E385" s="124">
        <v>1.434577</v>
      </c>
      <c r="F385" s="109">
        <v>324.81</v>
      </c>
      <c r="G385" s="121"/>
      <c r="H385" s="124">
        <v>7.0347</v>
      </c>
      <c r="I385" s="124">
        <v>143.49</v>
      </c>
      <c r="J385" s="124">
        <v>109.8</v>
      </c>
      <c r="K385" s="121"/>
      <c r="L385" s="130">
        <f t="shared" si="46"/>
        <v>0.79499972291493493</v>
      </c>
      <c r="M385" s="130">
        <f t="shared" si="47"/>
        <v>0.18</v>
      </c>
      <c r="N385" s="130">
        <f t="shared" si="48"/>
        <v>0.97499972291493497</v>
      </c>
      <c r="O385" s="130"/>
      <c r="P385" s="129">
        <f t="shared" si="49"/>
        <v>93.834000000000003</v>
      </c>
      <c r="Q385" s="129">
        <f t="shared" si="42"/>
        <v>27.288944305901911</v>
      </c>
      <c r="R385" s="121"/>
      <c r="S385" s="124">
        <v>94</v>
      </c>
    </row>
    <row r="386" spans="1:70">
      <c r="A386" s="123">
        <v>42968</v>
      </c>
      <c r="B386" s="121">
        <f t="shared" ref="B386:B449" si="50">MONTH(A386)</f>
        <v>8</v>
      </c>
      <c r="C386" s="121">
        <f t="shared" ref="C386:C449" si="51">YEAR(A386)</f>
        <v>2017</v>
      </c>
      <c r="D386" s="124">
        <v>1.8053999999999999</v>
      </c>
      <c r="E386" s="124">
        <v>1.4352929999999999</v>
      </c>
      <c r="F386" s="109">
        <v>324.97199999999998</v>
      </c>
      <c r="G386" s="121"/>
      <c r="H386" s="124">
        <v>7.1715</v>
      </c>
      <c r="I386" s="124">
        <v>143.71</v>
      </c>
      <c r="J386" s="124">
        <v>103.35</v>
      </c>
      <c r="K386" s="121"/>
      <c r="L386" s="130">
        <f t="shared" si="46"/>
        <v>0.79500000000000004</v>
      </c>
      <c r="M386" s="130">
        <f t="shared" si="47"/>
        <v>0.18</v>
      </c>
      <c r="N386" s="130">
        <f t="shared" si="48"/>
        <v>0.97500000000000009</v>
      </c>
      <c r="O386" s="130"/>
      <c r="P386" s="129">
        <f t="shared" si="49"/>
        <v>93.880799999999994</v>
      </c>
      <c r="Q386" s="129">
        <f t="shared" si="42"/>
        <v>27.805749418411434</v>
      </c>
      <c r="R386" s="121"/>
      <c r="S386" s="124">
        <v>141</v>
      </c>
    </row>
    <row r="387" spans="1:70">
      <c r="A387" s="123">
        <v>42975</v>
      </c>
      <c r="B387" s="121">
        <f t="shared" si="50"/>
        <v>8</v>
      </c>
      <c r="C387" s="121">
        <f t="shared" si="51"/>
        <v>2017</v>
      </c>
      <c r="D387" s="124">
        <v>1.8459000000000001</v>
      </c>
      <c r="E387" s="124">
        <v>1.46749</v>
      </c>
      <c r="F387" s="109">
        <v>332.262</v>
      </c>
      <c r="G387" s="121"/>
      <c r="H387" s="124">
        <v>7.2764999999999995</v>
      </c>
      <c r="I387" s="124">
        <v>141.96</v>
      </c>
      <c r="J387" s="124">
        <v>99.67</v>
      </c>
      <c r="K387" s="121"/>
      <c r="L387" s="130">
        <f t="shared" si="46"/>
        <v>0.79499972912942185</v>
      </c>
      <c r="M387" s="130">
        <f t="shared" si="47"/>
        <v>0.18</v>
      </c>
      <c r="N387" s="130">
        <f t="shared" si="48"/>
        <v>0.9749997291294219</v>
      </c>
      <c r="O387" s="130"/>
      <c r="P387" s="129">
        <f t="shared" si="49"/>
        <v>95.986800000000002</v>
      </c>
      <c r="Q387" s="129">
        <f t="shared" si="42"/>
        <v>27.5938566552901</v>
      </c>
      <c r="R387" s="121"/>
      <c r="S387" s="124">
        <v>132</v>
      </c>
    </row>
    <row r="388" spans="1:70">
      <c r="A388" s="123">
        <v>42982</v>
      </c>
      <c r="B388" s="121">
        <f t="shared" si="50"/>
        <v>9</v>
      </c>
      <c r="C388" s="121">
        <f t="shared" si="51"/>
        <v>2017</v>
      </c>
      <c r="D388" s="124">
        <v>1.7426999999999999</v>
      </c>
      <c r="E388" s="124">
        <v>1.385446</v>
      </c>
      <c r="F388" s="109">
        <v>313.68599999999998</v>
      </c>
      <c r="G388" s="121"/>
      <c r="H388" s="124"/>
      <c r="I388" s="124"/>
      <c r="J388" s="124"/>
      <c r="K388" s="121"/>
      <c r="L388" s="130">
        <f t="shared" si="46"/>
        <v>0.79499971308888506</v>
      </c>
      <c r="M388" s="130">
        <f t="shared" si="47"/>
        <v>0.18</v>
      </c>
      <c r="N388" s="130">
        <f t="shared" si="48"/>
        <v>0.974999713088885</v>
      </c>
      <c r="O388" s="130"/>
      <c r="P388" s="129">
        <f t="shared" si="49"/>
        <v>90.620399999999989</v>
      </c>
      <c r="Q388" s="129" t="str">
        <f t="shared" si="42"/>
        <v/>
      </c>
      <c r="R388" s="121"/>
      <c r="S388" s="124">
        <v>206</v>
      </c>
    </row>
    <row r="389" spans="1:70">
      <c r="A389" s="123">
        <v>42989</v>
      </c>
      <c r="B389" s="121">
        <f t="shared" si="50"/>
        <v>9</v>
      </c>
      <c r="C389" s="121">
        <f t="shared" si="51"/>
        <v>2017</v>
      </c>
      <c r="D389" s="124">
        <v>1.8190999999999999</v>
      </c>
      <c r="E389" s="124">
        <v>1.4461839999999999</v>
      </c>
      <c r="F389" s="109">
        <v>327.43799999999999</v>
      </c>
      <c r="G389" s="121"/>
      <c r="H389" s="124">
        <v>7.2335000000000003</v>
      </c>
      <c r="I389" s="124">
        <v>135.84</v>
      </c>
      <c r="J389" s="124">
        <v>82.49</v>
      </c>
      <c r="K389" s="121"/>
      <c r="L389" s="130">
        <f t="shared" si="46"/>
        <v>0.7949997251388049</v>
      </c>
      <c r="M389" s="130">
        <f t="shared" si="47"/>
        <v>0.18000000000000002</v>
      </c>
      <c r="N389" s="130">
        <f t="shared" si="48"/>
        <v>0.97499972513880495</v>
      </c>
      <c r="O389" s="130"/>
      <c r="P389" s="129">
        <f t="shared" si="49"/>
        <v>94.593199999999996</v>
      </c>
      <c r="Q389" s="129">
        <f t="shared" si="42"/>
        <v>27.834918366225057</v>
      </c>
      <c r="R389" s="121"/>
      <c r="S389" s="124">
        <v>171</v>
      </c>
    </row>
    <row r="390" spans="1:70">
      <c r="A390" s="123">
        <v>42996</v>
      </c>
      <c r="B390" s="121">
        <f t="shared" si="50"/>
        <v>9</v>
      </c>
      <c r="C390" s="121">
        <f t="shared" si="51"/>
        <v>2017</v>
      </c>
      <c r="D390" s="124">
        <v>1.9555</v>
      </c>
      <c r="E390" s="124">
        <v>1.5546219999999999</v>
      </c>
      <c r="F390" s="109">
        <v>351.99</v>
      </c>
      <c r="G390" s="121"/>
      <c r="H390" s="124">
        <v>7.1145000000000005</v>
      </c>
      <c r="I390" s="124">
        <v>136.44</v>
      </c>
      <c r="J390" s="124">
        <v>83.77</v>
      </c>
      <c r="K390" s="121"/>
      <c r="L390" s="130">
        <f t="shared" si="46"/>
        <v>0.79499974431091791</v>
      </c>
      <c r="M390" s="130">
        <f t="shared" si="47"/>
        <v>0.18000000000000002</v>
      </c>
      <c r="N390" s="130">
        <f t="shared" si="48"/>
        <v>0.97499974431091796</v>
      </c>
      <c r="O390" s="130"/>
      <c r="P390" s="129">
        <f t="shared" si="49"/>
        <v>101.68600000000001</v>
      </c>
      <c r="Q390" s="129">
        <f t="shared" si="42"/>
        <v>25.467399642035286</v>
      </c>
      <c r="R390" s="121"/>
      <c r="S390" s="124">
        <v>233</v>
      </c>
    </row>
    <row r="391" spans="1:70">
      <c r="A391" s="123">
        <v>43003</v>
      </c>
      <c r="B391" s="121">
        <f t="shared" si="50"/>
        <v>9</v>
      </c>
      <c r="C391" s="121">
        <f t="shared" si="51"/>
        <v>2017</v>
      </c>
      <c r="D391" s="124">
        <v>2.0143</v>
      </c>
      <c r="E391" s="124">
        <v>1.6013679999999999</v>
      </c>
      <c r="F391" s="109">
        <v>362.57400000000001</v>
      </c>
      <c r="G391" s="121"/>
      <c r="H391" s="124">
        <v>6.7838000000000003</v>
      </c>
      <c r="I391" s="124">
        <v>143</v>
      </c>
      <c r="J391" s="124">
        <v>83.94</v>
      </c>
      <c r="K391" s="121"/>
      <c r="L391" s="130">
        <f t="shared" si="46"/>
        <v>0.79499975177481008</v>
      </c>
      <c r="M391" s="130">
        <f t="shared" si="47"/>
        <v>0.18</v>
      </c>
      <c r="N391" s="130">
        <f t="shared" si="48"/>
        <v>0.97499975177481013</v>
      </c>
      <c r="O391" s="130"/>
      <c r="P391" s="129">
        <f t="shared" si="49"/>
        <v>104.7436</v>
      </c>
      <c r="Q391" s="129">
        <f t="shared" si="42"/>
        <v>23.574740604676563</v>
      </c>
      <c r="R391" s="121"/>
      <c r="S391" s="124">
        <v>253</v>
      </c>
    </row>
    <row r="392" spans="1:70">
      <c r="A392" s="123">
        <v>43010</v>
      </c>
      <c r="B392" s="121">
        <f t="shared" si="50"/>
        <v>10</v>
      </c>
      <c r="C392" s="121">
        <f t="shared" si="51"/>
        <v>2017</v>
      </c>
      <c r="D392" s="125">
        <f>AVERAGE(D391,D393)</f>
        <v>1.7434499999999999</v>
      </c>
      <c r="E392" s="125">
        <f>AVERAGE(E391,E393)</f>
        <v>1.3860424999999998</v>
      </c>
      <c r="F392" s="125">
        <f>AVERAGE(F391,F393)</f>
        <v>313.82100000000003</v>
      </c>
      <c r="G392" s="121"/>
      <c r="H392" s="124"/>
      <c r="I392" s="125">
        <f>AVERAGE(I391,I393)</f>
        <v>149</v>
      </c>
      <c r="J392" s="124"/>
      <c r="K392" s="121"/>
      <c r="L392" s="130">
        <f t="shared" si="46"/>
        <v>0.79499985660615435</v>
      </c>
      <c r="M392" s="130">
        <f t="shared" si="47"/>
        <v>0.18000000000000002</v>
      </c>
      <c r="N392" s="130">
        <f t="shared" si="48"/>
        <v>0.9749998566061544</v>
      </c>
      <c r="O392" s="130"/>
      <c r="P392" s="129">
        <f t="shared" si="49"/>
        <v>90.659399999999991</v>
      </c>
      <c r="Q392" s="129" t="str">
        <f t="shared" si="42"/>
        <v/>
      </c>
      <c r="R392" s="109"/>
      <c r="S392" s="124"/>
      <c r="T392" s="98"/>
      <c r="U392" s="98"/>
      <c r="V392" s="98"/>
      <c r="W392" s="98"/>
      <c r="X392" s="98"/>
      <c r="Y392" s="98"/>
      <c r="Z392" s="98"/>
      <c r="AA392" s="98"/>
      <c r="AB392" s="98"/>
      <c r="AC392" s="65"/>
      <c r="AD392" s="65"/>
      <c r="AE392" s="98"/>
      <c r="AF392" s="65"/>
      <c r="AG392" s="98"/>
      <c r="AH392" s="65"/>
      <c r="AI392" s="98"/>
      <c r="AJ392" s="65"/>
      <c r="AK392" s="98"/>
      <c r="AL392" s="65"/>
      <c r="AM392" s="98"/>
      <c r="AN392" s="65"/>
      <c r="AO392" s="98"/>
      <c r="AP392" s="65"/>
      <c r="AQ392" s="98"/>
      <c r="AR392" s="65"/>
      <c r="AS392" s="98"/>
      <c r="AT392" s="65"/>
      <c r="AU392" s="98"/>
      <c r="AV392" s="65"/>
      <c r="AW392" s="98"/>
      <c r="AZ392" s="98"/>
      <c r="BB392" s="98"/>
      <c r="BD392" s="98"/>
      <c r="BF392" s="98"/>
      <c r="BH392" s="98"/>
      <c r="BJ392" s="98"/>
      <c r="BL392" s="98"/>
      <c r="BN392" s="98"/>
      <c r="BP392" s="98"/>
      <c r="BR392" s="98"/>
    </row>
    <row r="393" spans="1:70">
      <c r="A393" s="123">
        <v>43017</v>
      </c>
      <c r="B393" s="121">
        <f t="shared" si="50"/>
        <v>10</v>
      </c>
      <c r="C393" s="121">
        <f t="shared" si="51"/>
        <v>2017</v>
      </c>
      <c r="D393" s="124">
        <v>1.4725999999999999</v>
      </c>
      <c r="E393" s="124">
        <v>1.170717</v>
      </c>
      <c r="F393" s="109">
        <v>265.06799999999998</v>
      </c>
      <c r="G393" s="121"/>
      <c r="H393" s="124">
        <v>6.3639999999999999</v>
      </c>
      <c r="I393" s="124">
        <v>155</v>
      </c>
      <c r="J393" s="124">
        <v>79.260000000000005</v>
      </c>
      <c r="K393" s="121"/>
      <c r="L393" s="130">
        <f t="shared" si="46"/>
        <v>0.79500000000000004</v>
      </c>
      <c r="M393" s="130">
        <f t="shared" si="47"/>
        <v>0.18</v>
      </c>
      <c r="N393" s="130">
        <f t="shared" si="48"/>
        <v>0.97500000000000009</v>
      </c>
      <c r="O393" s="130"/>
      <c r="P393" s="129">
        <f t="shared" si="49"/>
        <v>76.575199999999995</v>
      </c>
      <c r="Q393" s="129">
        <f t="shared" si="42"/>
        <v>30.251256281407034</v>
      </c>
      <c r="R393" s="121"/>
      <c r="S393" s="124">
        <v>333</v>
      </c>
      <c r="AZ393" s="98"/>
      <c r="BB393" s="98"/>
      <c r="BD393" s="98"/>
      <c r="BF393" s="98"/>
      <c r="BH393" s="98"/>
      <c r="BJ393" s="98"/>
      <c r="BL393" s="98"/>
      <c r="BN393" s="98"/>
      <c r="BP393" s="98"/>
      <c r="BR393" s="98"/>
    </row>
    <row r="394" spans="1:70">
      <c r="A394" s="123">
        <v>43024</v>
      </c>
      <c r="B394" s="121">
        <f t="shared" si="50"/>
        <v>10</v>
      </c>
      <c r="C394" s="121">
        <f t="shared" si="51"/>
        <v>2017</v>
      </c>
      <c r="D394" s="124">
        <v>1.7356</v>
      </c>
      <c r="E394" s="124">
        <v>1.379802</v>
      </c>
      <c r="F394" s="109">
        <v>312.40800000000002</v>
      </c>
      <c r="G394" s="121"/>
      <c r="H394" s="124">
        <v>6.5645000000000007</v>
      </c>
      <c r="I394" s="124">
        <v>159.97999999999999</v>
      </c>
      <c r="J394" s="124">
        <v>78.31</v>
      </c>
      <c r="K394" s="121"/>
      <c r="L394" s="130">
        <f t="shared" si="46"/>
        <v>0.79499999999999993</v>
      </c>
      <c r="M394" s="130">
        <f t="shared" si="47"/>
        <v>0.18000000000000002</v>
      </c>
      <c r="N394" s="130">
        <f t="shared" si="48"/>
        <v>0.97499999999999998</v>
      </c>
      <c r="O394" s="130"/>
      <c r="P394" s="129">
        <f t="shared" si="49"/>
        <v>90.251199999999997</v>
      </c>
      <c r="Q394" s="129">
        <f t="shared" si="42"/>
        <v>26.475858492740265</v>
      </c>
      <c r="R394" s="121"/>
      <c r="S394" s="124">
        <v>303</v>
      </c>
      <c r="AZ394" s="98"/>
      <c r="BB394" s="98"/>
      <c r="BD394" s="98"/>
      <c r="BF394" s="98"/>
      <c r="BH394" s="98"/>
      <c r="BJ394" s="98"/>
      <c r="BL394" s="98"/>
      <c r="BN394" s="98"/>
      <c r="BP394" s="98"/>
      <c r="BR394" s="98"/>
    </row>
    <row r="395" spans="1:70">
      <c r="A395" s="123">
        <v>43031</v>
      </c>
      <c r="B395" s="121">
        <f t="shared" si="50"/>
        <v>10</v>
      </c>
      <c r="C395" s="121">
        <f t="shared" si="51"/>
        <v>2017</v>
      </c>
      <c r="D395" s="124">
        <v>1.8207500000000001</v>
      </c>
      <c r="E395" s="124">
        <v>1.4474959999999999</v>
      </c>
      <c r="F395" s="109">
        <v>327.73500000000001</v>
      </c>
      <c r="G395" s="121"/>
      <c r="H395" s="124">
        <v>6.0754999999999999</v>
      </c>
      <c r="I395" s="124">
        <v>159.91999999999999</v>
      </c>
      <c r="J395" s="124">
        <v>72.760000000000005</v>
      </c>
      <c r="K395" s="121"/>
      <c r="L395" s="130">
        <f t="shared" si="46"/>
        <v>0.79499986269394474</v>
      </c>
      <c r="M395" s="130">
        <f t="shared" si="47"/>
        <v>0.18</v>
      </c>
      <c r="N395" s="130">
        <f t="shared" si="48"/>
        <v>0.97499986269394467</v>
      </c>
      <c r="O395" s="130"/>
      <c r="P395" s="129">
        <f t="shared" si="49"/>
        <v>94.679000000000002</v>
      </c>
      <c r="Q395" s="129">
        <f t="shared" si="42"/>
        <v>23.357682273788271</v>
      </c>
      <c r="R395" s="121"/>
      <c r="S395" s="124">
        <v>229</v>
      </c>
      <c r="AZ395" s="98"/>
      <c r="BB395" s="98"/>
      <c r="BD395" s="98"/>
      <c r="BF395" s="98"/>
      <c r="BH395" s="98"/>
      <c r="BJ395" s="98"/>
      <c r="BL395" s="98"/>
      <c r="BN395" s="98"/>
      <c r="BP395" s="98"/>
      <c r="BR395" s="98"/>
    </row>
    <row r="396" spans="1:70">
      <c r="A396" s="123">
        <v>43038</v>
      </c>
      <c r="B396" s="121">
        <f t="shared" si="50"/>
        <v>10</v>
      </c>
      <c r="C396" s="121">
        <f t="shared" si="51"/>
        <v>2017</v>
      </c>
      <c r="D396" s="124">
        <v>1.7523500000000001</v>
      </c>
      <c r="E396" s="124">
        <v>1.3931180000000001</v>
      </c>
      <c r="F396" s="109">
        <v>315.423</v>
      </c>
      <c r="G396" s="121"/>
      <c r="H396" s="124">
        <v>6.0045000000000002</v>
      </c>
      <c r="I396" s="124">
        <v>158.52000000000001</v>
      </c>
      <c r="J396" s="124">
        <v>66.41</v>
      </c>
      <c r="K396" s="121"/>
      <c r="L396" s="130">
        <f t="shared" si="46"/>
        <v>0.79499985733443668</v>
      </c>
      <c r="M396" s="130">
        <f t="shared" si="47"/>
        <v>0.18</v>
      </c>
      <c r="N396" s="130">
        <f t="shared" si="48"/>
        <v>0.97499985733443673</v>
      </c>
      <c r="O396" s="130"/>
      <c r="P396" s="129">
        <f t="shared" si="49"/>
        <v>91.122200000000007</v>
      </c>
      <c r="Q396" s="129">
        <f t="shared" si="42"/>
        <v>23.985790509886726</v>
      </c>
      <c r="R396" s="121"/>
      <c r="S396" s="124">
        <v>229</v>
      </c>
      <c r="AZ396" s="98"/>
      <c r="BB396" s="98"/>
      <c r="BD396" s="98"/>
      <c r="BF396" s="98"/>
      <c r="BH396" s="98"/>
      <c r="BJ396" s="98"/>
      <c r="BL396" s="98"/>
      <c r="BN396" s="98"/>
      <c r="BP396" s="98"/>
      <c r="BR396" s="98"/>
    </row>
    <row r="397" spans="1:70">
      <c r="A397" s="123">
        <v>43045</v>
      </c>
      <c r="B397" s="121">
        <f t="shared" si="50"/>
        <v>11</v>
      </c>
      <c r="C397" s="121">
        <f t="shared" si="51"/>
        <v>2017</v>
      </c>
      <c r="D397" s="124">
        <v>1.8073699999999999</v>
      </c>
      <c r="E397" s="124">
        <v>1.4368590000000001</v>
      </c>
      <c r="F397" s="109">
        <v>325.32600000000002</v>
      </c>
      <c r="G397" s="121"/>
      <c r="H397" s="124">
        <v>5.6574999999999998</v>
      </c>
      <c r="I397" s="124">
        <v>159.5</v>
      </c>
      <c r="J397" s="124">
        <v>61.77</v>
      </c>
      <c r="K397" s="121"/>
      <c r="L397" s="130">
        <f t="shared" si="46"/>
        <v>0.7949999170064791</v>
      </c>
      <c r="M397" s="130">
        <f t="shared" si="47"/>
        <v>0.17999966802591613</v>
      </c>
      <c r="N397" s="130">
        <f t="shared" si="48"/>
        <v>0.97499958503239526</v>
      </c>
      <c r="O397" s="130"/>
      <c r="P397" s="129">
        <f t="shared" si="49"/>
        <v>93.983239999999995</v>
      </c>
      <c r="Q397" s="129">
        <f t="shared" si="42"/>
        <v>21.911672762079711</v>
      </c>
      <c r="R397" s="121"/>
      <c r="S397" s="124">
        <v>219</v>
      </c>
      <c r="AZ397" s="98"/>
      <c r="BB397" s="98"/>
      <c r="BD397" s="98"/>
      <c r="BF397" s="98"/>
      <c r="BH397" s="98"/>
      <c r="BJ397" s="98"/>
      <c r="BL397" s="98"/>
      <c r="BN397" s="98"/>
      <c r="BP397" s="98"/>
      <c r="BR397" s="98"/>
    </row>
    <row r="398" spans="1:70">
      <c r="A398" s="123">
        <v>43052</v>
      </c>
      <c r="B398" s="121">
        <f t="shared" si="50"/>
        <v>11</v>
      </c>
      <c r="C398" s="121">
        <f t="shared" si="51"/>
        <v>2017</v>
      </c>
      <c r="D398" s="124">
        <v>1.7214</v>
      </c>
      <c r="E398" s="124">
        <v>1.3685130000000001</v>
      </c>
      <c r="F398" s="109">
        <v>309.85199999999998</v>
      </c>
      <c r="G398" s="121"/>
      <c r="H398" s="124">
        <v>5.7084999999999999</v>
      </c>
      <c r="I398" s="124">
        <v>161.22999999999999</v>
      </c>
      <c r="J398" s="124">
        <v>58.62</v>
      </c>
      <c r="K398" s="121"/>
      <c r="L398" s="130">
        <f t="shared" si="46"/>
        <v>0.79500000000000004</v>
      </c>
      <c r="M398" s="130">
        <f t="shared" si="47"/>
        <v>0.17999999999999997</v>
      </c>
      <c r="N398" s="130">
        <f t="shared" si="48"/>
        <v>0.97499999999999998</v>
      </c>
      <c r="O398" s="130"/>
      <c r="P398" s="129">
        <f t="shared" si="49"/>
        <v>89.512799999999999</v>
      </c>
      <c r="Q398" s="129">
        <f t="shared" si="42"/>
        <v>23.21337283606367</v>
      </c>
      <c r="R398" s="121"/>
      <c r="S398" s="124">
        <v>210</v>
      </c>
      <c r="AZ398" s="98"/>
      <c r="BB398" s="98"/>
      <c r="BD398" s="98"/>
      <c r="BF398" s="98"/>
      <c r="BH398" s="98"/>
      <c r="BJ398" s="98"/>
      <c r="BL398" s="98"/>
      <c r="BN398" s="98"/>
      <c r="BP398" s="98"/>
      <c r="BR398" s="98"/>
    </row>
    <row r="399" spans="1:70">
      <c r="A399" s="123">
        <v>43059</v>
      </c>
      <c r="B399" s="121">
        <f t="shared" si="50"/>
        <v>11</v>
      </c>
      <c r="C399" s="121">
        <f t="shared" si="51"/>
        <v>2017</v>
      </c>
      <c r="D399" s="124">
        <v>1.95095</v>
      </c>
      <c r="E399" s="124">
        <v>1.551005</v>
      </c>
      <c r="F399" s="109">
        <v>351.17099999999999</v>
      </c>
      <c r="G399" s="121"/>
      <c r="H399" s="124">
        <v>5.9615</v>
      </c>
      <c r="I399" s="124">
        <v>163.72999999999999</v>
      </c>
      <c r="J399" s="124">
        <v>62.73</v>
      </c>
      <c r="K399" s="121"/>
      <c r="L399" s="130">
        <f t="shared" si="46"/>
        <v>0.79499987185730026</v>
      </c>
      <c r="M399" s="130">
        <f t="shared" si="47"/>
        <v>0.18000000000000002</v>
      </c>
      <c r="N399" s="130">
        <f t="shared" si="48"/>
        <v>0.9749998718573003</v>
      </c>
      <c r="O399" s="130"/>
      <c r="P399" s="129">
        <f t="shared" si="49"/>
        <v>101.4494</v>
      </c>
      <c r="Q399" s="129">
        <f t="shared" si="42"/>
        <v>21.389835721058969</v>
      </c>
      <c r="R399" s="121"/>
      <c r="S399" s="124">
        <v>211</v>
      </c>
      <c r="AZ399" s="98"/>
      <c r="BB399" s="98"/>
      <c r="BD399" s="98"/>
      <c r="BF399" s="98"/>
      <c r="BH399" s="98"/>
      <c r="BJ399" s="98"/>
      <c r="BL399" s="98"/>
      <c r="BN399" s="98"/>
      <c r="BP399" s="98"/>
      <c r="BR399" s="98"/>
    </row>
    <row r="400" spans="1:70">
      <c r="A400" s="123">
        <v>43066</v>
      </c>
      <c r="B400" s="121">
        <f t="shared" si="50"/>
        <v>11</v>
      </c>
      <c r="C400" s="121">
        <f t="shared" si="51"/>
        <v>2017</v>
      </c>
      <c r="D400" s="124">
        <v>1.96855</v>
      </c>
      <c r="E400" s="124">
        <v>1.564997</v>
      </c>
      <c r="F400" s="109">
        <v>345.339</v>
      </c>
      <c r="G400" s="121"/>
      <c r="H400" s="124">
        <v>6.0564999999999998</v>
      </c>
      <c r="I400" s="124">
        <v>167.47</v>
      </c>
      <c r="J400" s="124">
        <v>67.25</v>
      </c>
      <c r="K400" s="121"/>
      <c r="L400" s="130">
        <f t="shared" si="46"/>
        <v>0.7949998730029717</v>
      </c>
      <c r="M400" s="130">
        <f t="shared" si="47"/>
        <v>0.17542810698229661</v>
      </c>
      <c r="N400" s="130">
        <f t="shared" si="48"/>
        <v>0.97042797998526831</v>
      </c>
      <c r="O400" s="130"/>
      <c r="P400" s="129">
        <f t="shared" si="49"/>
        <v>102.3646</v>
      </c>
      <c r="Q400" s="129">
        <f t="shared" si="42"/>
        <v>21.536410048004875</v>
      </c>
      <c r="R400" s="121"/>
      <c r="S400" s="124">
        <v>146</v>
      </c>
      <c r="AZ400" s="98"/>
      <c r="BB400" s="98"/>
      <c r="BD400" s="98"/>
      <c r="BF400" s="98"/>
      <c r="BH400" s="98"/>
      <c r="BJ400" s="98"/>
      <c r="BL400" s="98"/>
      <c r="BN400" s="98"/>
      <c r="BP400" s="98"/>
      <c r="BR400" s="98"/>
    </row>
    <row r="401" spans="1:70">
      <c r="A401" s="123">
        <v>43073</v>
      </c>
      <c r="B401" s="121">
        <f t="shared" si="50"/>
        <v>12</v>
      </c>
      <c r="C401" s="121">
        <f t="shared" si="51"/>
        <v>2017</v>
      </c>
      <c r="D401" s="124">
        <v>1.9601500000000001</v>
      </c>
      <c r="E401" s="124">
        <v>1.558319</v>
      </c>
      <c r="F401" s="109">
        <v>352.827</v>
      </c>
      <c r="G401" s="121"/>
      <c r="H401" s="124">
        <v>6.0872999999999999</v>
      </c>
      <c r="I401" s="124">
        <v>168.29</v>
      </c>
      <c r="J401" s="124">
        <v>67.989999999999995</v>
      </c>
      <c r="K401" s="121"/>
      <c r="L401" s="130">
        <f t="shared" si="46"/>
        <v>0.79499987245874038</v>
      </c>
      <c r="M401" s="130">
        <f t="shared" si="47"/>
        <v>0.18</v>
      </c>
      <c r="N401" s="130">
        <f t="shared" si="48"/>
        <v>0.97499987245874031</v>
      </c>
      <c r="O401" s="130"/>
      <c r="P401" s="129">
        <f t="shared" si="49"/>
        <v>101.9278</v>
      </c>
      <c r="Q401" s="129">
        <f t="shared" si="42"/>
        <v>21.738693467336681</v>
      </c>
      <c r="R401" s="121"/>
      <c r="S401" s="124">
        <v>209</v>
      </c>
      <c r="AZ401" s="98"/>
      <c r="BB401" s="98"/>
      <c r="BD401" s="98"/>
      <c r="BF401" s="98"/>
      <c r="BH401" s="98"/>
      <c r="BJ401" s="98"/>
      <c r="BL401" s="98"/>
      <c r="BN401" s="98"/>
      <c r="BP401" s="98"/>
      <c r="BR401" s="98"/>
    </row>
    <row r="402" spans="1:70">
      <c r="A402" s="123">
        <v>43080</v>
      </c>
      <c r="B402" s="121">
        <f t="shared" si="50"/>
        <v>12</v>
      </c>
      <c r="C402" s="121">
        <f t="shared" si="51"/>
        <v>2017</v>
      </c>
      <c r="D402" s="124">
        <v>1.9794499999999999</v>
      </c>
      <c r="E402" s="124">
        <v>1.5736619999999999</v>
      </c>
      <c r="F402" s="109">
        <v>356.30099999999999</v>
      </c>
      <c r="G402" s="121"/>
      <c r="H402" s="124">
        <v>6.2865000000000002</v>
      </c>
      <c r="I402" s="124">
        <v>167.87</v>
      </c>
      <c r="J402" s="124">
        <v>72.75</v>
      </c>
      <c r="K402" s="121"/>
      <c r="L402" s="130">
        <f t="shared" si="46"/>
        <v>0.79499962110687306</v>
      </c>
      <c r="M402" s="130">
        <f t="shared" si="47"/>
        <v>0.18</v>
      </c>
      <c r="N402" s="130">
        <f t="shared" si="48"/>
        <v>0.97499962110687299</v>
      </c>
      <c r="O402" s="130"/>
      <c r="P402" s="129">
        <f t="shared" si="49"/>
        <v>102.9314</v>
      </c>
      <c r="Q402" s="129">
        <f t="shared" si="42"/>
        <v>22.231175326479576</v>
      </c>
      <c r="R402" s="121"/>
      <c r="S402" s="124">
        <v>142</v>
      </c>
      <c r="AZ402" s="98"/>
      <c r="BB402" s="98"/>
      <c r="BD402" s="98"/>
      <c r="BF402" s="98"/>
      <c r="BH402" s="98"/>
      <c r="BJ402" s="98"/>
      <c r="BL402" s="98"/>
      <c r="BN402" s="98"/>
      <c r="BP402" s="98"/>
      <c r="BR402" s="98"/>
    </row>
    <row r="403" spans="1:70">
      <c r="A403" s="123">
        <v>43087</v>
      </c>
      <c r="B403" s="121">
        <f t="shared" si="50"/>
        <v>12</v>
      </c>
      <c r="C403" s="121">
        <f t="shared" si="51"/>
        <v>2017</v>
      </c>
      <c r="D403" s="124">
        <v>1.9291499999999999</v>
      </c>
      <c r="E403" s="124">
        <v>1.533674</v>
      </c>
      <c r="F403" s="109">
        <v>347.24700000000001</v>
      </c>
      <c r="G403" s="121"/>
      <c r="H403" s="124">
        <v>6.0875000000000004</v>
      </c>
      <c r="I403" s="124">
        <v>168.2</v>
      </c>
      <c r="J403" s="124">
        <v>77.099999999999994</v>
      </c>
      <c r="K403" s="121"/>
      <c r="L403" s="130">
        <f t="shared" si="46"/>
        <v>0.79499987040924758</v>
      </c>
      <c r="M403" s="130">
        <f t="shared" si="47"/>
        <v>0.18000000000000002</v>
      </c>
      <c r="N403" s="130">
        <f t="shared" si="48"/>
        <v>0.97499987040924763</v>
      </c>
      <c r="O403" s="130"/>
      <c r="P403" s="129">
        <f t="shared" si="49"/>
        <v>100.3158</v>
      </c>
      <c r="Q403" s="129">
        <f t="shared" si="42"/>
        <v>22.088743747246198</v>
      </c>
      <c r="R403" s="121"/>
      <c r="S403" s="124">
        <v>129</v>
      </c>
      <c r="AZ403" s="98"/>
      <c r="BB403" s="98"/>
      <c r="BD403" s="98"/>
      <c r="BF403" s="98"/>
      <c r="BH403" s="98"/>
      <c r="BJ403" s="98"/>
      <c r="BL403" s="98"/>
      <c r="BN403" s="98"/>
      <c r="BP403" s="98"/>
      <c r="BR403" s="98"/>
    </row>
    <row r="404" spans="1:70">
      <c r="A404" s="123">
        <v>43094</v>
      </c>
      <c r="B404" s="121">
        <f t="shared" si="50"/>
        <v>12</v>
      </c>
      <c r="C404" s="121">
        <f t="shared" si="51"/>
        <v>2017</v>
      </c>
      <c r="D404" s="124">
        <v>2.0710500000000001</v>
      </c>
      <c r="E404" s="124">
        <v>1.6464840000000001</v>
      </c>
      <c r="F404" s="109">
        <v>372.78899999999999</v>
      </c>
      <c r="G404" s="121"/>
      <c r="H404" s="124">
        <v>6.0525000000000002</v>
      </c>
      <c r="I404" s="124">
        <v>164.53</v>
      </c>
      <c r="J404" s="124">
        <v>87.33</v>
      </c>
      <c r="K404" s="121"/>
      <c r="L404" s="130">
        <f t="shared" si="46"/>
        <v>0.79499963786485117</v>
      </c>
      <c r="M404" s="130">
        <f t="shared" si="47"/>
        <v>0.18</v>
      </c>
      <c r="N404" s="130">
        <f t="shared" si="48"/>
        <v>0.97499963786485111</v>
      </c>
      <c r="O404" s="130"/>
      <c r="P404" s="129">
        <f t="shared" si="49"/>
        <v>107.69460000000001</v>
      </c>
      <c r="Q404" s="129">
        <f t="shared" ref="Q404:Q467" si="52">IF(H404="","",IF(D404="","",H404/(D404/7)))</f>
        <v>20.457014557832981</v>
      </c>
      <c r="R404" s="121"/>
      <c r="S404" s="124">
        <v>113</v>
      </c>
      <c r="AZ404" s="98"/>
      <c r="BB404" s="98"/>
      <c r="BD404" s="98"/>
      <c r="BF404" s="98"/>
      <c r="BH404" s="98"/>
      <c r="BJ404" s="98"/>
      <c r="BL404" s="98"/>
      <c r="BN404" s="98"/>
      <c r="BP404" s="98"/>
      <c r="BR404" s="98"/>
    </row>
    <row r="405" spans="1:70">
      <c r="A405" s="123">
        <v>43101</v>
      </c>
      <c r="B405" s="121">
        <f t="shared" si="50"/>
        <v>1</v>
      </c>
      <c r="C405" s="121">
        <f t="shared" si="51"/>
        <v>2018</v>
      </c>
      <c r="D405" s="124">
        <v>1.9605600000000001</v>
      </c>
      <c r="E405" s="124">
        <v>1.5685199999999999</v>
      </c>
      <c r="F405" s="109">
        <v>352.91699999999997</v>
      </c>
      <c r="G405" s="121"/>
      <c r="H405" s="124">
        <v>6.1645000000000003</v>
      </c>
      <c r="I405" s="124">
        <v>165.04</v>
      </c>
      <c r="J405" s="124">
        <v>93.79</v>
      </c>
      <c r="K405" s="121"/>
      <c r="L405" s="130">
        <f t="shared" si="46"/>
        <v>0.80003672420124849</v>
      </c>
      <c r="M405" s="130">
        <f t="shared" si="47"/>
        <v>0.18000826294528091</v>
      </c>
      <c r="N405" s="130">
        <f t="shared" si="48"/>
        <v>0.98004498714652943</v>
      </c>
      <c r="O405" s="130"/>
      <c r="P405" s="129">
        <f t="shared" si="49"/>
        <v>101.94912000000001</v>
      </c>
      <c r="Q405" s="129">
        <f t="shared" si="52"/>
        <v>22.009782919165954</v>
      </c>
      <c r="R405" s="121"/>
      <c r="S405" s="124">
        <v>132</v>
      </c>
      <c r="AZ405" s="98"/>
      <c r="BB405" s="98"/>
      <c r="BD405" s="98"/>
      <c r="BF405" s="98"/>
      <c r="BH405" s="98"/>
      <c r="BJ405" s="98"/>
      <c r="BL405" s="98"/>
      <c r="BN405" s="98"/>
      <c r="BP405" s="98"/>
      <c r="BR405" s="98"/>
    </row>
    <row r="406" spans="1:70">
      <c r="A406" s="123">
        <v>43108</v>
      </c>
      <c r="B406" s="121">
        <f t="shared" si="50"/>
        <v>1</v>
      </c>
      <c r="C406" s="121">
        <f t="shared" si="51"/>
        <v>2018</v>
      </c>
      <c r="D406" s="124">
        <v>1.6837500000000001</v>
      </c>
      <c r="E406" s="124">
        <v>1.338581</v>
      </c>
      <c r="F406" s="109">
        <v>303.07499999999999</v>
      </c>
      <c r="G406" s="121"/>
      <c r="H406" s="124">
        <v>6.1475</v>
      </c>
      <c r="I406" s="124">
        <v>161.4</v>
      </c>
      <c r="J406" s="124">
        <v>87.33</v>
      </c>
      <c r="K406" s="121"/>
      <c r="L406" s="130">
        <f t="shared" si="46"/>
        <v>0.79499985152190045</v>
      </c>
      <c r="M406" s="130">
        <f t="shared" si="47"/>
        <v>0.18</v>
      </c>
      <c r="N406" s="130">
        <f t="shared" si="48"/>
        <v>0.9749998515219005</v>
      </c>
      <c r="O406" s="130"/>
      <c r="P406" s="129">
        <f t="shared" si="49"/>
        <v>87.555000000000007</v>
      </c>
      <c r="Q406" s="129">
        <f t="shared" si="52"/>
        <v>25.557535263548626</v>
      </c>
      <c r="R406" s="121"/>
      <c r="S406" s="124">
        <v>132</v>
      </c>
      <c r="AZ406" s="98"/>
      <c r="BB406" s="98"/>
      <c r="BD406" s="98"/>
      <c r="BF406" s="98"/>
      <c r="BH406" s="98"/>
      <c r="BJ406" s="98"/>
      <c r="BL406" s="98"/>
      <c r="BN406" s="98"/>
      <c r="BP406" s="98"/>
      <c r="BR406" s="98"/>
    </row>
    <row r="407" spans="1:70">
      <c r="A407" s="123">
        <v>43115</v>
      </c>
      <c r="B407" s="121">
        <f t="shared" si="50"/>
        <v>1</v>
      </c>
      <c r="C407" s="121">
        <f t="shared" si="51"/>
        <v>2018</v>
      </c>
      <c r="D407" s="124">
        <v>1.8165</v>
      </c>
      <c r="E407" s="124">
        <v>1.4441170000000001</v>
      </c>
      <c r="F407" s="109">
        <v>326.97000000000003</v>
      </c>
      <c r="G407" s="121"/>
      <c r="H407" s="124">
        <v>6.1254999999999997</v>
      </c>
      <c r="I407" s="124">
        <v>156.06</v>
      </c>
      <c r="J407" s="124">
        <v>96.75</v>
      </c>
      <c r="K407" s="121"/>
      <c r="L407" s="130">
        <f t="shared" si="46"/>
        <v>0.79499972474538949</v>
      </c>
      <c r="M407" s="130">
        <f t="shared" si="47"/>
        <v>0.18000000000000002</v>
      </c>
      <c r="N407" s="130">
        <f t="shared" si="48"/>
        <v>0.97499972474538954</v>
      </c>
      <c r="O407" s="130"/>
      <c r="P407" s="129">
        <f t="shared" si="49"/>
        <v>94.457999999999998</v>
      </c>
      <c r="Q407" s="129">
        <f t="shared" si="52"/>
        <v>23.605009633911365</v>
      </c>
      <c r="R407" s="121"/>
      <c r="S407" s="124">
        <v>166</v>
      </c>
      <c r="AZ407" s="98"/>
      <c r="BB407" s="98"/>
      <c r="BD407" s="98"/>
      <c r="BF407" s="98"/>
      <c r="BH407" s="98"/>
      <c r="BJ407" s="98"/>
      <c r="BL407" s="98"/>
      <c r="BN407" s="98"/>
      <c r="BP407" s="98"/>
      <c r="BR407" s="98"/>
    </row>
    <row r="408" spans="1:70">
      <c r="A408" s="123">
        <v>43122</v>
      </c>
      <c r="B408" s="121">
        <f t="shared" si="50"/>
        <v>1</v>
      </c>
      <c r="C408" s="121">
        <f t="shared" si="51"/>
        <v>2018</v>
      </c>
      <c r="D408" s="124">
        <v>1.9047499999999999</v>
      </c>
      <c r="E408" s="124">
        <v>1.514276</v>
      </c>
      <c r="F408" s="109">
        <v>342.85500000000002</v>
      </c>
      <c r="G408" s="121"/>
      <c r="H408" s="124"/>
      <c r="I408" s="124"/>
      <c r="J408" s="124"/>
      <c r="K408" s="121"/>
      <c r="L408" s="130">
        <f t="shared" ref="L408:L443" si="53">E408/D408</f>
        <v>0.79499986874917972</v>
      </c>
      <c r="M408" s="130">
        <f t="shared" ref="M408:M443" si="54">F408/1000/D408</f>
        <v>0.18000000000000002</v>
      </c>
      <c r="N408" s="130">
        <f t="shared" ref="N408:N439" si="55">M408+L408</f>
        <v>0.97499986874917977</v>
      </c>
      <c r="O408" s="130"/>
      <c r="P408" s="129">
        <f t="shared" si="49"/>
        <v>99.046999999999997</v>
      </c>
      <c r="Q408" s="129" t="str">
        <f t="shared" si="52"/>
        <v/>
      </c>
      <c r="R408" s="121"/>
      <c r="S408" s="124">
        <v>166</v>
      </c>
      <c r="AZ408" s="98"/>
      <c r="BB408" s="98"/>
      <c r="BD408" s="98"/>
      <c r="BF408" s="98"/>
      <c r="BH408" s="98"/>
      <c r="BJ408" s="98"/>
      <c r="BL408" s="98"/>
      <c r="BN408" s="98"/>
      <c r="BP408" s="98"/>
      <c r="BR408" s="98"/>
    </row>
    <row r="409" spans="1:70">
      <c r="A409" s="123">
        <v>43129</v>
      </c>
      <c r="B409" s="121">
        <f t="shared" si="50"/>
        <v>1</v>
      </c>
      <c r="C409" s="121">
        <f t="shared" si="51"/>
        <v>2018</v>
      </c>
      <c r="D409" s="124">
        <v>1.99505</v>
      </c>
      <c r="E409" s="124">
        <v>1.5860639999999999</v>
      </c>
      <c r="F409" s="109">
        <v>359.10899999999998</v>
      </c>
      <c r="G409" s="121"/>
      <c r="H409" s="124">
        <v>6.2654999999999994</v>
      </c>
      <c r="I409" s="124">
        <v>150.11000000000001</v>
      </c>
      <c r="J409" s="124">
        <v>96.42</v>
      </c>
      <c r="K409" s="121"/>
      <c r="L409" s="130">
        <f t="shared" si="53"/>
        <v>0.79499962406957214</v>
      </c>
      <c r="M409" s="130">
        <f t="shared" si="54"/>
        <v>0.17999999999999997</v>
      </c>
      <c r="N409" s="130">
        <f t="shared" si="55"/>
        <v>0.97499962406957208</v>
      </c>
      <c r="O409" s="130"/>
      <c r="P409" s="129">
        <f t="shared" si="49"/>
        <v>103.7426</v>
      </c>
      <c r="Q409" s="129">
        <f t="shared" si="52"/>
        <v>21.983659557404575</v>
      </c>
      <c r="R409" s="121"/>
      <c r="S409" s="124">
        <v>166</v>
      </c>
      <c r="AZ409" s="98"/>
      <c r="BB409" s="98"/>
      <c r="BD409" s="98"/>
      <c r="BF409" s="98"/>
      <c r="BH409" s="98"/>
      <c r="BJ409" s="98"/>
      <c r="BL409" s="98"/>
      <c r="BN409" s="98"/>
      <c r="BP409" s="98"/>
      <c r="BR409" s="98"/>
    </row>
    <row r="410" spans="1:70">
      <c r="A410" s="123">
        <v>43136</v>
      </c>
      <c r="B410" s="121">
        <f t="shared" si="50"/>
        <v>2</v>
      </c>
      <c r="C410" s="121">
        <f t="shared" si="51"/>
        <v>2018</v>
      </c>
      <c r="D410" s="124">
        <v>1.907</v>
      </c>
      <c r="E410" s="124">
        <v>1.516065</v>
      </c>
      <c r="F410" s="109">
        <v>343.26</v>
      </c>
      <c r="G410" s="121"/>
      <c r="H410" s="124">
        <v>5.8854999999999995</v>
      </c>
      <c r="I410" s="124">
        <v>148.5</v>
      </c>
      <c r="J410" s="124">
        <v>87.93</v>
      </c>
      <c r="K410" s="121"/>
      <c r="L410" s="130">
        <f t="shared" si="53"/>
        <v>0.79500000000000004</v>
      </c>
      <c r="M410" s="130">
        <f t="shared" si="54"/>
        <v>0.18</v>
      </c>
      <c r="N410" s="130">
        <f t="shared" si="55"/>
        <v>0.97500000000000009</v>
      </c>
      <c r="O410" s="130"/>
      <c r="P410" s="129">
        <f t="shared" si="49"/>
        <v>99.164000000000001</v>
      </c>
      <c r="Q410" s="129">
        <f t="shared" si="52"/>
        <v>21.603828002097536</v>
      </c>
      <c r="R410" s="121"/>
      <c r="S410" s="124">
        <v>92</v>
      </c>
      <c r="AZ410" s="98"/>
      <c r="BB410" s="98"/>
      <c r="BD410" s="98"/>
      <c r="BF410" s="98"/>
      <c r="BH410" s="98"/>
      <c r="BJ410" s="98"/>
      <c r="BL410" s="98"/>
      <c r="BN410" s="98"/>
      <c r="BP410" s="98"/>
      <c r="BR410" s="98"/>
    </row>
    <row r="411" spans="1:70">
      <c r="A411" s="123">
        <v>43143</v>
      </c>
      <c r="B411" s="121">
        <f t="shared" si="50"/>
        <v>2</v>
      </c>
      <c r="C411" s="121">
        <f t="shared" si="51"/>
        <v>2018</v>
      </c>
      <c r="D411" s="124">
        <v>1.9318</v>
      </c>
      <c r="E411" s="124">
        <v>1.5357810000000001</v>
      </c>
      <c r="F411" s="109">
        <v>347.72399999999999</v>
      </c>
      <c r="G411" s="121"/>
      <c r="H411" s="124"/>
      <c r="I411" s="124">
        <v>146</v>
      </c>
      <c r="J411" s="124">
        <v>71.709999999999994</v>
      </c>
      <c r="K411" s="121"/>
      <c r="L411" s="130">
        <f t="shared" si="53"/>
        <v>0.79500000000000004</v>
      </c>
      <c r="M411" s="130">
        <f t="shared" si="54"/>
        <v>0.18</v>
      </c>
      <c r="N411" s="130">
        <f t="shared" si="55"/>
        <v>0.97500000000000009</v>
      </c>
      <c r="O411" s="130"/>
      <c r="P411" s="129">
        <f t="shared" si="49"/>
        <v>100.45359999999999</v>
      </c>
      <c r="Q411" s="129" t="str">
        <f t="shared" si="52"/>
        <v/>
      </c>
      <c r="R411" s="121"/>
      <c r="S411" s="124">
        <v>92</v>
      </c>
      <c r="AZ411" s="98"/>
      <c r="BB411" s="98"/>
      <c r="BD411" s="98"/>
      <c r="BF411" s="98"/>
      <c r="BH411" s="98"/>
      <c r="BJ411" s="98"/>
      <c r="BL411" s="98"/>
      <c r="BN411" s="98"/>
      <c r="BP411" s="98"/>
      <c r="BR411" s="98"/>
    </row>
    <row r="412" spans="1:70">
      <c r="A412" s="123">
        <v>43150</v>
      </c>
      <c r="B412" s="121">
        <f t="shared" si="50"/>
        <v>2</v>
      </c>
      <c r="C412" s="121">
        <f t="shared" si="51"/>
        <v>2018</v>
      </c>
      <c r="D412" s="125">
        <f>AVERAGE(D411,D413)</f>
        <v>1.271625</v>
      </c>
      <c r="E412" s="125">
        <f>AVERAGE(E411,E413)</f>
        <v>1.0109414999999999</v>
      </c>
      <c r="F412" s="125">
        <f>AVERAGE(F411,F413)</f>
        <v>228.89249999999998</v>
      </c>
      <c r="G412" s="121"/>
      <c r="H412" s="124"/>
      <c r="I412" s="124"/>
      <c r="J412" s="124"/>
      <c r="K412" s="121"/>
      <c r="L412" s="130">
        <f t="shared" si="53"/>
        <v>0.7949997051017399</v>
      </c>
      <c r="M412" s="130">
        <f t="shared" si="54"/>
        <v>0.17999999999999997</v>
      </c>
      <c r="N412" s="130">
        <f t="shared" si="55"/>
        <v>0.97499970510173983</v>
      </c>
      <c r="O412" s="130"/>
      <c r="P412" s="129">
        <f t="shared" si="49"/>
        <v>66.124499999999998</v>
      </c>
      <c r="Q412" s="129" t="str">
        <f t="shared" si="52"/>
        <v/>
      </c>
      <c r="R412" s="121"/>
      <c r="S412" s="124">
        <v>287</v>
      </c>
      <c r="AZ412" s="98"/>
      <c r="BB412" s="98"/>
      <c r="BD412" s="98"/>
      <c r="BF412" s="98"/>
      <c r="BH412" s="98"/>
      <c r="BJ412" s="98"/>
      <c r="BL412" s="98"/>
      <c r="BN412" s="98"/>
      <c r="BP412" s="98"/>
      <c r="BR412" s="98"/>
    </row>
    <row r="413" spans="1:70">
      <c r="A413" s="123">
        <v>43157</v>
      </c>
      <c r="B413" s="121">
        <f t="shared" si="50"/>
        <v>2</v>
      </c>
      <c r="C413" s="121">
        <f t="shared" si="51"/>
        <v>2018</v>
      </c>
      <c r="D413" s="124">
        <v>0.61145000000000005</v>
      </c>
      <c r="E413" s="124">
        <v>0.48610199999999998</v>
      </c>
      <c r="F413" s="109">
        <v>110.06100000000001</v>
      </c>
      <c r="G413" s="121"/>
      <c r="H413" s="124">
        <v>6.5016999999999996</v>
      </c>
      <c r="I413" s="124">
        <v>141.59</v>
      </c>
      <c r="J413" s="124">
        <v>71.02</v>
      </c>
      <c r="K413" s="121"/>
      <c r="L413" s="130">
        <f t="shared" si="53"/>
        <v>0.79499877340747394</v>
      </c>
      <c r="M413" s="130">
        <f t="shared" si="54"/>
        <v>0.18</v>
      </c>
      <c r="N413" s="130">
        <f t="shared" si="55"/>
        <v>0.97499877340747387</v>
      </c>
      <c r="O413" s="130"/>
      <c r="P413" s="129">
        <f t="shared" si="49"/>
        <v>31.795400000000001</v>
      </c>
      <c r="Q413" s="129">
        <f t="shared" si="52"/>
        <v>74.43274184315969</v>
      </c>
      <c r="R413" s="121"/>
      <c r="S413" s="124">
        <v>344</v>
      </c>
      <c r="AZ413" s="98"/>
      <c r="BB413" s="98"/>
      <c r="BD413" s="98"/>
      <c r="BF413" s="98"/>
      <c r="BH413" s="98"/>
      <c r="BJ413" s="98"/>
      <c r="BL413" s="98"/>
      <c r="BN413" s="98"/>
      <c r="BP413" s="98"/>
      <c r="BR413" s="98"/>
    </row>
    <row r="414" spans="1:70">
      <c r="A414" s="123">
        <v>43164</v>
      </c>
      <c r="B414" s="121">
        <f t="shared" si="50"/>
        <v>3</v>
      </c>
      <c r="C414" s="121">
        <f t="shared" si="51"/>
        <v>2018</v>
      </c>
      <c r="D414" s="124">
        <v>1.4412</v>
      </c>
      <c r="E414" s="124">
        <v>1.1457539999999999</v>
      </c>
      <c r="F414" s="109">
        <v>259.416</v>
      </c>
      <c r="G414" s="121"/>
      <c r="H414" s="124">
        <v>6.6821000000000002</v>
      </c>
      <c r="I414" s="124">
        <v>139.47999999999999</v>
      </c>
      <c r="J414" s="124">
        <v>66.39</v>
      </c>
      <c r="K414" s="121"/>
      <c r="L414" s="130">
        <f t="shared" si="53"/>
        <v>0.79499999999999993</v>
      </c>
      <c r="M414" s="130">
        <f t="shared" si="54"/>
        <v>0.18</v>
      </c>
      <c r="N414" s="130">
        <f t="shared" si="55"/>
        <v>0.97499999999999987</v>
      </c>
      <c r="O414" s="130"/>
      <c r="P414" s="129">
        <f t="shared" si="49"/>
        <v>74.942400000000006</v>
      </c>
      <c r="Q414" s="129">
        <f t="shared" si="52"/>
        <v>32.455384401887315</v>
      </c>
      <c r="R414" s="121"/>
      <c r="S414" s="124">
        <v>344</v>
      </c>
      <c r="AZ414" s="98"/>
      <c r="BB414" s="98"/>
      <c r="BD414" s="98"/>
      <c r="BF414" s="98"/>
      <c r="BH414" s="98"/>
      <c r="BJ414" s="98"/>
      <c r="BL414" s="98"/>
      <c r="BN414" s="98"/>
      <c r="BP414" s="98"/>
      <c r="BR414" s="98"/>
    </row>
    <row r="415" spans="1:70">
      <c r="A415" s="123">
        <v>43171</v>
      </c>
      <c r="B415" s="121">
        <f t="shared" si="50"/>
        <v>3</v>
      </c>
      <c r="C415" s="121">
        <f t="shared" si="51"/>
        <v>2018</v>
      </c>
      <c r="D415" s="124">
        <v>1.8042</v>
      </c>
      <c r="E415" s="124">
        <v>1.434339</v>
      </c>
      <c r="F415" s="109">
        <v>324.75599999999997</v>
      </c>
      <c r="G415" s="121"/>
      <c r="H415" s="124">
        <v>6.343</v>
      </c>
      <c r="I415" s="124">
        <v>146</v>
      </c>
      <c r="J415" s="124">
        <v>71.709999999999994</v>
      </c>
      <c r="K415" s="121"/>
      <c r="L415" s="130">
        <f t="shared" si="53"/>
        <v>0.79500000000000004</v>
      </c>
      <c r="M415" s="130">
        <f t="shared" si="54"/>
        <v>0.18</v>
      </c>
      <c r="N415" s="130">
        <f t="shared" si="55"/>
        <v>0.97500000000000009</v>
      </c>
      <c r="O415" s="130"/>
      <c r="P415" s="129">
        <f t="shared" si="49"/>
        <v>93.818399999999997</v>
      </c>
      <c r="Q415" s="129">
        <f t="shared" si="52"/>
        <v>24.609799357055756</v>
      </c>
      <c r="R415" s="121"/>
      <c r="S415" s="124">
        <v>276</v>
      </c>
      <c r="AZ415" s="98"/>
      <c r="BB415" s="98"/>
      <c r="BD415" s="98"/>
      <c r="BF415" s="98"/>
      <c r="BH415" s="98"/>
      <c r="BJ415" s="98"/>
      <c r="BL415" s="98"/>
      <c r="BN415" s="98"/>
      <c r="BP415" s="98"/>
      <c r="BR415" s="98"/>
    </row>
    <row r="416" spans="1:70">
      <c r="A416" s="123">
        <v>43178</v>
      </c>
      <c r="B416" s="121">
        <f t="shared" si="50"/>
        <v>3</v>
      </c>
      <c r="C416" s="121">
        <f t="shared" si="51"/>
        <v>2018</v>
      </c>
      <c r="D416" s="124">
        <v>1.819</v>
      </c>
      <c r="E416" s="124">
        <v>1.446105</v>
      </c>
      <c r="F416" s="109">
        <v>327.42</v>
      </c>
      <c r="G416" s="121"/>
      <c r="H416" s="124">
        <v>6.0179999999999998</v>
      </c>
      <c r="I416" s="124">
        <v>139.47999999999999</v>
      </c>
      <c r="J416" s="124">
        <v>66.39</v>
      </c>
      <c r="K416" s="121"/>
      <c r="L416" s="130">
        <f t="shared" si="53"/>
        <v>0.79500000000000004</v>
      </c>
      <c r="M416" s="130">
        <f t="shared" si="54"/>
        <v>0.18</v>
      </c>
      <c r="N416" s="130">
        <f t="shared" si="55"/>
        <v>0.97500000000000009</v>
      </c>
      <c r="O416" s="130"/>
      <c r="P416" s="129">
        <f t="shared" si="49"/>
        <v>94.587999999999994</v>
      </c>
      <c r="Q416" s="129">
        <f t="shared" si="52"/>
        <v>23.158878504672899</v>
      </c>
      <c r="R416" s="121"/>
      <c r="S416" s="124">
        <v>276</v>
      </c>
      <c r="AZ416" s="98"/>
      <c r="BB416" s="98"/>
      <c r="BD416" s="98"/>
      <c r="BF416" s="98"/>
      <c r="BH416" s="98"/>
      <c r="BJ416" s="98"/>
      <c r="BL416" s="98"/>
      <c r="BN416" s="98"/>
      <c r="BP416" s="98"/>
      <c r="BR416" s="98"/>
    </row>
    <row r="417" spans="1:70">
      <c r="A417" s="123">
        <v>43185</v>
      </c>
      <c r="B417" s="121">
        <f t="shared" si="50"/>
        <v>3</v>
      </c>
      <c r="C417" s="121">
        <f t="shared" si="51"/>
        <v>2018</v>
      </c>
      <c r="D417" s="124">
        <v>1.6515</v>
      </c>
      <c r="E417" s="124">
        <v>1.3129420000000001</v>
      </c>
      <c r="F417" s="109">
        <v>297.27</v>
      </c>
      <c r="G417" s="121"/>
      <c r="H417" s="124">
        <v>5.7309999999999999</v>
      </c>
      <c r="I417" s="124">
        <v>140.44999999999999</v>
      </c>
      <c r="J417" s="124">
        <v>79.989999999999995</v>
      </c>
      <c r="K417" s="121"/>
      <c r="L417" s="130">
        <f t="shared" si="53"/>
        <v>0.79499969724492892</v>
      </c>
      <c r="M417" s="130">
        <f t="shared" si="54"/>
        <v>0.18</v>
      </c>
      <c r="N417" s="130">
        <f t="shared" si="55"/>
        <v>0.97499969724492885</v>
      </c>
      <c r="O417" s="130"/>
      <c r="P417" s="129">
        <f t="shared" si="49"/>
        <v>85.878</v>
      </c>
      <c r="Q417" s="129">
        <f t="shared" si="52"/>
        <v>24.291250378443838</v>
      </c>
      <c r="R417" s="121"/>
      <c r="S417" s="124">
        <v>276</v>
      </c>
      <c r="AZ417" s="98"/>
      <c r="BB417" s="98"/>
      <c r="BD417" s="98"/>
      <c r="BF417" s="98"/>
      <c r="BH417" s="98"/>
      <c r="BJ417" s="98"/>
      <c r="BL417" s="98"/>
      <c r="BN417" s="98"/>
      <c r="BP417" s="98"/>
      <c r="BR417" s="98"/>
    </row>
    <row r="418" spans="1:70">
      <c r="A418" s="123">
        <v>43192</v>
      </c>
      <c r="B418" s="121">
        <f t="shared" si="50"/>
        <v>4</v>
      </c>
      <c r="C418" s="121">
        <f t="shared" si="51"/>
        <v>2018</v>
      </c>
      <c r="D418" s="125">
        <f>AVERAGE(D417,D419)</f>
        <v>1.5661499999999999</v>
      </c>
      <c r="E418" s="125">
        <f>AVERAGE(E417,E419)</f>
        <v>1.2450890000000001</v>
      </c>
      <c r="F418" s="125">
        <f>AVERAGE(F417,F419)</f>
        <v>281.90699999999998</v>
      </c>
      <c r="G418" s="121"/>
      <c r="H418" s="124"/>
      <c r="I418" s="125">
        <f>AVERAGE(I417,I419)</f>
        <v>139.035</v>
      </c>
      <c r="J418" s="124"/>
      <c r="K418" s="121"/>
      <c r="L418" s="130">
        <f t="shared" si="53"/>
        <v>0.79499984037288907</v>
      </c>
      <c r="M418" s="130">
        <f t="shared" si="54"/>
        <v>0.18</v>
      </c>
      <c r="N418" s="130">
        <f t="shared" si="55"/>
        <v>0.974999840372889</v>
      </c>
      <c r="O418" s="130"/>
      <c r="P418" s="129">
        <f t="shared" si="49"/>
        <v>81.439799999999991</v>
      </c>
      <c r="Q418" s="129" t="str">
        <f t="shared" si="52"/>
        <v/>
      </c>
      <c r="R418" s="121"/>
      <c r="S418" s="124">
        <v>333</v>
      </c>
      <c r="AZ418" s="98"/>
      <c r="BB418" s="98"/>
      <c r="BD418" s="98"/>
      <c r="BF418" s="98"/>
      <c r="BH418" s="98"/>
      <c r="BJ418" s="98"/>
      <c r="BL418" s="98"/>
      <c r="BN418" s="98"/>
      <c r="BP418" s="98"/>
      <c r="BR418" s="98"/>
    </row>
    <row r="419" spans="1:70">
      <c r="A419" s="123">
        <v>43199</v>
      </c>
      <c r="B419" s="121">
        <f t="shared" si="50"/>
        <v>4</v>
      </c>
      <c r="C419" s="121">
        <f t="shared" si="51"/>
        <v>2018</v>
      </c>
      <c r="D419" s="124">
        <v>1.4807999999999999</v>
      </c>
      <c r="E419" s="124">
        <v>1.1772359999999999</v>
      </c>
      <c r="F419" s="109">
        <v>266.54399999999998</v>
      </c>
      <c r="G419" s="121"/>
      <c r="H419" s="124">
        <v>5.593</v>
      </c>
      <c r="I419" s="124">
        <v>137.62</v>
      </c>
      <c r="J419" s="124">
        <v>82.6</v>
      </c>
      <c r="K419" s="121"/>
      <c r="L419" s="130">
        <f t="shared" si="53"/>
        <v>0.79500000000000004</v>
      </c>
      <c r="M419" s="130">
        <f t="shared" si="54"/>
        <v>0.18000000000000002</v>
      </c>
      <c r="N419" s="130">
        <f t="shared" si="55"/>
        <v>0.97500000000000009</v>
      </c>
      <c r="O419" s="130"/>
      <c r="P419" s="129">
        <f t="shared" si="49"/>
        <v>77.001599999999996</v>
      </c>
      <c r="Q419" s="129">
        <f t="shared" si="52"/>
        <v>26.43908698001081</v>
      </c>
      <c r="R419" s="121"/>
      <c r="S419" s="124">
        <v>266</v>
      </c>
      <c r="AZ419" s="98"/>
      <c r="BB419" s="98"/>
      <c r="BD419" s="98"/>
      <c r="BF419" s="98"/>
      <c r="BH419" s="98"/>
      <c r="BJ419" s="98"/>
      <c r="BL419" s="98"/>
      <c r="BN419" s="98"/>
      <c r="BP419" s="98"/>
      <c r="BR419" s="98"/>
    </row>
    <row r="420" spans="1:70">
      <c r="A420" s="123">
        <v>43206</v>
      </c>
      <c r="B420" s="121">
        <f t="shared" si="50"/>
        <v>4</v>
      </c>
      <c r="C420" s="121">
        <f t="shared" si="51"/>
        <v>2018</v>
      </c>
      <c r="D420" s="124">
        <v>1.6872</v>
      </c>
      <c r="E420" s="124">
        <v>1.341324</v>
      </c>
      <c r="F420" s="109">
        <v>303.69600000000003</v>
      </c>
      <c r="G420" s="121"/>
      <c r="H420" s="124">
        <v>6.0460000000000003</v>
      </c>
      <c r="I420" s="124">
        <v>133.91999999999999</v>
      </c>
      <c r="J420" s="124">
        <v>78.510000000000005</v>
      </c>
      <c r="K420" s="121"/>
      <c r="L420" s="130">
        <f t="shared" si="53"/>
        <v>0.79499999999999993</v>
      </c>
      <c r="M420" s="130">
        <f t="shared" si="54"/>
        <v>0.18000000000000002</v>
      </c>
      <c r="N420" s="130">
        <f t="shared" si="55"/>
        <v>0.97499999999999998</v>
      </c>
      <c r="O420" s="130"/>
      <c r="P420" s="129">
        <f t="shared" si="49"/>
        <v>87.734400000000008</v>
      </c>
      <c r="Q420" s="129">
        <f t="shared" si="52"/>
        <v>25.084163110478901</v>
      </c>
      <c r="R420" s="121"/>
      <c r="S420" s="124">
        <v>207</v>
      </c>
      <c r="AZ420" s="98"/>
      <c r="BB420" s="98"/>
      <c r="BD420" s="98"/>
      <c r="BF420" s="98"/>
      <c r="BH420" s="98"/>
      <c r="BJ420" s="98"/>
      <c r="BL420" s="98"/>
      <c r="BN420" s="98"/>
      <c r="BP420" s="98"/>
      <c r="BR420" s="98"/>
    </row>
    <row r="421" spans="1:70">
      <c r="A421" s="123">
        <v>43213</v>
      </c>
      <c r="B421" s="121">
        <f t="shared" si="50"/>
        <v>4</v>
      </c>
      <c r="C421" s="121">
        <f t="shared" si="51"/>
        <v>2018</v>
      </c>
      <c r="D421" s="124">
        <v>1.71875</v>
      </c>
      <c r="E421" s="124">
        <v>1.366406</v>
      </c>
      <c r="F421" s="109">
        <v>309.375</v>
      </c>
      <c r="G421" s="121"/>
      <c r="H421" s="124">
        <v>6.125</v>
      </c>
      <c r="I421" s="124">
        <v>132.29</v>
      </c>
      <c r="J421" s="124">
        <v>95.02</v>
      </c>
      <c r="K421" s="121"/>
      <c r="L421" s="130">
        <f t="shared" si="53"/>
        <v>0.79499985454545452</v>
      </c>
      <c r="M421" s="130">
        <f t="shared" si="54"/>
        <v>0.18</v>
      </c>
      <c r="N421" s="130">
        <f t="shared" si="55"/>
        <v>0.97499985454545457</v>
      </c>
      <c r="O421" s="130"/>
      <c r="P421" s="129">
        <f t="shared" si="49"/>
        <v>89.375</v>
      </c>
      <c r="Q421" s="129">
        <f t="shared" si="52"/>
        <v>24.945454545454545</v>
      </c>
      <c r="R421" s="121"/>
      <c r="S421" s="124">
        <v>167</v>
      </c>
      <c r="AZ421" s="98"/>
      <c r="BB421" s="98"/>
      <c r="BD421" s="98"/>
      <c r="BF421" s="98"/>
      <c r="BH421" s="98"/>
      <c r="BJ421" s="98"/>
      <c r="BL421" s="98"/>
      <c r="BN421" s="98"/>
      <c r="BP421" s="98"/>
      <c r="BR421" s="98"/>
    </row>
    <row r="422" spans="1:70">
      <c r="A422" s="123">
        <v>43220</v>
      </c>
      <c r="B422" s="121">
        <f t="shared" si="50"/>
        <v>4</v>
      </c>
      <c r="C422" s="121">
        <f t="shared" si="51"/>
        <v>2018</v>
      </c>
      <c r="D422" s="125">
        <f>AVERAGE(D421,D423)</f>
        <v>1.6</v>
      </c>
      <c r="E422" s="125">
        <f>AVERAGE(E421,E423)</f>
        <v>1.2719994999999999</v>
      </c>
      <c r="F422" s="125">
        <f>AVERAGE(F421,F423)</f>
        <v>288</v>
      </c>
      <c r="G422" s="121"/>
      <c r="H422" s="124">
        <v>6.4289999999999994</v>
      </c>
      <c r="I422" s="124">
        <v>129.75</v>
      </c>
      <c r="J422" s="124">
        <v>106.87</v>
      </c>
      <c r="K422" s="121"/>
      <c r="L422" s="130">
        <f t="shared" si="53"/>
        <v>0.79499968749999994</v>
      </c>
      <c r="M422" s="130">
        <f t="shared" si="54"/>
        <v>0.17999999999999997</v>
      </c>
      <c r="N422" s="130">
        <f t="shared" si="55"/>
        <v>0.97499968749999988</v>
      </c>
      <c r="O422" s="130"/>
      <c r="P422" s="129">
        <f t="shared" si="49"/>
        <v>83.2</v>
      </c>
      <c r="Q422" s="129">
        <f t="shared" si="52"/>
        <v>28.126874999999995</v>
      </c>
      <c r="R422" s="121"/>
      <c r="S422" s="124">
        <v>201</v>
      </c>
      <c r="AZ422" s="98"/>
      <c r="BB422" s="98"/>
      <c r="BD422" s="98"/>
      <c r="BF422" s="98"/>
      <c r="BH422" s="98"/>
      <c r="BJ422" s="98"/>
      <c r="BL422" s="98"/>
      <c r="BN422" s="98"/>
      <c r="BP422" s="98"/>
      <c r="BR422" s="98"/>
    </row>
    <row r="423" spans="1:70">
      <c r="A423" s="123">
        <v>43227</v>
      </c>
      <c r="B423" s="121">
        <f t="shared" si="50"/>
        <v>5</v>
      </c>
      <c r="C423" s="121">
        <f t="shared" si="51"/>
        <v>2018</v>
      </c>
      <c r="D423" s="124">
        <v>1.48125</v>
      </c>
      <c r="E423" s="124">
        <v>1.1775929999999999</v>
      </c>
      <c r="F423" s="109">
        <v>266.625</v>
      </c>
      <c r="G423" s="121"/>
      <c r="H423" s="124">
        <v>6.4329999999999998</v>
      </c>
      <c r="I423" s="124">
        <v>130.68</v>
      </c>
      <c r="J423" s="124">
        <v>121.58</v>
      </c>
      <c r="K423" s="121"/>
      <c r="L423" s="130">
        <f t="shared" si="53"/>
        <v>0.79499949367088607</v>
      </c>
      <c r="M423" s="130">
        <f t="shared" si="54"/>
        <v>0.18</v>
      </c>
      <c r="N423" s="130">
        <f t="shared" si="55"/>
        <v>0.97499949367088612</v>
      </c>
      <c r="O423" s="130"/>
      <c r="P423" s="129">
        <f t="shared" si="49"/>
        <v>77.024999999999991</v>
      </c>
      <c r="Q423" s="129">
        <f t="shared" si="52"/>
        <v>30.400675105485231</v>
      </c>
      <c r="R423" s="121"/>
      <c r="S423" s="124">
        <v>106</v>
      </c>
      <c r="AZ423" s="98"/>
      <c r="BB423" s="98"/>
      <c r="BD423" s="98"/>
      <c r="BF423" s="98"/>
      <c r="BH423" s="98"/>
      <c r="BJ423" s="98"/>
      <c r="BL423" s="98"/>
      <c r="BN423" s="98"/>
      <c r="BP423" s="98"/>
      <c r="BR423" s="98"/>
    </row>
    <row r="424" spans="1:70">
      <c r="A424" s="123">
        <v>43234</v>
      </c>
      <c r="B424" s="121">
        <f t="shared" si="50"/>
        <v>5</v>
      </c>
      <c r="C424" s="121">
        <f t="shared" si="51"/>
        <v>2018</v>
      </c>
      <c r="D424" s="124">
        <v>1.4662500000000001</v>
      </c>
      <c r="E424" s="124">
        <v>1.1656679999999999</v>
      </c>
      <c r="F424" s="109">
        <v>263.92500000000001</v>
      </c>
      <c r="G424" s="121"/>
      <c r="H424" s="124">
        <v>6.5779999999999994</v>
      </c>
      <c r="I424" s="124">
        <v>128.68</v>
      </c>
      <c r="J424" s="124">
        <v>120.74</v>
      </c>
      <c r="K424" s="121"/>
      <c r="L424" s="130">
        <f t="shared" si="53"/>
        <v>0.79499948849104851</v>
      </c>
      <c r="M424" s="130">
        <f t="shared" si="54"/>
        <v>0.18000000000000002</v>
      </c>
      <c r="N424" s="130">
        <f t="shared" si="55"/>
        <v>0.97499948849104856</v>
      </c>
      <c r="O424" s="130"/>
      <c r="P424" s="129">
        <f t="shared" si="49"/>
        <v>76.245000000000005</v>
      </c>
      <c r="Q424" s="129">
        <f t="shared" si="52"/>
        <v>31.40392156862745</v>
      </c>
      <c r="R424" s="121"/>
      <c r="S424" s="124">
        <v>-8</v>
      </c>
      <c r="AZ424" s="98"/>
      <c r="BB424" s="98"/>
      <c r="BD424" s="98"/>
      <c r="BF424" s="98"/>
      <c r="BH424" s="98"/>
      <c r="BJ424" s="98"/>
      <c r="BL424" s="98"/>
      <c r="BN424" s="98"/>
      <c r="BP424" s="98"/>
      <c r="BR424" s="98"/>
    </row>
    <row r="425" spans="1:70">
      <c r="A425" s="123">
        <v>43241</v>
      </c>
      <c r="B425" s="121">
        <f t="shared" si="50"/>
        <v>5</v>
      </c>
      <c r="C425" s="121">
        <f t="shared" si="51"/>
        <v>2018</v>
      </c>
      <c r="D425" s="124">
        <v>1.5824499999999999</v>
      </c>
      <c r="E425" s="124">
        <v>1.250135</v>
      </c>
      <c r="F425" s="109">
        <v>300.66500000000002</v>
      </c>
      <c r="G425" s="121"/>
      <c r="H425" s="124">
        <v>7.0129999999999999</v>
      </c>
      <c r="I425" s="124">
        <v>130.82</v>
      </c>
      <c r="J425" s="124">
        <v>115.13</v>
      </c>
      <c r="K425" s="121"/>
      <c r="L425" s="130">
        <f t="shared" si="53"/>
        <v>0.78999968403425069</v>
      </c>
      <c r="M425" s="130">
        <f t="shared" si="54"/>
        <v>0.18999968403425072</v>
      </c>
      <c r="N425" s="130">
        <f t="shared" si="55"/>
        <v>0.97999936806850141</v>
      </c>
      <c r="O425" s="130"/>
      <c r="P425" s="129">
        <f t="shared" si="49"/>
        <v>82.287399999999991</v>
      </c>
      <c r="Q425" s="129">
        <f t="shared" si="52"/>
        <v>31.022149199026828</v>
      </c>
      <c r="R425" s="121"/>
      <c r="S425" s="124">
        <v>92</v>
      </c>
      <c r="AZ425" s="98"/>
      <c r="BB425" s="98"/>
      <c r="BD425" s="98"/>
      <c r="BF425" s="98"/>
      <c r="BH425" s="98"/>
      <c r="BJ425" s="98"/>
      <c r="BL425" s="98"/>
      <c r="BN425" s="98"/>
      <c r="BP425" s="98"/>
      <c r="BR425" s="98"/>
    </row>
    <row r="426" spans="1:70">
      <c r="A426" s="123">
        <v>43248</v>
      </c>
      <c r="B426" s="121">
        <f t="shared" si="50"/>
        <v>5</v>
      </c>
      <c r="C426" s="121">
        <f t="shared" si="51"/>
        <v>2018</v>
      </c>
      <c r="D426" s="124">
        <v>1.65045</v>
      </c>
      <c r="E426" s="124">
        <v>1.303855</v>
      </c>
      <c r="F426" s="109">
        <v>313.58499999999998</v>
      </c>
      <c r="G426" s="121"/>
      <c r="H426" s="124">
        <v>7.2610000000000001</v>
      </c>
      <c r="I426" s="124">
        <v>132</v>
      </c>
      <c r="J426" s="124">
        <v>115.61</v>
      </c>
      <c r="K426" s="121"/>
      <c r="L426" s="130">
        <f t="shared" si="53"/>
        <v>0.78999969705231909</v>
      </c>
      <c r="M426" s="130">
        <f t="shared" si="54"/>
        <v>0.18999969705231906</v>
      </c>
      <c r="N426" s="130">
        <f t="shared" si="55"/>
        <v>0.9799993941046381</v>
      </c>
      <c r="O426" s="130"/>
      <c r="P426" s="129">
        <f t="shared" si="49"/>
        <v>85.823399999999992</v>
      </c>
      <c r="Q426" s="129">
        <f t="shared" si="52"/>
        <v>30.795843557817566</v>
      </c>
      <c r="R426" s="121"/>
      <c r="S426" s="124">
        <v>83</v>
      </c>
      <c r="AZ426" s="98"/>
      <c r="BB426" s="98"/>
      <c r="BD426" s="98"/>
      <c r="BF426" s="98"/>
      <c r="BH426" s="98"/>
      <c r="BJ426" s="98"/>
      <c r="BL426" s="98"/>
      <c r="BN426" s="98"/>
      <c r="BP426" s="98"/>
      <c r="BR426" s="98"/>
    </row>
    <row r="427" spans="1:70">
      <c r="A427" s="123">
        <v>43255</v>
      </c>
      <c r="B427" s="121">
        <f t="shared" si="50"/>
        <v>6</v>
      </c>
      <c r="C427" s="121">
        <f t="shared" si="51"/>
        <v>2018</v>
      </c>
      <c r="D427" s="124">
        <v>1.6291</v>
      </c>
      <c r="E427" s="124">
        <v>1.2869889999999999</v>
      </c>
      <c r="F427" s="109">
        <v>309.529</v>
      </c>
      <c r="G427" s="121"/>
      <c r="H427" s="124">
        <v>7.5860000000000003</v>
      </c>
      <c r="I427" s="124">
        <v>133.97999999999999</v>
      </c>
      <c r="J427" s="124">
        <v>110.06</v>
      </c>
      <c r="K427" s="121"/>
      <c r="L427" s="130">
        <f t="shared" si="53"/>
        <v>0.78999999999999992</v>
      </c>
      <c r="M427" s="130">
        <f t="shared" si="54"/>
        <v>0.19</v>
      </c>
      <c r="N427" s="130">
        <f t="shared" si="55"/>
        <v>0.98</v>
      </c>
      <c r="O427" s="130"/>
      <c r="P427" s="129">
        <f t="shared" si="49"/>
        <v>84.713200000000001</v>
      </c>
      <c r="Q427" s="129">
        <f t="shared" si="52"/>
        <v>32.595911853170463</v>
      </c>
      <c r="R427" s="121"/>
      <c r="S427" s="124">
        <v>-53</v>
      </c>
      <c r="AZ427" s="98"/>
      <c r="BB427" s="98"/>
      <c r="BD427" s="98"/>
      <c r="BF427" s="98"/>
      <c r="BH427" s="98"/>
      <c r="BJ427" s="98"/>
      <c r="BL427" s="98"/>
      <c r="BN427" s="98"/>
      <c r="BP427" s="98"/>
      <c r="BR427" s="98"/>
    </row>
    <row r="428" spans="1:70">
      <c r="A428" s="123">
        <v>43262</v>
      </c>
      <c r="B428" s="121">
        <f t="shared" si="50"/>
        <v>6</v>
      </c>
      <c r="C428" s="121">
        <f t="shared" si="51"/>
        <v>2018</v>
      </c>
      <c r="D428" s="124">
        <v>1.7196</v>
      </c>
      <c r="E428" s="124">
        <v>1.358484</v>
      </c>
      <c r="F428" s="109">
        <v>326.72399999999999</v>
      </c>
      <c r="G428" s="121"/>
      <c r="H428" s="124">
        <v>7.6449999999999996</v>
      </c>
      <c r="I428" s="124">
        <v>135.46</v>
      </c>
      <c r="J428" s="124">
        <v>105.79</v>
      </c>
      <c r="K428" s="121"/>
      <c r="L428" s="130">
        <f t="shared" si="53"/>
        <v>0.79</v>
      </c>
      <c r="M428" s="130">
        <f t="shared" si="54"/>
        <v>0.19</v>
      </c>
      <c r="N428" s="130">
        <f t="shared" si="55"/>
        <v>0.98</v>
      </c>
      <c r="O428" s="130"/>
      <c r="P428" s="129">
        <f t="shared" si="49"/>
        <v>89.419200000000004</v>
      </c>
      <c r="Q428" s="129">
        <f t="shared" si="52"/>
        <v>31.120609444056758</v>
      </c>
      <c r="R428" s="121"/>
      <c r="S428" s="124">
        <v>-63</v>
      </c>
      <c r="AZ428" s="98"/>
      <c r="BB428" s="98"/>
      <c r="BD428" s="98"/>
      <c r="BF428" s="98"/>
      <c r="BH428" s="98"/>
      <c r="BJ428" s="98"/>
      <c r="BL428" s="98"/>
      <c r="BN428" s="98"/>
      <c r="BP428" s="98"/>
      <c r="BR428" s="98"/>
    </row>
    <row r="429" spans="1:70">
      <c r="A429" s="123">
        <v>43269</v>
      </c>
      <c r="B429" s="121">
        <f t="shared" si="50"/>
        <v>6</v>
      </c>
      <c r="C429" s="121">
        <f t="shared" si="51"/>
        <v>2018</v>
      </c>
      <c r="D429" s="125">
        <f>AVERAGE(D428,D430)</f>
        <v>1.7558</v>
      </c>
      <c r="E429" s="125">
        <f>AVERAGE(E428,E430)</f>
        <v>1.3870819999999999</v>
      </c>
      <c r="F429" s="125">
        <f>AVERAGE(F428,F430)</f>
        <v>333.60199999999998</v>
      </c>
      <c r="G429" s="121"/>
      <c r="H429" s="124">
        <v>7.8296000000000001</v>
      </c>
      <c r="I429" s="124">
        <v>140.88</v>
      </c>
      <c r="J429" s="124">
        <v>111.62</v>
      </c>
      <c r="K429" s="121"/>
      <c r="L429" s="130">
        <f t="shared" si="53"/>
        <v>0.78999999999999992</v>
      </c>
      <c r="M429" s="130">
        <f t="shared" si="54"/>
        <v>0.18999999999999997</v>
      </c>
      <c r="N429" s="130">
        <f t="shared" si="55"/>
        <v>0.97999999999999987</v>
      </c>
      <c r="O429" s="130"/>
      <c r="P429" s="129">
        <f t="shared" si="49"/>
        <v>91.301600000000008</v>
      </c>
      <c r="Q429" s="129">
        <f t="shared" si="52"/>
        <v>31.214944754527849</v>
      </c>
      <c r="R429" s="121"/>
      <c r="S429" s="124">
        <v>95</v>
      </c>
      <c r="AZ429" s="98"/>
      <c r="BB429" s="98"/>
      <c r="BD429" s="98"/>
      <c r="BF429" s="98"/>
      <c r="BH429" s="98"/>
      <c r="BJ429" s="98"/>
      <c r="BL429" s="98"/>
      <c r="BN429" s="98"/>
      <c r="BP429" s="98"/>
      <c r="BR429" s="98"/>
    </row>
    <row r="430" spans="1:70">
      <c r="A430" s="123">
        <v>43276</v>
      </c>
      <c r="B430" s="121">
        <f t="shared" si="50"/>
        <v>6</v>
      </c>
      <c r="C430" s="121">
        <f t="shared" si="51"/>
        <v>2018</v>
      </c>
      <c r="D430" s="124">
        <v>1.792</v>
      </c>
      <c r="E430" s="124">
        <v>1.41568</v>
      </c>
      <c r="F430" s="109">
        <v>340.48</v>
      </c>
      <c r="G430" s="121"/>
      <c r="H430" s="124">
        <v>8.0239999999999991</v>
      </c>
      <c r="I430" s="124">
        <v>148.59</v>
      </c>
      <c r="J430" s="124">
        <v>123.82</v>
      </c>
      <c r="K430" s="121"/>
      <c r="L430" s="130">
        <f t="shared" si="53"/>
        <v>0.79</v>
      </c>
      <c r="M430" s="130">
        <f t="shared" si="54"/>
        <v>0.19</v>
      </c>
      <c r="N430" s="130">
        <f t="shared" si="55"/>
        <v>0.98</v>
      </c>
      <c r="O430" s="130"/>
      <c r="P430" s="129">
        <f t="shared" si="49"/>
        <v>93.183999999999997</v>
      </c>
      <c r="Q430" s="129">
        <f t="shared" si="52"/>
        <v>31.343749999999996</v>
      </c>
      <c r="R430" s="121"/>
      <c r="S430" s="124">
        <v>128</v>
      </c>
      <c r="AZ430" s="98"/>
      <c r="BB430" s="98"/>
      <c r="BD430" s="98"/>
      <c r="BF430" s="98"/>
      <c r="BH430" s="98"/>
      <c r="BJ430" s="98"/>
      <c r="BL430" s="98"/>
      <c r="BN430" s="98"/>
      <c r="BP430" s="98"/>
      <c r="BR430" s="98"/>
    </row>
    <row r="431" spans="1:70">
      <c r="A431" s="123">
        <v>43283</v>
      </c>
      <c r="B431" s="121">
        <f t="shared" si="50"/>
        <v>7</v>
      </c>
      <c r="C431" s="121">
        <f t="shared" si="51"/>
        <v>2018</v>
      </c>
      <c r="D431" s="124">
        <v>1.9108499999999999</v>
      </c>
      <c r="E431" s="124">
        <v>1.509571</v>
      </c>
      <c r="F431" s="109">
        <v>363.06099999999998</v>
      </c>
      <c r="G431" s="121"/>
      <c r="H431" s="124">
        <v>8.0425000000000004</v>
      </c>
      <c r="I431" s="124">
        <v>150.16999999999999</v>
      </c>
      <c r="J431" s="124">
        <v>123.91</v>
      </c>
      <c r="K431" s="121"/>
      <c r="L431" s="130">
        <f t="shared" si="53"/>
        <v>0.78999973833634252</v>
      </c>
      <c r="M431" s="130">
        <f t="shared" si="54"/>
        <v>0.18999973833634246</v>
      </c>
      <c r="N431" s="130">
        <f t="shared" si="55"/>
        <v>0.97999947667268494</v>
      </c>
      <c r="O431" s="130"/>
      <c r="P431" s="129">
        <f t="shared" si="49"/>
        <v>99.364199999999997</v>
      </c>
      <c r="Q431" s="129">
        <f t="shared" si="52"/>
        <v>29.462019520108857</v>
      </c>
      <c r="R431" s="121"/>
      <c r="S431" s="124">
        <v>128</v>
      </c>
      <c r="AZ431" s="98"/>
      <c r="BB431" s="98"/>
      <c r="BD431" s="98"/>
      <c r="BF431" s="98"/>
      <c r="BH431" s="98"/>
      <c r="BJ431" s="98"/>
      <c r="BL431" s="98"/>
      <c r="BN431" s="98"/>
      <c r="BP431" s="98"/>
      <c r="BR431" s="98"/>
    </row>
    <row r="432" spans="1:70">
      <c r="A432" s="123">
        <v>43290</v>
      </c>
      <c r="B432" s="121">
        <f t="shared" si="50"/>
        <v>7</v>
      </c>
      <c r="C432" s="121">
        <f t="shared" si="51"/>
        <v>2018</v>
      </c>
      <c r="D432" s="124">
        <v>1.8245</v>
      </c>
      <c r="E432" s="124">
        <v>1.4413549999999999</v>
      </c>
      <c r="F432" s="109">
        <v>346.65499999999997</v>
      </c>
      <c r="G432" s="121"/>
      <c r="H432" s="124">
        <v>8.5259999999999998</v>
      </c>
      <c r="I432" s="124">
        <v>156</v>
      </c>
      <c r="J432" s="124">
        <v>127.21</v>
      </c>
      <c r="K432" s="121"/>
      <c r="L432" s="130">
        <f t="shared" si="53"/>
        <v>0.78999999999999992</v>
      </c>
      <c r="M432" s="130">
        <f t="shared" si="54"/>
        <v>0.19</v>
      </c>
      <c r="N432" s="130">
        <f t="shared" si="55"/>
        <v>0.98</v>
      </c>
      <c r="O432" s="130"/>
      <c r="P432" s="129">
        <f t="shared" si="49"/>
        <v>94.873999999999995</v>
      </c>
      <c r="Q432" s="129">
        <f t="shared" si="52"/>
        <v>32.711427788435188</v>
      </c>
      <c r="R432" s="121"/>
      <c r="S432" s="124">
        <v>140</v>
      </c>
      <c r="AZ432" s="98"/>
      <c r="BB432" s="98"/>
      <c r="BD432" s="98"/>
      <c r="BF432" s="98"/>
      <c r="BH432" s="98"/>
      <c r="BJ432" s="98"/>
      <c r="BL432" s="98"/>
      <c r="BN432" s="98"/>
      <c r="BP432" s="98"/>
      <c r="BR432" s="98"/>
    </row>
    <row r="433" spans="1:70">
      <c r="A433" s="123">
        <v>43297</v>
      </c>
      <c r="B433" s="121">
        <f t="shared" si="50"/>
        <v>7</v>
      </c>
      <c r="C433" s="121">
        <f t="shared" si="51"/>
        <v>2018</v>
      </c>
      <c r="D433" s="124">
        <v>1.7135</v>
      </c>
      <c r="E433" s="124">
        <v>1.3536649999999999</v>
      </c>
      <c r="F433" s="109">
        <v>325.565</v>
      </c>
      <c r="G433" s="121"/>
      <c r="H433" s="124">
        <v>8.2249999999999996</v>
      </c>
      <c r="I433" s="124">
        <v>156.61000000000001</v>
      </c>
      <c r="J433" s="124">
        <v>125.31</v>
      </c>
      <c r="K433" s="121"/>
      <c r="L433" s="130">
        <f t="shared" si="53"/>
        <v>0.78999999999999992</v>
      </c>
      <c r="M433" s="130">
        <f t="shared" si="54"/>
        <v>0.19</v>
      </c>
      <c r="N433" s="130">
        <f t="shared" si="55"/>
        <v>0.98</v>
      </c>
      <c r="O433" s="130"/>
      <c r="P433" s="129">
        <f t="shared" si="49"/>
        <v>89.102000000000004</v>
      </c>
      <c r="Q433" s="129">
        <f t="shared" si="52"/>
        <v>33.600817041143856</v>
      </c>
      <c r="R433" s="121"/>
      <c r="S433" s="124">
        <v>140</v>
      </c>
      <c r="AZ433" s="98"/>
      <c r="BB433" s="98"/>
      <c r="BD433" s="98"/>
      <c r="BF433" s="98"/>
      <c r="BH433" s="98"/>
      <c r="BJ433" s="98"/>
      <c r="BL433" s="98"/>
      <c r="BN433" s="98"/>
      <c r="BP433" s="98"/>
      <c r="BR433" s="98"/>
    </row>
    <row r="434" spans="1:70">
      <c r="A434" s="123">
        <v>43304</v>
      </c>
      <c r="B434" s="121">
        <f t="shared" si="50"/>
        <v>7</v>
      </c>
      <c r="C434" s="121">
        <f t="shared" si="51"/>
        <v>2018</v>
      </c>
      <c r="D434" s="124">
        <v>1.6052</v>
      </c>
      <c r="E434" s="124">
        <v>1.268108</v>
      </c>
      <c r="F434" s="109">
        <v>304.988</v>
      </c>
      <c r="G434" s="121"/>
      <c r="H434" s="124">
        <v>8.1560000000000006</v>
      </c>
      <c r="I434" s="124">
        <v>156.37</v>
      </c>
      <c r="J434" s="124">
        <v>122.84</v>
      </c>
      <c r="K434" s="121"/>
      <c r="L434" s="130">
        <f t="shared" si="53"/>
        <v>0.79</v>
      </c>
      <c r="M434" s="130">
        <f t="shared" si="54"/>
        <v>0.19</v>
      </c>
      <c r="N434" s="130">
        <f t="shared" si="55"/>
        <v>0.98</v>
      </c>
      <c r="O434" s="130"/>
      <c r="P434" s="129">
        <f t="shared" si="49"/>
        <v>83.470399999999998</v>
      </c>
      <c r="Q434" s="129">
        <f t="shared" si="52"/>
        <v>35.566907550461003</v>
      </c>
      <c r="R434" s="121"/>
      <c r="S434" s="124">
        <v>99</v>
      </c>
      <c r="AZ434" s="98"/>
      <c r="BB434" s="98"/>
      <c r="BD434" s="98"/>
      <c r="BF434" s="98"/>
      <c r="BH434" s="98"/>
      <c r="BJ434" s="98"/>
      <c r="BL434" s="98"/>
      <c r="BN434" s="98"/>
      <c r="BP434" s="98"/>
      <c r="BR434" s="98"/>
    </row>
    <row r="435" spans="1:70">
      <c r="A435" s="123">
        <v>43311</v>
      </c>
      <c r="B435" s="121">
        <f t="shared" si="50"/>
        <v>7</v>
      </c>
      <c r="C435" s="121">
        <f t="shared" si="51"/>
        <v>2018</v>
      </c>
      <c r="D435" s="124">
        <v>1.6713499999999999</v>
      </c>
      <c r="E435" s="124">
        <v>1.3203659999999999</v>
      </c>
      <c r="F435" s="109">
        <v>317.55599999999998</v>
      </c>
      <c r="G435" s="121"/>
      <c r="H435" s="124">
        <v>8.0839999999999996</v>
      </c>
      <c r="I435" s="124">
        <v>159.05000000000001</v>
      </c>
      <c r="J435" s="124">
        <v>124.86</v>
      </c>
      <c r="K435" s="121"/>
      <c r="L435" s="130">
        <f t="shared" si="53"/>
        <v>0.78999970084063786</v>
      </c>
      <c r="M435" s="130">
        <f t="shared" si="54"/>
        <v>0.18999970084063783</v>
      </c>
      <c r="N435" s="130">
        <f t="shared" si="55"/>
        <v>0.97999940168127564</v>
      </c>
      <c r="O435" s="130"/>
      <c r="P435" s="129">
        <f t="shared" si="49"/>
        <v>86.910199999999989</v>
      </c>
      <c r="Q435" s="129">
        <f t="shared" si="52"/>
        <v>33.857659975468934</v>
      </c>
      <c r="R435" s="121"/>
      <c r="S435" s="124">
        <v>69</v>
      </c>
      <c r="AZ435" s="98"/>
      <c r="BB435" s="98"/>
      <c r="BD435" s="98"/>
      <c r="BF435" s="98"/>
      <c r="BH435" s="98"/>
      <c r="BJ435" s="98"/>
      <c r="BL435" s="98"/>
      <c r="BN435" s="98"/>
      <c r="BP435" s="98"/>
      <c r="BR435" s="98"/>
    </row>
    <row r="436" spans="1:70">
      <c r="A436" s="123">
        <v>43318</v>
      </c>
      <c r="B436" s="121">
        <f t="shared" si="50"/>
        <v>8</v>
      </c>
      <c r="C436" s="121">
        <f t="shared" si="51"/>
        <v>2018</v>
      </c>
      <c r="D436" s="124">
        <v>1.7661</v>
      </c>
      <c r="E436" s="124">
        <v>1.395219</v>
      </c>
      <c r="F436" s="109">
        <v>335.55900000000003</v>
      </c>
      <c r="G436" s="121"/>
      <c r="H436" s="124">
        <v>8.2160000000000011</v>
      </c>
      <c r="I436" s="124">
        <v>158.61000000000001</v>
      </c>
      <c r="J436" s="124">
        <v>121.65</v>
      </c>
      <c r="K436" s="121"/>
      <c r="L436" s="130">
        <f t="shared" si="53"/>
        <v>0.79</v>
      </c>
      <c r="M436" s="130">
        <f t="shared" si="54"/>
        <v>0.19000000000000003</v>
      </c>
      <c r="N436" s="130">
        <f t="shared" si="55"/>
        <v>0.98000000000000009</v>
      </c>
      <c r="O436" s="130"/>
      <c r="P436" s="129">
        <f t="shared" si="49"/>
        <v>91.837199999999996</v>
      </c>
      <c r="Q436" s="129">
        <f t="shared" si="52"/>
        <v>32.564407451446691</v>
      </c>
      <c r="R436" s="121"/>
      <c r="S436" s="124">
        <v>158</v>
      </c>
      <c r="AZ436" s="98"/>
      <c r="BB436" s="98"/>
      <c r="BD436" s="98"/>
      <c r="BF436" s="98"/>
      <c r="BH436" s="98"/>
      <c r="BJ436" s="98"/>
      <c r="BL436" s="98"/>
      <c r="BN436" s="98"/>
      <c r="BP436" s="98"/>
      <c r="BR436" s="98"/>
    </row>
    <row r="437" spans="1:70">
      <c r="A437" s="123">
        <v>43325</v>
      </c>
      <c r="B437" s="121">
        <f t="shared" si="50"/>
        <v>8</v>
      </c>
      <c r="C437" s="121">
        <f t="shared" si="51"/>
        <v>2018</v>
      </c>
      <c r="D437" s="124">
        <v>1.7113499999999999</v>
      </c>
      <c r="E437" s="124">
        <v>1.351966</v>
      </c>
      <c r="F437" s="109">
        <v>325.15600000000001</v>
      </c>
      <c r="G437" s="121"/>
      <c r="H437" s="124">
        <v>8.3579999999999988</v>
      </c>
      <c r="I437" s="124">
        <v>159.68</v>
      </c>
      <c r="J437" s="124">
        <v>115.83</v>
      </c>
      <c r="K437" s="121"/>
      <c r="L437" s="130">
        <f t="shared" si="53"/>
        <v>0.78999970783299733</v>
      </c>
      <c r="M437" s="130">
        <f t="shared" si="54"/>
        <v>0.18999970783299736</v>
      </c>
      <c r="N437" s="130">
        <f t="shared" si="55"/>
        <v>0.97999941566599469</v>
      </c>
      <c r="O437" s="130"/>
      <c r="P437" s="129">
        <f t="shared" si="49"/>
        <v>88.990200000000002</v>
      </c>
      <c r="Q437" s="129">
        <f t="shared" si="52"/>
        <v>34.187045315102111</v>
      </c>
      <c r="R437" s="121"/>
      <c r="S437" s="124">
        <v>148</v>
      </c>
      <c r="AZ437" s="98"/>
      <c r="BB437" s="98"/>
      <c r="BD437" s="98"/>
      <c r="BF437" s="98"/>
      <c r="BH437" s="98"/>
      <c r="BJ437" s="98"/>
      <c r="BL437" s="98"/>
      <c r="BN437" s="98"/>
      <c r="BP437" s="98"/>
      <c r="BR437" s="98"/>
    </row>
    <row r="438" spans="1:70">
      <c r="A438" s="123">
        <v>43332</v>
      </c>
      <c r="B438" s="121">
        <f t="shared" si="50"/>
        <v>8</v>
      </c>
      <c r="C438" s="121">
        <f t="shared" si="51"/>
        <v>2018</v>
      </c>
      <c r="D438" s="124">
        <v>1.951792</v>
      </c>
      <c r="E438" s="124">
        <v>1.5419149999999999</v>
      </c>
      <c r="F438" s="109">
        <v>370.84</v>
      </c>
      <c r="G438" s="121"/>
      <c r="H438" s="124">
        <v>8.6270000000000007</v>
      </c>
      <c r="I438" s="124">
        <v>161.30000000000001</v>
      </c>
      <c r="J438" s="124">
        <v>126.4</v>
      </c>
      <c r="K438" s="121"/>
      <c r="L438" s="130">
        <f t="shared" si="53"/>
        <v>0.78999965160221985</v>
      </c>
      <c r="M438" s="130">
        <f t="shared" si="54"/>
        <v>0.18999975407215522</v>
      </c>
      <c r="N438" s="130">
        <f t="shared" si="55"/>
        <v>0.97999940567437505</v>
      </c>
      <c r="O438" s="130"/>
      <c r="P438" s="129">
        <f t="shared" si="49"/>
        <v>101.493184</v>
      </c>
      <c r="Q438" s="129">
        <f t="shared" si="52"/>
        <v>30.940284620492353</v>
      </c>
      <c r="R438" s="121"/>
      <c r="S438" s="124">
        <v>78</v>
      </c>
      <c r="AZ438" s="98"/>
      <c r="BB438" s="98"/>
      <c r="BD438" s="98"/>
      <c r="BF438" s="98"/>
      <c r="BH438" s="98"/>
      <c r="BJ438" s="98"/>
      <c r="BL438" s="98"/>
      <c r="BN438" s="98"/>
      <c r="BP438" s="98"/>
      <c r="BR438" s="98"/>
    </row>
    <row r="439" spans="1:70">
      <c r="A439" s="123">
        <v>43339</v>
      </c>
      <c r="B439" s="121">
        <f t="shared" si="50"/>
        <v>8</v>
      </c>
      <c r="C439" s="121">
        <f t="shared" si="51"/>
        <v>2018</v>
      </c>
      <c r="D439" s="124">
        <v>1.9157</v>
      </c>
      <c r="E439" s="124">
        <v>1.5134030000000001</v>
      </c>
      <c r="F439" s="109">
        <v>363.983</v>
      </c>
      <c r="G439" s="121"/>
      <c r="H439" s="124">
        <v>8.2424999999999997</v>
      </c>
      <c r="I439" s="124">
        <v>163.88</v>
      </c>
      <c r="J439" s="124">
        <v>122.34</v>
      </c>
      <c r="K439" s="121"/>
      <c r="L439" s="130">
        <f t="shared" si="53"/>
        <v>0.79</v>
      </c>
      <c r="M439" s="130">
        <f t="shared" si="54"/>
        <v>0.19</v>
      </c>
      <c r="N439" s="130">
        <f t="shared" si="55"/>
        <v>0.98</v>
      </c>
      <c r="O439" s="130"/>
      <c r="P439" s="129">
        <f t="shared" si="49"/>
        <v>99.616399999999999</v>
      </c>
      <c r="Q439" s="129">
        <f t="shared" si="52"/>
        <v>30.1182335438743</v>
      </c>
      <c r="R439" s="121"/>
      <c r="S439" s="124">
        <v>117</v>
      </c>
      <c r="AZ439" s="98"/>
      <c r="BB439" s="98"/>
      <c r="BD439" s="98"/>
      <c r="BF439" s="98"/>
      <c r="BH439" s="98"/>
      <c r="BJ439" s="98"/>
      <c r="BL439" s="98"/>
      <c r="BN439" s="98"/>
      <c r="BP439" s="98"/>
      <c r="BR439" s="98"/>
    </row>
    <row r="440" spans="1:70">
      <c r="A440" s="123">
        <v>43346</v>
      </c>
      <c r="B440" s="121">
        <f t="shared" si="50"/>
        <v>9</v>
      </c>
      <c r="C440" s="121">
        <f t="shared" si="51"/>
        <v>2018</v>
      </c>
      <c r="D440" s="124">
        <v>1.8584099999999999</v>
      </c>
      <c r="E440" s="124">
        <v>1.468143</v>
      </c>
      <c r="F440" s="109">
        <v>353.09699999999998</v>
      </c>
      <c r="G440" s="121"/>
      <c r="H440" s="124">
        <v>8.5850000000000009</v>
      </c>
      <c r="I440" s="124">
        <v>162.75</v>
      </c>
      <c r="J440" s="124">
        <v>118.8</v>
      </c>
      <c r="K440" s="121"/>
      <c r="L440" s="130">
        <f t="shared" si="53"/>
        <v>0.78999951571504679</v>
      </c>
      <c r="M440" s="130">
        <f t="shared" si="54"/>
        <v>0.18999951571504675</v>
      </c>
      <c r="N440" s="130">
        <f t="shared" ref="N440:N443" si="56">M440+L440</f>
        <v>0.97999903143009348</v>
      </c>
      <c r="O440" s="130"/>
      <c r="P440" s="129">
        <f t="shared" ref="P440:P503" si="57">D440*52</f>
        <v>96.637319999999988</v>
      </c>
      <c r="Q440" s="129">
        <f t="shared" si="52"/>
        <v>32.336782518389377</v>
      </c>
      <c r="R440" s="121"/>
      <c r="S440" s="124">
        <v>136</v>
      </c>
      <c r="AZ440" s="98"/>
      <c r="BB440" s="98"/>
      <c r="BD440" s="98"/>
      <c r="BF440" s="98"/>
      <c r="BH440" s="98"/>
      <c r="BJ440" s="98"/>
      <c r="BL440" s="98"/>
      <c r="BN440" s="98"/>
      <c r="BP440" s="98"/>
      <c r="BR440" s="98"/>
    </row>
    <row r="441" spans="1:70">
      <c r="A441" s="123">
        <v>43353</v>
      </c>
      <c r="B441" s="121">
        <f t="shared" si="50"/>
        <v>9</v>
      </c>
      <c r="C441" s="121">
        <f t="shared" si="51"/>
        <v>2018</v>
      </c>
      <c r="D441" s="124">
        <v>1.7022999999999999</v>
      </c>
      <c r="E441" s="124">
        <v>1.3448169999999999</v>
      </c>
      <c r="F441" s="109">
        <v>323.43700000000001</v>
      </c>
      <c r="G441" s="121"/>
      <c r="H441" s="124">
        <v>8.2509999999999994</v>
      </c>
      <c r="I441" s="124">
        <v>159.09</v>
      </c>
      <c r="J441" s="124">
        <v>102.09</v>
      </c>
      <c r="K441" s="121"/>
      <c r="L441" s="130">
        <f t="shared" si="53"/>
        <v>0.79</v>
      </c>
      <c r="M441" s="130">
        <f t="shared" si="54"/>
        <v>0.19000000000000003</v>
      </c>
      <c r="N441" s="130">
        <f t="shared" si="56"/>
        <v>0.98000000000000009</v>
      </c>
      <c r="O441" s="130"/>
      <c r="P441" s="129">
        <f t="shared" si="57"/>
        <v>88.519599999999997</v>
      </c>
      <c r="Q441" s="129">
        <f t="shared" si="52"/>
        <v>33.928802208776361</v>
      </c>
      <c r="R441" s="121"/>
      <c r="S441" s="124">
        <v>157</v>
      </c>
      <c r="AZ441" s="98"/>
      <c r="BB441" s="98"/>
      <c r="BD441" s="98"/>
      <c r="BF441" s="98"/>
      <c r="BH441" s="98"/>
      <c r="BJ441" s="98"/>
      <c r="BL441" s="98"/>
      <c r="BN441" s="98"/>
      <c r="BP441" s="98"/>
      <c r="BR441" s="98"/>
    </row>
    <row r="442" spans="1:70">
      <c r="A442" s="123">
        <v>43360</v>
      </c>
      <c r="B442" s="121">
        <f t="shared" si="50"/>
        <v>9</v>
      </c>
      <c r="C442" s="121">
        <f t="shared" si="51"/>
        <v>2018</v>
      </c>
      <c r="D442" s="124">
        <v>1.8519000000000001</v>
      </c>
      <c r="E442" s="124">
        <v>1.4622109999999999</v>
      </c>
      <c r="F442" s="109">
        <v>369.26499999999999</v>
      </c>
      <c r="G442" s="121"/>
      <c r="H442" s="124">
        <v>8.6240000000000006</v>
      </c>
      <c r="I442" s="124">
        <v>159.22</v>
      </c>
      <c r="J442" s="124">
        <v>93.79</v>
      </c>
      <c r="K442" s="121"/>
      <c r="L442" s="130">
        <f t="shared" si="53"/>
        <v>0.78957341109131152</v>
      </c>
      <c r="M442" s="130">
        <f t="shared" si="54"/>
        <v>0.19939791565419299</v>
      </c>
      <c r="N442" s="130">
        <f t="shared" si="56"/>
        <v>0.98897132674550448</v>
      </c>
      <c r="O442" s="130"/>
      <c r="P442" s="129">
        <f t="shared" si="57"/>
        <v>96.2988</v>
      </c>
      <c r="Q442" s="129">
        <f t="shared" si="52"/>
        <v>32.597872455316164</v>
      </c>
      <c r="R442" s="121"/>
      <c r="S442" s="124">
        <v>157</v>
      </c>
      <c r="AZ442" s="98"/>
      <c r="BB442" s="98"/>
      <c r="BD442" s="98"/>
      <c r="BF442" s="98"/>
      <c r="BH442" s="98"/>
      <c r="BJ442" s="98"/>
      <c r="BL442" s="98"/>
      <c r="BN442" s="98"/>
      <c r="BP442" s="98"/>
      <c r="BR442" s="98"/>
    </row>
    <row r="443" spans="1:70">
      <c r="A443" s="123">
        <v>43367</v>
      </c>
      <c r="B443" s="121">
        <f t="shared" si="50"/>
        <v>9</v>
      </c>
      <c r="C443" s="121">
        <f t="shared" si="51"/>
        <v>2018</v>
      </c>
      <c r="D443" s="124">
        <v>1.9435</v>
      </c>
      <c r="E443" s="124">
        <v>1.5353650000000001</v>
      </c>
      <c r="F443" s="109">
        <v>369.26499999999999</v>
      </c>
      <c r="G443" s="121"/>
      <c r="H443" s="124">
        <v>8.7949999999999999</v>
      </c>
      <c r="I443" s="124">
        <v>165.39</v>
      </c>
      <c r="J443" s="124">
        <v>86.64</v>
      </c>
      <c r="K443" s="121"/>
      <c r="L443" s="130">
        <f t="shared" si="53"/>
        <v>0.79</v>
      </c>
      <c r="M443" s="130">
        <f t="shared" si="54"/>
        <v>0.19</v>
      </c>
      <c r="N443" s="130">
        <f t="shared" si="56"/>
        <v>0.98</v>
      </c>
      <c r="O443" s="130"/>
      <c r="P443" s="129">
        <f t="shared" si="57"/>
        <v>101.062</v>
      </c>
      <c r="Q443" s="129">
        <f t="shared" si="52"/>
        <v>31.67738615899151</v>
      </c>
      <c r="R443" s="121"/>
      <c r="S443" s="124">
        <v>375</v>
      </c>
      <c r="AZ443" s="98"/>
      <c r="BB443" s="98"/>
      <c r="BD443" s="98"/>
      <c r="BF443" s="98"/>
      <c r="BH443" s="98"/>
      <c r="BJ443" s="98"/>
      <c r="BL443" s="98"/>
      <c r="BN443" s="98"/>
      <c r="BP443" s="98"/>
      <c r="BR443" s="98"/>
    </row>
    <row r="444" spans="1:70">
      <c r="A444" s="123">
        <v>43374</v>
      </c>
      <c r="B444" s="121">
        <f t="shared" si="50"/>
        <v>10</v>
      </c>
      <c r="C444" s="121">
        <f t="shared" si="51"/>
        <v>2018</v>
      </c>
      <c r="D444" s="125"/>
      <c r="E444" s="125"/>
      <c r="F444" s="125"/>
      <c r="G444" s="121"/>
      <c r="H444" s="124"/>
      <c r="I444" s="125">
        <f>AVERAGE(I443,I445)</f>
        <v>169.56</v>
      </c>
      <c r="J444" s="124"/>
      <c r="K444" s="121"/>
      <c r="L444" s="130"/>
      <c r="M444" s="130"/>
      <c r="N444" s="130"/>
      <c r="O444" s="130"/>
      <c r="P444" s="129">
        <f t="shared" si="57"/>
        <v>0</v>
      </c>
      <c r="Q444" s="129" t="str">
        <f t="shared" si="52"/>
        <v/>
      </c>
      <c r="R444" s="121"/>
      <c r="S444" s="124"/>
      <c r="AZ444" s="98"/>
      <c r="BB444" s="98"/>
      <c r="BD444" s="98"/>
      <c r="BF444" s="98"/>
      <c r="BH444" s="98"/>
      <c r="BJ444" s="98"/>
      <c r="BL444" s="98"/>
      <c r="BN444" s="98"/>
      <c r="BP444" s="98"/>
      <c r="BR444" s="98"/>
    </row>
    <row r="445" spans="1:70">
      <c r="A445" s="123">
        <v>43381</v>
      </c>
      <c r="B445" s="121">
        <f t="shared" si="50"/>
        <v>10</v>
      </c>
      <c r="C445" s="121">
        <f t="shared" si="51"/>
        <v>2018</v>
      </c>
      <c r="D445" s="124">
        <v>1.7399</v>
      </c>
      <c r="E445" s="124">
        <v>1.3745210000000001</v>
      </c>
      <c r="F445" s="109">
        <v>330.58100000000002</v>
      </c>
      <c r="G445" s="121"/>
      <c r="H445" s="124">
        <v>9.0069999999999997</v>
      </c>
      <c r="I445" s="124">
        <v>173.73</v>
      </c>
      <c r="J445" s="124">
        <v>93.67</v>
      </c>
      <c r="K445" s="121"/>
      <c r="L445" s="130">
        <f t="shared" ref="L445:L456" si="58">E445/D445</f>
        <v>0.79</v>
      </c>
      <c r="M445" s="130">
        <f t="shared" ref="M445:M456" si="59">F445/1000/D445</f>
        <v>0.19</v>
      </c>
      <c r="N445" s="130">
        <f t="shared" ref="N445:N456" si="60">M445+L445</f>
        <v>0.98</v>
      </c>
      <c r="O445" s="130"/>
      <c r="P445" s="129">
        <f t="shared" si="57"/>
        <v>90.474800000000002</v>
      </c>
      <c r="Q445" s="129">
        <f t="shared" si="52"/>
        <v>36.237140065521004</v>
      </c>
      <c r="R445" s="121"/>
      <c r="S445" s="124">
        <v>364</v>
      </c>
      <c r="AZ445" s="98"/>
      <c r="BB445" s="98"/>
      <c r="BD445" s="98"/>
      <c r="BF445" s="98"/>
      <c r="BH445" s="98"/>
      <c r="BJ445" s="98"/>
      <c r="BL445" s="98"/>
      <c r="BN445" s="98"/>
      <c r="BP445" s="98"/>
      <c r="BR445" s="98"/>
    </row>
    <row r="446" spans="1:70">
      <c r="A446" s="123">
        <v>43388</v>
      </c>
      <c r="B446" s="121">
        <f t="shared" si="50"/>
        <v>10</v>
      </c>
      <c r="C446" s="121">
        <f t="shared" si="51"/>
        <v>2018</v>
      </c>
      <c r="D446" s="124">
        <v>1.7485999999999999</v>
      </c>
      <c r="E446" s="124">
        <v>1.381394</v>
      </c>
      <c r="F446" s="109">
        <v>332.23200000000003</v>
      </c>
      <c r="G446" s="121"/>
      <c r="H446" s="124">
        <v>8.5724</v>
      </c>
      <c r="I446" s="124">
        <v>181.43</v>
      </c>
      <c r="J446" s="124">
        <v>89.31</v>
      </c>
      <c r="K446" s="121"/>
      <c r="L446" s="130">
        <f t="shared" si="58"/>
        <v>0.79</v>
      </c>
      <c r="M446" s="130">
        <f t="shared" si="59"/>
        <v>0.18999885622783944</v>
      </c>
      <c r="N446" s="130">
        <f t="shared" si="60"/>
        <v>0.97999885622783944</v>
      </c>
      <c r="O446" s="130"/>
      <c r="P446" s="129">
        <f t="shared" si="57"/>
        <v>90.927199999999999</v>
      </c>
      <c r="Q446" s="129">
        <f t="shared" si="52"/>
        <v>34.317053642914331</v>
      </c>
      <c r="R446" s="121"/>
      <c r="S446" s="124">
        <v>364</v>
      </c>
      <c r="AZ446" s="98"/>
      <c r="BB446" s="98"/>
      <c r="BD446" s="98"/>
      <c r="BF446" s="98"/>
      <c r="BH446" s="98"/>
      <c r="BJ446" s="98"/>
      <c r="BL446" s="98"/>
      <c r="BN446" s="98"/>
      <c r="BP446" s="98"/>
      <c r="BR446" s="98"/>
    </row>
    <row r="447" spans="1:70">
      <c r="A447" s="123">
        <v>43395</v>
      </c>
      <c r="B447" s="121">
        <f t="shared" si="50"/>
        <v>10</v>
      </c>
      <c r="C447" s="121">
        <f t="shared" si="51"/>
        <v>2018</v>
      </c>
      <c r="D447" s="124">
        <v>1.9684999999999999</v>
      </c>
      <c r="E447" s="124">
        <v>1.555115</v>
      </c>
      <c r="F447" s="109">
        <v>374.01499999999999</v>
      </c>
      <c r="G447" s="121"/>
      <c r="H447" s="124">
        <v>8.3129999999999988</v>
      </c>
      <c r="I447" s="124">
        <v>185.03</v>
      </c>
      <c r="J447" s="124">
        <v>77.02</v>
      </c>
      <c r="K447" s="121"/>
      <c r="L447" s="130">
        <f t="shared" si="58"/>
        <v>0.79</v>
      </c>
      <c r="M447" s="130">
        <f t="shared" si="59"/>
        <v>0.19</v>
      </c>
      <c r="N447" s="130">
        <f t="shared" si="60"/>
        <v>0.98</v>
      </c>
      <c r="O447" s="130"/>
      <c r="P447" s="129">
        <f t="shared" si="57"/>
        <v>102.36199999999999</v>
      </c>
      <c r="Q447" s="129">
        <f t="shared" si="52"/>
        <v>29.561087122174243</v>
      </c>
      <c r="R447" s="121"/>
      <c r="S447" s="124">
        <v>354</v>
      </c>
      <c r="AZ447" s="98"/>
      <c r="BB447" s="98"/>
      <c r="BD447" s="98"/>
      <c r="BF447" s="98"/>
      <c r="BH447" s="98"/>
      <c r="BJ447" s="98"/>
      <c r="BL447" s="98"/>
      <c r="BN447" s="98"/>
      <c r="BP447" s="98"/>
      <c r="BR447" s="98"/>
    </row>
    <row r="448" spans="1:70">
      <c r="A448" s="123">
        <v>43402</v>
      </c>
      <c r="B448" s="121">
        <f t="shared" si="50"/>
        <v>10</v>
      </c>
      <c r="C448" s="121">
        <f t="shared" si="51"/>
        <v>2018</v>
      </c>
      <c r="D448" s="124">
        <v>2.0154000000000001</v>
      </c>
      <c r="E448" s="124">
        <v>1.592166</v>
      </c>
      <c r="F448" s="109">
        <v>382.92599999999999</v>
      </c>
      <c r="G448" s="121"/>
      <c r="H448" s="124">
        <v>7.9625000000000004</v>
      </c>
      <c r="I448" s="124">
        <v>185.77</v>
      </c>
      <c r="J448" s="124">
        <v>89.36</v>
      </c>
      <c r="K448" s="121"/>
      <c r="L448" s="130">
        <f t="shared" si="58"/>
        <v>0.78999999999999992</v>
      </c>
      <c r="M448" s="130">
        <f t="shared" si="59"/>
        <v>0.18999999999999997</v>
      </c>
      <c r="N448" s="130">
        <f t="shared" si="60"/>
        <v>0.97999999999999987</v>
      </c>
      <c r="O448" s="130"/>
      <c r="P448" s="129">
        <f t="shared" si="57"/>
        <v>104.80080000000001</v>
      </c>
      <c r="Q448" s="129">
        <f t="shared" si="52"/>
        <v>27.655800337402002</v>
      </c>
      <c r="R448" s="121"/>
      <c r="S448" s="124">
        <v>124</v>
      </c>
      <c r="AZ448" s="98"/>
      <c r="BB448" s="98"/>
      <c r="BD448" s="98"/>
      <c r="BF448" s="98"/>
      <c r="BH448" s="98"/>
      <c r="BJ448" s="98"/>
      <c r="BL448" s="98"/>
      <c r="BN448" s="98"/>
      <c r="BP448" s="98"/>
      <c r="BR448" s="98"/>
    </row>
    <row r="449" spans="1:70">
      <c r="A449" s="123">
        <v>43409</v>
      </c>
      <c r="B449" s="121">
        <f t="shared" si="50"/>
        <v>11</v>
      </c>
      <c r="C449" s="121">
        <f t="shared" si="51"/>
        <v>2018</v>
      </c>
      <c r="D449" s="124">
        <v>1.8651</v>
      </c>
      <c r="E449" s="124">
        <v>1.4734290000000001</v>
      </c>
      <c r="F449" s="109">
        <v>354.36900000000003</v>
      </c>
      <c r="G449" s="121"/>
      <c r="H449" s="124">
        <v>7.5060000000000002</v>
      </c>
      <c r="I449" s="124">
        <v>184.8</v>
      </c>
      <c r="J449" s="124">
        <v>96.89</v>
      </c>
      <c r="K449" s="121"/>
      <c r="L449" s="130">
        <f t="shared" si="58"/>
        <v>0.79</v>
      </c>
      <c r="M449" s="130">
        <f t="shared" si="59"/>
        <v>0.19000000000000003</v>
      </c>
      <c r="N449" s="130">
        <f t="shared" si="60"/>
        <v>0.98000000000000009</v>
      </c>
      <c r="O449" s="130"/>
      <c r="P449" s="129">
        <f t="shared" si="57"/>
        <v>96.985199999999992</v>
      </c>
      <c r="Q449" s="129">
        <f t="shared" si="52"/>
        <v>28.171143638410811</v>
      </c>
      <c r="R449" s="121"/>
      <c r="S449" s="124">
        <v>49</v>
      </c>
      <c r="AZ449" s="98"/>
      <c r="BB449" s="98"/>
      <c r="BD449" s="98"/>
      <c r="BF449" s="98"/>
      <c r="BH449" s="98"/>
      <c r="BJ449" s="98"/>
      <c r="BL449" s="98"/>
      <c r="BN449" s="98"/>
      <c r="BP449" s="98"/>
      <c r="BR449" s="98"/>
    </row>
    <row r="450" spans="1:70">
      <c r="A450" s="123">
        <v>43416</v>
      </c>
      <c r="B450" s="121">
        <f t="shared" ref="B450:B513" si="61">MONTH(A450)</f>
        <v>11</v>
      </c>
      <c r="C450" s="121">
        <f t="shared" ref="C450:C513" si="62">YEAR(A450)</f>
        <v>2018</v>
      </c>
      <c r="D450" s="124">
        <v>1.6974</v>
      </c>
      <c r="E450" s="124">
        <v>1.340946</v>
      </c>
      <c r="F450" s="109">
        <v>322.50599999999997</v>
      </c>
      <c r="G450" s="121"/>
      <c r="H450" s="124">
        <v>7.4520000000000008</v>
      </c>
      <c r="I450" s="124">
        <v>181.84</v>
      </c>
      <c r="J450" s="124">
        <v>97.55</v>
      </c>
      <c r="K450" s="121"/>
      <c r="L450" s="130">
        <f t="shared" si="58"/>
        <v>0.78999999999999992</v>
      </c>
      <c r="M450" s="130">
        <f t="shared" si="59"/>
        <v>0.18999999999999997</v>
      </c>
      <c r="N450" s="130">
        <f t="shared" si="60"/>
        <v>0.97999999999999987</v>
      </c>
      <c r="O450" s="130"/>
      <c r="P450" s="129">
        <f t="shared" si="57"/>
        <v>88.264800000000008</v>
      </c>
      <c r="Q450" s="129">
        <f t="shared" si="52"/>
        <v>30.731707317073177</v>
      </c>
      <c r="R450" s="121"/>
      <c r="S450" s="124">
        <v>1.25</v>
      </c>
      <c r="AZ450" s="98"/>
      <c r="BB450" s="98"/>
      <c r="BD450" s="98"/>
      <c r="BF450" s="98"/>
      <c r="BH450" s="98"/>
      <c r="BJ450" s="98"/>
      <c r="BL450" s="98"/>
      <c r="BN450" s="98"/>
      <c r="BP450" s="98"/>
      <c r="BR450" s="98"/>
    </row>
    <row r="451" spans="1:70">
      <c r="A451" s="123">
        <v>43423</v>
      </c>
      <c r="B451" s="121">
        <f t="shared" si="61"/>
        <v>11</v>
      </c>
      <c r="C451" s="121">
        <f t="shared" si="62"/>
        <v>2018</v>
      </c>
      <c r="D451" s="124">
        <v>1.6948000000000001</v>
      </c>
      <c r="E451" s="124">
        <v>1.338892</v>
      </c>
      <c r="F451" s="109">
        <v>322.012</v>
      </c>
      <c r="G451" s="121"/>
      <c r="H451" s="124">
        <v>7.4520000000000008</v>
      </c>
      <c r="I451" s="124">
        <v>181.44</v>
      </c>
      <c r="J451" s="124">
        <v>102.76</v>
      </c>
      <c r="K451" s="121"/>
      <c r="L451" s="130">
        <f t="shared" si="58"/>
        <v>0.78999999999999992</v>
      </c>
      <c r="M451" s="130">
        <f t="shared" si="59"/>
        <v>0.19</v>
      </c>
      <c r="N451" s="130">
        <f t="shared" si="60"/>
        <v>0.98</v>
      </c>
      <c r="O451" s="130"/>
      <c r="P451" s="129">
        <f t="shared" si="57"/>
        <v>88.129600000000011</v>
      </c>
      <c r="Q451" s="129">
        <f t="shared" si="52"/>
        <v>30.77885296200142</v>
      </c>
      <c r="R451" s="121"/>
      <c r="S451" s="124">
        <v>10</v>
      </c>
      <c r="AZ451" s="98"/>
      <c r="BB451" s="98"/>
      <c r="BD451" s="98"/>
      <c r="BF451" s="98"/>
      <c r="BH451" s="98"/>
      <c r="BJ451" s="98"/>
      <c r="BL451" s="98"/>
      <c r="BN451" s="98"/>
      <c r="BP451" s="98"/>
      <c r="BR451" s="98"/>
    </row>
    <row r="452" spans="1:70">
      <c r="A452" s="123">
        <v>43430</v>
      </c>
      <c r="B452" s="121">
        <f t="shared" si="61"/>
        <v>11</v>
      </c>
      <c r="C452" s="121">
        <f t="shared" si="62"/>
        <v>2018</v>
      </c>
      <c r="D452" s="124">
        <v>1.716</v>
      </c>
      <c r="E452" s="124">
        <v>1.35564</v>
      </c>
      <c r="F452" s="109">
        <v>326.04000000000002</v>
      </c>
      <c r="G452" s="121"/>
      <c r="H452" s="124">
        <v>7.5520000000000005</v>
      </c>
      <c r="I452" s="124">
        <v>180.2</v>
      </c>
      <c r="J452" s="124">
        <v>100.1</v>
      </c>
      <c r="K452" s="121"/>
      <c r="L452" s="130">
        <f t="shared" si="58"/>
        <v>0.79</v>
      </c>
      <c r="M452" s="130">
        <f t="shared" si="59"/>
        <v>0.19</v>
      </c>
      <c r="N452" s="130">
        <f t="shared" si="60"/>
        <v>0.98</v>
      </c>
      <c r="O452" s="130"/>
      <c r="P452" s="129">
        <f t="shared" si="57"/>
        <v>89.231999999999999</v>
      </c>
      <c r="Q452" s="129">
        <f t="shared" si="52"/>
        <v>30.806526806526808</v>
      </c>
      <c r="R452" s="121"/>
      <c r="S452" s="124">
        <v>-29</v>
      </c>
      <c r="AZ452" s="98"/>
      <c r="BB452" s="98"/>
      <c r="BD452" s="98"/>
      <c r="BF452" s="98"/>
      <c r="BH452" s="98"/>
      <c r="BJ452" s="98"/>
      <c r="BL452" s="98"/>
      <c r="BN452" s="98"/>
      <c r="BP452" s="98"/>
      <c r="BR452" s="98"/>
    </row>
    <row r="453" spans="1:70">
      <c r="A453" s="123">
        <v>43437</v>
      </c>
      <c r="B453" s="121">
        <f t="shared" si="61"/>
        <v>12</v>
      </c>
      <c r="C453" s="121">
        <f t="shared" si="62"/>
        <v>2018</v>
      </c>
      <c r="D453" s="124">
        <v>1.69</v>
      </c>
      <c r="E453" s="124">
        <v>1.3351</v>
      </c>
      <c r="F453" s="109">
        <v>321.10000000000002</v>
      </c>
      <c r="G453" s="121"/>
      <c r="H453" s="124">
        <v>6.9795000000000007</v>
      </c>
      <c r="I453" s="124">
        <v>178.5</v>
      </c>
      <c r="J453" s="124">
        <v>94.3</v>
      </c>
      <c r="K453" s="121"/>
      <c r="L453" s="130">
        <f t="shared" si="58"/>
        <v>0.79</v>
      </c>
      <c r="M453" s="130">
        <f t="shared" si="59"/>
        <v>0.19</v>
      </c>
      <c r="N453" s="130">
        <f t="shared" si="60"/>
        <v>0.98</v>
      </c>
      <c r="O453" s="130"/>
      <c r="P453" s="129">
        <f t="shared" si="57"/>
        <v>87.88</v>
      </c>
      <c r="Q453" s="129">
        <f t="shared" si="52"/>
        <v>28.90917159763314</v>
      </c>
      <c r="R453" s="121"/>
      <c r="S453" s="124">
        <v>-29</v>
      </c>
      <c r="AZ453" s="98"/>
      <c r="BB453" s="98"/>
      <c r="BD453" s="98"/>
      <c r="BF453" s="98"/>
      <c r="BH453" s="98"/>
      <c r="BJ453" s="98"/>
      <c r="BL453" s="98"/>
      <c r="BN453" s="98"/>
      <c r="BP453" s="98"/>
      <c r="BR453" s="98"/>
    </row>
    <row r="454" spans="1:70">
      <c r="A454" s="123">
        <v>43444</v>
      </c>
      <c r="B454" s="121">
        <f t="shared" si="61"/>
        <v>12</v>
      </c>
      <c r="C454" s="121">
        <f t="shared" si="62"/>
        <v>2018</v>
      </c>
      <c r="D454" s="124">
        <v>1.669</v>
      </c>
      <c r="E454" s="124">
        <v>1.3185100000000001</v>
      </c>
      <c r="F454" s="109">
        <v>317.11</v>
      </c>
      <c r="G454" s="121"/>
      <c r="H454" s="124">
        <v>6.6270000000000007</v>
      </c>
      <c r="I454" s="124">
        <v>174.87</v>
      </c>
      <c r="J454" s="124">
        <v>93.74</v>
      </c>
      <c r="K454" s="121"/>
      <c r="L454" s="130">
        <f t="shared" si="58"/>
        <v>0.79</v>
      </c>
      <c r="M454" s="130">
        <f t="shared" si="59"/>
        <v>0.19</v>
      </c>
      <c r="N454" s="130">
        <f t="shared" si="60"/>
        <v>0.98</v>
      </c>
      <c r="O454" s="130"/>
      <c r="P454" s="129">
        <f t="shared" si="57"/>
        <v>86.787999999999997</v>
      </c>
      <c r="Q454" s="129">
        <f t="shared" si="52"/>
        <v>27.794487717195928</v>
      </c>
      <c r="R454" s="121"/>
      <c r="S454" s="124">
        <v>-296</v>
      </c>
      <c r="AZ454" s="98"/>
      <c r="BB454" s="98"/>
      <c r="BD454" s="98"/>
      <c r="BF454" s="98"/>
      <c r="BH454" s="98"/>
      <c r="BJ454" s="98"/>
      <c r="BL454" s="98"/>
      <c r="BN454" s="98"/>
      <c r="BP454" s="98"/>
      <c r="BR454" s="98"/>
    </row>
    <row r="455" spans="1:70">
      <c r="A455" s="123">
        <v>43451</v>
      </c>
      <c r="B455" s="121">
        <f t="shared" si="61"/>
        <v>12</v>
      </c>
      <c r="C455" s="121">
        <f t="shared" si="62"/>
        <v>2018</v>
      </c>
      <c r="D455" s="124">
        <v>1.6053999999999999</v>
      </c>
      <c r="E455" s="124">
        <v>1.2682659999999999</v>
      </c>
      <c r="F455" s="109">
        <v>305.02600000000001</v>
      </c>
      <c r="G455" s="121"/>
      <c r="H455" s="124"/>
      <c r="I455" s="124"/>
      <c r="J455" s="124"/>
      <c r="K455" s="121"/>
      <c r="L455" s="130">
        <f t="shared" si="58"/>
        <v>0.78999999999999992</v>
      </c>
      <c r="M455" s="130">
        <f t="shared" si="59"/>
        <v>0.19000000000000003</v>
      </c>
      <c r="N455" s="130">
        <f t="shared" si="60"/>
        <v>0.98</v>
      </c>
      <c r="O455" s="130"/>
      <c r="P455" s="129">
        <f t="shared" si="57"/>
        <v>83.480800000000002</v>
      </c>
      <c r="Q455" s="129" t="str">
        <f t="shared" si="52"/>
        <v/>
      </c>
      <c r="R455" s="121"/>
      <c r="S455" s="124">
        <v>-401</v>
      </c>
      <c r="AZ455" s="98"/>
      <c r="BB455" s="98"/>
      <c r="BD455" s="98"/>
      <c r="BF455" s="98"/>
      <c r="BH455" s="98"/>
      <c r="BJ455" s="98"/>
      <c r="BL455" s="98"/>
      <c r="BN455" s="98"/>
      <c r="BP455" s="98"/>
      <c r="BR455" s="98"/>
    </row>
    <row r="456" spans="1:70">
      <c r="A456" s="123">
        <v>43458</v>
      </c>
      <c r="B456" s="121">
        <f t="shared" si="61"/>
        <v>12</v>
      </c>
      <c r="C456" s="121">
        <f t="shared" si="62"/>
        <v>2018</v>
      </c>
      <c r="D456" s="124">
        <v>1.8628</v>
      </c>
      <c r="E456" s="124">
        <v>1.4716119999999999</v>
      </c>
      <c r="F456" s="109">
        <v>353.93200000000002</v>
      </c>
      <c r="G456" s="121"/>
      <c r="H456" s="124">
        <v>6.5729999999999995</v>
      </c>
      <c r="I456" s="124">
        <v>164.57</v>
      </c>
      <c r="J456" s="124">
        <v>95.09</v>
      </c>
      <c r="K456" s="121"/>
      <c r="L456" s="130">
        <f t="shared" si="58"/>
        <v>0.78999999999999992</v>
      </c>
      <c r="M456" s="130">
        <f t="shared" si="59"/>
        <v>0.19</v>
      </c>
      <c r="N456" s="130">
        <f t="shared" si="60"/>
        <v>0.98</v>
      </c>
      <c r="O456" s="130"/>
      <c r="P456" s="129">
        <f t="shared" si="57"/>
        <v>96.865600000000001</v>
      </c>
      <c r="Q456" s="129">
        <f t="shared" si="52"/>
        <v>24.699914107794719</v>
      </c>
      <c r="R456" s="121"/>
      <c r="S456" s="124">
        <v>-450</v>
      </c>
      <c r="AZ456" s="98"/>
      <c r="BB456" s="98"/>
      <c r="BD456" s="98"/>
      <c r="BF456" s="98"/>
      <c r="BH456" s="98"/>
      <c r="BJ456" s="98"/>
      <c r="BL456" s="98"/>
      <c r="BN456" s="98"/>
      <c r="BP456" s="98"/>
      <c r="BR456" s="98"/>
    </row>
    <row r="457" spans="1:70">
      <c r="A457" s="123">
        <v>43465</v>
      </c>
      <c r="B457" s="121">
        <f t="shared" si="61"/>
        <v>12</v>
      </c>
      <c r="C457" s="121">
        <f t="shared" si="62"/>
        <v>2018</v>
      </c>
      <c r="D457" s="125"/>
      <c r="E457" s="125"/>
      <c r="F457" s="125"/>
      <c r="G457" s="121"/>
      <c r="H457" s="124">
        <v>6.5354999999999999</v>
      </c>
      <c r="I457" s="124">
        <v>162.84</v>
      </c>
      <c r="J457" s="124">
        <v>113.16</v>
      </c>
      <c r="K457" s="121"/>
      <c r="L457" s="130"/>
      <c r="M457" s="130"/>
      <c r="N457" s="130"/>
      <c r="O457" s="130"/>
      <c r="P457" s="129">
        <f t="shared" si="57"/>
        <v>0</v>
      </c>
      <c r="Q457" s="129" t="str">
        <f t="shared" si="52"/>
        <v/>
      </c>
      <c r="R457" s="121"/>
      <c r="S457" s="124">
        <v>-415</v>
      </c>
      <c r="AZ457" s="98"/>
      <c r="BB457" s="98"/>
      <c r="BD457" s="98"/>
      <c r="BF457" s="98"/>
      <c r="BH457" s="98"/>
      <c r="BJ457" s="98"/>
      <c r="BL457" s="98"/>
      <c r="BN457" s="98"/>
      <c r="BP457" s="98"/>
      <c r="BR457" s="98"/>
    </row>
    <row r="458" spans="1:70">
      <c r="A458" s="123">
        <v>43472</v>
      </c>
      <c r="B458" s="121">
        <f t="shared" si="61"/>
        <v>1</v>
      </c>
      <c r="C458" s="121">
        <f t="shared" si="62"/>
        <v>2019</v>
      </c>
      <c r="D458" s="124">
        <v>1.5712999999999999</v>
      </c>
      <c r="E458" s="124">
        <v>1.2413270000000001</v>
      </c>
      <c r="F458" s="109">
        <v>298.54700000000003</v>
      </c>
      <c r="G458" s="121"/>
      <c r="H458" s="124">
        <v>6.5354999999999999</v>
      </c>
      <c r="I458" s="124">
        <v>156.69999999999999</v>
      </c>
      <c r="J458" s="124">
        <v>113.16</v>
      </c>
      <c r="K458" s="121"/>
      <c r="L458" s="130">
        <f>E458/D458</f>
        <v>0.79</v>
      </c>
      <c r="M458" s="130">
        <f>F458/1000/D458</f>
        <v>0.19</v>
      </c>
      <c r="N458" s="130">
        <f>M458+L458</f>
        <v>0.98</v>
      </c>
      <c r="O458" s="130"/>
      <c r="P458" s="129">
        <f t="shared" si="57"/>
        <v>81.707599999999999</v>
      </c>
      <c r="Q458" s="129">
        <f t="shared" si="52"/>
        <v>29.115063959778528</v>
      </c>
      <c r="R458" s="121"/>
      <c r="S458" s="124">
        <v>-417</v>
      </c>
      <c r="AZ458" s="98"/>
      <c r="BB458" s="98"/>
      <c r="BD458" s="98"/>
      <c r="BF458" s="98"/>
      <c r="BH458" s="98"/>
      <c r="BJ458" s="98"/>
      <c r="BL458" s="98"/>
      <c r="BN458" s="98"/>
      <c r="BP458" s="98"/>
      <c r="BR458" s="98"/>
    </row>
    <row r="459" spans="1:70">
      <c r="A459" s="123">
        <v>43479</v>
      </c>
      <c r="B459" s="121">
        <f t="shared" si="61"/>
        <v>1</v>
      </c>
      <c r="C459" s="121">
        <f t="shared" si="62"/>
        <v>2019</v>
      </c>
      <c r="D459" s="125"/>
      <c r="E459" s="125"/>
      <c r="F459" s="125"/>
      <c r="G459" s="121"/>
      <c r="H459" s="124">
        <v>6.6574999999999998</v>
      </c>
      <c r="I459" s="124">
        <v>148.19999999999999</v>
      </c>
      <c r="J459" s="124">
        <v>100.76</v>
      </c>
      <c r="K459" s="121"/>
      <c r="L459" s="130"/>
      <c r="M459" s="130"/>
      <c r="N459" s="130"/>
      <c r="O459" s="130"/>
      <c r="P459" s="129">
        <f t="shared" si="57"/>
        <v>0</v>
      </c>
      <c r="Q459" s="129" t="str">
        <f t="shared" si="52"/>
        <v/>
      </c>
      <c r="R459" s="121"/>
      <c r="S459" s="124">
        <v>-207</v>
      </c>
      <c r="AZ459" s="98"/>
      <c r="BB459" s="98"/>
      <c r="BD459" s="98"/>
      <c r="BF459" s="98"/>
      <c r="BH459" s="98"/>
      <c r="BJ459" s="98"/>
      <c r="BL459" s="98"/>
      <c r="BN459" s="98"/>
      <c r="BP459" s="98"/>
      <c r="BR459" s="98"/>
    </row>
    <row r="460" spans="1:70">
      <c r="A460" s="123">
        <v>43486</v>
      </c>
      <c r="B460" s="121">
        <f t="shared" si="61"/>
        <v>1</v>
      </c>
      <c r="C460" s="121">
        <f t="shared" si="62"/>
        <v>2019</v>
      </c>
      <c r="D460" s="124">
        <v>1.4765999999999999</v>
      </c>
      <c r="E460" s="124">
        <v>1.1665140000000001</v>
      </c>
      <c r="F460" s="109">
        <v>280.55399999999997</v>
      </c>
      <c r="G460" s="121"/>
      <c r="H460" s="124">
        <v>6.4770000000000003</v>
      </c>
      <c r="I460" s="124">
        <v>140.93</v>
      </c>
      <c r="J460" s="124">
        <v>84.35</v>
      </c>
      <c r="K460" s="121"/>
      <c r="L460" s="130">
        <f>E460/D460</f>
        <v>0.79</v>
      </c>
      <c r="M460" s="130">
        <f>F460/1000/D460</f>
        <v>0.19</v>
      </c>
      <c r="N460" s="130">
        <f>M460+L460</f>
        <v>0.98</v>
      </c>
      <c r="O460" s="130"/>
      <c r="P460" s="129">
        <f t="shared" si="57"/>
        <v>76.783199999999994</v>
      </c>
      <c r="Q460" s="129">
        <f t="shared" si="52"/>
        <v>30.70499796830557</v>
      </c>
      <c r="R460" s="121"/>
      <c r="S460" s="124">
        <v>-150</v>
      </c>
      <c r="AZ460" s="98"/>
      <c r="BB460" s="98"/>
      <c r="BD460" s="98"/>
      <c r="BF460" s="98"/>
      <c r="BH460" s="98"/>
      <c r="BJ460" s="98"/>
      <c r="BL460" s="98"/>
      <c r="BN460" s="98"/>
      <c r="BP460" s="98"/>
      <c r="BR460" s="98"/>
    </row>
    <row r="461" spans="1:70">
      <c r="A461" s="123">
        <v>43493</v>
      </c>
      <c r="B461" s="121">
        <f t="shared" si="61"/>
        <v>1</v>
      </c>
      <c r="C461" s="121">
        <f t="shared" si="62"/>
        <v>2019</v>
      </c>
      <c r="D461" s="124">
        <v>1.8613999999999999</v>
      </c>
      <c r="E461" s="124">
        <v>1.4705060000000001</v>
      </c>
      <c r="F461" s="109">
        <v>353.666</v>
      </c>
      <c r="G461" s="121"/>
      <c r="H461" s="124">
        <v>6.1924999999999999</v>
      </c>
      <c r="I461" s="124">
        <v>134.62</v>
      </c>
      <c r="J461" s="124">
        <v>74.36</v>
      </c>
      <c r="K461" s="121"/>
      <c r="L461" s="130">
        <f>E461/D461</f>
        <v>0.79</v>
      </c>
      <c r="M461" s="130">
        <f>F461/1000/D461</f>
        <v>0.19</v>
      </c>
      <c r="N461" s="130">
        <f>M461+L461</f>
        <v>0.98</v>
      </c>
      <c r="O461" s="130"/>
      <c r="P461" s="129">
        <f t="shared" si="57"/>
        <v>96.7928</v>
      </c>
      <c r="Q461" s="129">
        <f t="shared" si="52"/>
        <v>23.287579241431182</v>
      </c>
      <c r="R461" s="121"/>
      <c r="S461" s="124">
        <v>-180</v>
      </c>
      <c r="AZ461" s="98"/>
      <c r="BB461" s="98"/>
      <c r="BD461" s="98"/>
      <c r="BF461" s="98"/>
      <c r="BH461" s="98"/>
      <c r="BJ461" s="98"/>
      <c r="BL461" s="98"/>
      <c r="BN461" s="98"/>
      <c r="BP461" s="98"/>
      <c r="BR461" s="98"/>
    </row>
    <row r="462" spans="1:70">
      <c r="A462" s="123">
        <v>43500</v>
      </c>
      <c r="B462" s="121">
        <f t="shared" si="61"/>
        <v>2</v>
      </c>
      <c r="C462" s="121">
        <f t="shared" si="62"/>
        <v>2019</v>
      </c>
      <c r="D462" s="124">
        <v>1.3420000000000001</v>
      </c>
      <c r="E462" s="124">
        <v>1.0601799999999999</v>
      </c>
      <c r="F462" s="109">
        <v>294.58</v>
      </c>
      <c r="G462" s="121"/>
      <c r="H462" s="124"/>
      <c r="I462" s="124"/>
      <c r="J462" s="124"/>
      <c r="K462" s="121"/>
      <c r="L462" s="130">
        <f>E462/D462</f>
        <v>0.78999999999999992</v>
      </c>
      <c r="M462" s="130">
        <f>F462/1000/D462</f>
        <v>0.21950819672131147</v>
      </c>
      <c r="N462" s="130">
        <f>M462+L462</f>
        <v>1.0095081967213113</v>
      </c>
      <c r="O462" s="130"/>
      <c r="P462" s="129">
        <f t="shared" si="57"/>
        <v>69.784000000000006</v>
      </c>
      <c r="Q462" s="129" t="str">
        <f t="shared" si="52"/>
        <v/>
      </c>
      <c r="R462" s="121"/>
      <c r="S462" s="124"/>
      <c r="AZ462" s="98"/>
      <c r="BB462" s="98"/>
      <c r="BD462" s="98"/>
      <c r="BF462" s="98"/>
      <c r="BH462" s="98"/>
      <c r="BJ462" s="98"/>
      <c r="BL462" s="98"/>
      <c r="BN462" s="98"/>
      <c r="BP462" s="98"/>
      <c r="BR462" s="98"/>
    </row>
    <row r="463" spans="1:70">
      <c r="A463" s="123">
        <v>43507</v>
      </c>
      <c r="B463" s="121">
        <f t="shared" si="61"/>
        <v>2</v>
      </c>
      <c r="C463" s="121">
        <f t="shared" si="62"/>
        <v>2019</v>
      </c>
      <c r="D463" s="125"/>
      <c r="E463" s="125"/>
      <c r="F463" s="125"/>
      <c r="G463" s="121"/>
      <c r="H463" s="124"/>
      <c r="I463" s="124"/>
      <c r="J463" s="124"/>
      <c r="K463" s="121"/>
      <c r="L463" s="130"/>
      <c r="M463" s="130"/>
      <c r="N463" s="130"/>
      <c r="O463" s="130"/>
      <c r="P463" s="129">
        <f t="shared" si="57"/>
        <v>0</v>
      </c>
      <c r="Q463" s="129" t="str">
        <f t="shared" si="52"/>
        <v/>
      </c>
      <c r="R463" s="121"/>
      <c r="S463" s="124">
        <v>-220</v>
      </c>
      <c r="AZ463" s="98"/>
      <c r="BB463" s="98"/>
      <c r="BD463" s="98"/>
      <c r="BF463" s="98"/>
      <c r="BH463" s="98"/>
      <c r="BJ463" s="98"/>
      <c r="BL463" s="98"/>
      <c r="BN463" s="98"/>
      <c r="BP463" s="98"/>
      <c r="BR463" s="98"/>
    </row>
    <row r="464" spans="1:70">
      <c r="A464" s="123">
        <v>43514</v>
      </c>
      <c r="B464" s="121">
        <f t="shared" si="61"/>
        <v>2</v>
      </c>
      <c r="C464" s="121">
        <f t="shared" si="62"/>
        <v>2019</v>
      </c>
      <c r="D464" s="124">
        <v>2.3099999999999999E-2</v>
      </c>
      <c r="E464" s="124">
        <v>1.8249000000000001E-2</v>
      </c>
      <c r="F464" s="109">
        <v>4.3890000000000002</v>
      </c>
      <c r="G464" s="121"/>
      <c r="H464" s="124">
        <v>6.5625</v>
      </c>
      <c r="I464" s="124">
        <v>131.03</v>
      </c>
      <c r="J464" s="124">
        <v>56.56</v>
      </c>
      <c r="K464" s="121"/>
      <c r="L464" s="130">
        <f t="shared" ref="L464:L488" si="63">E464/D464</f>
        <v>0.79000000000000015</v>
      </c>
      <c r="M464" s="130">
        <f t="shared" ref="M464:M488" si="64">F464/1000/D464</f>
        <v>0.19000000000000003</v>
      </c>
      <c r="N464" s="130">
        <f t="shared" ref="N464:N488" si="65">M464+L464</f>
        <v>0.9800000000000002</v>
      </c>
      <c r="O464" s="130"/>
      <c r="P464" s="129">
        <f t="shared" si="57"/>
        <v>1.2012</v>
      </c>
      <c r="Q464" s="129">
        <f t="shared" si="52"/>
        <v>1988.6363636363637</v>
      </c>
      <c r="R464" s="121"/>
      <c r="S464" s="124">
        <v>-250</v>
      </c>
      <c r="AZ464" s="98"/>
      <c r="BB464" s="98"/>
      <c r="BD464" s="98"/>
      <c r="BF464" s="98"/>
      <c r="BH464" s="98"/>
      <c r="BJ464" s="98"/>
      <c r="BL464" s="98"/>
      <c r="BN464" s="98"/>
      <c r="BP464" s="98"/>
      <c r="BR464" s="98"/>
    </row>
    <row r="465" spans="1:70">
      <c r="A465" s="123">
        <v>43521</v>
      </c>
      <c r="B465" s="121">
        <f t="shared" si="61"/>
        <v>2</v>
      </c>
      <c r="C465" s="121">
        <f t="shared" si="62"/>
        <v>2019</v>
      </c>
      <c r="D465" s="124">
        <v>1.5664</v>
      </c>
      <c r="E465" s="124">
        <v>1.2374559999999999</v>
      </c>
      <c r="F465" s="109">
        <v>297.61599999999999</v>
      </c>
      <c r="G465" s="121"/>
      <c r="H465" s="124">
        <v>6.3250000000000002</v>
      </c>
      <c r="I465" s="124">
        <v>133.75</v>
      </c>
      <c r="J465" s="124">
        <v>64.47</v>
      </c>
      <c r="K465" s="121"/>
      <c r="L465" s="130">
        <f t="shared" si="63"/>
        <v>0.78999999999999992</v>
      </c>
      <c r="M465" s="130">
        <f t="shared" si="64"/>
        <v>0.19</v>
      </c>
      <c r="N465" s="130">
        <f t="shared" si="65"/>
        <v>0.98</v>
      </c>
      <c r="O465" s="130"/>
      <c r="P465" s="129">
        <f t="shared" si="57"/>
        <v>81.452799999999996</v>
      </c>
      <c r="Q465" s="129">
        <f t="shared" si="52"/>
        <v>28.26544943820225</v>
      </c>
      <c r="R465" s="121"/>
      <c r="S465" s="124">
        <v>-190</v>
      </c>
      <c r="AZ465" s="98"/>
      <c r="BB465" s="98"/>
      <c r="BD465" s="98"/>
      <c r="BF465" s="98"/>
      <c r="BH465" s="98"/>
      <c r="BJ465" s="98"/>
      <c r="BL465" s="98"/>
      <c r="BN465" s="98"/>
      <c r="BP465" s="98"/>
      <c r="BR465" s="98"/>
    </row>
    <row r="466" spans="1:70">
      <c r="A466" s="123">
        <v>43528</v>
      </c>
      <c r="B466" s="121">
        <f t="shared" si="61"/>
        <v>3</v>
      </c>
      <c r="C466" s="121">
        <f t="shared" si="62"/>
        <v>2019</v>
      </c>
      <c r="D466" s="124">
        <v>1.6776</v>
      </c>
      <c r="E466" s="124">
        <v>1.325304</v>
      </c>
      <c r="F466" s="109">
        <v>318.74400000000003</v>
      </c>
      <c r="G466" s="121"/>
      <c r="H466" s="124">
        <v>5.6139999999999999</v>
      </c>
      <c r="I466" s="124">
        <v>134.07</v>
      </c>
      <c r="J466" s="124">
        <v>70.819999999999993</v>
      </c>
      <c r="K466" s="121"/>
      <c r="L466" s="130">
        <f t="shared" si="63"/>
        <v>0.79</v>
      </c>
      <c r="M466" s="130">
        <f t="shared" si="64"/>
        <v>0.19000000000000003</v>
      </c>
      <c r="N466" s="130">
        <f t="shared" si="65"/>
        <v>0.98000000000000009</v>
      </c>
      <c r="O466" s="130"/>
      <c r="P466" s="129">
        <f t="shared" si="57"/>
        <v>87.235199999999992</v>
      </c>
      <c r="Q466" s="129">
        <f t="shared" si="52"/>
        <v>23.425131139723415</v>
      </c>
      <c r="R466" s="121"/>
      <c r="S466" s="124">
        <v>-201</v>
      </c>
      <c r="AZ466" s="98"/>
      <c r="BB466" s="98"/>
      <c r="BD466" s="98"/>
      <c r="BF466" s="98"/>
      <c r="BH466" s="98"/>
      <c r="BJ466" s="98"/>
      <c r="BL466" s="98"/>
      <c r="BN466" s="98"/>
      <c r="BP466" s="98"/>
      <c r="BR466" s="98"/>
    </row>
    <row r="467" spans="1:70">
      <c r="A467" s="123">
        <v>43535</v>
      </c>
      <c r="B467" s="121">
        <f t="shared" si="61"/>
        <v>3</v>
      </c>
      <c r="C467" s="121">
        <f t="shared" si="62"/>
        <v>2019</v>
      </c>
      <c r="D467" s="124">
        <v>1.5158</v>
      </c>
      <c r="E467" s="124">
        <v>1.1974819999999999</v>
      </c>
      <c r="F467" s="109">
        <v>288.00200000000001</v>
      </c>
      <c r="G467" s="121"/>
      <c r="H467" s="124">
        <v>4.9837999999999996</v>
      </c>
      <c r="I467" s="124">
        <v>136.03</v>
      </c>
      <c r="J467" s="124">
        <v>66.86</v>
      </c>
      <c r="K467" s="121"/>
      <c r="L467" s="130">
        <f t="shared" si="63"/>
        <v>0.78999999999999992</v>
      </c>
      <c r="M467" s="130">
        <f t="shared" si="64"/>
        <v>0.19000000000000003</v>
      </c>
      <c r="N467" s="130">
        <f t="shared" si="65"/>
        <v>0.98</v>
      </c>
      <c r="O467" s="130"/>
      <c r="P467" s="129">
        <f t="shared" si="57"/>
        <v>78.821600000000004</v>
      </c>
      <c r="Q467" s="129">
        <f t="shared" si="52"/>
        <v>23.015305449267711</v>
      </c>
      <c r="R467" s="121"/>
      <c r="S467" s="124">
        <v>-171</v>
      </c>
      <c r="AZ467" s="98"/>
      <c r="BB467" s="98"/>
      <c r="BD467" s="98"/>
      <c r="BF467" s="98"/>
      <c r="BH467" s="98"/>
      <c r="BJ467" s="98"/>
      <c r="BL467" s="98"/>
      <c r="BN467" s="98"/>
      <c r="BP467" s="98"/>
      <c r="BR467" s="98"/>
    </row>
    <row r="468" spans="1:70">
      <c r="A468" s="123">
        <v>43542</v>
      </c>
      <c r="B468" s="121">
        <f t="shared" si="61"/>
        <v>3</v>
      </c>
      <c r="C468" s="121">
        <f t="shared" si="62"/>
        <v>2019</v>
      </c>
      <c r="D468" s="124">
        <v>1.5818000000000001</v>
      </c>
      <c r="E468" s="124">
        <v>1.249622</v>
      </c>
      <c r="F468" s="109">
        <v>300.54199999999997</v>
      </c>
      <c r="G468" s="121"/>
      <c r="H468" s="124">
        <v>4.556</v>
      </c>
      <c r="I468" s="124">
        <v>138.13999999999999</v>
      </c>
      <c r="J468" s="124">
        <v>64.39</v>
      </c>
      <c r="K468" s="121"/>
      <c r="L468" s="130">
        <f t="shared" si="63"/>
        <v>0.78999999999999992</v>
      </c>
      <c r="M468" s="130">
        <f t="shared" si="64"/>
        <v>0.18999999999999997</v>
      </c>
      <c r="N468" s="130">
        <f t="shared" si="65"/>
        <v>0.97999999999999987</v>
      </c>
      <c r="O468" s="130"/>
      <c r="P468" s="129">
        <f t="shared" si="57"/>
        <v>82.253600000000006</v>
      </c>
      <c r="Q468" s="129">
        <f t="shared" ref="Q468:Q531" si="66">IF(H468="","",IF(D468="","",H468/(D468/7)))</f>
        <v>20.161840940700468</v>
      </c>
      <c r="R468" s="121"/>
      <c r="S468" s="124">
        <v>-215</v>
      </c>
      <c r="AZ468" s="98"/>
      <c r="BB468" s="98"/>
      <c r="BD468" s="98"/>
      <c r="BF468" s="98"/>
      <c r="BH468" s="98"/>
      <c r="BJ468" s="98"/>
      <c r="BL468" s="98"/>
      <c r="BN468" s="98"/>
      <c r="BP468" s="98"/>
      <c r="BR468" s="98"/>
    </row>
    <row r="469" spans="1:70">
      <c r="A469" s="123">
        <v>43549</v>
      </c>
      <c r="B469" s="121">
        <f t="shared" si="61"/>
        <v>3</v>
      </c>
      <c r="C469" s="121">
        <f t="shared" si="62"/>
        <v>2019</v>
      </c>
      <c r="D469" s="124">
        <v>1.60975</v>
      </c>
      <c r="E469" s="124">
        <v>1.2717020000000001</v>
      </c>
      <c r="F469" s="109">
        <v>305.85199999999998</v>
      </c>
      <c r="G469" s="121"/>
      <c r="H469" s="124">
        <v>4.5255000000000001</v>
      </c>
      <c r="I469" s="124">
        <v>136.47</v>
      </c>
      <c r="J469" s="124">
        <v>62.31</v>
      </c>
      <c r="K469" s="121"/>
      <c r="L469" s="130">
        <f t="shared" si="63"/>
        <v>0.78999968939276288</v>
      </c>
      <c r="M469" s="130">
        <f t="shared" si="64"/>
        <v>0.18999968939276282</v>
      </c>
      <c r="N469" s="130">
        <f t="shared" si="65"/>
        <v>0.97999937878552568</v>
      </c>
      <c r="O469" s="130"/>
      <c r="P469" s="129">
        <f t="shared" si="57"/>
        <v>83.706999999999994</v>
      </c>
      <c r="Q469" s="129">
        <f t="shared" si="66"/>
        <v>19.679142724025471</v>
      </c>
      <c r="R469" s="121"/>
      <c r="S469" s="124">
        <v>-215</v>
      </c>
      <c r="AZ469" s="98"/>
      <c r="BB469" s="98"/>
      <c r="BD469" s="98"/>
      <c r="BF469" s="98"/>
      <c r="BH469" s="98"/>
      <c r="BJ469" s="98"/>
      <c r="BL469" s="98"/>
      <c r="BN469" s="98"/>
      <c r="BP469" s="98"/>
      <c r="BR469" s="98"/>
    </row>
    <row r="470" spans="1:70">
      <c r="A470" s="123">
        <v>43556</v>
      </c>
      <c r="B470" s="121">
        <f t="shared" si="61"/>
        <v>4</v>
      </c>
      <c r="C470" s="121">
        <f t="shared" si="62"/>
        <v>2019</v>
      </c>
      <c r="D470" s="124">
        <v>1.66845</v>
      </c>
      <c r="E470" s="124">
        <v>1.3180750000000001</v>
      </c>
      <c r="F470" s="109">
        <v>317.005</v>
      </c>
      <c r="G470" s="121"/>
      <c r="H470" s="124">
        <v>4.4619999999999997</v>
      </c>
      <c r="I470" s="124">
        <v>134.47999999999999</v>
      </c>
      <c r="J470" s="124">
        <v>63.22</v>
      </c>
      <c r="K470" s="121"/>
      <c r="L470" s="130">
        <f t="shared" si="63"/>
        <v>0.78999970032065692</v>
      </c>
      <c r="M470" s="130">
        <f t="shared" si="64"/>
        <v>0.18999970032065688</v>
      </c>
      <c r="N470" s="130">
        <f t="shared" si="65"/>
        <v>0.97999940064131374</v>
      </c>
      <c r="O470" s="130"/>
      <c r="P470" s="129">
        <f t="shared" si="57"/>
        <v>86.759399999999999</v>
      </c>
      <c r="Q470" s="129">
        <f t="shared" si="66"/>
        <v>18.7203692049507</v>
      </c>
      <c r="R470" s="121"/>
      <c r="S470" s="124">
        <v>-276</v>
      </c>
      <c r="AZ470" s="98"/>
      <c r="BB470" s="98"/>
      <c r="BD470" s="98"/>
      <c r="BF470" s="98"/>
      <c r="BH470" s="98"/>
      <c r="BJ470" s="98"/>
      <c r="BL470" s="98"/>
      <c r="BN470" s="98"/>
      <c r="BP470" s="98"/>
      <c r="BR470" s="98"/>
    </row>
    <row r="471" spans="1:70">
      <c r="A471" s="123">
        <v>43563</v>
      </c>
      <c r="B471" s="121">
        <f t="shared" si="61"/>
        <v>4</v>
      </c>
      <c r="C471" s="121">
        <f t="shared" si="62"/>
        <v>2019</v>
      </c>
      <c r="D471" s="124">
        <v>1.60385</v>
      </c>
      <c r="E471" s="124">
        <v>1.2670410000000001</v>
      </c>
      <c r="F471" s="109">
        <v>304.73099999999999</v>
      </c>
      <c r="G471" s="121"/>
      <c r="H471" s="124">
        <v>4.8260000000000005</v>
      </c>
      <c r="I471" s="124">
        <v>133.68</v>
      </c>
      <c r="J471" s="124">
        <v>60.84</v>
      </c>
      <c r="K471" s="121"/>
      <c r="L471" s="130">
        <f t="shared" si="63"/>
        <v>0.7899996882501481</v>
      </c>
      <c r="M471" s="130">
        <f t="shared" si="64"/>
        <v>0.18999968825014807</v>
      </c>
      <c r="N471" s="130">
        <f t="shared" si="65"/>
        <v>0.97999937650029612</v>
      </c>
      <c r="O471" s="130"/>
      <c r="P471" s="129">
        <f t="shared" si="57"/>
        <v>83.400199999999998</v>
      </c>
      <c r="Q471" s="129">
        <f t="shared" si="66"/>
        <v>21.063066995043179</v>
      </c>
      <c r="R471" s="121"/>
      <c r="S471" s="124">
        <v>-186</v>
      </c>
      <c r="AZ471" s="98"/>
      <c r="BB471" s="98"/>
      <c r="BD471" s="98"/>
      <c r="BF471" s="98"/>
      <c r="BH471" s="98"/>
      <c r="BJ471" s="98"/>
      <c r="BL471" s="98"/>
      <c r="BN471" s="98"/>
      <c r="BP471" s="98"/>
      <c r="BR471" s="98"/>
    </row>
    <row r="472" spans="1:70">
      <c r="A472" s="123">
        <v>43570</v>
      </c>
      <c r="B472" s="121">
        <f t="shared" si="61"/>
        <v>4</v>
      </c>
      <c r="C472" s="121">
        <f t="shared" si="62"/>
        <v>2019</v>
      </c>
      <c r="D472" s="124">
        <v>1.6892499999999999</v>
      </c>
      <c r="E472" s="124">
        <v>1.3345070000000001</v>
      </c>
      <c r="F472" s="109">
        <v>320.95699999999999</v>
      </c>
      <c r="G472" s="121"/>
      <c r="H472" s="124">
        <v>4.859</v>
      </c>
      <c r="I472" s="124">
        <v>135.55000000000001</v>
      </c>
      <c r="J472" s="124">
        <v>67.81</v>
      </c>
      <c r="K472" s="121"/>
      <c r="L472" s="130">
        <f t="shared" si="63"/>
        <v>0.78999970401065567</v>
      </c>
      <c r="M472" s="130">
        <f t="shared" si="64"/>
        <v>0.18999970401065563</v>
      </c>
      <c r="N472" s="130">
        <f t="shared" si="65"/>
        <v>0.97999940802131125</v>
      </c>
      <c r="O472" s="130"/>
      <c r="P472" s="129">
        <f t="shared" si="57"/>
        <v>87.840999999999994</v>
      </c>
      <c r="Q472" s="129">
        <f t="shared" si="66"/>
        <v>20.134971141038925</v>
      </c>
      <c r="R472" s="121"/>
      <c r="S472" s="124">
        <v>-186</v>
      </c>
      <c r="AZ472" s="98"/>
      <c r="BB472" s="98"/>
      <c r="BD472" s="98"/>
      <c r="BF472" s="98"/>
      <c r="BH472" s="98"/>
      <c r="BJ472" s="98"/>
      <c r="BL472" s="98"/>
      <c r="BN472" s="98"/>
      <c r="BP472" s="98"/>
      <c r="BR472" s="98"/>
    </row>
    <row r="473" spans="1:70">
      <c r="A473" s="123">
        <v>43577</v>
      </c>
      <c r="B473" s="121">
        <f t="shared" si="61"/>
        <v>4</v>
      </c>
      <c r="C473" s="121">
        <f t="shared" si="62"/>
        <v>2019</v>
      </c>
      <c r="D473" s="124">
        <v>1.8223499999999999</v>
      </c>
      <c r="E473" s="124">
        <v>1.439656</v>
      </c>
      <c r="F473" s="109">
        <v>346.24599999999998</v>
      </c>
      <c r="G473" s="121"/>
      <c r="H473" s="124">
        <v>4.7465000000000002</v>
      </c>
      <c r="I473" s="124">
        <v>138.16</v>
      </c>
      <c r="J473" s="124">
        <v>70.180000000000007</v>
      </c>
      <c r="K473" s="121"/>
      <c r="L473" s="130">
        <f t="shared" si="63"/>
        <v>0.78999972562899556</v>
      </c>
      <c r="M473" s="130">
        <f t="shared" si="64"/>
        <v>0.18999972562899553</v>
      </c>
      <c r="N473" s="130">
        <f t="shared" si="65"/>
        <v>0.97999945125799104</v>
      </c>
      <c r="O473" s="130"/>
      <c r="P473" s="129">
        <f t="shared" si="57"/>
        <v>94.762199999999993</v>
      </c>
      <c r="Q473" s="129">
        <f t="shared" si="66"/>
        <v>18.232227618185313</v>
      </c>
      <c r="R473" s="121"/>
      <c r="S473" s="124">
        <v>-181</v>
      </c>
      <c r="AZ473" s="98"/>
      <c r="BB473" s="98"/>
      <c r="BD473" s="98"/>
      <c r="BF473" s="98"/>
      <c r="BH473" s="98"/>
      <c r="BJ473" s="98"/>
      <c r="BL473" s="98"/>
      <c r="BN473" s="98"/>
      <c r="BP473" s="98"/>
      <c r="BR473" s="98"/>
    </row>
    <row r="474" spans="1:70">
      <c r="A474" s="123">
        <v>43584</v>
      </c>
      <c r="B474" s="121">
        <f t="shared" si="61"/>
        <v>4</v>
      </c>
      <c r="C474" s="121">
        <f t="shared" si="62"/>
        <v>2019</v>
      </c>
      <c r="D474" s="124">
        <v>1.6603000000000001</v>
      </c>
      <c r="E474" s="124">
        <v>1.3116369999999999</v>
      </c>
      <c r="F474" s="109">
        <v>315.45699999999999</v>
      </c>
      <c r="G474" s="121"/>
      <c r="H474" s="124">
        <v>4.718</v>
      </c>
      <c r="I474" s="124">
        <v>138.21</v>
      </c>
      <c r="J474" s="124">
        <v>62.22</v>
      </c>
      <c r="K474" s="121"/>
      <c r="L474" s="130">
        <f t="shared" si="63"/>
        <v>0.78999999999999992</v>
      </c>
      <c r="M474" s="130">
        <f t="shared" si="64"/>
        <v>0.18999999999999997</v>
      </c>
      <c r="N474" s="130">
        <f t="shared" si="65"/>
        <v>0.97999999999999987</v>
      </c>
      <c r="O474" s="130"/>
      <c r="P474" s="129">
        <f t="shared" si="57"/>
        <v>86.335599999999999</v>
      </c>
      <c r="Q474" s="129">
        <f t="shared" si="66"/>
        <v>19.891585857977471</v>
      </c>
      <c r="R474" s="121"/>
      <c r="S474" s="124">
        <v>-181</v>
      </c>
      <c r="AZ474" s="98"/>
      <c r="BB474" s="98"/>
      <c r="BD474" s="98"/>
      <c r="BF474" s="98"/>
      <c r="BH474" s="98"/>
      <c r="BJ474" s="98"/>
      <c r="BL474" s="98"/>
      <c r="BN474" s="98"/>
      <c r="BP474" s="98"/>
      <c r="BR474" s="98"/>
    </row>
    <row r="475" spans="1:70">
      <c r="A475" s="123">
        <v>43591</v>
      </c>
      <c r="B475" s="121">
        <f t="shared" si="61"/>
        <v>5</v>
      </c>
      <c r="C475" s="121">
        <f t="shared" si="62"/>
        <v>2019</v>
      </c>
      <c r="D475" s="124">
        <v>1.4898499999999999</v>
      </c>
      <c r="E475" s="124">
        <v>1.1769810000000001</v>
      </c>
      <c r="F475" s="109">
        <v>283.07100000000003</v>
      </c>
      <c r="G475" s="121"/>
      <c r="H475" s="124">
        <v>5.2620000000000005</v>
      </c>
      <c r="I475" s="124">
        <v>139.77000000000001</v>
      </c>
      <c r="J475" s="124">
        <v>65.760000000000005</v>
      </c>
      <c r="K475" s="121"/>
      <c r="L475" s="130">
        <f t="shared" si="63"/>
        <v>0.78999966439574465</v>
      </c>
      <c r="M475" s="130">
        <f t="shared" si="64"/>
        <v>0.18999966439574456</v>
      </c>
      <c r="N475" s="130">
        <f t="shared" si="65"/>
        <v>0.97999932879148921</v>
      </c>
      <c r="O475" s="130"/>
      <c r="P475" s="129">
        <f t="shared" si="57"/>
        <v>77.472200000000001</v>
      </c>
      <c r="Q475" s="129">
        <f t="shared" si="66"/>
        <v>24.723294291371619</v>
      </c>
      <c r="R475" s="121"/>
      <c r="S475" s="124">
        <v>-125</v>
      </c>
      <c r="AZ475" s="98"/>
      <c r="BB475" s="98"/>
      <c r="BD475" s="98"/>
      <c r="BF475" s="98"/>
      <c r="BH475" s="98"/>
      <c r="BJ475" s="98"/>
      <c r="BL475" s="98"/>
      <c r="BN475" s="98"/>
      <c r="BP475" s="98"/>
      <c r="BR475" s="98"/>
    </row>
    <row r="476" spans="1:70">
      <c r="A476" s="123">
        <v>43598</v>
      </c>
      <c r="B476" s="121">
        <f t="shared" si="61"/>
        <v>5</v>
      </c>
      <c r="C476" s="121">
        <f t="shared" si="62"/>
        <v>2019</v>
      </c>
      <c r="D476" s="124">
        <v>1.6712</v>
      </c>
      <c r="E476" s="124">
        <v>1.3202480000000001</v>
      </c>
      <c r="F476" s="109">
        <v>317.52800000000002</v>
      </c>
      <c r="G476" s="121"/>
      <c r="H476" s="124">
        <v>5.6129999999999995</v>
      </c>
      <c r="I476" s="124"/>
      <c r="J476" s="124">
        <v>59.07</v>
      </c>
      <c r="K476" s="121"/>
      <c r="L476" s="130">
        <f t="shared" si="63"/>
        <v>0.79</v>
      </c>
      <c r="M476" s="130">
        <f t="shared" si="64"/>
        <v>0.19000000000000003</v>
      </c>
      <c r="N476" s="130">
        <f t="shared" si="65"/>
        <v>0.98000000000000009</v>
      </c>
      <c r="O476" s="130"/>
      <c r="P476" s="129">
        <f t="shared" si="57"/>
        <v>86.9024</v>
      </c>
      <c r="Q476" s="129">
        <f t="shared" si="66"/>
        <v>23.510651029200574</v>
      </c>
      <c r="R476" s="121"/>
      <c r="S476" s="124">
        <v>33</v>
      </c>
      <c r="AZ476" s="98"/>
      <c r="BB476" s="98"/>
      <c r="BD476" s="98"/>
      <c r="BF476" s="98"/>
      <c r="BH476" s="98"/>
      <c r="BJ476" s="98"/>
      <c r="BL476" s="98"/>
      <c r="BN476" s="98"/>
      <c r="BP476" s="98"/>
      <c r="BR476" s="98"/>
    </row>
    <row r="477" spans="1:70">
      <c r="A477" s="123">
        <v>43605</v>
      </c>
      <c r="B477" s="121">
        <f t="shared" si="61"/>
        <v>5</v>
      </c>
      <c r="C477" s="121">
        <f t="shared" si="62"/>
        <v>2019</v>
      </c>
      <c r="D477" s="124">
        <v>1.9356</v>
      </c>
      <c r="E477" s="124">
        <v>1.5291239999999999</v>
      </c>
      <c r="F477" s="109">
        <v>367.76400000000001</v>
      </c>
      <c r="G477" s="121"/>
      <c r="H477" s="124">
        <v>5.4950000000000001</v>
      </c>
      <c r="I477" s="124">
        <v>144.94</v>
      </c>
      <c r="J477" s="124">
        <v>61.66</v>
      </c>
      <c r="K477" s="121"/>
      <c r="L477" s="130">
        <f t="shared" si="63"/>
        <v>0.78999999999999992</v>
      </c>
      <c r="M477" s="130">
        <f t="shared" si="64"/>
        <v>0.19000000000000003</v>
      </c>
      <c r="N477" s="130">
        <f t="shared" si="65"/>
        <v>0.98</v>
      </c>
      <c r="O477" s="130"/>
      <c r="P477" s="129">
        <f t="shared" si="57"/>
        <v>100.6512</v>
      </c>
      <c r="Q477" s="129">
        <f t="shared" si="66"/>
        <v>19.872390989873942</v>
      </c>
      <c r="R477" s="121"/>
      <c r="S477" s="124">
        <v>42</v>
      </c>
      <c r="AZ477" s="98"/>
      <c r="BB477" s="98"/>
      <c r="BD477" s="98"/>
      <c r="BF477" s="98"/>
      <c r="BH477" s="98"/>
      <c r="BJ477" s="98"/>
      <c r="BL477" s="98"/>
      <c r="BN477" s="98"/>
      <c r="BP477" s="98"/>
      <c r="BR477" s="98"/>
    </row>
    <row r="478" spans="1:70">
      <c r="A478" s="123">
        <v>43612</v>
      </c>
      <c r="B478" s="121">
        <f t="shared" si="61"/>
        <v>5</v>
      </c>
      <c r="C478" s="121">
        <f t="shared" si="62"/>
        <v>2019</v>
      </c>
      <c r="D478" s="124">
        <v>1.8576999999999999</v>
      </c>
      <c r="E478" s="124">
        <v>1.4675830000000001</v>
      </c>
      <c r="F478" s="109">
        <v>352.96300000000002</v>
      </c>
      <c r="G478" s="121"/>
      <c r="H478" s="124">
        <v>5.1080000000000005</v>
      </c>
      <c r="I478" s="124">
        <v>144.54</v>
      </c>
      <c r="J478" s="124">
        <v>61.28</v>
      </c>
      <c r="K478" s="121"/>
      <c r="L478" s="130">
        <f t="shared" si="63"/>
        <v>0.79</v>
      </c>
      <c r="M478" s="130">
        <f t="shared" si="64"/>
        <v>0.19000000000000003</v>
      </c>
      <c r="N478" s="130">
        <f t="shared" si="65"/>
        <v>0.98000000000000009</v>
      </c>
      <c r="O478" s="130"/>
      <c r="P478" s="129">
        <f t="shared" si="57"/>
        <v>96.600399999999993</v>
      </c>
      <c r="Q478" s="129">
        <f t="shared" si="66"/>
        <v>19.247456532271091</v>
      </c>
      <c r="R478" s="121"/>
      <c r="S478" s="124">
        <v>209</v>
      </c>
      <c r="AZ478" s="98"/>
      <c r="BB478" s="98"/>
      <c r="BD478" s="98"/>
      <c r="BF478" s="98"/>
      <c r="BH478" s="98"/>
      <c r="BJ478" s="98"/>
      <c r="BL478" s="98"/>
      <c r="BN478" s="98"/>
      <c r="BP478" s="98"/>
      <c r="BR478" s="98"/>
    </row>
    <row r="479" spans="1:70">
      <c r="A479" s="123">
        <v>43619</v>
      </c>
      <c r="B479" s="121">
        <f t="shared" si="61"/>
        <v>6</v>
      </c>
      <c r="C479" s="121">
        <f t="shared" si="62"/>
        <v>2019</v>
      </c>
      <c r="D479" s="124">
        <v>1.7662</v>
      </c>
      <c r="E479" s="124">
        <v>1.3952979999999999</v>
      </c>
      <c r="F479" s="109">
        <v>335.57799999999997</v>
      </c>
      <c r="G479" s="121"/>
      <c r="H479" s="124">
        <v>5.3540000000000001</v>
      </c>
      <c r="I479" s="124">
        <v>140.75</v>
      </c>
      <c r="J479" s="124">
        <v>64.09</v>
      </c>
      <c r="K479" s="121"/>
      <c r="L479" s="130">
        <f t="shared" si="63"/>
        <v>0.78999999999999992</v>
      </c>
      <c r="M479" s="130">
        <f t="shared" si="64"/>
        <v>0.19</v>
      </c>
      <c r="N479" s="130">
        <f t="shared" si="65"/>
        <v>0.98</v>
      </c>
      <c r="O479" s="130"/>
      <c r="P479" s="129">
        <f t="shared" si="57"/>
        <v>91.842399999999998</v>
      </c>
      <c r="Q479" s="129">
        <f t="shared" si="66"/>
        <v>21.219567432906807</v>
      </c>
      <c r="R479" s="121"/>
      <c r="S479" s="124">
        <v>181</v>
      </c>
      <c r="AZ479" s="98"/>
      <c r="BB479" s="98"/>
      <c r="BD479" s="98"/>
      <c r="BF479" s="98"/>
      <c r="BH479" s="98"/>
      <c r="BJ479" s="98"/>
      <c r="BL479" s="98"/>
      <c r="BN479" s="98"/>
      <c r="BP479" s="98"/>
      <c r="BR479" s="98"/>
    </row>
    <row r="480" spans="1:70">
      <c r="A480" s="123">
        <v>43626</v>
      </c>
      <c r="B480" s="121">
        <f t="shared" si="61"/>
        <v>6</v>
      </c>
      <c r="C480" s="121">
        <f t="shared" si="62"/>
        <v>2019</v>
      </c>
      <c r="D480" s="124">
        <v>1.7787999999999999</v>
      </c>
      <c r="E480" s="124">
        <v>1.4052519999999999</v>
      </c>
      <c r="F480" s="109">
        <v>337.97199999999998</v>
      </c>
      <c r="G480" s="121"/>
      <c r="H480" s="124">
        <v>5.3260000000000005</v>
      </c>
      <c r="I480" s="124">
        <v>144.29</v>
      </c>
      <c r="J480" s="124">
        <v>73.61</v>
      </c>
      <c r="K480" s="121"/>
      <c r="L480" s="130">
        <f t="shared" si="63"/>
        <v>0.79</v>
      </c>
      <c r="M480" s="130">
        <f t="shared" si="64"/>
        <v>0.19</v>
      </c>
      <c r="N480" s="130">
        <f t="shared" si="65"/>
        <v>0.98</v>
      </c>
      <c r="O480" s="130"/>
      <c r="P480" s="129">
        <f t="shared" si="57"/>
        <v>92.497599999999991</v>
      </c>
      <c r="Q480" s="129">
        <f t="shared" si="66"/>
        <v>20.959073532718691</v>
      </c>
      <c r="R480" s="121"/>
      <c r="S480" s="124">
        <v>181</v>
      </c>
      <c r="AZ480" s="98"/>
      <c r="BB480" s="98"/>
      <c r="BD480" s="98"/>
      <c r="BF480" s="98"/>
      <c r="BH480" s="98"/>
      <c r="BJ480" s="98"/>
      <c r="BL480" s="98"/>
      <c r="BN480" s="98"/>
      <c r="BP480" s="98"/>
      <c r="BR480" s="98"/>
    </row>
    <row r="481" spans="1:70">
      <c r="A481" s="123">
        <v>43633</v>
      </c>
      <c r="B481" s="121">
        <f t="shared" si="61"/>
        <v>6</v>
      </c>
      <c r="C481" s="121">
        <f t="shared" si="62"/>
        <v>2019</v>
      </c>
      <c r="D481" s="124">
        <v>1.7262</v>
      </c>
      <c r="E481" s="124">
        <v>1.3636980000000001</v>
      </c>
      <c r="F481" s="109">
        <v>327.97800000000001</v>
      </c>
      <c r="G481" s="121"/>
      <c r="H481" s="124">
        <v>5.319</v>
      </c>
      <c r="I481" s="124">
        <v>145.99</v>
      </c>
      <c r="J481" s="124">
        <v>76</v>
      </c>
      <c r="K481" s="121"/>
      <c r="L481" s="130">
        <f t="shared" si="63"/>
        <v>0.79</v>
      </c>
      <c r="M481" s="130">
        <f t="shared" si="64"/>
        <v>0.19</v>
      </c>
      <c r="N481" s="130">
        <f t="shared" si="65"/>
        <v>0.98</v>
      </c>
      <c r="O481" s="130"/>
      <c r="P481" s="129">
        <f t="shared" si="57"/>
        <v>89.7624</v>
      </c>
      <c r="Q481" s="129">
        <f t="shared" si="66"/>
        <v>21.569343065693431</v>
      </c>
      <c r="R481" s="121"/>
      <c r="S481" s="124">
        <v>88</v>
      </c>
      <c r="AZ481" s="98"/>
      <c r="BB481" s="98"/>
      <c r="BD481" s="98"/>
      <c r="BF481" s="98"/>
      <c r="BH481" s="98"/>
      <c r="BJ481" s="98"/>
      <c r="BL481" s="98"/>
      <c r="BN481" s="98"/>
      <c r="BP481" s="98"/>
      <c r="BR481" s="98"/>
    </row>
    <row r="482" spans="1:70">
      <c r="A482" s="123">
        <v>43640</v>
      </c>
      <c r="B482" s="121">
        <f t="shared" si="61"/>
        <v>6</v>
      </c>
      <c r="C482" s="121">
        <f t="shared" si="62"/>
        <v>2019</v>
      </c>
      <c r="D482" s="124">
        <v>1.7924</v>
      </c>
      <c r="E482" s="124">
        <v>1.415996</v>
      </c>
      <c r="F482" s="109">
        <v>340.55599999999998</v>
      </c>
      <c r="G482" s="121"/>
      <c r="H482" s="124">
        <v>5.4020000000000001</v>
      </c>
      <c r="I482" s="124">
        <v>148.34</v>
      </c>
      <c r="J482" s="124">
        <v>85.28</v>
      </c>
      <c r="K482" s="121"/>
      <c r="L482" s="130">
        <f t="shared" si="63"/>
        <v>0.79</v>
      </c>
      <c r="M482" s="130">
        <f t="shared" si="64"/>
        <v>0.18999999999999997</v>
      </c>
      <c r="N482" s="130">
        <f t="shared" si="65"/>
        <v>0.98</v>
      </c>
      <c r="O482" s="130"/>
      <c r="P482" s="129">
        <f t="shared" si="57"/>
        <v>93.204800000000006</v>
      </c>
      <c r="Q482" s="129">
        <f t="shared" si="66"/>
        <v>21.096853380941752</v>
      </c>
      <c r="R482" s="121"/>
      <c r="S482" s="124">
        <v>88</v>
      </c>
      <c r="AZ482" s="98"/>
      <c r="BB482" s="98"/>
      <c r="BD482" s="98"/>
      <c r="BF482" s="98"/>
      <c r="BH482" s="98"/>
      <c r="BJ482" s="98"/>
      <c r="BL482" s="98"/>
      <c r="BN482" s="98"/>
      <c r="BP482" s="98"/>
      <c r="BR482" s="98"/>
    </row>
    <row r="483" spans="1:70">
      <c r="A483" s="123">
        <v>43647</v>
      </c>
      <c r="B483" s="121">
        <f t="shared" si="61"/>
        <v>7</v>
      </c>
      <c r="C483" s="121">
        <f t="shared" si="62"/>
        <v>2019</v>
      </c>
      <c r="D483" s="124">
        <v>1.7307999999999999</v>
      </c>
      <c r="E483" s="124">
        <v>1.367332</v>
      </c>
      <c r="F483" s="109">
        <v>328.85199999999998</v>
      </c>
      <c r="G483" s="121"/>
      <c r="H483" s="124">
        <v>5.2160000000000002</v>
      </c>
      <c r="I483" s="124">
        <v>148.34</v>
      </c>
      <c r="J483" s="124">
        <v>89.5</v>
      </c>
      <c r="K483" s="121"/>
      <c r="L483" s="130">
        <f t="shared" si="63"/>
        <v>0.79</v>
      </c>
      <c r="M483" s="130">
        <f t="shared" si="64"/>
        <v>0.19</v>
      </c>
      <c r="N483" s="130">
        <f t="shared" si="65"/>
        <v>0.98</v>
      </c>
      <c r="O483" s="130"/>
      <c r="P483" s="129">
        <f t="shared" si="57"/>
        <v>90.001599999999996</v>
      </c>
      <c r="Q483" s="129">
        <f t="shared" si="66"/>
        <v>21.095447192049921</v>
      </c>
      <c r="R483" s="121"/>
      <c r="S483" s="124">
        <v>88</v>
      </c>
      <c r="AZ483" s="98"/>
      <c r="BB483" s="98"/>
      <c r="BD483" s="98"/>
      <c r="BF483" s="98"/>
      <c r="BH483" s="98"/>
      <c r="BJ483" s="98"/>
      <c r="BL483" s="98"/>
      <c r="BN483" s="98"/>
      <c r="BP483" s="98"/>
      <c r="BR483" s="98"/>
    </row>
    <row r="484" spans="1:70">
      <c r="A484" s="123">
        <v>43654</v>
      </c>
      <c r="B484" s="121">
        <f t="shared" si="61"/>
        <v>7</v>
      </c>
      <c r="C484" s="121">
        <f t="shared" si="62"/>
        <v>2019</v>
      </c>
      <c r="D484" s="124">
        <v>1.4128000000000001</v>
      </c>
      <c r="E484" s="124">
        <v>1.116112</v>
      </c>
      <c r="F484" s="109">
        <v>268.43200000000002</v>
      </c>
      <c r="G484" s="121"/>
      <c r="H484" s="124">
        <v>5.5229999999999997</v>
      </c>
      <c r="I484" s="124">
        <v>143.69999999999999</v>
      </c>
      <c r="J484" s="124">
        <v>92.47</v>
      </c>
      <c r="K484" s="121"/>
      <c r="L484" s="130">
        <f t="shared" si="63"/>
        <v>0.78999999999999992</v>
      </c>
      <c r="M484" s="130">
        <f t="shared" si="64"/>
        <v>0.19</v>
      </c>
      <c r="N484" s="130">
        <f t="shared" si="65"/>
        <v>0.98</v>
      </c>
      <c r="O484" s="130"/>
      <c r="P484" s="129">
        <f t="shared" si="57"/>
        <v>73.465600000000009</v>
      </c>
      <c r="Q484" s="129">
        <f t="shared" si="66"/>
        <v>27.364807474518685</v>
      </c>
      <c r="R484" s="121"/>
      <c r="S484" s="124">
        <v>-85</v>
      </c>
      <c r="AZ484" s="98"/>
      <c r="BB484" s="98"/>
      <c r="BD484" s="98"/>
      <c r="BF484" s="98"/>
      <c r="BH484" s="98"/>
      <c r="BJ484" s="98"/>
      <c r="BL484" s="98"/>
      <c r="BN484" s="98"/>
      <c r="BP484" s="98"/>
      <c r="BR484" s="98"/>
    </row>
    <row r="485" spans="1:70">
      <c r="A485" s="123">
        <v>43661</v>
      </c>
      <c r="B485" s="121">
        <f t="shared" si="61"/>
        <v>7</v>
      </c>
      <c r="C485" s="121">
        <f t="shared" si="62"/>
        <v>2019</v>
      </c>
      <c r="D485" s="124">
        <v>1.5236000000000001</v>
      </c>
      <c r="E485" s="124">
        <v>1.2036439999999999</v>
      </c>
      <c r="F485" s="109">
        <v>289.48399999999998</v>
      </c>
      <c r="G485" s="121"/>
      <c r="H485" s="124">
        <v>5.5020000000000007</v>
      </c>
      <c r="I485" s="124">
        <v>144.16</v>
      </c>
      <c r="J485" s="124">
        <v>91.29</v>
      </c>
      <c r="K485" s="121"/>
      <c r="L485" s="130">
        <f t="shared" si="63"/>
        <v>0.78999999999999992</v>
      </c>
      <c r="M485" s="130">
        <f t="shared" si="64"/>
        <v>0.18999999999999997</v>
      </c>
      <c r="N485" s="130">
        <f t="shared" si="65"/>
        <v>0.97999999999999987</v>
      </c>
      <c r="O485" s="130"/>
      <c r="P485" s="129">
        <f t="shared" si="57"/>
        <v>79.227200000000011</v>
      </c>
      <c r="Q485" s="129">
        <f t="shared" si="66"/>
        <v>25.278288264636391</v>
      </c>
      <c r="R485" s="121"/>
      <c r="S485" s="124">
        <v>-5</v>
      </c>
      <c r="AZ485" s="98"/>
      <c r="BB485" s="98"/>
      <c r="BD485" s="98"/>
      <c r="BF485" s="98"/>
      <c r="BH485" s="98"/>
      <c r="BJ485" s="98"/>
      <c r="BL485" s="98"/>
      <c r="BN485" s="98"/>
      <c r="BP485" s="98"/>
      <c r="BR485" s="98"/>
    </row>
    <row r="486" spans="1:70">
      <c r="A486" s="123">
        <v>43668</v>
      </c>
      <c r="B486" s="121">
        <f t="shared" si="61"/>
        <v>7</v>
      </c>
      <c r="C486" s="121">
        <f t="shared" si="62"/>
        <v>2019</v>
      </c>
      <c r="D486" s="124">
        <v>1.5056</v>
      </c>
      <c r="E486" s="124">
        <v>1.189424</v>
      </c>
      <c r="F486" s="109">
        <v>286.06400000000002</v>
      </c>
      <c r="G486" s="121"/>
      <c r="H486" s="124">
        <v>5.5020000000000007</v>
      </c>
      <c r="I486" s="124">
        <v>145.94999999999999</v>
      </c>
      <c r="J486" s="124">
        <v>85.69</v>
      </c>
      <c r="K486" s="121"/>
      <c r="L486" s="130">
        <f t="shared" si="63"/>
        <v>0.79</v>
      </c>
      <c r="M486" s="130">
        <f t="shared" si="64"/>
        <v>0.19000000000000003</v>
      </c>
      <c r="N486" s="130">
        <f t="shared" si="65"/>
        <v>0.98000000000000009</v>
      </c>
      <c r="O486" s="130"/>
      <c r="P486" s="129">
        <f t="shared" si="57"/>
        <v>78.291200000000003</v>
      </c>
      <c r="Q486" s="129">
        <f t="shared" si="66"/>
        <v>25.580499468650373</v>
      </c>
      <c r="R486" s="121"/>
      <c r="S486" s="124">
        <v>-61</v>
      </c>
      <c r="AZ486" s="98"/>
      <c r="BB486" s="98"/>
      <c r="BD486" s="98"/>
      <c r="BF486" s="98"/>
      <c r="BH486" s="98"/>
      <c r="BJ486" s="98"/>
      <c r="BL486" s="98"/>
      <c r="BN486" s="98"/>
      <c r="BP486" s="98"/>
      <c r="BR486" s="98"/>
    </row>
    <row r="487" spans="1:70">
      <c r="A487" s="123">
        <v>43675</v>
      </c>
      <c r="B487" s="121">
        <f t="shared" si="61"/>
        <v>7</v>
      </c>
      <c r="C487" s="121">
        <f t="shared" si="62"/>
        <v>2019</v>
      </c>
      <c r="D487" s="124">
        <v>1.5676000000000001</v>
      </c>
      <c r="E487" s="124">
        <v>1.2384040000000001</v>
      </c>
      <c r="F487" s="109">
        <v>297.84399999999999</v>
      </c>
      <c r="G487" s="121"/>
      <c r="H487" s="124">
        <v>6.2160000000000002</v>
      </c>
      <c r="I487" s="124">
        <v>143.94999999999999</v>
      </c>
      <c r="J487" s="124">
        <v>85.69</v>
      </c>
      <c r="K487" s="121"/>
      <c r="L487" s="130">
        <f t="shared" si="63"/>
        <v>0.79</v>
      </c>
      <c r="M487" s="130">
        <f t="shared" si="64"/>
        <v>0.18999999999999997</v>
      </c>
      <c r="N487" s="130">
        <f t="shared" si="65"/>
        <v>0.98</v>
      </c>
      <c r="O487" s="130"/>
      <c r="P487" s="129">
        <f t="shared" si="57"/>
        <v>81.515200000000007</v>
      </c>
      <c r="Q487" s="129">
        <f t="shared" si="66"/>
        <v>27.757080887981626</v>
      </c>
      <c r="R487" s="121"/>
      <c r="S487" s="124">
        <v>-21</v>
      </c>
      <c r="AZ487" s="98"/>
      <c r="BB487" s="98"/>
      <c r="BD487" s="98"/>
      <c r="BF487" s="98"/>
      <c r="BH487" s="98"/>
      <c r="BJ487" s="98"/>
      <c r="BL487" s="98"/>
      <c r="BN487" s="98"/>
      <c r="BP487" s="98"/>
      <c r="BR487" s="98"/>
    </row>
    <row r="488" spans="1:70">
      <c r="A488" s="123">
        <v>43682</v>
      </c>
      <c r="B488" s="121">
        <f t="shared" si="61"/>
        <v>8</v>
      </c>
      <c r="C488" s="121">
        <f t="shared" si="62"/>
        <v>2019</v>
      </c>
      <c r="D488" s="124">
        <v>1.4925999999999999</v>
      </c>
      <c r="E488" s="124">
        <v>1.179154</v>
      </c>
      <c r="F488" s="109">
        <v>283.59399999999999</v>
      </c>
      <c r="G488" s="121"/>
      <c r="H488" s="124">
        <v>6.7240000000000002</v>
      </c>
      <c r="I488" s="124">
        <v>138.82</v>
      </c>
      <c r="J488" s="124">
        <v>84.22</v>
      </c>
      <c r="K488" s="121"/>
      <c r="L488" s="130">
        <f t="shared" si="63"/>
        <v>0.79</v>
      </c>
      <c r="M488" s="130">
        <f t="shared" si="64"/>
        <v>0.19000000000000003</v>
      </c>
      <c r="N488" s="130">
        <f t="shared" si="65"/>
        <v>0.98000000000000009</v>
      </c>
      <c r="O488" s="130"/>
      <c r="P488" s="129">
        <f t="shared" si="57"/>
        <v>77.615200000000002</v>
      </c>
      <c r="Q488" s="129">
        <f t="shared" si="66"/>
        <v>31.534235562106396</v>
      </c>
      <c r="R488" s="121"/>
      <c r="S488" s="124">
        <v>65.95</v>
      </c>
      <c r="AZ488" s="98"/>
      <c r="BB488" s="98"/>
      <c r="BD488" s="98"/>
      <c r="BF488" s="98"/>
      <c r="BH488" s="98"/>
      <c r="BJ488" s="98"/>
      <c r="BL488" s="98"/>
      <c r="BN488" s="98"/>
      <c r="BP488" s="98"/>
      <c r="BR488" s="98"/>
    </row>
    <row r="489" spans="1:70">
      <c r="A489" s="123">
        <v>43689</v>
      </c>
      <c r="B489" s="121">
        <f t="shared" si="61"/>
        <v>8</v>
      </c>
      <c r="C489" s="121">
        <f t="shared" si="62"/>
        <v>2019</v>
      </c>
      <c r="D489" s="125"/>
      <c r="E489" s="125"/>
      <c r="F489" s="125"/>
      <c r="G489" s="121"/>
      <c r="H489" s="124">
        <v>6.6429999999999998</v>
      </c>
      <c r="I489" s="124">
        <v>137.63999999999999</v>
      </c>
      <c r="J489" s="124">
        <v>85.9</v>
      </c>
      <c r="K489" s="121"/>
      <c r="L489" s="130"/>
      <c r="M489" s="130"/>
      <c r="N489" s="130"/>
      <c r="O489" s="130"/>
      <c r="P489" s="129">
        <f t="shared" si="57"/>
        <v>0</v>
      </c>
      <c r="Q489" s="129" t="str">
        <f t="shared" si="66"/>
        <v/>
      </c>
      <c r="R489" s="121"/>
      <c r="S489" s="124">
        <v>155.25</v>
      </c>
      <c r="AZ489" s="98"/>
      <c r="BB489" s="98"/>
      <c r="BD489" s="98"/>
      <c r="BF489" s="98"/>
      <c r="BH489" s="98"/>
      <c r="BJ489" s="98"/>
      <c r="BL489" s="98"/>
      <c r="BN489" s="98"/>
      <c r="BP489" s="98"/>
      <c r="BR489" s="98"/>
    </row>
    <row r="490" spans="1:70">
      <c r="A490" s="123">
        <v>43696</v>
      </c>
      <c r="B490" s="121">
        <f t="shared" si="61"/>
        <v>8</v>
      </c>
      <c r="C490" s="121">
        <f t="shared" si="62"/>
        <v>2019</v>
      </c>
      <c r="D490" s="124">
        <v>1.6576</v>
      </c>
      <c r="E490" s="124">
        <v>1.309504</v>
      </c>
      <c r="F490" s="109">
        <v>314.94400000000002</v>
      </c>
      <c r="G490" s="121"/>
      <c r="H490" s="124">
        <v>6.1639999999999997</v>
      </c>
      <c r="I490" s="124">
        <v>133.16</v>
      </c>
      <c r="J490" s="124">
        <v>84.21</v>
      </c>
      <c r="K490" s="121"/>
      <c r="L490" s="130">
        <f t="shared" ref="L490:L496" si="67">E490/D490</f>
        <v>0.79</v>
      </c>
      <c r="M490" s="130">
        <f t="shared" ref="M490:M496" si="68">F490/1000/D490</f>
        <v>0.19</v>
      </c>
      <c r="N490" s="130">
        <f t="shared" ref="N490:N496" si="69">M490+L490</f>
        <v>0.98</v>
      </c>
      <c r="O490" s="130"/>
      <c r="P490" s="129">
        <f t="shared" si="57"/>
        <v>86.1952</v>
      </c>
      <c r="Q490" s="129">
        <f t="shared" si="66"/>
        <v>26.030405405405407</v>
      </c>
      <c r="R490" s="121"/>
      <c r="S490" s="124">
        <v>191.2</v>
      </c>
      <c r="AZ490" s="98"/>
      <c r="BB490" s="98"/>
      <c r="BD490" s="98"/>
      <c r="BF490" s="98"/>
      <c r="BH490" s="98"/>
      <c r="BJ490" s="98"/>
      <c r="BL490" s="98"/>
      <c r="BN490" s="98"/>
      <c r="BP490" s="98"/>
      <c r="BR490" s="98"/>
    </row>
    <row r="491" spans="1:70">
      <c r="A491" s="123">
        <v>43703</v>
      </c>
      <c r="B491" s="121">
        <f t="shared" si="61"/>
        <v>8</v>
      </c>
      <c r="C491" s="121">
        <f t="shared" si="62"/>
        <v>2019</v>
      </c>
      <c r="D491" s="124">
        <v>1.7048000000000001</v>
      </c>
      <c r="E491" s="124">
        <v>1.346792</v>
      </c>
      <c r="F491" s="109">
        <v>323.91199999999998</v>
      </c>
      <c r="G491" s="121"/>
      <c r="H491" s="124">
        <v>6.625</v>
      </c>
      <c r="I491" s="124">
        <v>131.94999999999999</v>
      </c>
      <c r="J491" s="124">
        <v>73.17</v>
      </c>
      <c r="K491" s="121"/>
      <c r="L491" s="130">
        <f t="shared" si="67"/>
        <v>0.78999999999999992</v>
      </c>
      <c r="M491" s="130">
        <f t="shared" si="68"/>
        <v>0.18999999999999997</v>
      </c>
      <c r="N491" s="130">
        <f t="shared" si="69"/>
        <v>0.97999999999999987</v>
      </c>
      <c r="O491" s="130"/>
      <c r="P491" s="129">
        <f t="shared" si="57"/>
        <v>88.649600000000007</v>
      </c>
      <c r="Q491" s="129">
        <f t="shared" si="66"/>
        <v>27.202604411074613</v>
      </c>
      <c r="R491" s="121"/>
      <c r="S491" s="124">
        <v>265</v>
      </c>
      <c r="AZ491" s="98"/>
      <c r="BB491" s="98"/>
      <c r="BD491" s="98"/>
      <c r="BF491" s="98"/>
      <c r="BH491" s="98"/>
      <c r="BJ491" s="98"/>
      <c r="BL491" s="98"/>
      <c r="BN491" s="98"/>
      <c r="BP491" s="98"/>
      <c r="BR491" s="98"/>
    </row>
    <row r="492" spans="1:70">
      <c r="A492" s="123">
        <v>43710</v>
      </c>
      <c r="B492" s="121">
        <f t="shared" si="61"/>
        <v>9</v>
      </c>
      <c r="C492" s="121">
        <f t="shared" si="62"/>
        <v>2019</v>
      </c>
      <c r="D492" s="124">
        <v>1.9004000000000001</v>
      </c>
      <c r="E492" s="124">
        <v>1.5013160000000001</v>
      </c>
      <c r="F492" s="109">
        <v>361.07600000000002</v>
      </c>
      <c r="G492" s="121"/>
      <c r="H492" s="124">
        <v>6.4229999999999992</v>
      </c>
      <c r="I492" s="124">
        <v>133.63</v>
      </c>
      <c r="J492" s="124">
        <v>77.66</v>
      </c>
      <c r="K492" s="121"/>
      <c r="L492" s="130">
        <f t="shared" si="67"/>
        <v>0.79</v>
      </c>
      <c r="M492" s="130">
        <f t="shared" si="68"/>
        <v>0.19</v>
      </c>
      <c r="N492" s="130">
        <f t="shared" si="69"/>
        <v>0.98</v>
      </c>
      <c r="O492" s="130"/>
      <c r="P492" s="129">
        <f t="shared" si="57"/>
        <v>98.820800000000006</v>
      </c>
      <c r="Q492" s="129">
        <f t="shared" si="66"/>
        <v>23.658703430856658</v>
      </c>
      <c r="R492" s="121"/>
      <c r="S492" s="124">
        <v>255.5</v>
      </c>
      <c r="AZ492" s="98"/>
      <c r="BB492" s="98"/>
      <c r="BD492" s="98"/>
      <c r="BF492" s="98"/>
      <c r="BH492" s="98"/>
      <c r="BJ492" s="98"/>
      <c r="BL492" s="98"/>
      <c r="BN492" s="98"/>
      <c r="BP492" s="98"/>
      <c r="BR492" s="98"/>
    </row>
    <row r="493" spans="1:70">
      <c r="A493" s="123">
        <v>43717</v>
      </c>
      <c r="B493" s="121">
        <f t="shared" si="61"/>
        <v>9</v>
      </c>
      <c r="C493" s="121">
        <f t="shared" si="62"/>
        <v>2019</v>
      </c>
      <c r="D493" s="124">
        <v>1.81315</v>
      </c>
      <c r="E493" s="124">
        <v>1.432388</v>
      </c>
      <c r="F493" s="109">
        <v>344.49799999999999</v>
      </c>
      <c r="G493" s="121"/>
      <c r="H493" s="124">
        <v>6.5739999999999998</v>
      </c>
      <c r="I493" s="124">
        <v>133.18</v>
      </c>
      <c r="J493" s="124">
        <v>78.98</v>
      </c>
      <c r="K493" s="121"/>
      <c r="L493" s="130">
        <f t="shared" si="67"/>
        <v>0.78999972423682541</v>
      </c>
      <c r="M493" s="130">
        <f t="shared" si="68"/>
        <v>0.1899997242368254</v>
      </c>
      <c r="N493" s="130">
        <f t="shared" si="69"/>
        <v>0.97999944847365084</v>
      </c>
      <c r="O493" s="130"/>
      <c r="P493" s="129">
        <f t="shared" si="57"/>
        <v>94.283799999999999</v>
      </c>
      <c r="Q493" s="129">
        <f t="shared" si="66"/>
        <v>25.38013953616634</v>
      </c>
      <c r="R493" s="121"/>
      <c r="S493" s="124">
        <v>233.9</v>
      </c>
      <c r="AZ493" s="98"/>
      <c r="BB493" s="98"/>
      <c r="BD493" s="98"/>
      <c r="BF493" s="98"/>
      <c r="BH493" s="98"/>
      <c r="BJ493" s="98"/>
      <c r="BL493" s="98"/>
      <c r="BN493" s="98"/>
      <c r="BP493" s="98"/>
      <c r="BR493" s="98"/>
    </row>
    <row r="494" spans="1:70">
      <c r="A494" s="123">
        <v>43724</v>
      </c>
      <c r="B494" s="121">
        <f t="shared" si="61"/>
        <v>9</v>
      </c>
      <c r="C494" s="121">
        <f t="shared" si="62"/>
        <v>2019</v>
      </c>
      <c r="D494" s="124">
        <v>1.7997000000000001</v>
      </c>
      <c r="E494" s="124">
        <v>1.4217630000000001</v>
      </c>
      <c r="F494" s="109">
        <v>341.94299999999998</v>
      </c>
      <c r="G494" s="121"/>
      <c r="H494" s="124">
        <v>6.5250000000000004</v>
      </c>
      <c r="I494" s="124">
        <v>133.07</v>
      </c>
      <c r="J494" s="124">
        <v>78.98</v>
      </c>
      <c r="K494" s="121"/>
      <c r="L494" s="130">
        <f t="shared" si="67"/>
        <v>0.79</v>
      </c>
      <c r="M494" s="130">
        <f t="shared" si="68"/>
        <v>0.19</v>
      </c>
      <c r="N494" s="130">
        <f t="shared" si="69"/>
        <v>0.98</v>
      </c>
      <c r="O494" s="130"/>
      <c r="P494" s="129">
        <f t="shared" si="57"/>
        <v>93.584400000000002</v>
      </c>
      <c r="Q494" s="129">
        <f t="shared" si="66"/>
        <v>25.379229871645276</v>
      </c>
      <c r="R494" s="121"/>
      <c r="S494" s="124">
        <v>219.55</v>
      </c>
      <c r="AZ494" s="98"/>
      <c r="BB494" s="98"/>
      <c r="BD494" s="98"/>
      <c r="BF494" s="98"/>
      <c r="BH494" s="98"/>
      <c r="BJ494" s="98"/>
      <c r="BL494" s="98"/>
      <c r="BN494" s="98"/>
      <c r="BP494" s="98"/>
      <c r="BR494" s="98"/>
    </row>
    <row r="495" spans="1:70">
      <c r="A495" s="123">
        <v>43731</v>
      </c>
      <c r="B495" s="121">
        <f t="shared" si="61"/>
        <v>9</v>
      </c>
      <c r="C495" s="121">
        <f t="shared" si="62"/>
        <v>2019</v>
      </c>
      <c r="D495" s="124">
        <v>1.829</v>
      </c>
      <c r="E495" s="124">
        <v>1.4449099999999999</v>
      </c>
      <c r="F495" s="109">
        <v>347.51</v>
      </c>
      <c r="G495" s="121"/>
      <c r="H495" s="124">
        <v>5.8339999999999996</v>
      </c>
      <c r="I495" s="124">
        <v>134.80000000000001</v>
      </c>
      <c r="J495" s="124">
        <v>76.73</v>
      </c>
      <c r="K495" s="121"/>
      <c r="L495" s="130">
        <f t="shared" si="67"/>
        <v>0.78999999999999992</v>
      </c>
      <c r="M495" s="130">
        <f t="shared" si="68"/>
        <v>0.19</v>
      </c>
      <c r="N495" s="130">
        <f t="shared" si="69"/>
        <v>0.98</v>
      </c>
      <c r="O495" s="130"/>
      <c r="P495" s="129">
        <f t="shared" si="57"/>
        <v>95.108000000000004</v>
      </c>
      <c r="Q495" s="129">
        <f t="shared" si="66"/>
        <v>22.328048113723344</v>
      </c>
      <c r="R495" s="121"/>
      <c r="S495" s="124">
        <v>9.5500000000000007</v>
      </c>
      <c r="AZ495" s="98"/>
      <c r="BB495" s="98"/>
      <c r="BD495" s="98"/>
      <c r="BF495" s="98"/>
      <c r="BH495" s="98"/>
      <c r="BJ495" s="98"/>
      <c r="BL495" s="98"/>
      <c r="BN495" s="98"/>
      <c r="BP495" s="98"/>
      <c r="BR495" s="98"/>
    </row>
    <row r="496" spans="1:70">
      <c r="A496" s="123">
        <v>43738</v>
      </c>
      <c r="B496" s="121">
        <f t="shared" si="61"/>
        <v>9</v>
      </c>
      <c r="C496" s="121">
        <f t="shared" si="62"/>
        <v>2019</v>
      </c>
      <c r="D496" s="124">
        <v>1.81515</v>
      </c>
      <c r="E496" s="124">
        <v>1.4339679999999999</v>
      </c>
      <c r="F496" s="109">
        <v>344.87799999999999</v>
      </c>
      <c r="G496" s="121"/>
      <c r="H496" s="124">
        <v>5.226</v>
      </c>
      <c r="I496" s="124">
        <v>134.91</v>
      </c>
      <c r="J496" s="124">
        <v>67.430000000000007</v>
      </c>
      <c r="K496" s="121"/>
      <c r="L496" s="130">
        <f t="shared" si="67"/>
        <v>0.78999972454067147</v>
      </c>
      <c r="M496" s="130">
        <f t="shared" si="68"/>
        <v>0.18999972454067154</v>
      </c>
      <c r="N496" s="130">
        <f t="shared" si="69"/>
        <v>0.97999944908134307</v>
      </c>
      <c r="O496" s="130"/>
      <c r="P496" s="129">
        <f t="shared" si="57"/>
        <v>94.387799999999999</v>
      </c>
      <c r="Q496" s="129">
        <f t="shared" si="66"/>
        <v>20.153706305264027</v>
      </c>
      <c r="R496" s="121"/>
      <c r="S496" s="124">
        <v>-52.35</v>
      </c>
      <c r="AZ496" s="98"/>
      <c r="BB496" s="98"/>
      <c r="BD496" s="98"/>
      <c r="BF496" s="98"/>
      <c r="BH496" s="98"/>
      <c r="BJ496" s="98"/>
      <c r="BL496" s="98"/>
      <c r="BN496" s="98"/>
      <c r="BP496" s="98"/>
      <c r="BR496" s="98"/>
    </row>
    <row r="497" spans="1:70">
      <c r="A497" s="123">
        <v>43745</v>
      </c>
      <c r="B497" s="121">
        <f t="shared" si="61"/>
        <v>10</v>
      </c>
      <c r="C497" s="121">
        <f t="shared" si="62"/>
        <v>2019</v>
      </c>
      <c r="D497" s="125"/>
      <c r="E497" s="125"/>
      <c r="F497" s="125"/>
      <c r="G497" s="121"/>
      <c r="H497" s="124"/>
      <c r="I497" s="124"/>
      <c r="J497" s="124"/>
      <c r="K497" s="121"/>
      <c r="L497" s="130"/>
      <c r="M497" s="130"/>
      <c r="N497" s="130"/>
      <c r="O497" s="130"/>
      <c r="P497" s="129">
        <f t="shared" si="57"/>
        <v>0</v>
      </c>
      <c r="Q497" s="129" t="str">
        <f t="shared" si="66"/>
        <v/>
      </c>
      <c r="R497" s="121"/>
      <c r="S497" s="124">
        <v>31.45</v>
      </c>
      <c r="AZ497" s="98"/>
      <c r="BB497" s="98"/>
      <c r="BD497" s="98"/>
      <c r="BF497" s="98"/>
      <c r="BH497" s="98"/>
      <c r="BJ497" s="98"/>
      <c r="BL497" s="98"/>
      <c r="BN497" s="98"/>
      <c r="BP497" s="98"/>
      <c r="BR497" s="98"/>
    </row>
    <row r="498" spans="1:70">
      <c r="A498" s="123">
        <v>43752</v>
      </c>
      <c r="B498" s="121">
        <f t="shared" si="61"/>
        <v>10</v>
      </c>
      <c r="C498" s="121">
        <f t="shared" si="62"/>
        <v>2019</v>
      </c>
      <c r="D498" s="124">
        <v>1.1556999999999999</v>
      </c>
      <c r="E498" s="124">
        <v>0.91300300000000001</v>
      </c>
      <c r="F498" s="109">
        <v>219.583</v>
      </c>
      <c r="G498" s="121"/>
      <c r="H498" s="124">
        <v>5.2720000000000002</v>
      </c>
      <c r="I498" s="124">
        <v>135.36000000000001</v>
      </c>
      <c r="J498" s="124">
        <v>52.51</v>
      </c>
      <c r="K498" s="121"/>
      <c r="L498" s="130">
        <f t="shared" ref="L498:L509" si="70">E498/D498</f>
        <v>0.79</v>
      </c>
      <c r="M498" s="130">
        <f t="shared" ref="M498:M509" si="71">F498/1000/D498</f>
        <v>0.19</v>
      </c>
      <c r="N498" s="130">
        <f t="shared" ref="N498:N539" si="72">M498+L498</f>
        <v>0.98</v>
      </c>
      <c r="O498" s="130"/>
      <c r="P498" s="129">
        <f t="shared" si="57"/>
        <v>60.096399999999996</v>
      </c>
      <c r="Q498" s="129">
        <f t="shared" si="66"/>
        <v>31.932162325863114</v>
      </c>
      <c r="R498" s="121"/>
      <c r="S498" s="124">
        <v>91.15</v>
      </c>
      <c r="AZ498" s="98"/>
      <c r="BB498" s="98"/>
      <c r="BD498" s="98"/>
      <c r="BF498" s="98"/>
      <c r="BH498" s="98"/>
      <c r="BJ498" s="98"/>
      <c r="BL498" s="98"/>
      <c r="BN498" s="98"/>
      <c r="BP498" s="98"/>
      <c r="BR498" s="98"/>
    </row>
    <row r="499" spans="1:70">
      <c r="A499" s="123">
        <v>43759</v>
      </c>
      <c r="B499" s="121">
        <f t="shared" si="61"/>
        <v>10</v>
      </c>
      <c r="C499" s="121">
        <f t="shared" si="62"/>
        <v>2019</v>
      </c>
      <c r="D499" s="124">
        <v>1.7278</v>
      </c>
      <c r="E499" s="124">
        <v>1.364962</v>
      </c>
      <c r="F499" s="109">
        <v>328.28199999999998</v>
      </c>
      <c r="G499" s="121"/>
      <c r="H499" s="124">
        <v>5.0489999999999995</v>
      </c>
      <c r="I499" s="124">
        <v>134.15</v>
      </c>
      <c r="J499" s="124">
        <v>57.38</v>
      </c>
      <c r="K499" s="121"/>
      <c r="L499" s="130">
        <f t="shared" si="70"/>
        <v>0.79</v>
      </c>
      <c r="M499" s="130">
        <f t="shared" si="71"/>
        <v>0.18999999999999997</v>
      </c>
      <c r="N499" s="130">
        <f t="shared" si="72"/>
        <v>0.98</v>
      </c>
      <c r="O499" s="130"/>
      <c r="P499" s="129">
        <f t="shared" si="57"/>
        <v>89.845600000000005</v>
      </c>
      <c r="Q499" s="129">
        <f t="shared" si="66"/>
        <v>20.455492533858084</v>
      </c>
      <c r="R499" s="121"/>
      <c r="S499" s="124">
        <v>164.75</v>
      </c>
      <c r="AZ499" s="98"/>
      <c r="BB499" s="98"/>
      <c r="BD499" s="98"/>
      <c r="BF499" s="98"/>
      <c r="BH499" s="98"/>
      <c r="BJ499" s="98"/>
      <c r="BL499" s="98"/>
      <c r="BN499" s="98"/>
      <c r="BP499" s="98"/>
      <c r="BR499" s="98"/>
    </row>
    <row r="500" spans="1:70">
      <c r="A500" s="123">
        <v>43766</v>
      </c>
      <c r="B500" s="121">
        <f t="shared" si="61"/>
        <v>10</v>
      </c>
      <c r="C500" s="121">
        <f t="shared" si="62"/>
        <v>2019</v>
      </c>
      <c r="D500" s="124">
        <v>1.7499499999999999</v>
      </c>
      <c r="E500" s="124">
        <v>1.38246</v>
      </c>
      <c r="F500" s="109">
        <v>332.49</v>
      </c>
      <c r="G500" s="121"/>
      <c r="H500" s="124">
        <v>4.6260000000000003</v>
      </c>
      <c r="I500" s="124">
        <v>131.44999999999999</v>
      </c>
      <c r="J500" s="124">
        <v>55.65</v>
      </c>
      <c r="K500" s="121"/>
      <c r="L500" s="130">
        <f t="shared" si="70"/>
        <v>0.78999971427755089</v>
      </c>
      <c r="M500" s="130">
        <f t="shared" si="71"/>
        <v>0.1899997142775508</v>
      </c>
      <c r="N500" s="130">
        <f t="shared" si="72"/>
        <v>0.97999942855510169</v>
      </c>
      <c r="O500" s="130"/>
      <c r="P500" s="129">
        <f t="shared" si="57"/>
        <v>90.997399999999999</v>
      </c>
      <c r="Q500" s="129">
        <f t="shared" si="66"/>
        <v>18.504528700820025</v>
      </c>
      <c r="R500" s="121"/>
      <c r="S500" s="124">
        <v>164.9</v>
      </c>
      <c r="AZ500" s="98"/>
      <c r="BB500" s="98"/>
      <c r="BD500" s="98"/>
      <c r="BF500" s="98"/>
      <c r="BH500" s="98"/>
      <c r="BJ500" s="98"/>
      <c r="BL500" s="98"/>
      <c r="BN500" s="98"/>
      <c r="BP500" s="98"/>
      <c r="BR500" s="98"/>
    </row>
    <row r="501" spans="1:70">
      <c r="A501" s="123">
        <v>43773</v>
      </c>
      <c r="B501" s="121">
        <f t="shared" si="61"/>
        <v>11</v>
      </c>
      <c r="C501" s="121">
        <f t="shared" si="62"/>
        <v>2019</v>
      </c>
      <c r="D501" s="124">
        <v>1.5544500000000001</v>
      </c>
      <c r="E501" s="124">
        <v>1.2280150000000001</v>
      </c>
      <c r="F501" s="109">
        <v>295.34500000000003</v>
      </c>
      <c r="G501" s="121"/>
      <c r="H501" s="124">
        <v>4.3739999999999997</v>
      </c>
      <c r="I501" s="124">
        <v>125.65</v>
      </c>
      <c r="J501" s="124">
        <v>48.12</v>
      </c>
      <c r="K501" s="121"/>
      <c r="L501" s="130">
        <f t="shared" si="70"/>
        <v>0.78999967834282225</v>
      </c>
      <c r="M501" s="130">
        <f t="shared" si="71"/>
        <v>0.18999967834282222</v>
      </c>
      <c r="N501" s="130">
        <f t="shared" si="72"/>
        <v>0.97999935668564442</v>
      </c>
      <c r="O501" s="130"/>
      <c r="P501" s="129">
        <f t="shared" si="57"/>
        <v>80.831400000000002</v>
      </c>
      <c r="Q501" s="129">
        <f t="shared" si="66"/>
        <v>19.696998938531308</v>
      </c>
      <c r="R501" s="121"/>
      <c r="S501" s="124">
        <v>269.10000000000002</v>
      </c>
      <c r="AZ501" s="98"/>
      <c r="BB501" s="98"/>
      <c r="BD501" s="98"/>
      <c r="BF501" s="98"/>
      <c r="BH501" s="98"/>
      <c r="BJ501" s="98"/>
      <c r="BL501" s="98"/>
      <c r="BN501" s="98"/>
      <c r="BP501" s="98"/>
      <c r="BR501" s="98"/>
    </row>
    <row r="502" spans="1:70">
      <c r="A502" s="123">
        <v>43780</v>
      </c>
      <c r="B502" s="121">
        <f t="shared" si="61"/>
        <v>11</v>
      </c>
      <c r="C502" s="121">
        <f t="shared" si="62"/>
        <v>2019</v>
      </c>
      <c r="D502" s="124">
        <v>1.54745</v>
      </c>
      <c r="E502" s="124">
        <v>1.222485</v>
      </c>
      <c r="F502" s="109">
        <v>294.01499999999999</v>
      </c>
      <c r="G502" s="121"/>
      <c r="H502" s="124">
        <v>4.532</v>
      </c>
      <c r="I502" s="124">
        <v>118.435</v>
      </c>
      <c r="J502" s="124">
        <v>41.21</v>
      </c>
      <c r="K502" s="121"/>
      <c r="L502" s="130">
        <f t="shared" si="70"/>
        <v>0.78999967688778316</v>
      </c>
      <c r="M502" s="130">
        <f t="shared" si="71"/>
        <v>0.1899996768877831</v>
      </c>
      <c r="N502" s="130">
        <f t="shared" si="72"/>
        <v>0.97999935377556624</v>
      </c>
      <c r="O502" s="130"/>
      <c r="P502" s="129">
        <f t="shared" si="57"/>
        <v>80.467399999999998</v>
      </c>
      <c r="Q502" s="129">
        <f t="shared" si="66"/>
        <v>20.500823936153026</v>
      </c>
      <c r="R502" s="121"/>
      <c r="S502" s="124">
        <v>248.7</v>
      </c>
      <c r="AZ502" s="98"/>
      <c r="BB502" s="98"/>
      <c r="BD502" s="98"/>
      <c r="BF502" s="98"/>
      <c r="BH502" s="98"/>
      <c r="BJ502" s="98"/>
      <c r="BL502" s="98"/>
      <c r="BN502" s="98"/>
      <c r="BP502" s="98"/>
      <c r="BR502" s="98"/>
    </row>
    <row r="503" spans="1:70">
      <c r="A503" s="123">
        <v>43787</v>
      </c>
      <c r="B503" s="121">
        <f t="shared" si="61"/>
        <v>11</v>
      </c>
      <c r="C503" s="121">
        <f t="shared" si="62"/>
        <v>2019</v>
      </c>
      <c r="D503" s="124">
        <v>1.6351</v>
      </c>
      <c r="E503" s="124">
        <v>1.222485</v>
      </c>
      <c r="F503" s="109">
        <v>294.01499999999999</v>
      </c>
      <c r="G503" s="121"/>
      <c r="H503" s="124">
        <v>4.4910000000000005</v>
      </c>
      <c r="I503" s="124">
        <v>113.5</v>
      </c>
      <c r="J503" s="124">
        <v>35.51</v>
      </c>
      <c r="K503" s="121"/>
      <c r="L503" s="130">
        <f t="shared" si="70"/>
        <v>0.74765151978472266</v>
      </c>
      <c r="M503" s="130">
        <f t="shared" si="71"/>
        <v>0.17981469023301325</v>
      </c>
      <c r="N503" s="130">
        <f t="shared" si="72"/>
        <v>0.92746621001773588</v>
      </c>
      <c r="O503" s="130"/>
      <c r="P503" s="129">
        <f t="shared" si="57"/>
        <v>85.025199999999998</v>
      </c>
      <c r="Q503" s="129">
        <f t="shared" si="66"/>
        <v>19.226347012415147</v>
      </c>
      <c r="R503" s="121"/>
      <c r="S503" s="124">
        <v>233.85</v>
      </c>
      <c r="AZ503" s="98"/>
      <c r="BB503" s="98"/>
      <c r="BD503" s="98"/>
      <c r="BF503" s="98"/>
      <c r="BH503" s="98"/>
      <c r="BJ503" s="98"/>
      <c r="BL503" s="98"/>
      <c r="BN503" s="98"/>
      <c r="BP503" s="98"/>
      <c r="BR503" s="98"/>
    </row>
    <row r="504" spans="1:70">
      <c r="A504" s="123">
        <v>43794</v>
      </c>
      <c r="B504" s="121">
        <f t="shared" si="61"/>
        <v>11</v>
      </c>
      <c r="C504" s="121">
        <f t="shared" si="62"/>
        <v>2019</v>
      </c>
      <c r="D504" s="124">
        <v>1.7706999999999999</v>
      </c>
      <c r="E504" s="124">
        <v>1.3988529999999999</v>
      </c>
      <c r="F504" s="109">
        <v>336.43299999999999</v>
      </c>
      <c r="G504" s="121"/>
      <c r="H504" s="124">
        <v>4.4050000000000002</v>
      </c>
      <c r="I504" s="124">
        <v>113.5</v>
      </c>
      <c r="J504" s="124">
        <v>37.130000000000003</v>
      </c>
      <c r="K504" s="121"/>
      <c r="L504" s="130">
        <f t="shared" si="70"/>
        <v>0.78999999999999992</v>
      </c>
      <c r="M504" s="130">
        <f t="shared" si="71"/>
        <v>0.19</v>
      </c>
      <c r="N504" s="130">
        <f t="shared" si="72"/>
        <v>0.98</v>
      </c>
      <c r="O504" s="130"/>
      <c r="P504" s="129">
        <f t="shared" ref="P504:P539" si="73">D504*52</f>
        <v>92.076399999999992</v>
      </c>
      <c r="Q504" s="129">
        <f t="shared" si="66"/>
        <v>17.414017055401821</v>
      </c>
      <c r="R504" s="121"/>
      <c r="S504" s="124">
        <v>214.85</v>
      </c>
      <c r="AZ504" s="98"/>
      <c r="BB504" s="98"/>
      <c r="BD504" s="98"/>
      <c r="BF504" s="98"/>
      <c r="BH504" s="98"/>
      <c r="BJ504" s="98"/>
      <c r="BL504" s="98"/>
      <c r="BN504" s="98"/>
      <c r="BP504" s="98"/>
      <c r="BR504" s="98"/>
    </row>
    <row r="505" spans="1:70">
      <c r="A505" s="123">
        <v>43801</v>
      </c>
      <c r="B505" s="121">
        <f t="shared" si="61"/>
        <v>12</v>
      </c>
      <c r="C505" s="121">
        <f t="shared" si="62"/>
        <v>2019</v>
      </c>
      <c r="D505" s="124">
        <v>1.77535</v>
      </c>
      <c r="E505" s="124">
        <v>1.4025259999999999</v>
      </c>
      <c r="F505" s="109">
        <v>337.31599999999997</v>
      </c>
      <c r="G505" s="121"/>
      <c r="H505" s="124">
        <v>4.3469999999999995</v>
      </c>
      <c r="I505" s="124">
        <v>106.09</v>
      </c>
      <c r="J505" s="124">
        <v>41.37</v>
      </c>
      <c r="K505" s="121"/>
      <c r="L505" s="130">
        <f t="shared" si="70"/>
        <v>0.78999971836539273</v>
      </c>
      <c r="M505" s="130">
        <f t="shared" si="71"/>
        <v>0.1899997183653927</v>
      </c>
      <c r="N505" s="130">
        <f t="shared" si="72"/>
        <v>0.97999943673078538</v>
      </c>
      <c r="O505" s="130"/>
      <c r="P505" s="129">
        <f t="shared" si="73"/>
        <v>92.318200000000004</v>
      </c>
      <c r="Q505" s="129">
        <f t="shared" si="66"/>
        <v>17.139718928661953</v>
      </c>
      <c r="R505" s="121"/>
      <c r="S505" s="124">
        <v>174.3</v>
      </c>
      <c r="AZ505" s="98"/>
      <c r="BB505" s="98"/>
      <c r="BD505" s="98"/>
      <c r="BF505" s="98"/>
      <c r="BH505" s="98"/>
      <c r="BJ505" s="98"/>
      <c r="BL505" s="98"/>
      <c r="BN505" s="98"/>
      <c r="BP505" s="98"/>
      <c r="BR505" s="98"/>
    </row>
    <row r="506" spans="1:70">
      <c r="A506" s="123">
        <v>43808</v>
      </c>
      <c r="B506" s="121">
        <f t="shared" si="61"/>
        <v>12</v>
      </c>
      <c r="C506" s="121">
        <f t="shared" si="62"/>
        <v>2019</v>
      </c>
      <c r="D506" s="124">
        <v>1.6526000000000001</v>
      </c>
      <c r="E506" s="124">
        <v>1.3055540000000001</v>
      </c>
      <c r="F506" s="109">
        <v>313.99400000000003</v>
      </c>
      <c r="G506" s="121"/>
      <c r="H506" s="124">
        <v>4.6930000000000005</v>
      </c>
      <c r="I506" s="124">
        <v>99.64</v>
      </c>
      <c r="J506" s="124">
        <v>42.29</v>
      </c>
      <c r="K506" s="121"/>
      <c r="L506" s="130">
        <f t="shared" si="70"/>
        <v>0.79</v>
      </c>
      <c r="M506" s="130">
        <f t="shared" si="71"/>
        <v>0.19000000000000003</v>
      </c>
      <c r="N506" s="130">
        <f t="shared" si="72"/>
        <v>0.98000000000000009</v>
      </c>
      <c r="O506" s="130"/>
      <c r="P506" s="129">
        <f t="shared" si="73"/>
        <v>85.935200000000009</v>
      </c>
      <c r="Q506" s="129">
        <f t="shared" si="66"/>
        <v>19.878373472104563</v>
      </c>
      <c r="R506" s="121"/>
      <c r="S506" s="124">
        <v>122.6</v>
      </c>
      <c r="AZ506" s="98"/>
      <c r="BB506" s="98"/>
      <c r="BD506" s="98"/>
      <c r="BF506" s="98"/>
      <c r="BH506" s="98"/>
      <c r="BJ506" s="98"/>
      <c r="BL506" s="98"/>
      <c r="BN506" s="98"/>
      <c r="BP506" s="98"/>
      <c r="BR506" s="98"/>
    </row>
    <row r="507" spans="1:70">
      <c r="A507" s="123">
        <v>43815</v>
      </c>
      <c r="B507" s="121">
        <f t="shared" si="61"/>
        <v>12</v>
      </c>
      <c r="C507" s="121">
        <f t="shared" si="62"/>
        <v>2019</v>
      </c>
      <c r="D507" s="124">
        <v>1.667</v>
      </c>
      <c r="E507" s="124">
        <v>1.3169299999999999</v>
      </c>
      <c r="F507" s="109">
        <v>316.73</v>
      </c>
      <c r="G507" s="121"/>
      <c r="H507" s="124">
        <v>4.7439999999999998</v>
      </c>
      <c r="I507" s="124">
        <v>95.04</v>
      </c>
      <c r="J507" s="124">
        <v>39.200000000000003</v>
      </c>
      <c r="K507" s="121"/>
      <c r="L507" s="130">
        <f t="shared" si="70"/>
        <v>0.78999999999999992</v>
      </c>
      <c r="M507" s="130">
        <f t="shared" si="71"/>
        <v>0.19</v>
      </c>
      <c r="N507" s="130">
        <f t="shared" si="72"/>
        <v>0.98</v>
      </c>
      <c r="O507" s="130"/>
      <c r="P507" s="129">
        <f t="shared" si="73"/>
        <v>86.683999999999997</v>
      </c>
      <c r="Q507" s="129">
        <f t="shared" si="66"/>
        <v>19.920815836832631</v>
      </c>
      <c r="R507" s="121"/>
      <c r="S507" s="124">
        <v>90.1</v>
      </c>
      <c r="AZ507" s="98"/>
      <c r="BB507" s="98"/>
      <c r="BD507" s="98"/>
      <c r="BF507" s="98"/>
      <c r="BH507" s="98"/>
      <c r="BJ507" s="98"/>
      <c r="BL507" s="98"/>
      <c r="BN507" s="98"/>
      <c r="BP507" s="98"/>
      <c r="BR507" s="98"/>
    </row>
    <row r="508" spans="1:70">
      <c r="A508" s="123">
        <v>43822</v>
      </c>
      <c r="B508" s="121">
        <f t="shared" si="61"/>
        <v>12</v>
      </c>
      <c r="C508" s="121">
        <f t="shared" si="62"/>
        <v>2019</v>
      </c>
      <c r="D508" s="124">
        <v>1.9987999999999999</v>
      </c>
      <c r="E508" s="124">
        <v>1.4666349999999999</v>
      </c>
      <c r="F508" s="109">
        <v>352.73500000000001</v>
      </c>
      <c r="G508" s="121"/>
      <c r="H508" s="124">
        <v>5.1679999999999993</v>
      </c>
      <c r="I508" s="124">
        <v>90.09</v>
      </c>
      <c r="J508" s="124">
        <v>43.58</v>
      </c>
      <c r="K508" s="121"/>
      <c r="L508" s="130">
        <f t="shared" si="70"/>
        <v>0.73375775465279169</v>
      </c>
      <c r="M508" s="130">
        <f t="shared" si="71"/>
        <v>0.17647338403041826</v>
      </c>
      <c r="N508" s="130">
        <f t="shared" si="72"/>
        <v>0.91023113868320993</v>
      </c>
      <c r="O508" s="130"/>
      <c r="P508" s="129">
        <f t="shared" si="73"/>
        <v>103.93759999999999</v>
      </c>
      <c r="Q508" s="129">
        <f t="shared" si="66"/>
        <v>18.098859315589351</v>
      </c>
      <c r="R508" s="121"/>
      <c r="S508" s="124">
        <v>110.35</v>
      </c>
      <c r="AZ508" s="98"/>
      <c r="BB508" s="98"/>
      <c r="BD508" s="98"/>
      <c r="BF508" s="98"/>
      <c r="BH508" s="98"/>
      <c r="BJ508" s="98"/>
      <c r="BL508" s="98"/>
      <c r="BN508" s="98"/>
      <c r="BP508" s="98"/>
      <c r="BR508" s="98"/>
    </row>
    <row r="509" spans="1:70">
      <c r="A509" s="123">
        <v>43829</v>
      </c>
      <c r="B509" s="121">
        <f t="shared" si="61"/>
        <v>12</v>
      </c>
      <c r="C509" s="121">
        <f t="shared" si="62"/>
        <v>2019</v>
      </c>
      <c r="D509" s="124">
        <v>1.9987999999999999</v>
      </c>
      <c r="E509" s="124">
        <v>1.580395</v>
      </c>
      <c r="F509" s="109">
        <v>379.77199999999999</v>
      </c>
      <c r="G509" s="121"/>
      <c r="H509" s="124">
        <v>4.7439999999999998</v>
      </c>
      <c r="I509" s="124">
        <v>90.09</v>
      </c>
      <c r="J509" s="124">
        <v>43.58</v>
      </c>
      <c r="K509" s="121"/>
      <c r="L509" s="130">
        <f t="shared" si="70"/>
        <v>0.79067190314188518</v>
      </c>
      <c r="M509" s="130">
        <f t="shared" si="71"/>
        <v>0.19</v>
      </c>
      <c r="N509" s="130">
        <f t="shared" si="72"/>
        <v>0.98067190314188513</v>
      </c>
      <c r="O509" s="130"/>
      <c r="P509" s="129">
        <f t="shared" si="73"/>
        <v>103.93759999999999</v>
      </c>
      <c r="Q509" s="129">
        <f t="shared" si="66"/>
        <v>16.613968381028617</v>
      </c>
      <c r="R509" s="121"/>
      <c r="S509" s="124">
        <v>178.55</v>
      </c>
      <c r="AZ509" s="98"/>
      <c r="BB509" s="98"/>
      <c r="BD509" s="98"/>
      <c r="BF509" s="98"/>
      <c r="BH509" s="98"/>
      <c r="BJ509" s="98"/>
      <c r="BL509" s="98"/>
      <c r="BN509" s="98"/>
      <c r="BP509" s="98"/>
      <c r="BR509" s="98"/>
    </row>
    <row r="510" spans="1:70">
      <c r="A510" s="123">
        <v>43836</v>
      </c>
      <c r="B510" s="121">
        <f t="shared" si="61"/>
        <v>1</v>
      </c>
      <c r="C510" s="121">
        <f t="shared" si="62"/>
        <v>2020</v>
      </c>
      <c r="D510" s="126">
        <f>E510/L510</f>
        <v>2.0585986668746146</v>
      </c>
      <c r="E510" s="124">
        <v>1.6116790000000001</v>
      </c>
      <c r="F510" s="127">
        <f>D510*M510*1000</f>
        <v>391.13374670617679</v>
      </c>
      <c r="G510" s="121"/>
      <c r="H510" s="124">
        <v>5.5712000000000002</v>
      </c>
      <c r="I510" s="124">
        <v>91.67</v>
      </c>
      <c r="J510" s="124">
        <v>52.03</v>
      </c>
      <c r="K510" s="121"/>
      <c r="L510" s="131">
        <f>AVERAGE(L511,L509)</f>
        <v>0.78290102191063182</v>
      </c>
      <c r="M510" s="131">
        <v>0.19</v>
      </c>
      <c r="N510" s="130">
        <f t="shared" si="72"/>
        <v>0.97290102191063177</v>
      </c>
      <c r="O510" s="130"/>
      <c r="P510" s="129">
        <f t="shared" si="73"/>
        <v>107.04713067747996</v>
      </c>
      <c r="Q510" s="129">
        <f t="shared" si="66"/>
        <v>18.944149060004868</v>
      </c>
      <c r="R510" s="121"/>
      <c r="S510" s="124">
        <v>188.45</v>
      </c>
      <c r="AZ510" s="98"/>
      <c r="BB510" s="98"/>
      <c r="BD510" s="98"/>
      <c r="BF510" s="98"/>
      <c r="BH510" s="98"/>
      <c r="BJ510" s="98"/>
      <c r="BL510" s="98"/>
      <c r="BN510" s="98"/>
      <c r="BP510" s="98"/>
      <c r="BR510" s="98"/>
    </row>
    <row r="511" spans="1:70">
      <c r="A511" s="123">
        <v>43843</v>
      </c>
      <c r="B511" s="121">
        <f t="shared" si="61"/>
        <v>1</v>
      </c>
      <c r="C511" s="121">
        <f t="shared" si="62"/>
        <v>2020</v>
      </c>
      <c r="D511" s="124">
        <v>2.0400999999999998</v>
      </c>
      <c r="E511" s="124">
        <v>1.5813429999999999</v>
      </c>
      <c r="F511" s="109">
        <v>387.61900000000003</v>
      </c>
      <c r="G511" s="121"/>
      <c r="H511" s="124">
        <v>5.3812999999999995</v>
      </c>
      <c r="I511" s="124">
        <v>92.45</v>
      </c>
      <c r="J511" s="124">
        <v>58.94</v>
      </c>
      <c r="K511" s="121"/>
      <c r="L511" s="130">
        <f t="shared" ref="L511:L539" si="74">E511/D511</f>
        <v>0.77513014067937847</v>
      </c>
      <c r="M511" s="130">
        <f t="shared" ref="M511:M539" si="75">F511/1000/D511</f>
        <v>0.19000000000000003</v>
      </c>
      <c r="N511" s="130">
        <f t="shared" si="72"/>
        <v>0.96513014067937852</v>
      </c>
      <c r="O511" s="130"/>
      <c r="P511" s="129">
        <f t="shared" si="73"/>
        <v>106.08519999999999</v>
      </c>
      <c r="Q511" s="129">
        <f t="shared" si="66"/>
        <v>18.464339983334149</v>
      </c>
      <c r="R511" s="121"/>
      <c r="S511" s="124">
        <v>140.94999999999999</v>
      </c>
      <c r="AZ511" s="98"/>
      <c r="BB511" s="98"/>
      <c r="BD511" s="98"/>
      <c r="BF511" s="98"/>
      <c r="BH511" s="98"/>
      <c r="BJ511" s="98"/>
      <c r="BL511" s="98"/>
      <c r="BN511" s="98"/>
      <c r="BP511" s="98"/>
      <c r="BR511" s="98"/>
    </row>
    <row r="512" spans="1:70">
      <c r="A512" s="123">
        <v>43850</v>
      </c>
      <c r="B512" s="121">
        <f t="shared" si="61"/>
        <v>1</v>
      </c>
      <c r="C512" s="121">
        <f t="shared" si="62"/>
        <v>2020</v>
      </c>
      <c r="D512" s="124">
        <v>2.0017</v>
      </c>
      <c r="E512" s="124">
        <f>D512*0.79</f>
        <v>1.5813430000000002</v>
      </c>
      <c r="F512" s="109">
        <v>380.32299999999998</v>
      </c>
      <c r="G512" s="121"/>
      <c r="H512" s="124">
        <v>5.2003999999999992</v>
      </c>
      <c r="I512" s="124">
        <v>87.75</v>
      </c>
      <c r="J512" s="124">
        <v>59.37</v>
      </c>
      <c r="K512" s="121"/>
      <c r="L512" s="130">
        <f t="shared" si="74"/>
        <v>0.79</v>
      </c>
      <c r="M512" s="130">
        <f t="shared" si="75"/>
        <v>0.18999999999999997</v>
      </c>
      <c r="N512" s="130">
        <f t="shared" si="72"/>
        <v>0.98</v>
      </c>
      <c r="O512" s="130"/>
      <c r="P512" s="129">
        <f t="shared" si="73"/>
        <v>104.08840000000001</v>
      </c>
      <c r="Q512" s="129">
        <f t="shared" si="66"/>
        <v>18.185941949343057</v>
      </c>
      <c r="R512" s="121"/>
      <c r="S512" s="124">
        <v>120.05</v>
      </c>
      <c r="AZ512" s="98"/>
      <c r="BB512" s="98"/>
      <c r="BD512" s="98"/>
      <c r="BF512" s="98"/>
      <c r="BH512" s="98"/>
      <c r="BJ512" s="98"/>
      <c r="BL512" s="98"/>
      <c r="BN512" s="98"/>
      <c r="BP512" s="98"/>
      <c r="BR512" s="98"/>
    </row>
    <row r="513" spans="1:70">
      <c r="A513" s="123">
        <v>43857</v>
      </c>
      <c r="B513" s="121">
        <f t="shared" si="61"/>
        <v>1</v>
      </c>
      <c r="C513" s="121">
        <f t="shared" si="62"/>
        <v>2020</v>
      </c>
      <c r="D513" s="124">
        <v>0.94199999999999995</v>
      </c>
      <c r="E513" s="124">
        <v>0.74417999999999995</v>
      </c>
      <c r="F513" s="109">
        <v>178.98</v>
      </c>
      <c r="G513" s="121"/>
      <c r="H513" s="124"/>
      <c r="I513" s="125">
        <f>(($I$515-$I$512)/3)+I512</f>
        <v>88.396666666666661</v>
      </c>
      <c r="J513" s="124"/>
      <c r="K513" s="121"/>
      <c r="L513" s="130">
        <f t="shared" si="74"/>
        <v>0.79</v>
      </c>
      <c r="M513" s="130">
        <f t="shared" si="75"/>
        <v>0.19</v>
      </c>
      <c r="N513" s="130">
        <f t="shared" si="72"/>
        <v>0.98</v>
      </c>
      <c r="O513" s="130"/>
      <c r="P513" s="129">
        <f t="shared" si="73"/>
        <v>48.983999999999995</v>
      </c>
      <c r="Q513" s="129" t="str">
        <f t="shared" si="66"/>
        <v/>
      </c>
      <c r="R513" s="121"/>
      <c r="S513" s="124"/>
      <c r="AZ513" s="98"/>
      <c r="BB513" s="98"/>
      <c r="BD513" s="98"/>
      <c r="BF513" s="98"/>
      <c r="BH513" s="98"/>
      <c r="BJ513" s="98"/>
      <c r="BL513" s="98"/>
      <c r="BN513" s="98"/>
      <c r="BP513" s="98"/>
      <c r="BR513" s="98"/>
    </row>
    <row r="514" spans="1:70">
      <c r="A514" s="123">
        <v>43864</v>
      </c>
      <c r="B514" s="121">
        <f t="shared" ref="B514:B577" si="76">MONTH(A514)</f>
        <v>2</v>
      </c>
      <c r="C514" s="121">
        <f t="shared" ref="C514:C577" si="77">YEAR(A514)</f>
        <v>2020</v>
      </c>
      <c r="D514" s="124">
        <v>5.2699999999999997E-2</v>
      </c>
      <c r="E514" s="124">
        <v>4.1633000000000003E-2</v>
      </c>
      <c r="F514" s="109">
        <v>10.013</v>
      </c>
      <c r="G514" s="121"/>
      <c r="H514" s="124"/>
      <c r="I514" s="125">
        <f>(($I$515-$I$512)/3)+I513</f>
        <v>89.043333333333322</v>
      </c>
      <c r="J514" s="124"/>
      <c r="K514" s="121"/>
      <c r="L514" s="130">
        <f t="shared" si="74"/>
        <v>0.79000000000000015</v>
      </c>
      <c r="M514" s="130">
        <f t="shared" si="75"/>
        <v>0.19</v>
      </c>
      <c r="N514" s="130">
        <f t="shared" si="72"/>
        <v>0.9800000000000002</v>
      </c>
      <c r="O514" s="130"/>
      <c r="P514" s="129">
        <f t="shared" si="73"/>
        <v>2.7403999999999997</v>
      </c>
      <c r="Q514" s="129" t="str">
        <f t="shared" si="66"/>
        <v/>
      </c>
      <c r="R514" s="121"/>
      <c r="S514" s="124">
        <v>106.7</v>
      </c>
      <c r="AZ514" s="98"/>
      <c r="BB514" s="98"/>
      <c r="BD514" s="98"/>
      <c r="BF514" s="98"/>
      <c r="BH514" s="98"/>
      <c r="BJ514" s="98"/>
      <c r="BL514" s="98"/>
      <c r="BN514" s="98"/>
      <c r="BP514" s="98"/>
      <c r="BR514" s="98"/>
    </row>
    <row r="515" spans="1:70">
      <c r="A515" s="123">
        <v>43871</v>
      </c>
      <c r="B515" s="121">
        <f t="shared" si="76"/>
        <v>2</v>
      </c>
      <c r="C515" s="121">
        <f t="shared" si="77"/>
        <v>2020</v>
      </c>
      <c r="D515" s="124">
        <v>0.78749999999999998</v>
      </c>
      <c r="E515" s="124">
        <v>0.62212500000000004</v>
      </c>
      <c r="F515" s="109">
        <v>149.625</v>
      </c>
      <c r="G515" s="121"/>
      <c r="H515" s="124">
        <v>6.1738999999999997</v>
      </c>
      <c r="I515" s="124">
        <v>89.69</v>
      </c>
      <c r="J515" s="124">
        <v>32.31</v>
      </c>
      <c r="K515" s="121"/>
      <c r="L515" s="130">
        <f t="shared" si="74"/>
        <v>0.79</v>
      </c>
      <c r="M515" s="130">
        <f t="shared" si="75"/>
        <v>0.19</v>
      </c>
      <c r="N515" s="130">
        <f t="shared" si="72"/>
        <v>0.98</v>
      </c>
      <c r="O515" s="130"/>
      <c r="P515" s="129">
        <f t="shared" si="73"/>
        <v>40.949999999999996</v>
      </c>
      <c r="Q515" s="129">
        <f t="shared" si="66"/>
        <v>54.879111111111108</v>
      </c>
      <c r="R515" s="121"/>
      <c r="S515" s="124">
        <v>51.6</v>
      </c>
      <c r="AZ515" s="98"/>
      <c r="BB515" s="98"/>
      <c r="BD515" s="98"/>
      <c r="BF515" s="98"/>
      <c r="BH515" s="98"/>
      <c r="BJ515" s="98"/>
      <c r="BL515" s="98"/>
      <c r="BN515" s="98"/>
      <c r="BP515" s="98"/>
      <c r="BR515" s="98"/>
    </row>
    <row r="516" spans="1:70">
      <c r="A516" s="123">
        <v>43878</v>
      </c>
      <c r="B516" s="121">
        <f t="shared" si="76"/>
        <v>2</v>
      </c>
      <c r="C516" s="121">
        <f t="shared" si="77"/>
        <v>2020</v>
      </c>
      <c r="D516" s="124">
        <v>1.5755999999999999</v>
      </c>
      <c r="E516" s="124">
        <v>1.2447239999999999</v>
      </c>
      <c r="F516" s="109">
        <v>299.36399999999998</v>
      </c>
      <c r="G516" s="121"/>
      <c r="H516" s="124">
        <v>6.3426999999999998</v>
      </c>
      <c r="I516" s="124">
        <v>102.76</v>
      </c>
      <c r="J516" s="124">
        <v>34.65</v>
      </c>
      <c r="K516" s="121"/>
      <c r="L516" s="130">
        <f t="shared" si="74"/>
        <v>0.79</v>
      </c>
      <c r="M516" s="130">
        <f t="shared" si="75"/>
        <v>0.19</v>
      </c>
      <c r="N516" s="130">
        <f t="shared" si="72"/>
        <v>0.98</v>
      </c>
      <c r="O516" s="130"/>
      <c r="P516" s="129">
        <f t="shared" si="73"/>
        <v>81.93119999999999</v>
      </c>
      <c r="Q516" s="129">
        <f t="shared" si="66"/>
        <v>28.17904290429043</v>
      </c>
      <c r="R516" s="121"/>
      <c r="S516" s="124">
        <v>128.30000000000001</v>
      </c>
      <c r="AZ516" s="98"/>
      <c r="BB516" s="98"/>
      <c r="BD516" s="98"/>
      <c r="BF516" s="98"/>
      <c r="BH516" s="98"/>
      <c r="BJ516" s="98"/>
      <c r="BL516" s="98"/>
      <c r="BN516" s="98"/>
      <c r="BP516" s="98"/>
      <c r="BR516" s="98"/>
    </row>
    <row r="517" spans="1:70">
      <c r="A517" s="123">
        <v>43885</v>
      </c>
      <c r="B517" s="121">
        <f t="shared" si="76"/>
        <v>2</v>
      </c>
      <c r="C517" s="121">
        <f t="shared" si="77"/>
        <v>2020</v>
      </c>
      <c r="D517" s="124">
        <v>1.8088</v>
      </c>
      <c r="E517" s="124">
        <v>1.428952</v>
      </c>
      <c r="F517" s="109">
        <v>343.67200000000003</v>
      </c>
      <c r="G517" s="121"/>
      <c r="H517" s="124">
        <v>5.6715</v>
      </c>
      <c r="I517" s="124">
        <v>119.78</v>
      </c>
      <c r="J517" s="124">
        <v>36.57</v>
      </c>
      <c r="K517" s="121"/>
      <c r="L517" s="130">
        <f t="shared" si="74"/>
        <v>0.79</v>
      </c>
      <c r="M517" s="130">
        <f t="shared" si="75"/>
        <v>0.19000000000000003</v>
      </c>
      <c r="N517" s="130">
        <f t="shared" si="72"/>
        <v>0.98000000000000009</v>
      </c>
      <c r="O517" s="130"/>
      <c r="P517" s="129">
        <f t="shared" si="73"/>
        <v>94.057599999999994</v>
      </c>
      <c r="Q517" s="129">
        <f t="shared" si="66"/>
        <v>21.948529411764703</v>
      </c>
      <c r="R517" s="121"/>
      <c r="S517" s="124">
        <v>96</v>
      </c>
      <c r="AZ517" s="98"/>
      <c r="BB517" s="98"/>
      <c r="BD517" s="98"/>
      <c r="BF517" s="98"/>
      <c r="BH517" s="98"/>
      <c r="BJ517" s="98"/>
      <c r="BL517" s="98"/>
      <c r="BN517" s="98"/>
      <c r="BP517" s="98"/>
      <c r="BR517" s="98"/>
    </row>
    <row r="518" spans="1:70">
      <c r="A518" s="123">
        <v>43892</v>
      </c>
      <c r="B518" s="121">
        <f t="shared" si="76"/>
        <v>3</v>
      </c>
      <c r="C518" s="121">
        <f t="shared" si="77"/>
        <v>2020</v>
      </c>
      <c r="D518" s="124">
        <v>1.9272</v>
      </c>
      <c r="E518" s="124">
        <v>1.5224880000000001</v>
      </c>
      <c r="F518" s="109">
        <v>366.16800000000001</v>
      </c>
      <c r="G518" s="121"/>
      <c r="H518" s="124">
        <v>4.9161999999999999</v>
      </c>
      <c r="I518" s="124">
        <v>134.41999999999999</v>
      </c>
      <c r="J518" s="124">
        <v>47.14</v>
      </c>
      <c r="K518" s="121"/>
      <c r="L518" s="130">
        <f t="shared" si="74"/>
        <v>0.79</v>
      </c>
      <c r="M518" s="130">
        <f t="shared" si="75"/>
        <v>0.19</v>
      </c>
      <c r="N518" s="130">
        <f t="shared" si="72"/>
        <v>0.98</v>
      </c>
      <c r="O518" s="130"/>
      <c r="P518" s="129">
        <f t="shared" si="73"/>
        <v>100.2144</v>
      </c>
      <c r="Q518" s="129">
        <f t="shared" si="66"/>
        <v>17.856683271066832</v>
      </c>
      <c r="R518" s="121"/>
      <c r="S518" s="124">
        <v>123.95</v>
      </c>
      <c r="AZ518" s="98"/>
      <c r="BB518" s="98"/>
      <c r="BD518" s="98"/>
      <c r="BF518" s="98"/>
      <c r="BH518" s="98"/>
      <c r="BJ518" s="98"/>
      <c r="BL518" s="98"/>
      <c r="BN518" s="98"/>
      <c r="BP518" s="98"/>
      <c r="BR518" s="98"/>
    </row>
    <row r="519" spans="1:70">
      <c r="A519" s="123">
        <v>43899</v>
      </c>
      <c r="B519" s="121">
        <f t="shared" si="76"/>
        <v>3</v>
      </c>
      <c r="C519" s="121">
        <f t="shared" si="77"/>
        <v>2020</v>
      </c>
      <c r="D519" s="124">
        <v>1.6593</v>
      </c>
      <c r="E519" s="124">
        <v>1.3108470000000001</v>
      </c>
      <c r="F519" s="109">
        <v>315.267</v>
      </c>
      <c r="G519" s="121"/>
      <c r="H519" s="124">
        <v>3.9169</v>
      </c>
      <c r="I519" s="124">
        <v>139.96</v>
      </c>
      <c r="J519" s="124">
        <v>51.24</v>
      </c>
      <c r="K519" s="121"/>
      <c r="L519" s="130">
        <f t="shared" si="74"/>
        <v>0.79</v>
      </c>
      <c r="M519" s="130">
        <f t="shared" si="75"/>
        <v>0.19</v>
      </c>
      <c r="N519" s="130">
        <f t="shared" si="72"/>
        <v>0.98</v>
      </c>
      <c r="O519" s="130"/>
      <c r="P519" s="129">
        <f t="shared" si="73"/>
        <v>86.283600000000007</v>
      </c>
      <c r="Q519" s="129">
        <f t="shared" si="66"/>
        <v>16.524016151389141</v>
      </c>
      <c r="R519" s="121"/>
      <c r="S519" s="124">
        <v>104.7</v>
      </c>
      <c r="AZ519" s="98"/>
      <c r="BB519" s="98"/>
      <c r="BD519" s="98"/>
      <c r="BF519" s="98"/>
      <c r="BH519" s="98"/>
      <c r="BJ519" s="98"/>
      <c r="BL519" s="98"/>
      <c r="BN519" s="98"/>
      <c r="BP519" s="98"/>
      <c r="BR519" s="98"/>
    </row>
    <row r="520" spans="1:70">
      <c r="A520" s="123">
        <v>43906</v>
      </c>
      <c r="B520" s="121">
        <f t="shared" si="76"/>
        <v>3</v>
      </c>
      <c r="C520" s="121">
        <f t="shared" si="77"/>
        <v>2020</v>
      </c>
      <c r="D520" s="124">
        <v>1.4711000000000001</v>
      </c>
      <c r="E520" s="124">
        <v>1.162169</v>
      </c>
      <c r="F520" s="109">
        <v>279.50900000000001</v>
      </c>
      <c r="G520" s="121"/>
      <c r="H520" s="124">
        <v>3.3689</v>
      </c>
      <c r="I520" s="124">
        <v>139.21</v>
      </c>
      <c r="J520" s="124">
        <v>44.05</v>
      </c>
      <c r="K520" s="121"/>
      <c r="L520" s="130">
        <f t="shared" si="74"/>
        <v>0.78999999999999992</v>
      </c>
      <c r="M520" s="130">
        <f t="shared" si="75"/>
        <v>0.19</v>
      </c>
      <c r="N520" s="130">
        <f t="shared" si="72"/>
        <v>0.98</v>
      </c>
      <c r="O520" s="130"/>
      <c r="P520" s="129">
        <f t="shared" si="73"/>
        <v>76.497200000000007</v>
      </c>
      <c r="Q520" s="129">
        <f t="shared" si="66"/>
        <v>16.030385425871795</v>
      </c>
      <c r="R520" s="121"/>
      <c r="S520" s="124">
        <v>176.4</v>
      </c>
      <c r="AZ520" s="98"/>
      <c r="BB520" s="98"/>
      <c r="BD520" s="98"/>
      <c r="BF520" s="98"/>
      <c r="BH520" s="98"/>
      <c r="BJ520" s="98"/>
      <c r="BL520" s="98"/>
      <c r="BN520" s="98"/>
      <c r="BP520" s="98"/>
      <c r="BR520" s="98"/>
    </row>
    <row r="521" spans="1:70">
      <c r="A521" s="123">
        <v>43913</v>
      </c>
      <c r="B521" s="121">
        <f t="shared" si="76"/>
        <v>3</v>
      </c>
      <c r="C521" s="121">
        <f t="shared" si="77"/>
        <v>2020</v>
      </c>
      <c r="D521" s="124">
        <v>1.4761</v>
      </c>
      <c r="E521" s="124">
        <v>1.0954140000000001</v>
      </c>
      <c r="F521" s="109">
        <v>263.45400000000001</v>
      </c>
      <c r="G521" s="121"/>
      <c r="H521" s="124">
        <v>3.5470999999999999</v>
      </c>
      <c r="I521" s="124">
        <v>125.63</v>
      </c>
      <c r="J521" s="124">
        <v>27.93</v>
      </c>
      <c r="K521" s="121"/>
      <c r="L521" s="130">
        <f t="shared" si="74"/>
        <v>0.7421001287175667</v>
      </c>
      <c r="M521" s="130">
        <f t="shared" si="75"/>
        <v>0.17847977779283247</v>
      </c>
      <c r="N521" s="130">
        <f t="shared" si="72"/>
        <v>0.92057990651039923</v>
      </c>
      <c r="O521" s="130"/>
      <c r="P521" s="129">
        <f t="shared" si="73"/>
        <v>76.757199999999997</v>
      </c>
      <c r="Q521" s="129">
        <f t="shared" si="66"/>
        <v>16.821150328568525</v>
      </c>
      <c r="R521" s="121"/>
      <c r="S521" s="124">
        <v>374.15</v>
      </c>
      <c r="AZ521" s="98"/>
      <c r="BB521" s="98"/>
      <c r="BD521" s="98"/>
      <c r="BF521" s="98"/>
      <c r="BH521" s="98"/>
      <c r="BJ521" s="98"/>
      <c r="BL521" s="98"/>
      <c r="BN521" s="98"/>
      <c r="BP521" s="98"/>
      <c r="BR521" s="98"/>
    </row>
    <row r="522" spans="1:70">
      <c r="A522" s="123">
        <v>43920</v>
      </c>
      <c r="B522" s="121">
        <f t="shared" si="76"/>
        <v>3</v>
      </c>
      <c r="C522" s="121">
        <f t="shared" si="77"/>
        <v>2020</v>
      </c>
      <c r="D522" s="124">
        <v>1.4383999999999999</v>
      </c>
      <c r="E522" s="124">
        <v>1.1661189999999999</v>
      </c>
      <c r="F522" s="109">
        <v>273.29599999999999</v>
      </c>
      <c r="G522" s="121"/>
      <c r="H522" s="124">
        <v>3.4898000000000002</v>
      </c>
      <c r="I522" s="124">
        <v>115.13</v>
      </c>
      <c r="J522" s="124">
        <v>17.7</v>
      </c>
      <c r="K522" s="121"/>
      <c r="L522" s="130">
        <f t="shared" si="74"/>
        <v>0.81070564516129029</v>
      </c>
      <c r="M522" s="130">
        <f t="shared" si="75"/>
        <v>0.19</v>
      </c>
      <c r="N522" s="130">
        <f t="shared" si="72"/>
        <v>1.0007056451612903</v>
      </c>
      <c r="O522" s="130"/>
      <c r="P522" s="129">
        <f t="shared" si="73"/>
        <v>74.79679999999999</v>
      </c>
      <c r="Q522" s="129">
        <f t="shared" si="66"/>
        <v>16.983175750834263</v>
      </c>
      <c r="R522" s="121"/>
      <c r="S522" s="124">
        <v>414.7</v>
      </c>
      <c r="AZ522" s="98"/>
      <c r="BB522" s="98"/>
      <c r="BD522" s="98"/>
      <c r="BF522" s="98"/>
      <c r="BH522" s="98"/>
      <c r="BJ522" s="98"/>
      <c r="BL522" s="98"/>
      <c r="BN522" s="98"/>
      <c r="BP522" s="98"/>
      <c r="BR522" s="98"/>
    </row>
    <row r="523" spans="1:70">
      <c r="A523" s="123">
        <v>43927</v>
      </c>
      <c r="B523" s="121">
        <f t="shared" si="76"/>
        <v>4</v>
      </c>
      <c r="C523" s="121">
        <f t="shared" si="77"/>
        <v>2020</v>
      </c>
      <c r="D523" s="124">
        <v>1.3566</v>
      </c>
      <c r="E523" s="124">
        <v>1.136336</v>
      </c>
      <c r="F523" s="109">
        <v>257.75400000000002</v>
      </c>
      <c r="G523" s="121"/>
      <c r="H523" s="124">
        <v>3.6738999999999997</v>
      </c>
      <c r="I523" s="124">
        <v>102.77</v>
      </c>
      <c r="J523" s="124">
        <v>17.41</v>
      </c>
      <c r="K523" s="121"/>
      <c r="L523" s="130">
        <f t="shared" si="74"/>
        <v>0.83763526463216864</v>
      </c>
      <c r="M523" s="130">
        <f t="shared" si="75"/>
        <v>0.19000000000000003</v>
      </c>
      <c r="N523" s="130">
        <f t="shared" si="72"/>
        <v>1.0276352646321687</v>
      </c>
      <c r="O523" s="130"/>
      <c r="P523" s="129">
        <f t="shared" si="73"/>
        <v>70.543199999999999</v>
      </c>
      <c r="Q523" s="129">
        <f t="shared" si="66"/>
        <v>18.957172342621259</v>
      </c>
      <c r="R523" s="121"/>
      <c r="S523" s="124">
        <v>425.75</v>
      </c>
      <c r="AZ523" s="98"/>
      <c r="BB523" s="98"/>
      <c r="BD523" s="98"/>
      <c r="BF523" s="98"/>
      <c r="BH523" s="98"/>
      <c r="BJ523" s="98"/>
      <c r="BL523" s="98"/>
      <c r="BN523" s="98"/>
      <c r="BP523" s="98"/>
      <c r="BR523" s="98"/>
    </row>
    <row r="524" spans="1:70">
      <c r="A524" s="123">
        <v>43934</v>
      </c>
      <c r="B524" s="121">
        <f t="shared" si="76"/>
        <v>4</v>
      </c>
      <c r="C524" s="121">
        <f t="shared" si="77"/>
        <v>2020</v>
      </c>
      <c r="D524" s="124">
        <v>1.5824</v>
      </c>
      <c r="E524" s="124">
        <v>1.0717140000000001</v>
      </c>
      <c r="F524" s="109">
        <v>300.65600000000001</v>
      </c>
      <c r="G524" s="121"/>
      <c r="H524" s="124">
        <v>3.4074</v>
      </c>
      <c r="I524" s="124">
        <v>90.45</v>
      </c>
      <c r="J524" s="124">
        <v>13.92</v>
      </c>
      <c r="K524" s="121"/>
      <c r="L524" s="130">
        <f t="shared" si="74"/>
        <v>0.67727123356926189</v>
      </c>
      <c r="M524" s="130">
        <f t="shared" si="75"/>
        <v>0.18999999999999997</v>
      </c>
      <c r="N524" s="130">
        <f t="shared" si="72"/>
        <v>0.86727123356926183</v>
      </c>
      <c r="O524" s="130"/>
      <c r="P524" s="129">
        <f t="shared" si="73"/>
        <v>82.284800000000004</v>
      </c>
      <c r="Q524" s="129">
        <f t="shared" si="66"/>
        <v>15.073179979777551</v>
      </c>
      <c r="R524" s="121"/>
      <c r="S524" s="124">
        <v>364.4</v>
      </c>
      <c r="AZ524" s="98"/>
      <c r="BB524" s="98"/>
      <c r="BD524" s="98"/>
      <c r="BF524" s="98"/>
      <c r="BH524" s="98"/>
      <c r="BJ524" s="98"/>
      <c r="BL524" s="98"/>
      <c r="BN524" s="98"/>
      <c r="BP524" s="98"/>
      <c r="BR524" s="98"/>
    </row>
    <row r="525" spans="1:70">
      <c r="A525" s="123">
        <v>43941</v>
      </c>
      <c r="B525" s="121">
        <f t="shared" si="76"/>
        <v>4</v>
      </c>
      <c r="C525" s="121">
        <f t="shared" si="77"/>
        <v>2020</v>
      </c>
      <c r="D525" s="124">
        <v>1.6749000000000001</v>
      </c>
      <c r="E525" s="124">
        <v>1.2500960000000001</v>
      </c>
      <c r="F525" s="109">
        <v>318.23099999999999</v>
      </c>
      <c r="G525" s="121"/>
      <c r="H525" s="124">
        <v>3.7673000000000001</v>
      </c>
      <c r="I525" s="124">
        <v>83.77</v>
      </c>
      <c r="J525" s="124">
        <v>16.86</v>
      </c>
      <c r="K525" s="121"/>
      <c r="L525" s="130">
        <f t="shared" si="74"/>
        <v>0.74637052958385575</v>
      </c>
      <c r="M525" s="130">
        <f t="shared" si="75"/>
        <v>0.18999999999999997</v>
      </c>
      <c r="N525" s="130">
        <f t="shared" si="72"/>
        <v>0.93637052958385569</v>
      </c>
      <c r="O525" s="130"/>
      <c r="P525" s="129">
        <f t="shared" si="73"/>
        <v>87.094800000000006</v>
      </c>
      <c r="Q525" s="129">
        <f t="shared" si="66"/>
        <v>15.744880291360678</v>
      </c>
      <c r="R525" s="121"/>
      <c r="S525" s="124">
        <v>325.85000000000002</v>
      </c>
      <c r="AZ525" s="98"/>
      <c r="BB525" s="98"/>
      <c r="BD525" s="98"/>
      <c r="BF525" s="98"/>
      <c r="BH525" s="98"/>
      <c r="BJ525" s="98"/>
      <c r="BL525" s="98"/>
      <c r="BN525" s="98"/>
      <c r="BP525" s="98"/>
      <c r="BR525" s="98"/>
    </row>
    <row r="526" spans="1:70">
      <c r="A526" s="123">
        <v>43948</v>
      </c>
      <c r="B526" s="121">
        <f t="shared" si="76"/>
        <v>4</v>
      </c>
      <c r="C526" s="121">
        <f t="shared" si="77"/>
        <v>2020</v>
      </c>
      <c r="D526" s="124">
        <v>1.7769999999999999</v>
      </c>
      <c r="E526" s="124">
        <v>1.3231710000000001</v>
      </c>
      <c r="F526" s="109">
        <v>337.63</v>
      </c>
      <c r="G526" s="121"/>
      <c r="H526" s="124">
        <v>4.2625000000000002</v>
      </c>
      <c r="I526" s="124">
        <v>81.22</v>
      </c>
      <c r="J526" s="124">
        <v>18.55</v>
      </c>
      <c r="K526" s="121"/>
      <c r="L526" s="130">
        <f t="shared" si="74"/>
        <v>0.74460945413618462</v>
      </c>
      <c r="M526" s="130">
        <f t="shared" si="75"/>
        <v>0.19</v>
      </c>
      <c r="N526" s="130">
        <f t="shared" si="72"/>
        <v>0.93460945413618468</v>
      </c>
      <c r="O526" s="130"/>
      <c r="P526" s="129">
        <f t="shared" si="73"/>
        <v>92.403999999999996</v>
      </c>
      <c r="Q526" s="129">
        <f t="shared" si="66"/>
        <v>16.790939786156446</v>
      </c>
      <c r="R526" s="121"/>
      <c r="S526" s="124">
        <v>278.5</v>
      </c>
      <c r="AZ526" s="98"/>
      <c r="BB526" s="98"/>
      <c r="BD526" s="98"/>
      <c r="BF526" s="98"/>
      <c r="BH526" s="98"/>
      <c r="BJ526" s="98"/>
      <c r="BL526" s="98"/>
      <c r="BN526" s="98"/>
      <c r="BP526" s="98"/>
      <c r="BR526" s="98"/>
    </row>
    <row r="527" spans="1:70">
      <c r="A527" s="123">
        <v>43955</v>
      </c>
      <c r="B527" s="121">
        <f t="shared" si="76"/>
        <v>5</v>
      </c>
      <c r="C527" s="121">
        <f t="shared" si="77"/>
        <v>2020</v>
      </c>
      <c r="D527" s="124">
        <v>1.7495000000000001</v>
      </c>
      <c r="E527" s="124">
        <v>1.4038299999999999</v>
      </c>
      <c r="F527" s="109">
        <v>332.40499999999997</v>
      </c>
      <c r="G527" s="121"/>
      <c r="H527" s="124">
        <v>4.3416000000000006</v>
      </c>
      <c r="I527" s="124">
        <v>84.5</v>
      </c>
      <c r="J527" s="124">
        <v>31.99</v>
      </c>
      <c r="K527" s="121"/>
      <c r="L527" s="130">
        <f t="shared" si="74"/>
        <v>0.80241783366676189</v>
      </c>
      <c r="M527" s="130">
        <f t="shared" si="75"/>
        <v>0.18999999999999997</v>
      </c>
      <c r="N527" s="130">
        <f t="shared" si="72"/>
        <v>0.99241783366676184</v>
      </c>
      <c r="O527" s="130"/>
      <c r="P527" s="129">
        <f t="shared" si="73"/>
        <v>90.974000000000004</v>
      </c>
      <c r="Q527" s="129">
        <f t="shared" si="66"/>
        <v>17.371363246641899</v>
      </c>
      <c r="R527" s="121"/>
      <c r="S527" s="124">
        <v>155.4</v>
      </c>
      <c r="AZ527" s="98"/>
      <c r="BB527" s="98"/>
      <c r="BD527" s="98"/>
      <c r="BF527" s="98"/>
      <c r="BH527" s="98"/>
      <c r="BJ527" s="98"/>
      <c r="BL527" s="98"/>
      <c r="BN527" s="98"/>
      <c r="BP527" s="98"/>
      <c r="BR527" s="98"/>
    </row>
    <row r="528" spans="1:70">
      <c r="A528" s="123">
        <v>43962</v>
      </c>
      <c r="B528" s="121">
        <f t="shared" si="76"/>
        <v>5</v>
      </c>
      <c r="C528" s="121">
        <f t="shared" si="77"/>
        <v>2020</v>
      </c>
      <c r="D528" s="124">
        <v>1.9121999999999999</v>
      </c>
      <c r="E528" s="124">
        <v>1.3821049999999999</v>
      </c>
      <c r="F528" s="109">
        <v>363.31799999999998</v>
      </c>
      <c r="G528" s="121"/>
      <c r="H528" s="124">
        <v>5.2992999999999997</v>
      </c>
      <c r="I528" s="124">
        <v>86.83</v>
      </c>
      <c r="J528" s="124">
        <v>38.14</v>
      </c>
      <c r="K528" s="121"/>
      <c r="L528" s="130">
        <f t="shared" si="74"/>
        <v>0.7227826587177073</v>
      </c>
      <c r="M528" s="130">
        <f t="shared" si="75"/>
        <v>0.19</v>
      </c>
      <c r="N528" s="130">
        <f t="shared" si="72"/>
        <v>0.91278265871770725</v>
      </c>
      <c r="O528" s="130"/>
      <c r="P528" s="129">
        <f t="shared" si="73"/>
        <v>99.434399999999997</v>
      </c>
      <c r="Q528" s="129">
        <f t="shared" si="66"/>
        <v>19.399173726597635</v>
      </c>
      <c r="R528" s="121"/>
      <c r="S528" s="124">
        <v>101.95</v>
      </c>
      <c r="AZ528" s="98"/>
      <c r="BB528" s="98"/>
      <c r="BD528" s="98"/>
      <c r="BF528" s="98"/>
      <c r="BH528" s="98"/>
      <c r="BJ528" s="98"/>
      <c r="BL528" s="98"/>
      <c r="BN528" s="98"/>
      <c r="BP528" s="98"/>
      <c r="BR528" s="98"/>
    </row>
    <row r="529" spans="1:70">
      <c r="A529" s="123">
        <v>43969</v>
      </c>
      <c r="B529" s="121">
        <f t="shared" si="76"/>
        <v>5</v>
      </c>
      <c r="C529" s="121">
        <f t="shared" si="77"/>
        <v>2020</v>
      </c>
      <c r="D529" s="124">
        <v>2.0975000000000001</v>
      </c>
      <c r="E529" s="124">
        <v>1.5106379999999999</v>
      </c>
      <c r="F529" s="109">
        <v>398.52499999999998</v>
      </c>
      <c r="G529" s="121"/>
      <c r="H529" s="124">
        <v>5.8888999999999996</v>
      </c>
      <c r="I529" s="124">
        <v>88.92</v>
      </c>
      <c r="J529" s="124">
        <v>54.33</v>
      </c>
      <c r="K529" s="121"/>
      <c r="L529" s="130">
        <f t="shared" si="74"/>
        <v>0.72020882002383779</v>
      </c>
      <c r="M529" s="130">
        <f t="shared" si="75"/>
        <v>0.18999999999999997</v>
      </c>
      <c r="N529" s="130">
        <f t="shared" si="72"/>
        <v>0.91020882002383774</v>
      </c>
      <c r="O529" s="130"/>
      <c r="P529" s="129">
        <f t="shared" si="73"/>
        <v>109.07000000000001</v>
      </c>
      <c r="Q529" s="129">
        <f t="shared" si="66"/>
        <v>19.653063170440998</v>
      </c>
      <c r="R529" s="121"/>
      <c r="S529" s="124">
        <v>68.599999999999994</v>
      </c>
      <c r="AZ529" s="98"/>
      <c r="BB529" s="98"/>
      <c r="BD529" s="98"/>
      <c r="BF529" s="98"/>
      <c r="BH529" s="98"/>
      <c r="BJ529" s="98"/>
      <c r="BL529" s="98"/>
      <c r="BN529" s="98"/>
      <c r="BP529" s="98"/>
      <c r="BR529" s="98"/>
    </row>
    <row r="530" spans="1:70">
      <c r="A530" s="123">
        <v>43976</v>
      </c>
      <c r="B530" s="121">
        <f t="shared" si="76"/>
        <v>5</v>
      </c>
      <c r="C530" s="121">
        <f t="shared" si="77"/>
        <v>2020</v>
      </c>
      <c r="D530" s="124">
        <v>2.0661</v>
      </c>
      <c r="E530" s="124">
        <v>1.657025</v>
      </c>
      <c r="F530" s="109">
        <v>392.55900000000003</v>
      </c>
      <c r="G530" s="121"/>
      <c r="H530" s="124">
        <v>6.0004</v>
      </c>
      <c r="I530" s="124">
        <v>93.17</v>
      </c>
      <c r="J530" s="124">
        <v>68.59</v>
      </c>
      <c r="K530" s="121"/>
      <c r="L530" s="130">
        <f t="shared" si="74"/>
        <v>0.80200619524708383</v>
      </c>
      <c r="M530" s="130">
        <f t="shared" si="75"/>
        <v>0.19000000000000003</v>
      </c>
      <c r="N530" s="130">
        <f t="shared" si="72"/>
        <v>0.99200619524708389</v>
      </c>
      <c r="O530" s="130"/>
      <c r="P530" s="129">
        <f t="shared" si="73"/>
        <v>107.4372</v>
      </c>
      <c r="Q530" s="129">
        <f t="shared" si="66"/>
        <v>20.329509704273754</v>
      </c>
      <c r="R530" s="121"/>
      <c r="S530" s="124">
        <v>194.95</v>
      </c>
      <c r="AZ530" s="98"/>
      <c r="BB530" s="98"/>
      <c r="BD530" s="98"/>
      <c r="BF530" s="98"/>
      <c r="BH530" s="98"/>
      <c r="BJ530" s="98"/>
      <c r="BL530" s="98"/>
      <c r="BN530" s="98"/>
      <c r="BP530" s="98"/>
      <c r="BR530" s="98"/>
    </row>
    <row r="531" spans="1:70">
      <c r="A531" s="123">
        <v>43983</v>
      </c>
      <c r="B531" s="121">
        <f t="shared" si="76"/>
        <v>6</v>
      </c>
      <c r="C531" s="121">
        <f t="shared" si="77"/>
        <v>2020</v>
      </c>
      <c r="D531" s="124">
        <v>1.9155500000000001</v>
      </c>
      <c r="E531" s="124">
        <v>1.6322190000000001</v>
      </c>
      <c r="F531" s="109">
        <v>363.95499999999998</v>
      </c>
      <c r="G531" s="121"/>
      <c r="H531" s="124">
        <v>6.2752999999999997</v>
      </c>
      <c r="I531" s="124">
        <v>94.95</v>
      </c>
      <c r="J531" s="124">
        <v>70.63</v>
      </c>
      <c r="K531" s="121"/>
      <c r="L531" s="130">
        <f t="shared" si="74"/>
        <v>0.85208895617446689</v>
      </c>
      <c r="M531" s="130">
        <f t="shared" si="75"/>
        <v>0.19000026102163867</v>
      </c>
      <c r="N531" s="130">
        <f t="shared" si="72"/>
        <v>1.0420892171961056</v>
      </c>
      <c r="O531" s="130"/>
      <c r="P531" s="129">
        <f t="shared" si="73"/>
        <v>99.60860000000001</v>
      </c>
      <c r="Q531" s="129">
        <f t="shared" si="66"/>
        <v>22.931847250137036</v>
      </c>
      <c r="R531" s="121"/>
      <c r="S531" s="124">
        <v>209.8</v>
      </c>
      <c r="AZ531" s="98"/>
      <c r="BB531" s="98"/>
      <c r="BD531" s="98"/>
      <c r="BF531" s="98"/>
      <c r="BH531" s="98"/>
      <c r="BJ531" s="98"/>
      <c r="BL531" s="98"/>
      <c r="BN531" s="98"/>
      <c r="BP531" s="98"/>
      <c r="BR531" s="98"/>
    </row>
    <row r="532" spans="1:70">
      <c r="A532" s="123">
        <v>43990</v>
      </c>
      <c r="B532" s="121">
        <f t="shared" si="76"/>
        <v>6</v>
      </c>
      <c r="C532" s="121">
        <f t="shared" si="77"/>
        <v>2020</v>
      </c>
      <c r="D532" s="124">
        <v>2.052</v>
      </c>
      <c r="E532" s="124">
        <v>1.513285</v>
      </c>
      <c r="F532" s="109">
        <v>389.88</v>
      </c>
      <c r="G532" s="121"/>
      <c r="H532" s="124">
        <v>6.5129999999999999</v>
      </c>
      <c r="I532" s="124">
        <v>95.62</v>
      </c>
      <c r="J532" s="124">
        <v>79.16</v>
      </c>
      <c r="K532" s="121"/>
      <c r="L532" s="130">
        <f t="shared" si="74"/>
        <v>0.73746832358674463</v>
      </c>
      <c r="M532" s="130">
        <f t="shared" si="75"/>
        <v>0.19</v>
      </c>
      <c r="N532" s="130">
        <f t="shared" si="72"/>
        <v>0.92746832358674469</v>
      </c>
      <c r="O532" s="130"/>
      <c r="P532" s="129">
        <f t="shared" si="73"/>
        <v>106.70400000000001</v>
      </c>
      <c r="Q532" s="129">
        <f t="shared" ref="Q532:Q539" si="78">IF(H532="","",IF(D532="","",H532/(D532/7)))</f>
        <v>22.217836257309941</v>
      </c>
      <c r="R532" s="121"/>
      <c r="S532" s="124">
        <v>150.1</v>
      </c>
      <c r="AZ532" s="98"/>
      <c r="BB532" s="98"/>
      <c r="BD532" s="98"/>
      <c r="BF532" s="98"/>
      <c r="BH532" s="98"/>
      <c r="BJ532" s="98"/>
      <c r="BL532" s="98"/>
      <c r="BN532" s="98"/>
      <c r="BP532" s="98"/>
      <c r="BR532" s="98"/>
    </row>
    <row r="533" spans="1:70">
      <c r="A533" s="123">
        <v>43997</v>
      </c>
      <c r="B533" s="121">
        <f t="shared" si="76"/>
        <v>6</v>
      </c>
      <c r="C533" s="121">
        <f t="shared" si="77"/>
        <v>2020</v>
      </c>
      <c r="D533" s="124">
        <v>2.1381999999999999</v>
      </c>
      <c r="E533" s="124">
        <v>1.6210800000000001</v>
      </c>
      <c r="F533" s="109">
        <v>406.25799999999998</v>
      </c>
      <c r="G533" s="121"/>
      <c r="H533" s="124">
        <v>6.5625</v>
      </c>
      <c r="I533" s="124">
        <v>103.76</v>
      </c>
      <c r="J533" s="124">
        <v>94.85</v>
      </c>
      <c r="K533" s="121"/>
      <c r="L533" s="130">
        <f t="shared" si="74"/>
        <v>0.75815171639696954</v>
      </c>
      <c r="M533" s="130">
        <f t="shared" si="75"/>
        <v>0.19</v>
      </c>
      <c r="N533" s="130">
        <f t="shared" si="72"/>
        <v>0.94815171639696949</v>
      </c>
      <c r="O533" s="130"/>
      <c r="P533" s="129">
        <f t="shared" si="73"/>
        <v>111.18639999999999</v>
      </c>
      <c r="Q533" s="129">
        <f t="shared" si="78"/>
        <v>21.484192311289874</v>
      </c>
      <c r="R533" s="121"/>
      <c r="S533" s="124">
        <v>165.3</v>
      </c>
      <c r="AZ533" s="98"/>
      <c r="BB533" s="98"/>
      <c r="BD533" s="98"/>
      <c r="BF533" s="98"/>
      <c r="BH533" s="98"/>
      <c r="BJ533" s="98"/>
      <c r="BL533" s="98"/>
      <c r="BN533" s="98"/>
      <c r="BP533" s="98"/>
      <c r="BR533" s="98"/>
    </row>
    <row r="534" spans="1:70">
      <c r="A534" s="123">
        <v>44004</v>
      </c>
      <c r="B534" s="121">
        <f t="shared" si="76"/>
        <v>6</v>
      </c>
      <c r="C534" s="121">
        <f t="shared" si="77"/>
        <v>2020</v>
      </c>
      <c r="D534" s="124">
        <v>2.0310000000000001</v>
      </c>
      <c r="E534" s="124">
        <v>1.6891780000000001</v>
      </c>
      <c r="F534" s="109">
        <v>385.89</v>
      </c>
      <c r="G534" s="121"/>
      <c r="H534" s="124">
        <v>7.2134999999999998</v>
      </c>
      <c r="I534" s="124">
        <v>112.25</v>
      </c>
      <c r="J534" s="124">
        <v>104.27</v>
      </c>
      <c r="K534" s="121"/>
      <c r="L534" s="130">
        <f t="shared" si="74"/>
        <v>0.83169768586903003</v>
      </c>
      <c r="M534" s="130">
        <f t="shared" si="75"/>
        <v>0.19</v>
      </c>
      <c r="N534" s="130">
        <f t="shared" si="72"/>
        <v>1.0216976858690301</v>
      </c>
      <c r="O534" s="130"/>
      <c r="P534" s="129">
        <f t="shared" si="73"/>
        <v>105.61200000000001</v>
      </c>
      <c r="Q534" s="129">
        <f t="shared" si="78"/>
        <v>24.861890694239289</v>
      </c>
      <c r="R534" s="121"/>
      <c r="S534" s="124">
        <v>179.3</v>
      </c>
      <c r="AZ534" s="98"/>
      <c r="BB534" s="98"/>
      <c r="BD534" s="98"/>
      <c r="BF534" s="98"/>
      <c r="BH534" s="98"/>
      <c r="BJ534" s="98"/>
      <c r="BL534" s="98"/>
      <c r="BN534" s="98"/>
      <c r="BP534" s="98"/>
      <c r="BR534" s="98"/>
    </row>
    <row r="535" spans="1:70">
      <c r="A535" s="123">
        <v>44011</v>
      </c>
      <c r="B535" s="121">
        <f t="shared" si="76"/>
        <v>6</v>
      </c>
      <c r="C535" s="121">
        <f t="shared" si="77"/>
        <v>2020</v>
      </c>
      <c r="D535" s="124">
        <v>2.0427</v>
      </c>
      <c r="E535" s="124">
        <v>1.60449</v>
      </c>
      <c r="F535" s="109">
        <v>388.113</v>
      </c>
      <c r="G535" s="121"/>
      <c r="H535" s="124">
        <v>7.1577000000000002</v>
      </c>
      <c r="I535" s="124">
        <v>118.23</v>
      </c>
      <c r="J535" s="124">
        <v>104.80500000000001</v>
      </c>
      <c r="K535" s="121"/>
      <c r="L535" s="130">
        <f t="shared" si="74"/>
        <v>0.78547510647672203</v>
      </c>
      <c r="M535" s="130">
        <f t="shared" si="75"/>
        <v>0.19</v>
      </c>
      <c r="N535" s="130">
        <f t="shared" si="72"/>
        <v>0.97547510647672198</v>
      </c>
      <c r="O535" s="130"/>
      <c r="P535" s="129">
        <f t="shared" si="73"/>
        <v>106.2204</v>
      </c>
      <c r="Q535" s="129">
        <f t="shared" si="78"/>
        <v>24.528271405492731</v>
      </c>
      <c r="R535" s="121"/>
      <c r="S535" s="124">
        <v>248.6</v>
      </c>
      <c r="AZ535" s="98"/>
      <c r="BB535" s="98"/>
      <c r="BD535" s="98"/>
      <c r="BF535" s="98"/>
      <c r="BH535" s="98"/>
      <c r="BJ535" s="98"/>
      <c r="BL535" s="98"/>
      <c r="BN535" s="98"/>
      <c r="BP535" s="98"/>
      <c r="BR535" s="98"/>
    </row>
    <row r="536" spans="1:70">
      <c r="A536" s="123">
        <v>44018</v>
      </c>
      <c r="B536" s="121">
        <f t="shared" si="76"/>
        <v>7</v>
      </c>
      <c r="C536" s="121">
        <f t="shared" si="77"/>
        <v>2020</v>
      </c>
      <c r="D536" s="124">
        <v>1.9996</v>
      </c>
      <c r="E536" s="124">
        <v>1.6137330000000001</v>
      </c>
      <c r="F536" s="109">
        <v>379.92399999999998</v>
      </c>
      <c r="G536" s="121"/>
      <c r="H536" s="124">
        <v>7.1825000000000001</v>
      </c>
      <c r="I536" s="124">
        <v>118.88</v>
      </c>
      <c r="J536" s="124">
        <v>97.74</v>
      </c>
      <c r="K536" s="121"/>
      <c r="L536" s="130">
        <f t="shared" si="74"/>
        <v>0.80702790558111626</v>
      </c>
      <c r="M536" s="130">
        <f t="shared" si="75"/>
        <v>0.18999999999999997</v>
      </c>
      <c r="N536" s="130">
        <f t="shared" si="72"/>
        <v>0.9970279055811162</v>
      </c>
      <c r="O536" s="130"/>
      <c r="P536" s="129">
        <f t="shared" si="73"/>
        <v>103.97920000000001</v>
      </c>
      <c r="Q536" s="129">
        <f t="shared" si="78"/>
        <v>25.143778755751146</v>
      </c>
      <c r="R536" s="121"/>
      <c r="S536" s="124">
        <v>276.25</v>
      </c>
      <c r="AZ536" s="98"/>
      <c r="BB536" s="98"/>
      <c r="BD536" s="98"/>
      <c r="BF536" s="98"/>
      <c r="BH536" s="98"/>
      <c r="BJ536" s="98"/>
      <c r="BL536" s="98"/>
      <c r="BN536" s="98"/>
      <c r="BP536" s="98"/>
      <c r="BR536" s="98"/>
    </row>
    <row r="537" spans="1:70">
      <c r="A537" s="123">
        <v>44025</v>
      </c>
      <c r="B537" s="121">
        <f t="shared" si="76"/>
        <v>7</v>
      </c>
      <c r="C537" s="121">
        <f t="shared" si="77"/>
        <v>2020</v>
      </c>
      <c r="D537" s="124">
        <v>2.0634999999999999</v>
      </c>
      <c r="E537" s="124">
        <v>1.5796840000000001</v>
      </c>
      <c r="F537" s="109">
        <v>392.065</v>
      </c>
      <c r="G537" s="121"/>
      <c r="H537" s="124">
        <v>7.3902000000000001</v>
      </c>
      <c r="I537" s="124">
        <v>119.68</v>
      </c>
      <c r="J537" s="124">
        <v>93.41</v>
      </c>
      <c r="K537" s="121"/>
      <c r="L537" s="130">
        <f t="shared" si="74"/>
        <v>0.76553622486067374</v>
      </c>
      <c r="M537" s="130">
        <f t="shared" si="75"/>
        <v>0.19</v>
      </c>
      <c r="N537" s="130">
        <f t="shared" si="72"/>
        <v>0.9555362248606738</v>
      </c>
      <c r="O537" s="130"/>
      <c r="P537" s="129">
        <f t="shared" si="73"/>
        <v>107.30199999999999</v>
      </c>
      <c r="Q537" s="129">
        <f t="shared" si="78"/>
        <v>25.069735885631211</v>
      </c>
      <c r="R537" s="121"/>
      <c r="S537" s="124">
        <v>243.6</v>
      </c>
      <c r="AZ537" s="98"/>
      <c r="BB537" s="98"/>
      <c r="BD537" s="98"/>
      <c r="BF537" s="98"/>
      <c r="BH537" s="98"/>
      <c r="BJ537" s="98"/>
      <c r="BL537" s="98"/>
      <c r="BN537" s="98"/>
      <c r="BP537" s="98"/>
      <c r="BR537" s="98"/>
    </row>
    <row r="538" spans="1:70">
      <c r="A538" s="123">
        <v>44032</v>
      </c>
      <c r="B538" s="121">
        <f t="shared" si="76"/>
        <v>7</v>
      </c>
      <c r="C538" s="121">
        <f t="shared" si="77"/>
        <v>2020</v>
      </c>
      <c r="D538" s="124">
        <v>1.9553</v>
      </c>
      <c r="E538" s="124">
        <v>1.6301650000000001</v>
      </c>
      <c r="F538" s="109">
        <v>371.50700000000001</v>
      </c>
      <c r="G538" s="121"/>
      <c r="H538" s="124">
        <v>7.0091000000000001</v>
      </c>
      <c r="I538" s="124">
        <v>123.63</v>
      </c>
      <c r="J538" s="124">
        <v>91.66</v>
      </c>
      <c r="K538" s="121"/>
      <c r="L538" s="130">
        <f t="shared" si="74"/>
        <v>0.83371605380248559</v>
      </c>
      <c r="M538" s="130">
        <f t="shared" si="75"/>
        <v>0.19</v>
      </c>
      <c r="N538" s="130">
        <f t="shared" si="72"/>
        <v>1.0237160538024856</v>
      </c>
      <c r="O538" s="130"/>
      <c r="P538" s="129">
        <f t="shared" si="73"/>
        <v>101.6756</v>
      </c>
      <c r="Q538" s="129">
        <f t="shared" si="78"/>
        <v>25.092671201350178</v>
      </c>
      <c r="R538" s="121"/>
      <c r="S538" s="124">
        <v>370.25</v>
      </c>
      <c r="AZ538" s="98"/>
      <c r="BB538" s="98"/>
      <c r="BD538" s="98"/>
      <c r="BF538" s="98"/>
      <c r="BH538" s="98"/>
      <c r="BJ538" s="98"/>
      <c r="BL538" s="98"/>
      <c r="BN538" s="98"/>
      <c r="BP538" s="98"/>
      <c r="BR538" s="98"/>
    </row>
    <row r="539" spans="1:70">
      <c r="A539" s="123">
        <v>44039</v>
      </c>
      <c r="B539" s="121">
        <f t="shared" si="76"/>
        <v>7</v>
      </c>
      <c r="C539" s="121">
        <f t="shared" si="77"/>
        <v>2020</v>
      </c>
      <c r="D539" s="125">
        <v>1.98</v>
      </c>
      <c r="E539" s="125">
        <f>AVERAGE(E538,E540)</f>
        <v>1.6294145</v>
      </c>
      <c r="F539" s="109">
        <f>D539*0.19*1000</f>
        <v>376.2</v>
      </c>
      <c r="G539" s="121"/>
      <c r="H539" s="125">
        <f>AVERAGE(H538,H540)</f>
        <v>7.2481000000000009</v>
      </c>
      <c r="I539" s="125">
        <f>AVERAGE(I538,I540)</f>
        <v>123.955</v>
      </c>
      <c r="J539" s="125">
        <f>AVERAGE(J538,J540)</f>
        <v>95.614999999999995</v>
      </c>
      <c r="K539" s="121"/>
      <c r="L539" s="130">
        <f t="shared" si="74"/>
        <v>0.82293661616161617</v>
      </c>
      <c r="M539" s="130">
        <f t="shared" si="75"/>
        <v>0.19</v>
      </c>
      <c r="N539" s="130">
        <f t="shared" si="72"/>
        <v>1.0129366161616162</v>
      </c>
      <c r="O539" s="130"/>
      <c r="P539" s="129">
        <f t="shared" si="73"/>
        <v>102.96</v>
      </c>
      <c r="Q539" s="129">
        <f t="shared" si="78"/>
        <v>25.624595959595961</v>
      </c>
      <c r="R539" s="121"/>
      <c r="S539" s="124" t="e">
        <f ca="1">_xll.RHistory("JCI-SBMG-DALNI","NDA_RAW.Nda_last","START:"&amp;$A539&amp;" END:"&amp;$A539&amp;" INTERVAL:1W",,,)</f>
        <v>#NAME?</v>
      </c>
      <c r="AZ539" s="98"/>
      <c r="BB539" s="98"/>
      <c r="BD539" s="98"/>
      <c r="BF539" s="98"/>
      <c r="BH539" s="98"/>
      <c r="BJ539" s="98"/>
      <c r="BL539" s="98"/>
      <c r="BN539" s="98"/>
      <c r="BP539" s="98"/>
      <c r="BR539" s="98"/>
    </row>
    <row r="540" spans="1:70">
      <c r="A540" s="123">
        <v>44046</v>
      </c>
      <c r="B540" s="121">
        <f t="shared" si="76"/>
        <v>8</v>
      </c>
      <c r="C540" s="121">
        <f t="shared" si="77"/>
        <v>2020</v>
      </c>
      <c r="D540" s="124">
        <v>2.0444</v>
      </c>
      <c r="E540" s="124">
        <v>1.6286639999999999</v>
      </c>
      <c r="F540" s="109">
        <v>388.43599999999998</v>
      </c>
      <c r="G540" s="121"/>
      <c r="H540" s="124">
        <v>7.4871000000000008</v>
      </c>
      <c r="I540" s="124">
        <v>124.28</v>
      </c>
      <c r="J540" s="124">
        <v>99.57</v>
      </c>
      <c r="K540" s="121"/>
      <c r="L540" s="130">
        <v>0.79664644883584423</v>
      </c>
      <c r="M540" s="130">
        <v>0.19</v>
      </c>
      <c r="N540" s="130">
        <v>0.98664644883584418</v>
      </c>
      <c r="O540" s="130"/>
      <c r="P540" s="129">
        <v>106.30880000000001</v>
      </c>
      <c r="Q540" s="129">
        <v>25.635736646448841</v>
      </c>
      <c r="R540" s="121"/>
      <c r="S540" s="124">
        <v>317</v>
      </c>
      <c r="AZ540" s="98"/>
      <c r="BB540" s="98"/>
      <c r="BD540" s="98"/>
      <c r="BF540" s="98"/>
      <c r="BH540" s="98"/>
      <c r="BJ540" s="98"/>
      <c r="BL540" s="98"/>
      <c r="BN540" s="98"/>
      <c r="BP540" s="98"/>
      <c r="BR540" s="98"/>
    </row>
    <row r="541" spans="1:70">
      <c r="A541" s="123">
        <v>44053</v>
      </c>
      <c r="B541" s="121">
        <f t="shared" si="76"/>
        <v>8</v>
      </c>
      <c r="C541" s="121">
        <f t="shared" si="77"/>
        <v>2020</v>
      </c>
      <c r="D541" s="124">
        <v>1.9658</v>
      </c>
      <c r="E541" s="124">
        <v>1.615076</v>
      </c>
      <c r="F541" s="109">
        <v>373.50200000000001</v>
      </c>
      <c r="G541" s="121"/>
      <c r="H541" s="124">
        <v>7.6891999999999996</v>
      </c>
      <c r="I541" s="124">
        <v>122.69</v>
      </c>
      <c r="J541" s="124">
        <v>110.13</v>
      </c>
      <c r="K541" s="121"/>
      <c r="L541" s="130">
        <v>0.82158714009563538</v>
      </c>
      <c r="M541" s="130">
        <v>0.19</v>
      </c>
      <c r="N541" s="130">
        <v>1.0115871400956353</v>
      </c>
      <c r="O541" s="130"/>
      <c r="P541" s="129">
        <v>102.2216</v>
      </c>
      <c r="Q541" s="129">
        <v>27.380404924203884</v>
      </c>
      <c r="R541" s="121"/>
      <c r="S541" s="124">
        <v>173.95</v>
      </c>
      <c r="AZ541" s="98"/>
      <c r="BB541" s="98"/>
      <c r="BD541" s="98"/>
      <c r="BF541" s="98"/>
      <c r="BH541" s="98"/>
      <c r="BJ541" s="98"/>
      <c r="BL541" s="98"/>
      <c r="BN541" s="98"/>
      <c r="BP541" s="98"/>
      <c r="BR541" s="98"/>
    </row>
    <row r="542" spans="1:70">
      <c r="A542" s="123">
        <v>44060</v>
      </c>
      <c r="B542" s="121">
        <f t="shared" si="76"/>
        <v>8</v>
      </c>
      <c r="C542" s="121">
        <f t="shared" si="77"/>
        <v>2020</v>
      </c>
      <c r="D542" s="124">
        <v>2.0169999999999999</v>
      </c>
      <c r="E542" s="124">
        <v>1.5529820000000001</v>
      </c>
      <c r="F542" s="109">
        <v>383.23</v>
      </c>
      <c r="G542" s="121"/>
      <c r="H542" s="124">
        <v>7.8329999999999993</v>
      </c>
      <c r="I542" s="124">
        <v>126</v>
      </c>
      <c r="J542" s="124">
        <v>121.47</v>
      </c>
      <c r="K542" s="121"/>
      <c r="L542" s="130">
        <v>0.76994645513138327</v>
      </c>
      <c r="M542" s="130">
        <v>0.19000000000000003</v>
      </c>
      <c r="N542" s="130">
        <v>0.95994645513138332</v>
      </c>
      <c r="O542" s="130"/>
      <c r="P542" s="129">
        <v>104.884</v>
      </c>
      <c r="Q542" s="129">
        <v>27.184432325235495</v>
      </c>
      <c r="R542" s="121"/>
      <c r="S542" s="124">
        <v>179.3</v>
      </c>
      <c r="AZ542" s="98"/>
      <c r="BB542" s="98"/>
      <c r="BD542" s="98"/>
      <c r="BF542" s="98"/>
      <c r="BH542" s="98"/>
      <c r="BJ542" s="98"/>
      <c r="BL542" s="98"/>
      <c r="BN542" s="98"/>
      <c r="BP542" s="98"/>
      <c r="BR542" s="98"/>
    </row>
    <row r="543" spans="1:70">
      <c r="A543" s="123">
        <v>44067</v>
      </c>
      <c r="B543" s="121">
        <f t="shared" si="76"/>
        <v>8</v>
      </c>
      <c r="C543" s="121">
        <f t="shared" si="77"/>
        <v>2020</v>
      </c>
      <c r="D543" s="124">
        <v>2.0381999999999998</v>
      </c>
      <c r="E543" s="124">
        <v>1.5934299999999999</v>
      </c>
      <c r="F543" s="109">
        <v>387.25799999999998</v>
      </c>
      <c r="G543" s="121"/>
      <c r="H543" s="124">
        <v>7.8329999999999993</v>
      </c>
      <c r="I543" s="124">
        <v>130.75</v>
      </c>
      <c r="J543" s="124">
        <v>126.88</v>
      </c>
      <c r="K543" s="121"/>
      <c r="L543" s="130">
        <v>0.78178294573643414</v>
      </c>
      <c r="M543" s="130">
        <v>0.19</v>
      </c>
      <c r="N543" s="130">
        <v>0.9717829457364342</v>
      </c>
      <c r="O543" s="130"/>
      <c r="P543" s="129">
        <v>105.98639999999999</v>
      </c>
      <c r="Q543" s="129">
        <v>26.901677951133355</v>
      </c>
      <c r="R543" s="121"/>
      <c r="S543" s="124">
        <v>262.39999999999998</v>
      </c>
      <c r="AZ543" s="98"/>
      <c r="BB543" s="98"/>
      <c r="BD543" s="98"/>
      <c r="BF543" s="98"/>
      <c r="BH543" s="98"/>
      <c r="BJ543" s="98"/>
      <c r="BL543" s="98"/>
      <c r="BN543" s="98"/>
      <c r="BP543" s="98"/>
      <c r="BR543" s="98"/>
    </row>
    <row r="544" spans="1:70">
      <c r="A544" s="123">
        <v>44074</v>
      </c>
      <c r="B544" s="121">
        <f t="shared" si="76"/>
        <v>8</v>
      </c>
      <c r="C544" s="121">
        <f t="shared" si="77"/>
        <v>2020</v>
      </c>
      <c r="D544" s="124">
        <v>1.95105</v>
      </c>
      <c r="E544" s="124">
        <v>1.6101780000000001</v>
      </c>
      <c r="F544" s="109">
        <v>370.7</v>
      </c>
      <c r="G544" s="121"/>
      <c r="H544" s="124">
        <v>7.8098000000000001</v>
      </c>
      <c r="I544" s="124">
        <v>127.5</v>
      </c>
      <c r="J544" s="124">
        <v>123.23</v>
      </c>
      <c r="K544" s="121"/>
      <c r="L544" s="130">
        <v>0.82528792188821409</v>
      </c>
      <c r="M544" s="130">
        <v>0.19000025627226363</v>
      </c>
      <c r="N544" s="130">
        <v>1.0152881781604777</v>
      </c>
      <c r="O544" s="130"/>
      <c r="P544" s="129">
        <v>101.4546</v>
      </c>
      <c r="Q544" s="129">
        <v>28.020091745470388</v>
      </c>
      <c r="R544" s="121"/>
      <c r="S544" s="124">
        <v>245.3</v>
      </c>
      <c r="AZ544" s="98"/>
      <c r="BB544" s="98"/>
      <c r="BD544" s="98"/>
      <c r="BF544" s="98"/>
      <c r="BH544" s="98"/>
      <c r="BJ544" s="98"/>
      <c r="BL544" s="98"/>
      <c r="BN544" s="98"/>
      <c r="BP544" s="98"/>
      <c r="BR544" s="98"/>
    </row>
    <row r="545" spans="1:70">
      <c r="A545" s="123">
        <v>44081</v>
      </c>
      <c r="B545" s="121">
        <f t="shared" si="76"/>
        <v>9</v>
      </c>
      <c r="C545" s="121">
        <f t="shared" si="77"/>
        <v>2020</v>
      </c>
      <c r="D545" s="124">
        <v>1.9716499999999999</v>
      </c>
      <c r="E545" s="124">
        <v>1.5413300000000001</v>
      </c>
      <c r="F545" s="109">
        <v>374.61399999999998</v>
      </c>
      <c r="G545" s="121"/>
      <c r="H545" s="124">
        <v>7.9340000000000002</v>
      </c>
      <c r="I545" s="124">
        <v>127.16</v>
      </c>
      <c r="J545" s="124">
        <v>112.37</v>
      </c>
      <c r="K545" s="121"/>
      <c r="L545" s="130">
        <v>0.78174625313823454</v>
      </c>
      <c r="M545" s="130">
        <v>0.19000025359470496</v>
      </c>
      <c r="N545" s="130">
        <v>0.9717465067329395</v>
      </c>
      <c r="O545" s="130"/>
      <c r="P545" s="129">
        <v>102.52579999999999</v>
      </c>
      <c r="Q545" s="129">
        <v>28.168285446199885</v>
      </c>
      <c r="R545" s="121"/>
      <c r="S545" s="124">
        <v>293.85000000000002</v>
      </c>
      <c r="AZ545" s="98"/>
      <c r="BB545" s="98"/>
      <c r="BD545" s="98"/>
      <c r="BF545" s="98"/>
      <c r="BH545" s="98"/>
      <c r="BJ545" s="98"/>
      <c r="BL545" s="98"/>
      <c r="BN545" s="98"/>
      <c r="BP545" s="98"/>
      <c r="BR545" s="98"/>
    </row>
    <row r="546" spans="1:70">
      <c r="A546" s="123">
        <v>44088</v>
      </c>
      <c r="B546" s="121">
        <f t="shared" si="76"/>
        <v>9</v>
      </c>
      <c r="C546" s="121">
        <f t="shared" si="77"/>
        <v>2020</v>
      </c>
      <c r="D546" s="124">
        <v>2.1836500000000001</v>
      </c>
      <c r="E546" s="124">
        <v>1.557604</v>
      </c>
      <c r="F546" s="109">
        <v>414.89400000000001</v>
      </c>
      <c r="G546" s="121"/>
      <c r="H546" s="124">
        <v>7.5637999999999996</v>
      </c>
      <c r="I546" s="124">
        <v>133.09</v>
      </c>
      <c r="J546" s="124">
        <v>111.55</v>
      </c>
      <c r="K546" s="121"/>
      <c r="L546" s="130">
        <v>0.71330295605980809</v>
      </c>
      <c r="M546" s="130">
        <v>0.19000022897442354</v>
      </c>
      <c r="N546" s="130">
        <v>0.90330318503423168</v>
      </c>
      <c r="O546" s="130"/>
      <c r="P546" s="129">
        <v>113.5498</v>
      </c>
      <c r="Q546" s="129">
        <v>24.246834428594326</v>
      </c>
      <c r="R546" s="121"/>
      <c r="S546" s="124">
        <v>447.4</v>
      </c>
      <c r="AZ546" s="98"/>
      <c r="BB546" s="98"/>
      <c r="BD546" s="98"/>
      <c r="BF546" s="98"/>
      <c r="BH546" s="98"/>
      <c r="BJ546" s="98"/>
      <c r="BL546" s="98"/>
      <c r="BN546" s="98"/>
      <c r="BP546" s="98"/>
      <c r="BR546" s="98"/>
    </row>
    <row r="547" spans="1:70">
      <c r="A547" s="123">
        <v>44095</v>
      </c>
      <c r="B547" s="121">
        <f t="shared" si="76"/>
        <v>9</v>
      </c>
      <c r="C547" s="121">
        <f t="shared" si="77"/>
        <v>2020</v>
      </c>
      <c r="D547" s="124">
        <v>2.27325</v>
      </c>
      <c r="E547" s="124">
        <v>1.7250840000000001</v>
      </c>
      <c r="F547" s="109">
        <v>431.91800000000001</v>
      </c>
      <c r="G547" s="121"/>
      <c r="H547" s="124">
        <v>7.4853999999999994</v>
      </c>
      <c r="I547" s="124">
        <v>133.65</v>
      </c>
      <c r="J547" s="124"/>
      <c r="K547" s="121"/>
      <c r="L547" s="130">
        <v>0.75886242164302209</v>
      </c>
      <c r="M547" s="130">
        <v>0.19000021994941166</v>
      </c>
      <c r="N547" s="130">
        <v>0.94886264159243372</v>
      </c>
      <c r="O547" s="130"/>
      <c r="P547" s="129">
        <v>118.209</v>
      </c>
      <c r="Q547" s="129">
        <v>23.049730561970748</v>
      </c>
      <c r="R547" s="121"/>
      <c r="S547" s="124">
        <v>353.25</v>
      </c>
      <c r="AZ547" s="98"/>
      <c r="BB547" s="98"/>
      <c r="BD547" s="98"/>
      <c r="BF547" s="98"/>
      <c r="BH547" s="98"/>
      <c r="BJ547" s="98"/>
      <c r="BL547" s="98"/>
      <c r="BN547" s="98"/>
      <c r="BP547" s="98"/>
      <c r="BR547" s="98"/>
    </row>
    <row r="548" spans="1:70">
      <c r="A548" s="123">
        <v>44102</v>
      </c>
      <c r="B548" s="121">
        <f t="shared" si="76"/>
        <v>9</v>
      </c>
      <c r="C548" s="121">
        <f t="shared" si="77"/>
        <v>2020</v>
      </c>
      <c r="D548" s="124">
        <v>1.8735999999999999</v>
      </c>
      <c r="E548" s="124">
        <v>1.795868</v>
      </c>
      <c r="F548" s="109">
        <v>355.98399999999998</v>
      </c>
      <c r="G548" s="121"/>
      <c r="H548" s="124"/>
      <c r="I548" s="124">
        <v>133.69999999999999</v>
      </c>
      <c r="J548" s="124"/>
      <c r="K548" s="121"/>
      <c r="L548" s="130">
        <v>0.95851195559350988</v>
      </c>
      <c r="M548" s="130">
        <v>0.19</v>
      </c>
      <c r="N548" s="130">
        <v>1.1485119555935099</v>
      </c>
      <c r="O548" s="130"/>
      <c r="P548" s="129">
        <v>97.427199999999999</v>
      </c>
      <c r="Q548" s="129" t="s">
        <v>385</v>
      </c>
      <c r="R548" s="121"/>
      <c r="S548" s="124">
        <v>316.55</v>
      </c>
      <c r="AZ548" s="98"/>
      <c r="BB548" s="98"/>
      <c r="BD548" s="98"/>
      <c r="BF548" s="98"/>
      <c r="BH548" s="98"/>
      <c r="BJ548" s="98"/>
      <c r="BL548" s="98"/>
      <c r="BN548" s="98"/>
      <c r="BP548" s="98"/>
      <c r="BR548" s="98"/>
    </row>
    <row r="549" spans="1:70">
      <c r="A549" s="123">
        <v>44109</v>
      </c>
      <c r="B549" s="121">
        <f t="shared" si="76"/>
        <v>10</v>
      </c>
      <c r="C549" s="121">
        <f t="shared" si="77"/>
        <v>2020</v>
      </c>
      <c r="D549" s="124">
        <v>1.3875500000000001</v>
      </c>
      <c r="E549" s="124">
        <v>1.4801439999999999</v>
      </c>
      <c r="F549" s="109">
        <v>263.63499999999999</v>
      </c>
      <c r="G549" s="121"/>
      <c r="H549" s="124">
        <v>7.1227999999999998</v>
      </c>
      <c r="I549" s="124">
        <v>134.41</v>
      </c>
      <c r="J549" s="124">
        <v>99.45</v>
      </c>
      <c r="K549" s="121"/>
      <c r="L549" s="130">
        <v>1.0667320096573096</v>
      </c>
      <c r="M549" s="130">
        <v>0.19000036034737486</v>
      </c>
      <c r="N549" s="130">
        <v>1.2567323700046844</v>
      </c>
      <c r="O549" s="130"/>
      <c r="P549" s="129">
        <v>72.152600000000007</v>
      </c>
      <c r="Q549" s="129">
        <v>35.933551944074082</v>
      </c>
      <c r="R549" s="121"/>
      <c r="S549" s="124">
        <v>443.15</v>
      </c>
      <c r="AZ549" s="98"/>
      <c r="BB549" s="98"/>
      <c r="BD549" s="98"/>
      <c r="BF549" s="98"/>
      <c r="BH549" s="98"/>
      <c r="BJ549" s="98"/>
      <c r="BL549" s="98"/>
      <c r="BN549" s="98"/>
      <c r="BP549" s="98"/>
      <c r="BR549" s="98"/>
    </row>
    <row r="550" spans="1:70">
      <c r="A550" s="123">
        <v>44116</v>
      </c>
      <c r="B550" s="121">
        <f t="shared" si="76"/>
        <v>10</v>
      </c>
      <c r="C550" s="121">
        <f t="shared" si="77"/>
        <v>2020</v>
      </c>
      <c r="D550" s="124">
        <v>2.0882999999999998</v>
      </c>
      <c r="E550" s="124">
        <v>1.0961650000000001</v>
      </c>
      <c r="F550" s="109">
        <v>396.77699999999999</v>
      </c>
      <c r="G550" s="121"/>
      <c r="H550" s="124">
        <v>7.0214999999999996</v>
      </c>
      <c r="I550" s="124">
        <v>128.84</v>
      </c>
      <c r="J550" s="124">
        <v>93.79</v>
      </c>
      <c r="K550" s="121"/>
      <c r="L550" s="130">
        <v>0.52490781975769774</v>
      </c>
      <c r="M550" s="130">
        <v>0.19</v>
      </c>
      <c r="N550" s="130">
        <v>0.71490781975769768</v>
      </c>
      <c r="O550" s="130"/>
      <c r="P550" s="129">
        <v>108.59159999999999</v>
      </c>
      <c r="Q550" s="129">
        <v>23.536129866398507</v>
      </c>
      <c r="R550" s="121"/>
      <c r="S550" s="124">
        <v>400.95</v>
      </c>
      <c r="AZ550" s="98"/>
      <c r="BB550" s="98"/>
      <c r="BD550" s="98"/>
      <c r="BF550" s="98"/>
      <c r="BH550" s="98"/>
      <c r="BJ550" s="98"/>
      <c r="BL550" s="98"/>
      <c r="BN550" s="98"/>
      <c r="BP550" s="98"/>
      <c r="BR550" s="98"/>
    </row>
    <row r="551" spans="1:70">
      <c r="A551" s="123">
        <v>44123</v>
      </c>
      <c r="B551" s="121">
        <f t="shared" si="76"/>
        <v>10</v>
      </c>
      <c r="C551" s="121">
        <f t="shared" si="77"/>
        <v>2020</v>
      </c>
      <c r="D551" s="124">
        <v>2.1972499999999999</v>
      </c>
      <c r="E551" s="124">
        <v>1.6497569999999999</v>
      </c>
      <c r="F551" s="109">
        <v>417.47800000000001</v>
      </c>
      <c r="G551" s="121"/>
      <c r="H551" s="124">
        <v>6.5763999999999996</v>
      </c>
      <c r="I551" s="124">
        <v>127.26</v>
      </c>
      <c r="J551" s="124">
        <v>98.05</v>
      </c>
      <c r="K551" s="121"/>
      <c r="L551" s="130">
        <v>0.75082808055523953</v>
      </c>
      <c r="M551" s="130">
        <v>0.19000022755717375</v>
      </c>
      <c r="N551" s="130">
        <v>0.94082830811241325</v>
      </c>
      <c r="O551" s="130"/>
      <c r="P551" s="129">
        <v>114.25699999999999</v>
      </c>
      <c r="Q551" s="129">
        <v>20.951097963363292</v>
      </c>
      <c r="R551" s="121"/>
      <c r="S551" s="124">
        <v>449.15</v>
      </c>
      <c r="AZ551" s="98"/>
      <c r="BB551" s="98"/>
      <c r="BD551" s="98"/>
      <c r="BF551" s="98"/>
      <c r="BH551" s="98"/>
      <c r="BJ551" s="98"/>
      <c r="BL551" s="98"/>
      <c r="BN551" s="98"/>
      <c r="BP551" s="98"/>
      <c r="BR551" s="98"/>
    </row>
    <row r="552" spans="1:70">
      <c r="A552" s="123">
        <v>44130</v>
      </c>
      <c r="B552" s="121">
        <f t="shared" si="76"/>
        <v>10</v>
      </c>
      <c r="C552" s="121">
        <f t="shared" si="77"/>
        <v>2020</v>
      </c>
      <c r="D552" s="124">
        <v>2.09348</v>
      </c>
      <c r="E552" s="124">
        <v>1.7358279999999999</v>
      </c>
      <c r="F552" s="109">
        <v>397.76100000000002</v>
      </c>
      <c r="G552" s="121"/>
      <c r="H552" s="124">
        <v>6.9630999999999998</v>
      </c>
      <c r="I552" s="124">
        <v>125.12</v>
      </c>
      <c r="J552" s="124">
        <v>93.93</v>
      </c>
      <c r="K552" s="121"/>
      <c r="L552" s="130">
        <v>0.82915910350230237</v>
      </c>
      <c r="M552" s="130">
        <v>0.18999990446529225</v>
      </c>
      <c r="N552" s="130">
        <v>1.0191590079675947</v>
      </c>
      <c r="O552" s="130"/>
      <c r="P552" s="129">
        <v>108.86096000000001</v>
      </c>
      <c r="Q552" s="129">
        <v>23.282620325964423</v>
      </c>
      <c r="R552" s="121"/>
      <c r="S552" s="124">
        <v>370.1</v>
      </c>
      <c r="AZ552" s="98"/>
      <c r="BB552" s="98"/>
      <c r="BD552" s="98"/>
      <c r="BF552" s="98"/>
      <c r="BH552" s="98"/>
      <c r="BJ552" s="98"/>
      <c r="BL552" s="98"/>
      <c r="BN552" s="98"/>
      <c r="BP552" s="98"/>
      <c r="BR552" s="98"/>
    </row>
    <row r="553" spans="1:70">
      <c r="A553" s="123">
        <v>44137</v>
      </c>
      <c r="B553" s="121">
        <f t="shared" si="76"/>
        <v>11</v>
      </c>
      <c r="C553" s="121">
        <f t="shared" si="77"/>
        <v>2020</v>
      </c>
      <c r="D553" s="124">
        <v>2.09558</v>
      </c>
      <c r="E553" s="124">
        <v>1.6538489999999999</v>
      </c>
      <c r="F553" s="109">
        <v>398.16</v>
      </c>
      <c r="G553" s="121"/>
      <c r="H553" s="124">
        <v>7.2403999999999993</v>
      </c>
      <c r="I553" s="124">
        <v>121.84</v>
      </c>
      <c r="J553" s="124">
        <v>92.68</v>
      </c>
      <c r="K553" s="121"/>
      <c r="L553" s="130">
        <v>0.78920823829202413</v>
      </c>
      <c r="M553" s="130">
        <v>0.18999990456102847</v>
      </c>
      <c r="N553" s="130">
        <v>0.97920814285305258</v>
      </c>
      <c r="O553" s="130"/>
      <c r="P553" s="129">
        <v>108.97015999999999</v>
      </c>
      <c r="Q553" s="129">
        <v>24.185571536281124</v>
      </c>
      <c r="R553" s="121"/>
      <c r="S553" s="124">
        <v>457</v>
      </c>
      <c r="AZ553" s="98"/>
      <c r="BB553" s="98"/>
      <c r="BD553" s="98"/>
      <c r="BF553" s="98"/>
      <c r="BH553" s="98"/>
      <c r="BJ553" s="98"/>
      <c r="BL553" s="98"/>
      <c r="BN553" s="98"/>
      <c r="BP553" s="98"/>
      <c r="BR553" s="98"/>
    </row>
    <row r="554" spans="1:70">
      <c r="A554" s="123">
        <v>44144</v>
      </c>
      <c r="B554" s="121">
        <f t="shared" si="76"/>
        <v>11</v>
      </c>
      <c r="C554" s="121">
        <f t="shared" si="77"/>
        <v>2020</v>
      </c>
      <c r="D554" s="124">
        <v>2.1200800000000002</v>
      </c>
      <c r="E554" s="124">
        <v>1.655508</v>
      </c>
      <c r="F554" s="109">
        <v>402.815</v>
      </c>
      <c r="G554" s="121"/>
      <c r="H554" s="124">
        <v>7.2659000000000002</v>
      </c>
      <c r="I554" s="124">
        <v>117.91</v>
      </c>
      <c r="J554" s="124">
        <v>97.96</v>
      </c>
      <c r="K554" s="121"/>
      <c r="L554" s="130">
        <v>0.78087053318742683</v>
      </c>
      <c r="M554" s="130">
        <v>0.18999990566393718</v>
      </c>
      <c r="N554" s="130">
        <v>0.97087043885136404</v>
      </c>
      <c r="O554" s="130"/>
      <c r="P554" s="129">
        <v>110.24416000000001</v>
      </c>
      <c r="Q554" s="129">
        <v>23.990273951926344</v>
      </c>
      <c r="R554" s="121"/>
      <c r="S554" s="124">
        <v>383.9</v>
      </c>
      <c r="AZ554" s="98"/>
      <c r="BB554" s="98"/>
      <c r="BD554" s="98"/>
      <c r="BF554" s="98"/>
      <c r="BH554" s="98"/>
      <c r="BJ554" s="98"/>
      <c r="BL554" s="98"/>
      <c r="BN554" s="98"/>
      <c r="BP554" s="98"/>
      <c r="BR554" s="98"/>
    </row>
    <row r="555" spans="1:70">
      <c r="A555" s="123">
        <v>44151</v>
      </c>
      <c r="B555" s="121">
        <f t="shared" si="76"/>
        <v>11</v>
      </c>
      <c r="C555" s="121">
        <f t="shared" si="77"/>
        <v>2020</v>
      </c>
      <c r="D555" s="124">
        <v>2.0356800000000002</v>
      </c>
      <c r="E555" s="124">
        <v>1.674863</v>
      </c>
      <c r="F555" s="109">
        <v>386.779</v>
      </c>
      <c r="G555" s="121"/>
      <c r="H555" s="124">
        <v>6.9699</v>
      </c>
      <c r="I555" s="124">
        <v>117.58</v>
      </c>
      <c r="J555" s="124">
        <v>109.17</v>
      </c>
      <c r="K555" s="121"/>
      <c r="L555" s="130">
        <v>0.82275357620058154</v>
      </c>
      <c r="M555" s="130">
        <v>0.18999990175273127</v>
      </c>
      <c r="N555" s="130">
        <v>1.0127534779533127</v>
      </c>
      <c r="O555" s="130"/>
      <c r="P555" s="129">
        <v>105.85536</v>
      </c>
      <c r="Q555" s="129">
        <v>23.967077340249936</v>
      </c>
      <c r="R555" s="121"/>
      <c r="S555" s="124">
        <v>469.05</v>
      </c>
      <c r="AZ555" s="98"/>
      <c r="BB555" s="98"/>
      <c r="BD555" s="98"/>
      <c r="BF555" s="98"/>
      <c r="BH555" s="98"/>
      <c r="BJ555" s="98"/>
      <c r="BL555" s="98"/>
      <c r="BN555" s="98"/>
      <c r="BP555" s="98"/>
      <c r="BR555" s="98"/>
    </row>
    <row r="556" spans="1:70">
      <c r="A556" s="123">
        <v>44158</v>
      </c>
      <c r="B556" s="121">
        <f t="shared" si="76"/>
        <v>11</v>
      </c>
      <c r="C556" s="121">
        <f t="shared" si="77"/>
        <v>2020</v>
      </c>
      <c r="D556" s="124">
        <v>1.84328</v>
      </c>
      <c r="E556" s="124">
        <v>1.608187</v>
      </c>
      <c r="F556" s="109">
        <v>350.22300000000001</v>
      </c>
      <c r="G556" s="121"/>
      <c r="H556" s="124">
        <v>6.4369000000000005</v>
      </c>
      <c r="I556" s="124">
        <v>115.1</v>
      </c>
      <c r="J556" s="124">
        <v>103.24</v>
      </c>
      <c r="K556" s="121"/>
      <c r="L556" s="130">
        <v>0.87245942016405542</v>
      </c>
      <c r="M556" s="130">
        <v>0.18999989149776486</v>
      </c>
      <c r="N556" s="130">
        <v>1.0624593116618204</v>
      </c>
      <c r="O556" s="130"/>
      <c r="P556" s="129">
        <v>95.850560000000002</v>
      </c>
      <c r="Q556" s="129">
        <v>24.444631309404976</v>
      </c>
      <c r="R556" s="121"/>
      <c r="S556" s="124">
        <v>409.8</v>
      </c>
      <c r="AZ556" s="98"/>
      <c r="BB556" s="98"/>
      <c r="BD556" s="98"/>
      <c r="BF556" s="98"/>
      <c r="BH556" s="98"/>
      <c r="BJ556" s="98"/>
      <c r="BL556" s="98"/>
      <c r="BN556" s="98"/>
      <c r="BP556" s="98"/>
      <c r="BR556" s="98"/>
    </row>
    <row r="557" spans="1:70">
      <c r="A557" s="123">
        <v>44165</v>
      </c>
      <c r="B557" s="121">
        <f t="shared" si="76"/>
        <v>11</v>
      </c>
      <c r="C557" s="121">
        <f t="shared" si="77"/>
        <v>2020</v>
      </c>
      <c r="D557" s="124">
        <v>1.7896799999999999</v>
      </c>
      <c r="E557" s="124">
        <v>1.456191</v>
      </c>
      <c r="F557" s="109">
        <v>340.03899999999999</v>
      </c>
      <c r="G557" s="121"/>
      <c r="H557" s="124">
        <v>6.8207000000000004</v>
      </c>
      <c r="I557" s="124">
        <v>107.93</v>
      </c>
      <c r="J557" s="124">
        <v>93.91</v>
      </c>
      <c r="K557" s="121"/>
      <c r="L557" s="130">
        <v>0.81365998390773775</v>
      </c>
      <c r="M557" s="130">
        <v>0.18999988824817843</v>
      </c>
      <c r="N557" s="130">
        <v>1.0036598721559162</v>
      </c>
      <c r="O557" s="130"/>
      <c r="P557" s="129">
        <v>93.063360000000003</v>
      </c>
      <c r="Q557" s="129">
        <v>26.677897724732915</v>
      </c>
      <c r="R557" s="121"/>
      <c r="S557" s="124">
        <v>370.9</v>
      </c>
      <c r="AZ557" s="98"/>
      <c r="BB557" s="98"/>
      <c r="BD557" s="98"/>
      <c r="BF557" s="98"/>
      <c r="BH557" s="98"/>
      <c r="BJ557" s="98"/>
      <c r="BL557" s="98"/>
      <c r="BN557" s="98"/>
      <c r="BP557" s="98"/>
      <c r="BR557" s="98"/>
    </row>
    <row r="558" spans="1:70">
      <c r="A558" s="123">
        <v>44172</v>
      </c>
      <c r="B558" s="121">
        <f t="shared" si="76"/>
        <v>12</v>
      </c>
      <c r="C558" s="121">
        <f t="shared" si="77"/>
        <v>2020</v>
      </c>
      <c r="D558" s="124">
        <v>1.95078</v>
      </c>
      <c r="E558" s="124">
        <v>1.4138470000000001</v>
      </c>
      <c r="F558" s="109">
        <v>370.64800000000002</v>
      </c>
      <c r="G558" s="121"/>
      <c r="H558" s="124">
        <v>6.7514000000000003</v>
      </c>
      <c r="I558" s="124">
        <v>103.62</v>
      </c>
      <c r="J558" s="124">
        <v>99.85</v>
      </c>
      <c r="K558" s="121"/>
      <c r="L558" s="130">
        <v>0.72475983965388213</v>
      </c>
      <c r="M558" s="130">
        <v>0.18999989747690668</v>
      </c>
      <c r="N558" s="130">
        <v>0.91475973713078884</v>
      </c>
      <c r="O558" s="130"/>
      <c r="P558" s="129">
        <v>101.44056</v>
      </c>
      <c r="Q558" s="129">
        <v>24.226104430022865</v>
      </c>
      <c r="R558" s="121"/>
      <c r="S558" s="124">
        <v>357.25</v>
      </c>
      <c r="AZ558" s="98"/>
      <c r="BB558" s="98"/>
      <c r="BD558" s="98"/>
      <c r="BF558" s="98"/>
      <c r="BH558" s="98"/>
      <c r="BJ558" s="98"/>
      <c r="BL558" s="98"/>
      <c r="BN558" s="98"/>
      <c r="BP558" s="98"/>
      <c r="BR558" s="98"/>
    </row>
    <row r="559" spans="1:70">
      <c r="A559" s="123">
        <v>44179</v>
      </c>
      <c r="B559" s="121">
        <f t="shared" si="76"/>
        <v>12</v>
      </c>
      <c r="C559" s="121">
        <f t="shared" si="77"/>
        <v>2020</v>
      </c>
      <c r="D559" s="124">
        <v>2.00718</v>
      </c>
      <c r="E559" s="124">
        <v>1.5411159999999999</v>
      </c>
      <c r="F559" s="109">
        <v>381.36399999999998</v>
      </c>
      <c r="G559" s="121"/>
      <c r="H559" s="124">
        <v>6.5823999999999998</v>
      </c>
      <c r="I559" s="124">
        <v>102.07</v>
      </c>
      <c r="J559" s="124">
        <v>95.86</v>
      </c>
      <c r="K559" s="121"/>
      <c r="L559" s="130">
        <v>0.76780159228370148</v>
      </c>
      <c r="M559" s="130">
        <v>0.1899999003577158</v>
      </c>
      <c r="N559" s="130">
        <v>0.95780149264141734</v>
      </c>
      <c r="O559" s="130"/>
      <c r="P559" s="129">
        <v>104.37335999999999</v>
      </c>
      <c r="Q559" s="129">
        <v>22.955988003068981</v>
      </c>
      <c r="R559" s="121"/>
      <c r="S559" s="124">
        <v>489.6</v>
      </c>
      <c r="AZ559" s="98"/>
      <c r="BB559" s="98"/>
      <c r="BD559" s="98"/>
      <c r="BF559" s="98"/>
      <c r="BH559" s="98"/>
      <c r="BJ559" s="98"/>
      <c r="BL559" s="98"/>
      <c r="BN559" s="98"/>
      <c r="BP559" s="98"/>
      <c r="BR559" s="98"/>
    </row>
    <row r="560" spans="1:70">
      <c r="A560" s="123">
        <v>44186</v>
      </c>
      <c r="B560" s="121">
        <f t="shared" si="76"/>
        <v>12</v>
      </c>
      <c r="C560" s="121">
        <f t="shared" si="77"/>
        <v>2020</v>
      </c>
      <c r="D560" s="124">
        <v>1.88208</v>
      </c>
      <c r="E560" s="124">
        <v>1.585672</v>
      </c>
      <c r="F560" s="109">
        <v>357.59500000000003</v>
      </c>
      <c r="G560" s="121"/>
      <c r="H560" s="124">
        <v>6.6841999999999997</v>
      </c>
      <c r="I560" s="124">
        <v>100.29</v>
      </c>
      <c r="J560" s="124">
        <v>97.1</v>
      </c>
      <c r="K560" s="121"/>
      <c r="L560" s="130">
        <v>0.84251041401003146</v>
      </c>
      <c r="M560" s="130">
        <v>0.18999989373459156</v>
      </c>
      <c r="N560" s="130">
        <v>1.0325103077446229</v>
      </c>
      <c r="O560" s="130"/>
      <c r="P560" s="129">
        <v>97.868160000000003</v>
      </c>
      <c r="Q560" s="129">
        <v>24.860473518660207</v>
      </c>
      <c r="R560" s="121"/>
      <c r="S560" s="124">
        <v>613.5</v>
      </c>
      <c r="AZ560" s="98"/>
      <c r="BB560" s="98"/>
      <c r="BD560" s="98"/>
      <c r="BF560" s="98"/>
      <c r="BH560" s="98"/>
      <c r="BJ560" s="98"/>
      <c r="BL560" s="98"/>
      <c r="BN560" s="98"/>
      <c r="BP560" s="98"/>
      <c r="BR560" s="98"/>
    </row>
    <row r="561" spans="1:70">
      <c r="A561" s="123">
        <v>44193</v>
      </c>
      <c r="B561" s="121">
        <f t="shared" si="76"/>
        <v>12</v>
      </c>
      <c r="C561" s="121">
        <f t="shared" si="77"/>
        <v>2020</v>
      </c>
      <c r="D561" s="125">
        <v>1.8599462029662295</v>
      </c>
      <c r="E561" s="124">
        <v>1.4868429999999999</v>
      </c>
      <c r="F561" s="128">
        <v>353.3897785635836</v>
      </c>
      <c r="G561" s="121"/>
      <c r="H561" s="124">
        <v>6.2144000000000004</v>
      </c>
      <c r="I561" s="124">
        <v>95.84</v>
      </c>
      <c r="J561" s="124">
        <v>97.3</v>
      </c>
      <c r="K561" s="121"/>
      <c r="L561" s="132">
        <v>0.79940107817569828</v>
      </c>
      <c r="M561" s="132">
        <v>0.19</v>
      </c>
      <c r="N561" s="130">
        <v>0.98940107817569833</v>
      </c>
      <c r="O561" s="130"/>
      <c r="P561" s="129">
        <v>96.717202554243926</v>
      </c>
      <c r="Q561" s="129">
        <v>23.388203341916679</v>
      </c>
      <c r="R561" s="121"/>
      <c r="S561" s="124">
        <v>744.85</v>
      </c>
      <c r="AZ561" s="98"/>
      <c r="BB561" s="98"/>
      <c r="BD561" s="98"/>
      <c r="BF561" s="98"/>
      <c r="BH561" s="98"/>
      <c r="BJ561" s="98"/>
      <c r="BL561" s="98"/>
      <c r="BN561" s="98"/>
      <c r="BP561" s="98"/>
      <c r="BR561" s="98"/>
    </row>
    <row r="562" spans="1:70">
      <c r="A562" s="123">
        <v>44200</v>
      </c>
      <c r="B562" s="121">
        <f t="shared" si="76"/>
        <v>1</v>
      </c>
      <c r="C562" s="121">
        <f t="shared" si="77"/>
        <v>2021</v>
      </c>
      <c r="D562" s="124">
        <v>1.68458</v>
      </c>
      <c r="E562" s="125">
        <v>1.3548375783063651</v>
      </c>
      <c r="F562" s="109">
        <v>320.07</v>
      </c>
      <c r="G562" s="121"/>
      <c r="H562" s="124">
        <v>6.4760999999999997</v>
      </c>
      <c r="I562" s="124">
        <v>88.44</v>
      </c>
      <c r="J562" s="124">
        <v>88.37</v>
      </c>
      <c r="K562" s="121"/>
      <c r="L562" s="132">
        <v>0.80425837793774413</v>
      </c>
      <c r="M562" s="130">
        <v>0.18999988127604506</v>
      </c>
      <c r="N562" s="130">
        <v>0.99425825921378919</v>
      </c>
      <c r="O562" s="130"/>
      <c r="P562" s="129">
        <v>87.598159999999993</v>
      </c>
      <c r="Q562" s="129">
        <v>26.910387158817034</v>
      </c>
      <c r="R562" s="121"/>
      <c r="S562" s="124">
        <v>917.3</v>
      </c>
      <c r="AZ562" s="98"/>
      <c r="BB562" s="98"/>
      <c r="BD562" s="98"/>
      <c r="BF562" s="98"/>
      <c r="BH562" s="98"/>
      <c r="BJ562" s="98"/>
      <c r="BL562" s="98"/>
      <c r="BN562" s="98"/>
      <c r="BP562" s="98"/>
      <c r="BR562" s="98"/>
    </row>
    <row r="563" spans="1:70">
      <c r="A563" s="123">
        <v>44207</v>
      </c>
      <c r="B563" s="121">
        <f t="shared" si="76"/>
        <v>1</v>
      </c>
      <c r="C563" s="121">
        <f t="shared" si="77"/>
        <v>2021</v>
      </c>
      <c r="D563" s="124">
        <v>1.9819800000000001</v>
      </c>
      <c r="E563" s="124">
        <v>1.3308180000000001</v>
      </c>
      <c r="F563" s="109">
        <v>376.57600000000002</v>
      </c>
      <c r="G563" s="121"/>
      <c r="H563" s="124">
        <v>6.4253</v>
      </c>
      <c r="I563" s="124">
        <v>84.8</v>
      </c>
      <c r="J563" s="124">
        <v>68.17</v>
      </c>
      <c r="K563" s="121"/>
      <c r="L563" s="130">
        <v>0.6714588441861169</v>
      </c>
      <c r="M563" s="130">
        <v>0.18999989909080819</v>
      </c>
      <c r="N563" s="130">
        <v>0.86145874327692507</v>
      </c>
      <c r="O563" s="130"/>
      <c r="P563" s="129">
        <v>103.06296</v>
      </c>
      <c r="Q563" s="129">
        <v>22.693014056650419</v>
      </c>
      <c r="R563" s="121"/>
      <c r="S563" s="124">
        <v>1211.0999999999999</v>
      </c>
      <c r="AZ563" s="98"/>
      <c r="BB563" s="98"/>
      <c r="BD563" s="98"/>
      <c r="BF563" s="98"/>
      <c r="BH563" s="98"/>
      <c r="BJ563" s="98"/>
      <c r="BL563" s="98"/>
      <c r="BN563" s="98"/>
      <c r="BP563" s="98"/>
      <c r="BR563" s="98"/>
    </row>
    <row r="564" spans="1:70">
      <c r="A564" s="123">
        <v>44214</v>
      </c>
      <c r="B564" s="121">
        <f t="shared" si="76"/>
        <v>1</v>
      </c>
      <c r="C564" s="121">
        <f t="shared" si="77"/>
        <v>2021</v>
      </c>
      <c r="D564" s="124">
        <v>2.1076199999999998</v>
      </c>
      <c r="E564" s="124">
        <v>1.5657639999999999</v>
      </c>
      <c r="F564" s="109">
        <v>400.44799999999998</v>
      </c>
      <c r="G564" s="121"/>
      <c r="H564" s="124">
        <v>5.8422999999999998</v>
      </c>
      <c r="I564" s="124">
        <v>81.569999999999993</v>
      </c>
      <c r="J564" s="124">
        <v>52.96</v>
      </c>
      <c r="K564" s="121"/>
      <c r="L564" s="130">
        <v>0.7429062164906387</v>
      </c>
      <c r="M564" s="130">
        <v>0.19000009489376643</v>
      </c>
      <c r="N564" s="130">
        <v>0.93290631138440516</v>
      </c>
      <c r="O564" s="130"/>
      <c r="P564" s="129">
        <v>109.59623999999999</v>
      </c>
      <c r="Q564" s="129">
        <v>19.403924806179482</v>
      </c>
      <c r="R564" s="121"/>
      <c r="S564" s="124">
        <v>1074.5999999999999</v>
      </c>
      <c r="AZ564" s="98"/>
      <c r="BB564" s="98"/>
      <c r="BD564" s="98"/>
      <c r="BF564" s="98"/>
      <c r="BH564" s="98"/>
      <c r="BJ564" s="98"/>
      <c r="BL564" s="98"/>
      <c r="BN564" s="98"/>
      <c r="BP564" s="98"/>
      <c r="BR564" s="98"/>
    </row>
    <row r="565" spans="1:70">
      <c r="A565" s="123">
        <v>44221</v>
      </c>
      <c r="B565" s="121">
        <f t="shared" si="76"/>
        <v>1</v>
      </c>
      <c r="C565" s="121">
        <f t="shared" si="77"/>
        <v>2021</v>
      </c>
      <c r="D565" s="124">
        <v>2.1488</v>
      </c>
      <c r="E565" s="124">
        <v>1.6650199999999999</v>
      </c>
      <c r="F565" s="109">
        <v>408.27199999999999</v>
      </c>
      <c r="G565" s="121"/>
      <c r="H565" s="124">
        <v>5.4873000000000003</v>
      </c>
      <c r="I565" s="124">
        <v>80.459999999999994</v>
      </c>
      <c r="J565" s="124">
        <v>47.73</v>
      </c>
      <c r="K565" s="121"/>
      <c r="L565" s="130">
        <v>0.77486038719285177</v>
      </c>
      <c r="M565" s="130">
        <v>0.18999999999999997</v>
      </c>
      <c r="N565" s="130">
        <v>0.96486038719285172</v>
      </c>
      <c r="O565" s="130"/>
      <c r="P565" s="129">
        <v>111.7376</v>
      </c>
      <c r="Q565" s="129">
        <v>17.875604988830975</v>
      </c>
      <c r="R565" s="121"/>
      <c r="S565" s="124">
        <v>1124</v>
      </c>
      <c r="AZ565" s="98"/>
      <c r="BB565" s="98"/>
      <c r="BD565" s="98"/>
      <c r="BF565" s="98"/>
      <c r="BH565" s="98"/>
      <c r="BJ565" s="98"/>
      <c r="BL565" s="98"/>
      <c r="BN565" s="98"/>
      <c r="BP565" s="98"/>
      <c r="BR565" s="98"/>
    </row>
    <row r="566" spans="1:70">
      <c r="A566" s="123">
        <v>44228</v>
      </c>
      <c r="B566" s="121">
        <f t="shared" si="76"/>
        <v>2</v>
      </c>
      <c r="C566" s="121">
        <f t="shared" si="77"/>
        <v>2021</v>
      </c>
      <c r="D566" s="124">
        <v>1.9873000000000001</v>
      </c>
      <c r="E566" s="124">
        <v>1.6975519999999999</v>
      </c>
      <c r="F566" s="109">
        <v>377.58699999999999</v>
      </c>
      <c r="G566" s="121"/>
      <c r="H566" s="124">
        <v>4.8377999999999997</v>
      </c>
      <c r="I566" s="124">
        <v>83.66</v>
      </c>
      <c r="J566" s="124">
        <v>50.98</v>
      </c>
      <c r="K566" s="121"/>
      <c r="L566" s="130">
        <v>0.85420017108639856</v>
      </c>
      <c r="M566" s="130">
        <v>0.19</v>
      </c>
      <c r="N566" s="130">
        <v>1.0442001710863986</v>
      </c>
      <c r="O566" s="130"/>
      <c r="P566" s="129">
        <v>103.3396</v>
      </c>
      <c r="Q566" s="129">
        <v>17.040507220852412</v>
      </c>
      <c r="R566" s="121"/>
      <c r="S566" s="124">
        <v>1033.8</v>
      </c>
      <c r="AZ566" s="98"/>
      <c r="BB566" s="98"/>
      <c r="BD566" s="98"/>
      <c r="BF566" s="98"/>
      <c r="BH566" s="98"/>
      <c r="BJ566" s="98"/>
      <c r="BL566" s="98"/>
      <c r="BN566" s="98"/>
      <c r="BP566" s="98"/>
      <c r="BR566" s="98"/>
    </row>
    <row r="567" spans="1:70">
      <c r="A567" s="123">
        <v>44235</v>
      </c>
      <c r="B567" s="121">
        <f t="shared" si="76"/>
        <v>2</v>
      </c>
      <c r="C567" s="121">
        <f t="shared" si="77"/>
        <v>2021</v>
      </c>
      <c r="D567" s="124">
        <v>0.91359999999999997</v>
      </c>
      <c r="E567" s="124">
        <v>1.5699669999999999</v>
      </c>
      <c r="F567" s="109">
        <v>173.584</v>
      </c>
      <c r="G567" s="121"/>
      <c r="H567" s="124">
        <v>5.4472000000000005</v>
      </c>
      <c r="I567" s="124">
        <v>85.5</v>
      </c>
      <c r="J567" s="124">
        <v>72.8</v>
      </c>
      <c r="K567" s="121"/>
      <c r="L567" s="130">
        <v>1.7184402364273204</v>
      </c>
      <c r="M567" s="130">
        <v>0.19000000000000003</v>
      </c>
      <c r="N567" s="130">
        <v>1.9084402364273203</v>
      </c>
      <c r="O567" s="130"/>
      <c r="P567" s="129">
        <v>47.507199999999997</v>
      </c>
      <c r="Q567" s="129">
        <v>41.736427320490371</v>
      </c>
      <c r="R567" s="121"/>
      <c r="S567" s="124">
        <v>1088.9000000000001</v>
      </c>
      <c r="AZ567" s="98"/>
      <c r="BB567" s="98"/>
      <c r="BD567" s="98"/>
      <c r="BF567" s="98"/>
      <c r="BH567" s="98"/>
      <c r="BJ567" s="98"/>
      <c r="BL567" s="98"/>
      <c r="BN567" s="98"/>
      <c r="BP567" s="98"/>
      <c r="BR567" s="98"/>
    </row>
    <row r="568" spans="1:70">
      <c r="A568" s="123">
        <v>44242</v>
      </c>
      <c r="B568" s="121">
        <f t="shared" si="76"/>
        <v>2</v>
      </c>
      <c r="C568" s="121">
        <f t="shared" si="77"/>
        <v>2021</v>
      </c>
      <c r="D568" s="124">
        <v>0.32900000000000001</v>
      </c>
      <c r="E568" s="124">
        <v>0.72174400000000005</v>
      </c>
      <c r="F568" s="109">
        <v>62.51</v>
      </c>
      <c r="G568" s="121"/>
      <c r="H568" s="124">
        <v>5.7303999999999995</v>
      </c>
      <c r="I568" s="124">
        <v>87.36</v>
      </c>
      <c r="J568" s="124">
        <v>75.88</v>
      </c>
      <c r="K568" s="121"/>
      <c r="L568" s="130">
        <v>2.1937507598784194</v>
      </c>
      <c r="M568" s="130">
        <v>0.18999999999999997</v>
      </c>
      <c r="N568" s="130">
        <v>2.3837507598784193</v>
      </c>
      <c r="O568" s="130"/>
      <c r="P568" s="129">
        <v>17.108000000000001</v>
      </c>
      <c r="Q568" s="129">
        <v>121.92340425531914</v>
      </c>
      <c r="R568" s="121"/>
      <c r="S568" s="124">
        <v>943.7</v>
      </c>
      <c r="AZ568" s="98"/>
      <c r="BB568" s="98"/>
      <c r="BD568" s="98"/>
      <c r="BF568" s="98"/>
      <c r="BH568" s="98"/>
      <c r="BJ568" s="98"/>
      <c r="BL568" s="98"/>
      <c r="BN568" s="98"/>
      <c r="BP568" s="98"/>
      <c r="BR568" s="98"/>
    </row>
    <row r="569" spans="1:70">
      <c r="A569" s="123">
        <v>44249</v>
      </c>
      <c r="B569" s="121">
        <f t="shared" si="76"/>
        <v>2</v>
      </c>
      <c r="C569" s="121">
        <f t="shared" si="77"/>
        <v>2021</v>
      </c>
      <c r="D569" s="124">
        <v>1.5192000000000001</v>
      </c>
      <c r="E569" s="124">
        <v>0.25990999999999997</v>
      </c>
      <c r="F569" s="109">
        <v>288.64800000000002</v>
      </c>
      <c r="G569" s="121"/>
      <c r="H569" s="124">
        <v>6.0152999999999999</v>
      </c>
      <c r="I569" s="124">
        <v>84.74</v>
      </c>
      <c r="J569" s="124">
        <v>83.02</v>
      </c>
      <c r="K569" s="121"/>
      <c r="L569" s="130">
        <v>0.17108346498156921</v>
      </c>
      <c r="M569" s="130">
        <v>0.19</v>
      </c>
      <c r="N569" s="130">
        <v>0.36108346498156918</v>
      </c>
      <c r="O569" s="130"/>
      <c r="P569" s="129">
        <v>78.998400000000004</v>
      </c>
      <c r="Q569" s="129">
        <v>27.716627172195892</v>
      </c>
      <c r="R569" s="121"/>
      <c r="S569" s="124">
        <v>821.3</v>
      </c>
      <c r="AZ569" s="98"/>
      <c r="BB569" s="98"/>
      <c r="BD569" s="98"/>
      <c r="BF569" s="98"/>
      <c r="BH569" s="98"/>
      <c r="BJ569" s="98"/>
      <c r="BL569" s="98"/>
      <c r="BN569" s="98"/>
      <c r="BP569" s="98"/>
      <c r="BR569" s="98"/>
    </row>
    <row r="570" spans="1:70">
      <c r="A570" s="123">
        <v>44256</v>
      </c>
      <c r="B570" s="121">
        <f t="shared" si="76"/>
        <v>3</v>
      </c>
      <c r="C570" s="121">
        <f t="shared" si="77"/>
        <v>2021</v>
      </c>
      <c r="D570" s="124">
        <v>1.6815</v>
      </c>
      <c r="E570" s="124">
        <v>1.2001679999999999</v>
      </c>
      <c r="F570" s="109">
        <v>319.48500000000001</v>
      </c>
      <c r="G570" s="121"/>
      <c r="H570" s="124">
        <v>5.7558000000000007</v>
      </c>
      <c r="I570" s="124">
        <v>83.07</v>
      </c>
      <c r="J570" s="124">
        <v>94.77</v>
      </c>
      <c r="K570" s="121"/>
      <c r="L570" s="130">
        <v>0.71374843889384476</v>
      </c>
      <c r="M570" s="130">
        <v>0.19</v>
      </c>
      <c r="N570" s="130">
        <v>0.90374843889384482</v>
      </c>
      <c r="O570" s="130"/>
      <c r="P570" s="129">
        <v>87.438000000000002</v>
      </c>
      <c r="Q570" s="129">
        <v>23.961106155218559</v>
      </c>
      <c r="R570" s="121"/>
      <c r="S570" s="124">
        <v>755.4</v>
      </c>
      <c r="AZ570" s="98"/>
      <c r="BB570" s="98"/>
      <c r="BD570" s="98"/>
      <c r="BF570" s="98"/>
      <c r="BH570" s="98"/>
      <c r="BJ570" s="98"/>
      <c r="BL570" s="98"/>
      <c r="BN570" s="98"/>
      <c r="BP570" s="98"/>
      <c r="BR570" s="98"/>
    </row>
    <row r="571" spans="1:70">
      <c r="A571" s="123">
        <v>44266</v>
      </c>
      <c r="B571" s="121">
        <f t="shared" si="76"/>
        <v>3</v>
      </c>
      <c r="C571" s="121">
        <f t="shared" si="77"/>
        <v>2021</v>
      </c>
      <c r="D571" s="124">
        <v>1.4487000000000001</v>
      </c>
      <c r="E571" s="124">
        <v>1.3283849999999999</v>
      </c>
      <c r="F571" s="109">
        <v>275.25299999999999</v>
      </c>
      <c r="G571" s="121"/>
      <c r="H571" s="124">
        <v>5.2652999999999999</v>
      </c>
      <c r="I571" s="124">
        <v>74.83</v>
      </c>
      <c r="J571" s="124">
        <v>85.3</v>
      </c>
      <c r="K571" s="121"/>
      <c r="L571" s="130">
        <v>0.91694967902257185</v>
      </c>
      <c r="M571" s="130">
        <v>0.18999999999999997</v>
      </c>
      <c r="N571" s="130">
        <v>1.1069496790225719</v>
      </c>
      <c r="O571" s="130"/>
      <c r="P571" s="129">
        <v>75.332400000000007</v>
      </c>
      <c r="Q571" s="129">
        <v>25.441499275212259</v>
      </c>
      <c r="R571" s="121"/>
      <c r="S571" s="124">
        <v>666.7</v>
      </c>
      <c r="AZ571" s="98"/>
      <c r="BB571" s="98"/>
      <c r="BD571" s="98"/>
      <c r="BF571" s="98"/>
      <c r="BH571" s="98"/>
      <c r="BJ571" s="98"/>
      <c r="BL571" s="98"/>
      <c r="BN571" s="98"/>
      <c r="BP571" s="98"/>
      <c r="BR571" s="98"/>
    </row>
    <row r="572" spans="1:70">
      <c r="A572" s="123">
        <v>44273</v>
      </c>
      <c r="B572" s="121">
        <f t="shared" si="76"/>
        <v>3</v>
      </c>
      <c r="C572" s="121">
        <f t="shared" si="77"/>
        <v>2021</v>
      </c>
      <c r="D572" s="124">
        <v>1.57</v>
      </c>
      <c r="E572" s="124">
        <f t="shared" ref="E572:E578" si="79">L572*D572</f>
        <v>1.2403000000000002</v>
      </c>
      <c r="F572" s="109">
        <f t="shared" ref="F572:F578" si="80">D572*M572*1000</f>
        <v>298.3</v>
      </c>
      <c r="G572" s="121"/>
      <c r="H572" s="124" t="e">
        <f ca="1">_xll.RHistory("CFD-SBSTK-NATN","NDA_RAW.Nda_last","START:"&amp;$A572&amp;" END:"&amp;$A572&amp;" INTERVAL:1W",,,)/100</f>
        <v>#NAME?</v>
      </c>
      <c r="I572" s="125">
        <v>75</v>
      </c>
      <c r="J572" s="125">
        <v>85</v>
      </c>
      <c r="K572" s="121"/>
      <c r="L572" s="130">
        <v>0.79</v>
      </c>
      <c r="M572" s="130">
        <v>0.19</v>
      </c>
      <c r="N572" s="130">
        <f t="shared" ref="N572:N577" si="81">M572+L572</f>
        <v>0.98</v>
      </c>
      <c r="O572" s="130"/>
      <c r="P572" s="129">
        <f t="shared" ref="P572:P577" si="82">D572*52</f>
        <v>81.64</v>
      </c>
      <c r="Q572" s="129" t="e">
        <f t="shared" ref="Q572:Q577" ca="1" si="83">IF(H572="","",IF(D572="","",H572/(D572/7)))</f>
        <v>#NAME?</v>
      </c>
      <c r="R572" s="121"/>
      <c r="S572" s="124" t="e">
        <f ca="1">_xll.RHistory("JCI-SBMG-DALNI","NDA_RAW.Nda_last","START:"&amp;$A572&amp;" END:"&amp;$A572&amp;" INTERVAL:1W",,,)</f>
        <v>#NAME?</v>
      </c>
      <c r="AZ572" s="98"/>
      <c r="BB572" s="98"/>
      <c r="BD572" s="98"/>
      <c r="BF572" s="98"/>
      <c r="BH572" s="98"/>
      <c r="BJ572" s="98"/>
      <c r="BL572" s="98"/>
      <c r="BN572" s="98"/>
      <c r="BP572" s="98"/>
      <c r="BR572" s="98"/>
    </row>
    <row r="573" spans="1:70">
      <c r="A573" s="123">
        <v>44280</v>
      </c>
      <c r="B573" s="121">
        <f t="shared" si="76"/>
        <v>3</v>
      </c>
      <c r="C573" s="121">
        <f t="shared" si="77"/>
        <v>2021</v>
      </c>
      <c r="D573" s="124">
        <v>1.56</v>
      </c>
      <c r="E573" s="124">
        <f t="shared" si="79"/>
        <v>1.2324000000000002</v>
      </c>
      <c r="F573" s="109">
        <f t="shared" si="80"/>
        <v>296.39999999999998</v>
      </c>
      <c r="G573" s="121"/>
      <c r="H573" s="124" t="e">
        <f ca="1">_xll.RHistory("CFD-SBSTK-NATN","NDA_RAW.Nda_last","START:"&amp;$A573&amp;" END:"&amp;$A573&amp;" INTERVAL:1W",,,)/100</f>
        <v>#NAME?</v>
      </c>
      <c r="I573" s="125">
        <v>75</v>
      </c>
      <c r="J573" s="125">
        <v>85</v>
      </c>
      <c r="K573" s="121"/>
      <c r="L573" s="130">
        <v>0.79</v>
      </c>
      <c r="M573" s="130">
        <v>0.19</v>
      </c>
      <c r="N573" s="130">
        <f t="shared" si="81"/>
        <v>0.98</v>
      </c>
      <c r="O573" s="130"/>
      <c r="P573" s="129">
        <f t="shared" si="82"/>
        <v>81.12</v>
      </c>
      <c r="Q573" s="129" t="e">
        <f t="shared" ca="1" si="83"/>
        <v>#NAME?</v>
      </c>
      <c r="R573" s="121"/>
      <c r="S573" s="124" t="e">
        <f ca="1">_xll.RHistory("JCI-SBMG-DALNI","NDA_RAW.Nda_last","START:"&amp;$A573&amp;" END:"&amp;$A573&amp;" INTERVAL:1W",,,)</f>
        <v>#NAME?</v>
      </c>
      <c r="AZ573" s="98"/>
      <c r="BB573" s="98"/>
      <c r="BD573" s="98"/>
      <c r="BF573" s="98"/>
      <c r="BH573" s="98"/>
      <c r="BJ573" s="98"/>
      <c r="BL573" s="98"/>
      <c r="BN573" s="98"/>
      <c r="BP573" s="98"/>
      <c r="BR573" s="98"/>
    </row>
    <row r="574" spans="1:70">
      <c r="A574" s="123">
        <v>44287</v>
      </c>
      <c r="B574" s="121">
        <f t="shared" si="76"/>
        <v>4</v>
      </c>
      <c r="C574" s="121">
        <f t="shared" si="77"/>
        <v>2021</v>
      </c>
      <c r="D574" s="124">
        <v>1.55</v>
      </c>
      <c r="E574" s="124">
        <f t="shared" si="79"/>
        <v>1.2245000000000001</v>
      </c>
      <c r="F574" s="109">
        <f t="shared" si="80"/>
        <v>294.50000000000006</v>
      </c>
      <c r="G574" s="121"/>
      <c r="H574" s="124" t="e">
        <f ca="1">_xll.RHistory("CFD-SBSTK-NATN","NDA_RAW.Nda_last","START:"&amp;$A574&amp;" END:"&amp;$A574&amp;" INTERVAL:1W",,,)/100</f>
        <v>#NAME?</v>
      </c>
      <c r="I574" s="125">
        <v>75</v>
      </c>
      <c r="J574" s="125">
        <v>85</v>
      </c>
      <c r="K574" s="121"/>
      <c r="L574" s="130">
        <v>0.79</v>
      </c>
      <c r="M574" s="130">
        <v>0.19</v>
      </c>
      <c r="N574" s="130">
        <f t="shared" si="81"/>
        <v>0.98</v>
      </c>
      <c r="O574" s="130"/>
      <c r="P574" s="129">
        <f t="shared" si="82"/>
        <v>80.600000000000009</v>
      </c>
      <c r="Q574" s="129" t="e">
        <f t="shared" ca="1" si="83"/>
        <v>#NAME?</v>
      </c>
      <c r="R574" s="121"/>
      <c r="S574" s="124" t="e">
        <f ca="1">_xll.RHistory("JCI-SBMG-DALNI","NDA_RAW.Nda_last","START:"&amp;$A574&amp;" END:"&amp;$A574&amp;" INTERVAL:1W",,,)</f>
        <v>#NAME?</v>
      </c>
      <c r="AZ574" s="98"/>
      <c r="BB574" s="98"/>
      <c r="BD574" s="98"/>
      <c r="BF574" s="98"/>
      <c r="BH574" s="98"/>
      <c r="BJ574" s="98"/>
      <c r="BL574" s="98"/>
      <c r="BN574" s="98"/>
      <c r="BP574" s="98"/>
      <c r="BR574" s="98"/>
    </row>
    <row r="575" spans="1:70">
      <c r="A575" s="123">
        <v>44294</v>
      </c>
      <c r="B575" s="121">
        <f t="shared" si="76"/>
        <v>4</v>
      </c>
      <c r="C575" s="121">
        <f t="shared" si="77"/>
        <v>2021</v>
      </c>
      <c r="D575" s="124">
        <v>1.36</v>
      </c>
      <c r="E575" s="124">
        <f t="shared" si="79"/>
        <v>1.0744</v>
      </c>
      <c r="F575" s="109">
        <f t="shared" si="80"/>
        <v>258.40000000000003</v>
      </c>
      <c r="G575" s="121"/>
      <c r="H575" s="124" t="e">
        <f ca="1">_xll.RHistory("CFD-SBSTK-NATN","NDA_RAW.Nda_last","START:"&amp;$A575&amp;" END:"&amp;$A575&amp;" INTERVAL:1W",,,)/100</f>
        <v>#NAME?</v>
      </c>
      <c r="I575" s="125">
        <v>75</v>
      </c>
      <c r="J575" s="125">
        <v>85</v>
      </c>
      <c r="K575" s="121"/>
      <c r="L575" s="130">
        <v>0.79</v>
      </c>
      <c r="M575" s="130">
        <v>0.19</v>
      </c>
      <c r="N575" s="130">
        <f t="shared" si="81"/>
        <v>0.98</v>
      </c>
      <c r="O575" s="130"/>
      <c r="P575" s="129">
        <f t="shared" si="82"/>
        <v>70.72</v>
      </c>
      <c r="Q575" s="129" t="e">
        <f t="shared" ca="1" si="83"/>
        <v>#NAME?</v>
      </c>
      <c r="R575" s="121"/>
      <c r="S575" s="124" t="e">
        <f ca="1">_xll.RHistory("JCI-SBMG-DALNI","NDA_RAW.Nda_last","START:"&amp;$A575&amp;" END:"&amp;$A575&amp;" INTERVAL:1W",,,)</f>
        <v>#NAME?</v>
      </c>
      <c r="AZ575" s="98"/>
      <c r="BB575" s="98"/>
      <c r="BD575" s="98"/>
      <c r="BF575" s="98"/>
      <c r="BH575" s="98"/>
      <c r="BJ575" s="98"/>
      <c r="BL575" s="98"/>
      <c r="BN575" s="98"/>
      <c r="BP575" s="98"/>
      <c r="BR575" s="98"/>
    </row>
    <row r="576" spans="1:70">
      <c r="A576" s="123">
        <v>44301</v>
      </c>
      <c r="B576" s="121">
        <f t="shared" si="76"/>
        <v>4</v>
      </c>
      <c r="C576" s="121">
        <f t="shared" si="77"/>
        <v>2021</v>
      </c>
      <c r="D576" s="124">
        <v>1.62</v>
      </c>
      <c r="E576" s="124">
        <f t="shared" si="79"/>
        <v>1.2798</v>
      </c>
      <c r="F576" s="109">
        <f t="shared" si="80"/>
        <v>307.8</v>
      </c>
      <c r="G576" s="121"/>
      <c r="H576" s="124" t="e">
        <f ca="1">_xll.RHistory("CFD-SBSTK-NATN","NDA_RAW.Nda_last","START:"&amp;$A576&amp;" END:"&amp;$A576&amp;" INTERVAL:1W",,,)/100</f>
        <v>#NAME?</v>
      </c>
      <c r="I576" s="125">
        <v>75</v>
      </c>
      <c r="J576" s="125">
        <v>85</v>
      </c>
      <c r="K576" s="121"/>
      <c r="L576" s="130">
        <v>0.79</v>
      </c>
      <c r="M576" s="130">
        <v>0.19</v>
      </c>
      <c r="N576" s="130">
        <f t="shared" si="81"/>
        <v>0.98</v>
      </c>
      <c r="O576" s="130"/>
      <c r="P576" s="129">
        <f t="shared" si="82"/>
        <v>84.240000000000009</v>
      </c>
      <c r="Q576" s="129" t="e">
        <f t="shared" ca="1" si="83"/>
        <v>#NAME?</v>
      </c>
      <c r="R576" s="121"/>
      <c r="S576" s="124" t="e">
        <f ca="1">_xll.RHistory("JCI-SBMG-DALNI","NDA_RAW.Nda_last","START:"&amp;$A576&amp;" END:"&amp;$A576&amp;" INTERVAL:1W",,,)</f>
        <v>#NAME?</v>
      </c>
      <c r="AZ576" s="98"/>
      <c r="BB576" s="98"/>
      <c r="BD576" s="98"/>
      <c r="BF576" s="98"/>
      <c r="BH576" s="98"/>
      <c r="BJ576" s="98"/>
      <c r="BL576" s="98"/>
      <c r="BN576" s="98"/>
      <c r="BP576" s="98"/>
      <c r="BR576" s="98"/>
    </row>
    <row r="577" spans="1:70">
      <c r="A577" s="123">
        <v>44308</v>
      </c>
      <c r="B577" s="121">
        <f t="shared" si="76"/>
        <v>4</v>
      </c>
      <c r="C577" s="121">
        <f t="shared" si="77"/>
        <v>2021</v>
      </c>
      <c r="D577" s="126">
        <v>1.78</v>
      </c>
      <c r="E577" s="124">
        <f t="shared" si="79"/>
        <v>1.4062000000000001</v>
      </c>
      <c r="F577" s="109">
        <f t="shared" si="80"/>
        <v>338.2</v>
      </c>
      <c r="G577" s="121"/>
      <c r="H577" s="124" t="e">
        <f ca="1">_xll.RHistory("CFD-SBSTK-NATN","NDA_RAW.Nda_last","START:"&amp;$A577&amp;" END:"&amp;$A577&amp;" INTERVAL:1W",,,)/100</f>
        <v>#NAME?</v>
      </c>
      <c r="I577" s="124">
        <v>75</v>
      </c>
      <c r="J577" s="124">
        <v>85</v>
      </c>
      <c r="K577" s="121"/>
      <c r="L577" s="130">
        <v>0.79</v>
      </c>
      <c r="M577" s="130">
        <v>0.19</v>
      </c>
      <c r="N577" s="130">
        <f t="shared" si="81"/>
        <v>0.98</v>
      </c>
      <c r="O577" s="130"/>
      <c r="P577" s="129">
        <f t="shared" si="82"/>
        <v>92.56</v>
      </c>
      <c r="Q577" s="129" t="e">
        <f t="shared" ca="1" si="83"/>
        <v>#NAME?</v>
      </c>
      <c r="R577" s="121"/>
      <c r="S577" s="124" t="e">
        <f ca="1">_xll.RHistory("JCI-SBMG-DALNI","NDA_RAW.Nda_last","START:"&amp;$A577&amp;" END:"&amp;$A577&amp;" INTERVAL:1W",,,)</f>
        <v>#NAME?</v>
      </c>
      <c r="AZ577" s="98"/>
      <c r="BB577" s="98"/>
      <c r="BD577" s="98"/>
      <c r="BF577" s="98"/>
      <c r="BH577" s="98"/>
      <c r="BJ577" s="98"/>
      <c r="BL577" s="98"/>
      <c r="BN577" s="98"/>
      <c r="BP577" s="98"/>
      <c r="BR577" s="98"/>
    </row>
    <row r="578" spans="1:70">
      <c r="A578" s="123">
        <v>44315</v>
      </c>
      <c r="B578" s="121">
        <f t="shared" ref="B578:B641" si="84">MONTH(A578)</f>
        <v>4</v>
      </c>
      <c r="C578" s="121">
        <f t="shared" ref="C578:C641" si="85">YEAR(A578)</f>
        <v>2021</v>
      </c>
      <c r="D578" s="121">
        <v>1.82</v>
      </c>
      <c r="E578" s="124">
        <f t="shared" si="79"/>
        <v>1.4378000000000002</v>
      </c>
      <c r="F578" s="109">
        <f t="shared" si="80"/>
        <v>345.8</v>
      </c>
      <c r="G578" s="121"/>
      <c r="H578" s="121"/>
      <c r="I578" s="121"/>
      <c r="J578" s="121"/>
      <c r="K578" s="121"/>
      <c r="L578" s="130">
        <v>0.79</v>
      </c>
      <c r="M578" s="130">
        <v>0.19</v>
      </c>
      <c r="N578" s="121"/>
      <c r="O578" s="121"/>
      <c r="P578" s="121"/>
      <c r="Q578" s="121"/>
      <c r="R578" s="121"/>
      <c r="S578" s="124" t="e">
        <f ca="1">_xll.RHistory("JCI-SBMG-DALNI","NDA_RAW.Nda_last","START:"&amp;$A578&amp;" END:"&amp;$A578&amp;" INTERVAL:1W",,,)</f>
        <v>#NAME?</v>
      </c>
      <c r="AZ578" s="98"/>
      <c r="BB578" s="98"/>
      <c r="BD578" s="98"/>
      <c r="BF578" s="98"/>
      <c r="BH578" s="98"/>
      <c r="BJ578" s="98"/>
      <c r="BL578" s="98"/>
      <c r="BN578" s="98"/>
      <c r="BP578" s="98"/>
      <c r="BR578" s="98"/>
    </row>
    <row r="579" spans="1:70">
      <c r="A579" s="123">
        <v>44322</v>
      </c>
      <c r="B579" s="121">
        <f t="shared" si="84"/>
        <v>5</v>
      </c>
      <c r="C579" s="121">
        <f t="shared" si="85"/>
        <v>2021</v>
      </c>
      <c r="D579" s="121"/>
      <c r="E579" s="124"/>
      <c r="F579" s="109"/>
      <c r="G579" s="121"/>
      <c r="H579" s="121"/>
      <c r="I579" s="124" t="e">
        <f ca="1">_xll.RHistory("CFD-SBOST-NATN","NDA_RAW.Nda_last","START:"&amp;$A579&amp;" END:"&amp;$A579&amp;" INTERVAL:1W",,,)</f>
        <v>#NAME?</v>
      </c>
      <c r="J579" s="124" t="e">
        <f ca="1">_xll.RHistory("CFD-SBMST-NATN","NDA_RAW.Nda_last","START:"&amp;$A579&amp;" END:"&amp;$A579&amp;" INTERVAL:1W",,,)</f>
        <v>#NAME?</v>
      </c>
      <c r="K579" s="121"/>
      <c r="L579" s="130">
        <v>0.79</v>
      </c>
      <c r="M579" s="130">
        <v>0.19</v>
      </c>
      <c r="N579" s="121"/>
      <c r="O579" s="121"/>
      <c r="P579" s="121"/>
      <c r="Q579" s="121"/>
      <c r="R579" s="121"/>
      <c r="S579" s="124" t="e">
        <f ca="1">_xll.RHistory("JCI-SBMG-DALNI","NDA_RAW.Nda_last","START:"&amp;$A579&amp;" END:"&amp;$A579&amp;" INTERVAL:1W",,,)</f>
        <v>#NAME?</v>
      </c>
      <c r="AZ579" s="98"/>
      <c r="BB579" s="98"/>
      <c r="BD579" s="98"/>
      <c r="BF579" s="98"/>
      <c r="BH579" s="98"/>
      <c r="BJ579" s="98"/>
      <c r="BL579" s="98"/>
      <c r="BN579" s="98"/>
      <c r="BP579" s="98"/>
      <c r="BR579" s="98"/>
    </row>
    <row r="580" spans="1:70">
      <c r="A580" s="123">
        <v>44329</v>
      </c>
      <c r="B580" s="121">
        <f t="shared" si="84"/>
        <v>5</v>
      </c>
      <c r="C580" s="121">
        <f t="shared" si="85"/>
        <v>2021</v>
      </c>
      <c r="D580" s="121">
        <v>1.88</v>
      </c>
      <c r="E580" s="124">
        <f t="shared" ref="E580:E599" si="86">L580*D580</f>
        <v>1.4852000000000001</v>
      </c>
      <c r="F580" s="109">
        <f t="shared" ref="F580:F599" si="87">D580*M580*1000</f>
        <v>357.2</v>
      </c>
      <c r="G580" s="121"/>
      <c r="H580" s="121"/>
      <c r="I580" s="121"/>
      <c r="J580" s="121"/>
      <c r="K580" s="121"/>
      <c r="L580" s="130">
        <v>0.79</v>
      </c>
      <c r="M580" s="130">
        <v>0.19</v>
      </c>
      <c r="N580" s="121"/>
      <c r="O580" s="121"/>
      <c r="P580" s="121"/>
      <c r="Q580" s="121"/>
      <c r="R580" s="121"/>
      <c r="S580" s="124" t="e">
        <f ca="1">_xll.RHistory("JCI-SBMG-DALNI","NDA_RAW.Nda_last","START:"&amp;$A580&amp;" END:"&amp;$A580&amp;" INTERVAL:1W",,,)</f>
        <v>#NAME?</v>
      </c>
      <c r="AZ580" s="98"/>
      <c r="BB580" s="98"/>
      <c r="BD580" s="98"/>
      <c r="BF580" s="98"/>
      <c r="BH580" s="98"/>
      <c r="BJ580" s="98"/>
      <c r="BL580" s="98"/>
      <c r="BN580" s="98"/>
      <c r="BP580" s="98"/>
      <c r="BR580" s="98"/>
    </row>
    <row r="581" spans="1:70">
      <c r="A581" s="123">
        <v>44336</v>
      </c>
      <c r="B581" s="121">
        <f t="shared" si="84"/>
        <v>5</v>
      </c>
      <c r="C581" s="121">
        <f t="shared" si="85"/>
        <v>2021</v>
      </c>
      <c r="D581" s="121">
        <v>1.92</v>
      </c>
      <c r="E581" s="124">
        <f t="shared" si="86"/>
        <v>1.5167999999999999</v>
      </c>
      <c r="F581" s="109">
        <f t="shared" si="87"/>
        <v>364.8</v>
      </c>
      <c r="G581" s="121"/>
      <c r="H581" s="121"/>
      <c r="I581" s="121"/>
      <c r="J581" s="121"/>
      <c r="K581" s="121"/>
      <c r="L581" s="130">
        <v>0.79</v>
      </c>
      <c r="M581" s="130">
        <v>0.19</v>
      </c>
      <c r="N581" s="121"/>
      <c r="O581" s="121"/>
      <c r="P581" s="121"/>
      <c r="Q581" s="121"/>
      <c r="R581" s="121"/>
      <c r="S581" s="124" t="e">
        <f ca="1">_xll.RHistory("JCI-SBMG-DALNI","NDA_RAW.Nda_last","START:"&amp;$A581&amp;" END:"&amp;$A581&amp;" INTERVAL:1W",,,)</f>
        <v>#NAME?</v>
      </c>
      <c r="AZ581" s="98"/>
      <c r="BB581" s="98"/>
      <c r="BD581" s="98"/>
      <c r="BF581" s="98"/>
      <c r="BH581" s="98"/>
      <c r="BJ581" s="98"/>
      <c r="BL581" s="98"/>
      <c r="BN581" s="98"/>
      <c r="BP581" s="98"/>
      <c r="BR581" s="98"/>
    </row>
    <row r="582" spans="1:70">
      <c r="A582" s="123">
        <v>44343</v>
      </c>
      <c r="B582" s="121">
        <f t="shared" si="84"/>
        <v>5</v>
      </c>
      <c r="C582" s="121">
        <f t="shared" si="85"/>
        <v>2021</v>
      </c>
      <c r="D582" s="121">
        <v>2.0699999999999998</v>
      </c>
      <c r="E582" s="124">
        <f t="shared" si="86"/>
        <v>1.6353</v>
      </c>
      <c r="F582" s="109">
        <f t="shared" si="87"/>
        <v>393.29999999999995</v>
      </c>
      <c r="G582" s="121"/>
      <c r="H582" s="121"/>
      <c r="I582" s="121"/>
      <c r="J582" s="121"/>
      <c r="K582" s="121"/>
      <c r="L582" s="130">
        <v>0.79</v>
      </c>
      <c r="M582" s="130">
        <v>0.19</v>
      </c>
      <c r="N582" s="121"/>
      <c r="O582" s="121"/>
      <c r="P582" s="121"/>
      <c r="Q582" s="121"/>
      <c r="R582" s="121"/>
      <c r="S582" s="124" t="e">
        <f ca="1">_xll.RHistory("JCI-SBMG-DALNI","NDA_RAW.Nda_last","START:"&amp;$A582&amp;" END:"&amp;$A582&amp;" INTERVAL:1W",,,)</f>
        <v>#NAME?</v>
      </c>
      <c r="AZ582" s="98"/>
      <c r="BB582" s="98"/>
      <c r="BD582" s="98"/>
      <c r="BF582" s="98"/>
      <c r="BH582" s="98"/>
      <c r="BJ582" s="98"/>
      <c r="BL582" s="98"/>
      <c r="BN582" s="98"/>
      <c r="BP582" s="98"/>
      <c r="BR582" s="98"/>
    </row>
    <row r="583" spans="1:70">
      <c r="A583" s="123">
        <v>44350</v>
      </c>
      <c r="B583" s="121">
        <f t="shared" si="84"/>
        <v>6</v>
      </c>
      <c r="C583" s="121">
        <f t="shared" si="85"/>
        <v>2021</v>
      </c>
      <c r="D583" s="121">
        <v>2.02</v>
      </c>
      <c r="E583" s="124">
        <f t="shared" si="86"/>
        <v>1.5958000000000001</v>
      </c>
      <c r="F583" s="109">
        <f t="shared" si="87"/>
        <v>383.8</v>
      </c>
      <c r="G583" s="121"/>
      <c r="H583" s="121"/>
      <c r="I583" s="121"/>
      <c r="J583" s="121"/>
      <c r="K583" s="121"/>
      <c r="L583" s="130">
        <v>0.79</v>
      </c>
      <c r="M583" s="130">
        <v>0.19</v>
      </c>
      <c r="N583" s="121"/>
      <c r="O583" s="121"/>
      <c r="P583" s="121"/>
      <c r="Q583" s="121"/>
      <c r="R583" s="121"/>
      <c r="S583" s="124" t="e">
        <f ca="1">_xll.RHistory("JCI-SBMG-DALNI","NDA_RAW.Nda_last","START:"&amp;$A583&amp;" END:"&amp;$A583&amp;" INTERVAL:1W",,,)</f>
        <v>#NAME?</v>
      </c>
      <c r="AZ583" s="98"/>
      <c r="BB583" s="98"/>
      <c r="BD583" s="98"/>
      <c r="BF583" s="98"/>
      <c r="BH583" s="98"/>
      <c r="BJ583" s="98"/>
      <c r="BL583" s="98"/>
      <c r="BN583" s="98"/>
      <c r="BP583" s="98"/>
      <c r="BR583" s="98"/>
    </row>
    <row r="584" spans="1:70">
      <c r="A584" s="123">
        <v>44357</v>
      </c>
      <c r="B584" s="121">
        <f t="shared" si="84"/>
        <v>6</v>
      </c>
      <c r="C584" s="121">
        <f t="shared" si="85"/>
        <v>2021</v>
      </c>
      <c r="D584" s="121">
        <v>1.95</v>
      </c>
      <c r="E584" s="124">
        <f t="shared" si="86"/>
        <v>1.5405</v>
      </c>
      <c r="F584" s="109">
        <f t="shared" si="87"/>
        <v>370.5</v>
      </c>
      <c r="G584" s="121"/>
      <c r="H584" s="121"/>
      <c r="I584" s="121"/>
      <c r="J584" s="121"/>
      <c r="K584" s="121"/>
      <c r="L584" s="130">
        <v>0.79</v>
      </c>
      <c r="M584" s="130">
        <v>0.19</v>
      </c>
      <c r="N584" s="121"/>
      <c r="O584" s="121"/>
      <c r="P584" s="121"/>
      <c r="Q584" s="121"/>
      <c r="R584" s="121"/>
      <c r="S584" s="124" t="e">
        <f ca="1">_xll.RHistory("JCI-SBMG-DALNI","NDA_RAW.Nda_last","START:"&amp;$A584&amp;" END:"&amp;$A584&amp;" INTERVAL:1W",,,)</f>
        <v>#NAME?</v>
      </c>
      <c r="AZ584" s="98"/>
      <c r="BB584" s="98"/>
      <c r="BD584" s="98"/>
      <c r="BF584" s="98"/>
      <c r="BH584" s="98"/>
      <c r="BJ584" s="98"/>
      <c r="BL584" s="98"/>
      <c r="BN584" s="98"/>
      <c r="BP584" s="98"/>
      <c r="BR584" s="98"/>
    </row>
    <row r="585" spans="1:70">
      <c r="A585" s="123">
        <v>44364</v>
      </c>
      <c r="B585" s="121">
        <f t="shared" si="84"/>
        <v>6</v>
      </c>
      <c r="C585" s="121">
        <f t="shared" si="85"/>
        <v>2021</v>
      </c>
      <c r="D585" s="121">
        <v>1.9</v>
      </c>
      <c r="E585" s="124">
        <f t="shared" si="86"/>
        <v>1.5009999999999999</v>
      </c>
      <c r="F585" s="109">
        <f t="shared" si="87"/>
        <v>361</v>
      </c>
      <c r="G585" s="121"/>
      <c r="H585" s="121"/>
      <c r="I585" s="121"/>
      <c r="J585" s="121"/>
      <c r="K585" s="121"/>
      <c r="L585" s="130">
        <v>0.79</v>
      </c>
      <c r="M585" s="130">
        <v>0.19</v>
      </c>
      <c r="N585" s="121"/>
      <c r="O585" s="121"/>
      <c r="P585" s="121"/>
      <c r="Q585" s="121"/>
      <c r="R585" s="121"/>
      <c r="S585" s="124" t="e">
        <f ca="1">_xll.RHistory("JCI-SBMG-DALNI","NDA_RAW.Nda_last","START:"&amp;$A585&amp;" END:"&amp;$A585&amp;" INTERVAL:1W",,,)</f>
        <v>#NAME?</v>
      </c>
      <c r="AZ585" s="98"/>
      <c r="BB585" s="98"/>
      <c r="BD585" s="98"/>
      <c r="BF585" s="98"/>
      <c r="BH585" s="98"/>
      <c r="BJ585" s="98"/>
      <c r="BL585" s="98"/>
      <c r="BN585" s="98"/>
      <c r="BP585" s="98"/>
      <c r="BR585" s="98"/>
    </row>
    <row r="586" spans="1:70">
      <c r="A586" s="123">
        <v>44371</v>
      </c>
      <c r="B586" s="121">
        <f t="shared" si="84"/>
        <v>6</v>
      </c>
      <c r="C586" s="121">
        <f t="shared" si="85"/>
        <v>2021</v>
      </c>
      <c r="D586" s="121">
        <v>1.72</v>
      </c>
      <c r="E586" s="124">
        <f t="shared" si="86"/>
        <v>1.3588</v>
      </c>
      <c r="F586" s="109">
        <f t="shared" si="87"/>
        <v>326.79999999999995</v>
      </c>
      <c r="G586" s="121"/>
      <c r="H586" s="121"/>
      <c r="I586" s="121"/>
      <c r="J586" s="121"/>
      <c r="K586" s="121"/>
      <c r="L586" s="130">
        <v>0.79</v>
      </c>
      <c r="M586" s="130">
        <v>0.19</v>
      </c>
      <c r="N586" s="121"/>
      <c r="O586" s="121"/>
      <c r="P586" s="121"/>
      <c r="Q586" s="121"/>
      <c r="R586" s="121"/>
      <c r="S586" s="124" t="e">
        <f ca="1">_xll.RHistory("JCI-SBMG-DALNI","NDA_RAW.Nda_last","START:"&amp;$A586&amp;" END:"&amp;$A586&amp;" INTERVAL:1W",,,)</f>
        <v>#NAME?</v>
      </c>
      <c r="AZ586" s="98"/>
      <c r="BB586" s="98"/>
      <c r="BD586" s="98"/>
      <c r="BF586" s="98"/>
      <c r="BH586" s="98"/>
      <c r="BJ586" s="98"/>
      <c r="BL586" s="98"/>
      <c r="BN586" s="98"/>
      <c r="BP586" s="98"/>
      <c r="BR586" s="98"/>
    </row>
    <row r="587" spans="1:70">
      <c r="A587" s="123">
        <v>44378</v>
      </c>
      <c r="B587" s="121">
        <f t="shared" si="84"/>
        <v>7</v>
      </c>
      <c r="C587" s="121">
        <f t="shared" si="85"/>
        <v>2021</v>
      </c>
      <c r="D587" s="121">
        <v>1.69</v>
      </c>
      <c r="E587" s="124">
        <f t="shared" si="86"/>
        <v>1.3351</v>
      </c>
      <c r="F587" s="109">
        <f t="shared" si="87"/>
        <v>321.10000000000002</v>
      </c>
      <c r="G587" s="121"/>
      <c r="H587" s="121"/>
      <c r="I587" s="121"/>
      <c r="J587" s="121"/>
      <c r="K587" s="121"/>
      <c r="L587" s="130">
        <v>0.79</v>
      </c>
      <c r="M587" s="130">
        <v>0.19</v>
      </c>
      <c r="N587" s="121"/>
      <c r="O587" s="121"/>
      <c r="P587" s="121"/>
      <c r="Q587" s="121"/>
      <c r="R587" s="121"/>
      <c r="S587" s="124" t="e">
        <f ca="1">_xll.RHistory("JCI-SBMG-DALNI","NDA_RAW.Nda_last","START:"&amp;$A587&amp;" END:"&amp;$A587&amp;" INTERVAL:1W",,,)</f>
        <v>#NAME?</v>
      </c>
      <c r="AZ587" s="98"/>
      <c r="BB587" s="98"/>
      <c r="BD587" s="98"/>
      <c r="BF587" s="98"/>
      <c r="BH587" s="98"/>
      <c r="BJ587" s="98"/>
      <c r="BL587" s="98"/>
      <c r="BN587" s="98"/>
      <c r="BP587" s="98"/>
      <c r="BR587" s="98"/>
    </row>
    <row r="588" spans="1:70">
      <c r="A588" s="123">
        <v>44385</v>
      </c>
      <c r="B588" s="121">
        <f t="shared" si="84"/>
        <v>7</v>
      </c>
      <c r="C588" s="121">
        <f t="shared" si="85"/>
        <v>2021</v>
      </c>
      <c r="D588" s="121">
        <v>1.78</v>
      </c>
      <c r="E588" s="124">
        <f t="shared" si="86"/>
        <v>1.4062000000000001</v>
      </c>
      <c r="F588" s="109">
        <f t="shared" si="87"/>
        <v>338.2</v>
      </c>
      <c r="G588" s="121"/>
      <c r="H588" s="121"/>
      <c r="I588" s="121"/>
      <c r="J588" s="121"/>
      <c r="K588" s="121"/>
      <c r="L588" s="130">
        <v>0.79</v>
      </c>
      <c r="M588" s="130">
        <v>0.19</v>
      </c>
      <c r="N588" s="121"/>
      <c r="O588" s="121"/>
      <c r="P588" s="121"/>
      <c r="Q588" s="121"/>
      <c r="R588" s="121"/>
      <c r="S588" s="124" t="e">
        <f ca="1">_xll.RHistory("JCI-SBMG-DALNI","NDA_RAW.Nda_last","START:"&amp;$A588&amp;" END:"&amp;$A588&amp;" INTERVAL:1W",,,)</f>
        <v>#NAME?</v>
      </c>
      <c r="AZ588" s="98"/>
      <c r="BB588" s="98"/>
      <c r="BD588" s="98"/>
      <c r="BF588" s="98"/>
      <c r="BH588" s="98"/>
      <c r="BJ588" s="98"/>
      <c r="BL588" s="98"/>
      <c r="BN588" s="98"/>
      <c r="BP588" s="98"/>
      <c r="BR588" s="98"/>
    </row>
    <row r="589" spans="1:70">
      <c r="A589" s="123">
        <v>44392</v>
      </c>
      <c r="B589" s="121">
        <f t="shared" si="84"/>
        <v>7</v>
      </c>
      <c r="C589" s="121">
        <f t="shared" si="85"/>
        <v>2021</v>
      </c>
      <c r="D589" s="121">
        <v>1.73</v>
      </c>
      <c r="E589" s="124">
        <f t="shared" si="86"/>
        <v>1.3667</v>
      </c>
      <c r="F589" s="109">
        <f t="shared" si="87"/>
        <v>328.7</v>
      </c>
      <c r="G589" s="121"/>
      <c r="H589" s="121"/>
      <c r="I589" s="121"/>
      <c r="J589" s="121"/>
      <c r="K589" s="121"/>
      <c r="L589" s="130">
        <v>0.79</v>
      </c>
      <c r="M589" s="130">
        <v>0.19</v>
      </c>
      <c r="N589" s="121"/>
      <c r="O589" s="121"/>
      <c r="P589" s="121"/>
      <c r="Q589" s="121"/>
      <c r="R589" s="121"/>
      <c r="S589" s="124" t="e">
        <f ca="1">_xll.RHistory("JCI-SBMG-DALNI","NDA_RAW.Nda_last","START:"&amp;$A589&amp;" END:"&amp;$A589&amp;" INTERVAL:1W",,,)</f>
        <v>#NAME?</v>
      </c>
      <c r="AZ589" s="98"/>
      <c r="BB589" s="98"/>
      <c r="BD589" s="98"/>
      <c r="BF589" s="98"/>
      <c r="BH589" s="98"/>
      <c r="BJ589" s="98"/>
      <c r="BL589" s="98"/>
      <c r="BN589" s="98"/>
      <c r="BP589" s="98"/>
      <c r="BR589" s="98"/>
    </row>
    <row r="590" spans="1:70">
      <c r="A590" s="123">
        <v>44399</v>
      </c>
      <c r="B590" s="121">
        <f t="shared" si="84"/>
        <v>7</v>
      </c>
      <c r="C590" s="121">
        <f t="shared" si="85"/>
        <v>2021</v>
      </c>
      <c r="D590" s="121">
        <v>1.88</v>
      </c>
      <c r="E590" s="124">
        <f t="shared" si="86"/>
        <v>1.4852000000000001</v>
      </c>
      <c r="F590" s="109">
        <f t="shared" si="87"/>
        <v>357.2</v>
      </c>
      <c r="G590" s="121"/>
      <c r="H590" s="121"/>
      <c r="I590" s="121"/>
      <c r="J590" s="121"/>
      <c r="K590" s="121"/>
      <c r="L590" s="130">
        <v>0.79</v>
      </c>
      <c r="M590" s="130">
        <v>0.19</v>
      </c>
      <c r="N590" s="121"/>
      <c r="O590" s="121"/>
      <c r="P590" s="121"/>
      <c r="Q590" s="121"/>
      <c r="R590" s="121"/>
      <c r="S590" s="124" t="e">
        <f ca="1">_xll.RHistory("JCI-SBMG-DALNI","NDA_RAW.Nda_last","START:"&amp;$A590&amp;" END:"&amp;$A590&amp;" INTERVAL:1W",,,)</f>
        <v>#NAME?</v>
      </c>
      <c r="AZ590" s="98"/>
      <c r="BB590" s="98"/>
      <c r="BD590" s="98"/>
      <c r="BF590" s="98"/>
      <c r="BH590" s="98"/>
      <c r="BJ590" s="98"/>
      <c r="BL590" s="98"/>
      <c r="BN590" s="98"/>
      <c r="BP590" s="98"/>
      <c r="BR590" s="98"/>
    </row>
    <row r="591" spans="1:70">
      <c r="A591" s="123">
        <v>44406</v>
      </c>
      <c r="B591" s="121">
        <f t="shared" si="84"/>
        <v>7</v>
      </c>
      <c r="C591" s="121">
        <f t="shared" si="85"/>
        <v>2021</v>
      </c>
      <c r="D591" s="121">
        <v>1.72</v>
      </c>
      <c r="E591" s="124">
        <f t="shared" si="86"/>
        <v>1.3588</v>
      </c>
      <c r="F591" s="109">
        <f t="shared" si="87"/>
        <v>326.79999999999995</v>
      </c>
      <c r="G591" s="121"/>
      <c r="H591" s="121"/>
      <c r="I591" s="121"/>
      <c r="J591" s="121"/>
      <c r="K591" s="121"/>
      <c r="L591" s="130">
        <v>0.79</v>
      </c>
      <c r="M591" s="130">
        <v>0.19</v>
      </c>
      <c r="N591" s="121"/>
      <c r="O591" s="121"/>
      <c r="P591" s="121"/>
      <c r="Q591" s="121"/>
      <c r="R591" s="121"/>
      <c r="S591" s="124" t="e">
        <f ca="1">_xll.RHistory("JCI-SBMG-DALNI","NDA_RAW.Nda_last","START:"&amp;$A591&amp;" END:"&amp;$A591&amp;" INTERVAL:1W",,,)</f>
        <v>#NAME?</v>
      </c>
      <c r="AZ591" s="98"/>
      <c r="BB591" s="98"/>
      <c r="BD591" s="98"/>
      <c r="BF591" s="98"/>
      <c r="BH591" s="98"/>
      <c r="BJ591" s="98"/>
      <c r="BL591" s="98"/>
      <c r="BN591" s="98"/>
      <c r="BP591" s="98"/>
      <c r="BR591" s="98"/>
    </row>
    <row r="592" spans="1:70">
      <c r="A592" s="123">
        <v>44413</v>
      </c>
      <c r="B592" s="121">
        <f t="shared" si="84"/>
        <v>8</v>
      </c>
      <c r="C592" s="121">
        <f t="shared" si="85"/>
        <v>2021</v>
      </c>
      <c r="D592" s="121">
        <v>1.78</v>
      </c>
      <c r="E592" s="124">
        <f t="shared" si="86"/>
        <v>1.4062000000000001</v>
      </c>
      <c r="F592" s="109">
        <f t="shared" si="87"/>
        <v>338.2</v>
      </c>
      <c r="G592" s="121"/>
      <c r="H592" s="121"/>
      <c r="I592" s="121"/>
      <c r="J592" s="121"/>
      <c r="K592" s="121"/>
      <c r="L592" s="130">
        <v>0.79</v>
      </c>
      <c r="M592" s="130">
        <v>0.19</v>
      </c>
      <c r="N592" s="121"/>
      <c r="O592" s="121"/>
      <c r="P592" s="121"/>
      <c r="Q592" s="121"/>
      <c r="R592" s="121"/>
      <c r="S592" s="124" t="e">
        <f ca="1">_xll.RHistory("JCI-SBMG-DALNI","NDA_RAW.Nda_last","START:"&amp;$A592&amp;" END:"&amp;$A592&amp;" INTERVAL:1W",,,)</f>
        <v>#NAME?</v>
      </c>
      <c r="AZ592" s="98"/>
      <c r="BB592" s="98"/>
      <c r="BD592" s="98"/>
      <c r="BF592" s="98"/>
      <c r="BH592" s="98"/>
      <c r="BJ592" s="98"/>
      <c r="BL592" s="98"/>
      <c r="BN592" s="98"/>
      <c r="BP592" s="98"/>
      <c r="BR592" s="98"/>
    </row>
    <row r="593" spans="1:70">
      <c r="A593" s="123">
        <v>44420</v>
      </c>
      <c r="B593" s="121">
        <f t="shared" si="84"/>
        <v>8</v>
      </c>
      <c r="C593" s="121">
        <f t="shared" si="85"/>
        <v>2021</v>
      </c>
      <c r="D593" s="121">
        <v>1.97</v>
      </c>
      <c r="E593" s="124">
        <f t="shared" si="86"/>
        <v>1.5563</v>
      </c>
      <c r="F593" s="109">
        <f t="shared" si="87"/>
        <v>374.3</v>
      </c>
      <c r="G593" s="121"/>
      <c r="H593" s="121"/>
      <c r="I593" s="121"/>
      <c r="J593" s="121"/>
      <c r="K593" s="121"/>
      <c r="L593" s="130">
        <v>0.79</v>
      </c>
      <c r="M593" s="130">
        <v>0.19</v>
      </c>
      <c r="N593" s="121"/>
      <c r="O593" s="121"/>
      <c r="P593" s="121"/>
      <c r="Q593" s="121"/>
      <c r="R593" s="121"/>
      <c r="S593" s="124" t="e">
        <f ca="1">_xll.RHistory("JCI-SBMG-DALNI","NDA_RAW.Nda_last","START:"&amp;$A593&amp;" END:"&amp;$A593&amp;" INTERVAL:1W",,,)</f>
        <v>#NAME?</v>
      </c>
      <c r="AZ593" s="98"/>
      <c r="BB593" s="98"/>
      <c r="BD593" s="98"/>
      <c r="BF593" s="98"/>
      <c r="BH593" s="98"/>
      <c r="BJ593" s="98"/>
      <c r="BL593" s="98"/>
      <c r="BN593" s="98"/>
      <c r="BP593" s="98"/>
      <c r="BR593" s="98"/>
    </row>
    <row r="594" spans="1:70">
      <c r="A594" s="123">
        <v>44427</v>
      </c>
      <c r="B594" s="121">
        <f t="shared" si="84"/>
        <v>8</v>
      </c>
      <c r="C594" s="121">
        <f t="shared" si="85"/>
        <v>2021</v>
      </c>
      <c r="D594" s="121">
        <v>2.0099999999999998</v>
      </c>
      <c r="E594" s="124">
        <f t="shared" si="86"/>
        <v>1.5878999999999999</v>
      </c>
      <c r="F594" s="109">
        <f t="shared" si="87"/>
        <v>381.9</v>
      </c>
      <c r="G594" s="121"/>
      <c r="H594" s="121"/>
      <c r="I594" s="121"/>
      <c r="J594" s="121"/>
      <c r="K594" s="121"/>
      <c r="L594" s="130">
        <v>0.79</v>
      </c>
      <c r="M594" s="130">
        <v>0.19</v>
      </c>
      <c r="N594" s="121"/>
      <c r="O594" s="121"/>
      <c r="P594" s="121"/>
      <c r="Q594" s="121"/>
      <c r="R594" s="121"/>
      <c r="S594" s="124" t="e">
        <f ca="1">_xll.RHistory("JCI-SBMG-DALNI","NDA_RAW.Nda_last","START:"&amp;$A594&amp;" END:"&amp;$A594&amp;" INTERVAL:1W",,,)</f>
        <v>#NAME?</v>
      </c>
      <c r="AZ594" s="98"/>
      <c r="BB594" s="98"/>
      <c r="BD594" s="98"/>
      <c r="BF594" s="98"/>
      <c r="BH594" s="98"/>
      <c r="BJ594" s="98"/>
      <c r="BL594" s="98"/>
      <c r="BN594" s="98"/>
      <c r="BP594" s="98"/>
      <c r="BR594" s="98"/>
    </row>
    <row r="595" spans="1:70">
      <c r="A595" s="123">
        <v>44434</v>
      </c>
      <c r="B595" s="121">
        <f t="shared" si="84"/>
        <v>8</v>
      </c>
      <c r="C595" s="121">
        <f t="shared" si="85"/>
        <v>2021</v>
      </c>
      <c r="D595" s="121">
        <v>1.98</v>
      </c>
      <c r="E595" s="124">
        <f t="shared" si="86"/>
        <v>1.5642</v>
      </c>
      <c r="F595" s="109">
        <f t="shared" si="87"/>
        <v>376.2</v>
      </c>
      <c r="G595" s="121"/>
      <c r="H595" s="121"/>
      <c r="I595" s="121"/>
      <c r="J595" s="121"/>
      <c r="K595" s="121"/>
      <c r="L595" s="130">
        <v>0.79</v>
      </c>
      <c r="M595" s="130">
        <v>0.19</v>
      </c>
      <c r="N595" s="121"/>
      <c r="O595" s="121"/>
      <c r="P595" s="121"/>
      <c r="Q595" s="121"/>
      <c r="R595" s="121"/>
      <c r="S595" s="124" t="e">
        <f ca="1">_xll.RHistory("JCI-SBMG-DALNI","NDA_RAW.Nda_last","START:"&amp;$A595&amp;" END:"&amp;$A595&amp;" INTERVAL:1W",,,)</f>
        <v>#NAME?</v>
      </c>
      <c r="AZ595" s="98"/>
      <c r="BB595" s="98"/>
      <c r="BD595" s="98"/>
      <c r="BF595" s="98"/>
      <c r="BH595" s="98"/>
      <c r="BJ595" s="98"/>
      <c r="BL595" s="98"/>
      <c r="BN595" s="98"/>
      <c r="BP595" s="98"/>
      <c r="BR595" s="98"/>
    </row>
    <row r="596" spans="1:70">
      <c r="A596" s="123">
        <v>44441</v>
      </c>
      <c r="B596" s="121">
        <f t="shared" si="84"/>
        <v>9</v>
      </c>
      <c r="C596" s="121">
        <f t="shared" si="85"/>
        <v>2021</v>
      </c>
      <c r="D596" s="121">
        <v>1.73</v>
      </c>
      <c r="E596" s="124">
        <f t="shared" si="86"/>
        <v>1.3667</v>
      </c>
      <c r="F596" s="109">
        <f t="shared" si="87"/>
        <v>328.7</v>
      </c>
      <c r="G596" s="121"/>
      <c r="H596" s="121"/>
      <c r="I596" s="121"/>
      <c r="J596" s="121"/>
      <c r="K596" s="121"/>
      <c r="L596" s="130">
        <v>0.79</v>
      </c>
      <c r="M596" s="130">
        <v>0.19</v>
      </c>
      <c r="N596" s="121"/>
      <c r="O596" s="121"/>
      <c r="P596" s="121"/>
      <c r="Q596" s="121"/>
      <c r="R596" s="121"/>
      <c r="S596" s="124" t="e">
        <f ca="1">_xll.RHistory("JCI-SBMG-DALNI","NDA_RAW.Nda_last","START:"&amp;$A596&amp;" END:"&amp;$A596&amp;" INTERVAL:1W",,,)</f>
        <v>#NAME?</v>
      </c>
      <c r="AZ596" s="98"/>
      <c r="BB596" s="98"/>
      <c r="BD596" s="98"/>
      <c r="BF596" s="98"/>
      <c r="BH596" s="98"/>
      <c r="BJ596" s="98"/>
      <c r="BL596" s="98"/>
      <c r="BN596" s="98"/>
      <c r="BP596" s="98"/>
      <c r="BR596" s="98"/>
    </row>
    <row r="597" spans="1:70">
      <c r="A597" s="123">
        <v>44448</v>
      </c>
      <c r="B597" s="121">
        <f t="shared" si="84"/>
        <v>9</v>
      </c>
      <c r="C597" s="121">
        <f t="shared" si="85"/>
        <v>2021</v>
      </c>
      <c r="D597" s="121">
        <v>1.86</v>
      </c>
      <c r="E597" s="124">
        <f t="shared" si="86"/>
        <v>1.4694</v>
      </c>
      <c r="F597" s="109">
        <f t="shared" si="87"/>
        <v>353.40000000000003</v>
      </c>
      <c r="G597" s="121"/>
      <c r="H597" s="121"/>
      <c r="I597" s="121"/>
      <c r="J597" s="121"/>
      <c r="K597" s="121"/>
      <c r="L597" s="130">
        <v>0.79</v>
      </c>
      <c r="M597" s="130">
        <v>0.19</v>
      </c>
      <c r="N597" s="121"/>
      <c r="O597" s="121"/>
      <c r="P597" s="121"/>
      <c r="Q597" s="121"/>
      <c r="R597" s="121"/>
      <c r="S597" s="124" t="e">
        <f ca="1">_xll.RHistory("JCI-SBMG-DALNI","NDA_RAW.Nda_last","START:"&amp;$A597&amp;" END:"&amp;$A597&amp;" INTERVAL:1W",,,)</f>
        <v>#NAME?</v>
      </c>
      <c r="AZ597" s="98"/>
      <c r="BB597" s="98"/>
      <c r="BD597" s="98"/>
      <c r="BF597" s="98"/>
      <c r="BH597" s="98"/>
      <c r="BJ597" s="98"/>
      <c r="BL597" s="98"/>
      <c r="BN597" s="98"/>
      <c r="BP597" s="98"/>
      <c r="BR597" s="98"/>
    </row>
    <row r="598" spans="1:70">
      <c r="A598" s="123">
        <v>44455</v>
      </c>
      <c r="B598" s="121">
        <f t="shared" si="84"/>
        <v>9</v>
      </c>
      <c r="C598" s="121">
        <f t="shared" si="85"/>
        <v>2021</v>
      </c>
      <c r="D598" s="121">
        <v>1.89</v>
      </c>
      <c r="E598" s="124">
        <f t="shared" si="86"/>
        <v>1.4931000000000001</v>
      </c>
      <c r="F598" s="109">
        <f t="shared" si="87"/>
        <v>359.09999999999997</v>
      </c>
      <c r="G598" s="121"/>
      <c r="H598" s="121"/>
      <c r="I598" s="121"/>
      <c r="J598" s="121"/>
      <c r="K598" s="121"/>
      <c r="L598" s="130">
        <v>0.79</v>
      </c>
      <c r="M598" s="130">
        <v>0.19</v>
      </c>
      <c r="N598" s="121"/>
      <c r="O598" s="121"/>
      <c r="P598" s="121"/>
      <c r="Q598" s="121"/>
      <c r="R598" s="121"/>
      <c r="S598" s="124" t="e">
        <f ca="1">_xll.RHistory("JCI-SBMG-DALNI","NDA_RAW.Nda_last","START:"&amp;$A598&amp;" END:"&amp;$A598&amp;" INTERVAL:1W",,,)</f>
        <v>#NAME?</v>
      </c>
      <c r="AZ598" s="98"/>
      <c r="BB598" s="98"/>
      <c r="BD598" s="98"/>
      <c r="BF598" s="98"/>
      <c r="BH598" s="98"/>
      <c r="BJ598" s="98"/>
      <c r="BL598" s="98"/>
      <c r="BN598" s="98"/>
      <c r="BP598" s="98"/>
      <c r="BR598" s="98"/>
    </row>
    <row r="599" spans="1:70">
      <c r="A599" s="123">
        <v>44462</v>
      </c>
      <c r="B599" s="121">
        <f t="shared" si="84"/>
        <v>9</v>
      </c>
      <c r="C599" s="121">
        <f t="shared" si="85"/>
        <v>2021</v>
      </c>
      <c r="D599" s="121">
        <v>1.71</v>
      </c>
      <c r="E599" s="124">
        <f t="shared" si="86"/>
        <v>1.3509</v>
      </c>
      <c r="F599" s="109">
        <f t="shared" si="87"/>
        <v>324.90000000000003</v>
      </c>
      <c r="G599" s="121"/>
      <c r="H599" s="121"/>
      <c r="I599" s="121"/>
      <c r="J599" s="121"/>
      <c r="K599" s="121"/>
      <c r="L599" s="130">
        <v>0.79</v>
      </c>
      <c r="M599" s="130">
        <v>0.19</v>
      </c>
      <c r="N599" s="121"/>
      <c r="O599" s="121"/>
      <c r="P599" s="121"/>
      <c r="Q599" s="121"/>
      <c r="R599" s="121"/>
      <c r="S599" s="124" t="e">
        <f ca="1">_xll.RHistory("JCI-SBMG-DALNI","NDA_RAW.Nda_last","START:"&amp;$A599&amp;" END:"&amp;$A599&amp;" INTERVAL:1W",,,)</f>
        <v>#NAME?</v>
      </c>
      <c r="AZ599" s="98"/>
      <c r="BB599" s="98"/>
      <c r="BD599" s="98"/>
      <c r="BF599" s="98"/>
      <c r="BH599" s="98"/>
      <c r="BJ599" s="98"/>
      <c r="BL599" s="98"/>
      <c r="BN599" s="98"/>
      <c r="BP599" s="98"/>
      <c r="BR599" s="98"/>
    </row>
    <row r="600" spans="1:70">
      <c r="A600" s="123">
        <v>44469</v>
      </c>
      <c r="B600" s="121">
        <f t="shared" si="84"/>
        <v>9</v>
      </c>
      <c r="C600" s="121">
        <f t="shared" si="85"/>
        <v>2021</v>
      </c>
      <c r="D600" s="121"/>
      <c r="E600" s="124"/>
      <c r="F600" s="109"/>
      <c r="G600" s="121"/>
      <c r="H600" s="121"/>
      <c r="I600" s="121"/>
      <c r="J600" s="121"/>
      <c r="K600" s="121"/>
      <c r="L600" s="130">
        <v>0.79</v>
      </c>
      <c r="M600" s="130">
        <v>0.19</v>
      </c>
      <c r="N600" s="121"/>
      <c r="O600" s="121"/>
      <c r="P600" s="121"/>
      <c r="Q600" s="121"/>
      <c r="R600" s="121"/>
      <c r="S600" s="124" t="e">
        <f ca="1">_xll.RHistory("JCI-SBMG-DALNI","NDA_RAW.Nda_last","START:"&amp;$A600&amp;" END:"&amp;$A600&amp;" INTERVAL:1W",,,)</f>
        <v>#NAME?</v>
      </c>
      <c r="AZ600" s="98"/>
      <c r="BB600" s="98"/>
      <c r="BD600" s="98"/>
      <c r="BF600" s="98"/>
      <c r="BH600" s="98"/>
      <c r="BJ600" s="98"/>
      <c r="BL600" s="98"/>
      <c r="BN600" s="98"/>
      <c r="BP600" s="98"/>
      <c r="BR600" s="98"/>
    </row>
    <row r="601" spans="1:70">
      <c r="A601" s="123">
        <v>44476</v>
      </c>
      <c r="B601" s="121">
        <f t="shared" si="84"/>
        <v>10</v>
      </c>
      <c r="C601" s="121">
        <f t="shared" si="85"/>
        <v>2021</v>
      </c>
      <c r="D601" s="121">
        <v>1.41</v>
      </c>
      <c r="E601" s="124">
        <f t="shared" ref="E601:E616" si="88">L601*D601</f>
        <v>1.1138999999999999</v>
      </c>
      <c r="F601" s="109">
        <f t="shared" ref="F601:F616" si="89">D601*M601*1000</f>
        <v>267.89999999999998</v>
      </c>
      <c r="G601" s="121"/>
      <c r="H601" s="121"/>
      <c r="I601" s="121"/>
      <c r="J601" s="121"/>
      <c r="K601" s="121"/>
      <c r="L601" s="130">
        <v>0.79</v>
      </c>
      <c r="M601" s="130">
        <v>0.19</v>
      </c>
      <c r="N601" s="121"/>
      <c r="O601" s="121"/>
      <c r="P601" s="121"/>
      <c r="Q601" s="121"/>
      <c r="R601" s="121"/>
      <c r="S601" s="124" t="e">
        <f ca="1">_xll.RHistory("JCI-SBMG-DALNI","NDA_RAW.Nda_last","START:"&amp;$A601&amp;" END:"&amp;$A601&amp;" INTERVAL:1W",,,)</f>
        <v>#NAME?</v>
      </c>
      <c r="AZ601" s="98"/>
      <c r="BB601" s="98"/>
      <c r="BD601" s="98"/>
      <c r="BF601" s="98"/>
      <c r="BH601" s="98"/>
      <c r="BJ601" s="98"/>
      <c r="BL601" s="98"/>
      <c r="BN601" s="98"/>
      <c r="BP601" s="98"/>
      <c r="BR601" s="98"/>
    </row>
    <row r="602" spans="1:70">
      <c r="A602" s="123">
        <v>44483</v>
      </c>
      <c r="B602" s="121">
        <f t="shared" si="84"/>
        <v>10</v>
      </c>
      <c r="C602" s="121">
        <f t="shared" si="85"/>
        <v>2021</v>
      </c>
      <c r="D602" s="121">
        <v>1.67</v>
      </c>
      <c r="E602" s="124">
        <f t="shared" si="88"/>
        <v>1.3192999999999999</v>
      </c>
      <c r="F602" s="109">
        <f t="shared" si="89"/>
        <v>317.29999999999995</v>
      </c>
      <c r="G602" s="121"/>
      <c r="H602" s="121"/>
      <c r="I602" s="121"/>
      <c r="J602" s="121"/>
      <c r="K602" s="121"/>
      <c r="L602" s="130">
        <v>0.79</v>
      </c>
      <c r="M602" s="130">
        <v>0.19</v>
      </c>
      <c r="N602" s="121"/>
      <c r="O602" s="121"/>
      <c r="P602" s="121"/>
      <c r="Q602" s="121"/>
      <c r="R602" s="121"/>
      <c r="S602" s="124" t="e">
        <f ca="1">_xll.RHistory("JCI-SBMG-DALNI","NDA_RAW.Nda_last","START:"&amp;$A602&amp;" END:"&amp;$A602&amp;" INTERVAL:1W",,,)</f>
        <v>#NAME?</v>
      </c>
      <c r="AZ602" s="98"/>
      <c r="BB602" s="98"/>
      <c r="BD602" s="98"/>
      <c r="BF602" s="98"/>
      <c r="BH602" s="98"/>
      <c r="BJ602" s="98"/>
      <c r="BL602" s="98"/>
      <c r="BN602" s="98"/>
      <c r="BP602" s="98"/>
      <c r="BR602" s="98"/>
    </row>
    <row r="603" spans="1:70">
      <c r="A603" s="123">
        <v>44490</v>
      </c>
      <c r="B603" s="121">
        <f t="shared" si="84"/>
        <v>10</v>
      </c>
      <c r="C603" s="121">
        <f t="shared" si="85"/>
        <v>2021</v>
      </c>
      <c r="D603" s="121">
        <v>1.6</v>
      </c>
      <c r="E603" s="124">
        <f t="shared" si="88"/>
        <v>1.2640000000000002</v>
      </c>
      <c r="F603" s="109">
        <f t="shared" si="89"/>
        <v>304.00000000000006</v>
      </c>
      <c r="G603" s="121"/>
      <c r="H603" s="121"/>
      <c r="I603" s="121"/>
      <c r="J603" s="121"/>
      <c r="K603" s="121"/>
      <c r="L603" s="130">
        <v>0.79</v>
      </c>
      <c r="M603" s="130">
        <v>0.19</v>
      </c>
      <c r="N603" s="121"/>
      <c r="O603" s="121"/>
      <c r="P603" s="121"/>
      <c r="Q603" s="121"/>
      <c r="R603" s="121"/>
      <c r="S603" s="124" t="e">
        <f ca="1">_xll.RHistory("JCI-SBMG-DALNI","NDA_RAW.Nda_last","START:"&amp;$A603&amp;" END:"&amp;$A603&amp;" INTERVAL:1W",,,)</f>
        <v>#NAME?</v>
      </c>
      <c r="AZ603" s="98"/>
      <c r="BB603" s="98"/>
      <c r="BD603" s="98"/>
      <c r="BF603" s="98"/>
      <c r="BH603" s="98"/>
      <c r="BJ603" s="98"/>
      <c r="BL603" s="98"/>
      <c r="BN603" s="98"/>
      <c r="BP603" s="98"/>
      <c r="BR603" s="98"/>
    </row>
    <row r="604" spans="1:70">
      <c r="A604" s="123">
        <v>44497</v>
      </c>
      <c r="B604" s="121">
        <f t="shared" si="84"/>
        <v>10</v>
      </c>
      <c r="C604" s="121">
        <f t="shared" si="85"/>
        <v>2021</v>
      </c>
      <c r="D604" s="121">
        <v>1.89</v>
      </c>
      <c r="E604" s="124">
        <f t="shared" si="88"/>
        <v>1.4931000000000001</v>
      </c>
      <c r="F604" s="109">
        <f t="shared" si="89"/>
        <v>359.09999999999997</v>
      </c>
      <c r="G604" s="121"/>
      <c r="H604" s="121"/>
      <c r="I604" s="121"/>
      <c r="J604" s="121"/>
      <c r="K604" s="121"/>
      <c r="L604" s="130">
        <v>0.79</v>
      </c>
      <c r="M604" s="130">
        <v>0.19</v>
      </c>
      <c r="N604" s="121"/>
      <c r="O604" s="121"/>
      <c r="P604" s="121"/>
      <c r="Q604" s="121"/>
      <c r="R604" s="121"/>
      <c r="S604" s="124" t="e">
        <f ca="1">_xll.RHistory("JCI-SBMG-DALNI","NDA_RAW.Nda_last","START:"&amp;$A604&amp;" END:"&amp;$A604&amp;" INTERVAL:1W",,,)</f>
        <v>#NAME?</v>
      </c>
      <c r="AZ604" s="98"/>
      <c r="BB604" s="98"/>
      <c r="BD604" s="98"/>
      <c r="BF604" s="98"/>
      <c r="BH604" s="98"/>
      <c r="BJ604" s="98"/>
      <c r="BL604" s="98"/>
      <c r="BN604" s="98"/>
      <c r="BP604" s="98"/>
      <c r="BR604" s="98"/>
    </row>
    <row r="605" spans="1:70">
      <c r="A605" s="123">
        <v>44504</v>
      </c>
      <c r="B605" s="121">
        <f t="shared" si="84"/>
        <v>11</v>
      </c>
      <c r="C605" s="121">
        <f t="shared" si="85"/>
        <v>2021</v>
      </c>
      <c r="D605" s="121">
        <v>2.0699999999999998</v>
      </c>
      <c r="E605" s="124">
        <f t="shared" si="88"/>
        <v>1.6353</v>
      </c>
      <c r="F605" s="109">
        <f t="shared" si="89"/>
        <v>393.29999999999995</v>
      </c>
      <c r="G605" s="121"/>
      <c r="H605" s="121"/>
      <c r="I605" s="121"/>
      <c r="J605" s="121"/>
      <c r="K605" s="121"/>
      <c r="L605" s="130">
        <v>0.79</v>
      </c>
      <c r="M605" s="130">
        <v>0.19</v>
      </c>
      <c r="N605" s="121"/>
      <c r="O605" s="121"/>
      <c r="P605" s="121"/>
      <c r="Q605" s="121"/>
      <c r="R605" s="121"/>
      <c r="S605" s="124" t="e">
        <f ca="1">_xll.RHistory("JCI-SBMG-DALNI","NDA_RAW.Nda_last","START:"&amp;$A605&amp;" END:"&amp;$A605&amp;" INTERVAL:1W",,,)</f>
        <v>#NAME?</v>
      </c>
      <c r="AZ605" s="98"/>
      <c r="BB605" s="98"/>
      <c r="BD605" s="98"/>
      <c r="BF605" s="98"/>
      <c r="BH605" s="98"/>
      <c r="BJ605" s="98"/>
      <c r="BL605" s="98"/>
      <c r="BN605" s="98"/>
      <c r="BP605" s="98"/>
      <c r="BR605" s="98"/>
    </row>
    <row r="606" spans="1:70">
      <c r="A606" s="123">
        <v>44511</v>
      </c>
      <c r="B606" s="121">
        <f t="shared" si="84"/>
        <v>11</v>
      </c>
      <c r="C606" s="121">
        <f t="shared" si="85"/>
        <v>2021</v>
      </c>
      <c r="D606" s="121">
        <v>1.95</v>
      </c>
      <c r="E606" s="124">
        <f t="shared" si="88"/>
        <v>1.5405</v>
      </c>
      <c r="F606" s="109">
        <f t="shared" si="89"/>
        <v>370.5</v>
      </c>
      <c r="G606" s="121"/>
      <c r="H606" s="121"/>
      <c r="I606" s="121"/>
      <c r="J606" s="121"/>
      <c r="K606" s="121"/>
      <c r="L606" s="130">
        <v>0.79</v>
      </c>
      <c r="M606" s="130">
        <v>0.19</v>
      </c>
      <c r="N606" s="121"/>
      <c r="O606" s="121"/>
      <c r="P606" s="121"/>
      <c r="Q606" s="121"/>
      <c r="R606" s="121"/>
      <c r="S606" s="124" t="e">
        <f ca="1">_xll.RHistory("JCI-SBMG-DALNI","NDA_RAW.Nda_last","START:"&amp;$A606&amp;" END:"&amp;$A606&amp;" INTERVAL:1W",,,)</f>
        <v>#NAME?</v>
      </c>
      <c r="AZ606" s="98"/>
      <c r="BB606" s="98"/>
      <c r="BD606" s="98"/>
      <c r="BF606" s="98"/>
      <c r="BH606" s="98"/>
      <c r="BJ606" s="98"/>
      <c r="BL606" s="98"/>
      <c r="BN606" s="98"/>
      <c r="BP606" s="98"/>
      <c r="BR606" s="98"/>
    </row>
    <row r="607" spans="1:70">
      <c r="A607" s="123">
        <v>44518</v>
      </c>
      <c r="B607" s="121">
        <f t="shared" si="84"/>
        <v>11</v>
      </c>
      <c r="C607" s="121">
        <f t="shared" si="85"/>
        <v>2021</v>
      </c>
      <c r="D607" s="121">
        <v>1.89</v>
      </c>
      <c r="E607" s="124">
        <f t="shared" si="88"/>
        <v>1.4931000000000001</v>
      </c>
      <c r="F607" s="109">
        <f t="shared" si="89"/>
        <v>359.09999999999997</v>
      </c>
      <c r="G607" s="121"/>
      <c r="H607" s="121"/>
      <c r="I607" s="121"/>
      <c r="J607" s="121"/>
      <c r="K607" s="121"/>
      <c r="L607" s="130">
        <v>0.79</v>
      </c>
      <c r="M607" s="130">
        <v>0.19</v>
      </c>
      <c r="N607" s="121"/>
      <c r="O607" s="121"/>
      <c r="P607" s="121"/>
      <c r="Q607" s="121"/>
      <c r="R607" s="121"/>
      <c r="S607" s="124" t="e">
        <f ca="1">_xll.RHistory("JCI-SBMG-DALNI","NDA_RAW.Nda_last","START:"&amp;$A607&amp;" END:"&amp;$A607&amp;" INTERVAL:1W",,,)</f>
        <v>#NAME?</v>
      </c>
      <c r="AZ607" s="98"/>
      <c r="BB607" s="98"/>
      <c r="BD607" s="98"/>
      <c r="BF607" s="98"/>
      <c r="BH607" s="98"/>
      <c r="BJ607" s="98"/>
      <c r="BL607" s="98"/>
      <c r="BN607" s="98"/>
      <c r="BP607" s="98"/>
      <c r="BR607" s="98"/>
    </row>
    <row r="608" spans="1:70">
      <c r="A608" s="123">
        <v>44525</v>
      </c>
      <c r="B608" s="121">
        <f t="shared" si="84"/>
        <v>11</v>
      </c>
      <c r="C608" s="121">
        <f t="shared" si="85"/>
        <v>2021</v>
      </c>
      <c r="D608" s="121">
        <v>2.02</v>
      </c>
      <c r="E608" s="124">
        <f t="shared" si="88"/>
        <v>1.5958000000000001</v>
      </c>
      <c r="F608" s="109">
        <f t="shared" si="89"/>
        <v>383.8</v>
      </c>
      <c r="G608" s="121"/>
      <c r="H608" s="121"/>
      <c r="I608" s="121"/>
      <c r="J608" s="121"/>
      <c r="K608" s="121"/>
      <c r="L608" s="130">
        <v>0.79</v>
      </c>
      <c r="M608" s="130">
        <v>0.19</v>
      </c>
      <c r="N608" s="121"/>
      <c r="O608" s="121"/>
      <c r="P608" s="121"/>
      <c r="Q608" s="121"/>
      <c r="R608" s="121"/>
      <c r="S608" s="124" t="e">
        <f ca="1">_xll.RHistory("JCI-SBMG-DALNI","NDA_RAW.Nda_last","START:"&amp;$A608&amp;" END:"&amp;$A608&amp;" INTERVAL:1W",,,)</f>
        <v>#NAME?</v>
      </c>
      <c r="AZ608" s="98"/>
      <c r="BB608" s="98"/>
      <c r="BD608" s="98"/>
      <c r="BF608" s="98"/>
      <c r="BH608" s="98"/>
      <c r="BJ608" s="98"/>
      <c r="BL608" s="98"/>
      <c r="BN608" s="98"/>
      <c r="BP608" s="98"/>
      <c r="BR608" s="98"/>
    </row>
    <row r="609" spans="1:70">
      <c r="A609" s="123">
        <v>44532</v>
      </c>
      <c r="B609" s="121">
        <f t="shared" si="84"/>
        <v>12</v>
      </c>
      <c r="C609" s="121">
        <f t="shared" si="85"/>
        <v>2021</v>
      </c>
      <c r="D609" s="121">
        <v>1.89</v>
      </c>
      <c r="E609" s="124">
        <f t="shared" si="88"/>
        <v>1.4931000000000001</v>
      </c>
      <c r="F609" s="109">
        <f t="shared" si="89"/>
        <v>359.09999999999997</v>
      </c>
      <c r="G609" s="121"/>
      <c r="H609" s="121"/>
      <c r="I609" s="121"/>
      <c r="J609" s="121"/>
      <c r="K609" s="121"/>
      <c r="L609" s="130">
        <v>0.79</v>
      </c>
      <c r="M609" s="130">
        <v>0.19</v>
      </c>
      <c r="N609" s="121"/>
      <c r="O609" s="121"/>
      <c r="P609" s="121"/>
      <c r="Q609" s="121"/>
      <c r="R609" s="121"/>
      <c r="S609" s="124" t="e">
        <f ca="1">_xll.RHistory("JCI-SBMG-DALNI","NDA_RAW.Nda_last","START:"&amp;$A609&amp;" END:"&amp;$A609&amp;" INTERVAL:1W",,,)</f>
        <v>#NAME?</v>
      </c>
      <c r="AZ609" s="98"/>
      <c r="BB609" s="98"/>
      <c r="BD609" s="98"/>
      <c r="BF609" s="98"/>
      <c r="BH609" s="98"/>
      <c r="BJ609" s="98"/>
      <c r="BL609" s="98"/>
      <c r="BN609" s="98"/>
      <c r="BP609" s="98"/>
      <c r="BR609" s="98"/>
    </row>
    <row r="610" spans="1:70">
      <c r="A610" s="123">
        <v>44539</v>
      </c>
      <c r="B610" s="121">
        <f t="shared" si="84"/>
        <v>12</v>
      </c>
      <c r="C610" s="121">
        <f t="shared" si="85"/>
        <v>2021</v>
      </c>
      <c r="D610" s="121">
        <v>1.91</v>
      </c>
      <c r="E610" s="124">
        <f t="shared" si="88"/>
        <v>1.5088999999999999</v>
      </c>
      <c r="F610" s="109">
        <f t="shared" si="89"/>
        <v>362.9</v>
      </c>
      <c r="G610" s="121"/>
      <c r="H610" s="121"/>
      <c r="I610" s="121"/>
      <c r="J610" s="121"/>
      <c r="K610" s="121"/>
      <c r="L610" s="130">
        <v>0.79</v>
      </c>
      <c r="M610" s="130">
        <v>0.19</v>
      </c>
      <c r="N610" s="121"/>
      <c r="O610" s="121"/>
      <c r="P610" s="121"/>
      <c r="Q610" s="121"/>
      <c r="R610" s="121"/>
      <c r="S610" s="124" t="e">
        <f ca="1">_xll.RHistory("JCI-SBMG-DALNI","NDA_RAW.Nda_last","START:"&amp;$A610&amp;" END:"&amp;$A610&amp;" INTERVAL:1W",,,)</f>
        <v>#NAME?</v>
      </c>
      <c r="AZ610" s="98"/>
      <c r="BB610" s="98"/>
      <c r="BD610" s="98"/>
      <c r="BF610" s="98"/>
      <c r="BH610" s="98"/>
      <c r="BJ610" s="98"/>
      <c r="BL610" s="98"/>
      <c r="BN610" s="98"/>
      <c r="BP610" s="98"/>
      <c r="BR610" s="98"/>
    </row>
    <row r="611" spans="1:70">
      <c r="A611" s="123">
        <v>44546</v>
      </c>
      <c r="B611" s="121">
        <f t="shared" si="84"/>
        <v>12</v>
      </c>
      <c r="C611" s="121">
        <f t="shared" si="85"/>
        <v>2021</v>
      </c>
      <c r="D611" s="121">
        <v>1.84</v>
      </c>
      <c r="E611" s="124">
        <f t="shared" si="88"/>
        <v>1.4536000000000002</v>
      </c>
      <c r="F611" s="109">
        <f t="shared" si="89"/>
        <v>349.6</v>
      </c>
      <c r="G611" s="121"/>
      <c r="H611" s="121"/>
      <c r="I611" s="121"/>
      <c r="J611" s="121"/>
      <c r="K611" s="121"/>
      <c r="L611" s="130">
        <v>0.79</v>
      </c>
      <c r="M611" s="130">
        <v>0.19</v>
      </c>
      <c r="N611" s="121"/>
      <c r="O611" s="121"/>
      <c r="P611" s="121"/>
      <c r="Q611" s="121"/>
      <c r="R611" s="121"/>
      <c r="S611" s="124" t="e">
        <f ca="1">_xll.RHistory("JCI-SBMG-DALNI","NDA_RAW.Nda_last","START:"&amp;$A611&amp;" END:"&amp;$A611&amp;" INTERVAL:1W",,,)</f>
        <v>#NAME?</v>
      </c>
      <c r="AZ611" s="98"/>
      <c r="BB611" s="98"/>
      <c r="BD611" s="98"/>
      <c r="BF611" s="98"/>
      <c r="BH611" s="98"/>
      <c r="BJ611" s="98"/>
      <c r="BL611" s="98"/>
      <c r="BN611" s="98"/>
      <c r="BP611" s="98"/>
      <c r="BR611" s="98"/>
    </row>
    <row r="612" spans="1:70">
      <c r="A612" s="123">
        <v>44553</v>
      </c>
      <c r="B612" s="121">
        <f t="shared" si="84"/>
        <v>12</v>
      </c>
      <c r="C612" s="121">
        <f t="shared" si="85"/>
        <v>2021</v>
      </c>
      <c r="D612" s="121">
        <v>1.79</v>
      </c>
      <c r="E612" s="124">
        <f t="shared" si="88"/>
        <v>1.4141000000000001</v>
      </c>
      <c r="F612" s="109">
        <f t="shared" si="89"/>
        <v>340.1</v>
      </c>
      <c r="G612" s="121"/>
      <c r="H612" s="121"/>
      <c r="I612" s="121"/>
      <c r="J612" s="121"/>
      <c r="K612" s="121"/>
      <c r="L612" s="130">
        <v>0.79</v>
      </c>
      <c r="M612" s="130">
        <v>0.19</v>
      </c>
      <c r="N612" s="121"/>
      <c r="O612" s="121"/>
      <c r="P612" s="121"/>
      <c r="Q612" s="121"/>
      <c r="R612" s="121"/>
      <c r="S612" s="124" t="e">
        <f ca="1">_xll.RHistory("JCI-SBMG-DALNI","NDA_RAW.Nda_last","START:"&amp;$A612&amp;" END:"&amp;$A612&amp;" INTERVAL:1W",,,)</f>
        <v>#NAME?</v>
      </c>
      <c r="AZ612" s="98"/>
      <c r="BB612" s="98"/>
      <c r="BD612" s="98"/>
      <c r="BF612" s="98"/>
      <c r="BH612" s="98"/>
      <c r="BJ612" s="98"/>
      <c r="BL612" s="98"/>
      <c r="BN612" s="98"/>
      <c r="BP612" s="98"/>
      <c r="BR612" s="98"/>
    </row>
    <row r="613" spans="1:70">
      <c r="A613" s="123">
        <v>44560</v>
      </c>
      <c r="B613" s="121">
        <f t="shared" si="84"/>
        <v>12</v>
      </c>
      <c r="C613" s="121">
        <f t="shared" si="85"/>
        <v>2021</v>
      </c>
      <c r="D613" s="121">
        <v>1.59</v>
      </c>
      <c r="E613" s="124">
        <f t="shared" si="88"/>
        <v>1.2561000000000002</v>
      </c>
      <c r="F613" s="109">
        <f t="shared" si="89"/>
        <v>302.10000000000002</v>
      </c>
      <c r="G613" s="121"/>
      <c r="H613" s="121"/>
      <c r="I613" s="121"/>
      <c r="J613" s="121"/>
      <c r="K613" s="121"/>
      <c r="L613" s="130">
        <v>0.79</v>
      </c>
      <c r="M613" s="130">
        <v>0.19</v>
      </c>
      <c r="N613" s="121"/>
      <c r="O613" s="121"/>
      <c r="P613" s="121"/>
      <c r="Q613" s="121"/>
      <c r="R613" s="121"/>
      <c r="S613" s="124" t="e">
        <f ca="1">_xll.RHistory("JCI-SBMG-DALNI","NDA_RAW.Nda_last","START:"&amp;$A613&amp;" END:"&amp;$A613&amp;" INTERVAL:1W",,,)</f>
        <v>#NAME?</v>
      </c>
      <c r="AZ613" s="98"/>
      <c r="BB613" s="98"/>
      <c r="BD613" s="98"/>
      <c r="BF613" s="98"/>
      <c r="BH613" s="98"/>
      <c r="BJ613" s="98"/>
      <c r="BL613" s="98"/>
      <c r="BN613" s="98"/>
      <c r="BP613" s="98"/>
      <c r="BR613" s="98"/>
    </row>
    <row r="614" spans="1:70">
      <c r="A614" s="123">
        <v>44567</v>
      </c>
      <c r="B614" s="121">
        <f t="shared" si="84"/>
        <v>1</v>
      </c>
      <c r="C614" s="121">
        <f t="shared" si="85"/>
        <v>2022</v>
      </c>
      <c r="D614" s="121">
        <v>1.46</v>
      </c>
      <c r="E614" s="124">
        <f t="shared" si="88"/>
        <v>1.1534</v>
      </c>
      <c r="F614" s="109">
        <f t="shared" si="89"/>
        <v>277.39999999999998</v>
      </c>
      <c r="G614" s="121"/>
      <c r="H614" s="121"/>
      <c r="I614" s="121"/>
      <c r="J614" s="121"/>
      <c r="K614" s="121"/>
      <c r="L614" s="130">
        <v>0.79</v>
      </c>
      <c r="M614" s="130">
        <v>0.19</v>
      </c>
      <c r="N614" s="121"/>
      <c r="O614" s="121"/>
      <c r="P614" s="121"/>
      <c r="Q614" s="121"/>
      <c r="R614" s="121"/>
      <c r="S614" s="124" t="e">
        <f ca="1">_xll.RHistory("JCI-SBMG-DALNI","NDA_RAW.Nda_last","START:"&amp;$A614&amp;" END:"&amp;$A614&amp;" INTERVAL:1W",,,)</f>
        <v>#NAME?</v>
      </c>
      <c r="AZ614" s="98"/>
      <c r="BB614" s="98"/>
      <c r="BD614" s="98"/>
      <c r="BF614" s="98"/>
      <c r="BH614" s="98"/>
      <c r="BJ614" s="98"/>
      <c r="BL614" s="98"/>
      <c r="BN614" s="98"/>
      <c r="BP614" s="98"/>
      <c r="BR614" s="98"/>
    </row>
    <row r="615" spans="1:70">
      <c r="A615" s="123">
        <v>44574</v>
      </c>
      <c r="B615" s="121">
        <f t="shared" si="84"/>
        <v>1</v>
      </c>
      <c r="C615" s="121">
        <f t="shared" si="85"/>
        <v>2022</v>
      </c>
      <c r="D615" s="121">
        <v>1.89</v>
      </c>
      <c r="E615" s="124">
        <f t="shared" si="88"/>
        <v>1.4931000000000001</v>
      </c>
      <c r="F615" s="109">
        <f t="shared" si="89"/>
        <v>359.09999999999997</v>
      </c>
      <c r="G615" s="121"/>
      <c r="H615" s="121"/>
      <c r="I615" s="121"/>
      <c r="J615" s="121"/>
      <c r="K615" s="121"/>
      <c r="L615" s="130">
        <v>0.79</v>
      </c>
      <c r="M615" s="130">
        <v>0.19</v>
      </c>
      <c r="N615" s="121"/>
      <c r="O615" s="121"/>
      <c r="P615" s="121"/>
      <c r="Q615" s="121"/>
      <c r="R615" s="121"/>
      <c r="S615" s="124" t="e">
        <f ca="1">_xll.RHistory("JCI-SBMG-DALNI","NDA_RAW.Nda_last","START:"&amp;$A615&amp;" END:"&amp;$A615&amp;" INTERVAL:1W",,,)</f>
        <v>#NAME?</v>
      </c>
      <c r="AZ615" s="98"/>
      <c r="BB615" s="98"/>
      <c r="BD615" s="98"/>
      <c r="BF615" s="98"/>
      <c r="BH615" s="98"/>
      <c r="BJ615" s="98"/>
      <c r="BL615" s="98"/>
      <c r="BN615" s="98"/>
      <c r="BP615" s="98"/>
      <c r="BR615" s="98"/>
    </row>
    <row r="616" spans="1:70">
      <c r="A616" s="123">
        <v>44581</v>
      </c>
      <c r="B616" s="121">
        <f t="shared" si="84"/>
        <v>1</v>
      </c>
      <c r="C616" s="121">
        <f t="shared" si="85"/>
        <v>2022</v>
      </c>
      <c r="D616" s="121">
        <v>2.15</v>
      </c>
      <c r="E616" s="124">
        <f t="shared" si="88"/>
        <v>1.6984999999999999</v>
      </c>
      <c r="F616" s="109">
        <f t="shared" si="89"/>
        <v>408.5</v>
      </c>
      <c r="G616" s="121"/>
      <c r="H616" s="121"/>
      <c r="I616" s="121"/>
      <c r="J616" s="121"/>
      <c r="K616" s="121"/>
      <c r="L616" s="130">
        <v>0.79</v>
      </c>
      <c r="M616" s="130">
        <v>0.19</v>
      </c>
      <c r="N616" s="121"/>
      <c r="O616" s="121"/>
      <c r="P616" s="121"/>
      <c r="Q616" s="121"/>
      <c r="R616" s="121"/>
      <c r="S616" s="124" t="e">
        <f ca="1">_xll.RHistory("JCI-SBMG-DALNI","NDA_RAW.Nda_last","START:"&amp;$A616&amp;" END:"&amp;$A616&amp;" INTERVAL:1W",,,)</f>
        <v>#NAME?</v>
      </c>
      <c r="AZ616" s="98"/>
      <c r="BB616" s="98"/>
      <c r="BD616" s="98"/>
      <c r="BF616" s="98"/>
      <c r="BH616" s="98"/>
      <c r="BJ616" s="98"/>
      <c r="BL616" s="98"/>
      <c r="BN616" s="98"/>
      <c r="BP616" s="98"/>
      <c r="BR616" s="98"/>
    </row>
    <row r="617" spans="1:70">
      <c r="A617" s="123">
        <v>44588</v>
      </c>
      <c r="B617" s="121">
        <f t="shared" si="84"/>
        <v>1</v>
      </c>
      <c r="C617" s="121">
        <f t="shared" si="85"/>
        <v>2022</v>
      </c>
      <c r="D617" s="121"/>
      <c r="E617" s="124"/>
      <c r="F617" s="109"/>
      <c r="G617" s="121"/>
      <c r="H617" s="121"/>
      <c r="I617" s="121"/>
      <c r="J617" s="121"/>
      <c r="K617" s="121"/>
      <c r="L617" s="130">
        <v>0.79</v>
      </c>
      <c r="M617" s="130">
        <v>0.19</v>
      </c>
      <c r="N617" s="121"/>
      <c r="O617" s="121"/>
      <c r="P617" s="121"/>
      <c r="Q617" s="121"/>
      <c r="R617" s="121"/>
      <c r="S617" s="124" t="e">
        <f ca="1">_xll.RHistory("JCI-SBMG-DALNI","NDA_RAW.Nda_last","START:"&amp;$A617&amp;" END:"&amp;$A617&amp;" INTERVAL:1W",,,)</f>
        <v>#NAME?</v>
      </c>
      <c r="AZ617" s="98"/>
      <c r="BB617" s="98"/>
      <c r="BD617" s="98"/>
      <c r="BF617" s="98"/>
      <c r="BH617" s="98"/>
      <c r="BJ617" s="98"/>
      <c r="BL617" s="98"/>
      <c r="BN617" s="98"/>
      <c r="BP617" s="98"/>
      <c r="BR617" s="98"/>
    </row>
    <row r="618" spans="1:70">
      <c r="A618" s="123">
        <v>44595</v>
      </c>
      <c r="B618" s="121">
        <f t="shared" si="84"/>
        <v>2</v>
      </c>
      <c r="C618" s="121">
        <f t="shared" si="85"/>
        <v>2022</v>
      </c>
      <c r="D618" s="121">
        <v>1.173</v>
      </c>
      <c r="E618" s="124">
        <f t="shared" ref="E618:E652" si="90">L618*D618</f>
        <v>0.9266700000000001</v>
      </c>
      <c r="F618" s="109">
        <f t="shared" ref="F618:F652" si="91">D618*M618*1000</f>
        <v>222.87</v>
      </c>
      <c r="G618" s="121"/>
      <c r="H618" s="121"/>
      <c r="I618" s="121"/>
      <c r="J618" s="121"/>
      <c r="K618" s="121"/>
      <c r="L618" s="130">
        <v>0.79</v>
      </c>
      <c r="M618" s="130">
        <v>0.19</v>
      </c>
      <c r="N618" s="121"/>
      <c r="O618" s="121"/>
      <c r="P618" s="121"/>
      <c r="Q618" s="121"/>
      <c r="R618" s="121"/>
      <c r="S618" s="124" t="e">
        <f ca="1">_xll.RHistory("JCI-SBMG-DALNI","NDA_RAW.Nda_last","START:"&amp;$A618&amp;" END:"&amp;$A618&amp;" INTERVAL:1W",,,)</f>
        <v>#NAME?</v>
      </c>
      <c r="AZ618" s="98"/>
      <c r="BB618" s="98"/>
      <c r="BD618" s="98"/>
      <c r="BF618" s="98"/>
      <c r="BH618" s="98"/>
      <c r="BJ618" s="98"/>
      <c r="BL618" s="98"/>
      <c r="BN618" s="98"/>
      <c r="BP618" s="98"/>
      <c r="BR618" s="98"/>
    </row>
    <row r="619" spans="1:70">
      <c r="A619" s="123">
        <v>44602</v>
      </c>
      <c r="B619" s="121">
        <f t="shared" si="84"/>
        <v>2</v>
      </c>
      <c r="C619" s="121">
        <f t="shared" si="85"/>
        <v>2022</v>
      </c>
      <c r="D619" s="121">
        <v>1.7</v>
      </c>
      <c r="E619" s="124">
        <f t="shared" si="90"/>
        <v>1.343</v>
      </c>
      <c r="F619" s="109">
        <f t="shared" si="91"/>
        <v>323</v>
      </c>
      <c r="G619" s="121"/>
      <c r="H619" s="121"/>
      <c r="I619" s="121"/>
      <c r="J619" s="121"/>
      <c r="K619" s="121"/>
      <c r="L619" s="130">
        <v>0.79</v>
      </c>
      <c r="M619" s="130">
        <v>0.19</v>
      </c>
      <c r="N619" s="121"/>
      <c r="O619" s="121"/>
      <c r="P619" s="121"/>
      <c r="Q619" s="121"/>
      <c r="R619" s="121"/>
      <c r="S619" s="124" t="e">
        <f ca="1">_xll.RHistory("JCI-SBMG-DALNI","NDA_RAW.Nda_last","START:"&amp;$A619&amp;" END:"&amp;$A619&amp;" INTERVAL:1W",,,)</f>
        <v>#NAME?</v>
      </c>
      <c r="AZ619" s="98"/>
      <c r="BB619" s="98"/>
      <c r="BD619" s="98"/>
      <c r="BF619" s="98"/>
      <c r="BH619" s="98"/>
      <c r="BJ619" s="98"/>
      <c r="BL619" s="98"/>
      <c r="BN619" s="98"/>
      <c r="BP619" s="98"/>
      <c r="BR619" s="98"/>
    </row>
    <row r="620" spans="1:70">
      <c r="A620" s="123">
        <v>44609</v>
      </c>
      <c r="B620" s="121">
        <f t="shared" si="84"/>
        <v>2</v>
      </c>
      <c r="C620" s="121">
        <f t="shared" si="85"/>
        <v>2022</v>
      </c>
      <c r="D620" s="121">
        <v>1.7</v>
      </c>
      <c r="E620" s="124">
        <f t="shared" si="90"/>
        <v>1.343</v>
      </c>
      <c r="F620" s="109">
        <f t="shared" si="91"/>
        <v>323</v>
      </c>
      <c r="G620" s="121"/>
      <c r="H620" s="121"/>
      <c r="I620" s="121"/>
      <c r="J620" s="121"/>
      <c r="K620" s="121"/>
      <c r="L620" s="130">
        <v>0.79</v>
      </c>
      <c r="M620" s="130">
        <v>0.19</v>
      </c>
      <c r="N620" s="121"/>
      <c r="O620" s="121"/>
      <c r="P620" s="121"/>
      <c r="Q620" s="121"/>
      <c r="R620" s="121"/>
      <c r="S620" s="124" t="e">
        <f ca="1">_xll.RHistory("JCI-SBMG-DALNI","NDA_RAW.Nda_last","START:"&amp;$A620&amp;" END:"&amp;$A620&amp;" INTERVAL:1W",,,)</f>
        <v>#NAME?</v>
      </c>
      <c r="AZ620" s="98"/>
      <c r="BB620" s="98"/>
      <c r="BD620" s="98"/>
      <c r="BF620" s="98"/>
      <c r="BH620" s="98"/>
      <c r="BJ620" s="98"/>
      <c r="BL620" s="98"/>
      <c r="BN620" s="98"/>
      <c r="BP620" s="98"/>
      <c r="BR620" s="98"/>
    </row>
    <row r="621" spans="1:70">
      <c r="A621" s="123">
        <v>44616</v>
      </c>
      <c r="B621" s="121">
        <f t="shared" si="84"/>
        <v>2</v>
      </c>
      <c r="C621" s="121">
        <f t="shared" si="85"/>
        <v>2022</v>
      </c>
      <c r="D621" s="121">
        <v>1.71</v>
      </c>
      <c r="E621" s="124">
        <f t="shared" si="90"/>
        <v>1.3509</v>
      </c>
      <c r="F621" s="109">
        <f t="shared" si="91"/>
        <v>324.90000000000003</v>
      </c>
      <c r="G621" s="121"/>
      <c r="H621" s="121"/>
      <c r="I621" s="121"/>
      <c r="J621" s="121"/>
      <c r="K621" s="121"/>
      <c r="L621" s="130">
        <v>0.79</v>
      </c>
      <c r="M621" s="130">
        <v>0.19</v>
      </c>
      <c r="N621" s="121"/>
      <c r="O621" s="121"/>
      <c r="P621" s="121"/>
      <c r="Q621" s="121"/>
      <c r="R621" s="121"/>
      <c r="S621" s="124" t="e">
        <f ca="1">_xll.RHistory("JCI-SBMG-DALNI","NDA_RAW.Nda_last","START:"&amp;$A621&amp;" END:"&amp;$A621&amp;" INTERVAL:1W",,,)</f>
        <v>#NAME?</v>
      </c>
      <c r="AZ621" s="98"/>
      <c r="BB621" s="98"/>
      <c r="BD621" s="98"/>
      <c r="BF621" s="98"/>
      <c r="BH621" s="98"/>
      <c r="BJ621" s="98"/>
      <c r="BL621" s="98"/>
      <c r="BN621" s="98"/>
      <c r="BP621" s="98"/>
      <c r="BR621" s="98"/>
    </row>
    <row r="622" spans="1:70">
      <c r="A622" s="123">
        <v>44623</v>
      </c>
      <c r="B622" s="121">
        <f t="shared" si="84"/>
        <v>3</v>
      </c>
      <c r="C622" s="121">
        <f t="shared" si="85"/>
        <v>2022</v>
      </c>
      <c r="D622" s="121">
        <v>1.48</v>
      </c>
      <c r="E622" s="124">
        <f t="shared" si="90"/>
        <v>1.1692</v>
      </c>
      <c r="F622" s="109">
        <f t="shared" si="91"/>
        <v>281.2</v>
      </c>
      <c r="G622" s="121"/>
      <c r="H622" s="121"/>
      <c r="I622" s="121"/>
      <c r="J622" s="121"/>
      <c r="K622" s="121"/>
      <c r="L622" s="130">
        <v>0.79</v>
      </c>
      <c r="M622" s="130">
        <v>0.19</v>
      </c>
      <c r="N622" s="121"/>
      <c r="O622" s="121"/>
      <c r="P622" s="121"/>
      <c r="Q622" s="121"/>
      <c r="R622" s="121"/>
      <c r="S622" s="124" t="e">
        <f ca="1">_xll.RHistory("JCI-SBMG-DALNI","NDA_RAW.Nda_last","START:"&amp;$A622&amp;" END:"&amp;$A622&amp;" INTERVAL:1W",,,)</f>
        <v>#NAME?</v>
      </c>
      <c r="AZ622" s="98"/>
      <c r="BB622" s="98"/>
      <c r="BD622" s="98"/>
      <c r="BF622" s="98"/>
      <c r="BH622" s="98"/>
      <c r="BJ622" s="98"/>
      <c r="BL622" s="98"/>
      <c r="BN622" s="98"/>
      <c r="BP622" s="98"/>
      <c r="BR622" s="98"/>
    </row>
    <row r="623" spans="1:70">
      <c r="A623" s="123">
        <v>44630</v>
      </c>
      <c r="B623" s="121">
        <f t="shared" si="84"/>
        <v>3</v>
      </c>
      <c r="C623" s="121">
        <f t="shared" si="85"/>
        <v>2022</v>
      </c>
      <c r="D623" s="121">
        <v>1.44</v>
      </c>
      <c r="E623" s="124">
        <f t="shared" si="90"/>
        <v>1.1375999999999999</v>
      </c>
      <c r="F623" s="109">
        <f t="shared" si="91"/>
        <v>273.60000000000002</v>
      </c>
      <c r="G623" s="121"/>
      <c r="H623" s="121"/>
      <c r="I623" s="121"/>
      <c r="J623" s="121"/>
      <c r="K623" s="121"/>
      <c r="L623" s="130">
        <v>0.79</v>
      </c>
      <c r="M623" s="130">
        <v>0.19</v>
      </c>
      <c r="N623" s="121"/>
      <c r="O623" s="121"/>
      <c r="P623" s="121"/>
      <c r="Q623" s="121"/>
      <c r="R623" s="121"/>
      <c r="S623" s="124" t="e">
        <f ca="1">_xll.RHistory("JCI-SBMG-DALNI","NDA_RAW.Nda_last","START:"&amp;$A623&amp;" END:"&amp;$A623&amp;" INTERVAL:1W",,,)</f>
        <v>#NAME?</v>
      </c>
      <c r="AZ623" s="98"/>
      <c r="BB623" s="98"/>
      <c r="BD623" s="98"/>
      <c r="BF623" s="98"/>
      <c r="BH623" s="98"/>
      <c r="BJ623" s="98"/>
      <c r="BL623" s="98"/>
      <c r="BN623" s="98"/>
      <c r="BP623" s="98"/>
      <c r="BR623" s="98"/>
    </row>
    <row r="624" spans="1:70">
      <c r="A624" s="123">
        <v>44637</v>
      </c>
      <c r="B624" s="121">
        <f t="shared" si="84"/>
        <v>3</v>
      </c>
      <c r="C624" s="121">
        <f t="shared" si="85"/>
        <v>2022</v>
      </c>
      <c r="D624" s="121">
        <v>1.3</v>
      </c>
      <c r="E624" s="124">
        <f t="shared" si="90"/>
        <v>1.0270000000000001</v>
      </c>
      <c r="F624" s="109">
        <f t="shared" si="91"/>
        <v>247.00000000000003</v>
      </c>
      <c r="G624" s="121"/>
      <c r="H624" s="121"/>
      <c r="I624" s="121"/>
      <c r="J624" s="121"/>
      <c r="K624" s="121"/>
      <c r="L624" s="130">
        <v>0.79</v>
      </c>
      <c r="M624" s="130">
        <v>0.19</v>
      </c>
      <c r="N624" s="121"/>
      <c r="O624" s="121"/>
      <c r="P624" s="121"/>
      <c r="Q624" s="121"/>
      <c r="R624" s="121"/>
      <c r="S624" s="124" t="e">
        <f ca="1">_xll.RHistory("JCI-SBMG-DALNI","NDA_RAW.Nda_last","START:"&amp;$A624&amp;" END:"&amp;$A624&amp;" INTERVAL:1W",,,)</f>
        <v>#NAME?</v>
      </c>
      <c r="AZ624" s="98"/>
      <c r="BB624" s="98"/>
      <c r="BD624" s="98"/>
      <c r="BF624" s="98"/>
      <c r="BH624" s="98"/>
      <c r="BJ624" s="98"/>
      <c r="BL624" s="98"/>
      <c r="BN624" s="98"/>
      <c r="BP624" s="98"/>
      <c r="BR624" s="98"/>
    </row>
    <row r="625" spans="1:70">
      <c r="A625" s="123">
        <v>44644</v>
      </c>
      <c r="B625" s="121">
        <f t="shared" si="84"/>
        <v>3</v>
      </c>
      <c r="C625" s="121">
        <f t="shared" si="85"/>
        <v>2022</v>
      </c>
      <c r="D625" s="121">
        <v>1.2</v>
      </c>
      <c r="E625" s="124">
        <f t="shared" si="90"/>
        <v>0.94799999999999995</v>
      </c>
      <c r="F625" s="109">
        <f t="shared" si="91"/>
        <v>227.99999999999997</v>
      </c>
      <c r="G625" s="121"/>
      <c r="H625" s="121"/>
      <c r="I625" s="121"/>
      <c r="J625" s="121"/>
      <c r="K625" s="121"/>
      <c r="L625" s="130">
        <v>0.79</v>
      </c>
      <c r="M625" s="130">
        <v>0.19</v>
      </c>
      <c r="N625" s="121"/>
      <c r="O625" s="121"/>
      <c r="P625" s="121"/>
      <c r="Q625" s="121"/>
      <c r="R625" s="121"/>
      <c r="S625" s="124" t="e">
        <f ca="1">_xll.RHistory("JCI-SBMG-DALNI","NDA_RAW.Nda_last","START:"&amp;$A625&amp;" END:"&amp;$A625&amp;" INTERVAL:1W",,,)</f>
        <v>#NAME?</v>
      </c>
      <c r="AZ625" s="98"/>
      <c r="BB625" s="98"/>
      <c r="BD625" s="98"/>
      <c r="BF625" s="98"/>
      <c r="BH625" s="98"/>
      <c r="BJ625" s="98"/>
      <c r="BL625" s="98"/>
      <c r="BN625" s="98"/>
      <c r="BP625" s="98"/>
      <c r="BR625" s="98"/>
    </row>
    <row r="626" spans="1:70">
      <c r="A626" s="123">
        <v>44651</v>
      </c>
      <c r="B626" s="121">
        <f t="shared" si="84"/>
        <v>3</v>
      </c>
      <c r="C626" s="121">
        <f t="shared" si="85"/>
        <v>2022</v>
      </c>
      <c r="D626" s="121">
        <v>1.07</v>
      </c>
      <c r="E626" s="124">
        <f t="shared" si="90"/>
        <v>0.84530000000000005</v>
      </c>
      <c r="F626" s="109">
        <f t="shared" si="91"/>
        <v>203.3</v>
      </c>
      <c r="G626" s="121"/>
      <c r="H626" s="121"/>
      <c r="I626" s="121"/>
      <c r="J626" s="121"/>
      <c r="K626" s="121"/>
      <c r="L626" s="130">
        <v>0.79</v>
      </c>
      <c r="M626" s="130">
        <v>0.19</v>
      </c>
      <c r="N626" s="121"/>
      <c r="O626" s="121"/>
      <c r="P626" s="121"/>
      <c r="Q626" s="121"/>
      <c r="R626" s="121"/>
      <c r="S626" s="124" t="e">
        <f ca="1">_xll.RHistory("JCI-SBMG-DALNI","NDA_RAW.Nda_last","START:"&amp;$A626&amp;" END:"&amp;$A626&amp;" INTERVAL:1W",,,)</f>
        <v>#NAME?</v>
      </c>
      <c r="AZ626" s="98"/>
      <c r="BB626" s="98"/>
      <c r="BD626" s="98"/>
      <c r="BF626" s="98"/>
      <c r="BH626" s="98"/>
      <c r="BJ626" s="98"/>
      <c r="BL626" s="98"/>
      <c r="BN626" s="98"/>
      <c r="BP626" s="98"/>
      <c r="BR626" s="98"/>
    </row>
    <row r="627" spans="1:70">
      <c r="A627" s="123">
        <v>44658</v>
      </c>
      <c r="B627" s="121">
        <f t="shared" si="84"/>
        <v>4</v>
      </c>
      <c r="C627" s="121">
        <f t="shared" si="85"/>
        <v>2022</v>
      </c>
      <c r="D627" s="121">
        <v>1.22</v>
      </c>
      <c r="E627" s="124">
        <f t="shared" si="90"/>
        <v>0.96379999999999999</v>
      </c>
      <c r="F627" s="109">
        <f t="shared" si="91"/>
        <v>231.8</v>
      </c>
      <c r="G627" s="121"/>
      <c r="H627" s="121"/>
      <c r="I627" s="121"/>
      <c r="J627" s="121"/>
      <c r="K627" s="121"/>
      <c r="L627" s="130">
        <v>0.79</v>
      </c>
      <c r="M627" s="130">
        <v>0.19</v>
      </c>
      <c r="N627" s="121"/>
      <c r="O627" s="121"/>
      <c r="P627" s="121"/>
      <c r="Q627" s="121"/>
      <c r="R627" s="121"/>
      <c r="S627" s="124" t="e">
        <f ca="1">_xll.RHistory("JCI-SBMG-DALNI","NDA_RAW.Nda_last","START:"&amp;$A627&amp;" END:"&amp;$A627&amp;" INTERVAL:1W",,,)</f>
        <v>#NAME?</v>
      </c>
      <c r="AZ627" s="98"/>
      <c r="BB627" s="98"/>
      <c r="BD627" s="98"/>
      <c r="BF627" s="98"/>
      <c r="BH627" s="98"/>
      <c r="BJ627" s="98"/>
      <c r="BL627" s="98"/>
      <c r="BN627" s="98"/>
      <c r="BP627" s="98"/>
      <c r="BR627" s="98"/>
    </row>
    <row r="628" spans="1:70">
      <c r="A628" s="123">
        <v>44665</v>
      </c>
      <c r="B628" s="121">
        <f t="shared" si="84"/>
        <v>4</v>
      </c>
      <c r="C628" s="121">
        <f t="shared" si="85"/>
        <v>2022</v>
      </c>
      <c r="D628" s="121">
        <v>1.41</v>
      </c>
      <c r="E628" s="124">
        <f t="shared" si="90"/>
        <v>1.1138999999999999</v>
      </c>
      <c r="F628" s="109">
        <f t="shared" si="91"/>
        <v>267.89999999999998</v>
      </c>
      <c r="G628" s="121"/>
      <c r="H628" s="121"/>
      <c r="I628" s="121"/>
      <c r="J628" s="121"/>
      <c r="K628" s="121"/>
      <c r="L628" s="130">
        <v>0.79</v>
      </c>
      <c r="M628" s="130">
        <v>0.19</v>
      </c>
      <c r="N628" s="121"/>
      <c r="O628" s="121"/>
      <c r="P628" s="121"/>
      <c r="Q628" s="121"/>
      <c r="R628" s="121"/>
      <c r="S628" s="124" t="e">
        <f ca="1">_xll.RHistory("JCI-SBMG-DALNI","NDA_RAW.Nda_last","START:"&amp;$A628&amp;" END:"&amp;$A628&amp;" INTERVAL:1W",,,)</f>
        <v>#NAME?</v>
      </c>
      <c r="AZ628" s="98"/>
      <c r="BB628" s="98"/>
      <c r="BD628" s="98"/>
      <c r="BF628" s="98"/>
      <c r="BH628" s="98"/>
      <c r="BJ628" s="98"/>
      <c r="BL628" s="98"/>
      <c r="BN628" s="98"/>
      <c r="BP628" s="98"/>
      <c r="BR628" s="98"/>
    </row>
    <row r="629" spans="1:70">
      <c r="A629" s="123">
        <v>44672</v>
      </c>
      <c r="B629" s="121">
        <f t="shared" si="84"/>
        <v>4</v>
      </c>
      <c r="C629" s="121">
        <f t="shared" si="85"/>
        <v>2022</v>
      </c>
      <c r="D629" s="121">
        <v>1.65</v>
      </c>
      <c r="E629" s="124">
        <f t="shared" si="90"/>
        <v>1.3034999999999999</v>
      </c>
      <c r="F629" s="109">
        <f t="shared" si="91"/>
        <v>313.5</v>
      </c>
      <c r="G629" s="121"/>
      <c r="H629" s="121"/>
      <c r="I629" s="121"/>
      <c r="J629" s="121"/>
      <c r="K629" s="121"/>
      <c r="L629" s="130">
        <v>0.79</v>
      </c>
      <c r="M629" s="130">
        <v>0.19</v>
      </c>
      <c r="N629" s="121"/>
      <c r="O629" s="121"/>
      <c r="P629" s="121"/>
      <c r="Q629" s="121"/>
      <c r="R629" s="121"/>
      <c r="S629" s="124" t="e">
        <f ca="1">_xll.RHistory("JCI-SBMG-DALNI","NDA_RAW.Nda_last","START:"&amp;$A629&amp;" END:"&amp;$A629&amp;" INTERVAL:1W",,,)</f>
        <v>#NAME?</v>
      </c>
      <c r="AZ629" s="98"/>
      <c r="BB629" s="98"/>
      <c r="BD629" s="98"/>
      <c r="BF629" s="98"/>
      <c r="BH629" s="98"/>
      <c r="BJ629" s="98"/>
      <c r="BL629" s="98"/>
      <c r="BN629" s="98"/>
      <c r="BP629" s="98"/>
      <c r="BR629" s="98"/>
    </row>
    <row r="630" spans="1:70">
      <c r="A630" s="123">
        <v>44679</v>
      </c>
      <c r="B630" s="121">
        <f t="shared" si="84"/>
        <v>4</v>
      </c>
      <c r="C630" s="121">
        <f t="shared" si="85"/>
        <v>2022</v>
      </c>
      <c r="D630" s="121">
        <v>1.77</v>
      </c>
      <c r="E630" s="124">
        <f t="shared" si="90"/>
        <v>1.3983000000000001</v>
      </c>
      <c r="F630" s="109">
        <f t="shared" si="91"/>
        <v>336.3</v>
      </c>
      <c r="G630" s="121"/>
      <c r="H630" s="121"/>
      <c r="I630" s="121"/>
      <c r="J630" s="121"/>
      <c r="K630" s="121"/>
      <c r="L630" s="130">
        <v>0.79</v>
      </c>
      <c r="M630" s="130">
        <v>0.19</v>
      </c>
      <c r="N630" s="121"/>
      <c r="O630" s="121"/>
      <c r="P630" s="121"/>
      <c r="Q630" s="121"/>
      <c r="R630" s="121"/>
      <c r="S630" s="124" t="e">
        <f ca="1">_xll.RHistory("JCI-SBMG-DALNI","NDA_RAW.Nda_last","START:"&amp;$A630&amp;" END:"&amp;$A630&amp;" INTERVAL:1W",,,)</f>
        <v>#NAME?</v>
      </c>
      <c r="AZ630" s="98"/>
      <c r="BB630" s="98"/>
      <c r="BD630" s="98"/>
      <c r="BF630" s="98"/>
      <c r="BH630" s="98"/>
      <c r="BJ630" s="98"/>
      <c r="BL630" s="98"/>
      <c r="BN630" s="98"/>
      <c r="BP630" s="98"/>
      <c r="BR630" s="98"/>
    </row>
    <row r="631" spans="1:70">
      <c r="A631" s="123">
        <v>44686</v>
      </c>
      <c r="B631" s="121">
        <f t="shared" si="84"/>
        <v>5</v>
      </c>
      <c r="C631" s="121">
        <f t="shared" si="85"/>
        <v>2022</v>
      </c>
      <c r="D631" s="121">
        <v>1.71</v>
      </c>
      <c r="E631" s="124">
        <f t="shared" si="90"/>
        <v>1.3509</v>
      </c>
      <c r="F631" s="109">
        <f t="shared" si="91"/>
        <v>324.90000000000003</v>
      </c>
      <c r="G631" s="121"/>
      <c r="H631" s="121"/>
      <c r="I631" s="121"/>
      <c r="J631" s="121"/>
      <c r="K631" s="121"/>
      <c r="L631" s="130">
        <v>0.79</v>
      </c>
      <c r="M631" s="130">
        <v>0.19</v>
      </c>
      <c r="N631" s="121"/>
      <c r="O631" s="121"/>
      <c r="P631" s="121"/>
      <c r="Q631" s="121"/>
      <c r="R631" s="121"/>
      <c r="S631" s="124" t="e">
        <f ca="1">_xll.RHistory("JCI-SBMG-DALNI","NDA_RAW.Nda_last","START:"&amp;$A631&amp;" END:"&amp;$A631&amp;" INTERVAL:1W",,,)</f>
        <v>#NAME?</v>
      </c>
      <c r="AZ631" s="98"/>
      <c r="BB631" s="98"/>
      <c r="BD631" s="98"/>
      <c r="BF631" s="98"/>
      <c r="BH631" s="98"/>
      <c r="BJ631" s="98"/>
      <c r="BL631" s="98"/>
      <c r="BN631" s="98"/>
      <c r="BP631" s="98"/>
      <c r="BR631" s="98"/>
    </row>
    <row r="632" spans="1:70">
      <c r="A632" s="123">
        <v>44693</v>
      </c>
      <c r="B632" s="121">
        <f t="shared" si="84"/>
        <v>5</v>
      </c>
      <c r="C632" s="121">
        <f t="shared" si="85"/>
        <v>2022</v>
      </c>
      <c r="D632" s="121">
        <v>1.7</v>
      </c>
      <c r="E632" s="124">
        <f t="shared" si="90"/>
        <v>1.343</v>
      </c>
      <c r="F632" s="109">
        <f t="shared" si="91"/>
        <v>323</v>
      </c>
      <c r="G632" s="121"/>
      <c r="H632" s="121"/>
      <c r="I632" s="121"/>
      <c r="J632" s="121"/>
      <c r="K632" s="121"/>
      <c r="L632" s="130">
        <v>0.79</v>
      </c>
      <c r="M632" s="130">
        <v>0.19</v>
      </c>
      <c r="N632" s="121"/>
      <c r="O632" s="121"/>
      <c r="P632" s="121"/>
      <c r="Q632" s="121"/>
      <c r="R632" s="121"/>
      <c r="S632" s="124" t="e">
        <f ca="1">_xll.RHistory("JCI-SBMG-DALNI","NDA_RAW.Nda_last","START:"&amp;$A632&amp;" END:"&amp;$A632&amp;" INTERVAL:1W",,,)</f>
        <v>#NAME?</v>
      </c>
      <c r="AZ632" s="98"/>
      <c r="BB632" s="98"/>
      <c r="BD632" s="98"/>
      <c r="BF632" s="98"/>
      <c r="BH632" s="98"/>
      <c r="BJ632" s="98"/>
      <c r="BL632" s="98"/>
      <c r="BN632" s="98"/>
      <c r="BP632" s="98"/>
      <c r="BR632" s="98"/>
    </row>
    <row r="633" spans="1:70">
      <c r="A633" s="123">
        <v>44700</v>
      </c>
      <c r="B633" s="121">
        <f t="shared" si="84"/>
        <v>5</v>
      </c>
      <c r="C633" s="121">
        <f t="shared" si="85"/>
        <v>2022</v>
      </c>
      <c r="D633" s="121">
        <v>1.93</v>
      </c>
      <c r="E633" s="124">
        <f t="shared" si="90"/>
        <v>1.5246999999999999</v>
      </c>
      <c r="F633" s="109">
        <f t="shared" si="91"/>
        <v>366.7</v>
      </c>
      <c r="G633" s="121"/>
      <c r="H633" s="121"/>
      <c r="I633" s="121"/>
      <c r="J633" s="121"/>
      <c r="K633" s="121"/>
      <c r="L633" s="130">
        <v>0.79</v>
      </c>
      <c r="M633" s="130">
        <v>0.19</v>
      </c>
      <c r="N633" s="121"/>
      <c r="O633" s="121"/>
      <c r="P633" s="121"/>
      <c r="Q633" s="121"/>
      <c r="R633" s="121"/>
      <c r="S633" s="124" t="e">
        <f ca="1">_xll.RHistory("JCI-SBMG-DALNI","NDA_RAW.Nda_last","START:"&amp;$A633&amp;" END:"&amp;$A633&amp;" INTERVAL:1W",,,)</f>
        <v>#NAME?</v>
      </c>
      <c r="AZ633" s="98"/>
      <c r="BB633" s="98"/>
      <c r="BD633" s="98"/>
      <c r="BF633" s="98"/>
      <c r="BH633" s="98"/>
      <c r="BJ633" s="98"/>
      <c r="BL633" s="98"/>
      <c r="BN633" s="98"/>
      <c r="BP633" s="98"/>
      <c r="BR633" s="98"/>
    </row>
    <row r="634" spans="1:70">
      <c r="A634" s="123">
        <v>44707</v>
      </c>
      <c r="B634" s="121">
        <f t="shared" si="84"/>
        <v>5</v>
      </c>
      <c r="C634" s="121">
        <f t="shared" si="85"/>
        <v>2022</v>
      </c>
      <c r="D634" s="121">
        <v>1.88</v>
      </c>
      <c r="E634" s="124">
        <f t="shared" si="90"/>
        <v>1.4852000000000001</v>
      </c>
      <c r="F634" s="109">
        <f t="shared" si="91"/>
        <v>357.2</v>
      </c>
      <c r="G634" s="121"/>
      <c r="H634" s="121"/>
      <c r="I634" s="121"/>
      <c r="J634" s="121"/>
      <c r="K634" s="121"/>
      <c r="L634" s="130">
        <v>0.79</v>
      </c>
      <c r="M634" s="130">
        <v>0.19</v>
      </c>
      <c r="N634" s="121"/>
      <c r="O634" s="121"/>
      <c r="P634" s="121"/>
      <c r="Q634" s="121"/>
      <c r="R634" s="121"/>
      <c r="S634" s="124" t="e">
        <f ca="1">_xll.RHistory("JCI-SBMG-DALNI","NDA_RAW.Nda_last","START:"&amp;$A634&amp;" END:"&amp;$A634&amp;" INTERVAL:1W",,,)</f>
        <v>#NAME?</v>
      </c>
      <c r="AZ634" s="98"/>
      <c r="BB634" s="98"/>
      <c r="BD634" s="98"/>
      <c r="BF634" s="98"/>
      <c r="BH634" s="98"/>
      <c r="BJ634" s="98"/>
      <c r="BL634" s="98"/>
      <c r="BN634" s="98"/>
      <c r="BP634" s="98"/>
      <c r="BR634" s="98"/>
    </row>
    <row r="635" spans="1:70">
      <c r="A635" s="123">
        <v>44714</v>
      </c>
      <c r="B635" s="121">
        <f t="shared" si="84"/>
        <v>6</v>
      </c>
      <c r="C635" s="121">
        <f t="shared" si="85"/>
        <v>2022</v>
      </c>
      <c r="D635" s="121">
        <v>1.64</v>
      </c>
      <c r="E635" s="124">
        <f t="shared" si="90"/>
        <v>1.2956000000000001</v>
      </c>
      <c r="F635" s="109">
        <f t="shared" si="91"/>
        <v>311.59999999999997</v>
      </c>
      <c r="G635" s="121"/>
      <c r="H635" s="121"/>
      <c r="I635" s="121"/>
      <c r="J635" s="121"/>
      <c r="K635" s="121"/>
      <c r="L635" s="130">
        <v>0.79</v>
      </c>
      <c r="M635" s="130">
        <v>0.19</v>
      </c>
      <c r="N635" s="121"/>
      <c r="O635" s="121"/>
      <c r="P635" s="121"/>
      <c r="Q635" s="121"/>
      <c r="R635" s="121"/>
      <c r="S635" s="124" t="e">
        <f ca="1">_xll.RHistory("JCI-SBMG-DALNI","NDA_RAW.Nda_last","START:"&amp;$A635&amp;" END:"&amp;$A635&amp;" INTERVAL:1W",,,)</f>
        <v>#NAME?</v>
      </c>
      <c r="AZ635" s="98"/>
      <c r="BB635" s="98"/>
      <c r="BD635" s="98"/>
      <c r="BF635" s="98"/>
      <c r="BH635" s="98"/>
      <c r="BJ635" s="98"/>
      <c r="BL635" s="98"/>
      <c r="BN635" s="98"/>
      <c r="BP635" s="98"/>
      <c r="BR635" s="98"/>
    </row>
    <row r="636" spans="1:70">
      <c r="A636" s="123">
        <v>44721</v>
      </c>
      <c r="B636" s="121">
        <f t="shared" si="84"/>
        <v>6</v>
      </c>
      <c r="C636" s="121">
        <f t="shared" si="85"/>
        <v>2022</v>
      </c>
      <c r="D636" s="121">
        <v>1.63</v>
      </c>
      <c r="E636" s="124">
        <f t="shared" si="90"/>
        <v>1.2877000000000001</v>
      </c>
      <c r="F636" s="109">
        <f t="shared" si="91"/>
        <v>309.7</v>
      </c>
      <c r="G636" s="121"/>
      <c r="H636" s="121"/>
      <c r="I636" s="121"/>
      <c r="J636" s="121"/>
      <c r="K636" s="121"/>
      <c r="L636" s="130">
        <v>0.79</v>
      </c>
      <c r="M636" s="130">
        <v>0.19</v>
      </c>
      <c r="N636" s="121"/>
      <c r="O636" s="121"/>
      <c r="P636" s="121"/>
      <c r="Q636" s="121"/>
      <c r="R636" s="121"/>
      <c r="S636" s="124" t="e">
        <f ca="1">_xll.RHistory("JCI-SBMG-DALNI","NDA_RAW.Nda_last","START:"&amp;$A636&amp;" END:"&amp;$A636&amp;" INTERVAL:1W",,,)</f>
        <v>#NAME?</v>
      </c>
      <c r="AZ636" s="98"/>
      <c r="BB636" s="98"/>
      <c r="BD636" s="98"/>
      <c r="BF636" s="98"/>
      <c r="BH636" s="98"/>
      <c r="BJ636" s="98"/>
      <c r="BL636" s="98"/>
      <c r="BN636" s="98"/>
      <c r="BP636" s="98"/>
      <c r="BR636" s="98"/>
    </row>
    <row r="637" spans="1:70">
      <c r="A637" s="123">
        <v>44728</v>
      </c>
      <c r="B637" s="121">
        <f t="shared" si="84"/>
        <v>6</v>
      </c>
      <c r="C637" s="121">
        <f t="shared" si="85"/>
        <v>2022</v>
      </c>
      <c r="D637" s="121">
        <v>1.88</v>
      </c>
      <c r="E637" s="124">
        <f t="shared" si="90"/>
        <v>1.4852000000000001</v>
      </c>
      <c r="F637" s="109">
        <f t="shared" si="91"/>
        <v>357.2</v>
      </c>
      <c r="G637" s="121"/>
      <c r="H637" s="121"/>
      <c r="I637" s="121"/>
      <c r="J637" s="121"/>
      <c r="K637" s="121"/>
      <c r="L637" s="130">
        <v>0.79</v>
      </c>
      <c r="M637" s="130">
        <v>0.19</v>
      </c>
      <c r="N637" s="121"/>
      <c r="O637" s="121"/>
      <c r="P637" s="121"/>
      <c r="Q637" s="121"/>
      <c r="R637" s="121"/>
      <c r="S637" s="124" t="e">
        <f ca="1">_xll.RHistory("JCI-SBMG-DALNI","NDA_RAW.Nda_last","START:"&amp;$A637&amp;" END:"&amp;$A637&amp;" INTERVAL:1W",,,)</f>
        <v>#NAME?</v>
      </c>
      <c r="AZ637" s="98"/>
      <c r="BB637" s="98"/>
      <c r="BD637" s="98"/>
      <c r="BF637" s="98"/>
      <c r="BH637" s="98"/>
      <c r="BJ637" s="98"/>
      <c r="BL637" s="98"/>
      <c r="BN637" s="98"/>
      <c r="BP637" s="98"/>
      <c r="BR637" s="98"/>
    </row>
    <row r="638" spans="1:70">
      <c r="A638" s="123">
        <v>44735</v>
      </c>
      <c r="B638" s="121">
        <f t="shared" si="84"/>
        <v>6</v>
      </c>
      <c r="C638" s="121">
        <f t="shared" si="85"/>
        <v>2022</v>
      </c>
      <c r="D638" s="121">
        <v>1.81</v>
      </c>
      <c r="E638" s="124">
        <f t="shared" si="90"/>
        <v>1.4299000000000002</v>
      </c>
      <c r="F638" s="109">
        <f t="shared" si="91"/>
        <v>343.90000000000003</v>
      </c>
      <c r="G638" s="121"/>
      <c r="H638" s="121"/>
      <c r="I638" s="121"/>
      <c r="J638" s="121"/>
      <c r="K638" s="121"/>
      <c r="L638" s="130">
        <v>0.79</v>
      </c>
      <c r="M638" s="130">
        <v>0.19</v>
      </c>
      <c r="N638" s="121"/>
      <c r="O638" s="121"/>
      <c r="P638" s="121"/>
      <c r="Q638" s="121"/>
      <c r="R638" s="121"/>
      <c r="S638" s="124" t="e">
        <f ca="1">_xll.RHistory("JCI-SBMG-DALNI","NDA_RAW.Nda_last","START:"&amp;$A638&amp;" END:"&amp;$A638&amp;" INTERVAL:1W",,,)</f>
        <v>#NAME?</v>
      </c>
      <c r="AZ638" s="98"/>
      <c r="BB638" s="98"/>
      <c r="BD638" s="98"/>
      <c r="BF638" s="98"/>
      <c r="BH638" s="98"/>
      <c r="BJ638" s="98"/>
      <c r="BL638" s="98"/>
      <c r="BN638" s="98"/>
      <c r="BP638" s="98"/>
      <c r="BR638" s="98"/>
    </row>
    <row r="639" spans="1:70">
      <c r="A639" s="123">
        <v>44742</v>
      </c>
      <c r="B639" s="121">
        <f t="shared" si="84"/>
        <v>6</v>
      </c>
      <c r="C639" s="121">
        <f t="shared" si="85"/>
        <v>2022</v>
      </c>
      <c r="D639" s="121">
        <v>1.82</v>
      </c>
      <c r="E639" s="124">
        <f t="shared" si="90"/>
        <v>1.4378000000000002</v>
      </c>
      <c r="F639" s="109">
        <f t="shared" si="91"/>
        <v>345.8</v>
      </c>
      <c r="G639" s="121"/>
      <c r="H639" s="121"/>
      <c r="I639" s="121"/>
      <c r="J639" s="121"/>
      <c r="K639" s="121"/>
      <c r="L639" s="130">
        <v>0.79</v>
      </c>
      <c r="M639" s="130">
        <v>0.19</v>
      </c>
      <c r="N639" s="121"/>
      <c r="O639" s="121"/>
      <c r="P639" s="121"/>
      <c r="Q639" s="121"/>
      <c r="R639" s="121"/>
      <c r="S639" s="124" t="e">
        <f ca="1">_xll.RHistory("JCI-SBMG-DALNI","NDA_RAW.Nda_last","START:"&amp;$A639&amp;" END:"&amp;$A639&amp;" INTERVAL:1W",,,)</f>
        <v>#NAME?</v>
      </c>
      <c r="AZ639" s="98"/>
      <c r="BB639" s="98"/>
      <c r="BD639" s="98"/>
      <c r="BF639" s="98"/>
      <c r="BH639" s="98"/>
      <c r="BJ639" s="98"/>
      <c r="BL639" s="98"/>
      <c r="BN639" s="98"/>
      <c r="BP639" s="98"/>
      <c r="BR639" s="98"/>
    </row>
    <row r="640" spans="1:70">
      <c r="A640" s="123">
        <v>44749</v>
      </c>
      <c r="B640" s="121">
        <f t="shared" si="84"/>
        <v>7</v>
      </c>
      <c r="C640" s="121">
        <f t="shared" si="85"/>
        <v>2022</v>
      </c>
      <c r="D640" s="121">
        <v>1.71</v>
      </c>
      <c r="E640" s="124">
        <f t="shared" si="90"/>
        <v>1.3509</v>
      </c>
      <c r="F640" s="109">
        <f t="shared" si="91"/>
        <v>324.90000000000003</v>
      </c>
      <c r="G640" s="121"/>
      <c r="H640" s="121"/>
      <c r="I640" s="121"/>
      <c r="J640" s="121"/>
      <c r="K640" s="121"/>
      <c r="L640" s="130">
        <v>0.79</v>
      </c>
      <c r="M640" s="130">
        <v>0.19</v>
      </c>
      <c r="N640" s="121"/>
      <c r="O640" s="121"/>
      <c r="P640" s="121"/>
      <c r="Q640" s="121"/>
      <c r="R640" s="121"/>
      <c r="S640" s="124" t="e">
        <f ca="1">_xll.RHistory("JCI-SBMG-DALNI","NDA_RAW.Nda_last","START:"&amp;$A640&amp;" END:"&amp;$A640&amp;" INTERVAL:1W",,,)</f>
        <v>#NAME?</v>
      </c>
      <c r="AZ640" s="98"/>
      <c r="BB640" s="98"/>
      <c r="BD640" s="98"/>
      <c r="BF640" s="98"/>
      <c r="BH640" s="98"/>
      <c r="BJ640" s="98"/>
      <c r="BL640" s="98"/>
      <c r="BN640" s="98"/>
      <c r="BP640" s="98"/>
      <c r="BR640" s="98"/>
    </row>
    <row r="641" spans="1:70">
      <c r="A641" s="123">
        <v>44756</v>
      </c>
      <c r="B641" s="121">
        <f t="shared" si="84"/>
        <v>7</v>
      </c>
      <c r="C641" s="121">
        <f t="shared" si="85"/>
        <v>2022</v>
      </c>
      <c r="D641" s="121">
        <v>1.7</v>
      </c>
      <c r="E641" s="124">
        <f t="shared" si="90"/>
        <v>1.343</v>
      </c>
      <c r="F641" s="109">
        <f t="shared" si="91"/>
        <v>323</v>
      </c>
      <c r="G641" s="121"/>
      <c r="H641" s="121"/>
      <c r="I641" s="121"/>
      <c r="J641" s="121"/>
      <c r="K641" s="121"/>
      <c r="L641" s="130">
        <v>0.79</v>
      </c>
      <c r="M641" s="130">
        <v>0.19</v>
      </c>
      <c r="N641" s="121"/>
      <c r="O641" s="121"/>
      <c r="P641" s="121"/>
      <c r="Q641" s="121"/>
      <c r="R641" s="121"/>
      <c r="S641" s="124" t="e">
        <f ca="1">_xll.RHistory("JCI-SBMG-DALNI","NDA_RAW.Nda_last","START:"&amp;$A641&amp;" END:"&amp;$A641&amp;" INTERVAL:1W",,,)</f>
        <v>#NAME?</v>
      </c>
      <c r="AZ641" s="98"/>
      <c r="BB641" s="98"/>
      <c r="BD641" s="98"/>
      <c r="BF641" s="98"/>
      <c r="BH641" s="98"/>
      <c r="BJ641" s="98"/>
      <c r="BL641" s="98"/>
      <c r="BN641" s="98"/>
      <c r="BP641" s="98"/>
      <c r="BR641" s="98"/>
    </row>
    <row r="642" spans="1:70">
      <c r="A642" s="123">
        <v>44763</v>
      </c>
      <c r="B642" s="121">
        <f t="shared" ref="B642:B705" si="92">MONTH(A642)</f>
        <v>7</v>
      </c>
      <c r="C642" s="121">
        <f t="shared" ref="C642:C705" si="93">YEAR(A642)</f>
        <v>2022</v>
      </c>
      <c r="D642" s="121">
        <v>1.68</v>
      </c>
      <c r="E642" s="124">
        <f t="shared" si="90"/>
        <v>1.3271999999999999</v>
      </c>
      <c r="F642" s="109">
        <f t="shared" si="91"/>
        <v>319.2</v>
      </c>
      <c r="G642" s="121"/>
      <c r="H642" s="121"/>
      <c r="I642" s="121"/>
      <c r="J642" s="121"/>
      <c r="K642" s="121"/>
      <c r="L642" s="130">
        <v>0.79</v>
      </c>
      <c r="M642" s="130">
        <v>0.19</v>
      </c>
      <c r="N642" s="121"/>
      <c r="O642" s="121"/>
      <c r="P642" s="121"/>
      <c r="Q642" s="121"/>
      <c r="R642" s="121"/>
      <c r="S642" s="124" t="e">
        <f ca="1">_xll.RHistory("JCI-SBMG-DALNI","NDA_RAW.Nda_last","START:"&amp;$A642&amp;" END:"&amp;$A642&amp;" INTERVAL:1W",,,)</f>
        <v>#NAME?</v>
      </c>
      <c r="AZ642" s="98"/>
      <c r="BB642" s="98"/>
      <c r="BD642" s="98"/>
      <c r="BF642" s="98"/>
      <c r="BH642" s="98"/>
      <c r="BJ642" s="98"/>
      <c r="BL642" s="98"/>
      <c r="BN642" s="98"/>
      <c r="BP642" s="98"/>
      <c r="BR642" s="98"/>
    </row>
    <row r="643" spans="1:70">
      <c r="A643" s="123">
        <v>44770</v>
      </c>
      <c r="B643" s="121">
        <f t="shared" si="92"/>
        <v>7</v>
      </c>
      <c r="C643" s="121">
        <f t="shared" si="93"/>
        <v>2022</v>
      </c>
      <c r="D643" s="121">
        <v>1.74</v>
      </c>
      <c r="E643" s="124">
        <f t="shared" si="90"/>
        <v>1.3746</v>
      </c>
      <c r="F643" s="109">
        <f t="shared" si="91"/>
        <v>330.6</v>
      </c>
      <c r="G643" s="121"/>
      <c r="H643" s="121"/>
      <c r="I643" s="121"/>
      <c r="J643" s="121"/>
      <c r="K643" s="121"/>
      <c r="L643" s="130">
        <v>0.79</v>
      </c>
      <c r="M643" s="130">
        <v>0.19</v>
      </c>
      <c r="N643" s="121"/>
      <c r="O643" s="121"/>
      <c r="P643" s="121"/>
      <c r="Q643" s="121"/>
      <c r="R643" s="121"/>
      <c r="S643" s="124" t="e">
        <f ca="1">_xll.RHistory("JCI-SBMG-DALNI","NDA_RAW.Nda_last","START:"&amp;$A643&amp;" END:"&amp;$A643&amp;" INTERVAL:1W",,,)</f>
        <v>#NAME?</v>
      </c>
      <c r="AZ643" s="98"/>
      <c r="BB643" s="98"/>
      <c r="BD643" s="98"/>
      <c r="BF643" s="98"/>
      <c r="BH643" s="98"/>
      <c r="BJ643" s="98"/>
      <c r="BL643" s="98"/>
      <c r="BN643" s="98"/>
      <c r="BP643" s="98"/>
      <c r="BR643" s="98"/>
    </row>
    <row r="644" spans="1:70">
      <c r="A644" s="123">
        <v>44777</v>
      </c>
      <c r="B644" s="121">
        <f t="shared" si="92"/>
        <v>8</v>
      </c>
      <c r="C644" s="121">
        <f t="shared" si="93"/>
        <v>2022</v>
      </c>
      <c r="D644" s="121">
        <v>1.68</v>
      </c>
      <c r="E644" s="124">
        <f t="shared" si="90"/>
        <v>1.3271999999999999</v>
      </c>
      <c r="F644" s="109">
        <f t="shared" si="91"/>
        <v>319.2</v>
      </c>
      <c r="G644" s="121"/>
      <c r="H644" s="121"/>
      <c r="I644" s="121"/>
      <c r="J644" s="121"/>
      <c r="K644" s="121"/>
      <c r="L644" s="130">
        <v>0.79</v>
      </c>
      <c r="M644" s="130">
        <v>0.19</v>
      </c>
      <c r="N644" s="121"/>
      <c r="O644" s="121"/>
      <c r="P644" s="121"/>
      <c r="Q644" s="121"/>
      <c r="R644" s="121"/>
      <c r="S644" s="124" t="e">
        <f ca="1">_xll.RHistory("JCI-SBMG-DALNI","NDA_RAW.Nda_last","START:"&amp;$A644&amp;" END:"&amp;$A644&amp;" INTERVAL:1W",,,)</f>
        <v>#NAME?</v>
      </c>
      <c r="AZ644" s="98"/>
      <c r="BB644" s="98"/>
      <c r="BD644" s="98"/>
      <c r="BF644" s="98"/>
      <c r="BH644" s="98"/>
      <c r="BJ644" s="98"/>
      <c r="BL644" s="98"/>
      <c r="BN644" s="98"/>
      <c r="BP644" s="98"/>
      <c r="BR644" s="98"/>
    </row>
    <row r="645" spans="1:70">
      <c r="A645" s="123">
        <v>44784</v>
      </c>
      <c r="B645" s="121">
        <f t="shared" si="92"/>
        <v>8</v>
      </c>
      <c r="C645" s="121">
        <f t="shared" si="93"/>
        <v>2022</v>
      </c>
      <c r="D645" s="121">
        <v>1.66</v>
      </c>
      <c r="E645" s="124">
        <f t="shared" si="90"/>
        <v>1.3113999999999999</v>
      </c>
      <c r="F645" s="109">
        <f t="shared" si="91"/>
        <v>315.40000000000003</v>
      </c>
      <c r="G645" s="121"/>
      <c r="H645" s="121"/>
      <c r="I645" s="121"/>
      <c r="J645" s="121"/>
      <c r="K645" s="121"/>
      <c r="L645" s="130">
        <v>0.79</v>
      </c>
      <c r="M645" s="130">
        <v>0.19</v>
      </c>
      <c r="N645" s="121"/>
      <c r="O645" s="121"/>
      <c r="P645" s="121"/>
      <c r="Q645" s="121"/>
      <c r="R645" s="121"/>
      <c r="S645" s="124" t="e">
        <f ca="1">_xll.RHistory("JCI-SBMG-DALNI","NDA_RAW.Nda_last","START:"&amp;$A645&amp;" END:"&amp;$A645&amp;" INTERVAL:1W",,,)</f>
        <v>#NAME?</v>
      </c>
      <c r="AZ645" s="98"/>
      <c r="BB645" s="98"/>
      <c r="BD645" s="98"/>
      <c r="BF645" s="98"/>
      <c r="BH645" s="98"/>
      <c r="BJ645" s="98"/>
      <c r="BL645" s="98"/>
      <c r="BN645" s="98"/>
      <c r="BP645" s="98"/>
      <c r="BR645" s="98"/>
    </row>
    <row r="646" spans="1:70">
      <c r="A646" s="123">
        <v>44791</v>
      </c>
      <c r="B646" s="121">
        <f t="shared" si="92"/>
        <v>8</v>
      </c>
      <c r="C646" s="121">
        <f t="shared" si="93"/>
        <v>2022</v>
      </c>
      <c r="D646" s="121">
        <v>1.73</v>
      </c>
      <c r="E646" s="124">
        <f t="shared" si="90"/>
        <v>1.3667</v>
      </c>
      <c r="F646" s="109">
        <f t="shared" si="91"/>
        <v>328.7</v>
      </c>
      <c r="G646" s="121"/>
      <c r="H646" s="121"/>
      <c r="I646" s="121"/>
      <c r="J646" s="121"/>
      <c r="K646" s="121"/>
      <c r="L646" s="130">
        <v>0.79</v>
      </c>
      <c r="M646" s="130">
        <v>0.19</v>
      </c>
      <c r="N646" s="121"/>
      <c r="O646" s="121"/>
      <c r="P646" s="121"/>
      <c r="Q646" s="121"/>
      <c r="R646" s="121"/>
      <c r="S646" s="124" t="e">
        <f ca="1">_xll.RHistory("JCI-SBMG-DALNI","NDA_RAW.Nda_last","START:"&amp;$A646&amp;" END:"&amp;$A646&amp;" INTERVAL:1W",,,)</f>
        <v>#NAME?</v>
      </c>
      <c r="AZ646" s="98"/>
      <c r="BB646" s="98"/>
      <c r="BD646" s="98"/>
      <c r="BF646" s="98"/>
      <c r="BH646" s="98"/>
      <c r="BJ646" s="98"/>
      <c r="BL646" s="98"/>
      <c r="BN646" s="98"/>
      <c r="BP646" s="98"/>
      <c r="BR646" s="98"/>
    </row>
    <row r="647" spans="1:70">
      <c r="A647" s="123">
        <v>44798</v>
      </c>
      <c r="B647" s="121">
        <f t="shared" si="92"/>
        <v>8</v>
      </c>
      <c r="C647" s="121">
        <f t="shared" si="93"/>
        <v>2022</v>
      </c>
      <c r="D647" s="121">
        <v>1.98</v>
      </c>
      <c r="E647" s="124">
        <f t="shared" si="90"/>
        <v>1.5642</v>
      </c>
      <c r="F647" s="109">
        <f t="shared" si="91"/>
        <v>376.2</v>
      </c>
      <c r="G647" s="121"/>
      <c r="H647" s="121"/>
      <c r="I647" s="121"/>
      <c r="J647" s="121"/>
      <c r="K647" s="121"/>
      <c r="L647" s="130">
        <v>0.79</v>
      </c>
      <c r="M647" s="130">
        <v>0.19</v>
      </c>
      <c r="N647" s="121"/>
      <c r="O647" s="121"/>
      <c r="P647" s="121"/>
      <c r="Q647" s="121"/>
      <c r="R647" s="121"/>
      <c r="S647" s="124" t="e">
        <f ca="1">_xll.RHistory("JCI-SBMG-DALNI","NDA_RAW.Nda_last","START:"&amp;$A647&amp;" END:"&amp;$A647&amp;" INTERVAL:1W",,,)</f>
        <v>#NAME?</v>
      </c>
      <c r="AZ647" s="98"/>
      <c r="BB647" s="98"/>
      <c r="BD647" s="98"/>
      <c r="BF647" s="98"/>
      <c r="BH647" s="98"/>
      <c r="BJ647" s="98"/>
      <c r="BL647" s="98"/>
      <c r="BN647" s="98"/>
      <c r="BP647" s="98"/>
      <c r="BR647" s="98"/>
    </row>
    <row r="648" spans="1:70">
      <c r="A648" s="123">
        <v>44805</v>
      </c>
      <c r="B648" s="121">
        <f t="shared" si="92"/>
        <v>9</v>
      </c>
      <c r="C648" s="121">
        <f t="shared" si="93"/>
        <v>2022</v>
      </c>
      <c r="D648" s="121">
        <v>1.96</v>
      </c>
      <c r="E648" s="124">
        <f t="shared" si="90"/>
        <v>1.5484</v>
      </c>
      <c r="F648" s="109">
        <f t="shared" si="91"/>
        <v>372.40000000000003</v>
      </c>
      <c r="G648" s="121"/>
      <c r="H648" s="121"/>
      <c r="I648" s="121"/>
      <c r="J648" s="121"/>
      <c r="K648" s="121"/>
      <c r="L648" s="130">
        <v>0.79</v>
      </c>
      <c r="M648" s="130">
        <v>0.19</v>
      </c>
      <c r="N648" s="121"/>
      <c r="O648" s="121"/>
      <c r="P648" s="121"/>
      <c r="Q648" s="121"/>
      <c r="R648" s="121"/>
      <c r="S648" s="124" t="e">
        <f ca="1">_xll.RHistory("JCI-SBMG-DALNI","NDA_RAW.Nda_last","START:"&amp;$A648&amp;" END:"&amp;$A648&amp;" INTERVAL:1W",,,)</f>
        <v>#NAME?</v>
      </c>
      <c r="AZ648" s="98"/>
      <c r="BB648" s="98"/>
      <c r="BD648" s="98"/>
      <c r="BF648" s="98"/>
      <c r="BH648" s="98"/>
      <c r="BJ648" s="98"/>
      <c r="BL648" s="98"/>
      <c r="BN648" s="98"/>
      <c r="BP648" s="98"/>
      <c r="BR648" s="98"/>
    </row>
    <row r="649" spans="1:70">
      <c r="A649" s="123">
        <v>44812</v>
      </c>
      <c r="B649" s="121">
        <f t="shared" si="92"/>
        <v>9</v>
      </c>
      <c r="C649" s="121">
        <f t="shared" si="93"/>
        <v>2022</v>
      </c>
      <c r="D649" s="121">
        <v>1.96</v>
      </c>
      <c r="E649" s="124">
        <f t="shared" si="90"/>
        <v>1.5484</v>
      </c>
      <c r="F649" s="109">
        <f t="shared" si="91"/>
        <v>372.40000000000003</v>
      </c>
      <c r="G649" s="121"/>
      <c r="H649" s="121"/>
      <c r="I649" s="121"/>
      <c r="J649" s="121"/>
      <c r="K649" s="121"/>
      <c r="L649" s="130">
        <v>0.79</v>
      </c>
      <c r="M649" s="130">
        <v>0.19</v>
      </c>
      <c r="N649" s="121"/>
      <c r="O649" s="121"/>
      <c r="P649" s="121"/>
      <c r="Q649" s="121"/>
      <c r="R649" s="121"/>
      <c r="S649" s="124" t="e">
        <f ca="1">_xll.RHistory("JCI-SBMG-DALNI","NDA_RAW.Nda_last","START:"&amp;$A649&amp;" END:"&amp;$A649&amp;" INTERVAL:1W",,,)</f>
        <v>#NAME?</v>
      </c>
      <c r="AZ649" s="98"/>
      <c r="BB649" s="98"/>
      <c r="BD649" s="98"/>
      <c r="BF649" s="98"/>
      <c r="BH649" s="98"/>
      <c r="BJ649" s="98"/>
      <c r="BL649" s="98"/>
      <c r="BN649" s="98"/>
      <c r="BP649" s="98"/>
      <c r="BR649" s="98"/>
    </row>
    <row r="650" spans="1:70">
      <c r="A650" s="123">
        <v>44819</v>
      </c>
      <c r="B650" s="121">
        <f t="shared" si="92"/>
        <v>9</v>
      </c>
      <c r="C650" s="121">
        <f t="shared" si="93"/>
        <v>2022</v>
      </c>
      <c r="D650" s="121">
        <v>1.81</v>
      </c>
      <c r="E650" s="124">
        <f t="shared" si="90"/>
        <v>1.4299000000000002</v>
      </c>
      <c r="F650" s="109">
        <f t="shared" si="91"/>
        <v>343.90000000000003</v>
      </c>
      <c r="G650" s="121"/>
      <c r="H650" s="121"/>
      <c r="I650" s="121"/>
      <c r="J650" s="121"/>
      <c r="K650" s="121"/>
      <c r="L650" s="130">
        <v>0.79</v>
      </c>
      <c r="M650" s="130">
        <v>0.19</v>
      </c>
      <c r="N650" s="121"/>
      <c r="O650" s="121"/>
      <c r="P650" s="121"/>
      <c r="Q650" s="121"/>
      <c r="R650" s="121"/>
      <c r="S650" s="124" t="e">
        <f ca="1">_xll.RHistory("JCI-SBMG-DALNI","NDA_RAW.Nda_last","START:"&amp;$A650&amp;" END:"&amp;$A650&amp;" INTERVAL:1W",,,)</f>
        <v>#NAME?</v>
      </c>
      <c r="AZ650" s="98"/>
      <c r="BB650" s="98"/>
      <c r="BD650" s="98"/>
      <c r="BF650" s="98"/>
      <c r="BH650" s="98"/>
      <c r="BJ650" s="98"/>
      <c r="BL650" s="98"/>
      <c r="BN650" s="98"/>
      <c r="BP650" s="98"/>
      <c r="BR650" s="98"/>
    </row>
    <row r="651" spans="1:70">
      <c r="A651" s="123">
        <v>44826</v>
      </c>
      <c r="B651" s="121">
        <f t="shared" si="92"/>
        <v>9</v>
      </c>
      <c r="C651" s="121">
        <f t="shared" si="93"/>
        <v>2022</v>
      </c>
      <c r="D651" s="121">
        <v>2.0499999999999998</v>
      </c>
      <c r="E651" s="124">
        <f t="shared" si="90"/>
        <v>1.6194999999999999</v>
      </c>
      <c r="F651" s="109">
        <f t="shared" si="91"/>
        <v>389.49999999999994</v>
      </c>
      <c r="G651" s="121"/>
      <c r="H651" s="121"/>
      <c r="I651" s="121"/>
      <c r="J651" s="121"/>
      <c r="K651" s="121"/>
      <c r="L651" s="130">
        <v>0.79</v>
      </c>
      <c r="M651" s="130">
        <v>0.19</v>
      </c>
      <c r="N651" s="121"/>
      <c r="O651" s="121"/>
      <c r="P651" s="121"/>
      <c r="Q651" s="121"/>
      <c r="R651" s="121"/>
      <c r="S651" s="124" t="e">
        <f ca="1">_xll.RHistory("JCI-SBMG-DALNI","NDA_RAW.Nda_last","START:"&amp;$A651&amp;" END:"&amp;$A651&amp;" INTERVAL:1W",,,)</f>
        <v>#NAME?</v>
      </c>
      <c r="AZ651" s="98"/>
      <c r="BB651" s="98"/>
      <c r="BD651" s="98"/>
      <c r="BF651" s="98"/>
      <c r="BH651" s="98"/>
      <c r="BJ651" s="98"/>
      <c r="BL651" s="98"/>
      <c r="BN651" s="98"/>
      <c r="BP651" s="98"/>
      <c r="BR651" s="98"/>
    </row>
    <row r="652" spans="1:70">
      <c r="A652" s="123">
        <v>44833</v>
      </c>
      <c r="B652" s="121">
        <f t="shared" si="92"/>
        <v>9</v>
      </c>
      <c r="C652" s="121">
        <f t="shared" si="93"/>
        <v>2022</v>
      </c>
      <c r="D652" s="121">
        <v>1.52</v>
      </c>
      <c r="E652" s="124">
        <f t="shared" si="90"/>
        <v>1.2008000000000001</v>
      </c>
      <c r="F652" s="109">
        <f t="shared" si="91"/>
        <v>288.8</v>
      </c>
      <c r="G652" s="121"/>
      <c r="H652" s="121"/>
      <c r="I652" s="121"/>
      <c r="J652" s="121"/>
      <c r="K652" s="121"/>
      <c r="L652" s="130">
        <v>0.79</v>
      </c>
      <c r="M652" s="130">
        <v>0.19</v>
      </c>
      <c r="N652" s="121"/>
      <c r="O652" s="121"/>
      <c r="P652" s="121"/>
      <c r="Q652" s="121"/>
      <c r="R652" s="121"/>
      <c r="S652" s="124" t="e">
        <f ca="1">_xll.RHistory("JCI-SBMG-DALNI","NDA_RAW.Nda_last","START:"&amp;$A652&amp;" END:"&amp;$A652&amp;" INTERVAL:1W",,,)</f>
        <v>#NAME?</v>
      </c>
      <c r="AZ652" s="98"/>
      <c r="BB652" s="98"/>
      <c r="BD652" s="98"/>
      <c r="BF652" s="98"/>
      <c r="BH652" s="98"/>
      <c r="BJ652" s="98"/>
      <c r="BL652" s="98"/>
      <c r="BN652" s="98"/>
      <c r="BP652" s="98"/>
      <c r="BR652" s="98"/>
    </row>
    <row r="653" spans="1:70">
      <c r="A653" s="123">
        <v>44840</v>
      </c>
      <c r="B653" s="121">
        <f t="shared" si="92"/>
        <v>10</v>
      </c>
      <c r="C653" s="121">
        <f t="shared" si="93"/>
        <v>2022</v>
      </c>
      <c r="D653" s="121"/>
      <c r="E653" s="124"/>
      <c r="F653" s="109"/>
      <c r="G653" s="121"/>
      <c r="H653" s="121"/>
      <c r="I653" s="121"/>
      <c r="J653" s="121"/>
      <c r="K653" s="121"/>
      <c r="L653" s="130">
        <v>0.79</v>
      </c>
      <c r="M653" s="130">
        <v>0.19</v>
      </c>
      <c r="N653" s="121"/>
      <c r="O653" s="121"/>
      <c r="P653" s="121"/>
      <c r="Q653" s="121"/>
      <c r="R653" s="121"/>
      <c r="S653" s="124" t="e">
        <f ca="1">_xll.RHistory("JCI-SBMG-DALNI","NDA_RAW.Nda_last","START:"&amp;$A653&amp;" END:"&amp;$A653&amp;" INTERVAL:1W",,,)</f>
        <v>#NAME?</v>
      </c>
      <c r="AZ653" s="98"/>
      <c r="BB653" s="98"/>
      <c r="BD653" s="98"/>
      <c r="BF653" s="98"/>
      <c r="BH653" s="98"/>
      <c r="BJ653" s="98"/>
      <c r="BL653" s="98"/>
      <c r="BN653" s="98"/>
      <c r="BP653" s="98"/>
      <c r="BR653" s="98"/>
    </row>
    <row r="654" spans="1:70">
      <c r="A654" s="123">
        <v>44847</v>
      </c>
      <c r="B654" s="121">
        <f t="shared" si="92"/>
        <v>10</v>
      </c>
      <c r="C654" s="121">
        <f t="shared" si="93"/>
        <v>2022</v>
      </c>
      <c r="D654" s="121">
        <v>1.65</v>
      </c>
      <c r="E654" s="124">
        <f t="shared" ref="E654:E665" si="94">L654*D654</f>
        <v>1.3034999999999999</v>
      </c>
      <c r="F654" s="109">
        <f t="shared" ref="F654:F665" si="95">D654*M654*1000</f>
        <v>313.5</v>
      </c>
      <c r="G654" s="121"/>
      <c r="H654" s="121"/>
      <c r="I654" s="121"/>
      <c r="J654" s="121"/>
      <c r="K654" s="121"/>
      <c r="L654" s="130">
        <v>0.79</v>
      </c>
      <c r="M654" s="130">
        <v>0.19</v>
      </c>
      <c r="N654" s="121"/>
      <c r="O654" s="121"/>
      <c r="P654" s="121"/>
      <c r="Q654" s="121"/>
      <c r="R654" s="121"/>
      <c r="S654" s="124" t="e">
        <f ca="1">_xll.RHistory("JCI-SBMG-DALNI","NDA_RAW.Nda_last","START:"&amp;$A654&amp;" END:"&amp;$A654&amp;" INTERVAL:1W",,,)</f>
        <v>#NAME?</v>
      </c>
      <c r="AZ654" s="98"/>
      <c r="BB654" s="98"/>
      <c r="BD654" s="98"/>
      <c r="BF654" s="98"/>
      <c r="BH654" s="98"/>
      <c r="BJ654" s="98"/>
      <c r="BL654" s="98"/>
      <c r="BN654" s="98"/>
      <c r="BP654" s="98"/>
      <c r="BR654" s="98"/>
    </row>
    <row r="655" spans="1:70">
      <c r="A655" s="123">
        <v>44854</v>
      </c>
      <c r="B655" s="121">
        <f t="shared" si="92"/>
        <v>10</v>
      </c>
      <c r="C655" s="121">
        <f t="shared" si="93"/>
        <v>2022</v>
      </c>
      <c r="D655" s="121">
        <v>1.61</v>
      </c>
      <c r="E655" s="124">
        <f t="shared" si="94"/>
        <v>1.2719</v>
      </c>
      <c r="F655" s="109">
        <f t="shared" si="95"/>
        <v>305.89999999999998</v>
      </c>
      <c r="G655" s="121"/>
      <c r="H655" s="121"/>
      <c r="I655" s="121"/>
      <c r="J655" s="121"/>
      <c r="K655" s="121"/>
      <c r="L655" s="130">
        <v>0.79</v>
      </c>
      <c r="M655" s="130">
        <v>0.19</v>
      </c>
      <c r="N655" s="121"/>
      <c r="O655" s="121"/>
      <c r="P655" s="121"/>
      <c r="Q655" s="121"/>
      <c r="R655" s="121"/>
      <c r="S655" s="124" t="e">
        <f ca="1">_xll.RHistory("JCI-SBMG-DALNI","NDA_RAW.Nda_last","START:"&amp;$A655&amp;" END:"&amp;$A655&amp;" INTERVAL:1W",,,)</f>
        <v>#NAME?</v>
      </c>
      <c r="AZ655" s="98"/>
      <c r="BB655" s="98"/>
      <c r="BD655" s="98"/>
      <c r="BF655" s="98"/>
      <c r="BH655" s="98"/>
      <c r="BJ655" s="98"/>
      <c r="BL655" s="98"/>
      <c r="BN655" s="98"/>
      <c r="BP655" s="98"/>
      <c r="BR655" s="98"/>
    </row>
    <row r="656" spans="1:70">
      <c r="A656" s="123">
        <v>44861</v>
      </c>
      <c r="B656" s="121">
        <f t="shared" si="92"/>
        <v>10</v>
      </c>
      <c r="C656" s="121">
        <f t="shared" si="93"/>
        <v>2022</v>
      </c>
      <c r="D656" s="121">
        <v>1.68</v>
      </c>
      <c r="E656" s="124">
        <f t="shared" si="94"/>
        <v>1.3271999999999999</v>
      </c>
      <c r="F656" s="109">
        <f t="shared" si="95"/>
        <v>319.2</v>
      </c>
      <c r="G656" s="121"/>
      <c r="H656" s="121"/>
      <c r="I656" s="121"/>
      <c r="J656" s="121"/>
      <c r="K656" s="121"/>
      <c r="L656" s="130">
        <v>0.79</v>
      </c>
      <c r="M656" s="130">
        <v>0.19</v>
      </c>
      <c r="N656" s="121"/>
      <c r="O656" s="121"/>
      <c r="P656" s="121"/>
      <c r="Q656" s="121"/>
      <c r="R656" s="121"/>
      <c r="S656" s="124" t="e">
        <f ca="1">_xll.RHistory("JCI-SBMG-DALNI","NDA_RAW.Nda_last","START:"&amp;$A656&amp;" END:"&amp;$A656&amp;" INTERVAL:1W",,,)</f>
        <v>#NAME?</v>
      </c>
      <c r="AZ656" s="98"/>
      <c r="BB656" s="98"/>
      <c r="BD656" s="98"/>
      <c r="BF656" s="98"/>
      <c r="BH656" s="98"/>
      <c r="BJ656" s="98"/>
      <c r="BL656" s="98"/>
      <c r="BN656" s="98"/>
      <c r="BP656" s="98"/>
      <c r="BR656" s="98"/>
    </row>
    <row r="657" spans="1:70">
      <c r="A657" s="123">
        <v>44868</v>
      </c>
      <c r="B657" s="121">
        <f t="shared" si="92"/>
        <v>11</v>
      </c>
      <c r="C657" s="121">
        <f t="shared" si="93"/>
        <v>2022</v>
      </c>
      <c r="D657" s="121">
        <v>1.52</v>
      </c>
      <c r="E657" s="124">
        <f t="shared" si="94"/>
        <v>1.2008000000000001</v>
      </c>
      <c r="F657" s="109">
        <f t="shared" si="95"/>
        <v>288.8</v>
      </c>
      <c r="G657" s="121"/>
      <c r="H657" s="121"/>
      <c r="I657" s="121"/>
      <c r="J657" s="121"/>
      <c r="K657" s="121"/>
      <c r="L657" s="130">
        <v>0.79</v>
      </c>
      <c r="M657" s="130">
        <v>0.19</v>
      </c>
      <c r="N657" s="121"/>
      <c r="O657" s="121"/>
      <c r="P657" s="121"/>
      <c r="Q657" s="121"/>
      <c r="R657" s="121"/>
      <c r="S657" s="124" t="e">
        <f ca="1">_xll.RHistory("JCI-SBMG-DALNI","NDA_RAW.Nda_last","START:"&amp;$A657&amp;" END:"&amp;$A657&amp;" INTERVAL:1W",,,)</f>
        <v>#NAME?</v>
      </c>
      <c r="AZ657" s="98"/>
      <c r="BB657" s="98"/>
      <c r="BD657" s="98"/>
      <c r="BF657" s="98"/>
      <c r="BH657" s="98"/>
      <c r="BJ657" s="98"/>
      <c r="BL657" s="98"/>
      <c r="BN657" s="98"/>
      <c r="BP657" s="98"/>
      <c r="BR657" s="98"/>
    </row>
    <row r="658" spans="1:70">
      <c r="A658" s="123">
        <v>44875</v>
      </c>
      <c r="B658" s="121">
        <f t="shared" si="92"/>
        <v>11</v>
      </c>
      <c r="C658" s="121">
        <f t="shared" si="93"/>
        <v>2022</v>
      </c>
      <c r="D658" s="121">
        <v>1.53</v>
      </c>
      <c r="E658" s="124">
        <f t="shared" si="94"/>
        <v>1.2087000000000001</v>
      </c>
      <c r="F658" s="109">
        <f t="shared" si="95"/>
        <v>290.7</v>
      </c>
      <c r="G658" s="121"/>
      <c r="H658" s="121"/>
      <c r="I658" s="121"/>
      <c r="J658" s="121"/>
      <c r="K658" s="121"/>
      <c r="L658" s="130">
        <v>0.79</v>
      </c>
      <c r="M658" s="130">
        <v>0.19</v>
      </c>
      <c r="N658" s="121"/>
      <c r="O658" s="121"/>
      <c r="P658" s="121"/>
      <c r="Q658" s="121"/>
      <c r="R658" s="121"/>
      <c r="S658" s="124" t="e">
        <f ca="1">_xll.RHistory("JCI-SBMG-DALNI","NDA_RAW.Nda_last","START:"&amp;$A658&amp;" END:"&amp;$A658&amp;" INTERVAL:1W",,,)</f>
        <v>#NAME?</v>
      </c>
      <c r="AZ658" s="98"/>
      <c r="BB658" s="98"/>
      <c r="BD658" s="98"/>
      <c r="BF658" s="98"/>
      <c r="BH658" s="98"/>
      <c r="BJ658" s="98"/>
      <c r="BL658" s="98"/>
      <c r="BN658" s="98"/>
      <c r="BP658" s="98"/>
      <c r="BR658" s="98"/>
    </row>
    <row r="659" spans="1:70">
      <c r="A659" s="123">
        <v>44882</v>
      </c>
      <c r="B659" s="121">
        <f t="shared" si="92"/>
        <v>11</v>
      </c>
      <c r="C659" s="121">
        <f t="shared" si="93"/>
        <v>2022</v>
      </c>
      <c r="D659" s="121">
        <v>1.53</v>
      </c>
      <c r="E659" s="124">
        <f t="shared" si="94"/>
        <v>1.2087000000000001</v>
      </c>
      <c r="F659" s="109">
        <f t="shared" si="95"/>
        <v>290.7</v>
      </c>
      <c r="G659" s="121"/>
      <c r="H659" s="121"/>
      <c r="I659" s="121"/>
      <c r="J659" s="121"/>
      <c r="K659" s="121"/>
      <c r="L659" s="130">
        <v>0.79</v>
      </c>
      <c r="M659" s="130">
        <v>0.19</v>
      </c>
      <c r="N659" s="121"/>
      <c r="O659" s="121"/>
      <c r="P659" s="121"/>
      <c r="Q659" s="121"/>
      <c r="R659" s="121"/>
      <c r="S659" s="124" t="e">
        <f ca="1">_xll.RHistory("JCI-SBMG-DALNI","NDA_RAW.Nda_last","START:"&amp;$A659&amp;" END:"&amp;$A659&amp;" INTERVAL:1W",,,)</f>
        <v>#NAME?</v>
      </c>
      <c r="AZ659" s="98"/>
      <c r="BB659" s="98"/>
      <c r="BD659" s="98"/>
      <c r="BF659" s="98"/>
      <c r="BH659" s="98"/>
      <c r="BJ659" s="98"/>
      <c r="BL659" s="98"/>
      <c r="BN659" s="98"/>
      <c r="BP659" s="98"/>
      <c r="BR659" s="98"/>
    </row>
    <row r="660" spans="1:70">
      <c r="A660" s="123">
        <v>44889</v>
      </c>
      <c r="B660" s="121">
        <f t="shared" si="92"/>
        <v>11</v>
      </c>
      <c r="C660" s="121">
        <f t="shared" si="93"/>
        <v>2022</v>
      </c>
      <c r="D660" s="121">
        <v>1.98</v>
      </c>
      <c r="E660" s="124">
        <f t="shared" si="94"/>
        <v>1.5642</v>
      </c>
      <c r="F660" s="109">
        <f t="shared" si="95"/>
        <v>376.2</v>
      </c>
      <c r="G660" s="121"/>
      <c r="H660" s="121"/>
      <c r="I660" s="121"/>
      <c r="J660" s="121"/>
      <c r="K660" s="121"/>
      <c r="L660" s="130">
        <v>0.79</v>
      </c>
      <c r="M660" s="130">
        <v>0.19</v>
      </c>
      <c r="N660" s="121"/>
      <c r="O660" s="121"/>
      <c r="P660" s="121"/>
      <c r="Q660" s="121"/>
      <c r="R660" s="121"/>
      <c r="S660" s="121"/>
      <c r="AZ660" s="98"/>
      <c r="BB660" s="98"/>
      <c r="BD660" s="98"/>
      <c r="BF660" s="98"/>
      <c r="BH660" s="98"/>
      <c r="BJ660" s="98"/>
      <c r="BL660" s="98"/>
      <c r="BN660" s="98"/>
      <c r="BP660" s="98"/>
      <c r="BR660" s="98"/>
    </row>
    <row r="661" spans="1:70">
      <c r="A661" s="123">
        <v>44896</v>
      </c>
      <c r="B661" s="121">
        <f t="shared" si="92"/>
        <v>12</v>
      </c>
      <c r="C661" s="121">
        <f t="shared" si="93"/>
        <v>2022</v>
      </c>
      <c r="D661" s="121">
        <v>2.0299999999999998</v>
      </c>
      <c r="E661" s="124">
        <f t="shared" si="94"/>
        <v>1.6036999999999999</v>
      </c>
      <c r="F661" s="109">
        <f t="shared" si="95"/>
        <v>385.7</v>
      </c>
      <c r="G661" s="121"/>
      <c r="H661" s="121"/>
      <c r="I661" s="121"/>
      <c r="J661" s="121"/>
      <c r="K661" s="121"/>
      <c r="L661" s="130">
        <v>0.79</v>
      </c>
      <c r="M661" s="130">
        <v>0.19</v>
      </c>
      <c r="N661" s="121"/>
      <c r="O661" s="121"/>
      <c r="P661" s="121"/>
      <c r="Q661" s="121"/>
      <c r="R661" s="121"/>
      <c r="S661" s="121"/>
      <c r="AZ661" s="98"/>
      <c r="BB661" s="98"/>
      <c r="BD661" s="98"/>
      <c r="BF661" s="98"/>
      <c r="BH661" s="98"/>
      <c r="BJ661" s="98"/>
      <c r="BL661" s="98"/>
      <c r="BN661" s="98"/>
      <c r="BP661" s="98"/>
      <c r="BR661" s="98"/>
    </row>
    <row r="662" spans="1:70">
      <c r="A662" s="123">
        <v>44903</v>
      </c>
      <c r="B662" s="121">
        <f t="shared" si="92"/>
        <v>12</v>
      </c>
      <c r="C662" s="121">
        <f t="shared" si="93"/>
        <v>2022</v>
      </c>
      <c r="D662" s="121">
        <v>1.98</v>
      </c>
      <c r="E662" s="124">
        <f t="shared" si="94"/>
        <v>1.5642</v>
      </c>
      <c r="F662" s="109">
        <f t="shared" si="95"/>
        <v>376.2</v>
      </c>
      <c r="G662" s="121"/>
      <c r="H662" s="121"/>
      <c r="I662" s="121"/>
      <c r="J662" s="121"/>
      <c r="K662" s="121"/>
      <c r="L662" s="130">
        <v>0.79</v>
      </c>
      <c r="M662" s="130">
        <v>0.19</v>
      </c>
      <c r="N662" s="121"/>
      <c r="O662" s="121"/>
      <c r="P662" s="121"/>
      <c r="Q662" s="121"/>
      <c r="R662" s="121"/>
      <c r="S662" s="121"/>
      <c r="AZ662" s="98"/>
      <c r="BB662" s="98"/>
      <c r="BD662" s="98"/>
      <c r="BF662" s="98"/>
      <c r="BH662" s="98"/>
      <c r="BJ662" s="98"/>
      <c r="BL662" s="98"/>
      <c r="BN662" s="98"/>
      <c r="BP662" s="98"/>
      <c r="BR662" s="98"/>
    </row>
    <row r="663" spans="1:70">
      <c r="A663" s="123">
        <v>44910</v>
      </c>
      <c r="B663" s="121">
        <f t="shared" si="92"/>
        <v>12</v>
      </c>
      <c r="C663" s="121">
        <f t="shared" si="93"/>
        <v>2022</v>
      </c>
      <c r="D663" s="121">
        <v>2.08</v>
      </c>
      <c r="E663" s="124">
        <f t="shared" si="94"/>
        <v>1.6432000000000002</v>
      </c>
      <c r="F663" s="109">
        <f t="shared" si="95"/>
        <v>395.2</v>
      </c>
      <c r="G663" s="121"/>
      <c r="H663" s="121"/>
      <c r="I663" s="121"/>
      <c r="J663" s="121"/>
      <c r="K663" s="121"/>
      <c r="L663" s="130">
        <v>0.79</v>
      </c>
      <c r="M663" s="130">
        <v>0.19</v>
      </c>
      <c r="N663" s="121"/>
      <c r="O663" s="121"/>
      <c r="P663" s="121"/>
      <c r="Q663" s="121"/>
      <c r="R663" s="121"/>
      <c r="S663" s="121"/>
      <c r="AZ663" s="98"/>
      <c r="BB663" s="98"/>
      <c r="BD663" s="98"/>
      <c r="BF663" s="98"/>
      <c r="BH663" s="98"/>
      <c r="BJ663" s="98"/>
      <c r="BL663" s="98"/>
      <c r="BN663" s="98"/>
      <c r="BP663" s="98"/>
      <c r="BR663" s="98"/>
    </row>
    <row r="664" spans="1:70">
      <c r="A664" s="123">
        <v>44917</v>
      </c>
      <c r="B664" s="121">
        <f t="shared" si="92"/>
        <v>12</v>
      </c>
      <c r="C664" s="121">
        <f t="shared" si="93"/>
        <v>2022</v>
      </c>
      <c r="D664" s="121">
        <v>2.11</v>
      </c>
      <c r="E664" s="124">
        <f t="shared" si="94"/>
        <v>1.6669</v>
      </c>
      <c r="F664" s="109">
        <f t="shared" si="95"/>
        <v>400.9</v>
      </c>
      <c r="G664" s="121"/>
      <c r="H664" s="121"/>
      <c r="I664" s="121"/>
      <c r="J664" s="121"/>
      <c r="K664" s="121"/>
      <c r="L664" s="130">
        <v>0.79</v>
      </c>
      <c r="M664" s="130">
        <v>0.19</v>
      </c>
      <c r="N664" s="121"/>
      <c r="O664" s="121"/>
      <c r="P664" s="121"/>
      <c r="Q664" s="121"/>
      <c r="R664" s="121"/>
      <c r="S664" s="121"/>
      <c r="AZ664" s="98"/>
      <c r="BB664" s="98"/>
      <c r="BD664" s="98"/>
      <c r="BF664" s="98"/>
      <c r="BH664" s="98"/>
      <c r="BJ664" s="98"/>
      <c r="BL664" s="98"/>
      <c r="BN664" s="98"/>
      <c r="BP664" s="98"/>
      <c r="BR664" s="98"/>
    </row>
    <row r="665" spans="1:70">
      <c r="A665" s="123">
        <v>44924</v>
      </c>
      <c r="B665" s="121">
        <f t="shared" si="92"/>
        <v>12</v>
      </c>
      <c r="C665" s="121">
        <f t="shared" si="93"/>
        <v>2022</v>
      </c>
      <c r="D665" s="121">
        <v>1.99</v>
      </c>
      <c r="E665" s="124">
        <f t="shared" si="94"/>
        <v>1.5721000000000001</v>
      </c>
      <c r="F665" s="109">
        <f t="shared" si="95"/>
        <v>378.09999999999997</v>
      </c>
      <c r="G665" s="121"/>
      <c r="H665" s="121"/>
      <c r="I665" s="121"/>
      <c r="J665" s="121"/>
      <c r="K665" s="121"/>
      <c r="L665" s="130">
        <v>0.79</v>
      </c>
      <c r="M665" s="130">
        <v>0.19</v>
      </c>
      <c r="N665" s="121"/>
      <c r="O665" s="121"/>
      <c r="P665" s="121"/>
      <c r="Q665" s="121"/>
      <c r="R665" s="121"/>
      <c r="S665" s="121"/>
      <c r="AZ665" s="98"/>
      <c r="BB665" s="98"/>
      <c r="BD665" s="98"/>
      <c r="BF665" s="98"/>
      <c r="BH665" s="98"/>
      <c r="BJ665" s="98"/>
      <c r="BL665" s="98"/>
      <c r="BN665" s="98"/>
      <c r="BP665" s="98"/>
      <c r="BR665" s="98"/>
    </row>
    <row r="666" spans="1:70">
      <c r="A666" s="123">
        <v>44931</v>
      </c>
      <c r="B666" s="121">
        <f t="shared" si="92"/>
        <v>1</v>
      </c>
      <c r="C666" s="121">
        <f t="shared" si="93"/>
        <v>2023</v>
      </c>
      <c r="D666" s="121"/>
      <c r="E666" s="121"/>
      <c r="F666" s="121"/>
      <c r="G666" s="121"/>
      <c r="H666" s="121"/>
      <c r="I666" s="121"/>
      <c r="J666" s="121"/>
      <c r="K666" s="121"/>
      <c r="L666" s="130">
        <v>0.79</v>
      </c>
      <c r="M666" s="130">
        <v>0.19</v>
      </c>
      <c r="N666" s="121"/>
      <c r="O666" s="121"/>
      <c r="P666" s="121"/>
      <c r="Q666" s="121"/>
      <c r="R666" s="121"/>
      <c r="S666" s="121"/>
      <c r="AZ666" s="98"/>
      <c r="BB666" s="98"/>
      <c r="BD666" s="98"/>
      <c r="BF666" s="98"/>
      <c r="BH666" s="98"/>
      <c r="BJ666" s="98"/>
      <c r="BL666" s="98"/>
      <c r="BN666" s="98"/>
      <c r="BP666" s="98"/>
      <c r="BR666" s="98"/>
    </row>
    <row r="667" spans="1:70">
      <c r="A667" s="123">
        <v>44938</v>
      </c>
      <c r="B667" s="121">
        <f t="shared" si="92"/>
        <v>1</v>
      </c>
      <c r="C667" s="121">
        <f t="shared" si="93"/>
        <v>2023</v>
      </c>
      <c r="D667" s="121">
        <v>2.08</v>
      </c>
      <c r="E667" s="124">
        <f>L667*D667</f>
        <v>1.6432000000000002</v>
      </c>
      <c r="F667" s="109">
        <f>D667*M667*1000</f>
        <v>395.2</v>
      </c>
      <c r="G667" s="121"/>
      <c r="H667" s="121"/>
      <c r="I667" s="121"/>
      <c r="J667" s="121"/>
      <c r="K667" s="121"/>
      <c r="L667" s="130">
        <v>0.79</v>
      </c>
      <c r="M667" s="130">
        <v>0.19</v>
      </c>
      <c r="N667" s="121"/>
      <c r="O667" s="121"/>
      <c r="P667" s="121"/>
      <c r="Q667" s="121"/>
      <c r="R667" s="121"/>
      <c r="S667" s="121"/>
      <c r="AZ667" s="98"/>
      <c r="BB667" s="98"/>
      <c r="BD667" s="98"/>
      <c r="BF667" s="98"/>
      <c r="BH667" s="98"/>
      <c r="BJ667" s="98"/>
      <c r="BL667" s="98"/>
      <c r="BN667" s="98"/>
      <c r="BP667" s="98"/>
      <c r="BR667" s="98"/>
    </row>
    <row r="668" spans="1:70">
      <c r="A668" s="123">
        <v>44945</v>
      </c>
      <c r="B668" s="121">
        <f t="shared" si="92"/>
        <v>1</v>
      </c>
      <c r="C668" s="121">
        <f t="shared" si="93"/>
        <v>2023</v>
      </c>
      <c r="D668" s="121">
        <v>0.03</v>
      </c>
      <c r="E668" s="124">
        <f>L668*D668</f>
        <v>2.3699999999999999E-2</v>
      </c>
      <c r="F668" s="109">
        <f>D668*M668*1000</f>
        <v>5.7</v>
      </c>
      <c r="G668" s="121"/>
      <c r="H668" s="121"/>
      <c r="I668" s="121"/>
      <c r="J668" s="121"/>
      <c r="K668" s="121"/>
      <c r="L668" s="130">
        <v>0.79</v>
      </c>
      <c r="M668" s="130">
        <v>0.19</v>
      </c>
      <c r="N668" s="121"/>
      <c r="O668" s="121"/>
      <c r="P668" s="121"/>
      <c r="Q668" s="121"/>
      <c r="R668" s="121"/>
      <c r="S668" s="121"/>
      <c r="AZ668" s="98"/>
      <c r="BB668" s="98"/>
      <c r="BD668" s="98"/>
      <c r="BF668" s="98"/>
      <c r="BH668" s="98"/>
      <c r="BJ668" s="98"/>
      <c r="BL668" s="98"/>
      <c r="BN668" s="98"/>
      <c r="BP668" s="98"/>
      <c r="BR668" s="98"/>
    </row>
    <row r="669" spans="1:70">
      <c r="A669" s="123">
        <v>44952</v>
      </c>
      <c r="B669" s="121">
        <f t="shared" si="92"/>
        <v>1</v>
      </c>
      <c r="C669" s="121">
        <f t="shared" si="93"/>
        <v>2023</v>
      </c>
      <c r="D669" s="121"/>
      <c r="E669" s="121"/>
      <c r="F669" s="121"/>
      <c r="G669" s="121"/>
      <c r="H669" s="121"/>
      <c r="I669" s="121"/>
      <c r="J669" s="121"/>
      <c r="K669" s="121"/>
      <c r="L669" s="130">
        <v>0.79</v>
      </c>
      <c r="M669" s="130">
        <v>0.19</v>
      </c>
      <c r="N669" s="121"/>
      <c r="O669" s="121"/>
      <c r="P669" s="121"/>
      <c r="Q669" s="121"/>
      <c r="R669" s="121"/>
      <c r="S669" s="121"/>
      <c r="AZ669" s="98"/>
      <c r="BB669" s="98"/>
      <c r="BD669" s="98"/>
      <c r="BF669" s="98"/>
      <c r="BH669" s="98"/>
      <c r="BJ669" s="98"/>
      <c r="BL669" s="98"/>
      <c r="BN669" s="98"/>
      <c r="BP669" s="98"/>
      <c r="BR669" s="98"/>
    </row>
    <row r="670" spans="1:70">
      <c r="A670" s="123">
        <v>44959</v>
      </c>
      <c r="B670" s="121">
        <f t="shared" si="92"/>
        <v>2</v>
      </c>
      <c r="C670" s="121">
        <f t="shared" si="93"/>
        <v>2023</v>
      </c>
      <c r="D670" s="121">
        <v>1.28</v>
      </c>
      <c r="E670" s="124">
        <f>L670*D670</f>
        <v>1.0112000000000001</v>
      </c>
      <c r="F670" s="109">
        <f>D670*M670*1000</f>
        <v>243.2</v>
      </c>
      <c r="G670" s="111"/>
      <c r="H670" s="121"/>
      <c r="I670" s="121"/>
      <c r="J670" s="121"/>
      <c r="K670" s="121"/>
      <c r="L670" s="130">
        <v>0.79</v>
      </c>
      <c r="M670" s="130">
        <v>0.19</v>
      </c>
      <c r="N670" s="121"/>
      <c r="O670" s="121"/>
      <c r="P670" s="121"/>
      <c r="Q670" s="121"/>
      <c r="R670" s="121"/>
      <c r="S670" s="121"/>
      <c r="AZ670" s="98"/>
      <c r="BB670" s="98"/>
      <c r="BD670" s="98"/>
      <c r="BF670" s="98"/>
      <c r="BH670" s="98"/>
      <c r="BJ670" s="98"/>
      <c r="BL670" s="98"/>
      <c r="BN670" s="98"/>
      <c r="BP670" s="98"/>
      <c r="BR670" s="98"/>
    </row>
    <row r="671" spans="1:70">
      <c r="A671" s="123">
        <v>44966</v>
      </c>
      <c r="B671" s="121">
        <f t="shared" si="92"/>
        <v>2</v>
      </c>
      <c r="C671" s="121">
        <f t="shared" si="93"/>
        <v>2023</v>
      </c>
      <c r="D671" s="121">
        <v>2.06</v>
      </c>
      <c r="E671" s="124">
        <f>L671*D671</f>
        <v>1.6274000000000002</v>
      </c>
      <c r="F671" s="109">
        <f>D671*M671*1000</f>
        <v>391.40000000000003</v>
      </c>
      <c r="G671" s="111"/>
      <c r="H671" s="121"/>
      <c r="I671" s="121"/>
      <c r="J671" s="121"/>
      <c r="K671" s="121"/>
      <c r="L671" s="130">
        <v>0.79</v>
      </c>
      <c r="M671" s="130">
        <v>0.19</v>
      </c>
      <c r="N671" s="121"/>
      <c r="O671" s="121"/>
      <c r="P671" s="121"/>
      <c r="Q671" s="121"/>
      <c r="R671" s="121"/>
      <c r="S671" s="121"/>
      <c r="AZ671" s="98"/>
      <c r="BB671" s="98"/>
      <c r="BD671" s="98"/>
      <c r="BF671" s="98"/>
      <c r="BH671" s="98"/>
      <c r="BJ671" s="98"/>
      <c r="BL671" s="98"/>
      <c r="BN671" s="98"/>
      <c r="BP671" s="98"/>
      <c r="BR671" s="98"/>
    </row>
    <row r="672" spans="1:70">
      <c r="A672" s="123">
        <v>44973</v>
      </c>
      <c r="B672" s="121">
        <f t="shared" si="92"/>
        <v>2</v>
      </c>
      <c r="C672" s="121">
        <f t="shared" si="93"/>
        <v>2023</v>
      </c>
      <c r="D672" s="121">
        <v>1.71</v>
      </c>
      <c r="E672" s="124">
        <f>L672*D672</f>
        <v>1.3509</v>
      </c>
      <c r="F672" s="109">
        <f>D672*M672*1000</f>
        <v>324.90000000000003</v>
      </c>
      <c r="G672" s="111"/>
      <c r="H672" s="121"/>
      <c r="I672" s="121"/>
      <c r="J672" s="121"/>
      <c r="K672" s="121"/>
      <c r="L672" s="130">
        <v>0.79</v>
      </c>
      <c r="M672" s="130">
        <v>0.19</v>
      </c>
      <c r="N672" s="121"/>
      <c r="O672" s="121"/>
      <c r="P672" s="121"/>
      <c r="Q672" s="121"/>
      <c r="R672" s="121"/>
      <c r="S672" s="121"/>
      <c r="AZ672" s="98"/>
      <c r="BB672" s="98"/>
      <c r="BD672" s="98"/>
      <c r="BF672" s="98"/>
      <c r="BH672" s="98"/>
      <c r="BJ672" s="98"/>
      <c r="BL672" s="98"/>
      <c r="BN672" s="98"/>
      <c r="BP672" s="98"/>
      <c r="BR672" s="98"/>
    </row>
    <row r="673" spans="1:70">
      <c r="A673" s="123">
        <v>44980</v>
      </c>
      <c r="B673" s="121">
        <f t="shared" si="92"/>
        <v>2</v>
      </c>
      <c r="C673" s="121">
        <f t="shared" si="93"/>
        <v>2023</v>
      </c>
      <c r="D673" s="121">
        <v>1.65</v>
      </c>
      <c r="E673" s="124">
        <f>L673*D673</f>
        <v>1.3034999999999999</v>
      </c>
      <c r="F673" s="109">
        <f>D673*M673*1000</f>
        <v>313.5</v>
      </c>
      <c r="G673" s="111"/>
      <c r="H673" s="121"/>
      <c r="I673" s="121"/>
      <c r="J673" s="121"/>
      <c r="K673" s="121"/>
      <c r="L673" s="130">
        <v>0.79</v>
      </c>
      <c r="M673" s="130">
        <v>0.19</v>
      </c>
      <c r="N673" s="121"/>
      <c r="O673" s="121"/>
      <c r="P673" s="121"/>
      <c r="Q673" s="121"/>
      <c r="R673" s="121"/>
      <c r="S673" s="121"/>
      <c r="AZ673" s="98"/>
      <c r="BB673" s="98"/>
      <c r="BD673" s="98"/>
      <c r="BF673" s="98"/>
      <c r="BH673" s="98"/>
      <c r="BJ673" s="98"/>
      <c r="BL673" s="98"/>
      <c r="BN673" s="98"/>
      <c r="BP673" s="98"/>
      <c r="BR673" s="98"/>
    </row>
    <row r="674" spans="1:70">
      <c r="A674" s="123">
        <v>44987</v>
      </c>
      <c r="B674" s="121">
        <f t="shared" si="92"/>
        <v>3</v>
      </c>
      <c r="C674" s="121">
        <f t="shared" si="93"/>
        <v>2023</v>
      </c>
      <c r="D674" s="121">
        <v>1.47</v>
      </c>
      <c r="E674" s="124">
        <f t="shared" ref="E674:E717" si="96">L674*D674</f>
        <v>1.1613</v>
      </c>
      <c r="F674" s="109">
        <f t="shared" ref="F674:F717" si="97">D674*M674*1000</f>
        <v>279.3</v>
      </c>
      <c r="G674" s="111"/>
      <c r="H674" s="121"/>
      <c r="I674" s="121"/>
      <c r="J674" s="121"/>
      <c r="K674" s="121"/>
      <c r="L674" s="130">
        <v>0.79</v>
      </c>
      <c r="M674" s="130">
        <v>0.19</v>
      </c>
      <c r="N674" s="121"/>
      <c r="O674" s="121"/>
      <c r="P674" s="121"/>
      <c r="Q674" s="121"/>
      <c r="R674" s="121"/>
      <c r="S674" s="121"/>
      <c r="AZ674" s="98"/>
      <c r="BB674" s="98"/>
      <c r="BD674" s="98"/>
      <c r="BF674" s="98"/>
      <c r="BH674" s="98"/>
      <c r="BJ674" s="98"/>
      <c r="BL674" s="98"/>
      <c r="BN674" s="98"/>
      <c r="BP674" s="98"/>
      <c r="BR674" s="98"/>
    </row>
    <row r="675" spans="1:70">
      <c r="A675" s="123">
        <v>44994</v>
      </c>
      <c r="B675" s="121">
        <f t="shared" si="92"/>
        <v>3</v>
      </c>
      <c r="C675" s="121">
        <f t="shared" si="93"/>
        <v>2023</v>
      </c>
      <c r="D675" s="121">
        <v>1.45</v>
      </c>
      <c r="E675" s="124">
        <f t="shared" si="96"/>
        <v>1.1455</v>
      </c>
      <c r="F675" s="109">
        <f t="shared" si="97"/>
        <v>275.49999999999994</v>
      </c>
      <c r="G675" s="111"/>
      <c r="H675" s="121"/>
      <c r="I675" s="121"/>
      <c r="J675" s="121"/>
      <c r="K675" s="121"/>
      <c r="L675" s="130">
        <v>0.79</v>
      </c>
      <c r="M675" s="130">
        <v>0.19</v>
      </c>
      <c r="N675" s="121"/>
      <c r="O675" s="121"/>
      <c r="P675" s="121"/>
      <c r="Q675" s="121"/>
      <c r="R675" s="121"/>
      <c r="S675" s="121"/>
      <c r="AZ675" s="98"/>
      <c r="BB675" s="98"/>
      <c r="BD675" s="98"/>
      <c r="BF675" s="98"/>
      <c r="BH675" s="98"/>
      <c r="BJ675" s="98"/>
      <c r="BL675" s="98"/>
      <c r="BN675" s="98"/>
      <c r="BP675" s="98"/>
      <c r="BR675" s="98"/>
    </row>
    <row r="676" spans="1:70">
      <c r="A676" s="123">
        <v>45001</v>
      </c>
      <c r="B676" s="121">
        <f t="shared" si="92"/>
        <v>3</v>
      </c>
      <c r="C676" s="121">
        <f t="shared" si="93"/>
        <v>2023</v>
      </c>
      <c r="D676" s="121">
        <v>1.53</v>
      </c>
      <c r="E676" s="124">
        <f t="shared" si="96"/>
        <v>1.2087000000000001</v>
      </c>
      <c r="F676" s="109">
        <f t="shared" si="97"/>
        <v>290.7</v>
      </c>
      <c r="G676" s="111"/>
      <c r="H676" s="121"/>
      <c r="I676" s="121"/>
      <c r="J676" s="121"/>
      <c r="K676" s="121"/>
      <c r="L676" s="130">
        <v>0.79</v>
      </c>
      <c r="M676" s="130">
        <v>0.19</v>
      </c>
      <c r="N676" s="121"/>
      <c r="O676" s="121"/>
      <c r="P676" s="121"/>
      <c r="Q676" s="121"/>
      <c r="R676" s="121"/>
      <c r="S676" s="121"/>
      <c r="AZ676" s="98"/>
      <c r="BB676" s="98"/>
      <c r="BD676" s="98"/>
      <c r="BF676" s="98"/>
      <c r="BH676" s="98"/>
      <c r="BJ676" s="98"/>
      <c r="BL676" s="98"/>
      <c r="BN676" s="98"/>
      <c r="BP676" s="98"/>
      <c r="BR676" s="98"/>
    </row>
    <row r="677" spans="1:70">
      <c r="A677" s="123">
        <v>45008</v>
      </c>
      <c r="B677" s="121">
        <f t="shared" si="92"/>
        <v>3</v>
      </c>
      <c r="C677" s="121">
        <f t="shared" si="93"/>
        <v>2023</v>
      </c>
      <c r="D677" s="121">
        <v>1.48</v>
      </c>
      <c r="E677" s="124">
        <f t="shared" si="96"/>
        <v>1.1692</v>
      </c>
      <c r="F677" s="109">
        <f t="shared" si="97"/>
        <v>281.2</v>
      </c>
      <c r="G677" s="111"/>
      <c r="H677" s="121"/>
      <c r="I677" s="121"/>
      <c r="J677" s="121"/>
      <c r="K677" s="121"/>
      <c r="L677" s="130">
        <v>0.79</v>
      </c>
      <c r="M677" s="130">
        <v>0.19</v>
      </c>
      <c r="N677" s="121"/>
      <c r="O677" s="121"/>
      <c r="P677" s="121"/>
      <c r="Q677" s="121"/>
      <c r="R677" s="121"/>
      <c r="S677" s="121"/>
      <c r="AZ677" s="98"/>
      <c r="BB677" s="98"/>
      <c r="BD677" s="98"/>
      <c r="BF677" s="98"/>
      <c r="BH677" s="98"/>
      <c r="BJ677" s="98"/>
      <c r="BL677" s="98"/>
      <c r="BN677" s="98"/>
      <c r="BP677" s="98"/>
      <c r="BR677" s="98"/>
    </row>
    <row r="678" spans="1:70">
      <c r="A678" s="123">
        <v>45015</v>
      </c>
      <c r="B678" s="121">
        <f t="shared" si="92"/>
        <v>3</v>
      </c>
      <c r="C678" s="121">
        <f t="shared" si="93"/>
        <v>2023</v>
      </c>
      <c r="D678" s="121">
        <v>1.38</v>
      </c>
      <c r="E678" s="124">
        <f t="shared" si="96"/>
        <v>1.0902000000000001</v>
      </c>
      <c r="F678" s="109">
        <f t="shared" si="97"/>
        <v>262.2</v>
      </c>
      <c r="G678" s="111"/>
      <c r="H678" s="121"/>
      <c r="I678" s="121"/>
      <c r="J678" s="121"/>
      <c r="K678" s="121"/>
      <c r="L678" s="130">
        <v>0.79</v>
      </c>
      <c r="M678" s="130">
        <v>0.19</v>
      </c>
      <c r="N678" s="121"/>
      <c r="O678" s="121"/>
      <c r="P678" s="121"/>
      <c r="Q678" s="121"/>
      <c r="R678" s="121"/>
      <c r="S678" s="121"/>
      <c r="AZ678" s="98"/>
      <c r="BB678" s="98"/>
      <c r="BD678" s="98"/>
      <c r="BF678" s="98"/>
      <c r="BH678" s="98"/>
      <c r="BJ678" s="98"/>
      <c r="BL678" s="98"/>
      <c r="BN678" s="98"/>
      <c r="BP678" s="98"/>
      <c r="BR678" s="98"/>
    </row>
    <row r="679" spans="1:70">
      <c r="A679" s="123">
        <v>45022</v>
      </c>
      <c r="B679" s="121">
        <f t="shared" si="92"/>
        <v>4</v>
      </c>
      <c r="C679" s="121">
        <f t="shared" si="93"/>
        <v>2023</v>
      </c>
      <c r="D679" s="121">
        <v>1.59</v>
      </c>
      <c r="E679" s="124">
        <f t="shared" si="96"/>
        <v>1.2561000000000002</v>
      </c>
      <c r="F679" s="109">
        <f t="shared" si="97"/>
        <v>302.10000000000002</v>
      </c>
      <c r="G679" s="111"/>
      <c r="H679" s="121"/>
      <c r="I679" s="121"/>
      <c r="J679" s="121"/>
      <c r="K679" s="121"/>
      <c r="L679" s="130">
        <v>0.79</v>
      </c>
      <c r="M679" s="130">
        <v>0.19</v>
      </c>
      <c r="N679" s="121"/>
      <c r="O679" s="121"/>
      <c r="P679" s="121"/>
      <c r="Q679" s="121"/>
      <c r="R679" s="121"/>
      <c r="S679" s="121"/>
      <c r="AZ679" s="98"/>
      <c r="BB679" s="98"/>
      <c r="BD679" s="98"/>
      <c r="BF679" s="98"/>
      <c r="BH679" s="98"/>
      <c r="BJ679" s="98"/>
      <c r="BL679" s="98"/>
      <c r="BN679" s="98"/>
      <c r="BP679" s="98"/>
      <c r="BR679" s="98"/>
    </row>
    <row r="680" spans="1:70">
      <c r="A680" s="123">
        <v>45029</v>
      </c>
      <c r="B680" s="121">
        <f t="shared" si="92"/>
        <v>4</v>
      </c>
      <c r="C680" s="121">
        <f t="shared" si="93"/>
        <v>2023</v>
      </c>
      <c r="D680" s="121">
        <v>1.64</v>
      </c>
      <c r="E680" s="124">
        <f t="shared" si="96"/>
        <v>1.2956000000000001</v>
      </c>
      <c r="F680" s="109">
        <f t="shared" si="97"/>
        <v>311.59999999999997</v>
      </c>
      <c r="G680" s="111"/>
      <c r="H680" s="121"/>
      <c r="I680" s="121"/>
      <c r="J680" s="121"/>
      <c r="K680" s="121"/>
      <c r="L680" s="130">
        <v>0.79</v>
      </c>
      <c r="M680" s="130">
        <v>0.19</v>
      </c>
      <c r="N680" s="121"/>
      <c r="O680" s="121"/>
      <c r="P680" s="121"/>
      <c r="Q680" s="121"/>
      <c r="R680" s="121"/>
      <c r="S680" s="121"/>
      <c r="AZ680" s="98"/>
      <c r="BB680" s="98"/>
      <c r="BD680" s="98"/>
      <c r="BF680" s="98"/>
      <c r="BH680" s="98"/>
      <c r="BJ680" s="98"/>
      <c r="BL680" s="98"/>
      <c r="BN680" s="98"/>
      <c r="BP680" s="98"/>
      <c r="BR680" s="98"/>
    </row>
    <row r="681" spans="1:70">
      <c r="A681" s="123">
        <v>45036</v>
      </c>
      <c r="B681" s="121">
        <f t="shared" si="92"/>
        <v>4</v>
      </c>
      <c r="C681" s="121">
        <f t="shared" si="93"/>
        <v>2023</v>
      </c>
      <c r="D681" s="121">
        <v>1.59</v>
      </c>
      <c r="E681" s="124">
        <f t="shared" si="96"/>
        <v>1.2561000000000002</v>
      </c>
      <c r="F681" s="109">
        <f t="shared" si="97"/>
        <v>302.10000000000002</v>
      </c>
      <c r="G681" s="111"/>
      <c r="H681" s="121"/>
      <c r="I681" s="121"/>
      <c r="J681" s="121"/>
      <c r="K681" s="121"/>
      <c r="L681" s="130">
        <v>0.79</v>
      </c>
      <c r="M681" s="130">
        <v>0.19</v>
      </c>
      <c r="N681" s="121"/>
      <c r="O681" s="121"/>
      <c r="P681" s="121"/>
      <c r="Q681" s="121"/>
      <c r="R681" s="121"/>
      <c r="S681" s="121"/>
      <c r="AZ681" s="98"/>
      <c r="BB681" s="98"/>
      <c r="BD681" s="98"/>
      <c r="BF681" s="98"/>
      <c r="BH681" s="98"/>
      <c r="BJ681" s="98"/>
      <c r="BL681" s="98"/>
      <c r="BN681" s="98"/>
      <c r="BP681" s="98"/>
      <c r="BR681" s="98"/>
    </row>
    <row r="682" spans="1:70">
      <c r="A682" s="123">
        <v>45043</v>
      </c>
      <c r="B682" s="121">
        <f t="shared" si="92"/>
        <v>4</v>
      </c>
      <c r="C682" s="121">
        <f t="shared" si="93"/>
        <v>2023</v>
      </c>
      <c r="D682" s="121">
        <v>1.64</v>
      </c>
      <c r="E682" s="124">
        <f t="shared" si="96"/>
        <v>1.2956000000000001</v>
      </c>
      <c r="F682" s="109">
        <f t="shared" si="97"/>
        <v>311.59999999999997</v>
      </c>
      <c r="G682" s="111"/>
      <c r="H682" s="121"/>
      <c r="I682" s="121"/>
      <c r="J682" s="121"/>
      <c r="K682" s="121"/>
      <c r="L682" s="130">
        <v>0.79</v>
      </c>
      <c r="M682" s="130">
        <v>0.19</v>
      </c>
      <c r="N682" s="121"/>
      <c r="O682" s="121"/>
      <c r="P682" s="121"/>
      <c r="Q682" s="121"/>
      <c r="R682" s="121"/>
      <c r="S682" s="121"/>
      <c r="AZ682" s="98"/>
      <c r="BB682" s="98"/>
      <c r="BD682" s="98"/>
      <c r="BF682" s="98"/>
      <c r="BH682" s="98"/>
      <c r="BJ682" s="98"/>
      <c r="BL682" s="98"/>
      <c r="BN682" s="98"/>
      <c r="BP682" s="98"/>
      <c r="BR682" s="98"/>
    </row>
    <row r="683" spans="1:70">
      <c r="A683" s="123">
        <v>45050</v>
      </c>
      <c r="B683" s="121">
        <f t="shared" si="92"/>
        <v>5</v>
      </c>
      <c r="C683" s="121">
        <f t="shared" si="93"/>
        <v>2023</v>
      </c>
      <c r="D683" s="122">
        <v>0.8</v>
      </c>
      <c r="E683" s="124">
        <f t="shared" si="96"/>
        <v>0.63200000000000012</v>
      </c>
      <c r="F683" s="109">
        <f t="shared" si="97"/>
        <v>152.00000000000003</v>
      </c>
      <c r="G683" s="111"/>
      <c r="H683" s="121"/>
      <c r="I683" s="121"/>
      <c r="J683" s="121"/>
      <c r="K683" s="121"/>
      <c r="L683" s="130">
        <v>0.79</v>
      </c>
      <c r="M683" s="130">
        <v>0.19</v>
      </c>
      <c r="N683" s="121"/>
      <c r="O683" s="121"/>
      <c r="P683" s="121"/>
      <c r="Q683" s="121"/>
      <c r="R683" s="121"/>
      <c r="S683" s="121"/>
      <c r="AZ683" s="98"/>
      <c r="BB683" s="98"/>
      <c r="BD683" s="98"/>
      <c r="BF683" s="98"/>
      <c r="BH683" s="98"/>
      <c r="BJ683" s="98"/>
      <c r="BL683" s="98"/>
      <c r="BN683" s="98"/>
      <c r="BP683" s="98"/>
      <c r="BR683" s="98"/>
    </row>
    <row r="684" spans="1:70">
      <c r="A684" s="123">
        <v>45057</v>
      </c>
      <c r="B684" s="121">
        <f t="shared" si="92"/>
        <v>5</v>
      </c>
      <c r="C684" s="121">
        <f t="shared" si="93"/>
        <v>2023</v>
      </c>
      <c r="D684" s="121">
        <v>1.98</v>
      </c>
      <c r="E684" s="124">
        <f t="shared" si="96"/>
        <v>1.5642</v>
      </c>
      <c r="F684" s="109">
        <f t="shared" si="97"/>
        <v>376.2</v>
      </c>
      <c r="G684" s="111"/>
      <c r="H684" s="121"/>
      <c r="I684" s="121"/>
      <c r="J684" s="121"/>
      <c r="K684" s="121"/>
      <c r="L684" s="130">
        <v>0.79</v>
      </c>
      <c r="M684" s="130">
        <v>0.19</v>
      </c>
      <c r="N684" s="121"/>
      <c r="O684" s="121"/>
      <c r="P684" s="121"/>
      <c r="Q684" s="121"/>
      <c r="R684" s="121"/>
      <c r="S684" s="121"/>
      <c r="AZ684" s="98"/>
      <c r="BB684" s="98"/>
      <c r="BD684" s="98"/>
      <c r="BF684" s="98"/>
      <c r="BH684" s="98"/>
      <c r="BJ684" s="98"/>
      <c r="BL684" s="98"/>
      <c r="BN684" s="98"/>
      <c r="BP684" s="98"/>
      <c r="BR684" s="98"/>
    </row>
    <row r="685" spans="1:70">
      <c r="A685" s="123">
        <v>45064</v>
      </c>
      <c r="B685" s="121">
        <f t="shared" si="92"/>
        <v>5</v>
      </c>
      <c r="C685" s="121">
        <f t="shared" si="93"/>
        <v>2023</v>
      </c>
      <c r="D685" s="121">
        <v>1.73</v>
      </c>
      <c r="E685" s="124">
        <f t="shared" si="96"/>
        <v>1.3667</v>
      </c>
      <c r="F685" s="109">
        <f t="shared" si="97"/>
        <v>328.7</v>
      </c>
      <c r="G685" s="111"/>
      <c r="H685" s="121"/>
      <c r="I685" s="121"/>
      <c r="J685" s="121"/>
      <c r="K685" s="121"/>
      <c r="L685" s="130">
        <v>0.79</v>
      </c>
      <c r="M685" s="130">
        <v>0.19</v>
      </c>
      <c r="N685" s="121"/>
      <c r="O685" s="121"/>
      <c r="P685" s="121"/>
      <c r="Q685" s="121"/>
      <c r="R685" s="121"/>
      <c r="S685" s="121"/>
      <c r="AZ685" s="98"/>
      <c r="BB685" s="98"/>
      <c r="BD685" s="98"/>
      <c r="BF685" s="98"/>
      <c r="BH685" s="98"/>
      <c r="BJ685" s="98"/>
      <c r="BL685" s="98"/>
      <c r="BN685" s="98"/>
      <c r="BP685" s="98"/>
      <c r="BR685" s="98"/>
    </row>
    <row r="686" spans="1:70">
      <c r="A686" s="123">
        <v>45071</v>
      </c>
      <c r="B686" s="121">
        <f t="shared" si="92"/>
        <v>5</v>
      </c>
      <c r="C686" s="121">
        <f t="shared" si="93"/>
        <v>2023</v>
      </c>
      <c r="D686" s="121">
        <v>1.89</v>
      </c>
      <c r="E686" s="124">
        <f t="shared" si="96"/>
        <v>1.4931000000000001</v>
      </c>
      <c r="F686" s="109">
        <f t="shared" si="97"/>
        <v>359.09999999999997</v>
      </c>
      <c r="G686" s="111"/>
      <c r="H686" s="121"/>
      <c r="I686" s="121"/>
      <c r="J686" s="121"/>
      <c r="K686" s="121"/>
      <c r="L686" s="130">
        <v>0.79</v>
      </c>
      <c r="M686" s="130">
        <v>0.19</v>
      </c>
      <c r="N686" s="121"/>
      <c r="O686" s="121"/>
      <c r="P686" s="121"/>
      <c r="Q686" s="121"/>
      <c r="R686" s="121"/>
      <c r="S686" s="121"/>
      <c r="AZ686" s="98"/>
      <c r="BB686" s="98"/>
      <c r="BD686" s="98"/>
      <c r="BF686" s="98"/>
      <c r="BH686" s="98"/>
      <c r="BJ686" s="98"/>
      <c r="BL686" s="98"/>
      <c r="BN686" s="98"/>
      <c r="BP686" s="98"/>
      <c r="BR686" s="98"/>
    </row>
    <row r="687" spans="1:70">
      <c r="A687" s="123">
        <v>45078</v>
      </c>
      <c r="B687" s="121">
        <f t="shared" si="92"/>
        <v>6</v>
      </c>
      <c r="C687" s="121">
        <f t="shared" si="93"/>
        <v>2023</v>
      </c>
      <c r="D687" s="121">
        <v>2.04</v>
      </c>
      <c r="E687" s="124">
        <f t="shared" si="96"/>
        <v>1.6116000000000001</v>
      </c>
      <c r="F687" s="109">
        <f t="shared" si="97"/>
        <v>387.6</v>
      </c>
      <c r="G687" s="111"/>
      <c r="H687" s="121"/>
      <c r="I687" s="121"/>
      <c r="J687" s="121"/>
      <c r="K687" s="121"/>
      <c r="L687" s="130">
        <v>0.79</v>
      </c>
      <c r="M687" s="130">
        <v>0.19</v>
      </c>
      <c r="N687" s="121"/>
      <c r="O687" s="121"/>
      <c r="P687" s="121"/>
      <c r="Q687" s="121"/>
      <c r="R687" s="121"/>
      <c r="S687" s="121"/>
      <c r="AZ687" s="98"/>
      <c r="BB687" s="98"/>
      <c r="BD687" s="98"/>
      <c r="BF687" s="98"/>
      <c r="BH687" s="98"/>
      <c r="BJ687" s="98"/>
      <c r="BL687" s="98"/>
      <c r="BN687" s="98"/>
      <c r="BP687" s="98"/>
      <c r="BR687" s="98"/>
    </row>
    <row r="688" spans="1:70">
      <c r="A688" s="123">
        <v>45085</v>
      </c>
      <c r="B688" s="121">
        <f t="shared" si="92"/>
        <v>6</v>
      </c>
      <c r="C688" s="121">
        <f t="shared" si="93"/>
        <v>2023</v>
      </c>
      <c r="D688" s="121">
        <v>2.16</v>
      </c>
      <c r="E688" s="124">
        <f t="shared" si="96"/>
        <v>1.7064000000000001</v>
      </c>
      <c r="F688" s="109">
        <f t="shared" si="97"/>
        <v>410.40000000000003</v>
      </c>
      <c r="G688" s="111"/>
      <c r="H688" s="121"/>
      <c r="I688" s="121"/>
      <c r="J688" s="121"/>
      <c r="K688" s="121"/>
      <c r="L688" s="130">
        <v>0.79</v>
      </c>
      <c r="M688" s="130">
        <v>0.19</v>
      </c>
      <c r="N688" s="121"/>
      <c r="O688" s="121"/>
      <c r="P688" s="121"/>
      <c r="Q688" s="121"/>
      <c r="R688" s="121"/>
      <c r="S688" s="121"/>
      <c r="AZ688" s="98"/>
      <c r="BB688" s="98"/>
      <c r="BD688" s="98"/>
      <c r="BF688" s="98"/>
      <c r="BH688" s="98"/>
      <c r="BJ688" s="98"/>
      <c r="BL688" s="98"/>
      <c r="BN688" s="98"/>
      <c r="BP688" s="98"/>
      <c r="BR688" s="98"/>
    </row>
    <row r="689" spans="1:70">
      <c r="A689" s="123">
        <v>45092</v>
      </c>
      <c r="B689" s="121">
        <f t="shared" si="92"/>
        <v>6</v>
      </c>
      <c r="C689" s="121">
        <f t="shared" si="93"/>
        <v>2023</v>
      </c>
      <c r="D689" s="121">
        <v>2.11</v>
      </c>
      <c r="E689" s="124">
        <f t="shared" si="96"/>
        <v>1.6669</v>
      </c>
      <c r="F689" s="109">
        <f t="shared" si="97"/>
        <v>400.9</v>
      </c>
      <c r="G689" s="111"/>
      <c r="H689" s="121"/>
      <c r="I689" s="121"/>
      <c r="J689" s="121"/>
      <c r="K689" s="121"/>
      <c r="L689" s="130">
        <v>0.79</v>
      </c>
      <c r="M689" s="130">
        <v>0.19</v>
      </c>
      <c r="N689" s="121"/>
      <c r="O689" s="121"/>
      <c r="P689" s="121"/>
      <c r="Q689" s="121"/>
      <c r="R689" s="121"/>
      <c r="S689" s="121"/>
      <c r="AZ689" s="98"/>
      <c r="BB689" s="98"/>
      <c r="BD689" s="98"/>
      <c r="BF689" s="98"/>
      <c r="BH689" s="98"/>
      <c r="BJ689" s="98"/>
      <c r="BL689" s="98"/>
      <c r="BN689" s="98"/>
      <c r="BP689" s="98"/>
      <c r="BR689" s="98"/>
    </row>
    <row r="690" spans="1:70">
      <c r="A690" s="123">
        <v>45099</v>
      </c>
      <c r="B690" s="121">
        <f t="shared" si="92"/>
        <v>6</v>
      </c>
      <c r="C690" s="121">
        <f t="shared" si="93"/>
        <v>2023</v>
      </c>
      <c r="D690" s="121">
        <v>2.2400000000000002</v>
      </c>
      <c r="E690" s="124">
        <f t="shared" si="96"/>
        <v>1.7696000000000003</v>
      </c>
      <c r="F690" s="109">
        <f t="shared" si="97"/>
        <v>425.6</v>
      </c>
      <c r="G690" s="111"/>
      <c r="H690" s="121"/>
      <c r="I690" s="121"/>
      <c r="J690" s="121"/>
      <c r="K690" s="121"/>
      <c r="L690" s="130">
        <v>0.79</v>
      </c>
      <c r="M690" s="130">
        <v>0.19</v>
      </c>
      <c r="N690" s="121"/>
      <c r="O690" s="121"/>
      <c r="P690" s="121"/>
      <c r="Q690" s="121"/>
      <c r="R690" s="121"/>
      <c r="S690" s="121"/>
      <c r="AZ690" s="98"/>
      <c r="BB690" s="98"/>
      <c r="BD690" s="98"/>
      <c r="BF690" s="98"/>
      <c r="BH690" s="98"/>
      <c r="BJ690" s="98"/>
      <c r="BL690" s="98"/>
      <c r="BN690" s="98"/>
      <c r="BP690" s="98"/>
      <c r="BR690" s="98"/>
    </row>
    <row r="691" spans="1:70">
      <c r="A691" s="123">
        <v>45106</v>
      </c>
      <c r="B691" s="121">
        <f t="shared" si="92"/>
        <v>6</v>
      </c>
      <c r="C691" s="121">
        <f t="shared" si="93"/>
        <v>2023</v>
      </c>
      <c r="D691" s="121">
        <v>2.08</v>
      </c>
      <c r="E691" s="124">
        <f t="shared" si="96"/>
        <v>1.6432000000000002</v>
      </c>
      <c r="F691" s="109">
        <f t="shared" si="97"/>
        <v>395.2</v>
      </c>
      <c r="G691" s="111"/>
      <c r="H691" s="121"/>
      <c r="I691" s="121"/>
      <c r="J691" s="121"/>
      <c r="K691" s="121"/>
      <c r="L691" s="130">
        <v>0.79</v>
      </c>
      <c r="M691" s="130">
        <v>0.19</v>
      </c>
      <c r="N691" s="121"/>
      <c r="O691" s="121"/>
      <c r="P691" s="121"/>
      <c r="Q691" s="121"/>
      <c r="R691" s="121"/>
      <c r="S691" s="121"/>
      <c r="AZ691" s="98"/>
      <c r="BB691" s="98"/>
      <c r="BD691" s="98"/>
      <c r="BF691" s="98"/>
      <c r="BH691" s="98"/>
      <c r="BJ691" s="98"/>
      <c r="BL691" s="98"/>
      <c r="BN691" s="98"/>
      <c r="BP691" s="98"/>
      <c r="BR691" s="98"/>
    </row>
    <row r="692" spans="1:70">
      <c r="A692" s="123">
        <v>45113</v>
      </c>
      <c r="B692" s="121">
        <f t="shared" si="92"/>
        <v>7</v>
      </c>
      <c r="C692" s="121">
        <f t="shared" si="93"/>
        <v>2023</v>
      </c>
      <c r="D692" s="121">
        <v>1.86</v>
      </c>
      <c r="E692" s="124">
        <f t="shared" si="96"/>
        <v>1.4694</v>
      </c>
      <c r="F692" s="109">
        <f t="shared" si="97"/>
        <v>353.40000000000003</v>
      </c>
      <c r="G692" s="111"/>
      <c r="H692" s="121"/>
      <c r="I692" s="121"/>
      <c r="J692" s="121"/>
      <c r="K692" s="121"/>
      <c r="L692" s="130">
        <v>0.79</v>
      </c>
      <c r="M692" s="130">
        <v>0.19</v>
      </c>
      <c r="N692" s="121"/>
      <c r="O692" s="121"/>
      <c r="P692" s="121"/>
      <c r="Q692" s="121"/>
      <c r="R692" s="121"/>
      <c r="S692" s="121"/>
      <c r="AZ692" s="98"/>
      <c r="BB692" s="98"/>
      <c r="BD692" s="98"/>
      <c r="BF692" s="98"/>
      <c r="BH692" s="98"/>
      <c r="BJ692" s="98"/>
      <c r="BL692" s="98"/>
      <c r="BN692" s="98"/>
      <c r="BP692" s="98"/>
      <c r="BR692" s="98"/>
    </row>
    <row r="693" spans="1:70">
      <c r="A693" s="123">
        <v>45120</v>
      </c>
      <c r="B693" s="121">
        <f t="shared" si="92"/>
        <v>7</v>
      </c>
      <c r="C693" s="121">
        <f t="shared" si="93"/>
        <v>2023</v>
      </c>
      <c r="D693" s="121">
        <v>1.77</v>
      </c>
      <c r="E693" s="124">
        <f t="shared" si="96"/>
        <v>1.3983000000000001</v>
      </c>
      <c r="F693" s="109">
        <f t="shared" si="97"/>
        <v>336.3</v>
      </c>
      <c r="G693" s="111"/>
      <c r="H693" s="121"/>
      <c r="I693" s="121"/>
      <c r="J693" s="121"/>
      <c r="K693" s="121"/>
      <c r="L693" s="130">
        <v>0.79</v>
      </c>
      <c r="M693" s="130">
        <v>0.19</v>
      </c>
      <c r="N693" s="121"/>
      <c r="O693" s="121"/>
      <c r="P693" s="121"/>
      <c r="Q693" s="121"/>
      <c r="R693" s="121"/>
      <c r="S693" s="121"/>
      <c r="AZ693" s="98"/>
      <c r="BB693" s="98"/>
      <c r="BD693" s="98"/>
      <c r="BF693" s="98"/>
      <c r="BH693" s="98"/>
      <c r="BJ693" s="98"/>
      <c r="BL693" s="98"/>
      <c r="BN693" s="98"/>
      <c r="BP693" s="98"/>
      <c r="BR693" s="98"/>
    </row>
    <row r="694" spans="1:70">
      <c r="A694" s="123">
        <v>45127</v>
      </c>
      <c r="B694" s="121">
        <f t="shared" si="92"/>
        <v>7</v>
      </c>
      <c r="C694" s="121">
        <f t="shared" si="93"/>
        <v>2023</v>
      </c>
      <c r="D694" s="121">
        <v>2.11</v>
      </c>
      <c r="E694" s="124">
        <f t="shared" si="96"/>
        <v>1.6669</v>
      </c>
      <c r="F694" s="109">
        <f t="shared" si="97"/>
        <v>400.9</v>
      </c>
      <c r="G694" s="111"/>
      <c r="H694" s="121"/>
      <c r="I694" s="121"/>
      <c r="J694" s="121"/>
      <c r="K694" s="121"/>
      <c r="L694" s="130">
        <v>0.79</v>
      </c>
      <c r="M694" s="130">
        <v>0.19</v>
      </c>
      <c r="N694" s="121"/>
      <c r="O694" s="121"/>
      <c r="P694" s="121"/>
      <c r="Q694" s="121"/>
      <c r="R694" s="121"/>
      <c r="S694" s="121"/>
      <c r="AZ694" s="98"/>
      <c r="BB694" s="98"/>
      <c r="BD694" s="98"/>
      <c r="BF694" s="98"/>
      <c r="BH694" s="98"/>
      <c r="BJ694" s="98"/>
      <c r="BL694" s="98"/>
      <c r="BN694" s="98"/>
      <c r="BP694" s="98"/>
      <c r="BR694" s="98"/>
    </row>
    <row r="695" spans="1:70">
      <c r="A695" s="123">
        <v>45134</v>
      </c>
      <c r="B695" s="121">
        <f t="shared" si="92"/>
        <v>7</v>
      </c>
      <c r="C695" s="121">
        <f t="shared" si="93"/>
        <v>2023</v>
      </c>
      <c r="D695" s="121">
        <v>2.2200000000000002</v>
      </c>
      <c r="E695" s="124">
        <f t="shared" si="96"/>
        <v>1.7538000000000002</v>
      </c>
      <c r="F695" s="109">
        <f t="shared" si="97"/>
        <v>421.80000000000007</v>
      </c>
      <c r="G695" s="111"/>
      <c r="H695" s="121"/>
      <c r="I695" s="121"/>
      <c r="J695" s="121"/>
      <c r="K695" s="121"/>
      <c r="L695" s="130">
        <v>0.79</v>
      </c>
      <c r="M695" s="130">
        <v>0.19</v>
      </c>
      <c r="N695" s="121"/>
      <c r="O695" s="121"/>
      <c r="P695" s="121"/>
      <c r="Q695" s="121"/>
      <c r="R695" s="121"/>
      <c r="S695" s="121"/>
      <c r="AZ695" s="98"/>
      <c r="BB695" s="98"/>
      <c r="BD695" s="98"/>
      <c r="BF695" s="98"/>
      <c r="BH695" s="98"/>
      <c r="BJ695" s="98"/>
      <c r="BL695" s="98"/>
      <c r="BN695" s="98"/>
      <c r="BP695" s="98"/>
      <c r="BR695" s="98"/>
    </row>
    <row r="696" spans="1:70">
      <c r="A696" s="123">
        <v>45141</v>
      </c>
      <c r="B696" s="121">
        <f t="shared" si="92"/>
        <v>8</v>
      </c>
      <c r="C696" s="121">
        <f t="shared" si="93"/>
        <v>2023</v>
      </c>
      <c r="D696" s="121">
        <v>2.16</v>
      </c>
      <c r="E696" s="124">
        <f t="shared" si="96"/>
        <v>1.7064000000000001</v>
      </c>
      <c r="F696" s="109">
        <f t="shared" si="97"/>
        <v>410.40000000000003</v>
      </c>
      <c r="G696" s="111"/>
      <c r="H696" s="121"/>
      <c r="I696" s="121"/>
      <c r="J696" s="121"/>
      <c r="K696" s="121"/>
      <c r="L696" s="130">
        <v>0.79</v>
      </c>
      <c r="M696" s="130">
        <v>0.19</v>
      </c>
      <c r="N696" s="121"/>
      <c r="O696" s="121"/>
      <c r="P696" s="121"/>
      <c r="Q696" s="121"/>
      <c r="R696" s="121"/>
      <c r="S696" s="121"/>
      <c r="AZ696" s="98"/>
      <c r="BB696" s="98"/>
      <c r="BD696" s="98"/>
      <c r="BF696" s="98"/>
      <c r="BH696" s="98"/>
      <c r="BJ696" s="98"/>
      <c r="BL696" s="98"/>
      <c r="BN696" s="98"/>
      <c r="BP696" s="98"/>
      <c r="BR696" s="98"/>
    </row>
    <row r="697" spans="1:70">
      <c r="A697" s="123">
        <v>45148</v>
      </c>
      <c r="B697" s="121">
        <f t="shared" si="92"/>
        <v>8</v>
      </c>
      <c r="C697" s="121">
        <f t="shared" si="93"/>
        <v>2023</v>
      </c>
      <c r="D697" s="121">
        <v>2.02</v>
      </c>
      <c r="E697" s="124">
        <f t="shared" si="96"/>
        <v>1.5958000000000001</v>
      </c>
      <c r="F697" s="109">
        <f t="shared" si="97"/>
        <v>383.8</v>
      </c>
      <c r="G697" s="111"/>
      <c r="H697" s="121"/>
      <c r="I697" s="121"/>
      <c r="J697" s="121"/>
      <c r="K697" s="121"/>
      <c r="L697" s="130">
        <v>0.79</v>
      </c>
      <c r="M697" s="130">
        <v>0.19</v>
      </c>
      <c r="N697" s="121"/>
      <c r="O697" s="121"/>
      <c r="P697" s="121"/>
      <c r="Q697" s="121"/>
      <c r="R697" s="121"/>
      <c r="S697" s="121"/>
      <c r="AZ697" s="98"/>
      <c r="BB697" s="98"/>
      <c r="BD697" s="98"/>
      <c r="BF697" s="98"/>
      <c r="BH697" s="98"/>
      <c r="BJ697" s="98"/>
      <c r="BL697" s="98"/>
      <c r="BN697" s="98"/>
      <c r="BP697" s="98"/>
      <c r="BR697" s="98"/>
    </row>
    <row r="698" spans="1:70">
      <c r="A698" s="123">
        <v>45155</v>
      </c>
      <c r="B698" s="121">
        <f t="shared" si="92"/>
        <v>8</v>
      </c>
      <c r="C698" s="121">
        <f t="shared" si="93"/>
        <v>2023</v>
      </c>
      <c r="D698" s="121">
        <v>2.1</v>
      </c>
      <c r="E698" s="124">
        <f t="shared" si="96"/>
        <v>1.6590000000000003</v>
      </c>
      <c r="F698" s="109">
        <f t="shared" si="97"/>
        <v>399</v>
      </c>
      <c r="G698" s="111"/>
      <c r="H698" s="121"/>
      <c r="I698" s="121"/>
      <c r="J698" s="121"/>
      <c r="K698" s="121"/>
      <c r="L698" s="130">
        <v>0.79</v>
      </c>
      <c r="M698" s="130">
        <v>0.19</v>
      </c>
      <c r="N698" s="121"/>
      <c r="O698" s="121"/>
      <c r="P698" s="121"/>
      <c r="Q698" s="121"/>
      <c r="R698" s="121"/>
      <c r="S698" s="121"/>
      <c r="AZ698" s="98"/>
      <c r="BB698" s="98"/>
      <c r="BD698" s="98"/>
      <c r="BF698" s="98"/>
      <c r="BH698" s="98"/>
      <c r="BJ698" s="98"/>
      <c r="BL698" s="98"/>
      <c r="BN698" s="98"/>
      <c r="BP698" s="98"/>
      <c r="BR698" s="98"/>
    </row>
    <row r="699" spans="1:70">
      <c r="A699" s="123">
        <v>45162</v>
      </c>
      <c r="B699" s="121">
        <f t="shared" si="92"/>
        <v>8</v>
      </c>
      <c r="C699" s="121">
        <f t="shared" si="93"/>
        <v>2023</v>
      </c>
      <c r="D699" s="121">
        <v>2.15</v>
      </c>
      <c r="E699" s="124">
        <f t="shared" si="96"/>
        <v>1.6984999999999999</v>
      </c>
      <c r="F699" s="109">
        <f t="shared" si="97"/>
        <v>408.5</v>
      </c>
      <c r="G699" s="111"/>
      <c r="H699" s="121"/>
      <c r="I699" s="121"/>
      <c r="J699" s="121"/>
      <c r="K699" s="121"/>
      <c r="L699" s="130">
        <v>0.79</v>
      </c>
      <c r="M699" s="130">
        <v>0.19</v>
      </c>
      <c r="N699" s="121"/>
      <c r="O699" s="121"/>
      <c r="P699" s="121"/>
      <c r="Q699" s="121"/>
      <c r="R699" s="121"/>
      <c r="S699" s="121"/>
      <c r="AZ699" s="98"/>
      <c r="BB699" s="98"/>
      <c r="BD699" s="98"/>
      <c r="BF699" s="98"/>
      <c r="BH699" s="98"/>
      <c r="BJ699" s="98"/>
      <c r="BL699" s="98"/>
      <c r="BN699" s="98"/>
      <c r="BP699" s="98"/>
      <c r="BR699" s="98"/>
    </row>
    <row r="700" spans="1:70">
      <c r="A700" s="123">
        <v>45169</v>
      </c>
      <c r="B700" s="121">
        <f t="shared" si="92"/>
        <v>8</v>
      </c>
      <c r="C700" s="121">
        <f t="shared" si="93"/>
        <v>2023</v>
      </c>
      <c r="D700" s="121">
        <v>2</v>
      </c>
      <c r="E700" s="124">
        <f t="shared" si="96"/>
        <v>1.58</v>
      </c>
      <c r="F700" s="109">
        <f t="shared" si="97"/>
        <v>380</v>
      </c>
      <c r="G700" s="111"/>
      <c r="H700" s="121"/>
      <c r="I700" s="121"/>
      <c r="J700" s="121"/>
      <c r="K700" s="121"/>
      <c r="L700" s="130">
        <v>0.79</v>
      </c>
      <c r="M700" s="130">
        <v>0.19</v>
      </c>
      <c r="N700" s="121"/>
      <c r="O700" s="121"/>
      <c r="P700" s="121"/>
      <c r="Q700" s="121"/>
      <c r="R700" s="121"/>
      <c r="S700" s="121"/>
      <c r="AZ700" s="98"/>
      <c r="BB700" s="98"/>
      <c r="BD700" s="98"/>
      <c r="BF700" s="98"/>
      <c r="BH700" s="98"/>
      <c r="BJ700" s="98"/>
      <c r="BL700" s="98"/>
      <c r="BN700" s="98"/>
      <c r="BP700" s="98"/>
      <c r="BR700" s="98"/>
    </row>
    <row r="701" spans="1:70">
      <c r="A701" s="123">
        <v>45176</v>
      </c>
      <c r="B701" s="121">
        <f t="shared" si="92"/>
        <v>9</v>
      </c>
      <c r="C701" s="121">
        <f t="shared" si="93"/>
        <v>2023</v>
      </c>
      <c r="D701" s="121">
        <v>2.04</v>
      </c>
      <c r="E701" s="124">
        <f t="shared" si="96"/>
        <v>1.6116000000000001</v>
      </c>
      <c r="F701" s="109">
        <f t="shared" si="97"/>
        <v>387.6</v>
      </c>
      <c r="G701" s="111"/>
      <c r="H701" s="121"/>
      <c r="I701" s="121"/>
      <c r="J701" s="121"/>
      <c r="K701" s="121"/>
      <c r="L701" s="130">
        <v>0.79</v>
      </c>
      <c r="M701" s="130">
        <v>0.19</v>
      </c>
      <c r="N701" s="121"/>
      <c r="O701" s="121"/>
      <c r="P701" s="121"/>
      <c r="Q701" s="121"/>
      <c r="R701" s="121"/>
      <c r="S701" s="121"/>
      <c r="AZ701" s="98"/>
      <c r="BB701" s="98"/>
      <c r="BD701" s="98"/>
      <c r="BF701" s="98"/>
      <c r="BH701" s="98"/>
      <c r="BJ701" s="98"/>
      <c r="BL701" s="98"/>
      <c r="BN701" s="98"/>
      <c r="BP701" s="98"/>
      <c r="BR701" s="98"/>
    </row>
    <row r="702" spans="1:70">
      <c r="A702" s="123">
        <v>45183</v>
      </c>
      <c r="B702" s="121">
        <f t="shared" si="92"/>
        <v>9</v>
      </c>
      <c r="C702" s="121">
        <f t="shared" si="93"/>
        <v>2023</v>
      </c>
      <c r="D702" s="121">
        <v>1.97</v>
      </c>
      <c r="E702" s="124">
        <f t="shared" si="96"/>
        <v>1.5563</v>
      </c>
      <c r="F702" s="109">
        <f t="shared" si="97"/>
        <v>374.3</v>
      </c>
      <c r="G702" s="111"/>
      <c r="H702" s="121"/>
      <c r="I702" s="121"/>
      <c r="J702" s="121"/>
      <c r="K702" s="121"/>
      <c r="L702" s="130">
        <v>0.79</v>
      </c>
      <c r="M702" s="130">
        <v>0.19</v>
      </c>
      <c r="N702" s="121"/>
      <c r="O702" s="121"/>
      <c r="P702" s="121"/>
      <c r="Q702" s="121"/>
      <c r="R702" s="121"/>
      <c r="S702" s="121"/>
      <c r="AZ702" s="98"/>
      <c r="BB702" s="98"/>
      <c r="BD702" s="98"/>
      <c r="BF702" s="98"/>
      <c r="BH702" s="98"/>
      <c r="BJ702" s="98"/>
      <c r="BL702" s="98"/>
      <c r="BN702" s="98"/>
      <c r="BP702" s="98"/>
      <c r="BR702" s="98"/>
    </row>
    <row r="703" spans="1:70">
      <c r="A703" s="123">
        <v>45189</v>
      </c>
      <c r="B703" s="121">
        <f t="shared" si="92"/>
        <v>9</v>
      </c>
      <c r="C703" s="121">
        <f t="shared" si="93"/>
        <v>2023</v>
      </c>
      <c r="D703" s="121">
        <v>2.04</v>
      </c>
      <c r="E703" s="124">
        <f t="shared" si="96"/>
        <v>1.6116000000000001</v>
      </c>
      <c r="F703" s="109">
        <f t="shared" si="97"/>
        <v>387.6</v>
      </c>
      <c r="G703" s="111"/>
      <c r="H703" s="121"/>
      <c r="I703" s="121"/>
      <c r="J703" s="121"/>
      <c r="K703" s="121"/>
      <c r="L703" s="130">
        <v>0.79</v>
      </c>
      <c r="M703" s="130">
        <v>0.19</v>
      </c>
      <c r="N703" s="121"/>
      <c r="O703" s="121"/>
      <c r="P703" s="121"/>
      <c r="Q703" s="121"/>
      <c r="R703" s="121"/>
      <c r="S703" s="121"/>
      <c r="AZ703" s="98"/>
      <c r="BB703" s="98"/>
      <c r="BD703" s="98"/>
      <c r="BF703" s="98"/>
      <c r="BH703" s="98"/>
      <c r="BJ703" s="98"/>
      <c r="BL703" s="98"/>
      <c r="BN703" s="98"/>
      <c r="BP703" s="98"/>
      <c r="BR703" s="98"/>
    </row>
    <row r="704" spans="1:70">
      <c r="A704" s="123">
        <v>45196</v>
      </c>
      <c r="B704" s="121">
        <f t="shared" si="92"/>
        <v>9</v>
      </c>
      <c r="C704" s="121">
        <f t="shared" si="93"/>
        <v>2023</v>
      </c>
      <c r="D704" s="121">
        <v>2.15</v>
      </c>
      <c r="E704" s="124">
        <f t="shared" si="96"/>
        <v>1.6984999999999999</v>
      </c>
      <c r="F704" s="109">
        <f t="shared" si="97"/>
        <v>408.5</v>
      </c>
      <c r="G704" s="111"/>
      <c r="H704" s="121"/>
      <c r="I704" s="121"/>
      <c r="J704" s="121"/>
      <c r="K704" s="121"/>
      <c r="L704" s="130">
        <v>0.79</v>
      </c>
      <c r="M704" s="130">
        <v>0.19</v>
      </c>
      <c r="N704" s="121"/>
      <c r="O704" s="121"/>
      <c r="P704" s="121"/>
      <c r="Q704" s="121"/>
      <c r="R704" s="121"/>
      <c r="S704" s="121"/>
      <c r="AZ704" s="98"/>
      <c r="BB704" s="98"/>
      <c r="BD704" s="98"/>
      <c r="BF704" s="98"/>
      <c r="BH704" s="98"/>
      <c r="BJ704" s="98"/>
      <c r="BL704" s="98"/>
      <c r="BN704" s="98"/>
      <c r="BP704" s="98"/>
      <c r="BR704" s="98"/>
    </row>
    <row r="705" spans="1:70">
      <c r="A705" s="123">
        <v>45210</v>
      </c>
      <c r="B705" s="121">
        <f t="shared" si="92"/>
        <v>10</v>
      </c>
      <c r="C705" s="121">
        <f t="shared" si="93"/>
        <v>2023</v>
      </c>
      <c r="D705" s="121">
        <v>0.93</v>
      </c>
      <c r="E705" s="124">
        <f t="shared" si="96"/>
        <v>0.73470000000000002</v>
      </c>
      <c r="F705" s="109">
        <f t="shared" si="97"/>
        <v>176.70000000000002</v>
      </c>
      <c r="G705" s="111"/>
      <c r="H705" s="121"/>
      <c r="I705" s="121"/>
      <c r="J705" s="121"/>
      <c r="K705" s="121"/>
      <c r="L705" s="130">
        <v>0.79</v>
      </c>
      <c r="M705" s="130">
        <v>0.19</v>
      </c>
      <c r="N705" s="121"/>
      <c r="O705" s="121"/>
      <c r="P705" s="121"/>
      <c r="Q705" s="121"/>
      <c r="R705" s="121"/>
      <c r="S705" s="121"/>
      <c r="AZ705" s="98"/>
      <c r="BB705" s="98"/>
      <c r="BD705" s="98"/>
      <c r="BF705" s="98"/>
      <c r="BH705" s="98"/>
      <c r="BJ705" s="98"/>
      <c r="BL705" s="98"/>
      <c r="BN705" s="98"/>
      <c r="BP705" s="98"/>
      <c r="BR705" s="98"/>
    </row>
    <row r="706" spans="1:70">
      <c r="A706" s="123">
        <v>45217</v>
      </c>
      <c r="B706" s="121">
        <f t="shared" ref="B706:B764" si="98">MONTH(A706)</f>
        <v>10</v>
      </c>
      <c r="C706" s="121">
        <f t="shared" ref="C706:C764" si="99">YEAR(A706)</f>
        <v>2023</v>
      </c>
      <c r="D706" s="121">
        <v>1.57</v>
      </c>
      <c r="E706" s="124">
        <f t="shared" si="96"/>
        <v>1.2403000000000002</v>
      </c>
      <c r="F706" s="109">
        <f t="shared" si="97"/>
        <v>298.3</v>
      </c>
      <c r="G706" s="111"/>
      <c r="H706" s="121"/>
      <c r="I706" s="121"/>
      <c r="J706" s="121"/>
      <c r="K706" s="121"/>
      <c r="L706" s="130">
        <v>0.79</v>
      </c>
      <c r="M706" s="130">
        <v>0.19</v>
      </c>
      <c r="N706" s="121"/>
      <c r="O706" s="121"/>
      <c r="P706" s="121"/>
      <c r="Q706" s="121"/>
      <c r="R706" s="121"/>
      <c r="S706" s="121"/>
      <c r="AZ706" s="98"/>
      <c r="BB706" s="98"/>
      <c r="BD706" s="98"/>
      <c r="BF706" s="98"/>
      <c r="BH706" s="98"/>
      <c r="BJ706" s="98"/>
      <c r="BL706" s="98"/>
      <c r="BN706" s="98"/>
      <c r="BP706" s="98"/>
      <c r="BR706" s="98"/>
    </row>
    <row r="707" spans="1:70">
      <c r="A707" s="123">
        <v>45224</v>
      </c>
      <c r="B707" s="121">
        <f t="shared" si="98"/>
        <v>10</v>
      </c>
      <c r="C707" s="121">
        <f t="shared" si="99"/>
        <v>2023</v>
      </c>
      <c r="D707" s="121">
        <v>2.0299999999999998</v>
      </c>
      <c r="E707" s="124">
        <f t="shared" si="96"/>
        <v>1.6036999999999999</v>
      </c>
      <c r="F707" s="109">
        <f t="shared" si="97"/>
        <v>385.7</v>
      </c>
      <c r="G707" s="111"/>
      <c r="H707" s="121"/>
      <c r="I707" s="121"/>
      <c r="J707" s="121"/>
      <c r="K707" s="121"/>
      <c r="L707" s="130">
        <v>0.79</v>
      </c>
      <c r="M707" s="130">
        <v>0.19</v>
      </c>
      <c r="N707" s="121"/>
      <c r="O707" s="121"/>
      <c r="P707" s="121"/>
      <c r="Q707" s="121"/>
      <c r="R707" s="121"/>
      <c r="S707" s="121"/>
      <c r="AZ707" s="98"/>
      <c r="BB707" s="98"/>
      <c r="BD707" s="98"/>
      <c r="BF707" s="98"/>
      <c r="BH707" s="98"/>
      <c r="BJ707" s="98"/>
      <c r="BL707" s="98"/>
      <c r="BN707" s="98"/>
      <c r="BP707" s="98"/>
      <c r="BR707" s="98"/>
    </row>
    <row r="708" spans="1:70">
      <c r="A708" s="123">
        <v>45231</v>
      </c>
      <c r="B708" s="121">
        <f t="shared" si="98"/>
        <v>11</v>
      </c>
      <c r="C708" s="121">
        <f t="shared" si="99"/>
        <v>2023</v>
      </c>
      <c r="D708" s="121">
        <v>1.77</v>
      </c>
      <c r="E708" s="124">
        <f t="shared" si="96"/>
        <v>1.3983000000000001</v>
      </c>
      <c r="F708" s="109">
        <f t="shared" si="97"/>
        <v>336.3</v>
      </c>
      <c r="G708" s="111"/>
      <c r="H708" s="121"/>
      <c r="I708" s="121"/>
      <c r="J708" s="121"/>
      <c r="K708" s="121"/>
      <c r="L708" s="130">
        <v>0.79</v>
      </c>
      <c r="M708" s="130">
        <v>0.19</v>
      </c>
      <c r="N708" s="121"/>
      <c r="O708" s="121"/>
      <c r="P708" s="121"/>
      <c r="Q708" s="121"/>
      <c r="R708" s="121"/>
      <c r="S708" s="121"/>
      <c r="AZ708" s="98"/>
      <c r="BB708" s="98"/>
      <c r="BD708" s="98"/>
      <c r="BF708" s="98"/>
      <c r="BH708" s="98"/>
      <c r="BJ708" s="98"/>
      <c r="BL708" s="98"/>
      <c r="BN708" s="98"/>
      <c r="BP708" s="98"/>
      <c r="BR708" s="98"/>
    </row>
    <row r="709" spans="1:70">
      <c r="A709" s="123">
        <v>45238</v>
      </c>
      <c r="B709" s="121">
        <f t="shared" si="98"/>
        <v>11</v>
      </c>
      <c r="C709" s="121">
        <f t="shared" si="99"/>
        <v>2023</v>
      </c>
      <c r="D709" s="121">
        <v>1.7</v>
      </c>
      <c r="E709" s="124">
        <f t="shared" si="96"/>
        <v>1.343</v>
      </c>
      <c r="F709" s="109">
        <f t="shared" si="97"/>
        <v>323</v>
      </c>
      <c r="G709" s="111"/>
      <c r="H709" s="121"/>
      <c r="I709" s="121"/>
      <c r="J709" s="121"/>
      <c r="K709" s="121"/>
      <c r="L709" s="130">
        <v>0.79</v>
      </c>
      <c r="M709" s="130">
        <v>0.19</v>
      </c>
      <c r="N709" s="121"/>
      <c r="O709" s="121"/>
      <c r="P709" s="121"/>
      <c r="Q709" s="121"/>
      <c r="R709" s="121"/>
      <c r="S709" s="121"/>
      <c r="AZ709" s="98"/>
      <c r="BB709" s="98"/>
      <c r="BD709" s="98"/>
      <c r="BF709" s="98"/>
      <c r="BH709" s="98"/>
      <c r="BJ709" s="98"/>
      <c r="BL709" s="98"/>
      <c r="BN709" s="98"/>
      <c r="BP709" s="98"/>
      <c r="BR709" s="98"/>
    </row>
    <row r="710" spans="1:70">
      <c r="A710" s="123">
        <v>45245</v>
      </c>
      <c r="B710" s="121">
        <f t="shared" si="98"/>
        <v>11</v>
      </c>
      <c r="C710" s="121">
        <f t="shared" si="99"/>
        <v>2023</v>
      </c>
      <c r="D710" s="121">
        <v>1.7</v>
      </c>
      <c r="E710" s="124">
        <f t="shared" si="96"/>
        <v>1.343</v>
      </c>
      <c r="F710" s="109">
        <f t="shared" si="97"/>
        <v>323</v>
      </c>
      <c r="G710" s="111"/>
      <c r="H710" s="121"/>
      <c r="I710" s="121"/>
      <c r="J710" s="121"/>
      <c r="K710" s="121"/>
      <c r="L710" s="130">
        <v>0.79</v>
      </c>
      <c r="M710" s="130">
        <v>0.19</v>
      </c>
      <c r="N710" s="121"/>
      <c r="O710" s="121"/>
      <c r="P710" s="121"/>
      <c r="Q710" s="121"/>
      <c r="R710" s="121"/>
      <c r="S710" s="121"/>
      <c r="AZ710" s="98"/>
      <c r="BB710" s="98"/>
      <c r="BD710" s="98"/>
      <c r="BF710" s="98"/>
      <c r="BH710" s="98"/>
      <c r="BJ710" s="98"/>
      <c r="BL710" s="98"/>
      <c r="BN710" s="98"/>
      <c r="BP710" s="98"/>
      <c r="BR710" s="98"/>
    </row>
    <row r="711" spans="1:70">
      <c r="A711" s="123">
        <v>45252</v>
      </c>
      <c r="B711" s="121">
        <f t="shared" si="98"/>
        <v>11</v>
      </c>
      <c r="C711" s="121">
        <f t="shared" si="99"/>
        <v>2023</v>
      </c>
      <c r="D711" s="121">
        <v>1.85</v>
      </c>
      <c r="E711" s="124">
        <f t="shared" si="96"/>
        <v>1.4615000000000002</v>
      </c>
      <c r="F711" s="109">
        <f t="shared" si="97"/>
        <v>351.50000000000006</v>
      </c>
      <c r="G711" s="111"/>
      <c r="H711" s="121"/>
      <c r="I711" s="121"/>
      <c r="J711" s="121"/>
      <c r="K711" s="121"/>
      <c r="L711" s="130">
        <v>0.79</v>
      </c>
      <c r="M711" s="130">
        <v>0.19</v>
      </c>
      <c r="N711" s="121"/>
      <c r="O711" s="121"/>
      <c r="P711" s="121"/>
      <c r="Q711" s="121"/>
      <c r="R711" s="121"/>
      <c r="S711" s="121"/>
      <c r="AZ711" s="98"/>
      <c r="BB711" s="98"/>
      <c r="BD711" s="98"/>
      <c r="BF711" s="98"/>
      <c r="BH711" s="98"/>
      <c r="BJ711" s="98"/>
      <c r="BL711" s="98"/>
      <c r="BN711" s="98"/>
      <c r="BP711" s="98"/>
      <c r="BR711" s="98"/>
    </row>
    <row r="712" spans="1:70">
      <c r="A712" s="123">
        <v>45259</v>
      </c>
      <c r="B712" s="121">
        <f t="shared" si="98"/>
        <v>11</v>
      </c>
      <c r="C712" s="121">
        <f t="shared" si="99"/>
        <v>2023</v>
      </c>
      <c r="D712" s="121">
        <v>2.02</v>
      </c>
      <c r="E712" s="124">
        <f t="shared" si="96"/>
        <v>1.5958000000000001</v>
      </c>
      <c r="F712" s="109">
        <f t="shared" si="97"/>
        <v>383.8</v>
      </c>
      <c r="G712" s="111"/>
      <c r="H712" s="121"/>
      <c r="I712" s="121"/>
      <c r="J712" s="121"/>
      <c r="K712" s="121"/>
      <c r="L712" s="130">
        <v>0.79</v>
      </c>
      <c r="M712" s="130">
        <v>0.19</v>
      </c>
      <c r="N712" s="121"/>
      <c r="O712" s="121"/>
      <c r="P712" s="121"/>
      <c r="Q712" s="121"/>
      <c r="R712" s="121"/>
      <c r="S712" s="121"/>
      <c r="AZ712" s="98"/>
      <c r="BB712" s="98"/>
      <c r="BD712" s="98"/>
      <c r="BF712" s="98"/>
      <c r="BH712" s="98"/>
      <c r="BJ712" s="98"/>
      <c r="BL712" s="98"/>
      <c r="BN712" s="98"/>
      <c r="BP712" s="98"/>
      <c r="BR712" s="98"/>
    </row>
    <row r="713" spans="1:70">
      <c r="A713" s="123">
        <v>45266</v>
      </c>
      <c r="B713" s="121">
        <f t="shared" si="98"/>
        <v>12</v>
      </c>
      <c r="C713" s="121">
        <f t="shared" si="99"/>
        <v>2023</v>
      </c>
      <c r="D713" s="121">
        <v>2.02</v>
      </c>
      <c r="E713" s="124">
        <f t="shared" si="96"/>
        <v>1.5958000000000001</v>
      </c>
      <c r="F713" s="109">
        <f t="shared" si="97"/>
        <v>383.8</v>
      </c>
      <c r="G713" s="111"/>
      <c r="H713" s="121"/>
      <c r="I713" s="121"/>
      <c r="J713" s="121"/>
      <c r="K713" s="121"/>
      <c r="L713" s="130">
        <v>0.79</v>
      </c>
      <c r="M713" s="130">
        <v>0.19</v>
      </c>
      <c r="N713" s="121"/>
      <c r="O713" s="121"/>
      <c r="P713" s="121"/>
      <c r="Q713" s="121"/>
      <c r="R713" s="121"/>
      <c r="S713" s="121"/>
      <c r="AZ713" s="98"/>
      <c r="BB713" s="98"/>
      <c r="BD713" s="98"/>
      <c r="BF713" s="98"/>
      <c r="BH713" s="98"/>
      <c r="BJ713" s="98"/>
      <c r="BL713" s="98"/>
      <c r="BN713" s="98"/>
      <c r="BP713" s="98"/>
      <c r="BR713" s="98"/>
    </row>
    <row r="714" spans="1:70">
      <c r="A714" s="123">
        <v>45273</v>
      </c>
      <c r="B714" s="121">
        <f t="shared" si="98"/>
        <v>12</v>
      </c>
      <c r="C714" s="121">
        <f t="shared" si="99"/>
        <v>2023</v>
      </c>
      <c r="D714" s="121">
        <v>1.87</v>
      </c>
      <c r="E714" s="124">
        <f t="shared" si="96"/>
        <v>1.4773000000000001</v>
      </c>
      <c r="F714" s="109">
        <f t="shared" si="97"/>
        <v>355.3</v>
      </c>
      <c r="G714" s="111"/>
      <c r="H714" s="121"/>
      <c r="I714" s="121"/>
      <c r="J714" s="121"/>
      <c r="K714" s="121"/>
      <c r="L714" s="130">
        <v>0.79</v>
      </c>
      <c r="M714" s="130">
        <v>0.19</v>
      </c>
      <c r="N714" s="121"/>
      <c r="O714" s="121"/>
      <c r="P714" s="121"/>
      <c r="Q714" s="121"/>
      <c r="R714" s="121"/>
      <c r="S714" s="121"/>
      <c r="AZ714" s="98"/>
      <c r="BB714" s="98"/>
      <c r="BD714" s="98"/>
      <c r="BF714" s="98"/>
      <c r="BH714" s="98"/>
      <c r="BJ714" s="98"/>
      <c r="BL714" s="98"/>
      <c r="BN714" s="98"/>
      <c r="BP714" s="98"/>
      <c r="BR714" s="98"/>
    </row>
    <row r="715" spans="1:70">
      <c r="A715" s="123">
        <v>45280</v>
      </c>
      <c r="B715" s="121">
        <f t="shared" si="98"/>
        <v>12</v>
      </c>
      <c r="C715" s="121">
        <f t="shared" si="99"/>
        <v>2023</v>
      </c>
      <c r="D715" s="121">
        <v>1.88</v>
      </c>
      <c r="E715" s="124">
        <f t="shared" si="96"/>
        <v>1.4852000000000001</v>
      </c>
      <c r="F715" s="109">
        <f t="shared" si="97"/>
        <v>357.2</v>
      </c>
      <c r="G715" s="111"/>
      <c r="H715" s="121"/>
      <c r="I715" s="121"/>
      <c r="J715" s="121"/>
      <c r="K715" s="121"/>
      <c r="L715" s="130">
        <v>0.79</v>
      </c>
      <c r="M715" s="130">
        <v>0.19</v>
      </c>
      <c r="N715" s="121"/>
      <c r="O715" s="121"/>
      <c r="P715" s="121"/>
      <c r="Q715" s="121"/>
      <c r="R715" s="121"/>
      <c r="S715" s="121"/>
      <c r="AZ715" s="98"/>
      <c r="BB715" s="98"/>
      <c r="BD715" s="98"/>
      <c r="BF715" s="98"/>
      <c r="BH715" s="98"/>
      <c r="BJ715" s="98"/>
      <c r="BL715" s="98"/>
      <c r="BN715" s="98"/>
      <c r="BP715" s="98"/>
      <c r="BR715" s="98"/>
    </row>
    <row r="716" spans="1:70">
      <c r="A716" s="123">
        <v>45289</v>
      </c>
      <c r="B716" s="121">
        <f t="shared" si="98"/>
        <v>12</v>
      </c>
      <c r="C716" s="121">
        <f t="shared" si="99"/>
        <v>2023</v>
      </c>
      <c r="D716" s="121">
        <v>1.73</v>
      </c>
      <c r="E716" s="124">
        <f t="shared" si="96"/>
        <v>1.3667</v>
      </c>
      <c r="F716" s="109">
        <f t="shared" si="97"/>
        <v>328.7</v>
      </c>
      <c r="G716" s="111"/>
      <c r="H716" s="121"/>
      <c r="I716" s="121"/>
      <c r="J716" s="121"/>
      <c r="K716" s="121"/>
      <c r="L716" s="130">
        <v>0.79</v>
      </c>
      <c r="M716" s="130">
        <v>0.19</v>
      </c>
      <c r="N716" s="121"/>
      <c r="O716" s="121"/>
      <c r="P716" s="121"/>
      <c r="Q716" s="121"/>
      <c r="R716" s="121"/>
      <c r="S716" s="121"/>
      <c r="AZ716" s="98"/>
      <c r="BB716" s="98"/>
      <c r="BD716" s="98"/>
      <c r="BF716" s="98"/>
      <c r="BH716" s="98"/>
      <c r="BJ716" s="98"/>
      <c r="BL716" s="98"/>
      <c r="BN716" s="98"/>
      <c r="BP716" s="98"/>
      <c r="BR716" s="98"/>
    </row>
    <row r="717" spans="1:70">
      <c r="A717" s="123">
        <v>45294</v>
      </c>
      <c r="B717" s="121">
        <f t="shared" si="98"/>
        <v>1</v>
      </c>
      <c r="C717" s="121">
        <f t="shared" si="99"/>
        <v>2024</v>
      </c>
      <c r="D717" s="121">
        <v>1.8</v>
      </c>
      <c r="E717" s="124">
        <f t="shared" si="96"/>
        <v>1.4220000000000002</v>
      </c>
      <c r="F717" s="109">
        <f t="shared" si="97"/>
        <v>342</v>
      </c>
      <c r="G717" s="111"/>
      <c r="H717" s="121"/>
      <c r="I717" s="121"/>
      <c r="J717" s="121"/>
      <c r="K717" s="121"/>
      <c r="L717" s="130">
        <v>0.79</v>
      </c>
      <c r="M717" s="130">
        <v>0.19</v>
      </c>
      <c r="N717" s="121"/>
      <c r="O717" s="121"/>
      <c r="P717" s="121"/>
      <c r="Q717" s="121"/>
      <c r="R717" s="121"/>
      <c r="S717" s="121"/>
      <c r="AZ717" s="98"/>
      <c r="BB717" s="98"/>
      <c r="BD717" s="98"/>
      <c r="BF717" s="98"/>
      <c r="BH717" s="98"/>
      <c r="BJ717" s="98"/>
      <c r="BL717" s="98"/>
      <c r="BN717" s="98"/>
      <c r="BP717" s="98"/>
      <c r="BR717" s="98"/>
    </row>
    <row r="718" spans="1:70">
      <c r="A718" s="123">
        <v>45301</v>
      </c>
      <c r="B718" s="121">
        <f t="shared" si="98"/>
        <v>1</v>
      </c>
      <c r="C718" s="121">
        <f t="shared" si="99"/>
        <v>2024</v>
      </c>
      <c r="D718" s="121">
        <v>1.63</v>
      </c>
      <c r="E718" s="124">
        <f t="shared" ref="E718:E724" si="100">L718*D718</f>
        <v>1.2877000000000001</v>
      </c>
      <c r="F718" s="109">
        <f t="shared" ref="F718:F724" si="101">D718*M718*1000</f>
        <v>309.7</v>
      </c>
      <c r="G718" s="111"/>
      <c r="H718" s="121"/>
      <c r="I718" s="121"/>
      <c r="J718" s="121"/>
      <c r="K718" s="121"/>
      <c r="L718" s="130">
        <v>0.79</v>
      </c>
      <c r="M718" s="130">
        <v>0.19</v>
      </c>
      <c r="N718" s="121"/>
      <c r="O718" s="121"/>
      <c r="P718" s="121"/>
      <c r="Q718" s="121"/>
      <c r="R718" s="121"/>
      <c r="S718" s="121"/>
      <c r="AZ718" s="98"/>
      <c r="BB718" s="98"/>
      <c r="BD718" s="98"/>
      <c r="BF718" s="98"/>
      <c r="BH718" s="98"/>
      <c r="BJ718" s="98"/>
      <c r="BL718" s="98"/>
      <c r="BN718" s="98"/>
      <c r="BP718" s="98"/>
      <c r="BR718" s="98"/>
    </row>
    <row r="719" spans="1:70">
      <c r="A719" s="123">
        <v>45308</v>
      </c>
      <c r="B719" s="121">
        <f t="shared" si="98"/>
        <v>1</v>
      </c>
      <c r="C719" s="121">
        <f t="shared" si="99"/>
        <v>2024</v>
      </c>
      <c r="D719" s="121">
        <v>1.73</v>
      </c>
      <c r="E719" s="124">
        <f t="shared" si="100"/>
        <v>1.3667</v>
      </c>
      <c r="F719" s="109">
        <f t="shared" si="101"/>
        <v>328.7</v>
      </c>
      <c r="G719" s="111"/>
      <c r="H719" s="121"/>
      <c r="I719" s="121"/>
      <c r="J719" s="121"/>
      <c r="K719" s="121"/>
      <c r="L719" s="130">
        <v>0.79</v>
      </c>
      <c r="M719" s="130">
        <v>0.19</v>
      </c>
      <c r="N719" s="121"/>
      <c r="O719" s="121"/>
      <c r="P719" s="121"/>
      <c r="Q719" s="121"/>
      <c r="R719" s="121"/>
      <c r="S719" s="121"/>
      <c r="AZ719" s="98"/>
      <c r="BB719" s="98"/>
      <c r="BD719" s="98"/>
      <c r="BF719" s="98"/>
      <c r="BH719" s="98"/>
      <c r="BJ719" s="98"/>
      <c r="BL719" s="98"/>
      <c r="BN719" s="98"/>
      <c r="BP719" s="98"/>
      <c r="BR719" s="98"/>
    </row>
    <row r="720" spans="1:70">
      <c r="A720" s="123">
        <v>45315</v>
      </c>
      <c r="B720" s="121">
        <f t="shared" si="98"/>
        <v>1</v>
      </c>
      <c r="C720" s="121">
        <f t="shared" si="99"/>
        <v>2024</v>
      </c>
      <c r="D720" s="121">
        <v>1.82</v>
      </c>
      <c r="E720" s="124">
        <f t="shared" si="100"/>
        <v>1.4378000000000002</v>
      </c>
      <c r="F720" s="109">
        <f t="shared" si="101"/>
        <v>345.8</v>
      </c>
      <c r="G720" s="111"/>
      <c r="H720" s="121"/>
      <c r="I720" s="121"/>
      <c r="J720" s="121"/>
      <c r="K720" s="121"/>
      <c r="L720" s="130">
        <v>0.79</v>
      </c>
      <c r="M720" s="130">
        <v>0.19</v>
      </c>
      <c r="N720" s="121"/>
      <c r="O720" s="121"/>
      <c r="P720" s="121"/>
      <c r="Q720" s="121"/>
      <c r="R720" s="121"/>
      <c r="S720" s="121"/>
      <c r="AZ720" s="98"/>
      <c r="BB720" s="98"/>
      <c r="BD720" s="98"/>
      <c r="BF720" s="98"/>
      <c r="BH720" s="98"/>
      <c r="BJ720" s="98"/>
      <c r="BL720" s="98"/>
      <c r="BN720" s="98"/>
      <c r="BP720" s="98"/>
      <c r="BR720" s="98"/>
    </row>
    <row r="721" spans="1:70">
      <c r="A721" s="123">
        <v>45322</v>
      </c>
      <c r="B721" s="121">
        <f t="shared" si="98"/>
        <v>1</v>
      </c>
      <c r="C721" s="121">
        <f t="shared" si="99"/>
        <v>2024</v>
      </c>
      <c r="D721" s="121">
        <v>1.99</v>
      </c>
      <c r="E721" s="124">
        <f t="shared" si="100"/>
        <v>1.5721000000000001</v>
      </c>
      <c r="F721" s="109">
        <f t="shared" si="101"/>
        <v>378.09999999999997</v>
      </c>
      <c r="G721" s="111"/>
      <c r="H721" s="121"/>
      <c r="I721" s="121"/>
      <c r="J721" s="121"/>
      <c r="K721" s="121"/>
      <c r="L721" s="130">
        <v>0.79</v>
      </c>
      <c r="M721" s="130">
        <v>0.19</v>
      </c>
      <c r="N721" s="121"/>
      <c r="O721" s="121"/>
      <c r="P721" s="121"/>
      <c r="Q721" s="121"/>
      <c r="R721" s="121"/>
      <c r="S721" s="121"/>
      <c r="AZ721" s="98"/>
      <c r="BB721" s="98"/>
      <c r="BD721" s="98"/>
      <c r="BF721" s="98"/>
      <c r="BH721" s="98"/>
      <c r="BJ721" s="98"/>
      <c r="BL721" s="98"/>
      <c r="BN721" s="98"/>
      <c r="BP721" s="98"/>
      <c r="BR721" s="98"/>
    </row>
    <row r="722" spans="1:70">
      <c r="A722" s="123">
        <v>45329</v>
      </c>
      <c r="B722" s="121">
        <f t="shared" si="98"/>
        <v>2</v>
      </c>
      <c r="C722" s="121">
        <f t="shared" si="99"/>
        <v>2024</v>
      </c>
      <c r="D722" s="121">
        <v>1.91</v>
      </c>
      <c r="E722" s="124">
        <f t="shared" si="100"/>
        <v>1.5088999999999999</v>
      </c>
      <c r="F722" s="109">
        <f t="shared" si="101"/>
        <v>362.9</v>
      </c>
      <c r="G722" s="111"/>
      <c r="H722" s="121"/>
      <c r="I722" s="121"/>
      <c r="J722" s="121"/>
      <c r="K722" s="121"/>
      <c r="L722" s="130">
        <v>0.79</v>
      </c>
      <c r="M722" s="130">
        <v>0.19</v>
      </c>
      <c r="N722" s="121"/>
      <c r="O722" s="121"/>
      <c r="P722" s="121"/>
      <c r="Q722" s="121"/>
      <c r="R722" s="121"/>
      <c r="S722" s="121"/>
      <c r="AZ722" s="98"/>
      <c r="BB722" s="98"/>
      <c r="BD722" s="98"/>
      <c r="BF722" s="98"/>
      <c r="BH722" s="98"/>
      <c r="BJ722" s="98"/>
      <c r="BL722" s="98"/>
      <c r="BN722" s="98"/>
      <c r="BP722" s="98"/>
      <c r="BR722" s="98"/>
    </row>
    <row r="723" spans="1:70">
      <c r="A723" s="123">
        <v>45334</v>
      </c>
      <c r="B723" s="121">
        <f t="shared" si="98"/>
        <v>2</v>
      </c>
      <c r="C723" s="121">
        <f t="shared" si="99"/>
        <v>2024</v>
      </c>
      <c r="D723" s="121">
        <v>0.79</v>
      </c>
      <c r="E723" s="124">
        <f t="shared" si="100"/>
        <v>0.6241000000000001</v>
      </c>
      <c r="F723" s="109">
        <f t="shared" si="101"/>
        <v>150.10000000000002</v>
      </c>
      <c r="G723" s="111"/>
      <c r="H723" s="121"/>
      <c r="I723" s="121"/>
      <c r="J723" s="121"/>
      <c r="K723" s="121"/>
      <c r="L723" s="130">
        <v>0.79</v>
      </c>
      <c r="M723" s="130">
        <v>0.19</v>
      </c>
      <c r="N723" s="121"/>
      <c r="O723" s="121"/>
      <c r="P723" s="121"/>
      <c r="Q723" s="121"/>
      <c r="R723" s="121"/>
      <c r="S723" s="121"/>
      <c r="AZ723" s="98"/>
      <c r="BB723" s="98"/>
      <c r="BD723" s="98"/>
      <c r="BF723" s="98"/>
      <c r="BH723" s="98"/>
      <c r="BJ723" s="98"/>
      <c r="BL723" s="98"/>
      <c r="BN723" s="98"/>
      <c r="BP723" s="98"/>
      <c r="BR723" s="98"/>
    </row>
    <row r="724" spans="1:70">
      <c r="A724" s="123">
        <v>45350</v>
      </c>
      <c r="B724" s="121">
        <f t="shared" si="98"/>
        <v>2</v>
      </c>
      <c r="C724" s="121">
        <f t="shared" si="99"/>
        <v>2024</v>
      </c>
      <c r="D724" s="121">
        <v>1.1299999999999999</v>
      </c>
      <c r="E724" s="124">
        <f t="shared" si="100"/>
        <v>0.89269999999999994</v>
      </c>
      <c r="F724" s="109">
        <f t="shared" si="101"/>
        <v>214.69999999999996</v>
      </c>
      <c r="G724" s="111"/>
      <c r="H724" s="121"/>
      <c r="I724" s="121"/>
      <c r="J724" s="121"/>
      <c r="K724" s="121"/>
      <c r="L724" s="130">
        <v>0.79</v>
      </c>
      <c r="M724" s="130">
        <v>0.19</v>
      </c>
      <c r="N724" s="121"/>
      <c r="O724" s="121"/>
      <c r="P724" s="121"/>
      <c r="Q724" s="121"/>
      <c r="R724" s="121"/>
      <c r="S724" s="121"/>
      <c r="AZ724" s="98"/>
      <c r="BB724" s="98"/>
      <c r="BD724" s="98"/>
      <c r="BF724" s="98"/>
      <c r="BH724" s="98"/>
      <c r="BJ724" s="98"/>
      <c r="BL724" s="98"/>
      <c r="BN724" s="98"/>
      <c r="BP724" s="98"/>
      <c r="BR724" s="98"/>
    </row>
    <row r="725" spans="1:70">
      <c r="A725" s="123">
        <v>45366</v>
      </c>
      <c r="B725" s="121">
        <f t="shared" si="98"/>
        <v>3</v>
      </c>
      <c r="C725" s="121">
        <f t="shared" si="99"/>
        <v>2024</v>
      </c>
      <c r="D725" s="121">
        <v>1.64</v>
      </c>
      <c r="E725" s="124">
        <f t="shared" ref="E725:E728" si="102">L725*D725</f>
        <v>1.2956000000000001</v>
      </c>
      <c r="F725" s="109">
        <f t="shared" ref="F725:F728" si="103">D725*M725*1000</f>
        <v>311.59999999999997</v>
      </c>
      <c r="G725" s="111"/>
      <c r="H725" s="121"/>
      <c r="I725" s="121"/>
      <c r="J725" s="121"/>
      <c r="K725" s="121"/>
      <c r="L725" s="130">
        <v>0.79</v>
      </c>
      <c r="M725" s="130">
        <v>0.19</v>
      </c>
      <c r="N725" s="121"/>
      <c r="O725" s="121"/>
      <c r="P725" s="121"/>
      <c r="Q725" s="121"/>
      <c r="R725" s="121"/>
      <c r="S725" s="121"/>
      <c r="AZ725" s="98"/>
      <c r="BB725" s="98"/>
      <c r="BD725" s="98"/>
      <c r="BF725" s="98"/>
      <c r="BH725" s="98"/>
      <c r="BJ725" s="98"/>
      <c r="BL725" s="98"/>
      <c r="BN725" s="98"/>
      <c r="BP725" s="98"/>
      <c r="BR725" s="98"/>
    </row>
    <row r="726" spans="1:70">
      <c r="A726" s="123">
        <v>45373</v>
      </c>
      <c r="B726" s="121">
        <f t="shared" si="98"/>
        <v>3</v>
      </c>
      <c r="C726" s="121">
        <f t="shared" si="99"/>
        <v>2024</v>
      </c>
      <c r="D726" s="121">
        <v>1.53</v>
      </c>
      <c r="E726" s="124">
        <f t="shared" si="102"/>
        <v>1.2087000000000001</v>
      </c>
      <c r="F726" s="109">
        <f t="shared" si="103"/>
        <v>290.7</v>
      </c>
      <c r="G726" s="111"/>
      <c r="H726" s="121"/>
      <c r="I726" s="121"/>
      <c r="J726" s="121"/>
      <c r="K726" s="121"/>
      <c r="L726" s="130">
        <v>0.79</v>
      </c>
      <c r="M726" s="130">
        <v>0.19</v>
      </c>
      <c r="N726" s="121"/>
      <c r="O726" s="121"/>
      <c r="P726" s="121"/>
      <c r="Q726" s="121"/>
      <c r="R726" s="121"/>
      <c r="S726" s="121"/>
      <c r="AZ726" s="98"/>
      <c r="BB726" s="98"/>
      <c r="BD726" s="98"/>
      <c r="BF726" s="98"/>
      <c r="BH726" s="98"/>
      <c r="BJ726" s="98"/>
      <c r="BL726" s="98"/>
      <c r="BN726" s="98"/>
      <c r="BP726" s="98"/>
      <c r="BR726" s="98"/>
    </row>
    <row r="727" spans="1:70">
      <c r="A727" s="123">
        <v>45380</v>
      </c>
      <c r="B727" s="121">
        <f t="shared" si="98"/>
        <v>3</v>
      </c>
      <c r="C727" s="121">
        <f t="shared" si="99"/>
        <v>2024</v>
      </c>
      <c r="D727" s="121">
        <v>1.52</v>
      </c>
      <c r="E727" s="124">
        <f t="shared" si="102"/>
        <v>1.2008000000000001</v>
      </c>
      <c r="F727" s="109">
        <f t="shared" si="103"/>
        <v>288.8</v>
      </c>
      <c r="G727" s="111"/>
      <c r="H727" s="121"/>
      <c r="L727" s="130">
        <v>0.79</v>
      </c>
      <c r="M727" s="130">
        <v>0.19</v>
      </c>
      <c r="AZ727" s="98"/>
      <c r="BB727" s="98"/>
      <c r="BD727" s="98"/>
      <c r="BF727" s="98"/>
      <c r="BH727" s="98"/>
      <c r="BJ727" s="98"/>
      <c r="BL727" s="98"/>
      <c r="BN727" s="98"/>
      <c r="BP727" s="98"/>
      <c r="BR727" s="98"/>
    </row>
    <row r="728" spans="1:70">
      <c r="A728" s="123">
        <v>45387</v>
      </c>
      <c r="B728" s="121">
        <f t="shared" si="98"/>
        <v>4</v>
      </c>
      <c r="C728" s="121">
        <f t="shared" si="99"/>
        <v>2024</v>
      </c>
      <c r="D728" s="121">
        <v>1.52</v>
      </c>
      <c r="E728" s="124">
        <f t="shared" si="102"/>
        <v>1.2008000000000001</v>
      </c>
      <c r="F728" s="109">
        <f t="shared" si="103"/>
        <v>288.8</v>
      </c>
      <c r="G728" s="111"/>
      <c r="H728" s="121"/>
      <c r="L728" s="130">
        <v>0.79</v>
      </c>
      <c r="M728" s="130">
        <v>0.19</v>
      </c>
      <c r="AZ728" s="98"/>
      <c r="BB728" s="98"/>
      <c r="BD728" s="98"/>
      <c r="BF728" s="98"/>
      <c r="BH728" s="98"/>
      <c r="BJ728" s="98"/>
      <c r="BL728" s="98"/>
      <c r="BN728" s="98"/>
      <c r="BP728" s="98"/>
      <c r="BR728" s="98"/>
    </row>
    <row r="729" spans="1:70">
      <c r="A729" s="123">
        <v>45394</v>
      </c>
      <c r="B729" s="121">
        <f t="shared" si="98"/>
        <v>4</v>
      </c>
      <c r="C729" s="121">
        <f t="shared" si="99"/>
        <v>2024</v>
      </c>
      <c r="D729" s="121">
        <v>1.77</v>
      </c>
      <c r="E729" s="148">
        <v>1.3983000000000001</v>
      </c>
      <c r="F729" s="149">
        <v>336.3</v>
      </c>
      <c r="G729" s="111"/>
      <c r="H729" s="121"/>
      <c r="I729" s="111"/>
      <c r="J729" s="111">
        <f>J730*0.6857</f>
        <v>0.31542199999999998</v>
      </c>
      <c r="K729" s="111"/>
      <c r="L729" s="111"/>
      <c r="M729" s="111"/>
      <c r="AZ729" s="98"/>
      <c r="BB729" s="98"/>
      <c r="BD729" s="98"/>
      <c r="BF729" s="98"/>
      <c r="BH729" s="98"/>
      <c r="BJ729" s="98"/>
      <c r="BL729" s="98"/>
      <c r="BN729" s="98"/>
      <c r="BP729" s="98"/>
      <c r="BR729" s="98"/>
    </row>
    <row r="730" spans="1:70">
      <c r="A730" s="123">
        <v>45401</v>
      </c>
      <c r="B730" s="121">
        <f t="shared" si="98"/>
        <v>4</v>
      </c>
      <c r="C730" s="121">
        <f t="shared" si="99"/>
        <v>2024</v>
      </c>
      <c r="D730" s="121">
        <v>1.95</v>
      </c>
      <c r="E730" s="148">
        <v>1.5405</v>
      </c>
      <c r="F730" s="149">
        <v>370.5</v>
      </c>
      <c r="G730" s="111"/>
      <c r="H730" s="121"/>
      <c r="I730" s="111"/>
      <c r="J730" s="111">
        <v>0.46</v>
      </c>
      <c r="K730" s="111"/>
      <c r="L730" s="111"/>
      <c r="M730" s="111"/>
      <c r="AZ730" s="98"/>
      <c r="BB730" s="98"/>
      <c r="BD730" s="98"/>
      <c r="BF730" s="98"/>
      <c r="BH730" s="98"/>
      <c r="BJ730" s="98"/>
      <c r="BL730" s="98"/>
      <c r="BN730" s="98"/>
      <c r="BP730" s="98"/>
      <c r="BR730" s="98"/>
    </row>
    <row r="731" spans="1:70">
      <c r="A731" s="123">
        <v>45408</v>
      </c>
      <c r="B731" s="121">
        <f t="shared" si="98"/>
        <v>4</v>
      </c>
      <c r="C731" s="121">
        <f t="shared" si="99"/>
        <v>2024</v>
      </c>
      <c r="D731" s="121">
        <v>1.92</v>
      </c>
      <c r="E731" s="148">
        <v>1.5167999999999999</v>
      </c>
      <c r="F731" s="149">
        <v>364.8</v>
      </c>
      <c r="G731" s="111"/>
      <c r="H731" s="121"/>
      <c r="I731" s="111"/>
      <c r="J731" s="111"/>
      <c r="K731" s="111"/>
      <c r="L731" s="111">
        <v>0.79</v>
      </c>
      <c r="M731" s="111">
        <v>0.19</v>
      </c>
      <c r="AZ731" s="98"/>
      <c r="BB731" s="98"/>
      <c r="BD731" s="98"/>
      <c r="BF731" s="98"/>
      <c r="BH731" s="98"/>
      <c r="BJ731" s="98"/>
      <c r="BL731" s="98"/>
      <c r="BN731" s="98"/>
      <c r="BP731" s="98"/>
      <c r="BR731" s="98"/>
    </row>
    <row r="732" spans="1:70">
      <c r="A732" s="123">
        <v>45415</v>
      </c>
      <c r="B732" s="121">
        <f t="shared" si="98"/>
        <v>5</v>
      </c>
      <c r="C732" s="121">
        <f t="shared" si="99"/>
        <v>2024</v>
      </c>
      <c r="D732" s="121">
        <v>1.72</v>
      </c>
      <c r="E732" s="148">
        <v>1.3588</v>
      </c>
      <c r="F732" s="149">
        <v>326.79999999999995</v>
      </c>
      <c r="G732" s="111"/>
      <c r="H732" s="121"/>
      <c r="I732" s="111"/>
      <c r="J732" s="111"/>
      <c r="K732" s="111"/>
      <c r="L732" s="111">
        <v>0.79</v>
      </c>
      <c r="M732" s="111">
        <v>0.19</v>
      </c>
      <c r="AZ732" s="98"/>
      <c r="BB732" s="98"/>
      <c r="BD732" s="98"/>
      <c r="BF732" s="98"/>
      <c r="BH732" s="98"/>
      <c r="BJ732" s="98"/>
      <c r="BL732" s="98"/>
      <c r="BN732" s="98"/>
      <c r="BP732" s="98"/>
      <c r="BR732" s="98"/>
    </row>
    <row r="733" spans="1:70">
      <c r="A733" s="123">
        <v>45422</v>
      </c>
      <c r="B733" s="121">
        <f t="shared" si="98"/>
        <v>5</v>
      </c>
      <c r="C733" s="121">
        <f t="shared" si="99"/>
        <v>2024</v>
      </c>
      <c r="D733" s="111">
        <v>1.8</v>
      </c>
      <c r="E733" s="148">
        <v>1.4220000000000002</v>
      </c>
      <c r="F733" s="149">
        <v>342</v>
      </c>
      <c r="G733" s="111"/>
      <c r="H733" s="121"/>
      <c r="I733" s="111"/>
      <c r="J733" s="111"/>
      <c r="K733" s="111"/>
      <c r="L733" s="111">
        <v>0.79</v>
      </c>
      <c r="M733" s="111">
        <v>0.19</v>
      </c>
      <c r="AZ733" s="98"/>
      <c r="BB733" s="98"/>
      <c r="BD733" s="98"/>
      <c r="BF733" s="98"/>
      <c r="BH733" s="98"/>
      <c r="BJ733" s="98"/>
      <c r="BL733" s="98"/>
      <c r="BN733" s="98"/>
      <c r="BP733" s="98"/>
      <c r="BR733" s="98"/>
    </row>
    <row r="734" spans="1:70">
      <c r="A734" s="123">
        <v>45429</v>
      </c>
      <c r="B734" s="121">
        <f t="shared" si="98"/>
        <v>5</v>
      </c>
      <c r="C734" s="121">
        <f t="shared" si="99"/>
        <v>2024</v>
      </c>
      <c r="D734" s="111">
        <v>1.89</v>
      </c>
      <c r="E734" s="148">
        <v>1.4931000000000001</v>
      </c>
      <c r="F734" s="149">
        <v>359.09999999999997</v>
      </c>
      <c r="G734" s="111"/>
      <c r="H734" s="121"/>
      <c r="I734" s="111"/>
      <c r="J734" s="111"/>
      <c r="K734" s="111"/>
      <c r="L734" s="111">
        <v>0.79</v>
      </c>
      <c r="M734" s="111">
        <v>0.19</v>
      </c>
      <c r="AZ734" s="98"/>
      <c r="BB734" s="98"/>
      <c r="BD734" s="98"/>
      <c r="BF734" s="98"/>
      <c r="BH734" s="98"/>
      <c r="BJ734" s="98"/>
      <c r="BL734" s="98"/>
      <c r="BN734" s="98"/>
      <c r="BP734" s="98"/>
      <c r="BR734" s="98"/>
    </row>
    <row r="735" spans="1:70">
      <c r="A735" s="123">
        <v>45436</v>
      </c>
      <c r="B735" s="121">
        <f t="shared" si="98"/>
        <v>5</v>
      </c>
      <c r="C735" s="121">
        <f t="shared" si="99"/>
        <v>2024</v>
      </c>
      <c r="D735" s="111">
        <v>2.0099999999999998</v>
      </c>
      <c r="E735" s="148">
        <v>1.5878999999999999</v>
      </c>
      <c r="F735" s="149">
        <v>381.9</v>
      </c>
      <c r="G735" s="111"/>
      <c r="H735" s="121"/>
      <c r="I735" s="111"/>
      <c r="J735" s="111"/>
      <c r="K735" s="111"/>
      <c r="L735" s="111">
        <v>0.79</v>
      </c>
      <c r="M735" s="111">
        <v>0.19</v>
      </c>
      <c r="AZ735" s="98"/>
      <c r="BB735" s="98"/>
      <c r="BD735" s="98"/>
      <c r="BF735" s="98"/>
      <c r="BH735" s="98"/>
      <c r="BJ735" s="98"/>
      <c r="BL735" s="98"/>
      <c r="BN735" s="98"/>
      <c r="BP735" s="98"/>
      <c r="BR735" s="98"/>
    </row>
    <row r="736" spans="1:70">
      <c r="A736" s="123">
        <v>45443</v>
      </c>
      <c r="B736" s="121">
        <f t="shared" si="98"/>
        <v>5</v>
      </c>
      <c r="C736" s="121">
        <f t="shared" si="99"/>
        <v>2024</v>
      </c>
      <c r="D736" s="111">
        <v>2.16</v>
      </c>
      <c r="E736" s="148">
        <v>1.7064000000000001</v>
      </c>
      <c r="F736" s="149">
        <v>410.40000000000003</v>
      </c>
      <c r="G736" s="111"/>
      <c r="H736" s="121"/>
      <c r="I736" s="111"/>
      <c r="J736" s="111"/>
      <c r="K736" s="111"/>
      <c r="L736" s="111">
        <v>0.79</v>
      </c>
      <c r="M736" s="111">
        <v>0.19</v>
      </c>
      <c r="AZ736" s="98"/>
      <c r="BB736" s="98"/>
      <c r="BD736" s="98"/>
      <c r="BF736" s="98"/>
      <c r="BH736" s="98"/>
      <c r="BJ736" s="98"/>
      <c r="BL736" s="98"/>
      <c r="BN736" s="98"/>
      <c r="BP736" s="98"/>
      <c r="BR736" s="98"/>
    </row>
    <row r="737" spans="1:70">
      <c r="A737" s="123">
        <v>45450</v>
      </c>
      <c r="B737" s="121">
        <f t="shared" si="98"/>
        <v>6</v>
      </c>
      <c r="C737" s="121">
        <f t="shared" si="99"/>
        <v>2024</v>
      </c>
      <c r="D737" s="111">
        <v>1.97</v>
      </c>
      <c r="E737" s="148">
        <v>1.5563</v>
      </c>
      <c r="F737" s="149">
        <v>374.3</v>
      </c>
      <c r="G737" s="111"/>
      <c r="H737" s="121"/>
      <c r="I737" s="111"/>
      <c r="J737" s="111"/>
      <c r="K737" s="111"/>
      <c r="L737" s="111">
        <v>0.79</v>
      </c>
      <c r="M737" s="111">
        <v>0.19</v>
      </c>
      <c r="AZ737" s="98"/>
      <c r="BB737" s="98"/>
      <c r="BD737" s="98"/>
      <c r="BF737" s="98"/>
      <c r="BH737" s="98"/>
      <c r="BJ737" s="98"/>
      <c r="BL737" s="98"/>
      <c r="BN737" s="98"/>
      <c r="BP737" s="98"/>
      <c r="BR737" s="98"/>
    </row>
    <row r="738" spans="1:70">
      <c r="A738" s="99">
        <v>45457</v>
      </c>
      <c r="B738" s="121">
        <f t="shared" si="98"/>
        <v>6</v>
      </c>
      <c r="C738" s="121">
        <f t="shared" si="99"/>
        <v>2024</v>
      </c>
      <c r="D738" s="111">
        <v>1.9</v>
      </c>
      <c r="E738" s="148">
        <v>1.5009999999999999</v>
      </c>
      <c r="F738" s="149">
        <v>361</v>
      </c>
      <c r="G738" s="111"/>
      <c r="H738" s="121"/>
      <c r="I738" s="111"/>
      <c r="J738" s="111"/>
      <c r="K738" s="111"/>
      <c r="L738" s="111">
        <v>0.79</v>
      </c>
      <c r="M738" s="111">
        <v>0.19</v>
      </c>
      <c r="AZ738" s="98"/>
      <c r="BB738" s="98"/>
      <c r="BD738" s="98"/>
      <c r="BF738" s="98"/>
      <c r="BH738" s="98"/>
      <c r="BJ738" s="98"/>
      <c r="BL738" s="98"/>
      <c r="BN738" s="98"/>
      <c r="BP738" s="98"/>
      <c r="BR738" s="98"/>
    </row>
    <row r="739" spans="1:70">
      <c r="A739" s="123">
        <v>45464</v>
      </c>
      <c r="B739" s="121">
        <f t="shared" si="98"/>
        <v>6</v>
      </c>
      <c r="C739" s="121">
        <f t="shared" si="99"/>
        <v>2024</v>
      </c>
      <c r="D739" s="111">
        <v>1.94</v>
      </c>
      <c r="E739" s="148">
        <v>1.5326</v>
      </c>
      <c r="F739" s="149">
        <v>368.59999999999997</v>
      </c>
      <c r="G739" s="111"/>
      <c r="H739" s="121"/>
      <c r="I739" s="111"/>
      <c r="J739" s="111"/>
      <c r="K739" s="111"/>
      <c r="L739" s="111">
        <v>0.79</v>
      </c>
      <c r="M739" s="111">
        <v>0.19</v>
      </c>
      <c r="AZ739" s="98"/>
      <c r="BB739" s="98"/>
      <c r="BD739" s="98"/>
      <c r="BF739" s="98"/>
      <c r="BH739" s="98"/>
      <c r="BJ739" s="98"/>
      <c r="BL739" s="98"/>
      <c r="BN739" s="98"/>
      <c r="BP739" s="98"/>
      <c r="BR739" s="98"/>
    </row>
    <row r="740" spans="1:70">
      <c r="A740" s="123">
        <v>45471</v>
      </c>
      <c r="B740" s="121">
        <f t="shared" si="98"/>
        <v>6</v>
      </c>
      <c r="C740" s="121">
        <f t="shared" si="99"/>
        <v>2024</v>
      </c>
      <c r="D740" s="111">
        <v>2.1800000000000002</v>
      </c>
      <c r="E740" s="148">
        <v>1.7222000000000002</v>
      </c>
      <c r="F740" s="149">
        <v>414.2</v>
      </c>
      <c r="G740" s="111"/>
      <c r="H740" s="121"/>
      <c r="I740" s="111"/>
      <c r="J740" s="111"/>
      <c r="K740" s="111"/>
      <c r="L740" s="111">
        <v>0.79</v>
      </c>
      <c r="M740" s="111">
        <v>0.19</v>
      </c>
      <c r="AZ740" s="98"/>
      <c r="BB740" s="98"/>
      <c r="BD740" s="98"/>
      <c r="BF740" s="98"/>
      <c r="BH740" s="98"/>
      <c r="BJ740" s="98"/>
      <c r="BL740" s="98"/>
      <c r="BN740" s="98"/>
      <c r="BP740" s="98"/>
      <c r="BR740" s="98"/>
    </row>
    <row r="741" spans="1:70">
      <c r="A741" s="123">
        <v>45478</v>
      </c>
      <c r="B741" s="121">
        <f t="shared" si="98"/>
        <v>7</v>
      </c>
      <c r="C741" s="121">
        <f t="shared" si="99"/>
        <v>2024</v>
      </c>
      <c r="D741" s="111">
        <v>1.99</v>
      </c>
      <c r="E741" s="148">
        <v>1.5721000000000001</v>
      </c>
      <c r="F741" s="149">
        <v>378.09999999999997</v>
      </c>
      <c r="G741" s="111"/>
      <c r="H741" s="121"/>
      <c r="I741" s="111"/>
      <c r="J741" s="111"/>
      <c r="K741" s="111"/>
      <c r="L741" s="111">
        <v>0.79</v>
      </c>
      <c r="M741" s="111">
        <v>0.19</v>
      </c>
      <c r="AZ741" s="98"/>
      <c r="BB741" s="98"/>
      <c r="BD741" s="98"/>
      <c r="BF741" s="98"/>
      <c r="BH741" s="98"/>
      <c r="BJ741" s="98"/>
      <c r="BL741" s="98"/>
      <c r="BN741" s="98"/>
      <c r="BP741" s="98"/>
      <c r="BR741" s="98"/>
    </row>
    <row r="742" spans="1:70">
      <c r="A742" s="123">
        <v>45485</v>
      </c>
      <c r="B742" s="121">
        <f t="shared" si="98"/>
        <v>7</v>
      </c>
      <c r="C742" s="121">
        <f t="shared" si="99"/>
        <v>2024</v>
      </c>
      <c r="D742" s="111">
        <v>2.06</v>
      </c>
      <c r="E742" s="148">
        <v>1.6274000000000002</v>
      </c>
      <c r="F742" s="149">
        <v>391.40000000000003</v>
      </c>
      <c r="G742" s="111"/>
      <c r="H742" s="121"/>
      <c r="I742" s="111"/>
      <c r="J742" s="111"/>
      <c r="K742" s="111"/>
      <c r="L742" s="111">
        <v>0.79</v>
      </c>
      <c r="M742" s="111">
        <v>0.19</v>
      </c>
      <c r="AZ742" s="98"/>
      <c r="BB742" s="98"/>
      <c r="BD742" s="98"/>
      <c r="BF742" s="98"/>
      <c r="BH742" s="98"/>
      <c r="BJ742" s="98"/>
      <c r="BL742" s="98"/>
      <c r="BN742" s="98"/>
      <c r="BP742" s="98"/>
      <c r="BR742" s="98"/>
    </row>
    <row r="743" spans="1:70">
      <c r="A743" s="123">
        <v>45492</v>
      </c>
      <c r="B743" s="121">
        <f t="shared" si="98"/>
        <v>7</v>
      </c>
      <c r="C743" s="121">
        <f t="shared" si="99"/>
        <v>2024</v>
      </c>
      <c r="D743" s="111">
        <v>1.9</v>
      </c>
      <c r="E743" s="148">
        <v>1.5009999999999999</v>
      </c>
      <c r="F743" s="149">
        <v>361</v>
      </c>
      <c r="G743" s="111"/>
      <c r="H743" s="121"/>
      <c r="I743" s="111"/>
      <c r="J743" s="111"/>
      <c r="K743" s="111"/>
      <c r="L743" s="111">
        <v>0.79</v>
      </c>
      <c r="M743" s="111">
        <v>0.19</v>
      </c>
      <c r="AZ743" s="98"/>
      <c r="BB743" s="98"/>
      <c r="BD743" s="98"/>
      <c r="BF743" s="98"/>
      <c r="BH743" s="98"/>
      <c r="BJ743" s="98"/>
      <c r="BL743" s="98"/>
      <c r="BN743" s="98"/>
      <c r="BP743" s="98"/>
      <c r="BR743" s="98"/>
    </row>
    <row r="744" spans="1:70">
      <c r="A744" s="123">
        <v>45499</v>
      </c>
      <c r="B744" s="121">
        <f t="shared" si="98"/>
        <v>7</v>
      </c>
      <c r="C744" s="121">
        <f t="shared" si="99"/>
        <v>2024</v>
      </c>
      <c r="D744" s="111">
        <v>1.97</v>
      </c>
      <c r="E744" s="148">
        <v>1.5563</v>
      </c>
      <c r="F744" s="149">
        <v>374.3</v>
      </c>
      <c r="G744" s="111"/>
      <c r="H744" s="121"/>
      <c r="I744" s="111"/>
      <c r="J744" s="111"/>
      <c r="K744" s="111"/>
      <c r="L744" s="111">
        <v>0.79</v>
      </c>
      <c r="M744" s="111">
        <v>0.19</v>
      </c>
      <c r="AZ744" s="98"/>
      <c r="BB744" s="98"/>
      <c r="BD744" s="98"/>
      <c r="BF744" s="98"/>
      <c r="BH744" s="98"/>
      <c r="BJ744" s="98"/>
      <c r="BL744" s="98"/>
      <c r="BN744" s="98"/>
      <c r="BP744" s="98"/>
      <c r="BR744" s="98"/>
    </row>
    <row r="745" spans="1:70">
      <c r="A745" s="123">
        <v>45506</v>
      </c>
      <c r="B745" s="121">
        <f t="shared" si="98"/>
        <v>8</v>
      </c>
      <c r="C745" s="121">
        <f t="shared" si="99"/>
        <v>2024</v>
      </c>
      <c r="D745" s="111">
        <v>2.0699999999999998</v>
      </c>
      <c r="E745" s="148">
        <f t="shared" ref="E745:E751" si="104">L745*D745</f>
        <v>1.6353</v>
      </c>
      <c r="F745" s="149">
        <f t="shared" ref="F745:F751" si="105">D745*M745*1000</f>
        <v>393.29999999999995</v>
      </c>
      <c r="G745" s="111"/>
      <c r="H745" s="121"/>
      <c r="I745" s="111"/>
      <c r="J745" s="111"/>
      <c r="K745" s="111"/>
      <c r="L745" s="111">
        <v>0.79</v>
      </c>
      <c r="M745" s="111">
        <v>0.19</v>
      </c>
      <c r="N745">
        <f t="shared" ref="N745:N751" si="106">M745+L745</f>
        <v>0.98</v>
      </c>
      <c r="P745" s="38">
        <f t="shared" ref="P745:P751" si="107">D745*52</f>
        <v>107.63999999999999</v>
      </c>
      <c r="AZ745" s="98"/>
      <c r="BB745" s="98"/>
      <c r="BD745" s="98"/>
      <c r="BF745" s="98"/>
      <c r="BH745" s="98"/>
      <c r="BJ745" s="98"/>
      <c r="BL745" s="98"/>
      <c r="BN745" s="98"/>
      <c r="BP745" s="98"/>
      <c r="BR745" s="98"/>
    </row>
    <row r="746" spans="1:70">
      <c r="A746" s="123">
        <v>45513</v>
      </c>
      <c r="B746" s="121">
        <f t="shared" si="98"/>
        <v>8</v>
      </c>
      <c r="C746" s="121">
        <f t="shared" si="99"/>
        <v>2024</v>
      </c>
      <c r="D746" s="111">
        <v>2.08</v>
      </c>
      <c r="E746" s="148">
        <f t="shared" si="104"/>
        <v>1.6432000000000002</v>
      </c>
      <c r="F746" s="149">
        <f t="shared" si="105"/>
        <v>395.2</v>
      </c>
      <c r="G746" s="111"/>
      <c r="H746" s="121"/>
      <c r="I746" s="111"/>
      <c r="J746" s="111"/>
      <c r="K746" s="111"/>
      <c r="L746" s="111">
        <v>0.79</v>
      </c>
      <c r="M746" s="111">
        <v>0.19</v>
      </c>
      <c r="N746">
        <f t="shared" si="106"/>
        <v>0.98</v>
      </c>
      <c r="P746" s="38">
        <f t="shared" si="107"/>
        <v>108.16</v>
      </c>
      <c r="AZ746" s="98"/>
      <c r="BB746" s="98"/>
      <c r="BD746" s="98"/>
      <c r="BF746" s="98"/>
      <c r="BH746" s="98"/>
      <c r="BJ746" s="98"/>
      <c r="BL746" s="98"/>
      <c r="BN746" s="98"/>
      <c r="BP746" s="98"/>
      <c r="BR746" s="98"/>
    </row>
    <row r="747" spans="1:70">
      <c r="A747" s="123">
        <v>45520</v>
      </c>
      <c r="B747" s="121">
        <f t="shared" si="98"/>
        <v>8</v>
      </c>
      <c r="C747" s="121">
        <f t="shared" si="99"/>
        <v>2024</v>
      </c>
      <c r="D747" s="111">
        <v>2.02</v>
      </c>
      <c r="E747" s="148">
        <f t="shared" si="104"/>
        <v>1.5958000000000001</v>
      </c>
      <c r="F747" s="149">
        <f t="shared" si="105"/>
        <v>383.8</v>
      </c>
      <c r="G747" s="111"/>
      <c r="H747" s="121"/>
      <c r="I747" s="111"/>
      <c r="J747" s="111"/>
      <c r="K747" s="111"/>
      <c r="L747" s="111">
        <v>0.79</v>
      </c>
      <c r="M747" s="111">
        <v>0.19</v>
      </c>
      <c r="N747">
        <f t="shared" si="106"/>
        <v>0.98</v>
      </c>
      <c r="P747" s="38">
        <f t="shared" si="107"/>
        <v>105.04</v>
      </c>
      <c r="AZ747" s="98"/>
      <c r="BB747" s="98"/>
      <c r="BD747" s="98"/>
      <c r="BF747" s="98"/>
      <c r="BH747" s="98"/>
      <c r="BJ747" s="98"/>
      <c r="BL747" s="98"/>
      <c r="BN747" s="98"/>
      <c r="BP747" s="98"/>
      <c r="BR747" s="98"/>
    </row>
    <row r="748" spans="1:70">
      <c r="A748" s="123">
        <v>45527</v>
      </c>
      <c r="B748" s="121">
        <f t="shared" si="98"/>
        <v>8</v>
      </c>
      <c r="C748" s="121">
        <f t="shared" si="99"/>
        <v>2024</v>
      </c>
      <c r="D748" s="111">
        <v>2.0499999999999998</v>
      </c>
      <c r="E748" s="148">
        <f t="shared" si="104"/>
        <v>1.6194999999999999</v>
      </c>
      <c r="F748" s="149">
        <f t="shared" si="105"/>
        <v>389.49999999999994</v>
      </c>
      <c r="G748" s="111"/>
      <c r="H748" s="121"/>
      <c r="I748" s="111"/>
      <c r="J748" s="111"/>
      <c r="K748" s="111"/>
      <c r="L748" s="111">
        <v>0.79</v>
      </c>
      <c r="M748" s="111">
        <v>0.19</v>
      </c>
      <c r="N748">
        <f t="shared" si="106"/>
        <v>0.98</v>
      </c>
      <c r="P748" s="38">
        <f t="shared" si="107"/>
        <v>106.6</v>
      </c>
      <c r="AZ748" s="98"/>
      <c r="BB748" s="98"/>
      <c r="BD748" s="98"/>
      <c r="BF748" s="98"/>
      <c r="BH748" s="98"/>
      <c r="BJ748" s="98"/>
      <c r="BL748" s="98"/>
      <c r="BN748" s="98"/>
      <c r="BP748" s="98"/>
      <c r="BR748" s="98"/>
    </row>
    <row r="749" spans="1:70">
      <c r="A749" s="123">
        <v>45534</v>
      </c>
      <c r="B749" s="121">
        <f t="shared" si="98"/>
        <v>8</v>
      </c>
      <c r="C749" s="121">
        <f t="shared" si="99"/>
        <v>2024</v>
      </c>
      <c r="D749" s="111">
        <v>2.0499999999999998</v>
      </c>
      <c r="E749" s="148">
        <f t="shared" si="104"/>
        <v>1.6194999999999999</v>
      </c>
      <c r="F749" s="149">
        <f t="shared" si="105"/>
        <v>389.49999999999994</v>
      </c>
      <c r="G749" s="111"/>
      <c r="H749" s="121"/>
      <c r="I749" s="111"/>
      <c r="J749" s="111"/>
      <c r="K749" s="111"/>
      <c r="L749" s="111">
        <v>0.79</v>
      </c>
      <c r="M749" s="111">
        <v>0.19</v>
      </c>
      <c r="N749">
        <f t="shared" si="106"/>
        <v>0.98</v>
      </c>
      <c r="P749" s="38">
        <f t="shared" si="107"/>
        <v>106.6</v>
      </c>
      <c r="AZ749" s="98"/>
      <c r="BB749" s="98"/>
      <c r="BD749" s="98"/>
      <c r="BF749" s="98"/>
      <c r="BH749" s="98"/>
      <c r="BJ749" s="98"/>
      <c r="BL749" s="98"/>
      <c r="BN749" s="98"/>
      <c r="BP749" s="98"/>
      <c r="BR749" s="98"/>
    </row>
    <row r="750" spans="1:70">
      <c r="A750" s="123">
        <v>45541</v>
      </c>
      <c r="B750" s="121">
        <f t="shared" si="98"/>
        <v>9</v>
      </c>
      <c r="C750" s="121">
        <f t="shared" si="99"/>
        <v>2024</v>
      </c>
      <c r="D750" s="111">
        <v>2.2000000000000002</v>
      </c>
      <c r="E750" s="148">
        <f t="shared" si="104"/>
        <v>1.7380000000000002</v>
      </c>
      <c r="F750" s="149">
        <f t="shared" si="105"/>
        <v>418.00000000000006</v>
      </c>
      <c r="G750" s="111"/>
      <c r="H750" s="121"/>
      <c r="I750" s="111"/>
      <c r="J750" s="111"/>
      <c r="K750" s="111"/>
      <c r="L750" s="111">
        <v>0.79</v>
      </c>
      <c r="M750" s="111">
        <v>0.19</v>
      </c>
      <c r="N750">
        <f t="shared" si="106"/>
        <v>0.98</v>
      </c>
      <c r="P750" s="38">
        <f t="shared" si="107"/>
        <v>114.4</v>
      </c>
      <c r="AZ750" s="98"/>
      <c r="BB750" s="98"/>
      <c r="BD750" s="98"/>
      <c r="BF750" s="98"/>
      <c r="BH750" s="98"/>
      <c r="BJ750" s="98"/>
      <c r="BL750" s="98"/>
      <c r="BN750" s="98"/>
      <c r="BP750" s="98"/>
      <c r="BR750" s="98"/>
    </row>
    <row r="751" spans="1:70">
      <c r="A751" s="123">
        <v>45548</v>
      </c>
      <c r="B751" s="121">
        <f t="shared" si="98"/>
        <v>9</v>
      </c>
      <c r="C751" s="121">
        <f t="shared" si="99"/>
        <v>2024</v>
      </c>
      <c r="D751" s="111">
        <v>2.2400000000000002</v>
      </c>
      <c r="E751" s="148">
        <f t="shared" si="104"/>
        <v>1.7696000000000003</v>
      </c>
      <c r="F751" s="149">
        <f t="shared" si="105"/>
        <v>425.6</v>
      </c>
      <c r="G751" s="111"/>
      <c r="H751" s="121"/>
      <c r="I751" s="111"/>
      <c r="J751" s="111"/>
      <c r="K751" s="111"/>
      <c r="L751" s="111">
        <v>0.79</v>
      </c>
      <c r="M751" s="111">
        <v>0.19</v>
      </c>
      <c r="N751">
        <f t="shared" si="106"/>
        <v>0.98</v>
      </c>
      <c r="P751" s="38">
        <f t="shared" si="107"/>
        <v>116.48000000000002</v>
      </c>
      <c r="AZ751" s="98"/>
      <c r="BB751" s="98"/>
      <c r="BD751" s="98"/>
      <c r="BF751" s="98"/>
      <c r="BH751" s="98"/>
      <c r="BJ751" s="98"/>
      <c r="BL751" s="98"/>
      <c r="BN751" s="98"/>
      <c r="BP751" s="98"/>
      <c r="BR751" s="98"/>
    </row>
    <row r="752" spans="1:70">
      <c r="A752" s="123">
        <v>45555</v>
      </c>
      <c r="B752" s="121">
        <f t="shared" si="98"/>
        <v>9</v>
      </c>
      <c r="C752" s="121">
        <f t="shared" si="99"/>
        <v>2024</v>
      </c>
      <c r="D752" s="111">
        <v>2.0499999999999998</v>
      </c>
      <c r="E752" s="111">
        <v>1.62</v>
      </c>
      <c r="F752" s="149">
        <v>390</v>
      </c>
      <c r="G752" s="111"/>
      <c r="H752" s="121"/>
      <c r="I752" s="111"/>
      <c r="J752" s="111"/>
      <c r="K752" s="111"/>
      <c r="L752" s="111">
        <v>0.79</v>
      </c>
      <c r="M752" s="111">
        <v>0.19</v>
      </c>
      <c r="N752">
        <v>0.98</v>
      </c>
      <c r="P752" s="38">
        <v>106.6</v>
      </c>
      <c r="AZ752" s="98"/>
      <c r="BB752" s="98"/>
      <c r="BD752" s="98"/>
      <c r="BF752" s="98"/>
      <c r="BH752" s="98"/>
      <c r="BJ752" s="98"/>
      <c r="BL752" s="98"/>
      <c r="BN752" s="98"/>
      <c r="BP752" s="98"/>
      <c r="BR752" s="98"/>
    </row>
    <row r="753" spans="1:70">
      <c r="A753" s="123">
        <v>45562</v>
      </c>
      <c r="B753" s="121">
        <f t="shared" si="98"/>
        <v>9</v>
      </c>
      <c r="C753" s="121">
        <f t="shared" si="99"/>
        <v>2024</v>
      </c>
      <c r="D753" s="111">
        <v>2.0499999999999998</v>
      </c>
      <c r="E753" s="111">
        <v>1.62</v>
      </c>
      <c r="F753" s="149">
        <v>390</v>
      </c>
      <c r="G753" s="111"/>
      <c r="H753" s="121"/>
      <c r="I753" s="111"/>
      <c r="J753" s="111"/>
      <c r="K753" s="111"/>
      <c r="L753" s="111">
        <v>0.79</v>
      </c>
      <c r="M753" s="111">
        <v>0.19</v>
      </c>
      <c r="N753">
        <v>0.98</v>
      </c>
      <c r="P753" s="38">
        <v>106.6</v>
      </c>
      <c r="AZ753" s="98"/>
      <c r="BB753" s="98"/>
      <c r="BD753" s="98"/>
      <c r="BF753" s="98"/>
      <c r="BH753" s="98"/>
      <c r="BJ753" s="98"/>
      <c r="BL753" s="98"/>
      <c r="BN753" s="98"/>
      <c r="BP753" s="98"/>
      <c r="BR753" s="98"/>
    </row>
    <row r="754" spans="1:70">
      <c r="A754" s="123">
        <v>45569</v>
      </c>
      <c r="B754" s="121">
        <f t="shared" si="98"/>
        <v>10</v>
      </c>
      <c r="C754" s="121">
        <f t="shared" si="99"/>
        <v>2024</v>
      </c>
      <c r="D754" s="111">
        <v>1.51</v>
      </c>
      <c r="E754" s="111">
        <v>1.19</v>
      </c>
      <c r="F754" s="149">
        <v>287</v>
      </c>
      <c r="G754" s="111"/>
      <c r="H754" s="121"/>
      <c r="I754" s="111"/>
      <c r="J754" s="111"/>
      <c r="K754" s="111"/>
      <c r="L754" s="111">
        <v>0.79</v>
      </c>
      <c r="M754" s="111">
        <v>0.19</v>
      </c>
      <c r="N754">
        <v>0.98</v>
      </c>
      <c r="P754" s="38">
        <v>78.5</v>
      </c>
      <c r="AZ754" s="98"/>
      <c r="BB754" s="98"/>
      <c r="BD754" s="98"/>
      <c r="BF754" s="98"/>
      <c r="BH754" s="98"/>
      <c r="BJ754" s="98"/>
      <c r="BL754" s="98"/>
      <c r="BN754" s="98"/>
      <c r="BP754" s="98"/>
      <c r="BR754" s="98"/>
    </row>
    <row r="755" spans="1:70">
      <c r="A755" s="123">
        <v>45576</v>
      </c>
      <c r="B755" s="121">
        <f t="shared" si="98"/>
        <v>10</v>
      </c>
      <c r="C755" s="121">
        <f t="shared" si="99"/>
        <v>2024</v>
      </c>
      <c r="D755" s="111">
        <v>1.54</v>
      </c>
      <c r="E755" s="111">
        <v>1.22</v>
      </c>
      <c r="F755" s="149">
        <v>293</v>
      </c>
      <c r="G755" s="111"/>
      <c r="H755" s="121"/>
      <c r="I755" s="111"/>
      <c r="J755" s="111"/>
      <c r="K755" s="111"/>
      <c r="L755" s="111">
        <v>0.79</v>
      </c>
      <c r="M755" s="111">
        <v>0.19</v>
      </c>
      <c r="N755">
        <v>0.98</v>
      </c>
      <c r="P755" s="38">
        <v>80.099999999999994</v>
      </c>
      <c r="AZ755" s="98"/>
      <c r="BB755" s="98"/>
      <c r="BD755" s="98"/>
      <c r="BF755" s="98"/>
      <c r="BH755" s="98"/>
      <c r="BJ755" s="98"/>
      <c r="BL755" s="98"/>
      <c r="BN755" s="98"/>
      <c r="BP755" s="98"/>
      <c r="BR755" s="98"/>
    </row>
    <row r="756" spans="1:70">
      <c r="A756" s="123">
        <v>45583</v>
      </c>
      <c r="B756" s="121">
        <f t="shared" si="98"/>
        <v>10</v>
      </c>
      <c r="C756" s="121">
        <f t="shared" si="99"/>
        <v>2024</v>
      </c>
      <c r="D756" s="111">
        <v>2.06</v>
      </c>
      <c r="E756" s="111">
        <v>1.63</v>
      </c>
      <c r="F756" s="149">
        <v>391</v>
      </c>
      <c r="G756" s="111"/>
      <c r="H756" s="121"/>
      <c r="I756" s="111"/>
      <c r="J756" s="111"/>
      <c r="K756" s="111"/>
      <c r="L756" s="111">
        <v>0.79</v>
      </c>
      <c r="M756" s="111">
        <v>0.19</v>
      </c>
      <c r="N756">
        <v>0.98</v>
      </c>
      <c r="P756" s="38">
        <v>107.1</v>
      </c>
      <c r="AZ756" s="98"/>
      <c r="BB756" s="98"/>
      <c r="BD756" s="98"/>
      <c r="BF756" s="98"/>
      <c r="BH756" s="98"/>
      <c r="BJ756" s="98"/>
      <c r="BL756" s="98"/>
      <c r="BN756" s="98"/>
      <c r="BP756" s="98"/>
      <c r="BR756" s="98"/>
    </row>
    <row r="757" spans="1:70">
      <c r="A757" s="123">
        <v>45590</v>
      </c>
      <c r="B757" s="121">
        <f t="shared" si="98"/>
        <v>10</v>
      </c>
      <c r="C757" s="121">
        <f t="shared" si="99"/>
        <v>2024</v>
      </c>
      <c r="D757" s="111">
        <v>2.1</v>
      </c>
      <c r="E757" s="148">
        <v>1.6590488615906516</v>
      </c>
      <c r="F757" s="149">
        <v>399.01492730634089</v>
      </c>
      <c r="G757" s="111"/>
      <c r="H757" s="111"/>
      <c r="I757" s="111"/>
      <c r="J757" s="111"/>
      <c r="K757" s="111"/>
      <c r="L757" s="111">
        <v>0.79</v>
      </c>
      <c r="M757" s="111">
        <v>0.19</v>
      </c>
      <c r="N757">
        <v>0.98</v>
      </c>
      <c r="P757" s="38">
        <v>109.2</v>
      </c>
      <c r="AZ757" s="98"/>
      <c r="BB757" s="98"/>
      <c r="BD757" s="98"/>
      <c r="BF757" s="98"/>
      <c r="BH757" s="98"/>
      <c r="BJ757" s="98"/>
      <c r="BL757" s="98"/>
      <c r="BN757" s="98"/>
      <c r="BP757" s="98"/>
      <c r="BR757" s="98"/>
    </row>
    <row r="758" spans="1:70">
      <c r="A758" s="123">
        <v>45609</v>
      </c>
      <c r="B758" s="121">
        <f t="shared" si="98"/>
        <v>11</v>
      </c>
      <c r="C758" s="121">
        <f t="shared" si="99"/>
        <v>2024</v>
      </c>
      <c r="D758" s="111">
        <v>1.94</v>
      </c>
      <c r="E758" s="148">
        <v>1.5326451388027922</v>
      </c>
      <c r="F758" s="149">
        <v>368.61378998776252</v>
      </c>
      <c r="G758" s="111"/>
      <c r="H758" s="111"/>
      <c r="I758" s="111"/>
      <c r="J758" s="111"/>
      <c r="K758" s="111"/>
      <c r="L758" s="111"/>
      <c r="M758" s="111"/>
      <c r="AZ758" s="98"/>
      <c r="BB758" s="98"/>
      <c r="BD758" s="98"/>
      <c r="BF758" s="98"/>
      <c r="BH758" s="98"/>
      <c r="BJ758" s="98"/>
      <c r="BL758" s="98"/>
      <c r="BN758" s="98"/>
      <c r="BP758" s="98"/>
      <c r="BR758" s="98"/>
    </row>
    <row r="759" spans="1:70">
      <c r="A759" s="99">
        <f>A758+7</f>
        <v>45616</v>
      </c>
      <c r="B759" s="121">
        <f t="shared" si="98"/>
        <v>11</v>
      </c>
      <c r="C759" s="121">
        <f t="shared" si="99"/>
        <v>2024</v>
      </c>
      <c r="D759" s="38">
        <v>1.97</v>
      </c>
      <c r="E759" s="148">
        <v>1.5563458368255159</v>
      </c>
      <c r="F759" s="149">
        <v>374.31400323499594</v>
      </c>
      <c r="H759"/>
      <c r="AZ759" s="98"/>
      <c r="BB759" s="98"/>
      <c r="BD759" s="98"/>
      <c r="BF759" s="98"/>
      <c r="BH759" s="98"/>
      <c r="BJ759" s="98"/>
      <c r="BL759" s="98"/>
      <c r="BN759" s="98"/>
      <c r="BP759" s="98"/>
      <c r="BR759" s="98"/>
    </row>
    <row r="760" spans="1:70">
      <c r="A760" s="99">
        <f t="shared" ref="A760:A773" si="108">A759+7</f>
        <v>45623</v>
      </c>
      <c r="B760" s="121">
        <f t="shared" si="98"/>
        <v>11</v>
      </c>
      <c r="C760" s="121">
        <f t="shared" si="99"/>
        <v>2024</v>
      </c>
      <c r="D760" s="38">
        <v>1.89</v>
      </c>
      <c r="E760" s="148">
        <v>1.4931439754315863</v>
      </c>
      <c r="F760" s="149">
        <v>359.11343457570678</v>
      </c>
      <c r="H760"/>
      <c r="AZ760" s="98"/>
      <c r="BB760" s="98"/>
      <c r="BD760" s="98"/>
      <c r="BF760" s="98"/>
      <c r="BH760" s="98"/>
      <c r="BJ760" s="98"/>
      <c r="BL760" s="98"/>
      <c r="BN760" s="98"/>
      <c r="BP760" s="98"/>
      <c r="BR760" s="98"/>
    </row>
    <row r="761" spans="1:70">
      <c r="A761" s="99">
        <f t="shared" si="108"/>
        <v>45630</v>
      </c>
      <c r="B761" s="121">
        <f t="shared" si="98"/>
        <v>12</v>
      </c>
      <c r="C761" s="121">
        <f t="shared" si="99"/>
        <v>2024</v>
      </c>
      <c r="D761" s="38">
        <v>1.66</v>
      </c>
      <c r="E761" s="148">
        <v>1.3114386239240388</v>
      </c>
      <c r="F761" s="149">
        <v>315.4117996802504</v>
      </c>
      <c r="H761"/>
      <c r="AZ761" s="98"/>
      <c r="BB761" s="98"/>
      <c r="BD761" s="98"/>
      <c r="BF761" s="98"/>
      <c r="BH761" s="98"/>
      <c r="BJ761" s="98"/>
      <c r="BL761" s="98"/>
      <c r="BN761" s="98"/>
      <c r="BP761" s="98"/>
      <c r="BR761" s="98"/>
    </row>
    <row r="762" spans="1:70">
      <c r="A762" s="99">
        <f t="shared" si="108"/>
        <v>45637</v>
      </c>
      <c r="B762" s="121">
        <f t="shared" si="98"/>
        <v>12</v>
      </c>
      <c r="C762" s="121">
        <f t="shared" si="99"/>
        <v>2024</v>
      </c>
      <c r="D762" s="38">
        <v>1.87</v>
      </c>
      <c r="E762" s="148">
        <v>1.4773435100831041</v>
      </c>
      <c r="F762" s="149">
        <v>355.31329241088451</v>
      </c>
      <c r="H762"/>
      <c r="AZ762" s="98"/>
      <c r="BB762" s="98"/>
      <c r="BD762" s="98"/>
      <c r="BF762" s="98"/>
      <c r="BH762" s="98"/>
      <c r="BJ762" s="98"/>
      <c r="BL762" s="98"/>
      <c r="BN762" s="98"/>
      <c r="BP762" s="98"/>
      <c r="BR762" s="98"/>
    </row>
    <row r="763" spans="1:70">
      <c r="A763" s="99">
        <f t="shared" si="108"/>
        <v>45644</v>
      </c>
      <c r="B763" s="121">
        <f t="shared" si="98"/>
        <v>12</v>
      </c>
      <c r="C763" s="121">
        <f t="shared" si="99"/>
        <v>2024</v>
      </c>
      <c r="D763" s="38">
        <v>1.87</v>
      </c>
      <c r="E763" s="148">
        <v>1.4773435100831041</v>
      </c>
      <c r="F763" s="149">
        <v>355.31329241088451</v>
      </c>
      <c r="H763"/>
      <c r="AZ763" s="98"/>
      <c r="BB763" s="98"/>
      <c r="BD763" s="98"/>
      <c r="BF763" s="98"/>
      <c r="BH763" s="98"/>
      <c r="BJ763" s="98"/>
      <c r="BL763" s="98"/>
      <c r="BN763" s="98"/>
      <c r="BP763" s="98"/>
      <c r="BR763" s="98"/>
    </row>
    <row r="764" spans="1:70">
      <c r="A764" s="99">
        <f t="shared" si="108"/>
        <v>45651</v>
      </c>
      <c r="B764" s="121">
        <f t="shared" si="98"/>
        <v>12</v>
      </c>
      <c r="C764" s="121">
        <f t="shared" si="99"/>
        <v>2024</v>
      </c>
      <c r="D764" s="38">
        <v>2.08</v>
      </c>
      <c r="E764" s="148">
        <v>1.6432483962421691</v>
      </c>
      <c r="F764" s="149">
        <v>395.21478514151858</v>
      </c>
      <c r="H764"/>
      <c r="AZ764" s="98"/>
      <c r="BB764" s="98"/>
      <c r="BD764" s="98"/>
      <c r="BF764" s="98"/>
      <c r="BH764" s="98"/>
      <c r="BJ764" s="98"/>
      <c r="BL764" s="98"/>
      <c r="BN764" s="98"/>
      <c r="BP764" s="98"/>
      <c r="BR764" s="98"/>
    </row>
    <row r="765" spans="1:70">
      <c r="A765" s="99">
        <f t="shared" si="108"/>
        <v>45658</v>
      </c>
      <c r="B765" s="121">
        <f t="shared" ref="B765" si="109">MONTH(A765)</f>
        <v>1</v>
      </c>
      <c r="C765" s="121">
        <f t="shared" ref="C765" si="110">YEAR(A765)</f>
        <v>2025</v>
      </c>
      <c r="D765" s="148">
        <v>1.73</v>
      </c>
      <c r="E765" s="148">
        <v>1.3667402526437271</v>
      </c>
      <c r="F765" s="149">
        <v>328.7122972571284</v>
      </c>
      <c r="AZ765" s="98"/>
      <c r="BB765" s="98"/>
      <c r="BD765" s="98"/>
      <c r="BF765" s="98"/>
      <c r="BH765" s="98"/>
      <c r="BJ765" s="98"/>
      <c r="BL765" s="98"/>
      <c r="BN765" s="98"/>
      <c r="BP765" s="98"/>
      <c r="BR765" s="98"/>
    </row>
    <row r="766" spans="1:70">
      <c r="A766" s="99">
        <f t="shared" si="108"/>
        <v>45665</v>
      </c>
      <c r="B766" s="121">
        <f t="shared" ref="B766:B773" si="111">MONTH(A766)</f>
        <v>1</v>
      </c>
      <c r="C766" s="121">
        <f t="shared" ref="C766:C773" si="112">YEAR(A766)</f>
        <v>2025</v>
      </c>
      <c r="D766" s="148">
        <v>1.93</v>
      </c>
      <c r="E766" s="148">
        <v>1.5247449061285512</v>
      </c>
      <c r="F766" s="149">
        <v>366.7137189053513</v>
      </c>
      <c r="AZ766" s="98"/>
      <c r="BB766" s="98"/>
      <c r="BD766" s="98"/>
      <c r="BF766" s="98"/>
      <c r="BH766" s="98"/>
      <c r="BJ766" s="98"/>
      <c r="BL766" s="98"/>
      <c r="BN766" s="98"/>
      <c r="BP766" s="98"/>
      <c r="BR766" s="98"/>
    </row>
    <row r="767" spans="1:70">
      <c r="A767" s="99">
        <f t="shared" si="108"/>
        <v>45672</v>
      </c>
      <c r="B767" s="121">
        <f t="shared" si="111"/>
        <v>1</v>
      </c>
      <c r="C767" s="121">
        <f t="shared" si="112"/>
        <v>2025</v>
      </c>
      <c r="D767" s="148">
        <v>2.41</v>
      </c>
      <c r="E767" s="148">
        <v>1.9039560744921287</v>
      </c>
      <c r="F767" s="149">
        <v>457.91713086108643</v>
      </c>
      <c r="AZ767" s="98"/>
      <c r="BB767" s="98"/>
      <c r="BD767" s="98"/>
      <c r="BF767" s="98"/>
      <c r="BH767" s="98"/>
      <c r="BJ767" s="98"/>
      <c r="BL767" s="98"/>
      <c r="BN767" s="98"/>
      <c r="BP767" s="98"/>
      <c r="BR767" s="98"/>
    </row>
    <row r="768" spans="1:70">
      <c r="A768" s="99">
        <f t="shared" si="108"/>
        <v>45679</v>
      </c>
      <c r="B768" s="121">
        <f t="shared" si="111"/>
        <v>1</v>
      </c>
      <c r="C768" s="121">
        <f t="shared" si="112"/>
        <v>2025</v>
      </c>
      <c r="D768" s="148">
        <v>1.9</v>
      </c>
      <c r="E768" s="148">
        <v>1.5010442081058275</v>
      </c>
      <c r="F768" s="149">
        <v>361.01350565811788</v>
      </c>
      <c r="AZ768" s="98"/>
      <c r="BB768" s="98"/>
      <c r="BD768" s="98"/>
      <c r="BF768" s="98"/>
      <c r="BH768" s="98"/>
      <c r="BJ768" s="98"/>
      <c r="BL768" s="98"/>
      <c r="BN768" s="98"/>
      <c r="BP768" s="98"/>
      <c r="BR768" s="98"/>
    </row>
    <row r="769" spans="1:70">
      <c r="A769" s="99">
        <f t="shared" si="108"/>
        <v>45686</v>
      </c>
      <c r="B769" s="121">
        <f t="shared" si="111"/>
        <v>1</v>
      </c>
      <c r="C769" s="121">
        <f t="shared" si="112"/>
        <v>2025</v>
      </c>
      <c r="D769" s="148">
        <v>0.15</v>
      </c>
      <c r="E769" s="148">
        <v>0.11850349011361797</v>
      </c>
      <c r="F769" s="149">
        <v>28.501066236167201</v>
      </c>
      <c r="AZ769" s="98"/>
      <c r="BB769" s="98"/>
      <c r="BD769" s="98"/>
      <c r="BF769" s="98"/>
      <c r="BH769" s="98"/>
      <c r="BJ769" s="98"/>
      <c r="BL769" s="98"/>
      <c r="BN769" s="98"/>
      <c r="BP769" s="98"/>
      <c r="BR769" s="98"/>
    </row>
    <row r="770" spans="1:70">
      <c r="A770" s="99">
        <f t="shared" si="108"/>
        <v>45693</v>
      </c>
      <c r="B770" s="121">
        <f t="shared" si="111"/>
        <v>2</v>
      </c>
      <c r="C770" s="121">
        <f t="shared" si="112"/>
        <v>2025</v>
      </c>
      <c r="D770" s="148">
        <v>0.47</v>
      </c>
      <c r="E770" s="148">
        <v>0.37131093568933626</v>
      </c>
      <c r="F770" s="149">
        <v>89.30334087332389</v>
      </c>
      <c r="AZ770" s="98"/>
      <c r="BB770" s="98"/>
      <c r="BD770" s="98"/>
      <c r="BF770" s="98"/>
      <c r="BH770" s="98"/>
      <c r="BJ770" s="98"/>
      <c r="BL770" s="98"/>
      <c r="BN770" s="98"/>
      <c r="BP770" s="98"/>
      <c r="BR770" s="98"/>
    </row>
    <row r="771" spans="1:70">
      <c r="A771" s="99">
        <f t="shared" si="108"/>
        <v>45700</v>
      </c>
      <c r="B771" s="121">
        <f t="shared" si="111"/>
        <v>2</v>
      </c>
      <c r="C771" s="121">
        <f t="shared" si="112"/>
        <v>2025</v>
      </c>
      <c r="D771" s="148">
        <v>1.94</v>
      </c>
      <c r="E771" s="148">
        <v>1.5326451388027924</v>
      </c>
      <c r="F771" s="149">
        <v>368.61378998776252</v>
      </c>
      <c r="AZ771" s="98"/>
      <c r="BB771" s="98"/>
      <c r="BD771" s="98"/>
      <c r="BF771" s="98"/>
      <c r="BH771" s="98"/>
      <c r="BJ771" s="98"/>
      <c r="BL771" s="98"/>
      <c r="BN771" s="98"/>
      <c r="BP771" s="98"/>
      <c r="BR771" s="98"/>
    </row>
    <row r="772" spans="1:70">
      <c r="A772" s="99">
        <f t="shared" si="108"/>
        <v>45707</v>
      </c>
      <c r="B772" s="121">
        <f t="shared" si="111"/>
        <v>2</v>
      </c>
      <c r="C772" s="121">
        <f t="shared" si="112"/>
        <v>2025</v>
      </c>
      <c r="D772" s="148">
        <v>2.15</v>
      </c>
      <c r="E772" s="148">
        <v>1.6985500249618575</v>
      </c>
      <c r="F772" s="149">
        <v>408.51528271839652</v>
      </c>
      <c r="AZ772" s="98"/>
      <c r="BB772" s="98"/>
      <c r="BD772" s="98"/>
      <c r="BF772" s="98"/>
      <c r="BH772" s="98"/>
      <c r="BJ772" s="98"/>
      <c r="BL772" s="98"/>
      <c r="BN772" s="98"/>
      <c r="BP772" s="98"/>
      <c r="BR772" s="98"/>
    </row>
    <row r="773" spans="1:70">
      <c r="A773" s="99">
        <f t="shared" si="108"/>
        <v>45714</v>
      </c>
      <c r="B773" s="121">
        <f t="shared" si="111"/>
        <v>2</v>
      </c>
      <c r="C773" s="121">
        <f t="shared" si="112"/>
        <v>2025</v>
      </c>
      <c r="F773" s="149"/>
      <c r="AZ773" s="98"/>
      <c r="BB773" s="98"/>
      <c r="BD773" s="98"/>
      <c r="BF773" s="98"/>
      <c r="BH773" s="98"/>
      <c r="BJ773" s="98"/>
      <c r="BL773" s="98"/>
      <c r="BN773" s="98"/>
      <c r="BP773" s="98"/>
      <c r="BR773" s="98"/>
    </row>
    <row r="774" spans="1:70" s="100" customFormat="1">
      <c r="A774" s="102"/>
      <c r="M774" s="92"/>
      <c r="N774" s="92"/>
      <c r="O774" s="92"/>
      <c r="AZ774" s="101"/>
      <c r="BB774" s="101"/>
      <c r="BD774" s="101"/>
      <c r="BF774" s="101"/>
      <c r="BH774" s="101"/>
      <c r="BJ774" s="101"/>
      <c r="BL774" s="101"/>
      <c r="BN774" s="101"/>
      <c r="BP774" s="101"/>
      <c r="BR774" s="101"/>
    </row>
    <row r="775" spans="1:70">
      <c r="A775" s="99"/>
      <c r="AZ775" s="98"/>
      <c r="BB775" s="98"/>
      <c r="BD775" s="98"/>
      <c r="BF775" s="98"/>
      <c r="BH775" s="98"/>
      <c r="BJ775" s="98"/>
      <c r="BL775" s="98"/>
      <c r="BN775" s="98"/>
      <c r="BP775" s="98"/>
      <c r="BR775" s="98"/>
    </row>
    <row r="776" spans="1:70">
      <c r="A776" s="99"/>
      <c r="AZ776" s="98"/>
      <c r="BB776" s="98"/>
      <c r="BD776" s="98"/>
      <c r="BF776" s="98"/>
      <c r="BH776" s="98"/>
      <c r="BJ776" s="98"/>
      <c r="BL776" s="98"/>
      <c r="BN776" s="98"/>
      <c r="BP776" s="98"/>
      <c r="BR776" s="98"/>
    </row>
    <row r="777" spans="1:70">
      <c r="A777" s="99"/>
      <c r="AZ777" s="98"/>
      <c r="BB777" s="98"/>
      <c r="BD777" s="98"/>
      <c r="BF777" s="98"/>
      <c r="BH777" s="98"/>
      <c r="BJ777" s="98"/>
      <c r="BL777" s="98"/>
      <c r="BN777" s="98"/>
      <c r="BP777" s="98"/>
      <c r="BR777" s="98"/>
    </row>
    <row r="778" spans="1:70">
      <c r="A778" s="99"/>
      <c r="AZ778" s="98"/>
      <c r="BB778" s="98"/>
      <c r="BD778" s="98"/>
      <c r="BF778" s="98"/>
      <c r="BH778" s="98"/>
      <c r="BJ778" s="98"/>
      <c r="BL778" s="98"/>
      <c r="BN778" s="98"/>
      <c r="BP778" s="98"/>
      <c r="BR778" s="98"/>
    </row>
    <row r="779" spans="1:70">
      <c r="A779" s="99"/>
      <c r="AZ779" s="98"/>
      <c r="BB779" s="98"/>
      <c r="BD779" s="98"/>
      <c r="BF779" s="98"/>
      <c r="BH779" s="98"/>
      <c r="BJ779" s="98"/>
      <c r="BL779" s="98"/>
      <c r="BN779" s="98"/>
      <c r="BP779" s="98"/>
      <c r="BR779" s="98"/>
    </row>
    <row r="780" spans="1:70">
      <c r="A780" s="99"/>
      <c r="AZ780" s="98"/>
      <c r="BB780" s="98"/>
      <c r="BD780" s="98"/>
      <c r="BF780" s="98"/>
      <c r="BH780" s="98"/>
      <c r="BJ780" s="98"/>
      <c r="BL780" s="98"/>
      <c r="BN780" s="98"/>
      <c r="BP780" s="98"/>
      <c r="BR780" s="98"/>
    </row>
    <row r="781" spans="1:70">
      <c r="A781" s="99"/>
      <c r="AZ781" s="98"/>
      <c r="BB781" s="98"/>
      <c r="BD781" s="98"/>
      <c r="BF781" s="98"/>
      <c r="BH781" s="98"/>
      <c r="BJ781" s="98"/>
      <c r="BL781" s="98"/>
      <c r="BN781" s="98"/>
      <c r="BP781" s="98"/>
      <c r="BR781" s="98"/>
    </row>
    <row r="782" spans="1:70">
      <c r="A782" s="99"/>
      <c r="AZ782" s="98"/>
      <c r="BB782" s="98"/>
      <c r="BD782" s="98"/>
      <c r="BF782" s="98"/>
      <c r="BH782" s="98"/>
      <c r="BJ782" s="98"/>
      <c r="BL782" s="98"/>
      <c r="BN782" s="98"/>
      <c r="BP782" s="98"/>
      <c r="BR782" s="98"/>
    </row>
    <row r="783" spans="1:70">
      <c r="A783" s="99"/>
      <c r="AZ783" s="98"/>
      <c r="BB783" s="98"/>
      <c r="BD783" s="98"/>
      <c r="BF783" s="98"/>
      <c r="BH783" s="98"/>
      <c r="BJ783" s="98"/>
      <c r="BL783" s="98"/>
      <c r="BN783" s="98"/>
      <c r="BP783" s="98"/>
      <c r="BR783" s="98"/>
    </row>
    <row r="784" spans="1:70">
      <c r="A784" s="99"/>
      <c r="AZ784" s="98"/>
      <c r="BB784" s="98"/>
      <c r="BD784" s="98"/>
      <c r="BF784" s="98"/>
      <c r="BH784" s="98"/>
      <c r="BJ784" s="98"/>
      <c r="BL784" s="98"/>
      <c r="BN784" s="98"/>
      <c r="BP784" s="98"/>
      <c r="BR784" s="98"/>
    </row>
    <row r="785" spans="1:70">
      <c r="A785" s="99"/>
      <c r="AZ785" s="98"/>
      <c r="BB785" s="98"/>
      <c r="BD785" s="98"/>
      <c r="BF785" s="98"/>
      <c r="BH785" s="98"/>
      <c r="BJ785" s="98"/>
      <c r="BL785" s="98"/>
      <c r="BN785" s="98"/>
      <c r="BP785" s="98"/>
      <c r="BR785" s="98"/>
    </row>
    <row r="786" spans="1:70">
      <c r="A786" s="99"/>
      <c r="AZ786" s="98"/>
      <c r="BB786" s="98"/>
      <c r="BD786" s="98"/>
      <c r="BF786" s="98"/>
      <c r="BH786" s="98"/>
      <c r="BJ786" s="98"/>
      <c r="BL786" s="98"/>
      <c r="BN786" s="98"/>
      <c r="BP786" s="98"/>
      <c r="BR786" s="98"/>
    </row>
    <row r="787" spans="1:70">
      <c r="A787" s="99"/>
      <c r="AZ787" s="98"/>
      <c r="BB787" s="98"/>
      <c r="BD787" s="98"/>
      <c r="BF787" s="98"/>
      <c r="BH787" s="98"/>
      <c r="BJ787" s="98"/>
      <c r="BL787" s="98"/>
      <c r="BN787" s="98"/>
      <c r="BP787" s="98"/>
      <c r="BR787" s="98"/>
    </row>
    <row r="788" spans="1:70">
      <c r="A788" s="99"/>
      <c r="AZ788" s="98"/>
      <c r="BB788" s="98"/>
      <c r="BD788" s="98"/>
      <c r="BF788" s="98"/>
      <c r="BH788" s="98"/>
      <c r="BJ788" s="98"/>
      <c r="BL788" s="98"/>
      <c r="BN788" s="98"/>
      <c r="BP788" s="98"/>
      <c r="BR788" s="98"/>
    </row>
    <row r="789" spans="1:70">
      <c r="A789" s="99"/>
      <c r="AZ789" s="98"/>
      <c r="BB789" s="98"/>
      <c r="BD789" s="98"/>
      <c r="BF789" s="98"/>
      <c r="BH789" s="98"/>
      <c r="BJ789" s="98"/>
      <c r="BL789" s="98"/>
      <c r="BN789" s="98"/>
      <c r="BP789" s="98"/>
      <c r="BR789" s="98"/>
    </row>
    <row r="790" spans="1:70">
      <c r="A790" s="99"/>
      <c r="AZ790" s="98"/>
      <c r="BB790" s="98"/>
      <c r="BD790" s="98"/>
      <c r="BF790" s="98"/>
      <c r="BH790" s="98"/>
      <c r="BJ790" s="98"/>
      <c r="BL790" s="98"/>
      <c r="BN790" s="98"/>
      <c r="BP790" s="98"/>
      <c r="BR790" s="98"/>
    </row>
    <row r="791" spans="1:70">
      <c r="A791" s="99"/>
      <c r="AZ791" s="98"/>
      <c r="BB791" s="98"/>
      <c r="BD791" s="98"/>
      <c r="BF791" s="98"/>
      <c r="BH791" s="98"/>
      <c r="BJ791" s="98"/>
      <c r="BL791" s="98"/>
      <c r="BN791" s="98"/>
      <c r="BP791" s="98"/>
      <c r="BR791" s="98"/>
    </row>
    <row r="792" spans="1:70">
      <c r="A792" s="99"/>
      <c r="AZ792" s="98"/>
      <c r="BB792" s="98"/>
      <c r="BD792" s="98"/>
      <c r="BF792" s="98"/>
      <c r="BH792" s="98"/>
      <c r="BJ792" s="98"/>
      <c r="BL792" s="98"/>
      <c r="BN792" s="98"/>
      <c r="BP792" s="98"/>
      <c r="BR792" s="98"/>
    </row>
    <row r="793" spans="1:70">
      <c r="A793" s="99"/>
      <c r="AZ793" s="98"/>
      <c r="BB793" s="98"/>
      <c r="BD793" s="98"/>
      <c r="BF793" s="98"/>
      <c r="BH793" s="98"/>
      <c r="BJ793" s="98"/>
      <c r="BL793" s="98"/>
      <c r="BN793" s="98"/>
      <c r="BP793" s="98"/>
      <c r="BR793" s="98"/>
    </row>
    <row r="794" spans="1:70">
      <c r="A794" s="99"/>
      <c r="AZ794" s="98"/>
      <c r="BB794" s="98"/>
      <c r="BD794" s="98"/>
      <c r="BF794" s="98"/>
      <c r="BH794" s="98"/>
      <c r="BJ794" s="98"/>
      <c r="BL794" s="98"/>
      <c r="BN794" s="98"/>
      <c r="BP794" s="98"/>
      <c r="BR794" s="98"/>
    </row>
    <row r="795" spans="1:70">
      <c r="A795" s="99"/>
      <c r="AZ795" s="98"/>
      <c r="BB795" s="98"/>
      <c r="BD795" s="98"/>
      <c r="BF795" s="98"/>
      <c r="BH795" s="98"/>
      <c r="BJ795" s="98"/>
      <c r="BL795" s="98"/>
      <c r="BN795" s="98"/>
      <c r="BP795" s="98"/>
      <c r="BR795" s="98"/>
    </row>
    <row r="796" spans="1:70">
      <c r="A796" s="99"/>
      <c r="AZ796" s="98"/>
      <c r="BB796" s="98"/>
      <c r="BD796" s="98"/>
      <c r="BF796" s="98"/>
      <c r="BH796" s="98"/>
      <c r="BJ796" s="98"/>
      <c r="BL796" s="98"/>
      <c r="BN796" s="98"/>
      <c r="BP796" s="98"/>
      <c r="BR796" s="98"/>
    </row>
    <row r="797" spans="1:70">
      <c r="A797" s="99"/>
      <c r="AZ797" s="98"/>
      <c r="BB797" s="98"/>
      <c r="BD797" s="98"/>
      <c r="BF797" s="98"/>
      <c r="BH797" s="98"/>
      <c r="BJ797" s="98"/>
      <c r="BL797" s="98"/>
      <c r="BN797" s="98"/>
      <c r="BP797" s="98"/>
      <c r="BR797" s="98"/>
    </row>
    <row r="798" spans="1:70">
      <c r="A798" s="99"/>
      <c r="AZ798" s="98"/>
      <c r="BB798" s="98"/>
      <c r="BD798" s="98"/>
      <c r="BF798" s="98"/>
      <c r="BH798" s="98"/>
      <c r="BJ798" s="98"/>
      <c r="BL798" s="98"/>
      <c r="BN798" s="98"/>
      <c r="BP798" s="98"/>
      <c r="BR798" s="98"/>
    </row>
    <row r="799" spans="1:70">
      <c r="A799" s="99"/>
      <c r="AZ799" s="98"/>
      <c r="BB799" s="98"/>
      <c r="BD799" s="98"/>
      <c r="BF799" s="98"/>
      <c r="BH799" s="98"/>
      <c r="BJ799" s="98"/>
      <c r="BL799" s="98"/>
      <c r="BN799" s="98"/>
      <c r="BP799" s="98"/>
      <c r="BR799" s="98"/>
    </row>
    <row r="800" spans="1:70">
      <c r="A800" s="99"/>
      <c r="AZ800" s="98"/>
      <c r="BB800" s="98"/>
      <c r="BD800" s="98"/>
      <c r="BF800" s="98"/>
      <c r="BH800" s="98"/>
      <c r="BJ800" s="98"/>
      <c r="BL800" s="98"/>
      <c r="BN800" s="98"/>
      <c r="BP800" s="98"/>
      <c r="BR800" s="98"/>
    </row>
    <row r="801" spans="1:70">
      <c r="A801" s="99"/>
      <c r="AZ801" s="98"/>
      <c r="BB801" s="98"/>
      <c r="BD801" s="98"/>
      <c r="BF801" s="98"/>
      <c r="BH801" s="98"/>
      <c r="BJ801" s="98"/>
      <c r="BL801" s="98"/>
      <c r="BN801" s="98"/>
      <c r="BP801" s="98"/>
      <c r="BR801" s="98"/>
    </row>
    <row r="802" spans="1:70">
      <c r="A802" s="99"/>
      <c r="AZ802" s="98"/>
      <c r="BB802" s="98"/>
      <c r="BD802" s="98"/>
      <c r="BF802" s="98"/>
      <c r="BH802" s="98"/>
      <c r="BJ802" s="98"/>
      <c r="BL802" s="98"/>
      <c r="BN802" s="98"/>
      <c r="BP802" s="98"/>
      <c r="BR802" s="98"/>
    </row>
    <row r="803" spans="1:70">
      <c r="A803" s="99"/>
      <c r="AZ803" s="98"/>
      <c r="BB803" s="98"/>
      <c r="BD803" s="98"/>
      <c r="BF803" s="98"/>
      <c r="BH803" s="98"/>
      <c r="BJ803" s="98"/>
      <c r="BL803" s="98"/>
      <c r="BN803" s="98"/>
      <c r="BP803" s="98"/>
      <c r="BR803" s="98"/>
    </row>
    <row r="804" spans="1:70">
      <c r="A804" s="99"/>
      <c r="AZ804" s="98"/>
      <c r="BB804" s="98"/>
      <c r="BD804" s="98"/>
      <c r="BF804" s="98"/>
      <c r="BH804" s="98"/>
      <c r="BJ804" s="98"/>
      <c r="BL804" s="98"/>
      <c r="BN804" s="98"/>
      <c r="BP804" s="98"/>
      <c r="BR804" s="98"/>
    </row>
    <row r="805" spans="1:70">
      <c r="A805" s="99"/>
      <c r="AZ805" s="98"/>
      <c r="BB805" s="98"/>
      <c r="BD805" s="98"/>
      <c r="BF805" s="98"/>
      <c r="BH805" s="98"/>
      <c r="BJ805" s="98"/>
      <c r="BL805" s="98"/>
      <c r="BN805" s="98"/>
      <c r="BP805" s="98"/>
      <c r="BR805" s="98"/>
    </row>
    <row r="806" spans="1:70">
      <c r="A806" s="99"/>
      <c r="AZ806" s="98"/>
      <c r="BB806" s="98"/>
      <c r="BD806" s="98"/>
      <c r="BF806" s="98"/>
      <c r="BH806" s="98"/>
      <c r="BJ806" s="98"/>
      <c r="BL806" s="98"/>
      <c r="BN806" s="98"/>
      <c r="BP806" s="98"/>
      <c r="BR806" s="98"/>
    </row>
    <row r="807" spans="1:70">
      <c r="A807" s="99"/>
      <c r="AZ807" s="98"/>
      <c r="BB807" s="98"/>
      <c r="BD807" s="98"/>
      <c r="BF807" s="98"/>
      <c r="BH807" s="98"/>
      <c r="BJ807" s="98"/>
      <c r="BL807" s="98"/>
      <c r="BN807" s="98"/>
      <c r="BP807" s="98"/>
      <c r="BR807" s="98"/>
    </row>
    <row r="808" spans="1:70">
      <c r="A808" s="99"/>
      <c r="AZ808" s="98"/>
      <c r="BB808" s="98"/>
      <c r="BD808" s="98"/>
      <c r="BF808" s="98"/>
      <c r="BH808" s="98"/>
      <c r="BJ808" s="98"/>
      <c r="BL808" s="98"/>
      <c r="BN808" s="98"/>
      <c r="BP808" s="98"/>
      <c r="BR808" s="98"/>
    </row>
    <row r="809" spans="1:70">
      <c r="A809" s="99"/>
      <c r="AZ809" s="98"/>
      <c r="BB809" s="98"/>
      <c r="BD809" s="98"/>
      <c r="BF809" s="98"/>
      <c r="BH809" s="98"/>
      <c r="BJ809" s="98"/>
      <c r="BL809" s="98"/>
      <c r="BN809" s="98"/>
      <c r="BP809" s="98"/>
      <c r="BR809" s="98"/>
    </row>
    <row r="810" spans="1:70">
      <c r="A810" s="99"/>
      <c r="AZ810" s="98"/>
      <c r="BB810" s="98"/>
      <c r="BD810" s="98"/>
      <c r="BF810" s="98"/>
      <c r="BH810" s="98"/>
      <c r="BJ810" s="98"/>
      <c r="BL810" s="98"/>
      <c r="BN810" s="98"/>
      <c r="BP810" s="98"/>
      <c r="BR810" s="98"/>
    </row>
    <row r="811" spans="1:70">
      <c r="A811" s="99"/>
      <c r="AZ811" s="98"/>
      <c r="BB811" s="98"/>
      <c r="BD811" s="98"/>
      <c r="BF811" s="98"/>
      <c r="BH811" s="98"/>
      <c r="BJ811" s="98"/>
      <c r="BL811" s="98"/>
      <c r="BN811" s="98"/>
      <c r="BP811" s="98"/>
      <c r="BR811" s="98"/>
    </row>
    <row r="812" spans="1:70">
      <c r="A812" s="99"/>
      <c r="AZ812" s="98"/>
      <c r="BB812" s="98"/>
      <c r="BD812" s="98"/>
      <c r="BF812" s="98"/>
      <c r="BH812" s="98"/>
      <c r="BJ812" s="98"/>
      <c r="BL812" s="98"/>
      <c r="BN812" s="98"/>
      <c r="BP812" s="98"/>
      <c r="BR812" s="98"/>
    </row>
    <row r="813" spans="1:70">
      <c r="A813" s="99"/>
      <c r="AZ813" s="98"/>
      <c r="BB813" s="98"/>
      <c r="BD813" s="98"/>
      <c r="BF813" s="98"/>
      <c r="BH813" s="98"/>
      <c r="BJ813" s="98"/>
      <c r="BL813" s="98"/>
      <c r="BN813" s="98"/>
      <c r="BP813" s="98"/>
      <c r="BR813" s="98"/>
    </row>
    <row r="814" spans="1:70">
      <c r="A814" s="99"/>
      <c r="AZ814" s="98"/>
      <c r="BB814" s="98"/>
      <c r="BD814" s="98"/>
      <c r="BF814" s="98"/>
      <c r="BH814" s="98"/>
      <c r="BJ814" s="98"/>
      <c r="BL814" s="98"/>
      <c r="BN814" s="98"/>
      <c r="BP814" s="98"/>
      <c r="BR814" s="98"/>
    </row>
    <row r="815" spans="1:70">
      <c r="A815" s="99"/>
      <c r="AZ815" s="98"/>
      <c r="BB815" s="98"/>
      <c r="BD815" s="98"/>
      <c r="BF815" s="98"/>
      <c r="BH815" s="98"/>
      <c r="BJ815" s="98"/>
      <c r="BL815" s="98"/>
      <c r="BN815" s="98"/>
      <c r="BP815" s="98"/>
      <c r="BR815" s="98"/>
    </row>
    <row r="816" spans="1:70">
      <c r="A816" s="99"/>
      <c r="AZ816" s="98"/>
      <c r="BB816" s="98"/>
      <c r="BD816" s="98"/>
      <c r="BF816" s="98"/>
      <c r="BH816" s="98"/>
      <c r="BJ816" s="98"/>
      <c r="BL816" s="98"/>
      <c r="BN816" s="98"/>
      <c r="BP816" s="98"/>
      <c r="BR816" s="98"/>
    </row>
    <row r="817" spans="1:70">
      <c r="A817" s="99"/>
      <c r="AZ817" s="98"/>
      <c r="BB817" s="98"/>
      <c r="BD817" s="98"/>
      <c r="BF817" s="98"/>
      <c r="BH817" s="98"/>
      <c r="BJ817" s="98"/>
      <c r="BL817" s="98"/>
      <c r="BN817" s="98"/>
      <c r="BP817" s="98"/>
      <c r="BR817" s="98"/>
    </row>
    <row r="818" spans="1:70">
      <c r="A818" s="99"/>
      <c r="AZ818" s="98"/>
      <c r="BB818" s="98"/>
      <c r="BD818" s="98"/>
      <c r="BF818" s="98"/>
      <c r="BH818" s="98"/>
      <c r="BJ818" s="98"/>
      <c r="BL818" s="98"/>
      <c r="BN818" s="98"/>
      <c r="BP818" s="98"/>
      <c r="BR818" s="98"/>
    </row>
    <row r="819" spans="1:70">
      <c r="A819" s="99"/>
      <c r="AZ819" s="98"/>
      <c r="BB819" s="98"/>
      <c r="BD819" s="98"/>
      <c r="BF819" s="98"/>
      <c r="BH819" s="98"/>
      <c r="BJ819" s="98"/>
      <c r="BL819" s="98"/>
      <c r="BN819" s="98"/>
      <c r="BP819" s="98"/>
      <c r="BR819" s="98"/>
    </row>
    <row r="820" spans="1:70">
      <c r="A820" s="99"/>
      <c r="AZ820" s="98"/>
      <c r="BB820" s="98"/>
      <c r="BD820" s="98"/>
      <c r="BF820" s="98"/>
      <c r="BH820" s="98"/>
      <c r="BJ820" s="98"/>
      <c r="BL820" s="98"/>
      <c r="BN820" s="98"/>
      <c r="BP820" s="98"/>
      <c r="BR820" s="98"/>
    </row>
    <row r="821" spans="1:70">
      <c r="A821" s="99"/>
      <c r="AZ821" s="98"/>
      <c r="BB821" s="98"/>
      <c r="BD821" s="98"/>
      <c r="BF821" s="98"/>
      <c r="BH821" s="98"/>
      <c r="BJ821" s="98"/>
      <c r="BL821" s="98"/>
      <c r="BN821" s="98"/>
      <c r="BP821" s="98"/>
      <c r="BR821" s="98"/>
    </row>
    <row r="822" spans="1:70">
      <c r="A822" s="99"/>
      <c r="AZ822" s="98"/>
      <c r="BB822" s="98"/>
      <c r="BD822" s="98"/>
      <c r="BF822" s="98"/>
      <c r="BH822" s="98"/>
      <c r="BJ822" s="98"/>
      <c r="BL822" s="98"/>
      <c r="BN822" s="98"/>
      <c r="BP822" s="98"/>
      <c r="BR822" s="98"/>
    </row>
    <row r="823" spans="1:70">
      <c r="A823" s="99"/>
      <c r="AZ823" s="98"/>
      <c r="BB823" s="98"/>
      <c r="BD823" s="98"/>
      <c r="BF823" s="98"/>
      <c r="BH823" s="98"/>
      <c r="BJ823" s="98"/>
      <c r="BL823" s="98"/>
      <c r="BN823" s="98"/>
      <c r="BP823" s="98"/>
      <c r="BR823" s="98"/>
    </row>
    <row r="824" spans="1:70">
      <c r="A824" s="99"/>
      <c r="AZ824" s="98"/>
      <c r="BB824" s="98"/>
      <c r="BD824" s="98"/>
      <c r="BF824" s="98"/>
      <c r="BH824" s="98"/>
      <c r="BJ824" s="98"/>
      <c r="BL824" s="98"/>
      <c r="BN824" s="98"/>
      <c r="BP824" s="98"/>
      <c r="BR824" s="98"/>
    </row>
    <row r="825" spans="1:70">
      <c r="A825" s="99"/>
      <c r="AZ825" s="98"/>
      <c r="BB825" s="98"/>
      <c r="BD825" s="98"/>
      <c r="BF825" s="98"/>
      <c r="BH825" s="98"/>
      <c r="BJ825" s="98"/>
      <c r="BL825" s="98"/>
      <c r="BN825" s="98"/>
      <c r="BP825" s="98"/>
      <c r="BR825" s="98"/>
    </row>
    <row r="826" spans="1:70">
      <c r="A826" s="99"/>
      <c r="AZ826" s="98"/>
      <c r="BB826" s="98"/>
      <c r="BD826" s="98"/>
      <c r="BF826" s="98"/>
      <c r="BH826" s="98"/>
      <c r="BJ826" s="98"/>
      <c r="BL826" s="98"/>
      <c r="BN826" s="98"/>
      <c r="BP826" s="98"/>
      <c r="BR826" s="98"/>
    </row>
    <row r="827" spans="1:70">
      <c r="A827" s="99"/>
      <c r="AZ827" s="98"/>
      <c r="BB827" s="98"/>
      <c r="BD827" s="98"/>
      <c r="BF827" s="98"/>
      <c r="BH827" s="98"/>
      <c r="BJ827" s="98"/>
      <c r="BL827" s="98"/>
      <c r="BN827" s="98"/>
      <c r="BP827" s="98"/>
      <c r="BR827" s="98"/>
    </row>
    <row r="828" spans="1:70">
      <c r="A828" s="99"/>
      <c r="AZ828" s="98"/>
      <c r="BB828" s="98"/>
      <c r="BD828" s="98"/>
      <c r="BF828" s="98"/>
      <c r="BH828" s="98"/>
      <c r="BJ828" s="98"/>
      <c r="BL828" s="98"/>
      <c r="BN828" s="98"/>
      <c r="BP828" s="98"/>
      <c r="BR828" s="98"/>
    </row>
    <row r="829" spans="1:70">
      <c r="A829" s="99"/>
      <c r="AZ829" s="98"/>
      <c r="BB829" s="98"/>
      <c r="BD829" s="98"/>
      <c r="BF829" s="98"/>
      <c r="BH829" s="98"/>
      <c r="BJ829" s="98"/>
      <c r="BL829" s="98"/>
      <c r="BN829" s="98"/>
      <c r="BP829" s="98"/>
      <c r="BR829" s="98"/>
    </row>
    <row r="830" spans="1:70">
      <c r="A830" s="99"/>
      <c r="AZ830" s="98"/>
      <c r="BB830" s="98"/>
      <c r="BD830" s="98"/>
      <c r="BF830" s="98"/>
      <c r="BH830" s="98"/>
      <c r="BJ830" s="98"/>
      <c r="BL830" s="98"/>
      <c r="BN830" s="98"/>
      <c r="BP830" s="98"/>
      <c r="BR830" s="98"/>
    </row>
    <row r="831" spans="1:70">
      <c r="A831" s="99"/>
      <c r="AZ831" s="98"/>
      <c r="BB831" s="98"/>
      <c r="BD831" s="98"/>
      <c r="BF831" s="98"/>
      <c r="BH831" s="98"/>
      <c r="BJ831" s="98"/>
      <c r="BL831" s="98"/>
      <c r="BN831" s="98"/>
      <c r="BP831" s="98"/>
      <c r="BR831" s="98"/>
    </row>
    <row r="832" spans="1:70">
      <c r="A832" s="99"/>
      <c r="AZ832" s="98"/>
      <c r="BB832" s="98"/>
      <c r="BD832" s="98"/>
      <c r="BF832" s="98"/>
      <c r="BH832" s="98"/>
      <c r="BJ832" s="98"/>
      <c r="BL832" s="98"/>
      <c r="BN832" s="98"/>
      <c r="BP832" s="98"/>
      <c r="BR832" s="98"/>
    </row>
    <row r="833" spans="1:70">
      <c r="A833" s="99"/>
      <c r="AZ833" s="98"/>
      <c r="BB833" s="98"/>
      <c r="BD833" s="98"/>
      <c r="BF833" s="98"/>
      <c r="BH833" s="98"/>
      <c r="BJ833" s="98"/>
      <c r="BL833" s="98"/>
      <c r="BN833" s="98"/>
      <c r="BP833" s="98"/>
      <c r="BR833" s="98"/>
    </row>
    <row r="834" spans="1:70">
      <c r="A834" s="99"/>
      <c r="AZ834" s="98"/>
      <c r="BB834" s="98"/>
      <c r="BD834" s="98"/>
      <c r="BF834" s="98"/>
      <c r="BH834" s="98"/>
      <c r="BJ834" s="98"/>
      <c r="BL834" s="98"/>
      <c r="BN834" s="98"/>
      <c r="BP834" s="98"/>
      <c r="BR834" s="98"/>
    </row>
    <row r="835" spans="1:70">
      <c r="A835" s="99"/>
      <c r="AZ835" s="98"/>
      <c r="BB835" s="98"/>
      <c r="BD835" s="98"/>
      <c r="BF835" s="98"/>
      <c r="BH835" s="98"/>
      <c r="BJ835" s="98"/>
      <c r="BL835" s="98"/>
      <c r="BN835" s="98"/>
      <c r="BP835" s="98"/>
      <c r="BR835" s="98"/>
    </row>
    <row r="836" spans="1:70">
      <c r="A836" s="99"/>
      <c r="AZ836" s="98"/>
      <c r="BB836" s="98"/>
      <c r="BD836" s="98"/>
      <c r="BF836" s="98"/>
      <c r="BH836" s="98"/>
      <c r="BJ836" s="98"/>
      <c r="BL836" s="98"/>
      <c r="BN836" s="98"/>
      <c r="BP836" s="98"/>
      <c r="BR836" s="98"/>
    </row>
    <row r="837" spans="1:70">
      <c r="A837" s="99"/>
      <c r="AZ837" s="98"/>
      <c r="BB837" s="98"/>
      <c r="BD837" s="98"/>
      <c r="BF837" s="98"/>
      <c r="BH837" s="98"/>
      <c r="BJ837" s="98"/>
      <c r="BL837" s="98"/>
      <c r="BN837" s="98"/>
      <c r="BP837" s="98"/>
      <c r="BR837" s="98"/>
    </row>
    <row r="838" spans="1:70">
      <c r="A838" s="99"/>
      <c r="AZ838" s="98"/>
      <c r="BB838" s="98"/>
      <c r="BD838" s="98"/>
      <c r="BF838" s="98"/>
      <c r="BH838" s="98"/>
      <c r="BJ838" s="98"/>
      <c r="BL838" s="98"/>
      <c r="BN838" s="98"/>
      <c r="BP838" s="98"/>
      <c r="BR838" s="98"/>
    </row>
    <row r="839" spans="1:70">
      <c r="A839" s="99"/>
      <c r="AZ839" s="98"/>
      <c r="BB839" s="98"/>
      <c r="BD839" s="98"/>
      <c r="BF839" s="98"/>
      <c r="BH839" s="98"/>
      <c r="BJ839" s="98"/>
      <c r="BL839" s="98"/>
      <c r="BN839" s="98"/>
      <c r="BP839" s="98"/>
      <c r="BR839" s="98"/>
    </row>
    <row r="840" spans="1:70">
      <c r="A840" s="99"/>
      <c r="AZ840" s="98"/>
      <c r="BB840" s="98"/>
      <c r="BD840" s="98"/>
      <c r="BF840" s="98"/>
      <c r="BH840" s="98"/>
      <c r="BJ840" s="98"/>
      <c r="BL840" s="98"/>
      <c r="BN840" s="98"/>
      <c r="BP840" s="98"/>
      <c r="BR840" s="98"/>
    </row>
    <row r="841" spans="1:70">
      <c r="A841" s="99"/>
      <c r="AZ841" s="98"/>
      <c r="BB841" s="98"/>
      <c r="BD841" s="98"/>
      <c r="BF841" s="98"/>
      <c r="BH841" s="98"/>
      <c r="BJ841" s="98"/>
      <c r="BL841" s="98"/>
      <c r="BN841" s="98"/>
      <c r="BP841" s="98"/>
      <c r="BR841" s="98"/>
    </row>
    <row r="842" spans="1:70">
      <c r="A842" s="99"/>
      <c r="AZ842" s="98"/>
      <c r="BB842" s="98"/>
      <c r="BD842" s="98"/>
      <c r="BF842" s="98"/>
      <c r="BH842" s="98"/>
      <c r="BJ842" s="98"/>
      <c r="BL842" s="98"/>
      <c r="BN842" s="98"/>
      <c r="BP842" s="98"/>
      <c r="BR842" s="98"/>
    </row>
    <row r="843" spans="1:70">
      <c r="A843" s="99"/>
      <c r="AZ843" s="98"/>
      <c r="BB843" s="98"/>
      <c r="BD843" s="98"/>
      <c r="BF843" s="98"/>
      <c r="BH843" s="98"/>
      <c r="BJ843" s="98"/>
      <c r="BL843" s="98"/>
      <c r="BN843" s="98"/>
      <c r="BP843" s="98"/>
      <c r="BR843" s="98"/>
    </row>
    <row r="844" spans="1:70">
      <c r="A844" s="99"/>
      <c r="AZ844" s="98"/>
      <c r="BB844" s="98"/>
      <c r="BD844" s="98"/>
      <c r="BF844" s="98"/>
      <c r="BH844" s="98"/>
      <c r="BJ844" s="98"/>
      <c r="BL844" s="98"/>
      <c r="BN844" s="98"/>
      <c r="BP844" s="98"/>
      <c r="BR844" s="98"/>
    </row>
    <row r="845" spans="1:70">
      <c r="A845" s="99"/>
      <c r="AZ845" s="98"/>
      <c r="BB845" s="98"/>
      <c r="BD845" s="98"/>
      <c r="BF845" s="98"/>
      <c r="BH845" s="98"/>
      <c r="BJ845" s="98"/>
      <c r="BL845" s="98"/>
      <c r="BN845" s="98"/>
      <c r="BP845" s="98"/>
      <c r="BR845" s="98"/>
    </row>
    <row r="846" spans="1:70">
      <c r="A846" s="99"/>
      <c r="AZ846" s="98"/>
      <c r="BB846" s="98"/>
      <c r="BD846" s="98"/>
      <c r="BF846" s="98"/>
      <c r="BH846" s="98"/>
      <c r="BJ846" s="98"/>
      <c r="BL846" s="98"/>
      <c r="BN846" s="98"/>
      <c r="BP846" s="98"/>
      <c r="BR846" s="98"/>
    </row>
    <row r="847" spans="1:70">
      <c r="A847" s="99"/>
      <c r="AZ847" s="98"/>
      <c r="BB847" s="98"/>
      <c r="BD847" s="98"/>
      <c r="BF847" s="98"/>
      <c r="BH847" s="98"/>
      <c r="BJ847" s="98"/>
      <c r="BL847" s="98"/>
      <c r="BN847" s="98"/>
      <c r="BP847" s="98"/>
      <c r="BR847" s="98"/>
    </row>
    <row r="848" spans="1:70">
      <c r="A848" s="99"/>
      <c r="AZ848" s="98"/>
      <c r="BB848" s="98"/>
      <c r="BD848" s="98"/>
      <c r="BF848" s="98"/>
      <c r="BH848" s="98"/>
      <c r="BJ848" s="98"/>
      <c r="BL848" s="98"/>
      <c r="BN848" s="98"/>
      <c r="BP848" s="98"/>
      <c r="BR848" s="98"/>
    </row>
    <row r="849" spans="1:70">
      <c r="A849" s="99"/>
      <c r="AZ849" s="98"/>
      <c r="BB849" s="98"/>
      <c r="BD849" s="98"/>
      <c r="BF849" s="98"/>
      <c r="BH849" s="98"/>
      <c r="BJ849" s="98"/>
      <c r="BL849" s="98"/>
      <c r="BN849" s="98"/>
      <c r="BP849" s="98"/>
      <c r="BR849" s="98"/>
    </row>
    <row r="850" spans="1:70">
      <c r="A850" s="99"/>
      <c r="AZ850" s="98"/>
      <c r="BB850" s="98"/>
      <c r="BD850" s="98"/>
      <c r="BF850" s="98"/>
      <c r="BH850" s="98"/>
      <c r="BJ850" s="98"/>
      <c r="BL850" s="98"/>
      <c r="BN850" s="98"/>
      <c r="BP850" s="98"/>
      <c r="BR850" s="98"/>
    </row>
    <row r="851" spans="1:70">
      <c r="A851" s="99"/>
      <c r="AZ851" s="98"/>
      <c r="BB851" s="98"/>
      <c r="BD851" s="98"/>
      <c r="BF851" s="98"/>
      <c r="BH851" s="98"/>
      <c r="BJ851" s="98"/>
      <c r="BL851" s="98"/>
      <c r="BN851" s="98"/>
      <c r="BP851" s="98"/>
      <c r="BR851" s="98"/>
    </row>
    <row r="852" spans="1:70">
      <c r="A852" s="99"/>
      <c r="AZ852" s="98"/>
      <c r="BB852" s="98"/>
      <c r="BD852" s="98"/>
      <c r="BF852" s="98"/>
      <c r="BH852" s="98"/>
      <c r="BJ852" s="98"/>
      <c r="BL852" s="98"/>
      <c r="BN852" s="98"/>
      <c r="BP852" s="98"/>
      <c r="BR852" s="98"/>
    </row>
    <row r="853" spans="1:70">
      <c r="A853" s="99"/>
      <c r="AZ853" s="98"/>
      <c r="BB853" s="98"/>
      <c r="BD853" s="98"/>
      <c r="BF853" s="98"/>
      <c r="BH853" s="98"/>
      <c r="BJ853" s="98"/>
      <c r="BL853" s="98"/>
      <c r="BN853" s="98"/>
      <c r="BP853" s="98"/>
      <c r="BR853" s="98"/>
    </row>
    <row r="854" spans="1:70">
      <c r="A854" s="99"/>
      <c r="AZ854" s="98"/>
      <c r="BB854" s="98"/>
      <c r="BD854" s="98"/>
      <c r="BF854" s="98"/>
      <c r="BH854" s="98"/>
      <c r="BJ854" s="98"/>
      <c r="BL854" s="98"/>
      <c r="BN854" s="98"/>
      <c r="BP854" s="98"/>
      <c r="BR854" s="98"/>
    </row>
    <row r="855" spans="1:70">
      <c r="A855" s="99"/>
      <c r="AZ855" s="98"/>
      <c r="BB855" s="98"/>
      <c r="BD855" s="98"/>
      <c r="BF855" s="98"/>
      <c r="BH855" s="98"/>
      <c r="BJ855" s="98"/>
      <c r="BL855" s="98"/>
      <c r="BN855" s="98"/>
      <c r="BP855" s="98"/>
      <c r="BR855" s="98"/>
    </row>
    <row r="856" spans="1:70">
      <c r="A856" s="99"/>
      <c r="AZ856" s="98"/>
      <c r="BB856" s="98"/>
      <c r="BD856" s="98"/>
      <c r="BF856" s="98"/>
      <c r="BH856" s="98"/>
      <c r="BJ856" s="98"/>
      <c r="BL856" s="98"/>
      <c r="BN856" s="98"/>
      <c r="BP856" s="98"/>
      <c r="BR856" s="98"/>
    </row>
    <row r="857" spans="1:70">
      <c r="A857" s="99"/>
      <c r="AZ857" s="98"/>
      <c r="BB857" s="98"/>
      <c r="BD857" s="98"/>
      <c r="BF857" s="98"/>
      <c r="BH857" s="98"/>
      <c r="BJ857" s="98"/>
      <c r="BL857" s="98"/>
      <c r="BN857" s="98"/>
      <c r="BP857" s="98"/>
      <c r="BR857" s="98"/>
    </row>
    <row r="858" spans="1:70">
      <c r="A858" s="99"/>
      <c r="AZ858" s="98"/>
      <c r="BB858" s="98"/>
      <c r="BD858" s="98"/>
      <c r="BF858" s="98"/>
      <c r="BH858" s="98"/>
      <c r="BJ858" s="98"/>
      <c r="BL858" s="98"/>
      <c r="BN858" s="98"/>
      <c r="BP858" s="98"/>
      <c r="BR858" s="98"/>
    </row>
    <row r="859" spans="1:70">
      <c r="A859" s="99"/>
      <c r="AZ859" s="98"/>
      <c r="BB859" s="98"/>
      <c r="BD859" s="98"/>
      <c r="BF859" s="98"/>
      <c r="BH859" s="98"/>
      <c r="BJ859" s="98"/>
      <c r="BL859" s="98"/>
      <c r="BN859" s="98"/>
      <c r="BP859" s="98"/>
      <c r="BR859" s="98"/>
    </row>
    <row r="860" spans="1:70">
      <c r="A860" s="99"/>
      <c r="AZ860" s="98"/>
      <c r="BB860" s="98"/>
      <c r="BD860" s="98"/>
      <c r="BF860" s="98"/>
      <c r="BH860" s="98"/>
      <c r="BJ860" s="98"/>
      <c r="BL860" s="98"/>
      <c r="BN860" s="98"/>
      <c r="BP860" s="98"/>
      <c r="BR860" s="98"/>
    </row>
    <row r="861" spans="1:70">
      <c r="A861" s="99"/>
      <c r="AZ861" s="98"/>
      <c r="BB861" s="98"/>
      <c r="BD861" s="98"/>
      <c r="BF861" s="98"/>
      <c r="BH861" s="98"/>
      <c r="BJ861" s="98"/>
      <c r="BL861" s="98"/>
      <c r="BN861" s="98"/>
      <c r="BP861" s="98"/>
      <c r="BR861" s="98"/>
    </row>
    <row r="862" spans="1:70">
      <c r="A862" s="99"/>
      <c r="AZ862" s="98"/>
      <c r="BB862" s="98"/>
      <c r="BD862" s="98"/>
      <c r="BF862" s="98"/>
      <c r="BH862" s="98"/>
      <c r="BJ862" s="98"/>
      <c r="BL862" s="98"/>
      <c r="BN862" s="98"/>
      <c r="BP862" s="98"/>
      <c r="BR862" s="98"/>
    </row>
    <row r="863" spans="1:70">
      <c r="A863" s="99"/>
      <c r="AZ863" s="98"/>
      <c r="BB863" s="98"/>
      <c r="BD863" s="98"/>
      <c r="BF863" s="98"/>
      <c r="BH863" s="98"/>
      <c r="BJ863" s="98"/>
      <c r="BL863" s="98"/>
      <c r="BN863" s="98"/>
      <c r="BP863" s="98"/>
      <c r="BR863" s="98"/>
    </row>
    <row r="864" spans="1:70">
      <c r="A864" s="99"/>
      <c r="AZ864" s="98"/>
      <c r="BB864" s="98"/>
      <c r="BD864" s="98"/>
      <c r="BF864" s="98"/>
      <c r="BH864" s="98"/>
      <c r="BJ864" s="98"/>
      <c r="BL864" s="98"/>
      <c r="BN864" s="98"/>
      <c r="BP864" s="98"/>
      <c r="BR864" s="98"/>
    </row>
    <row r="865" spans="1:70">
      <c r="A865" s="99"/>
      <c r="AZ865" s="98"/>
      <c r="BB865" s="98"/>
      <c r="BD865" s="98"/>
      <c r="BF865" s="98"/>
      <c r="BH865" s="98"/>
      <c r="BJ865" s="98"/>
      <c r="BL865" s="98"/>
      <c r="BN865" s="98"/>
      <c r="BP865" s="98"/>
      <c r="BR865" s="98"/>
    </row>
    <row r="866" spans="1:70">
      <c r="A866" s="99"/>
      <c r="AZ866" s="98"/>
      <c r="BB866" s="98"/>
      <c r="BD866" s="98"/>
      <c r="BF866" s="98"/>
      <c r="BH866" s="98"/>
      <c r="BJ866" s="98"/>
      <c r="BL866" s="98"/>
      <c r="BN866" s="98"/>
      <c r="BP866" s="98"/>
      <c r="BR866" s="98"/>
    </row>
    <row r="867" spans="1:70">
      <c r="A867" s="99"/>
      <c r="AZ867" s="98"/>
      <c r="BB867" s="98"/>
      <c r="BD867" s="98"/>
      <c r="BF867" s="98"/>
      <c r="BH867" s="98"/>
      <c r="BJ867" s="98"/>
      <c r="BL867" s="98"/>
      <c r="BN867" s="98"/>
      <c r="BP867" s="98"/>
      <c r="BR867" s="98"/>
    </row>
    <row r="868" spans="1:70">
      <c r="A868" s="99"/>
      <c r="AZ868" s="98"/>
      <c r="BB868" s="98"/>
      <c r="BD868" s="98"/>
      <c r="BF868" s="98"/>
      <c r="BH868" s="98"/>
      <c r="BJ868" s="98"/>
      <c r="BL868" s="98"/>
      <c r="BN868" s="98"/>
      <c r="BP868" s="98"/>
      <c r="BR868" s="98"/>
    </row>
    <row r="869" spans="1:70">
      <c r="A869" s="99"/>
      <c r="AZ869" s="98"/>
      <c r="BB869" s="98"/>
      <c r="BD869" s="98"/>
      <c r="BF869" s="98"/>
      <c r="BH869" s="98"/>
      <c r="BJ869" s="98"/>
      <c r="BL869" s="98"/>
      <c r="BN869" s="98"/>
      <c r="BP869" s="98"/>
      <c r="BR869" s="98"/>
    </row>
    <row r="870" spans="1:70">
      <c r="A870" s="99"/>
      <c r="AZ870" s="98"/>
      <c r="BB870" s="98"/>
      <c r="BD870" s="98"/>
      <c r="BF870" s="98"/>
      <c r="BH870" s="98"/>
      <c r="BJ870" s="98"/>
      <c r="BL870" s="98"/>
      <c r="BN870" s="98"/>
      <c r="BP870" s="98"/>
      <c r="BR870" s="98"/>
    </row>
    <row r="871" spans="1:70">
      <c r="A871" s="99"/>
      <c r="AZ871" s="98"/>
      <c r="BB871" s="98"/>
      <c r="BD871" s="98"/>
      <c r="BF871" s="98"/>
      <c r="BH871" s="98"/>
      <c r="BJ871" s="98"/>
      <c r="BL871" s="98"/>
      <c r="BN871" s="98"/>
      <c r="BP871" s="98"/>
      <c r="BR871" s="98"/>
    </row>
    <row r="872" spans="1:70">
      <c r="A872" s="99"/>
      <c r="AZ872" s="98"/>
      <c r="BB872" s="98"/>
      <c r="BD872" s="98"/>
      <c r="BF872" s="98"/>
      <c r="BH872" s="98"/>
      <c r="BJ872" s="98"/>
      <c r="BL872" s="98"/>
      <c r="BN872" s="98"/>
      <c r="BP872" s="98"/>
      <c r="BR872" s="98"/>
    </row>
    <row r="873" spans="1:70">
      <c r="A873" s="99"/>
      <c r="AZ873" s="98"/>
      <c r="BB873" s="98"/>
      <c r="BD873" s="98"/>
      <c r="BF873" s="98"/>
      <c r="BH873" s="98"/>
      <c r="BJ873" s="98"/>
      <c r="BL873" s="98"/>
      <c r="BN873" s="98"/>
      <c r="BP873" s="98"/>
      <c r="BR873" s="98"/>
    </row>
    <row r="874" spans="1:70">
      <c r="A874" s="99"/>
      <c r="AZ874" s="98"/>
      <c r="BB874" s="98"/>
      <c r="BD874" s="98"/>
      <c r="BF874" s="98"/>
      <c r="BH874" s="98"/>
      <c r="BJ874" s="98"/>
      <c r="BL874" s="98"/>
      <c r="BN874" s="98"/>
      <c r="BP874" s="98"/>
      <c r="BR874" s="98"/>
    </row>
    <row r="875" spans="1:70">
      <c r="A875" s="99"/>
      <c r="AZ875" s="98"/>
      <c r="BB875" s="98"/>
      <c r="BD875" s="98"/>
      <c r="BF875" s="98"/>
      <c r="BH875" s="98"/>
      <c r="BJ875" s="98"/>
      <c r="BL875" s="98"/>
      <c r="BN875" s="98"/>
      <c r="BP875" s="98"/>
      <c r="BR875" s="98"/>
    </row>
    <row r="876" spans="1:70">
      <c r="A876" s="99"/>
      <c r="AZ876" s="98"/>
      <c r="BB876" s="98"/>
      <c r="BD876" s="98"/>
      <c r="BF876" s="98"/>
      <c r="BH876" s="98"/>
      <c r="BJ876" s="98"/>
      <c r="BL876" s="98"/>
      <c r="BN876" s="98"/>
      <c r="BP876" s="98"/>
      <c r="BR876" s="98"/>
    </row>
    <row r="877" spans="1:70">
      <c r="A877" s="99"/>
      <c r="AZ877" s="98"/>
      <c r="BB877" s="98"/>
      <c r="BD877" s="98"/>
      <c r="BF877" s="98"/>
      <c r="BH877" s="98"/>
      <c r="BJ877" s="98"/>
      <c r="BL877" s="98"/>
      <c r="BN877" s="98"/>
      <c r="BP877" s="98"/>
      <c r="BR877" s="98"/>
    </row>
    <row r="878" spans="1:70">
      <c r="A878" s="99"/>
      <c r="AZ878" s="98"/>
      <c r="BB878" s="98"/>
      <c r="BD878" s="98"/>
      <c r="BF878" s="98"/>
      <c r="BH878" s="98"/>
      <c r="BJ878" s="98"/>
      <c r="BL878" s="98"/>
      <c r="BN878" s="98"/>
      <c r="BP878" s="98"/>
      <c r="BR878" s="98"/>
    </row>
    <row r="879" spans="1:70">
      <c r="A879" s="99"/>
      <c r="AZ879" s="98"/>
      <c r="BB879" s="98"/>
      <c r="BD879" s="98"/>
      <c r="BF879" s="98"/>
      <c r="BH879" s="98"/>
      <c r="BJ879" s="98"/>
      <c r="BL879" s="98"/>
      <c r="BN879" s="98"/>
      <c r="BP879" s="98"/>
      <c r="BR879" s="98"/>
    </row>
    <row r="880" spans="1:70">
      <c r="A880" s="99"/>
      <c r="AZ880" s="98"/>
      <c r="BB880" s="98"/>
      <c r="BD880" s="98"/>
      <c r="BF880" s="98"/>
      <c r="BH880" s="98"/>
      <c r="BJ880" s="98"/>
      <c r="BL880" s="98"/>
      <c r="BN880" s="98"/>
      <c r="BP880" s="98"/>
      <c r="BR880" s="98"/>
    </row>
    <row r="881" spans="1:70">
      <c r="A881" s="99"/>
      <c r="AZ881" s="98"/>
      <c r="BB881" s="98"/>
      <c r="BD881" s="98"/>
      <c r="BF881" s="98"/>
      <c r="BH881" s="98"/>
      <c r="BJ881" s="98"/>
      <c r="BL881" s="98"/>
      <c r="BN881" s="98"/>
      <c r="BP881" s="98"/>
      <c r="BR881" s="98"/>
    </row>
    <row r="882" spans="1:70">
      <c r="A882" s="99"/>
      <c r="AZ882" s="98"/>
      <c r="BB882" s="98"/>
      <c r="BD882" s="98"/>
      <c r="BF882" s="98"/>
      <c r="BH882" s="98"/>
      <c r="BJ882" s="98"/>
      <c r="BL882" s="98"/>
      <c r="BN882" s="98"/>
      <c r="BP882" s="98"/>
      <c r="BR882" s="98"/>
    </row>
    <row r="883" spans="1:70">
      <c r="A883" s="99"/>
      <c r="AZ883" s="98"/>
      <c r="BB883" s="98"/>
      <c r="BD883" s="98"/>
      <c r="BF883" s="98"/>
      <c r="BH883" s="98"/>
      <c r="BJ883" s="98"/>
      <c r="BL883" s="98"/>
      <c r="BN883" s="98"/>
      <c r="BP883" s="98"/>
      <c r="BR883" s="98"/>
    </row>
    <row r="884" spans="1:70">
      <c r="A884" s="99"/>
      <c r="AZ884" s="98"/>
      <c r="BB884" s="98"/>
      <c r="BD884" s="98"/>
      <c r="BF884" s="98"/>
      <c r="BH884" s="98"/>
      <c r="BJ884" s="98"/>
      <c r="BL884" s="98"/>
      <c r="BN884" s="98"/>
      <c r="BP884" s="98"/>
      <c r="BR884" s="98"/>
    </row>
    <row r="885" spans="1:70">
      <c r="A885" s="99"/>
      <c r="AZ885" s="98"/>
      <c r="BB885" s="98"/>
      <c r="BD885" s="98"/>
      <c r="BF885" s="98"/>
      <c r="BH885" s="98"/>
      <c r="BJ885" s="98"/>
      <c r="BL885" s="98"/>
      <c r="BN885" s="98"/>
      <c r="BP885" s="98"/>
      <c r="BR885" s="98"/>
    </row>
    <row r="886" spans="1:70">
      <c r="A886" s="99"/>
      <c r="AZ886" s="98"/>
      <c r="BB886" s="98"/>
      <c r="BD886" s="98"/>
      <c r="BF886" s="98"/>
      <c r="BH886" s="98"/>
      <c r="BJ886" s="98"/>
      <c r="BL886" s="98"/>
      <c r="BN886" s="98"/>
      <c r="BP886" s="98"/>
      <c r="BR886" s="98"/>
    </row>
    <row r="887" spans="1:70">
      <c r="A887" s="99"/>
      <c r="AZ887" s="98"/>
      <c r="BB887" s="98"/>
      <c r="BD887" s="98"/>
      <c r="BF887" s="98"/>
      <c r="BH887" s="98"/>
      <c r="BJ887" s="98"/>
      <c r="BL887" s="98"/>
      <c r="BN887" s="98"/>
      <c r="BP887" s="98"/>
      <c r="BR887" s="98"/>
    </row>
    <row r="888" spans="1:70">
      <c r="A888" s="99"/>
      <c r="AZ888" s="98"/>
      <c r="BB888" s="98"/>
      <c r="BD888" s="98"/>
      <c r="BF888" s="98"/>
      <c r="BH888" s="98"/>
      <c r="BJ888" s="98"/>
      <c r="BL888" s="98"/>
      <c r="BN888" s="98"/>
      <c r="BP888" s="98"/>
      <c r="BR888" s="98"/>
    </row>
    <row r="889" spans="1:70">
      <c r="A889" s="99"/>
      <c r="AZ889" s="98"/>
      <c r="BB889" s="98"/>
      <c r="BD889" s="98"/>
      <c r="BF889" s="98"/>
      <c r="BH889" s="98"/>
      <c r="BJ889" s="98"/>
      <c r="BL889" s="98"/>
      <c r="BN889" s="98"/>
      <c r="BP889" s="98"/>
      <c r="BR889" s="98"/>
    </row>
    <row r="890" spans="1:70">
      <c r="A890" s="99"/>
      <c r="AZ890" s="98"/>
      <c r="BB890" s="98"/>
      <c r="BD890" s="98"/>
      <c r="BF890" s="98"/>
      <c r="BH890" s="98"/>
      <c r="BJ890" s="98"/>
      <c r="BL890" s="98"/>
      <c r="BN890" s="98"/>
      <c r="BP890" s="98"/>
      <c r="BR890" s="98"/>
    </row>
    <row r="891" spans="1:70">
      <c r="A891" s="99"/>
      <c r="AZ891" s="98"/>
      <c r="BB891" s="98"/>
      <c r="BD891" s="98"/>
      <c r="BF891" s="98"/>
      <c r="BH891" s="98"/>
      <c r="BJ891" s="98"/>
      <c r="BL891" s="98"/>
      <c r="BN891" s="98"/>
      <c r="BP891" s="98"/>
      <c r="BR891" s="98"/>
    </row>
    <row r="892" spans="1:70">
      <c r="A892" s="99"/>
      <c r="AZ892" s="98"/>
      <c r="BB892" s="98"/>
      <c r="BD892" s="98"/>
      <c r="BF892" s="98"/>
      <c r="BH892" s="98"/>
      <c r="BJ892" s="98"/>
      <c r="BL892" s="98"/>
      <c r="BN892" s="98"/>
      <c r="BP892" s="98"/>
      <c r="BR892" s="98"/>
    </row>
    <row r="893" spans="1:70">
      <c r="A893" s="99"/>
      <c r="AZ893" s="98"/>
      <c r="BB893" s="98"/>
      <c r="BD893" s="98"/>
      <c r="BF893" s="98"/>
      <c r="BH893" s="98"/>
      <c r="BJ893" s="98"/>
      <c r="BL893" s="98"/>
      <c r="BN893" s="98"/>
      <c r="BP893" s="98"/>
      <c r="BR893" s="98"/>
    </row>
    <row r="894" spans="1:70">
      <c r="A894" s="99"/>
      <c r="AZ894" s="98"/>
      <c r="BB894" s="98"/>
      <c r="BD894" s="98"/>
      <c r="BF894" s="98"/>
      <c r="BH894" s="98"/>
      <c r="BJ894" s="98"/>
      <c r="BL894" s="98"/>
      <c r="BN894" s="98"/>
      <c r="BP894" s="98"/>
      <c r="BR894" s="98"/>
    </row>
    <row r="895" spans="1:70">
      <c r="A895" s="99"/>
      <c r="AZ895" s="98"/>
      <c r="BB895" s="98"/>
      <c r="BD895" s="98"/>
      <c r="BF895" s="98"/>
      <c r="BH895" s="98"/>
      <c r="BJ895" s="98"/>
      <c r="BL895" s="98"/>
      <c r="BN895" s="98"/>
      <c r="BP895" s="98"/>
      <c r="BR895" s="98"/>
    </row>
    <row r="896" spans="1:70">
      <c r="A896" s="99"/>
      <c r="AZ896" s="98"/>
      <c r="BB896" s="98"/>
      <c r="BD896" s="98"/>
      <c r="BF896" s="98"/>
      <c r="BH896" s="98"/>
      <c r="BJ896" s="98"/>
      <c r="BL896" s="98"/>
      <c r="BN896" s="98"/>
      <c r="BP896" s="98"/>
      <c r="BR896" s="98"/>
    </row>
    <row r="897" spans="1:70">
      <c r="A897" s="99"/>
      <c r="AZ897" s="98"/>
      <c r="BB897" s="98"/>
      <c r="BD897" s="98"/>
      <c r="BF897" s="98"/>
      <c r="BH897" s="98"/>
      <c r="BJ897" s="98"/>
      <c r="BL897" s="98"/>
      <c r="BN897" s="98"/>
      <c r="BP897" s="98"/>
      <c r="BR897" s="98"/>
    </row>
    <row r="898" spans="1:70">
      <c r="A898" s="99"/>
      <c r="AZ898" s="98"/>
      <c r="BB898" s="98"/>
      <c r="BD898" s="98"/>
      <c r="BF898" s="98"/>
      <c r="BH898" s="98"/>
      <c r="BJ898" s="98"/>
      <c r="BL898" s="98"/>
      <c r="BN898" s="98"/>
      <c r="BP898" s="98"/>
      <c r="BR898" s="98"/>
    </row>
    <row r="899" spans="1:70">
      <c r="A899" s="99"/>
      <c r="AZ899" s="98"/>
      <c r="BB899" s="98"/>
      <c r="BD899" s="98"/>
      <c r="BF899" s="98"/>
      <c r="BH899" s="98"/>
      <c r="BJ899" s="98"/>
      <c r="BL899" s="98"/>
      <c r="BN899" s="98"/>
      <c r="BP899" s="98"/>
      <c r="BR899" s="98"/>
    </row>
    <row r="900" spans="1:70">
      <c r="A900" s="99"/>
      <c r="AZ900" s="98"/>
      <c r="BB900" s="98"/>
      <c r="BD900" s="98"/>
      <c r="BF900" s="98"/>
      <c r="BH900" s="98"/>
      <c r="BJ900" s="98"/>
      <c r="BL900" s="98"/>
      <c r="BN900" s="98"/>
      <c r="BP900" s="98"/>
      <c r="BR900" s="98"/>
    </row>
    <row r="901" spans="1:70">
      <c r="A901" s="99"/>
      <c r="AZ901" s="98"/>
      <c r="BB901" s="98"/>
      <c r="BD901" s="98"/>
      <c r="BF901" s="98"/>
      <c r="BH901" s="98"/>
      <c r="BJ901" s="98"/>
      <c r="BL901" s="98"/>
      <c r="BN901" s="98"/>
      <c r="BP901" s="98"/>
      <c r="BR901" s="98"/>
    </row>
    <row r="902" spans="1:70">
      <c r="A902" s="99"/>
      <c r="AZ902" s="98"/>
      <c r="BB902" s="98"/>
      <c r="BD902" s="98"/>
      <c r="BF902" s="98"/>
      <c r="BH902" s="98"/>
      <c r="BJ902" s="98"/>
      <c r="BL902" s="98"/>
      <c r="BN902" s="98"/>
      <c r="BP902" s="98"/>
      <c r="BR902" s="98"/>
    </row>
    <row r="903" spans="1:70">
      <c r="A903" s="99"/>
      <c r="AZ903" s="98"/>
      <c r="BB903" s="98"/>
      <c r="BD903" s="98"/>
      <c r="BF903" s="98"/>
      <c r="BH903" s="98"/>
      <c r="BJ903" s="98"/>
      <c r="BL903" s="98"/>
      <c r="BN903" s="98"/>
      <c r="BP903" s="98"/>
      <c r="BR903" s="98"/>
    </row>
    <row r="904" spans="1:70">
      <c r="A904" s="99"/>
      <c r="AZ904" s="98"/>
      <c r="BB904" s="98"/>
      <c r="BD904" s="98"/>
      <c r="BF904" s="98"/>
      <c r="BH904" s="98"/>
      <c r="BJ904" s="98"/>
      <c r="BL904" s="98"/>
      <c r="BN904" s="98"/>
      <c r="BP904" s="98"/>
      <c r="BR904" s="98"/>
    </row>
    <row r="905" spans="1:70">
      <c r="A905" s="99"/>
      <c r="AZ905" s="98"/>
      <c r="BB905" s="98"/>
      <c r="BD905" s="98"/>
      <c r="BF905" s="98"/>
      <c r="BH905" s="98"/>
      <c r="BJ905" s="98"/>
      <c r="BL905" s="98"/>
      <c r="BN905" s="98"/>
      <c r="BP905" s="98"/>
      <c r="BR905" s="98"/>
    </row>
    <row r="906" spans="1:70">
      <c r="A906" s="99"/>
      <c r="AZ906" s="98"/>
      <c r="BB906" s="98"/>
      <c r="BD906" s="98"/>
      <c r="BF906" s="98"/>
      <c r="BH906" s="98"/>
      <c r="BJ906" s="98"/>
      <c r="BL906" s="98"/>
      <c r="BN906" s="98"/>
      <c r="BP906" s="98"/>
      <c r="BR906" s="98"/>
    </row>
    <row r="907" spans="1:70">
      <c r="A907" s="99"/>
      <c r="AZ907" s="98"/>
      <c r="BB907" s="98"/>
      <c r="BD907" s="98"/>
      <c r="BF907" s="98"/>
      <c r="BH907" s="98"/>
      <c r="BJ907" s="98"/>
      <c r="BL907" s="98"/>
      <c r="BN907" s="98"/>
      <c r="BP907" s="98"/>
      <c r="BR907" s="98"/>
    </row>
    <row r="908" spans="1:70">
      <c r="A908" s="99"/>
      <c r="AZ908" s="98"/>
      <c r="BB908" s="98"/>
      <c r="BD908" s="98"/>
      <c r="BF908" s="98"/>
      <c r="BH908" s="98"/>
      <c r="BJ908" s="98"/>
      <c r="BL908" s="98"/>
      <c r="BN908" s="98"/>
      <c r="BP908" s="98"/>
      <c r="BR908" s="98"/>
    </row>
    <row r="909" spans="1:70">
      <c r="A909" s="99"/>
      <c r="AZ909" s="98"/>
      <c r="BB909" s="98"/>
      <c r="BD909" s="98"/>
      <c r="BF909" s="98"/>
      <c r="BH909" s="98"/>
      <c r="BJ909" s="98"/>
      <c r="BL909" s="98"/>
      <c r="BN909" s="98"/>
      <c r="BP909" s="98"/>
      <c r="BR909" s="98"/>
    </row>
    <row r="910" spans="1:70">
      <c r="A910" s="99"/>
      <c r="AZ910" s="98"/>
      <c r="BB910" s="98"/>
      <c r="BD910" s="98"/>
      <c r="BF910" s="98"/>
      <c r="BH910" s="98"/>
      <c r="BJ910" s="98"/>
      <c r="BL910" s="98"/>
      <c r="BN910" s="98"/>
      <c r="BP910" s="98"/>
      <c r="BR910" s="98"/>
    </row>
    <row r="911" spans="1:70">
      <c r="A911" s="99"/>
      <c r="AZ911" s="98"/>
      <c r="BB911" s="98"/>
      <c r="BD911" s="98"/>
      <c r="BF911" s="98"/>
      <c r="BH911" s="98"/>
      <c r="BJ911" s="98"/>
      <c r="BL911" s="98"/>
      <c r="BN911" s="98"/>
      <c r="BP911" s="98"/>
      <c r="BR911" s="98"/>
    </row>
    <row r="912" spans="1:70">
      <c r="A912" s="99"/>
      <c r="AZ912" s="98"/>
      <c r="BB912" s="98"/>
      <c r="BD912" s="98"/>
      <c r="BF912" s="98"/>
      <c r="BH912" s="98"/>
      <c r="BJ912" s="98"/>
      <c r="BL912" s="98"/>
      <c r="BN912" s="98"/>
      <c r="BP912" s="98"/>
      <c r="BR912" s="98"/>
    </row>
    <row r="913" spans="1:70">
      <c r="A913" s="99"/>
      <c r="AZ913" s="98"/>
      <c r="BB913" s="98"/>
      <c r="BD913" s="98"/>
      <c r="BF913" s="98"/>
      <c r="BH913" s="98"/>
      <c r="BJ913" s="98"/>
      <c r="BL913" s="98"/>
      <c r="BN913" s="98"/>
      <c r="BP913" s="98"/>
      <c r="BR913" s="98"/>
    </row>
    <row r="914" spans="1:70">
      <c r="A914" s="99"/>
      <c r="AZ914" s="98"/>
      <c r="BB914" s="98"/>
      <c r="BD914" s="98"/>
      <c r="BF914" s="98"/>
      <c r="BH914" s="98"/>
      <c r="BJ914" s="98"/>
      <c r="BL914" s="98"/>
      <c r="BN914" s="98"/>
      <c r="BP914" s="98"/>
      <c r="BR914" s="98"/>
    </row>
    <row r="915" spans="1:70">
      <c r="A915" s="99"/>
      <c r="AZ915" s="98"/>
      <c r="BB915" s="98"/>
      <c r="BD915" s="98"/>
      <c r="BF915" s="98"/>
      <c r="BH915" s="98"/>
      <c r="BJ915" s="98"/>
      <c r="BL915" s="98"/>
      <c r="BN915" s="98"/>
      <c r="BP915" s="98"/>
      <c r="BR915" s="98"/>
    </row>
    <row r="916" spans="1:70">
      <c r="A916" s="99"/>
      <c r="AZ916" s="98"/>
      <c r="BB916" s="98"/>
      <c r="BD916" s="98"/>
      <c r="BF916" s="98"/>
      <c r="BH916" s="98"/>
      <c r="BJ916" s="98"/>
      <c r="BL916" s="98"/>
      <c r="BN916" s="98"/>
      <c r="BP916" s="98"/>
      <c r="BR916" s="98"/>
    </row>
    <row r="917" spans="1:70">
      <c r="A917" s="99"/>
      <c r="AZ917" s="98"/>
      <c r="BB917" s="98"/>
      <c r="BD917" s="98"/>
      <c r="BF917" s="98"/>
      <c r="BH917" s="98"/>
      <c r="BJ917" s="98"/>
      <c r="BL917" s="98"/>
      <c r="BN917" s="98"/>
      <c r="BP917" s="98"/>
      <c r="BR917" s="98"/>
    </row>
    <row r="918" spans="1:70">
      <c r="A918" s="99"/>
      <c r="AZ918" s="98"/>
      <c r="BB918" s="98"/>
      <c r="BD918" s="98"/>
      <c r="BF918" s="98"/>
      <c r="BH918" s="98"/>
      <c r="BJ918" s="98"/>
      <c r="BL918" s="98"/>
      <c r="BN918" s="98"/>
      <c r="BP918" s="98"/>
      <c r="BR918" s="98"/>
    </row>
    <row r="919" spans="1:70">
      <c r="A919" s="99"/>
      <c r="AZ919" s="98"/>
      <c r="BB919" s="98"/>
      <c r="BD919" s="98"/>
      <c r="BF919" s="98"/>
      <c r="BH919" s="98"/>
      <c r="BJ919" s="98"/>
      <c r="BL919" s="98"/>
      <c r="BN919" s="98"/>
      <c r="BP919" s="98"/>
      <c r="BR919" s="98"/>
    </row>
    <row r="920" spans="1:70">
      <c r="A920" s="99"/>
      <c r="AZ920" s="98"/>
      <c r="BB920" s="98"/>
      <c r="BD920" s="98"/>
      <c r="BF920" s="98"/>
      <c r="BH920" s="98"/>
      <c r="BJ920" s="98"/>
      <c r="BL920" s="98"/>
      <c r="BN920" s="98"/>
      <c r="BP920" s="98"/>
      <c r="BR920" s="98"/>
    </row>
    <row r="921" spans="1:70">
      <c r="A921" s="99"/>
      <c r="AZ921" s="98"/>
      <c r="BB921" s="98"/>
      <c r="BD921" s="98"/>
      <c r="BF921" s="98"/>
      <c r="BH921" s="98"/>
      <c r="BJ921" s="98"/>
      <c r="BL921" s="98"/>
      <c r="BN921" s="98"/>
      <c r="BP921" s="98"/>
      <c r="BR921" s="98"/>
    </row>
    <row r="922" spans="1:70">
      <c r="A922" s="99"/>
      <c r="AZ922" s="98"/>
      <c r="BB922" s="98"/>
      <c r="BD922" s="98"/>
      <c r="BF922" s="98"/>
      <c r="BH922" s="98"/>
      <c r="BJ922" s="98"/>
      <c r="BL922" s="98"/>
      <c r="BN922" s="98"/>
      <c r="BP922" s="98"/>
      <c r="BR922" s="98"/>
    </row>
    <row r="923" spans="1:70">
      <c r="A923" s="99"/>
      <c r="AZ923" s="98"/>
      <c r="BB923" s="98"/>
      <c r="BD923" s="98"/>
      <c r="BF923" s="98"/>
      <c r="BH923" s="98"/>
      <c r="BJ923" s="98"/>
      <c r="BL923" s="98"/>
      <c r="BN923" s="98"/>
      <c r="BP923" s="98"/>
      <c r="BR923" s="98"/>
    </row>
    <row r="924" spans="1:70">
      <c r="A924" s="99"/>
      <c r="AZ924" s="98"/>
      <c r="BB924" s="98"/>
      <c r="BD924" s="98"/>
      <c r="BF924" s="98"/>
      <c r="BH924" s="98"/>
      <c r="BJ924" s="98"/>
      <c r="BL924" s="98"/>
      <c r="BN924" s="98"/>
      <c r="BP924" s="98"/>
      <c r="BR924" s="98"/>
    </row>
    <row r="925" spans="1:70">
      <c r="A925" s="99"/>
      <c r="AZ925" s="98"/>
      <c r="BB925" s="98"/>
      <c r="BD925" s="98"/>
      <c r="BF925" s="98"/>
      <c r="BH925" s="98"/>
      <c r="BJ925" s="98"/>
      <c r="BL925" s="98"/>
      <c r="BN925" s="98"/>
      <c r="BP925" s="98"/>
      <c r="BR925" s="98"/>
    </row>
    <row r="926" spans="1:70">
      <c r="A926" s="99"/>
      <c r="AZ926" s="98"/>
      <c r="BB926" s="98"/>
      <c r="BD926" s="98"/>
      <c r="BF926" s="98"/>
      <c r="BH926" s="98"/>
      <c r="BJ926" s="98"/>
      <c r="BL926" s="98"/>
      <c r="BN926" s="98"/>
      <c r="BP926" s="98"/>
      <c r="BR926" s="98"/>
    </row>
    <row r="927" spans="1:70">
      <c r="A927" s="99"/>
      <c r="AZ927" s="98"/>
      <c r="BB927" s="98"/>
      <c r="BD927" s="98"/>
      <c r="BF927" s="98"/>
      <c r="BH927" s="98"/>
      <c r="BJ927" s="98"/>
      <c r="BL927" s="98"/>
      <c r="BN927" s="98"/>
      <c r="BP927" s="98"/>
      <c r="BR927" s="98"/>
    </row>
    <row r="928" spans="1:70">
      <c r="A928" s="99"/>
      <c r="AZ928" s="98"/>
      <c r="BB928" s="98"/>
      <c r="BD928" s="98"/>
      <c r="BF928" s="98"/>
      <c r="BH928" s="98"/>
      <c r="BJ928" s="98"/>
      <c r="BL928" s="98"/>
      <c r="BN928" s="98"/>
      <c r="BP928" s="98"/>
      <c r="BR928" s="98"/>
    </row>
    <row r="929" spans="1:70">
      <c r="A929" s="99"/>
      <c r="AZ929" s="98"/>
      <c r="BB929" s="98"/>
      <c r="BD929" s="98"/>
      <c r="BF929" s="98"/>
      <c r="BH929" s="98"/>
      <c r="BJ929" s="98"/>
      <c r="BL929" s="98"/>
      <c r="BN929" s="98"/>
      <c r="BP929" s="98"/>
      <c r="BR929" s="98"/>
    </row>
    <row r="930" spans="1:70">
      <c r="A930" s="99"/>
      <c r="AZ930" s="98"/>
      <c r="BB930" s="98"/>
      <c r="BD930" s="98"/>
      <c r="BF930" s="98"/>
      <c r="BH930" s="98"/>
      <c r="BJ930" s="98"/>
      <c r="BL930" s="98"/>
      <c r="BN930" s="98"/>
      <c r="BP930" s="98"/>
      <c r="BR930" s="98"/>
    </row>
    <row r="931" spans="1:70">
      <c r="A931" s="99"/>
      <c r="AZ931" s="98"/>
      <c r="BB931" s="98"/>
      <c r="BD931" s="98"/>
      <c r="BF931" s="98"/>
      <c r="BH931" s="98"/>
      <c r="BJ931" s="98"/>
      <c r="BL931" s="98"/>
      <c r="BN931" s="98"/>
      <c r="BP931" s="98"/>
      <c r="BR931" s="98"/>
    </row>
    <row r="932" spans="1:70">
      <c r="A932" s="99"/>
      <c r="AZ932" s="98"/>
      <c r="BB932" s="98"/>
      <c r="BD932" s="98"/>
      <c r="BF932" s="98"/>
      <c r="BH932" s="98"/>
      <c r="BJ932" s="98"/>
      <c r="BL932" s="98"/>
      <c r="BN932" s="98"/>
      <c r="BP932" s="98"/>
      <c r="BR932" s="98"/>
    </row>
    <row r="933" spans="1:70">
      <c r="A933" s="99"/>
      <c r="AZ933" s="98"/>
      <c r="BB933" s="98"/>
      <c r="BD933" s="98"/>
      <c r="BF933" s="98"/>
      <c r="BH933" s="98"/>
      <c r="BJ933" s="98"/>
      <c r="BL933" s="98"/>
      <c r="BN933" s="98"/>
      <c r="BP933" s="98"/>
      <c r="BR933" s="98"/>
    </row>
    <row r="934" spans="1:70">
      <c r="A934" s="99"/>
      <c r="AZ934" s="98"/>
      <c r="BB934" s="98"/>
      <c r="BD934" s="98"/>
      <c r="BF934" s="98"/>
      <c r="BH934" s="98"/>
      <c r="BJ934" s="98"/>
      <c r="BL934" s="98"/>
      <c r="BN934" s="98"/>
      <c r="BP934" s="98"/>
      <c r="BR934" s="98"/>
    </row>
    <row r="935" spans="1:70">
      <c r="A935" s="99"/>
      <c r="AZ935" s="98"/>
      <c r="BB935" s="98"/>
      <c r="BD935" s="98"/>
      <c r="BF935" s="98"/>
      <c r="BH935" s="98"/>
      <c r="BJ935" s="98"/>
      <c r="BL935" s="98"/>
      <c r="BN935" s="98"/>
      <c r="BP935" s="98"/>
      <c r="BR935" s="98"/>
    </row>
    <row r="936" spans="1:70">
      <c r="A936" s="99"/>
      <c r="AZ936" s="98"/>
      <c r="BB936" s="98"/>
      <c r="BD936" s="98"/>
      <c r="BF936" s="98"/>
      <c r="BH936" s="98"/>
      <c r="BJ936" s="98"/>
      <c r="BL936" s="98"/>
      <c r="BN936" s="98"/>
      <c r="BP936" s="98"/>
      <c r="BR936" s="98"/>
    </row>
    <row r="937" spans="1:70">
      <c r="A937" s="99"/>
      <c r="AZ937" s="98"/>
      <c r="BB937" s="98"/>
      <c r="BD937" s="98"/>
      <c r="BF937" s="98"/>
      <c r="BH937" s="98"/>
      <c r="BJ937" s="98"/>
      <c r="BL937" s="98"/>
      <c r="BN937" s="98"/>
      <c r="BP937" s="98"/>
      <c r="BR937" s="98"/>
    </row>
    <row r="938" spans="1:70">
      <c r="A938" s="99"/>
      <c r="AZ938" s="98"/>
      <c r="BB938" s="98"/>
      <c r="BD938" s="98"/>
      <c r="BF938" s="98"/>
      <c r="BH938" s="98"/>
      <c r="BJ938" s="98"/>
      <c r="BL938" s="98"/>
      <c r="BN938" s="98"/>
      <c r="BP938" s="98"/>
      <c r="BR938" s="98"/>
    </row>
    <row r="939" spans="1:70">
      <c r="A939" s="99"/>
      <c r="AZ939" s="98"/>
      <c r="BB939" s="98"/>
      <c r="BD939" s="98"/>
      <c r="BF939" s="98"/>
      <c r="BH939" s="98"/>
      <c r="BJ939" s="98"/>
      <c r="BL939" s="98"/>
      <c r="BN939" s="98"/>
      <c r="BP939" s="98"/>
      <c r="BR939" s="98"/>
    </row>
    <row r="940" spans="1:70">
      <c r="A940" s="99"/>
      <c r="AZ940" s="98"/>
      <c r="BB940" s="98"/>
      <c r="BD940" s="98"/>
      <c r="BF940" s="98"/>
      <c r="BH940" s="98"/>
      <c r="BJ940" s="98"/>
      <c r="BL940" s="98"/>
      <c r="BN940" s="98"/>
      <c r="BP940" s="98"/>
      <c r="BR940" s="98"/>
    </row>
    <row r="941" spans="1:70">
      <c r="A941" s="99"/>
      <c r="AZ941" s="98"/>
      <c r="BB941" s="98"/>
      <c r="BD941" s="98"/>
      <c r="BF941" s="98"/>
      <c r="BH941" s="98"/>
      <c r="BJ941" s="98"/>
      <c r="BL941" s="98"/>
      <c r="BN941" s="98"/>
      <c r="BP941" s="98"/>
      <c r="BR941" s="98"/>
    </row>
    <row r="942" spans="1:70">
      <c r="A942" s="99"/>
      <c r="AZ942" s="98"/>
      <c r="BB942" s="98"/>
      <c r="BD942" s="98"/>
      <c r="BF942" s="98"/>
      <c r="BH942" s="98"/>
      <c r="BJ942" s="98"/>
      <c r="BL942" s="98"/>
      <c r="BN942" s="98"/>
      <c r="BP942" s="98"/>
      <c r="BR942" s="98"/>
    </row>
    <row r="943" spans="1:70">
      <c r="A943" s="99"/>
      <c r="AZ943" s="98"/>
      <c r="BB943" s="98"/>
      <c r="BD943" s="98"/>
      <c r="BF943" s="98"/>
      <c r="BH943" s="98"/>
      <c r="BJ943" s="98"/>
      <c r="BL943" s="98"/>
      <c r="BN943" s="98"/>
      <c r="BP943" s="98"/>
      <c r="BR943" s="98"/>
    </row>
    <row r="944" spans="1:70">
      <c r="A944" s="99"/>
      <c r="AZ944" s="98"/>
      <c r="BB944" s="98"/>
      <c r="BD944" s="98"/>
      <c r="BF944" s="98"/>
      <c r="BH944" s="98"/>
      <c r="BJ944" s="98"/>
      <c r="BL944" s="98"/>
      <c r="BN944" s="98"/>
      <c r="BP944" s="98"/>
      <c r="BR944" s="98"/>
    </row>
    <row r="945" spans="1:70">
      <c r="A945" s="99"/>
      <c r="AZ945" s="98"/>
      <c r="BB945" s="98"/>
      <c r="BD945" s="98"/>
      <c r="BF945" s="98"/>
      <c r="BH945" s="98"/>
      <c r="BJ945" s="98"/>
      <c r="BL945" s="98"/>
      <c r="BN945" s="98"/>
      <c r="BP945" s="98"/>
      <c r="BR945" s="98"/>
    </row>
    <row r="946" spans="1:70">
      <c r="A946" s="99"/>
      <c r="AZ946" s="98"/>
      <c r="BB946" s="98"/>
      <c r="BD946" s="98"/>
      <c r="BF946" s="98"/>
      <c r="BH946" s="98"/>
      <c r="BJ946" s="98"/>
      <c r="BL946" s="98"/>
      <c r="BN946" s="98"/>
      <c r="BP946" s="98"/>
      <c r="BR946" s="98"/>
    </row>
    <row r="947" spans="1:70">
      <c r="A947" s="99"/>
      <c r="AZ947" s="98"/>
      <c r="BB947" s="98"/>
      <c r="BD947" s="98"/>
      <c r="BF947" s="98"/>
      <c r="BH947" s="98"/>
      <c r="BJ947" s="98"/>
      <c r="BL947" s="98"/>
      <c r="BN947" s="98"/>
      <c r="BP947" s="98"/>
      <c r="BR947" s="98"/>
    </row>
    <row r="948" spans="1:70">
      <c r="A948" s="99"/>
      <c r="AZ948" s="98"/>
      <c r="BB948" s="98"/>
      <c r="BD948" s="98"/>
      <c r="BF948" s="98"/>
      <c r="BH948" s="98"/>
      <c r="BJ948" s="98"/>
      <c r="BL948" s="98"/>
      <c r="BN948" s="98"/>
      <c r="BP948" s="98"/>
      <c r="BR948" s="98"/>
    </row>
    <row r="949" spans="1:70">
      <c r="A949" s="99"/>
      <c r="AZ949" s="98"/>
      <c r="BB949" s="98"/>
      <c r="BD949" s="98"/>
      <c r="BF949" s="98"/>
      <c r="BH949" s="98"/>
      <c r="BJ949" s="98"/>
      <c r="BL949" s="98"/>
      <c r="BN949" s="98"/>
      <c r="BP949" s="98"/>
      <c r="BR949" s="98"/>
    </row>
    <row r="950" spans="1:70">
      <c r="A950" s="99"/>
      <c r="AZ950" s="98"/>
      <c r="BB950" s="98"/>
      <c r="BD950" s="98"/>
      <c r="BF950" s="98"/>
      <c r="BH950" s="98"/>
      <c r="BJ950" s="98"/>
      <c r="BL950" s="98"/>
      <c r="BN950" s="98"/>
      <c r="BP950" s="98"/>
      <c r="BR950" s="98"/>
    </row>
    <row r="951" spans="1:70">
      <c r="A951" s="99"/>
      <c r="AZ951" s="98"/>
      <c r="BB951" s="98"/>
      <c r="BD951" s="98"/>
      <c r="BF951" s="98"/>
      <c r="BH951" s="98"/>
      <c r="BJ951" s="98"/>
      <c r="BL951" s="98"/>
      <c r="BN951" s="98"/>
      <c r="BP951" s="98"/>
      <c r="BR951" s="98"/>
    </row>
    <row r="952" spans="1:70">
      <c r="A952" s="99"/>
      <c r="AZ952" s="98"/>
      <c r="BB952" s="98"/>
      <c r="BD952" s="98"/>
      <c r="BF952" s="98"/>
      <c r="BH952" s="98"/>
      <c r="BJ952" s="98"/>
      <c r="BL952" s="98"/>
      <c r="BN952" s="98"/>
      <c r="BP952" s="98"/>
      <c r="BR952" s="98"/>
    </row>
    <row r="953" spans="1:70">
      <c r="A953" s="99"/>
      <c r="AZ953" s="98"/>
      <c r="BB953" s="98"/>
      <c r="BD953" s="98"/>
      <c r="BF953" s="98"/>
      <c r="BH953" s="98"/>
      <c r="BJ953" s="98"/>
      <c r="BL953" s="98"/>
      <c r="BN953" s="98"/>
      <c r="BP953" s="98"/>
      <c r="BR953" s="98"/>
    </row>
    <row r="954" spans="1:70">
      <c r="A954" s="99"/>
      <c r="AZ954" s="98"/>
      <c r="BB954" s="98"/>
      <c r="BD954" s="98"/>
      <c r="BF954" s="98"/>
      <c r="BH954" s="98"/>
      <c r="BJ954" s="98"/>
      <c r="BL954" s="98"/>
      <c r="BN954" s="98"/>
      <c r="BP954" s="98"/>
      <c r="BR954" s="98"/>
    </row>
    <row r="955" spans="1:70">
      <c r="A955" s="99"/>
      <c r="AZ955" s="98"/>
      <c r="BB955" s="98"/>
      <c r="BD955" s="98"/>
      <c r="BF955" s="98"/>
      <c r="BH955" s="98"/>
      <c r="BJ955" s="98"/>
      <c r="BL955" s="98"/>
      <c r="BN955" s="98"/>
      <c r="BP955" s="98"/>
      <c r="BR955" s="98"/>
    </row>
    <row r="956" spans="1:70">
      <c r="A956" s="99"/>
      <c r="AZ956" s="98"/>
      <c r="BB956" s="98"/>
      <c r="BD956" s="98"/>
      <c r="BF956" s="98"/>
      <c r="BH956" s="98"/>
      <c r="BJ956" s="98"/>
      <c r="BL956" s="98"/>
      <c r="BN956" s="98"/>
      <c r="BP956" s="98"/>
      <c r="BR956" s="98"/>
    </row>
    <row r="957" spans="1:70">
      <c r="A957" s="99"/>
      <c r="AZ957" s="98"/>
      <c r="BB957" s="98"/>
      <c r="BD957" s="98"/>
      <c r="BF957" s="98"/>
      <c r="BH957" s="98"/>
      <c r="BJ957" s="98"/>
      <c r="BL957" s="98"/>
      <c r="BN957" s="98"/>
      <c r="BP957" s="98"/>
      <c r="BR957" s="98"/>
    </row>
    <row r="958" spans="1:70">
      <c r="A958" s="99"/>
      <c r="AZ958" s="98"/>
      <c r="BB958" s="98"/>
      <c r="BD958" s="98"/>
      <c r="BF958" s="98"/>
      <c r="BH958" s="98"/>
      <c r="BJ958" s="98"/>
      <c r="BL958" s="98"/>
      <c r="BN958" s="98"/>
      <c r="BP958" s="98"/>
      <c r="BR958" s="98"/>
    </row>
    <row r="959" spans="1:70">
      <c r="A959" s="99"/>
      <c r="AZ959" s="98"/>
      <c r="BB959" s="98"/>
      <c r="BD959" s="98"/>
      <c r="BF959" s="98"/>
      <c r="BH959" s="98"/>
      <c r="BJ959" s="98"/>
      <c r="BL959" s="98"/>
      <c r="BN959" s="98"/>
      <c r="BP959" s="98"/>
      <c r="BR959" s="98"/>
    </row>
    <row r="960" spans="1:70">
      <c r="A960" s="99"/>
      <c r="AZ960" s="98"/>
      <c r="BB960" s="98"/>
      <c r="BD960" s="98"/>
      <c r="BF960" s="98"/>
      <c r="BH960" s="98"/>
      <c r="BJ960" s="98"/>
      <c r="BL960" s="98"/>
      <c r="BN960" s="98"/>
      <c r="BP960" s="98"/>
      <c r="BR960" s="98"/>
    </row>
    <row r="961" spans="1:70">
      <c r="A961" s="99"/>
      <c r="AZ961" s="98"/>
      <c r="BB961" s="98"/>
      <c r="BD961" s="98"/>
      <c r="BF961" s="98"/>
      <c r="BH961" s="98"/>
      <c r="BJ961" s="98"/>
      <c r="BL961" s="98"/>
      <c r="BN961" s="98"/>
      <c r="BP961" s="98"/>
      <c r="BR961" s="98"/>
    </row>
    <row r="962" spans="1:70">
      <c r="A962" s="99"/>
      <c r="AZ962" s="98"/>
      <c r="BB962" s="98"/>
      <c r="BD962" s="98"/>
      <c r="BF962" s="98"/>
      <c r="BH962" s="98"/>
      <c r="BJ962" s="98"/>
      <c r="BL962" s="98"/>
      <c r="BN962" s="98"/>
      <c r="BP962" s="98"/>
      <c r="BR962" s="98"/>
    </row>
    <row r="963" spans="1:70">
      <c r="A963" s="99"/>
      <c r="AZ963" s="98"/>
      <c r="BB963" s="98"/>
      <c r="BD963" s="98"/>
      <c r="BF963" s="98"/>
      <c r="BH963" s="98"/>
      <c r="BJ963" s="98"/>
      <c r="BL963" s="98"/>
      <c r="BN963" s="98"/>
      <c r="BP963" s="98"/>
      <c r="BR963" s="98"/>
    </row>
    <row r="964" spans="1:70">
      <c r="A964" s="99"/>
      <c r="AZ964" s="98"/>
      <c r="BB964" s="98"/>
      <c r="BD964" s="98"/>
      <c r="BF964" s="98"/>
      <c r="BH964" s="98"/>
      <c r="BJ964" s="98"/>
      <c r="BL964" s="98"/>
      <c r="BN964" s="98"/>
      <c r="BP964" s="98"/>
      <c r="BR964" s="98"/>
    </row>
    <row r="965" spans="1:70">
      <c r="A965" s="99"/>
      <c r="AZ965" s="98"/>
      <c r="BB965" s="98"/>
      <c r="BD965" s="98"/>
      <c r="BF965" s="98"/>
      <c r="BH965" s="98"/>
      <c r="BJ965" s="98"/>
      <c r="BL965" s="98"/>
      <c r="BN965" s="98"/>
      <c r="BP965" s="98"/>
      <c r="BR965" s="98"/>
    </row>
    <row r="966" spans="1:70">
      <c r="A966" s="99"/>
      <c r="AZ966" s="98"/>
      <c r="BB966" s="98"/>
      <c r="BD966" s="98"/>
      <c r="BF966" s="98"/>
      <c r="BH966" s="98"/>
      <c r="BJ966" s="98"/>
      <c r="BL966" s="98"/>
      <c r="BN966" s="98"/>
      <c r="BP966" s="98"/>
      <c r="BR966" s="98"/>
    </row>
    <row r="967" spans="1:70">
      <c r="A967" s="99"/>
      <c r="AZ967" s="98"/>
      <c r="BB967" s="98"/>
      <c r="BD967" s="98"/>
      <c r="BF967" s="98"/>
      <c r="BH967" s="98"/>
      <c r="BJ967" s="98"/>
      <c r="BL967" s="98"/>
      <c r="BN967" s="98"/>
      <c r="BP967" s="98"/>
      <c r="BR967" s="98"/>
    </row>
    <row r="968" spans="1:70">
      <c r="A968" s="99"/>
      <c r="AZ968" s="98"/>
      <c r="BB968" s="98"/>
      <c r="BD968" s="98"/>
      <c r="BF968" s="98"/>
      <c r="BH968" s="98"/>
      <c r="BJ968" s="98"/>
      <c r="BL968" s="98"/>
      <c r="BN968" s="98"/>
      <c r="BP968" s="98"/>
      <c r="BR968" s="98"/>
    </row>
    <row r="969" spans="1:70">
      <c r="A969" s="99"/>
      <c r="AZ969" s="98"/>
      <c r="BB969" s="98"/>
      <c r="BD969" s="98"/>
      <c r="BF969" s="98"/>
      <c r="BH969" s="98"/>
      <c r="BJ969" s="98"/>
      <c r="BL969" s="98"/>
      <c r="BN969" s="98"/>
      <c r="BP969" s="98"/>
      <c r="BR969" s="98"/>
    </row>
    <row r="970" spans="1:70">
      <c r="A970" s="99"/>
      <c r="AZ970" s="98"/>
      <c r="BB970" s="98"/>
      <c r="BD970" s="98"/>
      <c r="BF970" s="98"/>
      <c r="BH970" s="98"/>
      <c r="BJ970" s="98"/>
      <c r="BL970" s="98"/>
      <c r="BN970" s="98"/>
      <c r="BP970" s="98"/>
      <c r="BR970" s="98"/>
    </row>
    <row r="971" spans="1:70">
      <c r="A971" s="99"/>
      <c r="AZ971" s="98"/>
      <c r="BB971" s="98"/>
      <c r="BD971" s="98"/>
      <c r="BF971" s="98"/>
      <c r="BH971" s="98"/>
      <c r="BJ971" s="98"/>
      <c r="BL971" s="98"/>
      <c r="BN971" s="98"/>
      <c r="BP971" s="98"/>
      <c r="BR971" s="98"/>
    </row>
    <row r="972" spans="1:70">
      <c r="A972" s="99"/>
      <c r="AZ972" s="98"/>
      <c r="BB972" s="98"/>
      <c r="BD972" s="98"/>
      <c r="BF972" s="98"/>
      <c r="BH972" s="98"/>
      <c r="BJ972" s="98"/>
      <c r="BL972" s="98"/>
      <c r="BN972" s="98"/>
      <c r="BP972" s="98"/>
      <c r="BR972" s="98"/>
    </row>
    <row r="973" spans="1:70">
      <c r="A973" s="99"/>
      <c r="AZ973" s="98"/>
      <c r="BB973" s="98"/>
      <c r="BD973" s="98"/>
      <c r="BF973" s="98"/>
      <c r="BH973" s="98"/>
      <c r="BJ973" s="98"/>
      <c r="BL973" s="98"/>
      <c r="BN973" s="98"/>
      <c r="BP973" s="98"/>
      <c r="BR973" s="98"/>
    </row>
    <row r="974" spans="1:70">
      <c r="A974" s="99"/>
      <c r="AZ974" s="98"/>
      <c r="BB974" s="98"/>
      <c r="BD974" s="98"/>
      <c r="BF974" s="98"/>
      <c r="BH974" s="98"/>
      <c r="BJ974" s="98"/>
      <c r="BL974" s="98"/>
      <c r="BN974" s="98"/>
      <c r="BP974" s="98"/>
      <c r="BR974" s="98"/>
    </row>
    <row r="975" spans="1:70">
      <c r="A975" s="99"/>
      <c r="AZ975" s="98"/>
      <c r="BB975" s="98"/>
      <c r="BD975" s="98"/>
      <c r="BF975" s="98"/>
      <c r="BH975" s="98"/>
      <c r="BJ975" s="98"/>
      <c r="BL975" s="98"/>
      <c r="BN975" s="98"/>
      <c r="BP975" s="98"/>
      <c r="BR975" s="98"/>
    </row>
    <row r="976" spans="1:70">
      <c r="A976" s="99"/>
      <c r="AZ976" s="98"/>
      <c r="BB976" s="98"/>
      <c r="BD976" s="98"/>
      <c r="BF976" s="98"/>
      <c r="BH976" s="98"/>
      <c r="BJ976" s="98"/>
      <c r="BL976" s="98"/>
      <c r="BN976" s="98"/>
      <c r="BP976" s="98"/>
      <c r="BR976" s="98"/>
    </row>
    <row r="977" spans="1:70">
      <c r="A977" s="99"/>
      <c r="AZ977" s="98"/>
      <c r="BB977" s="98"/>
      <c r="BD977" s="98"/>
      <c r="BF977" s="98"/>
      <c r="BH977" s="98"/>
      <c r="BJ977" s="98"/>
      <c r="BL977" s="98"/>
      <c r="BN977" s="98"/>
      <c r="BP977" s="98"/>
      <c r="BR977" s="98"/>
    </row>
    <row r="978" spans="1:70">
      <c r="A978" s="99"/>
      <c r="AZ978" s="98"/>
      <c r="BB978" s="98"/>
      <c r="BD978" s="98"/>
      <c r="BF978" s="98"/>
      <c r="BH978" s="98"/>
      <c r="BJ978" s="98"/>
      <c r="BL978" s="98"/>
      <c r="BN978" s="98"/>
      <c r="BP978" s="98"/>
      <c r="BR978" s="98"/>
    </row>
    <row r="979" spans="1:70">
      <c r="A979" s="99"/>
      <c r="AZ979" s="98"/>
      <c r="BB979" s="98"/>
      <c r="BD979" s="98"/>
      <c r="BF979" s="98"/>
      <c r="BH979" s="98"/>
      <c r="BJ979" s="98"/>
      <c r="BL979" s="98"/>
      <c r="BN979" s="98"/>
      <c r="BP979" s="98"/>
      <c r="BR979" s="98"/>
    </row>
    <row r="980" spans="1:70">
      <c r="A980" s="99"/>
      <c r="AZ980" s="98"/>
      <c r="BB980" s="98"/>
      <c r="BD980" s="98"/>
      <c r="BF980" s="98"/>
      <c r="BH980" s="98"/>
      <c r="BJ980" s="98"/>
      <c r="BL980" s="98"/>
      <c r="BN980" s="98"/>
      <c r="BP980" s="98"/>
      <c r="BR980" s="98"/>
    </row>
    <row r="981" spans="1:70">
      <c r="A981" s="99"/>
      <c r="AZ981" s="98"/>
      <c r="BB981" s="98"/>
      <c r="BD981" s="98"/>
      <c r="BF981" s="98"/>
      <c r="BH981" s="98"/>
      <c r="BJ981" s="98"/>
      <c r="BL981" s="98"/>
      <c r="BN981" s="98"/>
      <c r="BP981" s="98"/>
      <c r="BR981" s="98"/>
    </row>
    <row r="982" spans="1:70">
      <c r="A982" s="99"/>
      <c r="AZ982" s="98"/>
      <c r="BB982" s="98"/>
      <c r="BD982" s="98"/>
      <c r="BF982" s="98"/>
      <c r="BH982" s="98"/>
      <c r="BJ982" s="98"/>
      <c r="BL982" s="98"/>
      <c r="BN982" s="98"/>
      <c r="BP982" s="98"/>
      <c r="BR982" s="98"/>
    </row>
    <row r="983" spans="1:70">
      <c r="A983" s="99"/>
      <c r="AZ983" s="98"/>
      <c r="BB983" s="98"/>
      <c r="BD983" s="98"/>
      <c r="BF983" s="98"/>
      <c r="BH983" s="98"/>
      <c r="BJ983" s="98"/>
      <c r="BL983" s="98"/>
      <c r="BN983" s="98"/>
      <c r="BP983" s="98"/>
      <c r="BR983" s="98"/>
    </row>
    <row r="984" spans="1:70">
      <c r="A984" s="99"/>
      <c r="AZ984" s="98"/>
      <c r="BB984" s="98"/>
      <c r="BD984" s="98"/>
      <c r="BF984" s="98"/>
      <c r="BH984" s="98"/>
      <c r="BJ984" s="98"/>
      <c r="BL984" s="98"/>
      <c r="BN984" s="98"/>
      <c r="BP984" s="98"/>
      <c r="BR984" s="98"/>
    </row>
    <row r="985" spans="1:70">
      <c r="A985" s="99"/>
      <c r="AZ985" s="98"/>
      <c r="BB985" s="98"/>
      <c r="BD985" s="98"/>
      <c r="BF985" s="98"/>
      <c r="BH985" s="98"/>
      <c r="BJ985" s="98"/>
      <c r="BL985" s="98"/>
      <c r="BN985" s="98"/>
      <c r="BP985" s="98"/>
      <c r="BR985" s="98"/>
    </row>
    <row r="986" spans="1:70">
      <c r="A986" s="99"/>
      <c r="AZ986" s="98"/>
      <c r="BB986" s="98"/>
      <c r="BD986" s="98"/>
      <c r="BF986" s="98"/>
      <c r="BH986" s="98"/>
      <c r="BJ986" s="98"/>
      <c r="BL986" s="98"/>
      <c r="BN986" s="98"/>
      <c r="BP986" s="98"/>
      <c r="BR986" s="98"/>
    </row>
    <row r="987" spans="1:70">
      <c r="A987" s="99"/>
      <c r="AZ987" s="98"/>
      <c r="BB987" s="98"/>
      <c r="BD987" s="98"/>
      <c r="BF987" s="98"/>
      <c r="BH987" s="98"/>
      <c r="BJ987" s="98"/>
      <c r="BL987" s="98"/>
      <c r="BN987" s="98"/>
      <c r="BP987" s="98"/>
      <c r="BR987" s="98"/>
    </row>
    <row r="988" spans="1:70">
      <c r="A988" s="99"/>
      <c r="AZ988" s="98"/>
      <c r="BB988" s="98"/>
      <c r="BD988" s="98"/>
      <c r="BF988" s="98"/>
      <c r="BH988" s="98"/>
      <c r="BJ988" s="98"/>
      <c r="BL988" s="98"/>
      <c r="BN988" s="98"/>
      <c r="BP988" s="98"/>
      <c r="BR988" s="98"/>
    </row>
    <row r="989" spans="1:70">
      <c r="A989" s="99"/>
      <c r="AZ989" s="98"/>
      <c r="BB989" s="98"/>
      <c r="BD989" s="98"/>
      <c r="BF989" s="98"/>
      <c r="BH989" s="98"/>
      <c r="BJ989" s="98"/>
      <c r="BL989" s="98"/>
      <c r="BN989" s="98"/>
      <c r="BP989" s="98"/>
      <c r="BR989" s="98"/>
    </row>
    <row r="990" spans="1:70">
      <c r="A990" s="99"/>
      <c r="AZ990" s="98"/>
      <c r="BB990" s="98"/>
      <c r="BD990" s="98"/>
      <c r="BF990" s="98"/>
      <c r="BH990" s="98"/>
      <c r="BJ990" s="98"/>
      <c r="BL990" s="98"/>
      <c r="BN990" s="98"/>
      <c r="BP990" s="98"/>
      <c r="BR990" s="98"/>
    </row>
    <row r="991" spans="1:70">
      <c r="A991" s="99"/>
      <c r="AZ991" s="98"/>
      <c r="BB991" s="98"/>
      <c r="BD991" s="98"/>
      <c r="BF991" s="98"/>
      <c r="BH991" s="98"/>
      <c r="BJ991" s="98"/>
      <c r="BL991" s="98"/>
      <c r="BN991" s="98"/>
      <c r="BP991" s="98"/>
      <c r="BR991" s="98"/>
    </row>
    <row r="992" spans="1:70">
      <c r="A992" s="99"/>
      <c r="AZ992" s="98"/>
      <c r="BB992" s="98"/>
      <c r="BD992" s="98"/>
      <c r="BF992" s="98"/>
      <c r="BH992" s="98"/>
      <c r="BJ992" s="98"/>
      <c r="BL992" s="98"/>
      <c r="BN992" s="98"/>
      <c r="BP992" s="98"/>
      <c r="BR992" s="98"/>
    </row>
    <row r="993" spans="1:70">
      <c r="A993" s="99"/>
      <c r="AZ993" s="98"/>
      <c r="BB993" s="98"/>
      <c r="BD993" s="98"/>
      <c r="BF993" s="98"/>
      <c r="BH993" s="98"/>
      <c r="BJ993" s="98"/>
      <c r="BL993" s="98"/>
      <c r="BN993" s="98"/>
      <c r="BP993" s="98"/>
      <c r="BR993" s="98"/>
    </row>
    <row r="994" spans="1:70">
      <c r="A994" s="99"/>
      <c r="AZ994" s="98"/>
      <c r="BB994" s="98"/>
      <c r="BD994" s="98"/>
      <c r="BF994" s="98"/>
      <c r="BH994" s="98"/>
      <c r="BJ994" s="98"/>
      <c r="BL994" s="98"/>
      <c r="BN994" s="98"/>
      <c r="BP994" s="98"/>
      <c r="BR994" s="98"/>
    </row>
    <row r="995" spans="1:70">
      <c r="A995" s="99"/>
      <c r="AZ995" s="98"/>
      <c r="BB995" s="98"/>
      <c r="BD995" s="98"/>
      <c r="BF995" s="98"/>
      <c r="BH995" s="98"/>
      <c r="BJ995" s="98"/>
      <c r="BL995" s="98"/>
      <c r="BN995" s="98"/>
      <c r="BP995" s="98"/>
      <c r="BR995" s="98"/>
    </row>
    <row r="996" spans="1:70">
      <c r="A996" s="99"/>
      <c r="AZ996" s="98"/>
      <c r="BB996" s="98"/>
      <c r="BD996" s="98"/>
      <c r="BF996" s="98"/>
      <c r="BH996" s="98"/>
      <c r="BJ996" s="98"/>
      <c r="BL996" s="98"/>
      <c r="BN996" s="98"/>
      <c r="BP996" s="98"/>
      <c r="BR996" s="98"/>
    </row>
    <row r="997" spans="1:70">
      <c r="A997" s="99"/>
      <c r="AZ997" s="98"/>
      <c r="BB997" s="98"/>
      <c r="BD997" s="98"/>
      <c r="BF997" s="98"/>
      <c r="BH997" s="98"/>
      <c r="BJ997" s="98"/>
      <c r="BL997" s="98"/>
      <c r="BN997" s="98"/>
      <c r="BP997" s="98"/>
      <c r="BR997" s="98"/>
    </row>
    <row r="998" spans="1:70">
      <c r="A998" s="99"/>
      <c r="AZ998" s="98"/>
      <c r="BB998" s="98"/>
      <c r="BD998" s="98"/>
      <c r="BF998" s="98"/>
      <c r="BH998" s="98"/>
      <c r="BJ998" s="98"/>
      <c r="BL998" s="98"/>
      <c r="BN998" s="98"/>
      <c r="BP998" s="98"/>
      <c r="BR998" s="98"/>
    </row>
    <row r="999" spans="1:70">
      <c r="A999" s="99"/>
      <c r="AZ999" s="98"/>
      <c r="BB999" s="98"/>
      <c r="BD999" s="98"/>
      <c r="BF999" s="98"/>
      <c r="BH999" s="98"/>
      <c r="BJ999" s="98"/>
      <c r="BL999" s="98"/>
      <c r="BN999" s="98"/>
      <c r="BP999" s="98"/>
      <c r="BR999" s="98"/>
    </row>
    <row r="1000" spans="1:70">
      <c r="A1000" s="99"/>
      <c r="AZ1000" s="98"/>
      <c r="BB1000" s="98"/>
      <c r="BD1000" s="98"/>
      <c r="BF1000" s="98"/>
      <c r="BH1000" s="98"/>
      <c r="BJ1000" s="98"/>
      <c r="BL1000" s="98"/>
      <c r="BN1000" s="98"/>
      <c r="BP1000" s="98"/>
      <c r="BR1000" s="98"/>
    </row>
    <row r="1001" spans="1:70">
      <c r="A1001" s="99"/>
      <c r="AZ1001" s="98"/>
      <c r="BB1001" s="98"/>
      <c r="BD1001" s="98"/>
      <c r="BF1001" s="98"/>
      <c r="BH1001" s="98"/>
      <c r="BJ1001" s="98"/>
      <c r="BL1001" s="98"/>
      <c r="BN1001" s="98"/>
      <c r="BP1001" s="98"/>
      <c r="BR1001" s="98"/>
    </row>
    <row r="1002" spans="1:70">
      <c r="A1002" s="99"/>
      <c r="AZ1002" s="98"/>
      <c r="BB1002" s="98"/>
      <c r="BD1002" s="98"/>
      <c r="BF1002" s="98"/>
      <c r="BH1002" s="98"/>
      <c r="BJ1002" s="98"/>
      <c r="BL1002" s="98"/>
      <c r="BN1002" s="98"/>
      <c r="BP1002" s="98"/>
      <c r="BR1002" s="98"/>
    </row>
    <row r="1003" spans="1:70">
      <c r="A1003" s="99"/>
      <c r="AZ1003" s="98"/>
      <c r="BB1003" s="98"/>
      <c r="BD1003" s="98"/>
      <c r="BF1003" s="98"/>
      <c r="BH1003" s="98"/>
      <c r="BJ1003" s="98"/>
      <c r="BL1003" s="98"/>
      <c r="BN1003" s="98"/>
      <c r="BP1003" s="98"/>
      <c r="BR1003" s="98"/>
    </row>
    <row r="1004" spans="1:70">
      <c r="A1004" s="99"/>
      <c r="AZ1004" s="98"/>
      <c r="BB1004" s="98"/>
      <c r="BD1004" s="98"/>
      <c r="BF1004" s="98"/>
      <c r="BH1004" s="98"/>
      <c r="BJ1004" s="98"/>
      <c r="BL1004" s="98"/>
      <c r="BN1004" s="98"/>
      <c r="BP1004" s="98"/>
      <c r="BR1004" s="98"/>
    </row>
    <row r="1005" spans="1:70">
      <c r="A1005" s="99"/>
      <c r="AZ1005" s="98"/>
      <c r="BB1005" s="98"/>
      <c r="BD1005" s="98"/>
      <c r="BF1005" s="98"/>
      <c r="BH1005" s="98"/>
      <c r="BJ1005" s="98"/>
      <c r="BL1005" s="98"/>
      <c r="BN1005" s="98"/>
      <c r="BP1005" s="98"/>
      <c r="BR1005" s="98"/>
    </row>
    <row r="1006" spans="1:70">
      <c r="A1006" s="99"/>
      <c r="AZ1006" s="98"/>
      <c r="BB1006" s="98"/>
      <c r="BD1006" s="98"/>
      <c r="BF1006" s="98"/>
      <c r="BH1006" s="98"/>
      <c r="BJ1006" s="98"/>
      <c r="BL1006" s="98"/>
      <c r="BN1006" s="98"/>
      <c r="BP1006" s="98"/>
      <c r="BR1006" s="98"/>
    </row>
    <row r="1007" spans="1:70">
      <c r="A1007" s="99"/>
      <c r="AZ1007" s="98"/>
      <c r="BB1007" s="98"/>
      <c r="BD1007" s="98"/>
      <c r="BF1007" s="98"/>
      <c r="BH1007" s="98"/>
      <c r="BJ1007" s="98"/>
      <c r="BL1007" s="98"/>
      <c r="BN1007" s="98"/>
      <c r="BP1007" s="98"/>
      <c r="BR1007" s="98"/>
    </row>
    <row r="1008" spans="1:70">
      <c r="A1008" s="99"/>
      <c r="AZ1008" s="98"/>
      <c r="BB1008" s="98"/>
      <c r="BD1008" s="98"/>
      <c r="BF1008" s="98"/>
      <c r="BH1008" s="98"/>
      <c r="BJ1008" s="98"/>
      <c r="BL1008" s="98"/>
      <c r="BN1008" s="98"/>
      <c r="BP1008" s="98"/>
      <c r="BR1008" s="98"/>
    </row>
    <row r="1009" spans="1:70">
      <c r="A1009" s="99"/>
      <c r="AZ1009" s="98"/>
      <c r="BB1009" s="98"/>
      <c r="BD1009" s="98"/>
      <c r="BF1009" s="98"/>
      <c r="BH1009" s="98"/>
      <c r="BJ1009" s="98"/>
      <c r="BL1009" s="98"/>
      <c r="BN1009" s="98"/>
      <c r="BP1009" s="98"/>
      <c r="BR1009" s="98"/>
    </row>
    <row r="1010" spans="1:70">
      <c r="A1010" s="99"/>
      <c r="AZ1010" s="98"/>
      <c r="BB1010" s="98"/>
      <c r="BD1010" s="98"/>
      <c r="BF1010" s="98"/>
      <c r="BH1010" s="98"/>
      <c r="BJ1010" s="98"/>
      <c r="BL1010" s="98"/>
      <c r="BN1010" s="98"/>
      <c r="BP1010" s="98"/>
      <c r="BR1010" s="98"/>
    </row>
    <row r="1011" spans="1:70">
      <c r="A1011" s="99"/>
      <c r="AZ1011" s="98"/>
      <c r="BB1011" s="98"/>
      <c r="BD1011" s="98"/>
      <c r="BF1011" s="98"/>
      <c r="BH1011" s="98"/>
      <c r="BJ1011" s="98"/>
      <c r="BL1011" s="98"/>
      <c r="BN1011" s="98"/>
      <c r="BP1011" s="98"/>
      <c r="BR1011" s="98"/>
    </row>
    <row r="1012" spans="1:70">
      <c r="A1012" s="99"/>
      <c r="AZ1012" s="98"/>
      <c r="BB1012" s="98"/>
      <c r="BD1012" s="98"/>
      <c r="BF1012" s="98"/>
      <c r="BH1012" s="98"/>
      <c r="BJ1012" s="98"/>
      <c r="BL1012" s="98"/>
      <c r="BN1012" s="98"/>
      <c r="BP1012" s="98"/>
      <c r="BR1012" s="98"/>
    </row>
    <row r="1013" spans="1:70">
      <c r="A1013" s="99"/>
      <c r="AZ1013" s="98"/>
      <c r="BB1013" s="98"/>
      <c r="BD1013" s="98"/>
      <c r="BF1013" s="98"/>
      <c r="BH1013" s="98"/>
      <c r="BJ1013" s="98"/>
      <c r="BL1013" s="98"/>
      <c r="BN1013" s="98"/>
      <c r="BP1013" s="98"/>
      <c r="BR1013" s="98"/>
    </row>
    <row r="1014" spans="1:70">
      <c r="A1014" s="99"/>
      <c r="AZ1014" s="98"/>
      <c r="BB1014" s="98"/>
      <c r="BD1014" s="98"/>
      <c r="BF1014" s="98"/>
      <c r="BH1014" s="98"/>
      <c r="BJ1014" s="98"/>
      <c r="BL1014" s="98"/>
      <c r="BN1014" s="98"/>
      <c r="BP1014" s="98"/>
      <c r="BR1014" s="98"/>
    </row>
    <row r="1015" spans="1:70">
      <c r="A1015" s="99"/>
      <c r="AZ1015" s="98"/>
      <c r="BB1015" s="98"/>
      <c r="BD1015" s="98"/>
      <c r="BF1015" s="98"/>
      <c r="BH1015" s="98"/>
      <c r="BJ1015" s="98"/>
      <c r="BL1015" s="98"/>
      <c r="BN1015" s="98"/>
      <c r="BP1015" s="98"/>
      <c r="BR1015" s="98"/>
    </row>
    <row r="1016" spans="1:70">
      <c r="A1016" s="99"/>
      <c r="AZ1016" s="98"/>
      <c r="BB1016" s="98"/>
      <c r="BD1016" s="98"/>
      <c r="BF1016" s="98"/>
      <c r="BH1016" s="98"/>
      <c r="BJ1016" s="98"/>
      <c r="BL1016" s="98"/>
      <c r="BN1016" s="98"/>
      <c r="BP1016" s="98"/>
      <c r="BR1016" s="98"/>
    </row>
    <row r="1017" spans="1:70">
      <c r="A1017" s="99"/>
      <c r="AZ1017" s="98"/>
      <c r="BB1017" s="98"/>
      <c r="BD1017" s="98"/>
      <c r="BF1017" s="98"/>
      <c r="BH1017" s="98"/>
      <c r="BJ1017" s="98"/>
      <c r="BL1017" s="98"/>
      <c r="BN1017" s="98"/>
      <c r="BP1017" s="98"/>
      <c r="BR1017" s="98"/>
    </row>
    <row r="1018" spans="1:70">
      <c r="A1018" s="99"/>
      <c r="AZ1018" s="98"/>
      <c r="BB1018" s="98"/>
      <c r="BD1018" s="98"/>
      <c r="BF1018" s="98"/>
      <c r="BH1018" s="98"/>
      <c r="BJ1018" s="98"/>
      <c r="BL1018" s="98"/>
      <c r="BN1018" s="98"/>
      <c r="BP1018" s="98"/>
      <c r="BR1018" s="98"/>
    </row>
    <row r="1019" spans="1:70">
      <c r="A1019" s="99"/>
      <c r="AZ1019" s="98"/>
      <c r="BB1019" s="98"/>
      <c r="BD1019" s="98"/>
      <c r="BF1019" s="98"/>
      <c r="BH1019" s="98"/>
      <c r="BJ1019" s="98"/>
      <c r="BL1019" s="98"/>
      <c r="BN1019" s="98"/>
      <c r="BP1019" s="98"/>
      <c r="BR1019" s="98"/>
    </row>
    <row r="1020" spans="1:70">
      <c r="A1020" s="99"/>
      <c r="AZ1020" s="98"/>
      <c r="BB1020" s="98"/>
      <c r="BD1020" s="98"/>
      <c r="BF1020" s="98"/>
      <c r="BH1020" s="98"/>
      <c r="BJ1020" s="98"/>
      <c r="BL1020" s="98"/>
      <c r="BN1020" s="98"/>
      <c r="BP1020" s="98"/>
      <c r="BR1020" s="98"/>
    </row>
    <row r="1021" spans="1:70">
      <c r="A1021" s="99"/>
      <c r="AZ1021" s="98"/>
      <c r="BB1021" s="98"/>
      <c r="BD1021" s="98"/>
      <c r="BF1021" s="98"/>
      <c r="BH1021" s="98"/>
      <c r="BJ1021" s="98"/>
      <c r="BL1021" s="98"/>
      <c r="BN1021" s="98"/>
      <c r="BP1021" s="98"/>
      <c r="BR1021" s="98"/>
    </row>
    <row r="1022" spans="1:70">
      <c r="A1022" s="99"/>
      <c r="AZ1022" s="98"/>
      <c r="BB1022" s="98"/>
      <c r="BD1022" s="98"/>
      <c r="BF1022" s="98"/>
      <c r="BH1022" s="98"/>
      <c r="BJ1022" s="98"/>
      <c r="BL1022" s="98"/>
      <c r="BN1022" s="98"/>
      <c r="BP1022" s="98"/>
      <c r="BR1022" s="98"/>
    </row>
    <row r="1023" spans="1:70">
      <c r="A1023" s="99"/>
      <c r="AZ1023" s="98"/>
      <c r="BB1023" s="98"/>
      <c r="BD1023" s="98"/>
      <c r="BF1023" s="98"/>
      <c r="BH1023" s="98"/>
      <c r="BJ1023" s="98"/>
      <c r="BL1023" s="98"/>
      <c r="BN1023" s="98"/>
      <c r="BP1023" s="98"/>
      <c r="BR1023" s="98"/>
    </row>
    <row r="1024" spans="1:70">
      <c r="A1024" s="99"/>
      <c r="AZ1024" s="98"/>
      <c r="BB1024" s="98"/>
      <c r="BD1024" s="98"/>
      <c r="BF1024" s="98"/>
      <c r="BH1024" s="98"/>
      <c r="BJ1024" s="98"/>
      <c r="BL1024" s="98"/>
      <c r="BN1024" s="98"/>
      <c r="BP1024" s="98"/>
      <c r="BR1024" s="98"/>
    </row>
    <row r="1025" spans="1:70">
      <c r="A1025" s="99"/>
      <c r="AZ1025" s="98"/>
      <c r="BB1025" s="98"/>
      <c r="BD1025" s="98"/>
      <c r="BF1025" s="98"/>
      <c r="BH1025" s="98"/>
      <c r="BJ1025" s="98"/>
      <c r="BL1025" s="98"/>
      <c r="BN1025" s="98"/>
      <c r="BP1025" s="98"/>
      <c r="BR1025" s="98"/>
    </row>
    <row r="1026" spans="1:70">
      <c r="A1026" s="99"/>
      <c r="AZ1026" s="98"/>
      <c r="BB1026" s="98"/>
      <c r="BD1026" s="98"/>
      <c r="BF1026" s="98"/>
      <c r="BH1026" s="98"/>
      <c r="BJ1026" s="98"/>
      <c r="BL1026" s="98"/>
      <c r="BN1026" s="98"/>
      <c r="BP1026" s="98"/>
      <c r="BR1026" s="98"/>
    </row>
    <row r="1027" spans="1:70">
      <c r="A1027" s="99"/>
      <c r="AZ1027" s="98"/>
      <c r="BB1027" s="98"/>
      <c r="BD1027" s="98"/>
      <c r="BF1027" s="98"/>
      <c r="BH1027" s="98"/>
      <c r="BJ1027" s="98"/>
      <c r="BL1027" s="98"/>
      <c r="BN1027" s="98"/>
      <c r="BP1027" s="98"/>
      <c r="BR1027" s="98"/>
    </row>
    <row r="1028" spans="1:70">
      <c r="A1028" s="99"/>
      <c r="AZ1028" s="98"/>
      <c r="BB1028" s="98"/>
      <c r="BD1028" s="98"/>
      <c r="BF1028" s="98"/>
      <c r="BH1028" s="98"/>
      <c r="BJ1028" s="98"/>
      <c r="BL1028" s="98"/>
      <c r="BN1028" s="98"/>
      <c r="BP1028" s="98"/>
      <c r="BR1028" s="98"/>
    </row>
    <row r="1029" spans="1:70">
      <c r="A1029" s="99"/>
      <c r="AZ1029" s="98"/>
      <c r="BB1029" s="98"/>
      <c r="BD1029" s="98"/>
      <c r="BF1029" s="98"/>
      <c r="BH1029" s="98"/>
      <c r="BJ1029" s="98"/>
      <c r="BL1029" s="98"/>
      <c r="BN1029" s="98"/>
      <c r="BP1029" s="98"/>
      <c r="BR1029" s="98"/>
    </row>
    <row r="1030" spans="1:70">
      <c r="A1030" s="99"/>
      <c r="AZ1030" s="98"/>
      <c r="BB1030" s="98"/>
      <c r="BD1030" s="98"/>
      <c r="BF1030" s="98"/>
      <c r="BH1030" s="98"/>
      <c r="BJ1030" s="98"/>
      <c r="BL1030" s="98"/>
      <c r="BN1030" s="98"/>
      <c r="BP1030" s="98"/>
      <c r="BR1030" s="98"/>
    </row>
    <row r="1031" spans="1:70">
      <c r="A1031" s="99"/>
      <c r="AZ1031" s="98"/>
      <c r="BB1031" s="98"/>
      <c r="BD1031" s="98"/>
      <c r="BF1031" s="98"/>
      <c r="BH1031" s="98"/>
      <c r="BJ1031" s="98"/>
      <c r="BL1031" s="98"/>
      <c r="BN1031" s="98"/>
      <c r="BP1031" s="98"/>
      <c r="BR1031" s="98"/>
    </row>
    <row r="1032" spans="1:70">
      <c r="A1032" s="99"/>
      <c r="AZ1032" s="98"/>
      <c r="BB1032" s="98"/>
      <c r="BD1032" s="98"/>
      <c r="BF1032" s="98"/>
      <c r="BH1032" s="98"/>
      <c r="BJ1032" s="98"/>
      <c r="BL1032" s="98"/>
      <c r="BN1032" s="98"/>
      <c r="BP1032" s="98"/>
      <c r="BR1032" s="98"/>
    </row>
    <row r="1033" spans="1:70">
      <c r="A1033" s="99"/>
      <c r="AZ1033" s="98"/>
      <c r="BB1033" s="98"/>
      <c r="BD1033" s="98"/>
      <c r="BF1033" s="98"/>
      <c r="BH1033" s="98"/>
      <c r="BJ1033" s="98"/>
      <c r="BL1033" s="98"/>
      <c r="BN1033" s="98"/>
      <c r="BP1033" s="98"/>
      <c r="BR1033" s="98"/>
    </row>
    <row r="1034" spans="1:70">
      <c r="A1034" s="99"/>
      <c r="AZ1034" s="98"/>
      <c r="BB1034" s="98"/>
      <c r="BD1034" s="98"/>
      <c r="BF1034" s="98"/>
      <c r="BH1034" s="98"/>
      <c r="BJ1034" s="98"/>
      <c r="BL1034" s="98"/>
      <c r="BN1034" s="98"/>
      <c r="BP1034" s="98"/>
      <c r="BR1034" s="98"/>
    </row>
    <row r="1035" spans="1:70">
      <c r="A1035" s="99"/>
      <c r="AZ1035" s="98"/>
      <c r="BB1035" s="98"/>
      <c r="BD1035" s="98"/>
      <c r="BF1035" s="98"/>
      <c r="BH1035" s="98"/>
      <c r="BJ1035" s="98"/>
      <c r="BL1035" s="98"/>
      <c r="BN1035" s="98"/>
      <c r="BP1035" s="98"/>
      <c r="BR1035" s="98"/>
    </row>
    <row r="1036" spans="1:70">
      <c r="A1036" s="99"/>
      <c r="AZ1036" s="98"/>
      <c r="BB1036" s="98"/>
      <c r="BD1036" s="98"/>
      <c r="BF1036" s="98"/>
      <c r="BH1036" s="98"/>
      <c r="BJ1036" s="98"/>
      <c r="BL1036" s="98"/>
      <c r="BN1036" s="98"/>
      <c r="BP1036" s="98"/>
      <c r="BR1036" s="98"/>
    </row>
    <row r="1037" spans="1:70">
      <c r="A1037" s="99"/>
      <c r="AZ1037" s="98"/>
      <c r="BB1037" s="98"/>
      <c r="BD1037" s="98"/>
      <c r="BF1037" s="98"/>
      <c r="BH1037" s="98"/>
      <c r="BJ1037" s="98"/>
      <c r="BL1037" s="98"/>
      <c r="BN1037" s="98"/>
      <c r="BP1037" s="98"/>
      <c r="BR1037" s="98"/>
    </row>
    <row r="1038" spans="1:70">
      <c r="A1038" s="99"/>
      <c r="AZ1038" s="98"/>
      <c r="BB1038" s="98"/>
      <c r="BD1038" s="98"/>
      <c r="BF1038" s="98"/>
      <c r="BH1038" s="98"/>
      <c r="BJ1038" s="98"/>
      <c r="BL1038" s="98"/>
      <c r="BN1038" s="98"/>
      <c r="BP1038" s="98"/>
      <c r="BR1038" s="98"/>
    </row>
    <row r="1039" spans="1:70">
      <c r="A1039" s="99"/>
      <c r="AZ1039" s="98"/>
      <c r="BB1039" s="98"/>
      <c r="BD1039" s="98"/>
      <c r="BF1039" s="98"/>
      <c r="BH1039" s="98"/>
      <c r="BJ1039" s="98"/>
      <c r="BL1039" s="98"/>
      <c r="BN1039" s="98"/>
      <c r="BP1039" s="98"/>
      <c r="BR1039" s="98"/>
    </row>
    <row r="1040" spans="1:70">
      <c r="A1040" s="99"/>
      <c r="AZ1040" s="98"/>
      <c r="BB1040" s="98"/>
      <c r="BD1040" s="98"/>
      <c r="BF1040" s="98"/>
      <c r="BH1040" s="98"/>
      <c r="BJ1040" s="98"/>
      <c r="BL1040" s="98"/>
      <c r="BN1040" s="98"/>
      <c r="BP1040" s="98"/>
      <c r="BR1040" s="98"/>
    </row>
    <row r="1041" spans="1:70">
      <c r="A1041" s="99"/>
      <c r="AZ1041" s="98"/>
      <c r="BB1041" s="98"/>
      <c r="BD1041" s="98"/>
      <c r="BF1041" s="98"/>
      <c r="BH1041" s="98"/>
      <c r="BJ1041" s="98"/>
      <c r="BL1041" s="98"/>
      <c r="BN1041" s="98"/>
      <c r="BP1041" s="98"/>
      <c r="BR1041" s="98"/>
    </row>
    <row r="1042" spans="1:70">
      <c r="A1042" s="99"/>
      <c r="AZ1042" s="98"/>
      <c r="BB1042" s="98"/>
      <c r="BD1042" s="98"/>
      <c r="BF1042" s="98"/>
      <c r="BH1042" s="98"/>
      <c r="BJ1042" s="98"/>
      <c r="BL1042" s="98"/>
      <c r="BN1042" s="98"/>
      <c r="BP1042" s="98"/>
      <c r="BR1042" s="98"/>
    </row>
    <row r="1043" spans="1:70">
      <c r="A1043" s="99"/>
      <c r="AZ1043" s="98"/>
      <c r="BB1043" s="98"/>
      <c r="BD1043" s="98"/>
      <c r="BF1043" s="98"/>
      <c r="BH1043" s="98"/>
      <c r="BJ1043" s="98"/>
      <c r="BL1043" s="98"/>
      <c r="BN1043" s="98"/>
      <c r="BP1043" s="98"/>
      <c r="BR1043" s="98"/>
    </row>
    <row r="1044" spans="1:70">
      <c r="A1044" s="99"/>
      <c r="AZ1044" s="98"/>
      <c r="BB1044" s="98"/>
      <c r="BD1044" s="98"/>
      <c r="BF1044" s="98"/>
      <c r="BH1044" s="98"/>
      <c r="BJ1044" s="98"/>
      <c r="BL1044" s="98"/>
      <c r="BN1044" s="98"/>
      <c r="BP1044" s="98"/>
      <c r="BR1044" s="98"/>
    </row>
    <row r="1045" spans="1:70">
      <c r="A1045" s="99"/>
      <c r="AZ1045" s="98"/>
      <c r="BB1045" s="98"/>
      <c r="BD1045" s="98"/>
      <c r="BF1045" s="98"/>
      <c r="BH1045" s="98"/>
      <c r="BJ1045" s="98"/>
      <c r="BL1045" s="98"/>
      <c r="BN1045" s="98"/>
      <c r="BP1045" s="98"/>
      <c r="BR1045" s="98"/>
    </row>
    <row r="1046" spans="1:70">
      <c r="A1046" s="99"/>
      <c r="AZ1046" s="98"/>
      <c r="BB1046" s="98"/>
      <c r="BD1046" s="98"/>
      <c r="BF1046" s="98"/>
      <c r="BH1046" s="98"/>
      <c r="BJ1046" s="98"/>
      <c r="BL1046" s="98"/>
      <c r="BN1046" s="98"/>
      <c r="BP1046" s="98"/>
      <c r="BR1046" s="98"/>
    </row>
    <row r="1047" spans="1:70">
      <c r="A1047" s="99"/>
      <c r="AZ1047" s="98"/>
      <c r="BB1047" s="98"/>
      <c r="BD1047" s="98"/>
      <c r="BF1047" s="98"/>
      <c r="BH1047" s="98"/>
      <c r="BJ1047" s="98"/>
      <c r="BL1047" s="98"/>
      <c r="BN1047" s="98"/>
      <c r="BP1047" s="98"/>
      <c r="BR1047" s="98"/>
    </row>
    <row r="1048" spans="1:70">
      <c r="A1048" s="99"/>
      <c r="AZ1048" s="98"/>
      <c r="BB1048" s="98"/>
      <c r="BD1048" s="98"/>
      <c r="BF1048" s="98"/>
      <c r="BH1048" s="98"/>
      <c r="BJ1048" s="98"/>
      <c r="BL1048" s="98"/>
      <c r="BN1048" s="98"/>
      <c r="BP1048" s="98"/>
      <c r="BR1048" s="98"/>
    </row>
    <row r="1049" spans="1:70">
      <c r="A1049" s="99"/>
      <c r="AZ1049" s="98"/>
      <c r="BB1049" s="98"/>
      <c r="BD1049" s="98"/>
      <c r="BF1049" s="98"/>
      <c r="BH1049" s="98"/>
      <c r="BJ1049" s="98"/>
      <c r="BL1049" s="98"/>
      <c r="BN1049" s="98"/>
      <c r="BP1049" s="98"/>
      <c r="BR1049" s="98"/>
    </row>
    <row r="1050" spans="1:70">
      <c r="A1050" s="99"/>
      <c r="AZ1050" s="98"/>
      <c r="BB1050" s="98"/>
      <c r="BD1050" s="98"/>
      <c r="BF1050" s="98"/>
      <c r="BH1050" s="98"/>
      <c r="BJ1050" s="98"/>
      <c r="BL1050" s="98"/>
      <c r="BN1050" s="98"/>
      <c r="BP1050" s="98"/>
      <c r="BR1050" s="98"/>
    </row>
    <row r="1051" spans="1:70">
      <c r="A1051" s="99"/>
      <c r="AZ1051" s="98"/>
      <c r="BB1051" s="98"/>
      <c r="BD1051" s="98"/>
      <c r="BF1051" s="98"/>
      <c r="BH1051" s="98"/>
      <c r="BJ1051" s="98"/>
      <c r="BL1051" s="98"/>
      <c r="BN1051" s="98"/>
      <c r="BP1051" s="98"/>
      <c r="BR1051" s="98"/>
    </row>
    <row r="1052" spans="1:70">
      <c r="A1052" s="99"/>
      <c r="AZ1052" s="98"/>
      <c r="BB1052" s="98"/>
      <c r="BD1052" s="98"/>
      <c r="BF1052" s="98"/>
      <c r="BH1052" s="98"/>
      <c r="BJ1052" s="98"/>
      <c r="BL1052" s="98"/>
      <c r="BN1052" s="98"/>
      <c r="BP1052" s="98"/>
      <c r="BR1052" s="98"/>
    </row>
    <row r="1053" spans="1:70">
      <c r="A1053" s="99"/>
      <c r="AZ1053" s="98"/>
      <c r="BB1053" s="98"/>
      <c r="BD1053" s="98"/>
      <c r="BF1053" s="98"/>
      <c r="BH1053" s="98"/>
      <c r="BJ1053" s="98"/>
      <c r="BL1053" s="98"/>
      <c r="BN1053" s="98"/>
      <c r="BP1053" s="98"/>
      <c r="BR1053" s="98"/>
    </row>
    <row r="1054" spans="1:70">
      <c r="A1054" s="99"/>
      <c r="AZ1054" s="98"/>
      <c r="BB1054" s="98"/>
      <c r="BD1054" s="98"/>
      <c r="BF1054" s="98"/>
      <c r="BH1054" s="98"/>
      <c r="BJ1054" s="98"/>
      <c r="BL1054" s="98"/>
      <c r="BN1054" s="98"/>
      <c r="BP1054" s="98"/>
      <c r="BR1054" s="98"/>
    </row>
    <row r="1055" spans="1:70">
      <c r="A1055" s="99"/>
      <c r="AZ1055" s="98"/>
      <c r="BB1055" s="98"/>
      <c r="BD1055" s="98"/>
      <c r="BF1055" s="98"/>
      <c r="BH1055" s="98"/>
      <c r="BJ1055" s="98"/>
      <c r="BL1055" s="98"/>
      <c r="BN1055" s="98"/>
      <c r="BP1055" s="98"/>
      <c r="BR1055" s="98"/>
    </row>
    <row r="1056" spans="1:70">
      <c r="A1056" s="99"/>
      <c r="AZ1056" s="98"/>
      <c r="BB1056" s="98"/>
      <c r="BD1056" s="98"/>
      <c r="BF1056" s="98"/>
      <c r="BH1056" s="98"/>
      <c r="BJ1056" s="98"/>
      <c r="BL1056" s="98"/>
      <c r="BN1056" s="98"/>
      <c r="BP1056" s="98"/>
      <c r="BR1056" s="98"/>
    </row>
    <row r="1057" spans="1:70">
      <c r="A1057" s="99"/>
      <c r="AZ1057" s="98"/>
      <c r="BB1057" s="98"/>
      <c r="BD1057" s="98"/>
      <c r="BF1057" s="98"/>
      <c r="BH1057" s="98"/>
      <c r="BJ1057" s="98"/>
      <c r="BL1057" s="98"/>
      <c r="BN1057" s="98"/>
      <c r="BP1057" s="98"/>
      <c r="BR1057" s="98"/>
    </row>
    <row r="1058" spans="1:70">
      <c r="A1058" s="99"/>
      <c r="AZ1058" s="98"/>
      <c r="BB1058" s="98"/>
      <c r="BD1058" s="98"/>
      <c r="BF1058" s="98"/>
      <c r="BH1058" s="98"/>
      <c r="BJ1058" s="98"/>
      <c r="BL1058" s="98"/>
      <c r="BN1058" s="98"/>
      <c r="BP1058" s="98"/>
      <c r="BR1058" s="98"/>
    </row>
    <row r="1059" spans="1:70">
      <c r="A1059" s="99"/>
      <c r="AZ1059" s="98"/>
      <c r="BB1059" s="98"/>
      <c r="BD1059" s="98"/>
      <c r="BF1059" s="98"/>
      <c r="BH1059" s="98"/>
      <c r="BJ1059" s="98"/>
      <c r="BL1059" s="98"/>
      <c r="BN1059" s="98"/>
      <c r="BP1059" s="98"/>
      <c r="BR1059" s="98"/>
    </row>
    <row r="1060" spans="1:70">
      <c r="A1060" s="99"/>
      <c r="AZ1060" s="98"/>
      <c r="BB1060" s="98"/>
      <c r="BD1060" s="98"/>
      <c r="BF1060" s="98"/>
      <c r="BH1060" s="98"/>
      <c r="BJ1060" s="98"/>
      <c r="BL1060" s="98"/>
      <c r="BN1060" s="98"/>
      <c r="BP1060" s="98"/>
      <c r="BR1060" s="98"/>
    </row>
    <row r="1061" spans="1:70">
      <c r="A1061" s="99"/>
      <c r="AZ1061" s="98"/>
      <c r="BB1061" s="98"/>
      <c r="BD1061" s="98"/>
      <c r="BF1061" s="98"/>
      <c r="BH1061" s="98"/>
      <c r="BJ1061" s="98"/>
      <c r="BL1061" s="98"/>
      <c r="BN1061" s="98"/>
      <c r="BP1061" s="98"/>
      <c r="BR1061" s="98"/>
    </row>
    <row r="1062" spans="1:70">
      <c r="A1062" s="99"/>
      <c r="AZ1062" s="98"/>
      <c r="BB1062" s="98"/>
      <c r="BD1062" s="98"/>
      <c r="BF1062" s="98"/>
      <c r="BH1062" s="98"/>
      <c r="BJ1062" s="98"/>
      <c r="BL1062" s="98"/>
      <c r="BN1062" s="98"/>
      <c r="BP1062" s="98"/>
      <c r="BR1062" s="98"/>
    </row>
    <row r="1063" spans="1:70">
      <c r="A1063" s="99"/>
      <c r="AZ1063" s="98"/>
      <c r="BB1063" s="98"/>
      <c r="BD1063" s="98"/>
      <c r="BF1063" s="98"/>
      <c r="BH1063" s="98"/>
      <c r="BJ1063" s="98"/>
      <c r="BL1063" s="98"/>
      <c r="BN1063" s="98"/>
      <c r="BP1063" s="98"/>
      <c r="BR1063" s="98"/>
    </row>
    <row r="1064" spans="1:70">
      <c r="A1064" s="99"/>
      <c r="AZ1064" s="98"/>
      <c r="BB1064" s="98"/>
      <c r="BD1064" s="98"/>
      <c r="BF1064" s="98"/>
      <c r="BH1064" s="98"/>
      <c r="BJ1064" s="98"/>
      <c r="BL1064" s="98"/>
      <c r="BN1064" s="98"/>
      <c r="BP1064" s="98"/>
      <c r="BR1064" s="98"/>
    </row>
    <row r="1065" spans="1:70">
      <c r="A1065" s="99"/>
      <c r="AZ1065" s="98"/>
      <c r="BB1065" s="98"/>
      <c r="BD1065" s="98"/>
      <c r="BF1065" s="98"/>
      <c r="BH1065" s="98"/>
      <c r="BJ1065" s="98"/>
      <c r="BL1065" s="98"/>
      <c r="BN1065" s="98"/>
      <c r="BP1065" s="98"/>
      <c r="BR1065" s="98"/>
    </row>
    <row r="1066" spans="1:70">
      <c r="A1066" s="99"/>
      <c r="AZ1066" s="98"/>
      <c r="BB1066" s="98"/>
      <c r="BD1066" s="98"/>
      <c r="BF1066" s="98"/>
      <c r="BH1066" s="98"/>
      <c r="BJ1066" s="98"/>
      <c r="BL1066" s="98"/>
      <c r="BN1066" s="98"/>
      <c r="BP1066" s="98"/>
      <c r="BR1066" s="98"/>
    </row>
    <row r="1067" spans="1:70">
      <c r="A1067" s="99"/>
      <c r="AZ1067" s="98"/>
      <c r="BB1067" s="98"/>
      <c r="BD1067" s="98"/>
      <c r="BF1067" s="98"/>
      <c r="BH1067" s="98"/>
      <c r="BJ1067" s="98"/>
      <c r="BL1067" s="98"/>
      <c r="BN1067" s="98"/>
      <c r="BP1067" s="98"/>
      <c r="BR1067" s="98"/>
    </row>
    <row r="1068" spans="1:70">
      <c r="A1068" s="99"/>
      <c r="AZ1068" s="98"/>
      <c r="BB1068" s="98"/>
      <c r="BD1068" s="98"/>
      <c r="BF1068" s="98"/>
      <c r="BH1068" s="98"/>
      <c r="BJ1068" s="98"/>
      <c r="BL1068" s="98"/>
      <c r="BN1068" s="98"/>
      <c r="BP1068" s="98"/>
      <c r="BR1068" s="98"/>
    </row>
    <row r="1069" spans="1:70">
      <c r="A1069" s="99"/>
      <c r="AZ1069" s="98"/>
      <c r="BB1069" s="98"/>
      <c r="BD1069" s="98"/>
      <c r="BF1069" s="98"/>
      <c r="BH1069" s="98"/>
      <c r="BJ1069" s="98"/>
      <c r="BL1069" s="98"/>
      <c r="BN1069" s="98"/>
      <c r="BP1069" s="98"/>
      <c r="BR1069" s="98"/>
    </row>
    <row r="1070" spans="1:70">
      <c r="A1070" s="99"/>
      <c r="AZ1070" s="98"/>
      <c r="BB1070" s="98"/>
      <c r="BD1070" s="98"/>
      <c r="BF1070" s="98"/>
      <c r="BH1070" s="98"/>
      <c r="BJ1070" s="98"/>
      <c r="BL1070" s="98"/>
      <c r="BN1070" s="98"/>
      <c r="BP1070" s="98"/>
      <c r="BR1070" s="98"/>
    </row>
    <row r="1071" spans="1:70">
      <c r="A1071" s="99"/>
      <c r="AZ1071" s="98"/>
      <c r="BB1071" s="98"/>
      <c r="BD1071" s="98"/>
      <c r="BF1071" s="98"/>
      <c r="BH1071" s="98"/>
      <c r="BJ1071" s="98"/>
      <c r="BL1071" s="98"/>
      <c r="BN1071" s="98"/>
      <c r="BP1071" s="98"/>
      <c r="BR1071" s="98"/>
    </row>
    <row r="1072" spans="1:70">
      <c r="A1072" s="99"/>
      <c r="AZ1072" s="98"/>
      <c r="BB1072" s="98"/>
      <c r="BD1072" s="98"/>
      <c r="BF1072" s="98"/>
      <c r="BH1072" s="98"/>
      <c r="BJ1072" s="98"/>
      <c r="BL1072" s="98"/>
      <c r="BN1072" s="98"/>
      <c r="BP1072" s="98"/>
      <c r="BR1072" s="98"/>
    </row>
    <row r="1073" spans="1:70">
      <c r="A1073" s="99"/>
      <c r="AZ1073" s="98"/>
      <c r="BB1073" s="98"/>
      <c r="BD1073" s="98"/>
      <c r="BF1073" s="98"/>
      <c r="BH1073" s="98"/>
      <c r="BJ1073" s="98"/>
      <c r="BL1073" s="98"/>
      <c r="BN1073" s="98"/>
      <c r="BP1073" s="98"/>
      <c r="BR1073" s="98"/>
    </row>
    <row r="1074" spans="1:70">
      <c r="A1074" s="99"/>
      <c r="AZ1074" s="98"/>
      <c r="BB1074" s="98"/>
      <c r="BD1074" s="98"/>
      <c r="BF1074" s="98"/>
      <c r="BH1074" s="98"/>
      <c r="BJ1074" s="98"/>
      <c r="BL1074" s="98"/>
      <c r="BN1074" s="98"/>
      <c r="BP1074" s="98"/>
      <c r="BR1074" s="98"/>
    </row>
    <row r="1075" spans="1:70">
      <c r="A1075" s="99"/>
      <c r="AZ1075" s="98"/>
      <c r="BB1075" s="98"/>
      <c r="BD1075" s="98"/>
      <c r="BF1075" s="98"/>
      <c r="BH1075" s="98"/>
      <c r="BJ1075" s="98"/>
      <c r="BL1075" s="98"/>
      <c r="BN1075" s="98"/>
      <c r="BP1075" s="98"/>
      <c r="BR1075" s="98"/>
    </row>
    <row r="1076" spans="1:70">
      <c r="A1076" s="99"/>
      <c r="AZ1076" s="98"/>
      <c r="BB1076" s="98"/>
      <c r="BD1076" s="98"/>
      <c r="BF1076" s="98"/>
      <c r="BH1076" s="98"/>
      <c r="BJ1076" s="98"/>
      <c r="BL1076" s="98"/>
      <c r="BN1076" s="98"/>
      <c r="BP1076" s="98"/>
      <c r="BR1076" s="98"/>
    </row>
    <row r="1077" spans="1:70">
      <c r="A1077" s="99"/>
      <c r="AZ1077" s="98"/>
      <c r="BB1077" s="98"/>
      <c r="BD1077" s="98"/>
      <c r="BF1077" s="98"/>
      <c r="BH1077" s="98"/>
      <c r="BJ1077" s="98"/>
      <c r="BL1077" s="98"/>
      <c r="BN1077" s="98"/>
      <c r="BP1077" s="98"/>
      <c r="BR1077" s="98"/>
    </row>
    <row r="1078" spans="1:70">
      <c r="A1078" s="99"/>
      <c r="AZ1078" s="98"/>
      <c r="BB1078" s="98"/>
      <c r="BD1078" s="98"/>
      <c r="BF1078" s="98"/>
      <c r="BH1078" s="98"/>
      <c r="BJ1078" s="98"/>
      <c r="BL1078" s="98"/>
      <c r="BN1078" s="98"/>
      <c r="BP1078" s="98"/>
      <c r="BR1078" s="98"/>
    </row>
    <row r="1079" spans="1:70">
      <c r="A1079" s="99"/>
      <c r="AZ1079" s="98"/>
      <c r="BB1079" s="98"/>
      <c r="BD1079" s="98"/>
      <c r="BF1079" s="98"/>
      <c r="BH1079" s="98"/>
      <c r="BJ1079" s="98"/>
      <c r="BL1079" s="98"/>
      <c r="BN1079" s="98"/>
      <c r="BP1079" s="98"/>
      <c r="BR1079" s="98"/>
    </row>
    <row r="1080" spans="1:70">
      <c r="A1080" s="99"/>
      <c r="AZ1080" s="98"/>
      <c r="BB1080" s="98"/>
      <c r="BD1080" s="98"/>
      <c r="BF1080" s="98"/>
      <c r="BH1080" s="98"/>
      <c r="BJ1080" s="98"/>
      <c r="BL1080" s="98"/>
      <c r="BN1080" s="98"/>
      <c r="BP1080" s="98"/>
      <c r="BR1080" s="98"/>
    </row>
    <row r="1081" spans="1:70">
      <c r="A1081" s="99"/>
      <c r="AZ1081" s="98"/>
      <c r="BB1081" s="98"/>
      <c r="BD1081" s="98"/>
      <c r="BF1081" s="98"/>
      <c r="BH1081" s="98"/>
      <c r="BJ1081" s="98"/>
      <c r="BL1081" s="98"/>
      <c r="BN1081" s="98"/>
      <c r="BP1081" s="98"/>
      <c r="BR1081" s="98"/>
    </row>
    <row r="1082" spans="1:70">
      <c r="A1082" s="99"/>
      <c r="AZ1082" s="98"/>
      <c r="BB1082" s="98"/>
      <c r="BD1082" s="98"/>
      <c r="BF1082" s="98"/>
      <c r="BH1082" s="98"/>
      <c r="BJ1082" s="98"/>
      <c r="BL1082" s="98"/>
      <c r="BN1082" s="98"/>
      <c r="BP1082" s="98"/>
      <c r="BR1082" s="98"/>
    </row>
    <row r="1083" spans="1:70">
      <c r="A1083" s="99"/>
      <c r="AZ1083" s="98"/>
      <c r="BB1083" s="98"/>
      <c r="BD1083" s="98"/>
      <c r="BF1083" s="98"/>
      <c r="BH1083" s="98"/>
      <c r="BJ1083" s="98"/>
      <c r="BL1083" s="98"/>
      <c r="BN1083" s="98"/>
      <c r="BP1083" s="98"/>
      <c r="BR1083" s="98"/>
    </row>
    <row r="1084" spans="1:70">
      <c r="A1084" s="99"/>
      <c r="AZ1084" s="98"/>
      <c r="BB1084" s="98"/>
      <c r="BD1084" s="98"/>
      <c r="BF1084" s="98"/>
      <c r="BH1084" s="98"/>
      <c r="BJ1084" s="98"/>
      <c r="BL1084" s="98"/>
      <c r="BN1084" s="98"/>
      <c r="BP1084" s="98"/>
      <c r="BR1084" s="98"/>
    </row>
    <row r="1085" spans="1:70">
      <c r="A1085" s="99"/>
      <c r="AZ1085" s="98"/>
      <c r="BB1085" s="98"/>
      <c r="BD1085" s="98"/>
      <c r="BF1085" s="98"/>
      <c r="BH1085" s="98"/>
      <c r="BJ1085" s="98"/>
      <c r="BL1085" s="98"/>
      <c r="BN1085" s="98"/>
      <c r="BP1085" s="98"/>
      <c r="BR1085" s="98"/>
    </row>
    <row r="1086" spans="1:70">
      <c r="A1086" s="99"/>
      <c r="AZ1086" s="98"/>
      <c r="BB1086" s="98"/>
      <c r="BD1086" s="98"/>
      <c r="BF1086" s="98"/>
      <c r="BH1086" s="98"/>
      <c r="BJ1086" s="98"/>
      <c r="BL1086" s="98"/>
      <c r="BN1086" s="98"/>
      <c r="BP1086" s="98"/>
      <c r="BR1086" s="98"/>
    </row>
    <row r="1087" spans="1:70">
      <c r="A1087" s="99"/>
      <c r="AZ1087" s="98"/>
      <c r="BB1087" s="98"/>
      <c r="BD1087" s="98"/>
      <c r="BF1087" s="98"/>
      <c r="BH1087" s="98"/>
      <c r="BJ1087" s="98"/>
      <c r="BL1087" s="98"/>
      <c r="BN1087" s="98"/>
      <c r="BP1087" s="98"/>
      <c r="BR1087" s="98"/>
    </row>
    <row r="1088" spans="1:70">
      <c r="A1088" s="99"/>
      <c r="AZ1088" s="98"/>
      <c r="BB1088" s="98"/>
      <c r="BD1088" s="98"/>
      <c r="BF1088" s="98"/>
      <c r="BH1088" s="98"/>
      <c r="BJ1088" s="98"/>
      <c r="BL1088" s="98"/>
      <c r="BN1088" s="98"/>
      <c r="BP1088" s="98"/>
      <c r="BR1088" s="98"/>
    </row>
    <row r="1089" spans="1:70">
      <c r="A1089" s="99"/>
      <c r="AZ1089" s="98"/>
      <c r="BB1089" s="98"/>
      <c r="BD1089" s="98"/>
      <c r="BF1089" s="98"/>
      <c r="BH1089" s="98"/>
      <c r="BJ1089" s="98"/>
      <c r="BL1089" s="98"/>
      <c r="BN1089" s="98"/>
      <c r="BP1089" s="98"/>
      <c r="BR1089" s="98"/>
    </row>
    <row r="1090" spans="1:70">
      <c r="A1090" s="99"/>
      <c r="AZ1090" s="98"/>
      <c r="BB1090" s="98"/>
      <c r="BD1090" s="98"/>
      <c r="BF1090" s="98"/>
      <c r="BH1090" s="98"/>
      <c r="BJ1090" s="98"/>
      <c r="BL1090" s="98"/>
      <c r="BN1090" s="98"/>
      <c r="BP1090" s="98"/>
      <c r="BR1090" s="98"/>
    </row>
    <row r="1091" spans="1:70">
      <c r="A1091" s="99"/>
      <c r="AZ1091" s="98"/>
      <c r="BB1091" s="98"/>
      <c r="BD1091" s="98"/>
      <c r="BF1091" s="98"/>
      <c r="BH1091" s="98"/>
      <c r="BJ1091" s="98"/>
      <c r="BL1091" s="98"/>
      <c r="BN1091" s="98"/>
      <c r="BP1091" s="98"/>
      <c r="BR1091" s="98"/>
    </row>
    <row r="1092" spans="1:70">
      <c r="A1092" s="99"/>
      <c r="AZ1092" s="98"/>
      <c r="BB1092" s="98"/>
      <c r="BD1092" s="98"/>
      <c r="BF1092" s="98"/>
      <c r="BH1092" s="98"/>
      <c r="BJ1092" s="98"/>
      <c r="BL1092" s="98"/>
      <c r="BN1092" s="98"/>
      <c r="BP1092" s="98"/>
      <c r="BR1092" s="98"/>
    </row>
    <row r="1093" spans="1:70">
      <c r="A1093" s="99"/>
      <c r="AZ1093" s="98"/>
      <c r="BB1093" s="98"/>
      <c r="BD1093" s="98"/>
      <c r="BF1093" s="98"/>
      <c r="BH1093" s="98"/>
      <c r="BJ1093" s="98"/>
      <c r="BL1093" s="98"/>
      <c r="BN1093" s="98"/>
      <c r="BP1093" s="98"/>
      <c r="BR1093" s="98"/>
    </row>
    <row r="1094" spans="1:70">
      <c r="A1094" s="99"/>
      <c r="AZ1094" s="98"/>
      <c r="BB1094" s="98"/>
      <c r="BD1094" s="98"/>
      <c r="BF1094" s="98"/>
      <c r="BH1094" s="98"/>
      <c r="BJ1094" s="98"/>
      <c r="BL1094" s="98"/>
      <c r="BN1094" s="98"/>
      <c r="BP1094" s="98"/>
      <c r="BR1094" s="98"/>
    </row>
    <row r="1095" spans="1:70">
      <c r="A1095" s="99"/>
      <c r="AZ1095" s="98"/>
      <c r="BB1095" s="98"/>
      <c r="BD1095" s="98"/>
      <c r="BF1095" s="98"/>
      <c r="BH1095" s="98"/>
      <c r="BJ1095" s="98"/>
      <c r="BL1095" s="98"/>
      <c r="BN1095" s="98"/>
      <c r="BP1095" s="98"/>
      <c r="BR1095" s="98"/>
    </row>
    <row r="1096" spans="1:70">
      <c r="A1096" s="99"/>
      <c r="AZ1096" s="98"/>
      <c r="BB1096" s="98"/>
      <c r="BD1096" s="98"/>
      <c r="BF1096" s="98"/>
      <c r="BH1096" s="98"/>
      <c r="BJ1096" s="98"/>
      <c r="BL1096" s="98"/>
      <c r="BN1096" s="98"/>
      <c r="BP1096" s="98"/>
      <c r="BR1096" s="98"/>
    </row>
    <row r="1097" spans="1:70">
      <c r="A1097" s="99"/>
      <c r="AZ1097" s="98"/>
      <c r="BB1097" s="98"/>
      <c r="BD1097" s="98"/>
      <c r="BF1097" s="98"/>
      <c r="BH1097" s="98"/>
      <c r="BJ1097" s="98"/>
      <c r="BL1097" s="98"/>
      <c r="BN1097" s="98"/>
      <c r="BP1097" s="98"/>
      <c r="BR1097" s="98"/>
    </row>
    <row r="1098" spans="1:70">
      <c r="A1098" s="99"/>
      <c r="AZ1098" s="98"/>
      <c r="BB1098" s="98"/>
      <c r="BD1098" s="98"/>
      <c r="BF1098" s="98"/>
      <c r="BH1098" s="98"/>
      <c r="BJ1098" s="98"/>
      <c r="BL1098" s="98"/>
      <c r="BN1098" s="98"/>
      <c r="BP1098" s="98"/>
      <c r="BR1098" s="98"/>
    </row>
    <row r="1099" spans="1:70">
      <c r="A1099" s="99"/>
      <c r="AZ1099" s="98"/>
      <c r="BB1099" s="98"/>
      <c r="BD1099" s="98"/>
      <c r="BF1099" s="98"/>
      <c r="BH1099" s="98"/>
      <c r="BJ1099" s="98"/>
      <c r="BL1099" s="98"/>
      <c r="BN1099" s="98"/>
      <c r="BP1099" s="98"/>
      <c r="BR1099" s="98"/>
    </row>
    <row r="1100" spans="1:70">
      <c r="A1100" s="99"/>
      <c r="AZ1100" s="98"/>
      <c r="BB1100" s="98"/>
      <c r="BD1100" s="98"/>
      <c r="BF1100" s="98"/>
      <c r="BH1100" s="98"/>
      <c r="BJ1100" s="98"/>
      <c r="BL1100" s="98"/>
      <c r="BN1100" s="98"/>
      <c r="BP1100" s="98"/>
      <c r="BR1100" s="98"/>
    </row>
    <row r="1101" spans="1:70">
      <c r="A1101" s="99"/>
      <c r="AZ1101" s="98"/>
      <c r="BB1101" s="98"/>
      <c r="BD1101" s="98"/>
      <c r="BF1101" s="98"/>
      <c r="BH1101" s="98"/>
      <c r="BJ1101" s="98"/>
      <c r="BL1101" s="98"/>
      <c r="BN1101" s="98"/>
      <c r="BP1101" s="98"/>
      <c r="BR1101" s="98"/>
    </row>
    <row r="1102" spans="1:70">
      <c r="A1102" s="99"/>
      <c r="AZ1102" s="98"/>
      <c r="BB1102" s="98"/>
      <c r="BD1102" s="98"/>
      <c r="BF1102" s="98"/>
      <c r="BH1102" s="98"/>
      <c r="BJ1102" s="98"/>
      <c r="BL1102" s="98"/>
      <c r="BN1102" s="98"/>
      <c r="BP1102" s="98"/>
      <c r="BR1102" s="98"/>
    </row>
    <row r="1103" spans="1:70">
      <c r="A1103" s="99"/>
      <c r="AZ1103" s="98"/>
      <c r="BB1103" s="98"/>
      <c r="BD1103" s="98"/>
      <c r="BF1103" s="98"/>
      <c r="BH1103" s="98"/>
      <c r="BJ1103" s="98"/>
      <c r="BL1103" s="98"/>
      <c r="BN1103" s="98"/>
      <c r="BP1103" s="98"/>
      <c r="BR1103" s="98"/>
    </row>
    <row r="1104" spans="1:70">
      <c r="A1104" s="99"/>
      <c r="AZ1104" s="98"/>
      <c r="BB1104" s="98"/>
      <c r="BD1104" s="98"/>
      <c r="BF1104" s="98"/>
      <c r="BH1104" s="98"/>
      <c r="BJ1104" s="98"/>
      <c r="BL1104" s="98"/>
      <c r="BN1104" s="98"/>
      <c r="BP1104" s="98"/>
      <c r="BR1104" s="98"/>
    </row>
    <row r="1105" spans="1:70">
      <c r="A1105" s="99"/>
      <c r="AZ1105" s="98"/>
      <c r="BB1105" s="98"/>
      <c r="BD1105" s="98"/>
      <c r="BF1105" s="98"/>
      <c r="BH1105" s="98"/>
      <c r="BJ1105" s="98"/>
      <c r="BL1105" s="98"/>
      <c r="BN1105" s="98"/>
      <c r="BP1105" s="98"/>
      <c r="BR1105" s="98"/>
    </row>
    <row r="1106" spans="1:70">
      <c r="A1106" s="99"/>
      <c r="AZ1106" s="98"/>
      <c r="BB1106" s="98"/>
      <c r="BD1106" s="98"/>
      <c r="BF1106" s="98"/>
      <c r="BH1106" s="98"/>
      <c r="BJ1106" s="98"/>
      <c r="BL1106" s="98"/>
      <c r="BN1106" s="98"/>
      <c r="BP1106" s="98"/>
      <c r="BR1106" s="98"/>
    </row>
    <row r="1107" spans="1:70">
      <c r="A1107" s="99"/>
      <c r="AZ1107" s="98"/>
      <c r="BB1107" s="98"/>
      <c r="BD1107" s="98"/>
      <c r="BF1107" s="98"/>
      <c r="BH1107" s="98"/>
      <c r="BJ1107" s="98"/>
      <c r="BL1107" s="98"/>
      <c r="BN1107" s="98"/>
      <c r="BP1107" s="98"/>
      <c r="BR1107" s="98"/>
    </row>
    <row r="1108" spans="1:70">
      <c r="A1108" s="99"/>
      <c r="AZ1108" s="98"/>
      <c r="BB1108" s="98"/>
      <c r="BD1108" s="98"/>
      <c r="BF1108" s="98"/>
      <c r="BH1108" s="98"/>
      <c r="BJ1108" s="98"/>
      <c r="BL1108" s="98"/>
      <c r="BN1108" s="98"/>
      <c r="BP1108" s="98"/>
      <c r="BR1108" s="98"/>
    </row>
    <row r="1109" spans="1:70">
      <c r="A1109" s="99"/>
      <c r="AZ1109" s="98"/>
      <c r="BB1109" s="98"/>
      <c r="BD1109" s="98"/>
      <c r="BF1109" s="98"/>
      <c r="BH1109" s="98"/>
      <c r="BJ1109" s="98"/>
      <c r="BL1109" s="98"/>
      <c r="BN1109" s="98"/>
      <c r="BP1109" s="98"/>
      <c r="BR1109" s="98"/>
    </row>
    <row r="1110" spans="1:70">
      <c r="A1110" s="99"/>
      <c r="AZ1110" s="98"/>
      <c r="BB1110" s="98"/>
      <c r="BD1110" s="98"/>
      <c r="BF1110" s="98"/>
      <c r="BH1110" s="98"/>
      <c r="BJ1110" s="98"/>
      <c r="BL1110" s="98"/>
      <c r="BN1110" s="98"/>
      <c r="BP1110" s="98"/>
      <c r="BR1110" s="98"/>
    </row>
    <row r="1111" spans="1:70">
      <c r="A1111" s="99"/>
      <c r="AZ1111" s="98"/>
      <c r="BB1111" s="98"/>
      <c r="BD1111" s="98"/>
      <c r="BF1111" s="98"/>
      <c r="BH1111" s="98"/>
      <c r="BJ1111" s="98"/>
      <c r="BL1111" s="98"/>
      <c r="BN1111" s="98"/>
      <c r="BP1111" s="98"/>
      <c r="BR1111" s="98"/>
    </row>
    <row r="1112" spans="1:70">
      <c r="A1112" s="99"/>
      <c r="AZ1112" s="98"/>
      <c r="BB1112" s="98"/>
      <c r="BD1112" s="98"/>
      <c r="BF1112" s="98"/>
      <c r="BH1112" s="98"/>
      <c r="BJ1112" s="98"/>
      <c r="BL1112" s="98"/>
      <c r="BN1112" s="98"/>
      <c r="BP1112" s="98"/>
      <c r="BR1112" s="98"/>
    </row>
    <row r="1113" spans="1:70">
      <c r="A1113" s="99"/>
      <c r="AZ1113" s="98"/>
      <c r="BB1113" s="98"/>
      <c r="BD1113" s="98"/>
      <c r="BF1113" s="98"/>
      <c r="BH1113" s="98"/>
      <c r="BJ1113" s="98"/>
      <c r="BL1113" s="98"/>
      <c r="BN1113" s="98"/>
      <c r="BP1113" s="98"/>
      <c r="BR1113" s="98"/>
    </row>
    <row r="1114" spans="1:70">
      <c r="A1114" s="99"/>
      <c r="AZ1114" s="98"/>
      <c r="BB1114" s="98"/>
      <c r="BD1114" s="98"/>
      <c r="BF1114" s="98"/>
      <c r="BH1114" s="98"/>
      <c r="BJ1114" s="98"/>
      <c r="BL1114" s="98"/>
      <c r="BN1114" s="98"/>
      <c r="BP1114" s="98"/>
      <c r="BR1114" s="98"/>
    </row>
    <row r="1115" spans="1:70">
      <c r="A1115" s="99"/>
      <c r="AZ1115" s="98"/>
      <c r="BB1115" s="98"/>
      <c r="BD1115" s="98"/>
      <c r="BF1115" s="98"/>
      <c r="BH1115" s="98"/>
      <c r="BJ1115" s="98"/>
      <c r="BL1115" s="98"/>
      <c r="BN1115" s="98"/>
      <c r="BP1115" s="98"/>
      <c r="BR1115" s="98"/>
    </row>
    <row r="1116" spans="1:70">
      <c r="A1116" s="99"/>
      <c r="AZ1116" s="98"/>
      <c r="BB1116" s="98"/>
      <c r="BD1116" s="98"/>
      <c r="BF1116" s="98"/>
      <c r="BH1116" s="98"/>
      <c r="BJ1116" s="98"/>
      <c r="BL1116" s="98"/>
      <c r="BN1116" s="98"/>
      <c r="BP1116" s="98"/>
      <c r="BR1116" s="98"/>
    </row>
    <row r="1117" spans="1:70">
      <c r="A1117" s="99"/>
      <c r="AZ1117" s="98"/>
      <c r="BB1117" s="98"/>
      <c r="BD1117" s="98"/>
      <c r="BF1117" s="98"/>
      <c r="BH1117" s="98"/>
      <c r="BJ1117" s="98"/>
      <c r="BL1117" s="98"/>
      <c r="BN1117" s="98"/>
      <c r="BP1117" s="98"/>
      <c r="BR1117" s="98"/>
    </row>
    <row r="1118" spans="1:70">
      <c r="A1118" s="99"/>
      <c r="AZ1118" s="98"/>
      <c r="BB1118" s="98"/>
      <c r="BD1118" s="98"/>
      <c r="BF1118" s="98"/>
      <c r="BH1118" s="98"/>
      <c r="BJ1118" s="98"/>
      <c r="BL1118" s="98"/>
      <c r="BN1118" s="98"/>
      <c r="BP1118" s="98"/>
      <c r="BR1118" s="98"/>
    </row>
    <row r="1119" spans="1:70">
      <c r="A1119" s="99"/>
      <c r="AZ1119" s="98"/>
      <c r="BB1119" s="98"/>
      <c r="BD1119" s="98"/>
      <c r="BF1119" s="98"/>
      <c r="BH1119" s="98"/>
      <c r="BJ1119" s="98"/>
      <c r="BL1119" s="98"/>
      <c r="BN1119" s="98"/>
      <c r="BP1119" s="98"/>
      <c r="BR1119" s="98"/>
    </row>
    <row r="1120" spans="1:70">
      <c r="A1120" s="99"/>
      <c r="AZ1120" s="98"/>
      <c r="BB1120" s="98"/>
      <c r="BD1120" s="98"/>
      <c r="BF1120" s="98"/>
      <c r="BH1120" s="98"/>
      <c r="BJ1120" s="98"/>
      <c r="BL1120" s="98"/>
      <c r="BN1120" s="98"/>
      <c r="BP1120" s="98"/>
      <c r="BR1120" s="98"/>
    </row>
    <row r="1121" spans="1:70">
      <c r="A1121" s="99"/>
      <c r="AZ1121" s="98"/>
      <c r="BB1121" s="98"/>
      <c r="BD1121" s="98"/>
      <c r="BF1121" s="98"/>
      <c r="BH1121" s="98"/>
      <c r="BJ1121" s="98"/>
      <c r="BL1121" s="98"/>
      <c r="BN1121" s="98"/>
      <c r="BP1121" s="98"/>
      <c r="BR1121" s="98"/>
    </row>
    <row r="1122" spans="1:70">
      <c r="A1122" s="99"/>
      <c r="AZ1122" s="98"/>
      <c r="BB1122" s="98"/>
      <c r="BD1122" s="98"/>
      <c r="BF1122" s="98"/>
      <c r="BH1122" s="98"/>
      <c r="BJ1122" s="98"/>
      <c r="BL1122" s="98"/>
      <c r="BN1122" s="98"/>
      <c r="BP1122" s="98"/>
      <c r="BR1122" s="98"/>
    </row>
    <row r="1123" spans="1:70">
      <c r="A1123" s="99"/>
      <c r="AZ1123" s="98"/>
      <c r="BB1123" s="98"/>
      <c r="BD1123" s="98"/>
      <c r="BF1123" s="98"/>
      <c r="BH1123" s="98"/>
      <c r="BJ1123" s="98"/>
      <c r="BL1123" s="98"/>
      <c r="BN1123" s="98"/>
      <c r="BP1123" s="98"/>
      <c r="BR1123" s="98"/>
    </row>
    <row r="1124" spans="1:70">
      <c r="A1124" s="99"/>
      <c r="AZ1124" s="98"/>
      <c r="BB1124" s="98"/>
      <c r="BD1124" s="98"/>
      <c r="BF1124" s="98"/>
      <c r="BH1124" s="98"/>
      <c r="BJ1124" s="98"/>
      <c r="BL1124" s="98"/>
      <c r="BN1124" s="98"/>
      <c r="BP1124" s="98"/>
      <c r="BR1124" s="98"/>
    </row>
    <row r="1125" spans="1:70">
      <c r="A1125" s="99"/>
      <c r="AZ1125" s="98"/>
      <c r="BB1125" s="98"/>
      <c r="BD1125" s="98"/>
      <c r="BF1125" s="98"/>
      <c r="BH1125" s="98"/>
      <c r="BJ1125" s="98"/>
      <c r="BL1125" s="98"/>
      <c r="BN1125" s="98"/>
      <c r="BP1125" s="98"/>
      <c r="BR1125" s="98"/>
    </row>
    <row r="1126" spans="1:70">
      <c r="A1126" s="99"/>
      <c r="AZ1126" s="98"/>
      <c r="BB1126" s="98"/>
      <c r="BD1126" s="98"/>
      <c r="BF1126" s="98"/>
      <c r="BH1126" s="98"/>
      <c r="BJ1126" s="98"/>
      <c r="BL1126" s="98"/>
      <c r="BN1126" s="98"/>
      <c r="BP1126" s="98"/>
      <c r="BR1126" s="98"/>
    </row>
    <row r="1127" spans="1:70">
      <c r="A1127" s="99"/>
      <c r="AZ1127" s="98"/>
      <c r="BB1127" s="98"/>
      <c r="BD1127" s="98"/>
      <c r="BF1127" s="98"/>
      <c r="BH1127" s="98"/>
      <c r="BJ1127" s="98"/>
      <c r="BL1127" s="98"/>
      <c r="BN1127" s="98"/>
      <c r="BP1127" s="98"/>
      <c r="BR1127" s="98"/>
    </row>
    <row r="1128" spans="1:70">
      <c r="A1128" s="99"/>
      <c r="AZ1128" s="98"/>
      <c r="BB1128" s="98"/>
      <c r="BD1128" s="98"/>
      <c r="BF1128" s="98"/>
      <c r="BH1128" s="98"/>
      <c r="BJ1128" s="98"/>
      <c r="BL1128" s="98"/>
      <c r="BN1128" s="98"/>
      <c r="BP1128" s="98"/>
      <c r="BR1128" s="98"/>
    </row>
    <row r="1129" spans="1:70">
      <c r="A1129" s="99"/>
      <c r="AZ1129" s="98"/>
      <c r="BB1129" s="98"/>
      <c r="BD1129" s="98"/>
      <c r="BF1129" s="98"/>
      <c r="BH1129" s="98"/>
      <c r="BJ1129" s="98"/>
      <c r="BL1129" s="98"/>
      <c r="BN1129" s="98"/>
      <c r="BP1129" s="98"/>
      <c r="BR1129" s="98"/>
    </row>
    <row r="1130" spans="1:70">
      <c r="A1130" s="99"/>
      <c r="AZ1130" s="98"/>
      <c r="BB1130" s="98"/>
      <c r="BD1130" s="98"/>
      <c r="BF1130" s="98"/>
      <c r="BH1130" s="98"/>
      <c r="BJ1130" s="98"/>
      <c r="BL1130" s="98"/>
      <c r="BN1130" s="98"/>
      <c r="BP1130" s="98"/>
      <c r="BR1130" s="98"/>
    </row>
    <row r="1131" spans="1:70">
      <c r="A1131" s="99"/>
      <c r="AZ1131" s="98"/>
      <c r="BB1131" s="98"/>
      <c r="BD1131" s="98"/>
      <c r="BF1131" s="98"/>
      <c r="BH1131" s="98"/>
      <c r="BJ1131" s="98"/>
      <c r="BL1131" s="98"/>
      <c r="BN1131" s="98"/>
      <c r="BP1131" s="98"/>
      <c r="BR1131" s="98"/>
    </row>
    <row r="1132" spans="1:70">
      <c r="A1132" s="99"/>
      <c r="AZ1132" s="98"/>
      <c r="BB1132" s="98"/>
      <c r="BD1132" s="98"/>
      <c r="BF1132" s="98"/>
      <c r="BH1132" s="98"/>
      <c r="BJ1132" s="98"/>
      <c r="BL1132" s="98"/>
      <c r="BN1132" s="98"/>
      <c r="BP1132" s="98"/>
      <c r="BR1132" s="98"/>
    </row>
    <row r="1133" spans="1:70">
      <c r="A1133" s="99"/>
      <c r="AZ1133" s="98"/>
      <c r="BB1133" s="98"/>
      <c r="BD1133" s="98"/>
      <c r="BF1133" s="98"/>
      <c r="BH1133" s="98"/>
      <c r="BJ1133" s="98"/>
      <c r="BL1133" s="98"/>
      <c r="BN1133" s="98"/>
      <c r="BP1133" s="98"/>
      <c r="BR1133" s="98"/>
    </row>
    <row r="1134" spans="1:70">
      <c r="A1134" s="99"/>
      <c r="AZ1134" s="98"/>
      <c r="BB1134" s="98"/>
      <c r="BD1134" s="98"/>
      <c r="BF1134" s="98"/>
      <c r="BH1134" s="98"/>
      <c r="BJ1134" s="98"/>
      <c r="BL1134" s="98"/>
      <c r="BN1134" s="98"/>
      <c r="BP1134" s="98"/>
      <c r="BR1134" s="98"/>
    </row>
    <row r="1135" spans="1:70">
      <c r="A1135" s="99"/>
      <c r="AZ1135" s="98"/>
      <c r="BB1135" s="98"/>
      <c r="BD1135" s="98"/>
      <c r="BF1135" s="98"/>
      <c r="BH1135" s="98"/>
      <c r="BJ1135" s="98"/>
      <c r="BL1135" s="98"/>
      <c r="BN1135" s="98"/>
      <c r="BP1135" s="98"/>
      <c r="BR1135" s="98"/>
    </row>
    <row r="1136" spans="1:70">
      <c r="A1136" s="99"/>
      <c r="AZ1136" s="98"/>
      <c r="BB1136" s="98"/>
      <c r="BD1136" s="98"/>
      <c r="BF1136" s="98"/>
      <c r="BH1136" s="98"/>
      <c r="BJ1136" s="98"/>
      <c r="BL1136" s="98"/>
      <c r="BN1136" s="98"/>
      <c r="BP1136" s="98"/>
      <c r="BR1136" s="98"/>
    </row>
    <row r="1137" spans="1:70">
      <c r="A1137" s="99"/>
      <c r="AZ1137" s="98"/>
      <c r="BB1137" s="98"/>
      <c r="BD1137" s="98"/>
      <c r="BF1137" s="98"/>
      <c r="BH1137" s="98"/>
      <c r="BJ1137" s="98"/>
      <c r="BL1137" s="98"/>
      <c r="BN1137" s="98"/>
      <c r="BP1137" s="98"/>
      <c r="BR1137" s="98"/>
    </row>
    <row r="1138" spans="1:70">
      <c r="A1138" s="99"/>
      <c r="AZ1138" s="98"/>
      <c r="BB1138" s="98"/>
      <c r="BD1138" s="98"/>
      <c r="BF1138" s="98"/>
      <c r="BH1138" s="98"/>
      <c r="BJ1138" s="98"/>
      <c r="BL1138" s="98"/>
      <c r="BN1138" s="98"/>
      <c r="BP1138" s="98"/>
      <c r="BR1138" s="98"/>
    </row>
    <row r="1139" spans="1:70">
      <c r="A1139" s="99"/>
      <c r="AZ1139" s="98"/>
      <c r="BB1139" s="98"/>
      <c r="BD1139" s="98"/>
      <c r="BF1139" s="98"/>
      <c r="BH1139" s="98"/>
      <c r="BJ1139" s="98"/>
      <c r="BL1139" s="98"/>
      <c r="BN1139" s="98"/>
      <c r="BP1139" s="98"/>
      <c r="BR1139" s="98"/>
    </row>
    <row r="1140" spans="1:70">
      <c r="A1140" s="99"/>
      <c r="AZ1140" s="98"/>
      <c r="BB1140" s="98"/>
      <c r="BD1140" s="98"/>
      <c r="BF1140" s="98"/>
      <c r="BH1140" s="98"/>
      <c r="BJ1140" s="98"/>
      <c r="BL1140" s="98"/>
      <c r="BN1140" s="98"/>
      <c r="BP1140" s="98"/>
      <c r="BR1140" s="98"/>
    </row>
    <row r="1141" spans="1:70">
      <c r="A1141" s="99"/>
      <c r="AZ1141" s="98"/>
      <c r="BB1141" s="98"/>
      <c r="BD1141" s="98"/>
      <c r="BF1141" s="98"/>
      <c r="BH1141" s="98"/>
      <c r="BJ1141" s="98"/>
      <c r="BL1141" s="98"/>
      <c r="BN1141" s="98"/>
      <c r="BP1141" s="98"/>
      <c r="BR1141" s="98"/>
    </row>
    <row r="1142" spans="1:70">
      <c r="A1142" s="99"/>
      <c r="AZ1142" s="98"/>
      <c r="BB1142" s="98"/>
      <c r="BD1142" s="98"/>
      <c r="BF1142" s="98"/>
      <c r="BH1142" s="98"/>
      <c r="BJ1142" s="98"/>
      <c r="BL1142" s="98"/>
      <c r="BN1142" s="98"/>
      <c r="BP1142" s="98"/>
      <c r="BR1142" s="98"/>
    </row>
    <row r="1143" spans="1:70">
      <c r="A1143" s="99"/>
      <c r="AZ1143" s="98"/>
      <c r="BB1143" s="98"/>
      <c r="BD1143" s="98"/>
      <c r="BF1143" s="98"/>
      <c r="BH1143" s="98"/>
      <c r="BJ1143" s="98"/>
      <c r="BL1143" s="98"/>
      <c r="BN1143" s="98"/>
      <c r="BP1143" s="98"/>
      <c r="BR1143" s="98"/>
    </row>
    <row r="1144" spans="1:70">
      <c r="A1144" s="99"/>
      <c r="AZ1144" s="98"/>
      <c r="BB1144" s="98"/>
      <c r="BD1144" s="98"/>
      <c r="BF1144" s="98"/>
      <c r="BH1144" s="98"/>
      <c r="BJ1144" s="98"/>
      <c r="BL1144" s="98"/>
      <c r="BN1144" s="98"/>
      <c r="BP1144" s="98"/>
      <c r="BR1144" s="98"/>
    </row>
    <row r="1145" spans="1:70">
      <c r="A1145" s="99"/>
      <c r="AZ1145" s="98"/>
      <c r="BB1145" s="98"/>
      <c r="BD1145" s="98"/>
      <c r="BF1145" s="98"/>
      <c r="BH1145" s="98"/>
      <c r="BJ1145" s="98"/>
      <c r="BL1145" s="98"/>
      <c r="BN1145" s="98"/>
      <c r="BP1145" s="98"/>
      <c r="BR1145" s="98"/>
    </row>
    <row r="1146" spans="1:70">
      <c r="A1146" s="99"/>
      <c r="AZ1146" s="98"/>
      <c r="BB1146" s="98"/>
      <c r="BD1146" s="98"/>
      <c r="BF1146" s="98"/>
      <c r="BH1146" s="98"/>
      <c r="BJ1146" s="98"/>
      <c r="BL1146" s="98"/>
      <c r="BN1146" s="98"/>
      <c r="BP1146" s="98"/>
      <c r="BR1146" s="98"/>
    </row>
    <row r="1147" spans="1:70">
      <c r="A1147" s="99"/>
      <c r="AZ1147" s="98"/>
      <c r="BB1147" s="98"/>
      <c r="BD1147" s="98"/>
      <c r="BF1147" s="98"/>
      <c r="BH1147" s="98"/>
      <c r="BJ1147" s="98"/>
      <c r="BL1147" s="98"/>
      <c r="BN1147" s="98"/>
      <c r="BP1147" s="98"/>
      <c r="BR1147" s="98"/>
    </row>
    <row r="1148" spans="1:70">
      <c r="A1148" s="99"/>
      <c r="AZ1148" s="98"/>
      <c r="BB1148" s="98"/>
      <c r="BD1148" s="98"/>
      <c r="BF1148" s="98"/>
      <c r="BH1148" s="98"/>
      <c r="BJ1148" s="98"/>
      <c r="BL1148" s="98"/>
      <c r="BN1148" s="98"/>
      <c r="BP1148" s="98"/>
      <c r="BR1148" s="98"/>
    </row>
    <row r="1149" spans="1:70">
      <c r="A1149" s="99"/>
      <c r="AZ1149" s="98"/>
      <c r="BB1149" s="98"/>
      <c r="BD1149" s="98"/>
      <c r="BF1149" s="98"/>
      <c r="BH1149" s="98"/>
      <c r="BJ1149" s="98"/>
      <c r="BL1149" s="98"/>
      <c r="BN1149" s="98"/>
      <c r="BP1149" s="98"/>
      <c r="BR1149" s="98"/>
    </row>
    <row r="1150" spans="1:70">
      <c r="A1150" s="99"/>
      <c r="AZ1150" s="98"/>
      <c r="BB1150" s="98"/>
      <c r="BD1150" s="98"/>
      <c r="BF1150" s="98"/>
      <c r="BH1150" s="98"/>
      <c r="BJ1150" s="98"/>
      <c r="BL1150" s="98"/>
      <c r="BN1150" s="98"/>
      <c r="BP1150" s="98"/>
      <c r="BR1150" s="98"/>
    </row>
    <row r="1151" spans="1:70">
      <c r="A1151" s="99"/>
      <c r="AZ1151" s="98"/>
      <c r="BB1151" s="98"/>
      <c r="BD1151" s="98"/>
      <c r="BF1151" s="98"/>
      <c r="BH1151" s="98"/>
      <c r="BJ1151" s="98"/>
      <c r="BL1151" s="98"/>
      <c r="BN1151" s="98"/>
      <c r="BP1151" s="98"/>
      <c r="BR1151" s="98"/>
    </row>
    <row r="1152" spans="1:70">
      <c r="A1152" s="99"/>
      <c r="AZ1152" s="98"/>
      <c r="BB1152" s="98"/>
      <c r="BD1152" s="98"/>
      <c r="BF1152" s="98"/>
      <c r="BH1152" s="98"/>
      <c r="BJ1152" s="98"/>
      <c r="BL1152" s="98"/>
      <c r="BN1152" s="98"/>
      <c r="BP1152" s="98"/>
      <c r="BR1152" s="98"/>
    </row>
    <row r="1153" spans="1:70">
      <c r="A1153" s="99"/>
      <c r="AZ1153" s="98"/>
      <c r="BB1153" s="98"/>
      <c r="BD1153" s="98"/>
      <c r="BF1153" s="98"/>
      <c r="BH1153" s="98"/>
      <c r="BJ1153" s="98"/>
      <c r="BL1153" s="98"/>
      <c r="BN1153" s="98"/>
      <c r="BP1153" s="98"/>
      <c r="BR1153" s="98"/>
    </row>
    <row r="1154" spans="1:70">
      <c r="A1154" s="99"/>
      <c r="AZ1154" s="98"/>
      <c r="BB1154" s="98"/>
      <c r="BD1154" s="98"/>
      <c r="BF1154" s="98"/>
      <c r="BH1154" s="98"/>
      <c r="BJ1154" s="98"/>
      <c r="BL1154" s="98"/>
      <c r="BN1154" s="98"/>
      <c r="BP1154" s="98"/>
      <c r="BR1154" s="98"/>
    </row>
    <row r="1155" spans="1:70">
      <c r="A1155" s="99"/>
      <c r="AZ1155" s="98"/>
      <c r="BB1155" s="98"/>
      <c r="BD1155" s="98"/>
      <c r="BF1155" s="98"/>
      <c r="BH1155" s="98"/>
      <c r="BJ1155" s="98"/>
      <c r="BL1155" s="98"/>
      <c r="BN1155" s="98"/>
      <c r="BP1155" s="98"/>
      <c r="BR1155" s="98"/>
    </row>
    <row r="1156" spans="1:70">
      <c r="A1156" s="99"/>
      <c r="AZ1156" s="98"/>
      <c r="BB1156" s="98"/>
      <c r="BD1156" s="98"/>
      <c r="BF1156" s="98"/>
      <c r="BH1156" s="98"/>
      <c r="BJ1156" s="98"/>
      <c r="BL1156" s="98"/>
      <c r="BN1156" s="98"/>
      <c r="BP1156" s="98"/>
      <c r="BR1156" s="98"/>
    </row>
    <row r="1157" spans="1:70">
      <c r="A1157" s="99"/>
      <c r="AZ1157" s="98"/>
      <c r="BB1157" s="98"/>
      <c r="BD1157" s="98"/>
      <c r="BF1157" s="98"/>
      <c r="BH1157" s="98"/>
      <c r="BJ1157" s="98"/>
      <c r="BL1157" s="98"/>
      <c r="BN1157" s="98"/>
      <c r="BP1157" s="98"/>
      <c r="BR1157" s="98"/>
    </row>
    <row r="1158" spans="1:70">
      <c r="A1158" s="99"/>
      <c r="AZ1158" s="98"/>
      <c r="BB1158" s="98"/>
      <c r="BD1158" s="98"/>
      <c r="BF1158" s="98"/>
      <c r="BH1158" s="98"/>
      <c r="BJ1158" s="98"/>
      <c r="BL1158" s="98"/>
      <c r="BN1158" s="98"/>
      <c r="BP1158" s="98"/>
      <c r="BR1158" s="98"/>
    </row>
    <row r="1159" spans="1:70">
      <c r="A1159" s="99"/>
      <c r="AZ1159" s="98"/>
      <c r="BB1159" s="98"/>
      <c r="BD1159" s="98"/>
      <c r="BF1159" s="98"/>
      <c r="BH1159" s="98"/>
      <c r="BJ1159" s="98"/>
      <c r="BL1159" s="98"/>
      <c r="BN1159" s="98"/>
      <c r="BP1159" s="98"/>
      <c r="BR1159" s="98"/>
    </row>
    <row r="1160" spans="1:70">
      <c r="A1160" s="99"/>
      <c r="AZ1160" s="98"/>
      <c r="BB1160" s="98"/>
      <c r="BD1160" s="98"/>
      <c r="BF1160" s="98"/>
      <c r="BH1160" s="98"/>
      <c r="BJ1160" s="98"/>
      <c r="BL1160" s="98"/>
      <c r="BN1160" s="98"/>
      <c r="BP1160" s="98"/>
      <c r="BR1160" s="98"/>
    </row>
    <row r="1161" spans="1:70">
      <c r="A1161" s="99"/>
      <c r="AZ1161" s="98"/>
      <c r="BB1161" s="98"/>
      <c r="BD1161" s="98"/>
      <c r="BF1161" s="98"/>
      <c r="BH1161" s="98"/>
      <c r="BJ1161" s="98"/>
      <c r="BL1161" s="98"/>
      <c r="BN1161" s="98"/>
      <c r="BP1161" s="98"/>
      <c r="BR1161" s="98"/>
    </row>
    <row r="1162" spans="1:70">
      <c r="A1162" s="99"/>
      <c r="AZ1162" s="98"/>
      <c r="BB1162" s="98"/>
      <c r="BD1162" s="98"/>
      <c r="BF1162" s="98"/>
      <c r="BH1162" s="98"/>
      <c r="BJ1162" s="98"/>
      <c r="BL1162" s="98"/>
      <c r="BN1162" s="98"/>
      <c r="BP1162" s="98"/>
      <c r="BR1162" s="98"/>
    </row>
    <row r="1163" spans="1:70">
      <c r="A1163" s="99"/>
      <c r="AZ1163" s="98"/>
      <c r="BB1163" s="98"/>
      <c r="BD1163" s="98"/>
      <c r="BF1163" s="98"/>
      <c r="BH1163" s="98"/>
      <c r="BJ1163" s="98"/>
      <c r="BL1163" s="98"/>
      <c r="BN1163" s="98"/>
      <c r="BP1163" s="98"/>
      <c r="BR1163" s="98"/>
    </row>
    <row r="1164" spans="1:70">
      <c r="A1164" s="99"/>
      <c r="AZ1164" s="98"/>
      <c r="BB1164" s="98"/>
      <c r="BD1164" s="98"/>
      <c r="BF1164" s="98"/>
      <c r="BH1164" s="98"/>
      <c r="BJ1164" s="98"/>
      <c r="BL1164" s="98"/>
      <c r="BN1164" s="98"/>
      <c r="BP1164" s="98"/>
      <c r="BR1164" s="98"/>
    </row>
    <row r="1165" spans="1:70">
      <c r="A1165" s="99"/>
      <c r="AZ1165" s="98"/>
      <c r="BB1165" s="98"/>
      <c r="BD1165" s="98"/>
      <c r="BF1165" s="98"/>
      <c r="BH1165" s="98"/>
      <c r="BJ1165" s="98"/>
      <c r="BL1165" s="98"/>
      <c r="BN1165" s="98"/>
      <c r="BP1165" s="98"/>
      <c r="BR1165" s="98"/>
    </row>
    <row r="1166" spans="1:70">
      <c r="A1166" s="99"/>
      <c r="AZ1166" s="98"/>
      <c r="BB1166" s="98"/>
      <c r="BD1166" s="98"/>
      <c r="BF1166" s="98"/>
      <c r="BH1166" s="98"/>
      <c r="BJ1166" s="98"/>
      <c r="BL1166" s="98"/>
      <c r="BN1166" s="98"/>
      <c r="BP1166" s="98"/>
      <c r="BR1166" s="98"/>
    </row>
    <row r="1167" spans="1:70">
      <c r="A1167" s="99"/>
      <c r="AZ1167" s="98"/>
      <c r="BB1167" s="98"/>
      <c r="BD1167" s="98"/>
      <c r="BF1167" s="98"/>
      <c r="BH1167" s="98"/>
      <c r="BJ1167" s="98"/>
      <c r="BL1167" s="98"/>
      <c r="BN1167" s="98"/>
      <c r="BP1167" s="98"/>
      <c r="BR1167" s="98"/>
    </row>
    <row r="1168" spans="1:70">
      <c r="A1168" s="99"/>
      <c r="AZ1168" s="98"/>
      <c r="BB1168" s="98"/>
      <c r="BD1168" s="98"/>
      <c r="BF1168" s="98"/>
      <c r="BH1168" s="98"/>
      <c r="BJ1168" s="98"/>
      <c r="BL1168" s="98"/>
      <c r="BN1168" s="98"/>
      <c r="BP1168" s="98"/>
      <c r="BR1168" s="98"/>
    </row>
    <row r="1169" spans="1:70">
      <c r="A1169" s="99"/>
      <c r="AZ1169" s="98"/>
      <c r="BB1169" s="98"/>
      <c r="BD1169" s="98"/>
      <c r="BF1169" s="98"/>
      <c r="BH1169" s="98"/>
      <c r="BJ1169" s="98"/>
      <c r="BL1169" s="98"/>
      <c r="BN1169" s="98"/>
      <c r="BP1169" s="98"/>
      <c r="BR1169" s="98"/>
    </row>
    <row r="1170" spans="1:70">
      <c r="A1170" s="99"/>
      <c r="AZ1170" s="98"/>
      <c r="BB1170" s="98"/>
      <c r="BD1170" s="98"/>
      <c r="BF1170" s="98"/>
      <c r="BH1170" s="98"/>
      <c r="BJ1170" s="98"/>
      <c r="BL1170" s="98"/>
      <c r="BN1170" s="98"/>
      <c r="BP1170" s="98"/>
      <c r="BR1170" s="98"/>
    </row>
    <row r="1171" spans="1:70">
      <c r="A1171" s="99"/>
      <c r="AZ1171" s="98"/>
      <c r="BB1171" s="98"/>
      <c r="BD1171" s="98"/>
      <c r="BF1171" s="98"/>
      <c r="BH1171" s="98"/>
      <c r="BJ1171" s="98"/>
      <c r="BL1171" s="98"/>
      <c r="BN1171" s="98"/>
      <c r="BP1171" s="98"/>
      <c r="BR1171" s="98"/>
    </row>
    <row r="1172" spans="1:70">
      <c r="A1172" s="99"/>
      <c r="AZ1172" s="98"/>
      <c r="BB1172" s="98"/>
      <c r="BD1172" s="98"/>
      <c r="BF1172" s="98"/>
      <c r="BH1172" s="98"/>
      <c r="BJ1172" s="98"/>
      <c r="BL1172" s="98"/>
      <c r="BN1172" s="98"/>
      <c r="BP1172" s="98"/>
      <c r="BR1172" s="98"/>
    </row>
    <row r="1173" spans="1:70">
      <c r="A1173" s="99"/>
      <c r="AZ1173" s="98"/>
      <c r="BB1173" s="98"/>
      <c r="BD1173" s="98"/>
      <c r="BF1173" s="98"/>
      <c r="BH1173" s="98"/>
      <c r="BJ1173" s="98"/>
      <c r="BL1173" s="98"/>
      <c r="BN1173" s="98"/>
      <c r="BP1173" s="98"/>
      <c r="BR1173" s="98"/>
    </row>
    <row r="1174" spans="1:70">
      <c r="A1174" s="99"/>
      <c r="AZ1174" s="98"/>
      <c r="BB1174" s="98"/>
      <c r="BD1174" s="98"/>
      <c r="BF1174" s="98"/>
      <c r="BH1174" s="98"/>
      <c r="BJ1174" s="98"/>
      <c r="BL1174" s="98"/>
      <c r="BN1174" s="98"/>
      <c r="BP1174" s="98"/>
      <c r="BR1174" s="98"/>
    </row>
    <row r="1175" spans="1:70">
      <c r="A1175" s="99"/>
      <c r="AZ1175" s="98"/>
      <c r="BB1175" s="98"/>
      <c r="BD1175" s="98"/>
      <c r="BF1175" s="98"/>
      <c r="BH1175" s="98"/>
      <c r="BJ1175" s="98"/>
      <c r="BL1175" s="98"/>
      <c r="BN1175" s="98"/>
      <c r="BP1175" s="98"/>
      <c r="BR1175" s="98"/>
    </row>
    <row r="1176" spans="1:70">
      <c r="A1176" s="99"/>
      <c r="AZ1176" s="98"/>
      <c r="BB1176" s="98"/>
      <c r="BD1176" s="98"/>
      <c r="BF1176" s="98"/>
      <c r="BH1176" s="98"/>
      <c r="BJ1176" s="98"/>
      <c r="BL1176" s="98"/>
      <c r="BN1176" s="98"/>
      <c r="BP1176" s="98"/>
      <c r="BR1176" s="98"/>
    </row>
    <row r="1177" spans="1:70">
      <c r="A1177" s="99"/>
      <c r="AZ1177" s="98"/>
      <c r="BB1177" s="98"/>
      <c r="BD1177" s="98"/>
      <c r="BF1177" s="98"/>
      <c r="BH1177" s="98"/>
      <c r="BJ1177" s="98"/>
      <c r="BL1177" s="98"/>
      <c r="BN1177" s="98"/>
      <c r="BP1177" s="98"/>
      <c r="BR1177" s="98"/>
    </row>
    <row r="1178" spans="1:70">
      <c r="A1178" s="99"/>
      <c r="AZ1178" s="98"/>
      <c r="BB1178" s="98"/>
      <c r="BD1178" s="98"/>
      <c r="BF1178" s="98"/>
      <c r="BH1178" s="98"/>
      <c r="BJ1178" s="98"/>
      <c r="BL1178" s="98"/>
      <c r="BN1178" s="98"/>
      <c r="BP1178" s="98"/>
      <c r="BR1178" s="98"/>
    </row>
    <row r="1179" spans="1:70">
      <c r="A1179" s="99"/>
      <c r="AZ1179" s="98"/>
      <c r="BB1179" s="98"/>
      <c r="BD1179" s="98"/>
      <c r="BF1179" s="98"/>
      <c r="BH1179" s="98"/>
      <c r="BJ1179" s="98"/>
      <c r="BL1179" s="98"/>
      <c r="BN1179" s="98"/>
      <c r="BP1179" s="98"/>
      <c r="BR1179" s="98"/>
    </row>
    <row r="1180" spans="1:70">
      <c r="A1180" s="99"/>
      <c r="AZ1180" s="98"/>
      <c r="BB1180" s="98"/>
      <c r="BD1180" s="98"/>
      <c r="BF1180" s="98"/>
      <c r="BH1180" s="98"/>
      <c r="BJ1180" s="98"/>
      <c r="BL1180" s="98"/>
      <c r="BN1180" s="98"/>
      <c r="BP1180" s="98"/>
      <c r="BR1180" s="98"/>
    </row>
    <row r="1181" spans="1:70">
      <c r="A1181" s="99"/>
      <c r="AZ1181" s="98"/>
      <c r="BB1181" s="98"/>
      <c r="BD1181" s="98"/>
      <c r="BF1181" s="98"/>
      <c r="BH1181" s="98"/>
      <c r="BJ1181" s="98"/>
      <c r="BL1181" s="98"/>
      <c r="BN1181" s="98"/>
      <c r="BP1181" s="98"/>
      <c r="BR1181" s="98"/>
    </row>
    <row r="1182" spans="1:70">
      <c r="A1182" s="99"/>
      <c r="AZ1182" s="98"/>
      <c r="BB1182" s="98"/>
      <c r="BD1182" s="98"/>
      <c r="BF1182" s="98"/>
      <c r="BH1182" s="98"/>
      <c r="BJ1182" s="98"/>
      <c r="BL1182" s="98"/>
      <c r="BN1182" s="98"/>
      <c r="BP1182" s="98"/>
      <c r="BR1182" s="98"/>
    </row>
    <row r="1183" spans="1:70">
      <c r="A1183" s="99"/>
      <c r="AZ1183" s="98"/>
      <c r="BB1183" s="98"/>
      <c r="BD1183" s="98"/>
      <c r="BF1183" s="98"/>
      <c r="BH1183" s="98"/>
      <c r="BJ1183" s="98"/>
      <c r="BL1183" s="98"/>
      <c r="BN1183" s="98"/>
      <c r="BP1183" s="98"/>
      <c r="BR1183" s="98"/>
    </row>
    <row r="1184" spans="1:70">
      <c r="A1184" s="99"/>
      <c r="AZ1184" s="98"/>
      <c r="BB1184" s="98"/>
      <c r="BD1184" s="98"/>
      <c r="BF1184" s="98"/>
      <c r="BH1184" s="98"/>
      <c r="BJ1184" s="98"/>
      <c r="BL1184" s="98"/>
      <c r="BN1184" s="98"/>
      <c r="BP1184" s="98"/>
      <c r="BR1184" s="98"/>
    </row>
    <row r="1185" spans="1:70">
      <c r="A1185" s="99"/>
      <c r="AZ1185" s="98"/>
      <c r="BB1185" s="98"/>
      <c r="BD1185" s="98"/>
      <c r="BF1185" s="98"/>
      <c r="BH1185" s="98"/>
      <c r="BJ1185" s="98"/>
      <c r="BL1185" s="98"/>
      <c r="BN1185" s="98"/>
      <c r="BP1185" s="98"/>
      <c r="BR1185" s="98"/>
    </row>
    <row r="1186" spans="1:70">
      <c r="A1186" s="99"/>
      <c r="AZ1186" s="98"/>
      <c r="BB1186" s="98"/>
      <c r="BD1186" s="98"/>
      <c r="BF1186" s="98"/>
      <c r="BH1186" s="98"/>
      <c r="BJ1186" s="98"/>
      <c r="BL1186" s="98"/>
      <c r="BN1186" s="98"/>
      <c r="BP1186" s="98"/>
      <c r="BR1186" s="98"/>
    </row>
    <row r="1187" spans="1:70">
      <c r="A1187" s="99"/>
      <c r="AZ1187" s="98"/>
      <c r="BB1187" s="98"/>
      <c r="BD1187" s="98"/>
      <c r="BF1187" s="98"/>
      <c r="BH1187" s="98"/>
      <c r="BJ1187" s="98"/>
      <c r="BL1187" s="98"/>
      <c r="BN1187" s="98"/>
      <c r="BP1187" s="98"/>
      <c r="BR1187" s="98"/>
    </row>
    <row r="1188" spans="1:70">
      <c r="A1188" s="99"/>
      <c r="AZ1188" s="98"/>
      <c r="BB1188" s="98"/>
      <c r="BD1188" s="98"/>
      <c r="BF1188" s="98"/>
      <c r="BH1188" s="98"/>
      <c r="BJ1188" s="98"/>
      <c r="BL1188" s="98"/>
      <c r="BN1188" s="98"/>
      <c r="BP1188" s="98"/>
      <c r="BR1188" s="98"/>
    </row>
    <row r="1189" spans="1:70">
      <c r="A1189" s="99"/>
      <c r="AZ1189" s="98"/>
      <c r="BB1189" s="98"/>
      <c r="BD1189" s="98"/>
      <c r="BF1189" s="98"/>
      <c r="BH1189" s="98"/>
      <c r="BJ1189" s="98"/>
      <c r="BL1189" s="98"/>
      <c r="BN1189" s="98"/>
      <c r="BP1189" s="98"/>
      <c r="BR1189" s="98"/>
    </row>
    <row r="1190" spans="1:70">
      <c r="A1190" s="99"/>
      <c r="AZ1190" s="98"/>
      <c r="BB1190" s="98"/>
      <c r="BD1190" s="98"/>
      <c r="BF1190" s="98"/>
      <c r="BH1190" s="98"/>
      <c r="BJ1190" s="98"/>
      <c r="BL1190" s="98"/>
      <c r="BN1190" s="98"/>
      <c r="BP1190" s="98"/>
      <c r="BR1190" s="98"/>
    </row>
    <row r="1191" spans="1:70">
      <c r="A1191" s="99"/>
      <c r="AZ1191" s="98"/>
      <c r="BB1191" s="98"/>
      <c r="BD1191" s="98"/>
      <c r="BF1191" s="98"/>
      <c r="BH1191" s="98"/>
      <c r="BJ1191" s="98"/>
      <c r="BL1191" s="98"/>
      <c r="BN1191" s="98"/>
      <c r="BP1191" s="98"/>
      <c r="BR1191" s="98"/>
    </row>
    <row r="1192" spans="1:70">
      <c r="A1192" s="99"/>
      <c r="AZ1192" s="98"/>
      <c r="BB1192" s="98"/>
      <c r="BD1192" s="98"/>
      <c r="BF1192" s="98"/>
      <c r="BH1192" s="98"/>
      <c r="BJ1192" s="98"/>
      <c r="BL1192" s="98"/>
      <c r="BN1192" s="98"/>
      <c r="BP1192" s="98"/>
      <c r="BR1192" s="98"/>
    </row>
    <row r="1193" spans="1:70">
      <c r="A1193" s="99"/>
      <c r="AZ1193" s="98"/>
      <c r="BB1193" s="98"/>
      <c r="BD1193" s="98"/>
      <c r="BF1193" s="98"/>
      <c r="BH1193" s="98"/>
      <c r="BJ1193" s="98"/>
      <c r="BL1193" s="98"/>
      <c r="BN1193" s="98"/>
      <c r="BP1193" s="98"/>
      <c r="BR1193" s="98"/>
    </row>
    <row r="1194" spans="1:70">
      <c r="A1194" s="99"/>
      <c r="AZ1194" s="98"/>
      <c r="BB1194" s="98"/>
      <c r="BD1194" s="98"/>
      <c r="BF1194" s="98"/>
      <c r="BH1194" s="98"/>
      <c r="BJ1194" s="98"/>
      <c r="BL1194" s="98"/>
      <c r="BN1194" s="98"/>
      <c r="BP1194" s="98"/>
      <c r="BR1194" s="98"/>
    </row>
    <row r="1195" spans="1:70">
      <c r="A1195" s="99"/>
      <c r="AZ1195" s="98"/>
      <c r="BB1195" s="98"/>
      <c r="BD1195" s="98"/>
      <c r="BF1195" s="98"/>
      <c r="BH1195" s="98"/>
      <c r="BJ1195" s="98"/>
      <c r="BL1195" s="98"/>
      <c r="BN1195" s="98"/>
      <c r="BP1195" s="98"/>
      <c r="BR1195" s="98"/>
    </row>
    <row r="1196" spans="1:70">
      <c r="A1196" s="99"/>
      <c r="AZ1196" s="98"/>
      <c r="BB1196" s="98"/>
      <c r="BD1196" s="98"/>
      <c r="BF1196" s="98"/>
      <c r="BH1196" s="98"/>
      <c r="BJ1196" s="98"/>
      <c r="BL1196" s="98"/>
      <c r="BN1196" s="98"/>
      <c r="BP1196" s="98"/>
      <c r="BR1196" s="98"/>
    </row>
    <row r="1197" spans="1:70">
      <c r="A1197" s="99"/>
      <c r="AZ1197" s="98"/>
      <c r="BB1197" s="98"/>
      <c r="BD1197" s="98"/>
      <c r="BF1197" s="98"/>
      <c r="BH1197" s="98"/>
      <c r="BJ1197" s="98"/>
      <c r="BL1197" s="98"/>
      <c r="BN1197" s="98"/>
      <c r="BP1197" s="98"/>
      <c r="BR1197" s="98"/>
    </row>
    <row r="1198" spans="1:70">
      <c r="A1198" s="99"/>
      <c r="AZ1198" s="98"/>
      <c r="BB1198" s="98"/>
      <c r="BD1198" s="98"/>
      <c r="BF1198" s="98"/>
      <c r="BH1198" s="98"/>
      <c r="BJ1198" s="98"/>
      <c r="BL1198" s="98"/>
      <c r="BN1198" s="98"/>
      <c r="BP1198" s="98"/>
      <c r="BR1198" s="98"/>
    </row>
    <row r="1199" spans="1:70">
      <c r="A1199" s="99"/>
      <c r="AZ1199" s="98"/>
      <c r="BB1199" s="98"/>
      <c r="BD1199" s="98"/>
      <c r="BF1199" s="98"/>
      <c r="BH1199" s="98"/>
      <c r="BJ1199" s="98"/>
      <c r="BL1199" s="98"/>
      <c r="BN1199" s="98"/>
      <c r="BP1199" s="98"/>
      <c r="BR1199" s="98"/>
    </row>
    <row r="1200" spans="1:70">
      <c r="A1200" s="99"/>
      <c r="AZ1200" s="98"/>
      <c r="BB1200" s="98"/>
      <c r="BD1200" s="98"/>
      <c r="BF1200" s="98"/>
      <c r="BH1200" s="98"/>
      <c r="BJ1200" s="98"/>
      <c r="BL1200" s="98"/>
      <c r="BN1200" s="98"/>
      <c r="BP1200" s="98"/>
      <c r="BR1200" s="98"/>
    </row>
    <row r="1201" spans="1:70">
      <c r="A1201" s="99"/>
      <c r="AZ1201" s="98"/>
      <c r="BB1201" s="98"/>
      <c r="BD1201" s="98"/>
      <c r="BF1201" s="98"/>
      <c r="BH1201" s="98"/>
      <c r="BJ1201" s="98"/>
      <c r="BL1201" s="98"/>
      <c r="BN1201" s="98"/>
      <c r="BP1201" s="98"/>
      <c r="BR1201" s="98"/>
    </row>
    <row r="1202" spans="1:70">
      <c r="A1202" s="99"/>
      <c r="AZ1202" s="98"/>
      <c r="BB1202" s="98"/>
      <c r="BD1202" s="98"/>
      <c r="BF1202" s="98"/>
      <c r="BH1202" s="98"/>
      <c r="BJ1202" s="98"/>
      <c r="BL1202" s="98"/>
      <c r="BN1202" s="98"/>
      <c r="BP1202" s="98"/>
      <c r="BR1202" s="98"/>
    </row>
    <row r="1203" spans="1:70">
      <c r="A1203" s="99"/>
      <c r="AZ1203" s="98"/>
      <c r="BB1203" s="98"/>
      <c r="BD1203" s="98"/>
      <c r="BF1203" s="98"/>
      <c r="BH1203" s="98"/>
      <c r="BJ1203" s="98"/>
      <c r="BL1203" s="98"/>
      <c r="BN1203" s="98"/>
      <c r="BP1203" s="98"/>
      <c r="BR1203" s="98"/>
    </row>
    <row r="1204" spans="1:70">
      <c r="A1204" s="99"/>
      <c r="AZ1204" s="98"/>
      <c r="BB1204" s="98"/>
      <c r="BD1204" s="98"/>
      <c r="BF1204" s="98"/>
      <c r="BH1204" s="98"/>
      <c r="BJ1204" s="98"/>
      <c r="BL1204" s="98"/>
      <c r="BN1204" s="98"/>
      <c r="BP1204" s="98"/>
      <c r="BR1204" s="98"/>
    </row>
    <row r="1205" spans="1:70">
      <c r="A1205" s="99"/>
      <c r="AZ1205" s="98"/>
      <c r="BB1205" s="98"/>
      <c r="BD1205" s="98"/>
      <c r="BF1205" s="98"/>
      <c r="BH1205" s="98"/>
      <c r="BJ1205" s="98"/>
      <c r="BL1205" s="98"/>
      <c r="BN1205" s="98"/>
      <c r="BP1205" s="98"/>
      <c r="BR1205" s="98"/>
    </row>
    <row r="1206" spans="1:70">
      <c r="A1206" s="99"/>
      <c r="AZ1206" s="98"/>
      <c r="BB1206" s="98"/>
      <c r="BD1206" s="98"/>
      <c r="BF1206" s="98"/>
      <c r="BH1206" s="98"/>
      <c r="BJ1206" s="98"/>
      <c r="BL1206" s="98"/>
      <c r="BN1206" s="98"/>
      <c r="BP1206" s="98"/>
      <c r="BR1206" s="98"/>
    </row>
    <row r="1207" spans="1:70">
      <c r="A1207" s="99"/>
      <c r="AZ1207" s="98"/>
      <c r="BB1207" s="98"/>
      <c r="BD1207" s="98"/>
      <c r="BF1207" s="98"/>
      <c r="BH1207" s="98"/>
      <c r="BJ1207" s="98"/>
      <c r="BL1207" s="98"/>
      <c r="BN1207" s="98"/>
      <c r="BP1207" s="98"/>
      <c r="BR1207" s="98"/>
    </row>
    <row r="1208" spans="1:70">
      <c r="A1208" s="99"/>
      <c r="AZ1208" s="98"/>
      <c r="BB1208" s="98"/>
      <c r="BD1208" s="98"/>
      <c r="BF1208" s="98"/>
      <c r="BH1208" s="98"/>
      <c r="BJ1208" s="98"/>
      <c r="BL1208" s="98"/>
      <c r="BN1208" s="98"/>
      <c r="BP1208" s="98"/>
      <c r="BR1208" s="98"/>
    </row>
    <row r="1209" spans="1:70">
      <c r="A1209" s="99"/>
      <c r="AZ1209" s="98"/>
      <c r="BB1209" s="98"/>
      <c r="BD1209" s="98"/>
      <c r="BF1209" s="98"/>
      <c r="BH1209" s="98"/>
      <c r="BJ1209" s="98"/>
      <c r="BL1209" s="98"/>
      <c r="BN1209" s="98"/>
      <c r="BP1209" s="98"/>
      <c r="BR1209" s="98"/>
    </row>
    <row r="1210" spans="1:70">
      <c r="A1210" s="99"/>
      <c r="AZ1210" s="98"/>
      <c r="BB1210" s="98"/>
      <c r="BD1210" s="98"/>
      <c r="BF1210" s="98"/>
      <c r="BH1210" s="98"/>
      <c r="BJ1210" s="98"/>
      <c r="BL1210" s="98"/>
      <c r="BN1210" s="98"/>
      <c r="BP1210" s="98"/>
      <c r="BR1210" s="98"/>
    </row>
    <row r="1211" spans="1:70">
      <c r="A1211" s="99"/>
      <c r="AZ1211" s="98"/>
      <c r="BB1211" s="98"/>
      <c r="BD1211" s="98"/>
      <c r="BF1211" s="98"/>
      <c r="BH1211" s="98"/>
      <c r="BJ1211" s="98"/>
      <c r="BL1211" s="98"/>
      <c r="BN1211" s="98"/>
      <c r="BP1211" s="98"/>
      <c r="BR1211" s="98"/>
    </row>
    <row r="1212" spans="1:70">
      <c r="A1212" s="99"/>
      <c r="AZ1212" s="98"/>
      <c r="BB1212" s="98"/>
      <c r="BD1212" s="98"/>
      <c r="BF1212" s="98"/>
      <c r="BH1212" s="98"/>
      <c r="BJ1212" s="98"/>
      <c r="BL1212" s="98"/>
      <c r="BN1212" s="98"/>
      <c r="BP1212" s="98"/>
      <c r="BR1212" s="98"/>
    </row>
    <row r="1213" spans="1:70">
      <c r="A1213" s="99"/>
      <c r="AZ1213" s="98"/>
      <c r="BB1213" s="98"/>
      <c r="BD1213" s="98"/>
      <c r="BF1213" s="98"/>
      <c r="BH1213" s="98"/>
      <c r="BJ1213" s="98"/>
      <c r="BL1213" s="98"/>
      <c r="BN1213" s="98"/>
      <c r="BP1213" s="98"/>
      <c r="BR1213" s="98"/>
    </row>
    <row r="1214" spans="1:70">
      <c r="A1214" s="99"/>
      <c r="AZ1214" s="98"/>
      <c r="BB1214" s="98"/>
      <c r="BD1214" s="98"/>
      <c r="BF1214" s="98"/>
      <c r="BH1214" s="98"/>
      <c r="BJ1214" s="98"/>
      <c r="BL1214" s="98"/>
      <c r="BN1214" s="98"/>
      <c r="BP1214" s="98"/>
      <c r="BR1214" s="98"/>
    </row>
    <row r="1215" spans="1:70">
      <c r="A1215" s="99"/>
      <c r="AZ1215" s="98"/>
      <c r="BB1215" s="98"/>
      <c r="BD1215" s="98"/>
      <c r="BF1215" s="98"/>
      <c r="BH1215" s="98"/>
      <c r="BJ1215" s="98"/>
      <c r="BL1215" s="98"/>
      <c r="BN1215" s="98"/>
      <c r="BP1215" s="98"/>
      <c r="BR1215" s="98"/>
    </row>
    <row r="1216" spans="1:70">
      <c r="A1216" s="99"/>
      <c r="AZ1216" s="98"/>
      <c r="BB1216" s="98"/>
      <c r="BD1216" s="98"/>
      <c r="BF1216" s="98"/>
      <c r="BH1216" s="98"/>
      <c r="BJ1216" s="98"/>
      <c r="BL1216" s="98"/>
      <c r="BN1216" s="98"/>
      <c r="BP1216" s="98"/>
      <c r="BR1216" s="98"/>
    </row>
    <row r="1217" spans="1:70">
      <c r="A1217" s="99"/>
      <c r="AZ1217" s="98"/>
      <c r="BB1217" s="98"/>
      <c r="BD1217" s="98"/>
      <c r="BF1217" s="98"/>
      <c r="BH1217" s="98"/>
      <c r="BJ1217" s="98"/>
      <c r="BL1217" s="98"/>
      <c r="BN1217" s="98"/>
      <c r="BP1217" s="98"/>
      <c r="BR1217" s="98"/>
    </row>
    <row r="1218" spans="1:70">
      <c r="A1218" s="99"/>
      <c r="AZ1218" s="98"/>
      <c r="BB1218" s="98"/>
      <c r="BD1218" s="98"/>
      <c r="BF1218" s="98"/>
      <c r="BH1218" s="98"/>
      <c r="BJ1218" s="98"/>
      <c r="BL1218" s="98"/>
      <c r="BN1218" s="98"/>
      <c r="BP1218" s="98"/>
      <c r="BR1218" s="98"/>
    </row>
    <row r="1219" spans="1:70">
      <c r="A1219" s="99"/>
      <c r="AZ1219" s="98"/>
      <c r="BB1219" s="98"/>
      <c r="BD1219" s="98"/>
      <c r="BF1219" s="98"/>
      <c r="BH1219" s="98"/>
      <c r="BJ1219" s="98"/>
      <c r="BL1219" s="98"/>
      <c r="BN1219" s="98"/>
      <c r="BP1219" s="98"/>
      <c r="BR1219" s="98"/>
    </row>
    <row r="1220" spans="1:70">
      <c r="A1220" s="99"/>
      <c r="AZ1220" s="98"/>
      <c r="BB1220" s="98"/>
      <c r="BD1220" s="98"/>
      <c r="BF1220" s="98"/>
      <c r="BH1220" s="98"/>
      <c r="BJ1220" s="98"/>
      <c r="BL1220" s="98"/>
      <c r="BN1220" s="98"/>
      <c r="BP1220" s="98"/>
      <c r="BR1220" s="98"/>
    </row>
    <row r="1221" spans="1:70">
      <c r="A1221" s="99"/>
      <c r="AZ1221" s="98"/>
      <c r="BB1221" s="98"/>
      <c r="BD1221" s="98"/>
      <c r="BF1221" s="98"/>
      <c r="BH1221" s="98"/>
      <c r="BJ1221" s="98"/>
      <c r="BL1221" s="98"/>
      <c r="BN1221" s="98"/>
      <c r="BP1221" s="98"/>
      <c r="BR1221" s="98"/>
    </row>
    <row r="1222" spans="1:70">
      <c r="A1222" s="99"/>
      <c r="AZ1222" s="98"/>
      <c r="BB1222" s="98"/>
      <c r="BD1222" s="98"/>
      <c r="BF1222" s="98"/>
      <c r="BH1222" s="98"/>
      <c r="BJ1222" s="98"/>
      <c r="BL1222" s="98"/>
      <c r="BN1222" s="98"/>
      <c r="BP1222" s="98"/>
      <c r="BR1222" s="98"/>
    </row>
    <row r="1223" spans="1:70">
      <c r="A1223" s="99"/>
      <c r="AZ1223" s="98"/>
      <c r="BB1223" s="98"/>
      <c r="BD1223" s="98"/>
      <c r="BF1223" s="98"/>
      <c r="BH1223" s="98"/>
      <c r="BJ1223" s="98"/>
      <c r="BL1223" s="98"/>
      <c r="BN1223" s="98"/>
      <c r="BP1223" s="98"/>
      <c r="BR1223" s="98"/>
    </row>
    <row r="1224" spans="1:70">
      <c r="A1224" s="99"/>
      <c r="AZ1224" s="98"/>
      <c r="BB1224" s="98"/>
      <c r="BD1224" s="98"/>
      <c r="BF1224" s="98"/>
      <c r="BH1224" s="98"/>
      <c r="BJ1224" s="98"/>
      <c r="BL1224" s="98"/>
      <c r="BN1224" s="98"/>
      <c r="BP1224" s="98"/>
      <c r="BR1224" s="98"/>
    </row>
    <row r="1225" spans="1:70">
      <c r="A1225" s="99"/>
      <c r="AZ1225" s="98"/>
      <c r="BB1225" s="98"/>
      <c r="BD1225" s="98"/>
      <c r="BF1225" s="98"/>
      <c r="BH1225" s="98"/>
      <c r="BJ1225" s="98"/>
      <c r="BL1225" s="98"/>
      <c r="BN1225" s="98"/>
      <c r="BP1225" s="98"/>
      <c r="BR1225" s="98"/>
    </row>
    <row r="1226" spans="1:70">
      <c r="A1226" s="99"/>
      <c r="AZ1226" s="98"/>
      <c r="BB1226" s="98"/>
      <c r="BD1226" s="98"/>
      <c r="BF1226" s="98"/>
      <c r="BH1226" s="98"/>
      <c r="BJ1226" s="98"/>
      <c r="BL1226" s="98"/>
      <c r="BN1226" s="98"/>
      <c r="BP1226" s="98"/>
      <c r="BR1226" s="98"/>
    </row>
    <row r="1227" spans="1:70">
      <c r="A1227" s="99"/>
      <c r="AZ1227" s="98"/>
      <c r="BB1227" s="98"/>
      <c r="BD1227" s="98"/>
      <c r="BF1227" s="98"/>
      <c r="BH1227" s="98"/>
      <c r="BJ1227" s="98"/>
      <c r="BL1227" s="98"/>
      <c r="BN1227" s="98"/>
      <c r="BP1227" s="98"/>
      <c r="BR1227" s="98"/>
    </row>
    <row r="1228" spans="1:70">
      <c r="A1228" s="99"/>
      <c r="AZ1228" s="98"/>
      <c r="BB1228" s="98"/>
      <c r="BD1228" s="98"/>
      <c r="BF1228" s="98"/>
      <c r="BH1228" s="98"/>
      <c r="BJ1228" s="98"/>
      <c r="BL1228" s="98"/>
      <c r="BN1228" s="98"/>
      <c r="BP1228" s="98"/>
      <c r="BR1228" s="98"/>
    </row>
    <row r="1229" spans="1:70">
      <c r="A1229" s="99"/>
      <c r="AZ1229" s="98"/>
      <c r="BB1229" s="98"/>
      <c r="BD1229" s="98"/>
      <c r="BF1229" s="98"/>
      <c r="BH1229" s="98"/>
      <c r="BJ1229" s="98"/>
      <c r="BL1229" s="98"/>
      <c r="BN1229" s="98"/>
      <c r="BP1229" s="98"/>
      <c r="BR1229" s="98"/>
    </row>
    <row r="1230" spans="1:70">
      <c r="A1230" s="99"/>
      <c r="AZ1230" s="98"/>
      <c r="BB1230" s="98"/>
      <c r="BD1230" s="98"/>
      <c r="BF1230" s="98"/>
      <c r="BH1230" s="98"/>
      <c r="BJ1230" s="98"/>
      <c r="BL1230" s="98"/>
      <c r="BN1230" s="98"/>
      <c r="BP1230" s="98"/>
      <c r="BR1230" s="98"/>
    </row>
    <row r="1231" spans="1:70">
      <c r="A1231" s="99"/>
      <c r="AZ1231" s="98"/>
      <c r="BB1231" s="98"/>
      <c r="BD1231" s="98"/>
      <c r="BF1231" s="98"/>
      <c r="BH1231" s="98"/>
      <c r="BJ1231" s="98"/>
      <c r="BL1231" s="98"/>
      <c r="BN1231" s="98"/>
      <c r="BP1231" s="98"/>
      <c r="BR1231" s="98"/>
    </row>
    <row r="1232" spans="1:70">
      <c r="A1232" s="99"/>
      <c r="AZ1232" s="98"/>
      <c r="BB1232" s="98"/>
      <c r="BD1232" s="98"/>
      <c r="BF1232" s="98"/>
      <c r="BH1232" s="98"/>
      <c r="BJ1232" s="98"/>
      <c r="BL1232" s="98"/>
      <c r="BN1232" s="98"/>
      <c r="BP1232" s="98"/>
      <c r="BR1232" s="98"/>
    </row>
    <row r="1233" spans="1:70">
      <c r="A1233" s="99"/>
      <c r="AZ1233" s="98"/>
      <c r="BB1233" s="98"/>
      <c r="BD1233" s="98"/>
      <c r="BF1233" s="98"/>
      <c r="BH1233" s="98"/>
      <c r="BJ1233" s="98"/>
      <c r="BL1233" s="98"/>
      <c r="BN1233" s="98"/>
      <c r="BP1233" s="98"/>
      <c r="BR1233" s="98"/>
    </row>
    <row r="1234" spans="1:70">
      <c r="A1234" s="99"/>
      <c r="AZ1234" s="98"/>
      <c r="BB1234" s="98"/>
      <c r="BD1234" s="98"/>
      <c r="BF1234" s="98"/>
      <c r="BH1234" s="98"/>
      <c r="BJ1234" s="98"/>
      <c r="BL1234" s="98"/>
      <c r="BN1234" s="98"/>
      <c r="BP1234" s="98"/>
      <c r="BR1234" s="98"/>
    </row>
    <row r="1235" spans="1:70">
      <c r="A1235" s="99"/>
      <c r="AZ1235" s="98"/>
      <c r="BB1235" s="98"/>
      <c r="BD1235" s="98"/>
      <c r="BF1235" s="98"/>
      <c r="BH1235" s="98"/>
      <c r="BJ1235" s="98"/>
      <c r="BL1235" s="98"/>
      <c r="BN1235" s="98"/>
      <c r="BP1235" s="98"/>
      <c r="BR1235" s="98"/>
    </row>
    <row r="1236" spans="1:70">
      <c r="A1236" s="99"/>
      <c r="AZ1236" s="98"/>
      <c r="BB1236" s="98"/>
      <c r="BD1236" s="98"/>
      <c r="BF1236" s="98"/>
      <c r="BH1236" s="98"/>
      <c r="BJ1236" s="98"/>
      <c r="BL1236" s="98"/>
      <c r="BN1236" s="98"/>
      <c r="BP1236" s="98"/>
      <c r="BR1236" s="98"/>
    </row>
    <row r="1237" spans="1:70">
      <c r="A1237" s="99"/>
      <c r="AZ1237" s="98"/>
      <c r="BB1237" s="98"/>
      <c r="BD1237" s="98"/>
      <c r="BF1237" s="98"/>
      <c r="BH1237" s="98"/>
      <c r="BJ1237" s="98"/>
      <c r="BL1237" s="98"/>
      <c r="BN1237" s="98"/>
      <c r="BP1237" s="98"/>
      <c r="BR1237" s="98"/>
    </row>
    <row r="1238" spans="1:70">
      <c r="A1238" s="99"/>
      <c r="AZ1238" s="98"/>
      <c r="BB1238" s="98"/>
      <c r="BD1238" s="98"/>
      <c r="BF1238" s="98"/>
      <c r="BH1238" s="98"/>
      <c r="BJ1238" s="98"/>
      <c r="BL1238" s="98"/>
      <c r="BN1238" s="98"/>
      <c r="BP1238" s="98"/>
      <c r="BR1238" s="98"/>
    </row>
    <row r="1239" spans="1:70">
      <c r="A1239" s="99"/>
      <c r="AZ1239" s="98"/>
      <c r="BB1239" s="98"/>
      <c r="BD1239" s="98"/>
      <c r="BF1239" s="98"/>
      <c r="BH1239" s="98"/>
      <c r="BJ1239" s="98"/>
      <c r="BL1239" s="98"/>
      <c r="BN1239" s="98"/>
      <c r="BP1239" s="98"/>
      <c r="BR1239" s="98"/>
    </row>
    <row r="1240" spans="1:70">
      <c r="A1240" s="99"/>
      <c r="AZ1240" s="98"/>
      <c r="BB1240" s="98"/>
      <c r="BD1240" s="98"/>
      <c r="BF1240" s="98"/>
      <c r="BH1240" s="98"/>
      <c r="BJ1240" s="98"/>
      <c r="BL1240" s="98"/>
      <c r="BN1240" s="98"/>
      <c r="BP1240" s="98"/>
      <c r="BR1240" s="98"/>
    </row>
    <row r="1241" spans="1:70">
      <c r="A1241" s="99"/>
      <c r="AZ1241" s="98"/>
      <c r="BB1241" s="98"/>
      <c r="BD1241" s="98"/>
      <c r="BF1241" s="98"/>
      <c r="BH1241" s="98"/>
      <c r="BJ1241" s="98"/>
      <c r="BL1241" s="98"/>
      <c r="BN1241" s="98"/>
      <c r="BP1241" s="98"/>
      <c r="BR1241" s="98"/>
    </row>
    <row r="1242" spans="1:70">
      <c r="A1242" s="99"/>
      <c r="AZ1242" s="98"/>
      <c r="BB1242" s="98"/>
      <c r="BD1242" s="98"/>
      <c r="BF1242" s="98"/>
      <c r="BH1242" s="98"/>
      <c r="BJ1242" s="98"/>
      <c r="BL1242" s="98"/>
      <c r="BN1242" s="98"/>
      <c r="BP1242" s="98"/>
      <c r="BR1242" s="98"/>
    </row>
    <row r="1243" spans="1:70">
      <c r="A1243" s="99"/>
      <c r="AZ1243" s="98"/>
      <c r="BB1243" s="98"/>
      <c r="BD1243" s="98"/>
      <c r="BF1243" s="98"/>
      <c r="BH1243" s="98"/>
      <c r="BJ1243" s="98"/>
      <c r="BL1243" s="98"/>
      <c r="BN1243" s="98"/>
      <c r="BP1243" s="98"/>
      <c r="BR1243" s="98"/>
    </row>
    <row r="1244" spans="1:70">
      <c r="A1244" s="99"/>
      <c r="AZ1244" s="98"/>
      <c r="BB1244" s="98"/>
      <c r="BD1244" s="98"/>
      <c r="BF1244" s="98"/>
      <c r="BH1244" s="98"/>
      <c r="BJ1244" s="98"/>
      <c r="BL1244" s="98"/>
      <c r="BN1244" s="98"/>
      <c r="BP1244" s="98"/>
      <c r="BR1244" s="98"/>
    </row>
    <row r="1245" spans="1:70">
      <c r="A1245" s="99"/>
      <c r="AZ1245" s="98"/>
      <c r="BB1245" s="98"/>
      <c r="BD1245" s="98"/>
      <c r="BF1245" s="98"/>
      <c r="BH1245" s="98"/>
      <c r="BJ1245" s="98"/>
      <c r="BL1245" s="98"/>
      <c r="BN1245" s="98"/>
      <c r="BP1245" s="98"/>
      <c r="BR1245" s="98"/>
    </row>
    <row r="1246" spans="1:70">
      <c r="A1246" s="99"/>
      <c r="AZ1246" s="98"/>
      <c r="BB1246" s="98"/>
      <c r="BD1246" s="98"/>
      <c r="BF1246" s="98"/>
      <c r="BH1246" s="98"/>
      <c r="BJ1246" s="98"/>
      <c r="BL1246" s="98"/>
      <c r="BN1246" s="98"/>
      <c r="BP1246" s="98"/>
      <c r="BR1246" s="98"/>
    </row>
    <row r="1247" spans="1:70">
      <c r="A1247" s="99"/>
      <c r="AZ1247" s="98"/>
      <c r="BB1247" s="98"/>
      <c r="BD1247" s="98"/>
      <c r="BF1247" s="98"/>
      <c r="BH1247" s="98"/>
      <c r="BJ1247" s="98"/>
      <c r="BL1247" s="98"/>
      <c r="BN1247" s="98"/>
      <c r="BP1247" s="98"/>
      <c r="BR1247" s="98"/>
    </row>
    <row r="1248" spans="1:70">
      <c r="A1248" s="99"/>
      <c r="AZ1248" s="98"/>
      <c r="BB1248" s="98"/>
      <c r="BD1248" s="98"/>
      <c r="BF1248" s="98"/>
      <c r="BH1248" s="98"/>
      <c r="BJ1248" s="98"/>
      <c r="BL1248" s="98"/>
      <c r="BN1248" s="98"/>
      <c r="BP1248" s="98"/>
      <c r="BR1248" s="98"/>
    </row>
    <row r="1249" spans="1:70">
      <c r="A1249" s="99"/>
      <c r="AZ1249" s="98"/>
      <c r="BB1249" s="98"/>
      <c r="BD1249" s="98"/>
      <c r="BF1249" s="98"/>
      <c r="BH1249" s="98"/>
      <c r="BJ1249" s="98"/>
      <c r="BL1249" s="98"/>
      <c r="BN1249" s="98"/>
      <c r="BP1249" s="98"/>
      <c r="BR1249" s="98"/>
    </row>
    <row r="1250" spans="1:70">
      <c r="A1250" s="99"/>
      <c r="AZ1250" s="98"/>
      <c r="BB1250" s="98"/>
      <c r="BD1250" s="98"/>
      <c r="BF1250" s="98"/>
      <c r="BH1250" s="98"/>
      <c r="BJ1250" s="98"/>
      <c r="BL1250" s="98"/>
      <c r="BN1250" s="98"/>
      <c r="BP1250" s="98"/>
      <c r="BR1250" s="98"/>
    </row>
    <row r="1251" spans="1:70">
      <c r="A1251" s="99"/>
      <c r="AZ1251" s="98"/>
      <c r="BB1251" s="98"/>
      <c r="BD1251" s="98"/>
      <c r="BF1251" s="98"/>
      <c r="BH1251" s="98"/>
      <c r="BJ1251" s="98"/>
      <c r="BL1251" s="98"/>
      <c r="BN1251" s="98"/>
      <c r="BP1251" s="98"/>
      <c r="BR1251" s="98"/>
    </row>
    <row r="1252" spans="1:70">
      <c r="A1252" s="99"/>
      <c r="AZ1252" s="98"/>
      <c r="BB1252" s="98"/>
      <c r="BD1252" s="98"/>
      <c r="BF1252" s="98"/>
      <c r="BH1252" s="98"/>
      <c r="BJ1252" s="98"/>
      <c r="BL1252" s="98"/>
      <c r="BN1252" s="98"/>
      <c r="BP1252" s="98"/>
      <c r="BR1252" s="98"/>
    </row>
    <row r="1253" spans="1:70">
      <c r="A1253" s="99"/>
      <c r="AZ1253" s="98"/>
      <c r="BB1253" s="98"/>
      <c r="BD1253" s="98"/>
      <c r="BF1253" s="98"/>
      <c r="BH1253" s="98"/>
      <c r="BJ1253" s="98"/>
      <c r="BL1253" s="98"/>
      <c r="BN1253" s="98"/>
      <c r="BP1253" s="98"/>
      <c r="BR1253" s="98"/>
    </row>
    <row r="1254" spans="1:70">
      <c r="A1254" s="99"/>
      <c r="AZ1254" s="98"/>
      <c r="BB1254" s="98"/>
      <c r="BD1254" s="98"/>
      <c r="BF1254" s="98"/>
      <c r="BH1254" s="98"/>
      <c r="BJ1254" s="98"/>
      <c r="BL1254" s="98"/>
      <c r="BN1254" s="98"/>
      <c r="BP1254" s="98"/>
      <c r="BR1254" s="98"/>
    </row>
    <row r="1255" spans="1:70">
      <c r="A1255" s="99"/>
      <c r="AZ1255" s="98"/>
      <c r="BB1255" s="98"/>
      <c r="BD1255" s="98"/>
      <c r="BF1255" s="98"/>
      <c r="BH1255" s="98"/>
      <c r="BJ1255" s="98"/>
      <c r="BL1255" s="98"/>
      <c r="BN1255" s="98"/>
      <c r="BP1255" s="98"/>
      <c r="BR1255" s="98"/>
    </row>
    <row r="1256" spans="1:70">
      <c r="A1256" s="99"/>
      <c r="AZ1256" s="98"/>
      <c r="BB1256" s="98"/>
      <c r="BD1256" s="98"/>
      <c r="BF1256" s="98"/>
      <c r="BH1256" s="98"/>
      <c r="BJ1256" s="98"/>
      <c r="BL1256" s="98"/>
      <c r="BN1256" s="98"/>
      <c r="BP1256" s="98"/>
      <c r="BR1256" s="98"/>
    </row>
    <row r="1257" spans="1:70">
      <c r="A1257" s="99"/>
      <c r="AZ1257" s="98"/>
      <c r="BB1257" s="98"/>
      <c r="BD1257" s="98"/>
      <c r="BF1257" s="98"/>
      <c r="BH1257" s="98"/>
      <c r="BJ1257" s="98"/>
      <c r="BL1257" s="98"/>
      <c r="BN1257" s="98"/>
      <c r="BP1257" s="98"/>
      <c r="BR1257" s="98"/>
    </row>
    <row r="1258" spans="1:70">
      <c r="A1258" s="99"/>
      <c r="AZ1258" s="98"/>
      <c r="BB1258" s="98"/>
      <c r="BD1258" s="98"/>
      <c r="BF1258" s="98"/>
      <c r="BH1258" s="98"/>
      <c r="BJ1258" s="98"/>
      <c r="BL1258" s="98"/>
      <c r="BN1258" s="98"/>
      <c r="BP1258" s="98"/>
      <c r="BR1258" s="98"/>
    </row>
    <row r="1259" spans="1:70">
      <c r="A1259" s="99"/>
      <c r="AZ1259" s="98"/>
      <c r="BB1259" s="98"/>
      <c r="BD1259" s="98"/>
      <c r="BF1259" s="98"/>
      <c r="BH1259" s="98"/>
      <c r="BJ1259" s="98"/>
      <c r="BL1259" s="98"/>
      <c r="BN1259" s="98"/>
      <c r="BP1259" s="98"/>
      <c r="BR1259" s="98"/>
    </row>
    <row r="1260" spans="1:70">
      <c r="A1260" s="99"/>
      <c r="AZ1260" s="98"/>
      <c r="BB1260" s="98"/>
      <c r="BD1260" s="98"/>
      <c r="BF1260" s="98"/>
      <c r="BH1260" s="98"/>
      <c r="BJ1260" s="98"/>
      <c r="BL1260" s="98"/>
      <c r="BN1260" s="98"/>
      <c r="BP1260" s="98"/>
      <c r="BR1260" s="98"/>
    </row>
    <row r="1261" spans="1:70">
      <c r="A1261" s="99"/>
      <c r="AZ1261" s="98"/>
      <c r="BB1261" s="98"/>
      <c r="BD1261" s="98"/>
      <c r="BF1261" s="98"/>
      <c r="BH1261" s="98"/>
      <c r="BJ1261" s="98"/>
      <c r="BL1261" s="98"/>
      <c r="BN1261" s="98"/>
      <c r="BP1261" s="98"/>
      <c r="BR1261" s="98"/>
    </row>
    <row r="1262" spans="1:70">
      <c r="A1262" s="99"/>
      <c r="AZ1262" s="98"/>
      <c r="BB1262" s="98"/>
      <c r="BD1262" s="98"/>
      <c r="BF1262" s="98"/>
      <c r="BH1262" s="98"/>
      <c r="BJ1262" s="98"/>
      <c r="BL1262" s="98"/>
      <c r="BN1262" s="98"/>
      <c r="BP1262" s="98"/>
      <c r="BR1262" s="98"/>
    </row>
    <row r="1263" spans="1:70">
      <c r="A1263" s="99"/>
      <c r="AZ1263" s="98"/>
      <c r="BB1263" s="98"/>
      <c r="BD1263" s="98"/>
      <c r="BF1263" s="98"/>
      <c r="BH1263" s="98"/>
      <c r="BJ1263" s="98"/>
      <c r="BL1263" s="98"/>
      <c r="BN1263" s="98"/>
      <c r="BP1263" s="98"/>
      <c r="BR1263" s="98"/>
    </row>
    <row r="1264" spans="1:70">
      <c r="A1264" s="99"/>
      <c r="AZ1264" s="98"/>
      <c r="BB1264" s="98"/>
      <c r="BD1264" s="98"/>
      <c r="BF1264" s="98"/>
      <c r="BH1264" s="98"/>
      <c r="BJ1264" s="98"/>
      <c r="BL1264" s="98"/>
      <c r="BN1264" s="98"/>
      <c r="BP1264" s="98"/>
      <c r="BR1264" s="98"/>
    </row>
    <row r="1265" spans="1:70">
      <c r="A1265" s="99"/>
      <c r="AZ1265" s="98"/>
      <c r="BB1265" s="98"/>
      <c r="BD1265" s="98"/>
      <c r="BF1265" s="98"/>
      <c r="BH1265" s="98"/>
      <c r="BJ1265" s="98"/>
      <c r="BL1265" s="98"/>
      <c r="BN1265" s="98"/>
      <c r="BP1265" s="98"/>
      <c r="BR1265" s="98"/>
    </row>
    <row r="1266" spans="1:70">
      <c r="A1266" s="99"/>
      <c r="AZ1266" s="98"/>
      <c r="BB1266" s="98"/>
      <c r="BD1266" s="98"/>
      <c r="BF1266" s="98"/>
      <c r="BH1266" s="98"/>
      <c r="BJ1266" s="98"/>
      <c r="BL1266" s="98"/>
      <c r="BN1266" s="98"/>
      <c r="BP1266" s="98"/>
      <c r="BR1266" s="98"/>
    </row>
    <row r="1267" spans="1:70">
      <c r="A1267" s="99"/>
      <c r="AZ1267" s="98"/>
      <c r="BB1267" s="98"/>
      <c r="BD1267" s="98"/>
      <c r="BF1267" s="98"/>
      <c r="BH1267" s="98"/>
      <c r="BJ1267" s="98"/>
      <c r="BL1267" s="98"/>
      <c r="BN1267" s="98"/>
      <c r="BP1267" s="98"/>
      <c r="BR1267" s="98"/>
    </row>
    <row r="1268" spans="1:70">
      <c r="A1268" s="99"/>
      <c r="AZ1268" s="98"/>
      <c r="BB1268" s="98"/>
      <c r="BD1268" s="98"/>
      <c r="BF1268" s="98"/>
      <c r="BH1268" s="98"/>
      <c r="BJ1268" s="98"/>
      <c r="BL1268" s="98"/>
      <c r="BN1268" s="98"/>
      <c r="BP1268" s="98"/>
      <c r="BR1268" s="98"/>
    </row>
    <row r="1269" spans="1:70">
      <c r="A1269" s="99"/>
      <c r="AZ1269" s="98"/>
      <c r="BB1269" s="98"/>
      <c r="BD1269" s="98"/>
      <c r="BF1269" s="98"/>
      <c r="BH1269" s="98"/>
      <c r="BJ1269" s="98"/>
      <c r="BL1269" s="98"/>
      <c r="BN1269" s="98"/>
      <c r="BP1269" s="98"/>
      <c r="BR1269" s="98"/>
    </row>
    <row r="1270" spans="1:70">
      <c r="A1270" s="99"/>
      <c r="AZ1270" s="98"/>
      <c r="BB1270" s="98"/>
      <c r="BD1270" s="98"/>
      <c r="BF1270" s="98"/>
      <c r="BH1270" s="98"/>
      <c r="BJ1270" s="98"/>
      <c r="BL1270" s="98"/>
      <c r="BN1270" s="98"/>
      <c r="BP1270" s="98"/>
      <c r="BR1270" s="98"/>
    </row>
    <row r="1271" spans="1:70">
      <c r="A1271" s="99"/>
      <c r="AZ1271" s="98"/>
      <c r="BB1271" s="98"/>
      <c r="BD1271" s="98"/>
      <c r="BF1271" s="98"/>
      <c r="BH1271" s="98"/>
      <c r="BJ1271" s="98"/>
      <c r="BL1271" s="98"/>
      <c r="BN1271" s="98"/>
      <c r="BP1271" s="98"/>
      <c r="BR1271" s="98"/>
    </row>
    <row r="1272" spans="1:70">
      <c r="A1272" s="99"/>
      <c r="AZ1272" s="98"/>
      <c r="BB1272" s="98"/>
      <c r="BD1272" s="98"/>
      <c r="BF1272" s="98"/>
      <c r="BH1272" s="98"/>
      <c r="BJ1272" s="98"/>
      <c r="BL1272" s="98"/>
      <c r="BN1272" s="98"/>
      <c r="BP1272" s="98"/>
      <c r="BR1272" s="98"/>
    </row>
    <row r="1273" spans="1:70">
      <c r="A1273" s="99"/>
      <c r="AZ1273" s="98"/>
      <c r="BB1273" s="98"/>
      <c r="BD1273" s="98"/>
      <c r="BF1273" s="98"/>
      <c r="BH1273" s="98"/>
      <c r="BJ1273" s="98"/>
      <c r="BL1273" s="98"/>
      <c r="BN1273" s="98"/>
      <c r="BP1273" s="98"/>
      <c r="BR1273" s="98"/>
    </row>
    <row r="1274" spans="1:70">
      <c r="A1274" s="99"/>
      <c r="AZ1274" s="98"/>
      <c r="BB1274" s="98"/>
      <c r="BD1274" s="98"/>
      <c r="BF1274" s="98"/>
      <c r="BH1274" s="98"/>
      <c r="BJ1274" s="98"/>
      <c r="BL1274" s="98"/>
      <c r="BN1274" s="98"/>
      <c r="BP1274" s="98"/>
      <c r="BR1274" s="98"/>
    </row>
    <row r="1275" spans="1:70">
      <c r="A1275" s="99"/>
      <c r="AZ1275" s="98"/>
      <c r="BB1275" s="98"/>
      <c r="BD1275" s="98"/>
      <c r="BF1275" s="98"/>
      <c r="BH1275" s="98"/>
      <c r="BJ1275" s="98"/>
      <c r="BL1275" s="98"/>
      <c r="BN1275" s="98"/>
      <c r="BP1275" s="98"/>
      <c r="BR1275" s="98"/>
    </row>
    <row r="1276" spans="1:70">
      <c r="A1276" s="99"/>
      <c r="AZ1276" s="98"/>
      <c r="BB1276" s="98"/>
      <c r="BD1276" s="98"/>
      <c r="BF1276" s="98"/>
      <c r="BH1276" s="98"/>
      <c r="BJ1276" s="98"/>
      <c r="BL1276" s="98"/>
      <c r="BN1276" s="98"/>
      <c r="BP1276" s="98"/>
      <c r="BR1276" s="98"/>
    </row>
    <row r="1277" spans="1:70">
      <c r="A1277" s="99"/>
      <c r="AZ1277" s="98"/>
      <c r="BB1277" s="98"/>
      <c r="BD1277" s="98"/>
      <c r="BF1277" s="98"/>
      <c r="BH1277" s="98"/>
      <c r="BJ1277" s="98"/>
      <c r="BL1277" s="98"/>
      <c r="BN1277" s="98"/>
      <c r="BP1277" s="98"/>
      <c r="BR1277" s="98"/>
    </row>
    <row r="1278" spans="1:70">
      <c r="A1278" s="99"/>
      <c r="AZ1278" s="98"/>
      <c r="BB1278" s="98"/>
      <c r="BD1278" s="98"/>
      <c r="BF1278" s="98"/>
      <c r="BH1278" s="98"/>
      <c r="BJ1278" s="98"/>
      <c r="BL1278" s="98"/>
      <c r="BN1278" s="98"/>
      <c r="BP1278" s="98"/>
      <c r="BR1278" s="98"/>
    </row>
    <row r="1279" spans="1:70">
      <c r="A1279" s="99"/>
      <c r="AZ1279" s="98"/>
      <c r="BB1279" s="98"/>
      <c r="BD1279" s="98"/>
      <c r="BF1279" s="98"/>
      <c r="BH1279" s="98"/>
      <c r="BJ1279" s="98"/>
      <c r="BL1279" s="98"/>
      <c r="BN1279" s="98"/>
      <c r="BP1279" s="98"/>
      <c r="BR1279" s="9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1942-48B0-4AA7-B1ED-A97F3BA9856A}">
  <sheetPr codeName="Sheet9"/>
  <dimension ref="A1:I182"/>
  <sheetViews>
    <sheetView workbookViewId="0">
      <pane xSplit="1" ySplit="1" topLeftCell="B170" activePane="bottomRight" state="frozen"/>
      <selection activeCell="D688" sqref="D688"/>
      <selection pane="topRight" activeCell="D688" sqref="D688"/>
      <selection pane="bottomLeft" activeCell="D688" sqref="D688"/>
      <selection pane="bottomRight" activeCell="A181" sqref="A181:XFD183"/>
    </sheetView>
  </sheetViews>
  <sheetFormatPr defaultColWidth="8.85546875" defaultRowHeight="15"/>
  <cols>
    <col min="1" max="1" width="10.140625" bestFit="1" customWidth="1"/>
    <col min="4" max="5" width="11.42578125" customWidth="1"/>
    <col min="6" max="6" width="9.7109375" bestFit="1" customWidth="1"/>
    <col min="7" max="7" width="11.42578125" customWidth="1"/>
  </cols>
  <sheetData>
    <row r="1" spans="1:7" ht="71.25">
      <c r="A1" s="38"/>
      <c r="B1" s="38"/>
      <c r="C1" s="38"/>
      <c r="D1" s="103" t="s">
        <v>400</v>
      </c>
      <c r="E1" s="103" t="s">
        <v>399</v>
      </c>
      <c r="F1" s="103" t="s">
        <v>398</v>
      </c>
      <c r="G1" s="103" t="s">
        <v>388</v>
      </c>
    </row>
    <row r="2" spans="1:7">
      <c r="A2" s="39">
        <v>40269</v>
      </c>
      <c r="B2" s="38">
        <f t="shared" ref="B2:B33" si="0">MONTH(A2)</f>
        <v>4</v>
      </c>
      <c r="C2" s="38">
        <f t="shared" ref="C2:C33" si="1">YEAR(A2)</f>
        <v>2010</v>
      </c>
      <c r="D2" s="104"/>
      <c r="E2" s="104"/>
      <c r="F2" s="104">
        <f>SUMIFS('China Weekly'!$D$2:$D$538,'China Weekly'!$B$2:$B$538,B2,'China Weekly'!$C$2:$C$538,C2)*1000</f>
        <v>2754.1000000000004</v>
      </c>
      <c r="G2" s="104">
        <f t="shared" ref="G2:G33" si="2">F2*12/1000</f>
        <v>33.049200000000006</v>
      </c>
    </row>
    <row r="3" spans="1:7">
      <c r="A3" s="39">
        <v>40299</v>
      </c>
      <c r="B3" s="38">
        <f t="shared" si="0"/>
        <v>5</v>
      </c>
      <c r="C3" s="38">
        <f t="shared" si="1"/>
        <v>2010</v>
      </c>
      <c r="D3" s="104"/>
      <c r="E3" s="104"/>
      <c r="F3" s="104">
        <f>SUMIFS('China Weekly'!$D$2:$D$538,'China Weekly'!$B$2:$B$538,B3,'China Weekly'!$C$2:$C$538,C3)*1000</f>
        <v>4915.05</v>
      </c>
      <c r="G3" s="104">
        <f t="shared" si="2"/>
        <v>58.980600000000003</v>
      </c>
    </row>
    <row r="4" spans="1:7">
      <c r="A4" s="39">
        <v>40330</v>
      </c>
      <c r="B4" s="38">
        <f t="shared" si="0"/>
        <v>6</v>
      </c>
      <c r="C4" s="38">
        <f t="shared" si="1"/>
        <v>2010</v>
      </c>
      <c r="D4" s="104"/>
      <c r="E4" s="104"/>
      <c r="F4" s="104">
        <f>SUMIFS('China Weekly'!$D$2:$D$538,'China Weekly'!$B$2:$B$538,B4,'China Weekly'!$C$2:$C$538,C4)*1000</f>
        <v>4201.1500000000005</v>
      </c>
      <c r="G4" s="104">
        <f t="shared" si="2"/>
        <v>50.413800000000002</v>
      </c>
    </row>
    <row r="5" spans="1:7">
      <c r="A5" s="39">
        <v>40360</v>
      </c>
      <c r="B5" s="38">
        <f t="shared" si="0"/>
        <v>7</v>
      </c>
      <c r="C5" s="38">
        <f t="shared" si="1"/>
        <v>2010</v>
      </c>
      <c r="D5" s="104"/>
      <c r="E5" s="104"/>
      <c r="F5" s="104">
        <f>SUMIFS('China Weekly'!$D$2:$D$538,'China Weekly'!$B$2:$B$538,B5,'China Weekly'!$C$2:$C$538,C5)*1000</f>
        <v>4308.5</v>
      </c>
      <c r="G5" s="104">
        <f t="shared" si="2"/>
        <v>51.701999999999998</v>
      </c>
    </row>
    <row r="6" spans="1:7">
      <c r="A6" s="39">
        <v>40391</v>
      </c>
      <c r="B6" s="38">
        <f t="shared" si="0"/>
        <v>8</v>
      </c>
      <c r="C6" s="38">
        <f t="shared" si="1"/>
        <v>2010</v>
      </c>
      <c r="D6" s="104"/>
      <c r="E6" s="104"/>
      <c r="F6" s="104">
        <f>SUMIFS('China Weekly'!$D$2:$D$538,'China Weekly'!$B$2:$B$538,B6,'China Weekly'!$C$2:$C$538,C6)*1000</f>
        <v>5401.1999999999989</v>
      </c>
      <c r="G6" s="104">
        <f t="shared" si="2"/>
        <v>64.814399999999992</v>
      </c>
    </row>
    <row r="7" spans="1:7">
      <c r="A7" s="39">
        <v>40422</v>
      </c>
      <c r="B7" s="38">
        <f t="shared" si="0"/>
        <v>9</v>
      </c>
      <c r="C7" s="38">
        <f t="shared" si="1"/>
        <v>2010</v>
      </c>
      <c r="D7" s="104"/>
      <c r="E7" s="104"/>
      <c r="F7" s="104">
        <f>SUMIFS('China Weekly'!$D$2:$D$538,'China Weekly'!$B$2:$B$538,B7,'China Weekly'!$C$2:$C$538,C7)*1000</f>
        <v>4358.0000000000009</v>
      </c>
      <c r="G7" s="104">
        <f t="shared" si="2"/>
        <v>52.296000000000014</v>
      </c>
    </row>
    <row r="8" spans="1:7">
      <c r="A8" s="39">
        <v>40452</v>
      </c>
      <c r="B8" s="38">
        <f t="shared" si="0"/>
        <v>10</v>
      </c>
      <c r="C8" s="38">
        <f t="shared" si="1"/>
        <v>2010</v>
      </c>
      <c r="D8" s="104"/>
      <c r="E8" s="104"/>
      <c r="F8" s="104">
        <f>SUMIFS('China Weekly'!$D$2:$D$538,'China Weekly'!$B$2:$B$538,B8,'China Weekly'!$C$2:$C$538,C8)*1000</f>
        <v>4520.4500000000007</v>
      </c>
      <c r="G8" s="104">
        <f t="shared" si="2"/>
        <v>54.245400000000011</v>
      </c>
    </row>
    <row r="9" spans="1:7">
      <c r="A9" s="39">
        <v>40483</v>
      </c>
      <c r="B9" s="38">
        <f t="shared" si="0"/>
        <v>11</v>
      </c>
      <c r="C9" s="38">
        <f t="shared" si="1"/>
        <v>2010</v>
      </c>
      <c r="D9" s="104"/>
      <c r="E9" s="104"/>
      <c r="F9" s="104">
        <f>SUMIFS('China Weekly'!$D$2:$D$538,'China Weekly'!$B$2:$B$538,B9,'China Weekly'!$C$2:$C$538,C9)*1000</f>
        <v>5764.5</v>
      </c>
      <c r="G9" s="104">
        <f t="shared" si="2"/>
        <v>69.174000000000007</v>
      </c>
    </row>
    <row r="10" spans="1:7">
      <c r="A10" s="39">
        <v>40513</v>
      </c>
      <c r="B10" s="38">
        <f t="shared" si="0"/>
        <v>12</v>
      </c>
      <c r="C10" s="38">
        <f t="shared" si="1"/>
        <v>2010</v>
      </c>
      <c r="D10" s="104"/>
      <c r="E10" s="104"/>
      <c r="F10" s="104">
        <f>SUMIFS('China Weekly'!$D$2:$D$538,'China Weekly'!$B$2:$B$538,B10,'China Weekly'!$C$2:$C$538,C10)*1000</f>
        <v>3897</v>
      </c>
      <c r="G10" s="104">
        <f t="shared" si="2"/>
        <v>46.764000000000003</v>
      </c>
    </row>
    <row r="11" spans="1:7">
      <c r="A11" s="39">
        <v>40544</v>
      </c>
      <c r="B11" s="38">
        <f t="shared" si="0"/>
        <v>1</v>
      </c>
      <c r="C11" s="38">
        <f t="shared" si="1"/>
        <v>2011</v>
      </c>
      <c r="D11" s="104"/>
      <c r="E11" s="104"/>
      <c r="F11" s="104">
        <f>SUMIFS('China Weekly'!$D$2:$D$538,'China Weekly'!$B$2:$B$538,B11,'China Weekly'!$C$2:$C$538,C11)*1000</f>
        <v>4205.5750000000007</v>
      </c>
      <c r="G11" s="104">
        <f t="shared" si="2"/>
        <v>50.46690000000001</v>
      </c>
    </row>
    <row r="12" spans="1:7">
      <c r="A12" s="39">
        <v>40575</v>
      </c>
      <c r="B12" s="38">
        <f t="shared" si="0"/>
        <v>2</v>
      </c>
      <c r="C12" s="38">
        <f t="shared" si="1"/>
        <v>2011</v>
      </c>
      <c r="D12" s="104"/>
      <c r="E12" s="104"/>
      <c r="F12" s="104">
        <f>SUMIFS('China Weekly'!$D$2:$D$538,'China Weekly'!$B$2:$B$538,B12,'China Weekly'!$C$2:$C$538,C12)*1000</f>
        <v>3003.82</v>
      </c>
      <c r="G12" s="104">
        <f t="shared" si="2"/>
        <v>36.045840000000005</v>
      </c>
    </row>
    <row r="13" spans="1:7">
      <c r="A13" s="39">
        <v>40603</v>
      </c>
      <c r="B13" s="38">
        <f t="shared" si="0"/>
        <v>3</v>
      </c>
      <c r="C13" s="38">
        <f t="shared" si="1"/>
        <v>2011</v>
      </c>
      <c r="D13" s="104"/>
      <c r="E13" s="104"/>
      <c r="F13" s="104">
        <f>SUMIFS('China Weekly'!$D$2:$D$538,'China Weekly'!$B$2:$B$538,B13,'China Weekly'!$C$2:$C$538,C13)*1000</f>
        <v>3564.85</v>
      </c>
      <c r="G13" s="104">
        <f t="shared" si="2"/>
        <v>42.778199999999998</v>
      </c>
    </row>
    <row r="14" spans="1:7">
      <c r="A14" s="39">
        <v>40634</v>
      </c>
      <c r="B14" s="38">
        <f t="shared" si="0"/>
        <v>4</v>
      </c>
      <c r="C14" s="38">
        <f t="shared" si="1"/>
        <v>2011</v>
      </c>
      <c r="D14" s="104"/>
      <c r="E14" s="104"/>
      <c r="F14" s="104">
        <f>SUMIFS('China Weekly'!$D$2:$D$538,'China Weekly'!$B$2:$B$538,B14,'China Weekly'!$C$2:$C$538,C14)*1000</f>
        <v>3697.8500000000004</v>
      </c>
      <c r="G14" s="104">
        <f t="shared" si="2"/>
        <v>44.374200000000002</v>
      </c>
    </row>
    <row r="15" spans="1:7">
      <c r="A15" s="39">
        <v>40664</v>
      </c>
      <c r="B15" s="38">
        <f t="shared" si="0"/>
        <v>5</v>
      </c>
      <c r="C15" s="38">
        <f t="shared" si="1"/>
        <v>2011</v>
      </c>
      <c r="D15" s="104"/>
      <c r="E15" s="104"/>
      <c r="F15" s="104">
        <f>SUMIFS('China Weekly'!$D$2:$D$538,'China Weekly'!$B$2:$B$538,B15,'China Weekly'!$C$2:$C$538,C15)*1000</f>
        <v>5057.4500000000007</v>
      </c>
      <c r="G15" s="104">
        <f t="shared" si="2"/>
        <v>60.689400000000006</v>
      </c>
    </row>
    <row r="16" spans="1:7">
      <c r="A16" s="39">
        <v>40695</v>
      </c>
      <c r="B16" s="38">
        <f t="shared" si="0"/>
        <v>6</v>
      </c>
      <c r="C16" s="38">
        <f t="shared" si="1"/>
        <v>2011</v>
      </c>
      <c r="D16" s="104"/>
      <c r="E16" s="104"/>
      <c r="F16" s="104">
        <f>SUMIFS('China Weekly'!$D$2:$D$538,'China Weekly'!$B$2:$B$538,B16,'China Weekly'!$C$2:$C$538,C16)*1000</f>
        <v>4190.7999999999993</v>
      </c>
      <c r="G16" s="104">
        <f t="shared" si="2"/>
        <v>50.289599999999993</v>
      </c>
    </row>
    <row r="17" spans="1:7">
      <c r="A17" s="39">
        <v>40725</v>
      </c>
      <c r="B17" s="38">
        <f t="shared" si="0"/>
        <v>7</v>
      </c>
      <c r="C17" s="38">
        <f t="shared" si="1"/>
        <v>2011</v>
      </c>
      <c r="D17" s="104"/>
      <c r="E17" s="104"/>
      <c r="F17" s="104">
        <f>SUMIFS('China Weekly'!$D$2:$D$538,'China Weekly'!$B$2:$B$538,B17,'China Weekly'!$C$2:$C$538,C17)*1000</f>
        <v>4561.6500000000005</v>
      </c>
      <c r="G17" s="104">
        <f t="shared" si="2"/>
        <v>54.739800000000002</v>
      </c>
    </row>
    <row r="18" spans="1:7">
      <c r="A18" s="39">
        <v>40756</v>
      </c>
      <c r="B18" s="38">
        <f t="shared" si="0"/>
        <v>8</v>
      </c>
      <c r="C18" s="38">
        <f t="shared" si="1"/>
        <v>2011</v>
      </c>
      <c r="D18" s="104"/>
      <c r="E18" s="104"/>
      <c r="F18" s="104">
        <f>SUMIFS('China Weekly'!$D$2:$D$538,'China Weekly'!$B$2:$B$538,B18,'China Weekly'!$C$2:$C$538,C18)*1000</f>
        <v>5572.1</v>
      </c>
      <c r="G18" s="104">
        <f t="shared" si="2"/>
        <v>66.865200000000016</v>
      </c>
    </row>
    <row r="19" spans="1:7">
      <c r="A19" s="39">
        <v>40787</v>
      </c>
      <c r="B19" s="38">
        <f t="shared" si="0"/>
        <v>9</v>
      </c>
      <c r="C19" s="38">
        <f t="shared" si="1"/>
        <v>2011</v>
      </c>
      <c r="D19" s="104"/>
      <c r="E19" s="104"/>
      <c r="F19" s="104">
        <f>SUMIFS('China Weekly'!$D$2:$D$538,'China Weekly'!$B$2:$B$538,B19,'China Weekly'!$C$2:$C$538,C19)*1000</f>
        <v>4632.8</v>
      </c>
      <c r="G19" s="104">
        <f t="shared" si="2"/>
        <v>55.593600000000009</v>
      </c>
    </row>
    <row r="20" spans="1:7">
      <c r="A20" s="39">
        <v>40817</v>
      </c>
      <c r="B20" s="38">
        <f t="shared" si="0"/>
        <v>10</v>
      </c>
      <c r="C20" s="38">
        <f t="shared" si="1"/>
        <v>2011</v>
      </c>
      <c r="D20" s="104"/>
      <c r="E20" s="104"/>
      <c r="F20" s="104">
        <f>SUMIFS('China Weekly'!$D$2:$D$538,'China Weekly'!$B$2:$B$538,B20,'China Weekly'!$C$2:$C$538,C20)*1000</f>
        <v>5776.85</v>
      </c>
      <c r="G20" s="104">
        <f t="shared" si="2"/>
        <v>69.322200000000009</v>
      </c>
    </row>
    <row r="21" spans="1:7">
      <c r="A21" s="39">
        <v>40848</v>
      </c>
      <c r="B21" s="38">
        <f t="shared" si="0"/>
        <v>11</v>
      </c>
      <c r="C21" s="38">
        <f t="shared" si="1"/>
        <v>2011</v>
      </c>
      <c r="D21" s="104"/>
      <c r="E21" s="104"/>
      <c r="F21" s="104">
        <f>SUMIFS('China Weekly'!$D$2:$D$538,'China Weekly'!$B$2:$B$538,B21,'China Weekly'!$C$2:$C$538,C21)*1000</f>
        <v>5089.2</v>
      </c>
      <c r="G21" s="104">
        <f t="shared" si="2"/>
        <v>61.070399999999992</v>
      </c>
    </row>
    <row r="22" spans="1:7">
      <c r="A22" s="39">
        <v>40878</v>
      </c>
      <c r="B22" s="38">
        <f t="shared" si="0"/>
        <v>12</v>
      </c>
      <c r="C22" s="38">
        <f t="shared" si="1"/>
        <v>2011</v>
      </c>
      <c r="D22" s="104"/>
      <c r="E22" s="104"/>
      <c r="F22" s="104">
        <f>SUMIFS('China Weekly'!$D$2:$D$538,'China Weekly'!$B$2:$B$538,B22,'China Weekly'!$C$2:$C$538,C22)*1000</f>
        <v>5189.3999999999987</v>
      </c>
      <c r="G22" s="104">
        <f t="shared" si="2"/>
        <v>62.272799999999989</v>
      </c>
    </row>
    <row r="23" spans="1:7">
      <c r="A23" s="39">
        <v>40909</v>
      </c>
      <c r="B23" s="38">
        <f t="shared" si="0"/>
        <v>1</v>
      </c>
      <c r="C23" s="38">
        <f t="shared" si="1"/>
        <v>2012</v>
      </c>
      <c r="D23" s="104"/>
      <c r="E23" s="104"/>
      <c r="F23" s="104">
        <f>SUMIFS('China Weekly'!$D$2:$D$538,'China Weekly'!$B$2:$B$538,B23,'China Weekly'!$C$2:$C$538,C23)*1000</f>
        <v>4410.5</v>
      </c>
      <c r="G23" s="104">
        <f t="shared" si="2"/>
        <v>52.926000000000002</v>
      </c>
    </row>
    <row r="24" spans="1:7">
      <c r="A24" s="39">
        <v>40940</v>
      </c>
      <c r="B24" s="38">
        <f t="shared" si="0"/>
        <v>2</v>
      </c>
      <c r="C24" s="38">
        <f t="shared" si="1"/>
        <v>2012</v>
      </c>
      <c r="D24" s="104"/>
      <c r="E24" s="104"/>
      <c r="F24" s="104">
        <f>SUMIFS('China Weekly'!$D$2:$D$538,'China Weekly'!$B$2:$B$538,B24,'China Weekly'!$C$2:$C$538,C24)*1000</f>
        <v>4783.0499999999993</v>
      </c>
      <c r="G24" s="104">
        <f t="shared" si="2"/>
        <v>57.396599999999992</v>
      </c>
    </row>
    <row r="25" spans="1:7">
      <c r="A25" s="39">
        <v>40969</v>
      </c>
      <c r="B25" s="38">
        <f t="shared" si="0"/>
        <v>3</v>
      </c>
      <c r="C25" s="38">
        <f t="shared" si="1"/>
        <v>2012</v>
      </c>
      <c r="D25" s="104"/>
      <c r="E25" s="104"/>
      <c r="F25" s="104">
        <f>SUMIFS('China Weekly'!$D$2:$D$538,'China Weekly'!$B$2:$B$538,B25,'China Weekly'!$C$2:$C$538,C25)*1000</f>
        <v>4273.0499999999993</v>
      </c>
      <c r="G25" s="104">
        <f t="shared" si="2"/>
        <v>51.276599999999988</v>
      </c>
    </row>
    <row r="26" spans="1:7">
      <c r="A26" s="39">
        <v>41000</v>
      </c>
      <c r="B26" s="38">
        <f t="shared" si="0"/>
        <v>4</v>
      </c>
      <c r="C26" s="38">
        <f t="shared" si="1"/>
        <v>2012</v>
      </c>
      <c r="D26" s="104"/>
      <c r="E26" s="104"/>
      <c r="F26" s="104">
        <f>SUMIFS('China Weekly'!$D$2:$D$538,'China Weekly'!$B$2:$B$538,B26,'China Weekly'!$C$2:$C$538,C26)*1000</f>
        <v>5166.8500000000004</v>
      </c>
      <c r="G26" s="104">
        <f t="shared" si="2"/>
        <v>62.002200000000002</v>
      </c>
    </row>
    <row r="27" spans="1:7">
      <c r="A27" s="39">
        <v>41030</v>
      </c>
      <c r="B27" s="38">
        <f t="shared" si="0"/>
        <v>5</v>
      </c>
      <c r="C27" s="38">
        <f t="shared" si="1"/>
        <v>2012</v>
      </c>
      <c r="D27" s="104"/>
      <c r="E27" s="104"/>
      <c r="F27" s="104">
        <f>SUMIFS('China Weekly'!$D$2:$D$538,'China Weekly'!$B$2:$B$538,B27,'China Weekly'!$C$2:$C$538,C27)*1000</f>
        <v>4521.1500000000005</v>
      </c>
      <c r="G27" s="104">
        <f t="shared" si="2"/>
        <v>54.253800000000005</v>
      </c>
    </row>
    <row r="28" spans="1:7">
      <c r="A28" s="39">
        <v>41061</v>
      </c>
      <c r="B28" s="38">
        <f t="shared" si="0"/>
        <v>6</v>
      </c>
      <c r="C28" s="38">
        <f t="shared" si="1"/>
        <v>2012</v>
      </c>
      <c r="D28" s="104"/>
      <c r="E28" s="104"/>
      <c r="F28" s="104">
        <f>SUMIFS('China Weekly'!$D$2:$D$538,'China Weekly'!$B$2:$B$538,B28,'China Weekly'!$C$2:$C$538,C28)*1000</f>
        <v>4778.4000000000005</v>
      </c>
      <c r="G28" s="104">
        <f t="shared" si="2"/>
        <v>57.340800000000002</v>
      </c>
    </row>
    <row r="29" spans="1:7">
      <c r="A29" s="39">
        <v>41091</v>
      </c>
      <c r="B29" s="38">
        <f t="shared" si="0"/>
        <v>7</v>
      </c>
      <c r="C29" s="38">
        <f t="shared" si="1"/>
        <v>2012</v>
      </c>
      <c r="D29" s="104"/>
      <c r="E29" s="104"/>
      <c r="F29" s="104">
        <f>SUMIFS('China Weekly'!$D$2:$D$538,'China Weekly'!$B$2:$B$538,B29,'China Weekly'!$C$2:$C$538,C29)*1000</f>
        <v>6092.6500000000005</v>
      </c>
      <c r="G29" s="104">
        <f t="shared" si="2"/>
        <v>73.111800000000002</v>
      </c>
    </row>
    <row r="30" spans="1:7">
      <c r="A30" s="39">
        <v>41122</v>
      </c>
      <c r="B30" s="38">
        <f t="shared" si="0"/>
        <v>8</v>
      </c>
      <c r="C30" s="38">
        <f t="shared" si="1"/>
        <v>2012</v>
      </c>
      <c r="D30" s="104"/>
      <c r="E30" s="104"/>
      <c r="F30" s="104">
        <f>SUMIFS('China Weekly'!$D$2:$D$538,'China Weekly'!$B$2:$B$538,B30,'China Weekly'!$C$2:$C$538,C30)*1000</f>
        <v>4906.3999999999996</v>
      </c>
      <c r="G30" s="104">
        <f t="shared" si="2"/>
        <v>58.876799999999996</v>
      </c>
    </row>
    <row r="31" spans="1:7">
      <c r="A31" s="39">
        <v>41153</v>
      </c>
      <c r="B31" s="38">
        <f t="shared" si="0"/>
        <v>9</v>
      </c>
      <c r="C31" s="38">
        <f t="shared" si="1"/>
        <v>2012</v>
      </c>
      <c r="D31" s="104"/>
      <c r="E31" s="104"/>
      <c r="F31" s="104">
        <f>SUMIFS('China Weekly'!$D$2:$D$538,'China Weekly'!$B$2:$B$538,B31,'China Weekly'!$C$2:$C$538,C31)*1000</f>
        <v>5602.07</v>
      </c>
      <c r="G31" s="104">
        <f t="shared" si="2"/>
        <v>67.22484</v>
      </c>
    </row>
    <row r="32" spans="1:7">
      <c r="A32" s="39">
        <v>41183</v>
      </c>
      <c r="B32" s="38">
        <f t="shared" si="0"/>
        <v>10</v>
      </c>
      <c r="C32" s="38">
        <f t="shared" si="1"/>
        <v>2012</v>
      </c>
      <c r="D32" s="104"/>
      <c r="E32" s="104"/>
      <c r="F32" s="104">
        <f>SUMIFS('China Weekly'!$D$2:$D$538,'China Weekly'!$B$2:$B$538,B32,'China Weekly'!$C$2:$C$538,C32)*1000</f>
        <v>5463.55</v>
      </c>
      <c r="G32" s="104">
        <f t="shared" si="2"/>
        <v>65.562600000000003</v>
      </c>
    </row>
    <row r="33" spans="1:7">
      <c r="A33" s="39">
        <v>41214</v>
      </c>
      <c r="B33" s="38">
        <f t="shared" si="0"/>
        <v>11</v>
      </c>
      <c r="C33" s="38">
        <f t="shared" si="1"/>
        <v>2012</v>
      </c>
      <c r="D33" s="104"/>
      <c r="E33" s="104"/>
      <c r="F33" s="104">
        <f>SUMIFS('China Weekly'!$D$2:$D$538,'China Weekly'!$B$2:$B$538,B33,'China Weekly'!$C$2:$C$538,C33)*1000</f>
        <v>4683.6000000000004</v>
      </c>
      <c r="G33" s="104">
        <f t="shared" si="2"/>
        <v>56.203200000000002</v>
      </c>
    </row>
    <row r="34" spans="1:7">
      <c r="A34" s="39">
        <v>41244</v>
      </c>
      <c r="B34" s="38">
        <f t="shared" ref="B34:B65" si="3">MONTH(A34)</f>
        <v>12</v>
      </c>
      <c r="C34" s="38">
        <f t="shared" ref="C34:C65" si="4">YEAR(A34)</f>
        <v>2012</v>
      </c>
      <c r="D34" s="104"/>
      <c r="E34" s="104"/>
      <c r="F34" s="104">
        <f>SUMIFS('China Weekly'!$D$2:$D$538,'China Weekly'!$B$2:$B$538,B34,'China Weekly'!$C$2:$C$538,C34)*1000</f>
        <v>6240.5999999999995</v>
      </c>
      <c r="G34" s="104">
        <f t="shared" ref="G34:G65" si="5">F34*12/1000</f>
        <v>74.887199999999993</v>
      </c>
    </row>
    <row r="35" spans="1:7">
      <c r="A35" s="39">
        <v>41275</v>
      </c>
      <c r="B35" s="38">
        <f t="shared" si="3"/>
        <v>1</v>
      </c>
      <c r="C35" s="38">
        <f t="shared" si="4"/>
        <v>2013</v>
      </c>
      <c r="D35" s="104"/>
      <c r="E35" s="104"/>
      <c r="F35" s="104">
        <f>SUMIFS('China Weekly'!$D$2:$D$538,'China Weekly'!$B$2:$B$538,B35,'China Weekly'!$C$2:$C$538,C35)*1000</f>
        <v>5360.25</v>
      </c>
      <c r="G35" s="104">
        <f t="shared" si="5"/>
        <v>64.322999999999993</v>
      </c>
    </row>
    <row r="36" spans="1:7">
      <c r="A36" s="39">
        <v>41306</v>
      </c>
      <c r="B36" s="38">
        <f t="shared" si="3"/>
        <v>2</v>
      </c>
      <c r="C36" s="38">
        <f t="shared" si="4"/>
        <v>2013</v>
      </c>
      <c r="D36" s="104"/>
      <c r="E36" s="104"/>
      <c r="F36" s="104">
        <f>SUMIFS('China Weekly'!$D$2:$D$538,'China Weekly'!$B$2:$B$538,B36,'China Weekly'!$C$2:$C$538,C36)*1000</f>
        <v>3036.2</v>
      </c>
      <c r="G36" s="104">
        <f t="shared" si="5"/>
        <v>36.434399999999997</v>
      </c>
    </row>
    <row r="37" spans="1:7">
      <c r="A37" s="39">
        <v>41334</v>
      </c>
      <c r="B37" s="38">
        <f t="shared" si="3"/>
        <v>3</v>
      </c>
      <c r="C37" s="38">
        <f t="shared" si="4"/>
        <v>2013</v>
      </c>
      <c r="D37" s="104"/>
      <c r="E37" s="104"/>
      <c r="F37" s="104">
        <f>SUMIFS('China Weekly'!$D$2:$D$538,'China Weekly'!$B$2:$B$538,B37,'China Weekly'!$C$2:$C$538,C37)*1000</f>
        <v>4490.1000000000004</v>
      </c>
      <c r="G37" s="104">
        <f t="shared" si="5"/>
        <v>53.881200000000007</v>
      </c>
    </row>
    <row r="38" spans="1:7">
      <c r="A38" s="39">
        <v>41365</v>
      </c>
      <c r="B38" s="38">
        <f t="shared" si="3"/>
        <v>4</v>
      </c>
      <c r="C38" s="38">
        <f t="shared" si="4"/>
        <v>2013</v>
      </c>
      <c r="D38" s="104"/>
      <c r="E38" s="104"/>
      <c r="F38" s="104">
        <f>SUMIFS('China Weekly'!$D$2:$D$538,'China Weekly'!$B$2:$B$538,B38,'China Weekly'!$C$2:$C$538,C38)*1000</f>
        <v>5403.9000000000005</v>
      </c>
      <c r="G38" s="104">
        <f t="shared" si="5"/>
        <v>64.846800000000002</v>
      </c>
    </row>
    <row r="39" spans="1:7">
      <c r="A39" s="39">
        <v>41395</v>
      </c>
      <c r="B39" s="38">
        <f t="shared" si="3"/>
        <v>5</v>
      </c>
      <c r="C39" s="38">
        <f t="shared" si="4"/>
        <v>2013</v>
      </c>
      <c r="D39" s="104"/>
      <c r="E39" s="104"/>
      <c r="F39" s="104">
        <f>SUMIFS('China Weekly'!$D$2:$D$538,'China Weekly'!$B$2:$B$538,B39,'China Weekly'!$C$2:$C$538,C39)*1000</f>
        <v>4504.3000000000011</v>
      </c>
      <c r="G39" s="104">
        <f t="shared" si="5"/>
        <v>54.051600000000015</v>
      </c>
    </row>
    <row r="40" spans="1:7">
      <c r="A40" s="39">
        <v>41426</v>
      </c>
      <c r="B40" s="38">
        <f t="shared" si="3"/>
        <v>6</v>
      </c>
      <c r="C40" s="38">
        <f t="shared" si="4"/>
        <v>2013</v>
      </c>
      <c r="D40" s="104">
        <f>SUMIFS('China Weekly'!$E$2:$E$538,'China Weekly'!$B$2:$B$538,B40,'China Weekly'!$C$2:$C$538,C40)*1000</f>
        <v>4189.2119999999995</v>
      </c>
      <c r="E40" s="104">
        <f>SUMIFS('China Weekly'!$F$2:$F$538,'China Weekly'!$B$2:$B$538,B40,'China Weekly'!$C$2:$C$538,C40)</f>
        <v>948.50099999999998</v>
      </c>
      <c r="F40" s="104">
        <f>SUMIFS('China Weekly'!$D$2:$D$538,'China Weekly'!$B$2:$B$538,B40,'China Weekly'!$C$2:$C$538,C40)*1000</f>
        <v>5269.45</v>
      </c>
      <c r="G40" s="104">
        <f t="shared" si="5"/>
        <v>63.233399999999996</v>
      </c>
    </row>
    <row r="41" spans="1:7">
      <c r="A41" s="39">
        <v>41456</v>
      </c>
      <c r="B41" s="38">
        <f t="shared" si="3"/>
        <v>7</v>
      </c>
      <c r="C41" s="38">
        <f t="shared" si="4"/>
        <v>2013</v>
      </c>
      <c r="D41" s="104">
        <f>SUMIFS('China Weekly'!$E$2:$E$538,'China Weekly'!$B$2:$B$538,B41,'China Weekly'!$C$2:$C$538,C41)*1000</f>
        <v>5430.5240000000003</v>
      </c>
      <c r="E41" s="104">
        <f>SUMIFS('China Weekly'!$F$2:$F$538,'China Weekly'!$B$2:$B$538,B41,'China Weekly'!$C$2:$C$538,C41)</f>
        <v>1229.5529999999999</v>
      </c>
      <c r="F41" s="104">
        <f>SUMIFS('China Weekly'!$D$2:$D$538,'China Weekly'!$B$2:$B$538,B41,'China Weekly'!$C$2:$C$538,C41)*1000</f>
        <v>6830.8499999999985</v>
      </c>
      <c r="G41" s="104">
        <f t="shared" si="5"/>
        <v>81.970199999999977</v>
      </c>
    </row>
    <row r="42" spans="1:7">
      <c r="A42" s="39">
        <v>41487</v>
      </c>
      <c r="B42" s="38">
        <f t="shared" si="3"/>
        <v>8</v>
      </c>
      <c r="C42" s="38">
        <f t="shared" si="4"/>
        <v>2013</v>
      </c>
      <c r="D42" s="104">
        <f>SUMIFS('China Weekly'!$E$2:$E$538,'China Weekly'!$B$2:$B$538,B42,'China Weekly'!$C$2:$C$538,C42)*1000</f>
        <v>4377.9440000000004</v>
      </c>
      <c r="E42" s="104">
        <f>SUMIFS('China Weekly'!$F$2:$F$538,'China Weekly'!$B$2:$B$538,B42,'China Weekly'!$C$2:$C$538,C42)</f>
        <v>991.23300000000006</v>
      </c>
      <c r="F42" s="104">
        <f>SUMIFS('China Weekly'!$D$2:$D$538,'China Weekly'!$B$2:$B$538,B42,'China Weekly'!$C$2:$C$538,C42)*1000</f>
        <v>5506.85</v>
      </c>
      <c r="G42" s="104">
        <f t="shared" si="5"/>
        <v>66.082200000000014</v>
      </c>
    </row>
    <row r="43" spans="1:7">
      <c r="A43" s="39">
        <v>41518</v>
      </c>
      <c r="B43" s="38">
        <f t="shared" si="3"/>
        <v>9</v>
      </c>
      <c r="C43" s="38">
        <f t="shared" si="4"/>
        <v>2013</v>
      </c>
      <c r="D43" s="104">
        <f>SUMIFS('China Weekly'!$E$2:$E$538,'China Weekly'!$B$2:$B$538,B43,'China Weekly'!$C$2:$C$538,C43)*1000</f>
        <v>5442.5999999999995</v>
      </c>
      <c r="E43" s="104">
        <f>SUMIFS('China Weekly'!$F$2:$F$538,'China Weekly'!$B$2:$B$538,B43,'China Weekly'!$C$2:$C$538,C43)</f>
        <v>1232.2860000000001</v>
      </c>
      <c r="F43" s="104">
        <f>SUMIFS('China Weekly'!$D$2:$D$538,'China Weekly'!$B$2:$B$538,B43,'China Weekly'!$C$2:$C$538,C43)*1000</f>
        <v>6844.04</v>
      </c>
      <c r="G43" s="104">
        <f t="shared" si="5"/>
        <v>82.128479999999996</v>
      </c>
    </row>
    <row r="44" spans="1:7">
      <c r="A44" s="39">
        <v>41548</v>
      </c>
      <c r="B44" s="38">
        <f t="shared" si="3"/>
        <v>10</v>
      </c>
      <c r="C44" s="38">
        <f t="shared" si="4"/>
        <v>2013</v>
      </c>
      <c r="D44" s="104">
        <f>SUMIFS('China Weekly'!$E$2:$E$538,'China Weekly'!$B$2:$B$538,B44,'China Weekly'!$C$2:$C$538,C44)*1000</f>
        <v>4325.9920000000002</v>
      </c>
      <c r="E44" s="104">
        <f>SUMIFS('China Weekly'!$F$2:$F$538,'China Weekly'!$B$2:$B$538,B44,'China Weekly'!$C$2:$C$538,C44)</f>
        <v>979.46999999999991</v>
      </c>
      <c r="F44" s="104">
        <f>SUMIFS('China Weekly'!$D$2:$D$538,'China Weekly'!$B$2:$B$538,B44,'China Weekly'!$C$2:$C$538,C44)*1000</f>
        <v>5446.3</v>
      </c>
      <c r="G44" s="104">
        <f t="shared" si="5"/>
        <v>65.35560000000001</v>
      </c>
    </row>
    <row r="45" spans="1:7">
      <c r="A45" s="39">
        <v>41579</v>
      </c>
      <c r="B45" s="38">
        <f t="shared" si="3"/>
        <v>11</v>
      </c>
      <c r="C45" s="38">
        <f t="shared" si="4"/>
        <v>2013</v>
      </c>
      <c r="D45" s="104">
        <f>SUMIFS('China Weekly'!$E$2:$E$538,'China Weekly'!$B$2:$B$538,B45,'China Weekly'!$C$2:$C$538,C45)*1000</f>
        <v>4394.8620000000001</v>
      </c>
      <c r="E45" s="104">
        <f>SUMIFS('China Weekly'!$F$2:$F$538,'China Weekly'!$B$2:$B$538,B45,'China Weekly'!$C$2:$C$538,C45)</f>
        <v>995.06200000000001</v>
      </c>
      <c r="F45" s="104">
        <f>SUMIFS('China Weekly'!$D$2:$D$538,'China Weekly'!$B$2:$B$538,B45,'China Weekly'!$C$2:$C$538,C45)*1000</f>
        <v>5532.03</v>
      </c>
      <c r="G45" s="104">
        <f t="shared" si="5"/>
        <v>66.384360000000001</v>
      </c>
    </row>
    <row r="46" spans="1:7">
      <c r="A46" s="39">
        <v>41609</v>
      </c>
      <c r="B46" s="38">
        <f t="shared" si="3"/>
        <v>12</v>
      </c>
      <c r="C46" s="38">
        <f t="shared" si="4"/>
        <v>2013</v>
      </c>
      <c r="D46" s="104">
        <f>SUMIFS('China Weekly'!$E$2:$E$538,'China Weekly'!$B$2:$B$538,B46,'China Weekly'!$C$2:$C$538,C46)*1000</f>
        <v>6450.7309999999998</v>
      </c>
      <c r="E46" s="104">
        <f>SUMIFS('China Weekly'!$F$2:$F$538,'China Weekly'!$B$2:$B$538,B46,'China Weekly'!$C$2:$C$538,C46)</f>
        <v>1460.5419999999999</v>
      </c>
      <c r="F46" s="104">
        <f>SUMIFS('China Weekly'!$D$2:$D$538,'China Weekly'!$B$2:$B$538,B46,'China Weekly'!$C$2:$C$538,C46)*1000</f>
        <v>8131.6299999999992</v>
      </c>
      <c r="G46" s="104">
        <f t="shared" si="5"/>
        <v>97.579560000000001</v>
      </c>
    </row>
    <row r="47" spans="1:7">
      <c r="A47" s="39">
        <v>41640</v>
      </c>
      <c r="B47" s="38">
        <f t="shared" si="3"/>
        <v>1</v>
      </c>
      <c r="C47" s="38">
        <f t="shared" si="4"/>
        <v>2014</v>
      </c>
      <c r="D47" s="104">
        <f>SUMIFS('China Weekly'!$E$2:$E$538,'China Weekly'!$B$2:$B$538,B47,'China Weekly'!$C$2:$C$538,C47)*1000</f>
        <v>4316.7300000000005</v>
      </c>
      <c r="E47" s="104">
        <f>SUMIFS('China Weekly'!$F$2:$F$538,'China Weekly'!$B$2:$B$538,B47,'China Weekly'!$C$2:$C$538,C47)</f>
        <v>977.37299999999993</v>
      </c>
      <c r="F47" s="104">
        <f>SUMIFS('China Weekly'!$D$2:$D$538,'China Weekly'!$B$2:$B$538,B47,'China Weekly'!$C$2:$C$538,C47)*1000</f>
        <v>5414.85</v>
      </c>
      <c r="G47" s="104">
        <f t="shared" si="5"/>
        <v>64.978200000000001</v>
      </c>
    </row>
    <row r="48" spans="1:7">
      <c r="A48" s="39">
        <v>41671</v>
      </c>
      <c r="B48" s="38">
        <f t="shared" si="3"/>
        <v>2</v>
      </c>
      <c r="C48" s="38">
        <f t="shared" si="4"/>
        <v>2014</v>
      </c>
      <c r="D48" s="104">
        <f>SUMIFS('China Weekly'!$E$2:$E$538,'China Weekly'!$B$2:$B$538,B48,'China Weekly'!$C$2:$C$538,C48)*1000</f>
        <v>3491.0829999999996</v>
      </c>
      <c r="E48" s="104">
        <f>SUMIFS('China Weekly'!$F$2:$F$538,'China Weekly'!$B$2:$B$538,B48,'China Weekly'!$C$2:$C$538,C48)</f>
        <v>790.43400000000008</v>
      </c>
      <c r="F48" s="104">
        <f>SUMIFS('China Weekly'!$D$2:$D$538,'China Weekly'!$B$2:$B$538,B48,'China Weekly'!$C$2:$C$538,C48)*1000</f>
        <v>4391.3</v>
      </c>
      <c r="G48" s="104">
        <f t="shared" si="5"/>
        <v>52.695600000000006</v>
      </c>
    </row>
    <row r="49" spans="1:7">
      <c r="A49" s="39">
        <v>41699</v>
      </c>
      <c r="B49" s="38">
        <f t="shared" si="3"/>
        <v>3</v>
      </c>
      <c r="C49" s="38">
        <f t="shared" si="4"/>
        <v>2014</v>
      </c>
      <c r="D49" s="104">
        <f>SUMIFS('China Weekly'!$E$2:$E$538,'China Weekly'!$B$2:$B$538,B49,'China Weekly'!$C$2:$C$538,C49)*1000</f>
        <v>4172.0709999999999</v>
      </c>
      <c r="E49" s="104">
        <f>SUMIFS('China Weekly'!$F$2:$F$538,'China Weekly'!$B$2:$B$538,B49,'China Weekly'!$C$2:$C$538,C49)</f>
        <v>1140.3989999999999</v>
      </c>
      <c r="F49" s="104">
        <f>SUMIFS('China Weekly'!$D$2:$D$538,'China Weekly'!$B$2:$B$538,B49,'China Weekly'!$C$2:$C$538,C49)*1000</f>
        <v>6335.5499999999993</v>
      </c>
      <c r="G49" s="104">
        <f t="shared" si="5"/>
        <v>76.026599999999988</v>
      </c>
    </row>
    <row r="50" spans="1:7">
      <c r="A50" s="39">
        <v>41730</v>
      </c>
      <c r="B50" s="38">
        <f t="shared" si="3"/>
        <v>4</v>
      </c>
      <c r="C50" s="38">
        <f t="shared" si="4"/>
        <v>2014</v>
      </c>
      <c r="D50" s="104">
        <f>SUMIFS('China Weekly'!$E$2:$E$538,'China Weekly'!$B$2:$B$538,B50,'China Weekly'!$C$2:$C$538,C50)*1000</f>
        <v>4206.2240000000011</v>
      </c>
      <c r="E50" s="104">
        <f>SUMIFS('China Weekly'!$F$2:$F$538,'China Weekly'!$B$2:$B$538,B50,'China Weekly'!$C$2:$C$538,C50)</f>
        <v>952.35299999999995</v>
      </c>
      <c r="F50" s="104">
        <f>SUMIFS('China Weekly'!$D$2:$D$538,'China Weekly'!$B$2:$B$538,B50,'China Weekly'!$C$2:$C$538,C50)*1000</f>
        <v>5505.0000000000009</v>
      </c>
      <c r="G50" s="104">
        <f t="shared" si="5"/>
        <v>66.060000000000016</v>
      </c>
    </row>
    <row r="51" spans="1:7">
      <c r="A51" s="39">
        <v>41760</v>
      </c>
      <c r="B51" s="38">
        <f t="shared" si="3"/>
        <v>5</v>
      </c>
      <c r="C51" s="38">
        <f t="shared" si="4"/>
        <v>2014</v>
      </c>
      <c r="D51" s="104">
        <f>SUMIFS('China Weekly'!$E$2:$E$538,'China Weekly'!$B$2:$B$538,B51,'China Weekly'!$C$2:$C$538,C51)*1000</f>
        <v>4535.87</v>
      </c>
      <c r="E51" s="104">
        <f>SUMIFS('China Weekly'!$F$2:$F$538,'China Weekly'!$B$2:$B$538,B51,'China Weekly'!$C$2:$C$538,C51)</f>
        <v>1026.9899999999998</v>
      </c>
      <c r="F51" s="104">
        <f>SUMIFS('China Weekly'!$D$2:$D$538,'China Weekly'!$B$2:$B$538,B51,'China Weekly'!$C$2:$C$538,C51)*1000</f>
        <v>5712.9</v>
      </c>
      <c r="G51" s="104">
        <f t="shared" si="5"/>
        <v>68.554799999999986</v>
      </c>
    </row>
    <row r="52" spans="1:7">
      <c r="A52" s="39">
        <v>41791</v>
      </c>
      <c r="B52" s="38">
        <f t="shared" si="3"/>
        <v>6</v>
      </c>
      <c r="C52" s="38">
        <f t="shared" si="4"/>
        <v>2014</v>
      </c>
      <c r="D52" s="104">
        <f>SUMIFS('China Weekly'!$E$2:$E$538,'China Weekly'!$B$2:$B$538,B52,'China Weekly'!$C$2:$C$538,C52)*1000</f>
        <v>5736.5599999999995</v>
      </c>
      <c r="E52" s="104">
        <f>SUMIFS('China Weekly'!$F$2:$F$538,'China Weekly'!$B$2:$B$538,B52,'China Weekly'!$C$2:$C$538,C52)</f>
        <v>1298.8440000000001</v>
      </c>
      <c r="F52" s="104">
        <f>SUMIFS('China Weekly'!$D$2:$D$538,'China Weekly'!$B$2:$B$538,B52,'China Weekly'!$C$2:$C$538,C52)*1000</f>
        <v>7215.8000000000011</v>
      </c>
      <c r="G52" s="104">
        <f t="shared" si="5"/>
        <v>86.589600000000004</v>
      </c>
    </row>
    <row r="53" spans="1:7">
      <c r="A53" s="39">
        <v>41821</v>
      </c>
      <c r="B53" s="38">
        <f t="shared" si="3"/>
        <v>7</v>
      </c>
      <c r="C53" s="38">
        <f t="shared" si="4"/>
        <v>2014</v>
      </c>
      <c r="D53" s="104">
        <f>SUMIFS('China Weekly'!$E$2:$E$538,'China Weekly'!$B$2:$B$538,B53,'China Weekly'!$C$2:$C$538,C53)*1000</f>
        <v>4439.3180000000002</v>
      </c>
      <c r="E53" s="104">
        <f>SUMIFS('China Weekly'!$F$2:$F$538,'China Weekly'!$B$2:$B$538,B53,'China Weekly'!$C$2:$C$538,C53)</f>
        <v>1005.1289999999999</v>
      </c>
      <c r="F53" s="104">
        <f>SUMIFS('China Weekly'!$D$2:$D$538,'China Weekly'!$B$2:$B$538,B53,'China Weekly'!$C$2:$C$538,C53)*1000</f>
        <v>5584.0499999999993</v>
      </c>
      <c r="G53" s="104">
        <f t="shared" si="5"/>
        <v>67.008599999999987</v>
      </c>
    </row>
    <row r="54" spans="1:7">
      <c r="A54" s="39">
        <v>41852</v>
      </c>
      <c r="B54" s="38">
        <f t="shared" si="3"/>
        <v>8</v>
      </c>
      <c r="C54" s="38">
        <f t="shared" si="4"/>
        <v>2014</v>
      </c>
      <c r="D54" s="104">
        <f>SUMIFS('China Weekly'!$E$2:$E$538,'China Weekly'!$B$2:$B$538,B54,'China Weekly'!$C$2:$C$538,C54)*1000</f>
        <v>4811.3369999999995</v>
      </c>
      <c r="E54" s="104">
        <f>SUMIFS('China Weekly'!$F$2:$F$538,'China Weekly'!$B$2:$B$538,B54,'China Weekly'!$C$2:$C$538,C54)</f>
        <v>1089.3599999999999</v>
      </c>
      <c r="F54" s="104">
        <f>SUMIFS('China Weekly'!$D$2:$D$538,'China Weekly'!$B$2:$B$538,B54,'China Weekly'!$C$2:$C$538,C54)*1000</f>
        <v>6052</v>
      </c>
      <c r="G54" s="104">
        <f t="shared" si="5"/>
        <v>72.623999999999995</v>
      </c>
    </row>
    <row r="55" spans="1:7">
      <c r="A55" s="39">
        <v>41883</v>
      </c>
      <c r="B55" s="38">
        <f t="shared" si="3"/>
        <v>9</v>
      </c>
      <c r="C55" s="38">
        <f t="shared" si="4"/>
        <v>2014</v>
      </c>
      <c r="D55" s="104">
        <f>SUMIFS('China Weekly'!$E$2:$E$538,'China Weekly'!$B$2:$B$538,B55,'China Weekly'!$C$2:$C$538,C55)*1000</f>
        <v>5466.8549999999987</v>
      </c>
      <c r="E55" s="104">
        <f>SUMIFS('China Weekly'!$F$2:$F$538,'China Weekly'!$B$2:$B$538,B55,'China Weekly'!$C$2:$C$538,C55)</f>
        <v>1237.279</v>
      </c>
      <c r="F55" s="104">
        <f>SUMIFS('China Weekly'!$D$2:$D$538,'China Weekly'!$B$2:$B$538,B55,'China Weekly'!$C$2:$C$538,C55)*1000</f>
        <v>6876.55</v>
      </c>
      <c r="G55" s="104">
        <f t="shared" si="5"/>
        <v>82.518600000000006</v>
      </c>
    </row>
    <row r="56" spans="1:7">
      <c r="A56" s="39">
        <v>41913</v>
      </c>
      <c r="B56" s="38">
        <f t="shared" si="3"/>
        <v>10</v>
      </c>
      <c r="C56" s="38">
        <f t="shared" si="4"/>
        <v>2014</v>
      </c>
      <c r="D56" s="104">
        <f>SUMIFS('China Weekly'!$E$2:$E$538,'China Weekly'!$B$2:$B$538,B56,'China Weekly'!$C$2:$C$538,C56)*1000</f>
        <v>4377.9040000000005</v>
      </c>
      <c r="E56" s="104">
        <f>SUMIFS('China Weekly'!$F$2:$F$538,'China Weekly'!$B$2:$B$538,B56,'China Weekly'!$C$2:$C$538,C56)</f>
        <v>991.22399999999993</v>
      </c>
      <c r="F56" s="104">
        <f>SUMIFS('China Weekly'!$D$2:$D$538,'China Weekly'!$B$2:$B$538,B56,'China Weekly'!$C$2:$C$538,C56)*1000</f>
        <v>5506.8</v>
      </c>
      <c r="G56" s="104">
        <f t="shared" si="5"/>
        <v>66.081600000000009</v>
      </c>
    </row>
    <row r="57" spans="1:7">
      <c r="A57" s="39">
        <v>41944</v>
      </c>
      <c r="B57" s="38">
        <f t="shared" si="3"/>
        <v>11</v>
      </c>
      <c r="C57" s="38">
        <f t="shared" si="4"/>
        <v>2014</v>
      </c>
      <c r="D57" s="104">
        <f>SUMIFS('China Weekly'!$E$2:$E$538,'China Weekly'!$B$2:$B$538,B57,'China Weekly'!$C$2:$C$538,C57)*1000</f>
        <v>4332.7879999999996</v>
      </c>
      <c r="E57" s="104">
        <f>SUMIFS('China Weekly'!$F$2:$F$538,'China Weekly'!$B$2:$B$538,B57,'China Weekly'!$C$2:$C$538,C57)</f>
        <v>981.00900000000001</v>
      </c>
      <c r="F57" s="104">
        <f>SUMIFS('China Weekly'!$D$2:$D$538,'China Weekly'!$B$2:$B$538,B57,'China Weekly'!$C$2:$C$538,C57)*1000</f>
        <v>5450.05</v>
      </c>
      <c r="G57" s="104">
        <f t="shared" si="5"/>
        <v>65.400600000000011</v>
      </c>
    </row>
    <row r="58" spans="1:7">
      <c r="A58" s="39">
        <v>41974</v>
      </c>
      <c r="B58" s="38">
        <f t="shared" si="3"/>
        <v>12</v>
      </c>
      <c r="C58" s="38">
        <f t="shared" si="4"/>
        <v>2014</v>
      </c>
      <c r="D58" s="104">
        <f>SUMIFS('China Weekly'!$E$2:$E$538,'China Weekly'!$B$2:$B$538,B58,'China Weekly'!$C$2:$C$538,C58)*1000</f>
        <v>5078.8559999999998</v>
      </c>
      <c r="E58" s="104">
        <f>SUMIFS('China Weekly'!$F$2:$F$538,'China Weekly'!$B$2:$B$538,B58,'China Weekly'!$C$2:$C$538,C58)</f>
        <v>1149.93</v>
      </c>
      <c r="F58" s="104">
        <f>SUMIFS('China Weekly'!$D$2:$D$538,'China Weekly'!$B$2:$B$538,B58,'China Weekly'!$C$2:$C$538,C58)*1000</f>
        <v>6388.5</v>
      </c>
      <c r="G58" s="104">
        <f t="shared" si="5"/>
        <v>76.662000000000006</v>
      </c>
    </row>
    <row r="59" spans="1:7">
      <c r="A59" s="39">
        <v>42005</v>
      </c>
      <c r="B59" s="38">
        <f t="shared" si="3"/>
        <v>1</v>
      </c>
      <c r="C59" s="38">
        <f t="shared" si="4"/>
        <v>2015</v>
      </c>
      <c r="D59" s="104">
        <f>SUMIFS('China Weekly'!$E$2:$E$538,'China Weekly'!$B$2:$B$538,B59,'China Weekly'!$C$2:$C$538,C59)*1000</f>
        <v>5263.7330000000002</v>
      </c>
      <c r="E59" s="104">
        <f>SUMIFS('China Weekly'!$F$2:$F$538,'China Weekly'!$B$2:$B$538,B59,'China Weekly'!$C$2:$C$538,C59)</f>
        <v>1191.798</v>
      </c>
      <c r="F59" s="104">
        <f>SUMIFS('China Weekly'!$D$2:$D$538,'China Weekly'!$B$2:$B$538,B59,'China Weekly'!$C$2:$C$538,C59)*1000</f>
        <v>6637.5499999999993</v>
      </c>
      <c r="G59" s="104">
        <f t="shared" si="5"/>
        <v>79.650599999999997</v>
      </c>
    </row>
    <row r="60" spans="1:7">
      <c r="A60" s="39">
        <v>42036</v>
      </c>
      <c r="B60" s="38">
        <f t="shared" si="3"/>
        <v>2</v>
      </c>
      <c r="C60" s="38">
        <f t="shared" si="4"/>
        <v>2015</v>
      </c>
      <c r="D60" s="104">
        <f>SUMIFS('China Weekly'!$E$2:$E$538,'China Weekly'!$B$2:$B$538,B60,'China Weekly'!$C$2:$C$538,C60)*1000</f>
        <v>2744.3389999999999</v>
      </c>
      <c r="E60" s="104">
        <f>SUMIFS('China Weekly'!$F$2:$F$538,'China Weekly'!$B$2:$B$538,B60,'China Weekly'!$C$2:$C$538,C60)</f>
        <v>621.3599999999999</v>
      </c>
      <c r="F60" s="104">
        <f>SUMIFS('China Weekly'!$D$2:$D$538,'China Weekly'!$B$2:$B$538,B60,'China Weekly'!$C$2:$C$538,C60)*1000</f>
        <v>3452</v>
      </c>
      <c r="G60" s="104">
        <f t="shared" si="5"/>
        <v>41.423999999999999</v>
      </c>
    </row>
    <row r="61" spans="1:7">
      <c r="A61" s="39">
        <v>42064</v>
      </c>
      <c r="B61" s="38">
        <f t="shared" si="3"/>
        <v>3</v>
      </c>
      <c r="C61" s="38">
        <f t="shared" si="4"/>
        <v>2015</v>
      </c>
      <c r="D61" s="104">
        <f>SUMIFS('China Weekly'!$E$2:$E$538,'China Weekly'!$B$2:$B$538,B61,'China Weekly'!$C$2:$C$538,C61)*1000</f>
        <v>5512.8859999999995</v>
      </c>
      <c r="E61" s="104">
        <f>SUMIFS('China Weekly'!$F$2:$F$538,'China Weekly'!$B$2:$B$538,B61,'China Weekly'!$C$2:$C$538,C61)</f>
        <v>1248.201</v>
      </c>
      <c r="F61" s="104">
        <f>SUMIFS('China Weekly'!$D$2:$D$538,'China Weekly'!$B$2:$B$538,B61,'China Weekly'!$C$2:$C$538,C61)*1000</f>
        <v>6934.45</v>
      </c>
      <c r="G61" s="104">
        <f t="shared" si="5"/>
        <v>83.213399999999993</v>
      </c>
    </row>
    <row r="62" spans="1:7">
      <c r="A62" s="39">
        <v>42095</v>
      </c>
      <c r="B62" s="38">
        <f t="shared" si="3"/>
        <v>4</v>
      </c>
      <c r="C62" s="38">
        <f t="shared" si="4"/>
        <v>2015</v>
      </c>
      <c r="D62" s="104">
        <f>SUMIFS('China Weekly'!$E$2:$E$538,'China Weekly'!$B$2:$B$538,B62,'China Weekly'!$C$2:$C$538,C62)*1000</f>
        <v>4114.5209999999997</v>
      </c>
      <c r="E62" s="104">
        <f>SUMIFS('China Weekly'!$F$2:$F$538,'China Weekly'!$B$2:$B$538,B62,'China Weekly'!$C$2:$C$538,C62)</f>
        <v>931.59</v>
      </c>
      <c r="F62" s="104">
        <f>SUMIFS('China Weekly'!$D$2:$D$538,'China Weekly'!$B$2:$B$538,B62,'China Weekly'!$C$2:$C$538,C62)*1000</f>
        <v>5171.8999999999996</v>
      </c>
      <c r="G62" s="104">
        <f t="shared" si="5"/>
        <v>62.062799999999996</v>
      </c>
    </row>
    <row r="63" spans="1:7">
      <c r="A63" s="39">
        <v>42125</v>
      </c>
      <c r="B63" s="38">
        <f t="shared" si="3"/>
        <v>5</v>
      </c>
      <c r="C63" s="38">
        <f t="shared" si="4"/>
        <v>2015</v>
      </c>
      <c r="D63" s="104">
        <f>SUMIFS('China Weekly'!$E$2:$E$538,'China Weekly'!$B$2:$B$538,B63,'China Weekly'!$C$2:$C$538,C63)*1000</f>
        <v>5014.62</v>
      </c>
      <c r="E63" s="104">
        <f>SUMIFS('China Weekly'!$F$2:$F$538,'China Weekly'!$B$2:$B$538,B63,'China Weekly'!$C$2:$C$538,C63)</f>
        <v>1135.386</v>
      </c>
      <c r="F63" s="104">
        <f>SUMIFS('China Weekly'!$D$2:$D$538,'China Weekly'!$B$2:$B$538,B63,'China Weekly'!$C$2:$C$538,C63)*1000</f>
        <v>6307.7</v>
      </c>
      <c r="G63" s="104">
        <f t="shared" si="5"/>
        <v>75.692399999999992</v>
      </c>
    </row>
    <row r="64" spans="1:7">
      <c r="A64" s="39">
        <v>42156</v>
      </c>
      <c r="B64" s="38">
        <f t="shared" si="3"/>
        <v>6</v>
      </c>
      <c r="C64" s="38">
        <f t="shared" si="4"/>
        <v>2015</v>
      </c>
      <c r="D64" s="104">
        <f>SUMIFS('China Weekly'!$E$2:$E$538,'China Weekly'!$B$2:$B$538,B64,'China Weekly'!$C$2:$C$538,C64)*1000</f>
        <v>6538.3959999999997</v>
      </c>
      <c r="E64" s="104">
        <f>SUMIFS('China Weekly'!$F$2:$F$538,'China Weekly'!$B$2:$B$538,B64,'China Weekly'!$C$2:$C$538,C64)</f>
        <v>1480.3920000000001</v>
      </c>
      <c r="F64" s="104">
        <f>SUMIFS('China Weekly'!$D$2:$D$538,'China Weekly'!$B$2:$B$538,B64,'China Weekly'!$C$2:$C$538,C64)*1000</f>
        <v>8224.4</v>
      </c>
      <c r="G64" s="104">
        <f t="shared" si="5"/>
        <v>98.692799999999991</v>
      </c>
    </row>
    <row r="65" spans="1:7">
      <c r="A65" s="39">
        <v>42186</v>
      </c>
      <c r="B65" s="38">
        <f t="shared" si="3"/>
        <v>7</v>
      </c>
      <c r="C65" s="38">
        <f t="shared" si="4"/>
        <v>2015</v>
      </c>
      <c r="D65" s="104">
        <f>SUMIFS('China Weekly'!$E$2:$E$538,'China Weekly'!$B$2:$B$538,B65,'China Weekly'!$C$2:$C$538,C65)*1000</f>
        <v>5333.9719999999998</v>
      </c>
      <c r="E65" s="104">
        <f>SUMIFS('China Weekly'!$F$2:$F$538,'China Weekly'!$B$2:$B$538,B65,'China Weekly'!$C$2:$C$538,C65)</f>
        <v>1207.692</v>
      </c>
      <c r="F65" s="104">
        <f>SUMIFS('China Weekly'!$D$2:$D$538,'China Weekly'!$B$2:$B$538,B65,'China Weekly'!$C$2:$C$538,C65)*1000</f>
        <v>6709.4</v>
      </c>
      <c r="G65" s="104">
        <f t="shared" si="5"/>
        <v>80.512799999999984</v>
      </c>
    </row>
    <row r="66" spans="1:7">
      <c r="A66" s="39">
        <v>42217</v>
      </c>
      <c r="B66" s="38">
        <f t="shared" ref="B66:B97" si="6">MONTH(A66)</f>
        <v>8</v>
      </c>
      <c r="C66" s="38">
        <f t="shared" ref="C66:C97" si="7">YEAR(A66)</f>
        <v>2015</v>
      </c>
      <c r="D66" s="104">
        <f>SUMIFS('China Weekly'!$E$2:$E$538,'China Weekly'!$B$2:$B$538,B66,'China Weekly'!$C$2:$C$538,C66)*1000</f>
        <v>6774.273000000001</v>
      </c>
      <c r="E66" s="104">
        <f>SUMIFS('China Weekly'!$F$2:$F$538,'China Weekly'!$B$2:$B$538,B66,'China Weekly'!$C$2:$C$538,C66)</f>
        <v>1533.798</v>
      </c>
      <c r="F66" s="104">
        <f>SUMIFS('China Weekly'!$D$2:$D$538,'China Weekly'!$B$2:$B$538,B66,'China Weekly'!$C$2:$C$538,C66)*1000</f>
        <v>8281.9</v>
      </c>
      <c r="G66" s="104">
        <f t="shared" ref="G66:G97" si="8">F66*12/1000</f>
        <v>99.382799999999989</v>
      </c>
    </row>
    <row r="67" spans="1:7">
      <c r="A67" s="39">
        <v>42248</v>
      </c>
      <c r="B67" s="38">
        <f t="shared" si="6"/>
        <v>9</v>
      </c>
      <c r="C67" s="38">
        <f t="shared" si="7"/>
        <v>2015</v>
      </c>
      <c r="D67" s="104">
        <f>SUMIFS('China Weekly'!$E$2:$E$538,'China Weekly'!$B$2:$B$538,B67,'China Weekly'!$C$2:$C$538,C67)*1000</f>
        <v>5232.3719999999994</v>
      </c>
      <c r="E67" s="104">
        <f>SUMIFS('China Weekly'!$F$2:$F$538,'China Weekly'!$B$2:$B$538,B67,'China Weekly'!$C$2:$C$538,C67)</f>
        <v>1184.6880000000001</v>
      </c>
      <c r="F67" s="104">
        <f>SUMIFS('China Weekly'!$D$2:$D$538,'China Weekly'!$B$2:$B$538,B67,'China Weekly'!$C$2:$C$538,C67)*1000</f>
        <v>6581.5999999999995</v>
      </c>
      <c r="G67" s="104">
        <f t="shared" si="8"/>
        <v>78.979199999999992</v>
      </c>
    </row>
    <row r="68" spans="1:7">
      <c r="A68" s="39">
        <v>42278</v>
      </c>
      <c r="B68" s="38">
        <f t="shared" si="6"/>
        <v>10</v>
      </c>
      <c r="C68" s="38">
        <f t="shared" si="7"/>
        <v>2015</v>
      </c>
      <c r="D68" s="104">
        <f>SUMIFS('China Weekly'!$E$2:$E$538,'China Weekly'!$B$2:$B$538,B68,'China Weekly'!$C$2:$C$538,C68)*1000</f>
        <v>5021.4179999999997</v>
      </c>
      <c r="E68" s="104">
        <f>SUMIFS('China Weekly'!$F$2:$F$538,'China Weekly'!$B$2:$B$538,B68,'China Weekly'!$C$2:$C$538,C68)</f>
        <v>1136.925</v>
      </c>
      <c r="F68" s="104">
        <f>SUMIFS('China Weekly'!$D$2:$D$538,'China Weekly'!$B$2:$B$538,B68,'China Weekly'!$C$2:$C$538,C68)*1000</f>
        <v>6245.8499999999995</v>
      </c>
      <c r="G68" s="104">
        <f t="shared" si="8"/>
        <v>74.950199999999995</v>
      </c>
    </row>
    <row r="69" spans="1:7">
      <c r="A69" s="39">
        <v>42309</v>
      </c>
      <c r="B69" s="38">
        <f t="shared" si="6"/>
        <v>11</v>
      </c>
      <c r="C69" s="38">
        <f t="shared" si="7"/>
        <v>2015</v>
      </c>
      <c r="D69" s="104">
        <f>SUMIFS('China Weekly'!$E$2:$E$538,'China Weekly'!$B$2:$B$538,B69,'China Weekly'!$C$2:$C$538,C69)*1000</f>
        <v>6733.728000000001</v>
      </c>
      <c r="E69" s="104">
        <f>SUMIFS('China Weekly'!$F$2:$F$538,'China Weekly'!$B$2:$B$538,B69,'China Weekly'!$C$2:$C$538,C69)</f>
        <v>1524.6179999999999</v>
      </c>
      <c r="F69" s="104">
        <f>SUMIFS('China Weekly'!$D$2:$D$538,'China Weekly'!$B$2:$B$538,B69,'China Weekly'!$C$2:$C$538,C69)*1000</f>
        <v>8470.1</v>
      </c>
      <c r="G69" s="104">
        <f t="shared" si="8"/>
        <v>101.64120000000001</v>
      </c>
    </row>
    <row r="70" spans="1:7">
      <c r="A70" s="39">
        <v>42339</v>
      </c>
      <c r="B70" s="38">
        <f t="shared" si="6"/>
        <v>12</v>
      </c>
      <c r="C70" s="38">
        <f t="shared" si="7"/>
        <v>2015</v>
      </c>
      <c r="D70" s="104">
        <f>SUMIFS('China Weekly'!$E$2:$E$538,'China Weekly'!$B$2:$B$538,B70,'China Weekly'!$C$2:$C$538,C70)*1000</f>
        <v>5844.72</v>
      </c>
      <c r="E70" s="104">
        <f>SUMIFS('China Weekly'!$F$2:$F$538,'China Weekly'!$B$2:$B$538,B70,'China Weekly'!$C$2:$C$538,C70)</f>
        <v>1323.3429999999998</v>
      </c>
      <c r="F70" s="104">
        <f>SUMIFS('China Weekly'!$D$2:$D$538,'China Weekly'!$B$2:$B$538,B70,'China Weekly'!$C$2:$C$538,C70)*1000</f>
        <v>7351.8499999999995</v>
      </c>
      <c r="G70" s="104">
        <f t="shared" si="8"/>
        <v>88.222200000000001</v>
      </c>
    </row>
    <row r="71" spans="1:7">
      <c r="A71" s="39">
        <v>42370</v>
      </c>
      <c r="B71" s="38">
        <f t="shared" si="6"/>
        <v>1</v>
      </c>
      <c r="C71" s="38">
        <f t="shared" si="7"/>
        <v>2016</v>
      </c>
      <c r="D71" s="104">
        <f>SUMIFS('China Weekly'!$E$2:$E$538,'China Weekly'!$B$2:$B$538,B71,'China Weekly'!$C$2:$C$538,C71)*1000</f>
        <v>5472.0250000000005</v>
      </c>
      <c r="E71" s="104">
        <f>SUMIFS('China Weekly'!$F$2:$F$538,'China Weekly'!$B$2:$B$538,B71,'China Weekly'!$C$2:$C$538,C71)</f>
        <v>1238.9490000000001</v>
      </c>
      <c r="F71" s="104">
        <f>SUMIFS('China Weekly'!$D$2:$D$538,'China Weekly'!$B$2:$B$538,B71,'China Weekly'!$C$2:$C$538,C71)*1000</f>
        <v>6883.05</v>
      </c>
      <c r="G71" s="104">
        <f t="shared" si="8"/>
        <v>82.596600000000009</v>
      </c>
    </row>
    <row r="72" spans="1:7">
      <c r="A72" s="39">
        <v>42401</v>
      </c>
      <c r="B72" s="38">
        <f t="shared" si="6"/>
        <v>2</v>
      </c>
      <c r="C72" s="38">
        <f t="shared" si="7"/>
        <v>2016</v>
      </c>
      <c r="D72" s="104">
        <f>SUMIFS('China Weekly'!$E$2:$E$538,'China Weekly'!$B$2:$B$538,B72,'China Weekly'!$C$2:$C$538,C72)*1000</f>
        <v>3868.4309999999996</v>
      </c>
      <c r="E72" s="104">
        <f>SUMIFS('China Weekly'!$F$2:$F$538,'China Weekly'!$B$2:$B$538,B72,'China Weekly'!$C$2:$C$538,C72)</f>
        <v>875.87099999999998</v>
      </c>
      <c r="F72" s="104">
        <f>SUMIFS('China Weekly'!$D$2:$D$538,'China Weekly'!$B$2:$B$538,B72,'China Weekly'!$C$2:$C$538,C72)*1000</f>
        <v>4865.95</v>
      </c>
      <c r="G72" s="104">
        <f t="shared" si="8"/>
        <v>58.391399999999997</v>
      </c>
    </row>
    <row r="73" spans="1:7">
      <c r="A73" s="39">
        <v>42430</v>
      </c>
      <c r="B73" s="38">
        <f t="shared" si="6"/>
        <v>3</v>
      </c>
      <c r="C73" s="38">
        <f t="shared" si="7"/>
        <v>2016</v>
      </c>
      <c r="D73" s="104">
        <f>SUMIFS('China Weekly'!$E$2:$E$538,'China Weekly'!$B$2:$B$538,B73,'China Weekly'!$C$2:$C$538,C73)*1000</f>
        <v>4659.0764999999992</v>
      </c>
      <c r="E73" s="104">
        <f>SUMIFS('China Weekly'!$F$2:$F$538,'China Weekly'!$B$2:$B$538,B73,'China Weekly'!$C$2:$C$538,C73)</f>
        <v>1054.8854999999999</v>
      </c>
      <c r="F73" s="104">
        <f>SUMIFS('China Weekly'!$D$2:$D$538,'China Weekly'!$B$2:$B$538,B73,'China Weekly'!$C$2:$C$538,C73)*1000</f>
        <v>5859.0750000000007</v>
      </c>
      <c r="G73" s="104">
        <f t="shared" si="8"/>
        <v>70.308900000000008</v>
      </c>
    </row>
    <row r="74" spans="1:7">
      <c r="A74" s="39">
        <v>42461</v>
      </c>
      <c r="B74" s="38">
        <f t="shared" si="6"/>
        <v>4</v>
      </c>
      <c r="C74" s="38">
        <f t="shared" si="7"/>
        <v>2016</v>
      </c>
      <c r="D74" s="104">
        <f>SUMIFS('China Weekly'!$E$2:$E$538,'China Weekly'!$B$2:$B$538,B74,'China Weekly'!$C$2:$C$538,C74)*1000</f>
        <v>4965.9659999999994</v>
      </c>
      <c r="E74" s="104">
        <f>SUMIFS('China Weekly'!$F$2:$F$538,'China Weekly'!$B$2:$B$538,B74,'China Weekly'!$C$2:$C$538,C74)</f>
        <v>1124.3699999999999</v>
      </c>
      <c r="F74" s="104">
        <f>SUMIFS('China Weekly'!$D$2:$D$538,'China Weekly'!$B$2:$B$538,B74,'China Weekly'!$C$2:$C$538,C74)*1000</f>
        <v>6246.5</v>
      </c>
      <c r="G74" s="104">
        <f t="shared" si="8"/>
        <v>74.957999999999998</v>
      </c>
    </row>
    <row r="75" spans="1:7">
      <c r="A75" s="39">
        <v>42491</v>
      </c>
      <c r="B75" s="38">
        <f t="shared" si="6"/>
        <v>5</v>
      </c>
      <c r="C75" s="38">
        <f t="shared" si="7"/>
        <v>2016</v>
      </c>
      <c r="D75" s="104">
        <f>SUMIFS('China Weekly'!$E$2:$E$538,'China Weekly'!$B$2:$B$538,B75,'China Weekly'!$C$2:$C$538,C75)*1000</f>
        <v>6822.4090000000006</v>
      </c>
      <c r="E75" s="104">
        <f>SUMIFS('China Weekly'!$F$2:$F$538,'China Weekly'!$B$2:$B$538,B75,'China Weekly'!$C$2:$C$538,C75)</f>
        <v>1544.6970000000001</v>
      </c>
      <c r="F75" s="104">
        <f>SUMIFS('China Weekly'!$D$2:$D$538,'China Weekly'!$B$2:$B$538,B75,'China Weekly'!$C$2:$C$538,C75)*1000</f>
        <v>8581.6500000000015</v>
      </c>
      <c r="G75" s="104">
        <f t="shared" si="8"/>
        <v>102.97980000000001</v>
      </c>
    </row>
    <row r="76" spans="1:7">
      <c r="A76" s="39">
        <v>42522</v>
      </c>
      <c r="B76" s="38">
        <f t="shared" si="6"/>
        <v>6</v>
      </c>
      <c r="C76" s="38">
        <f t="shared" si="7"/>
        <v>2016</v>
      </c>
      <c r="D76" s="104">
        <f>SUMIFS('China Weekly'!$E$2:$E$538,'China Weekly'!$B$2:$B$538,B76,'China Weekly'!$C$2:$C$538,C76)*1000</f>
        <v>5413.71</v>
      </c>
      <c r="E76" s="104">
        <f>SUMIFS('China Weekly'!$F$2:$F$538,'China Weekly'!$B$2:$B$538,B76,'China Weekly'!$C$2:$C$538,C76)</f>
        <v>1225.7459999999999</v>
      </c>
      <c r="F76" s="104">
        <f>SUMIFS('China Weekly'!$D$2:$D$538,'China Weekly'!$B$2:$B$538,B76,'China Weekly'!$C$2:$C$538,C76)*1000</f>
        <v>6809.7</v>
      </c>
      <c r="G76" s="104">
        <f t="shared" si="8"/>
        <v>81.716399999999993</v>
      </c>
    </row>
    <row r="77" spans="1:7">
      <c r="A77" s="39">
        <v>42552</v>
      </c>
      <c r="B77" s="38">
        <f t="shared" si="6"/>
        <v>7</v>
      </c>
      <c r="C77" s="38">
        <f t="shared" si="7"/>
        <v>2016</v>
      </c>
      <c r="D77" s="104">
        <f>SUMIFS('China Weekly'!$E$2:$E$538,'China Weekly'!$B$2:$B$538,B77,'China Weekly'!$C$2:$C$538,C77)*1000</f>
        <v>5354.18</v>
      </c>
      <c r="E77" s="104">
        <f>SUMIFS('China Weekly'!$F$2:$F$538,'China Weekly'!$B$2:$B$538,B77,'China Weekly'!$C$2:$C$538,C77)</f>
        <v>1212.2669999999998</v>
      </c>
      <c r="F77" s="104">
        <f>SUMIFS('China Weekly'!$D$2:$D$538,'China Weekly'!$B$2:$B$538,B77,'China Weekly'!$C$2:$C$538,C77)*1000</f>
        <v>6734.82</v>
      </c>
      <c r="G77" s="104">
        <f t="shared" si="8"/>
        <v>80.81783999999999</v>
      </c>
    </row>
    <row r="78" spans="1:7">
      <c r="A78" s="39">
        <v>42583</v>
      </c>
      <c r="B78" s="38">
        <f t="shared" si="6"/>
        <v>8</v>
      </c>
      <c r="C78" s="38">
        <f t="shared" si="7"/>
        <v>2016</v>
      </c>
      <c r="D78" s="104">
        <f>SUMIFS('China Weekly'!$E$2:$E$538,'China Weekly'!$B$2:$B$538,B78,'China Weekly'!$C$2:$C$538,C78)*1000</f>
        <v>6489.4639999999999</v>
      </c>
      <c r="E78" s="104">
        <f>SUMIFS('China Weekly'!$F$2:$F$538,'China Weekly'!$B$2:$B$538,B78,'China Weekly'!$C$2:$C$538,C78)</f>
        <v>1482.8129999999999</v>
      </c>
      <c r="F78" s="104">
        <f>SUMIFS('China Weekly'!$D$2:$D$538,'China Weekly'!$B$2:$B$538,B78,'China Weekly'!$C$2:$C$538,C78)*1000</f>
        <v>8213.3000000000011</v>
      </c>
      <c r="G78" s="104">
        <f t="shared" si="8"/>
        <v>98.559600000000003</v>
      </c>
    </row>
    <row r="79" spans="1:7">
      <c r="A79" s="39">
        <v>42614</v>
      </c>
      <c r="B79" s="38">
        <f t="shared" si="6"/>
        <v>9</v>
      </c>
      <c r="C79" s="38">
        <f t="shared" si="7"/>
        <v>2016</v>
      </c>
      <c r="D79" s="104">
        <f>SUMIFS('China Weekly'!$E$2:$E$538,'China Weekly'!$B$2:$B$538,B79,'China Weekly'!$C$2:$C$538,C79)*1000</f>
        <v>5071.7020000000002</v>
      </c>
      <c r="E79" s="104">
        <f>SUMIFS('China Weekly'!$F$2:$F$538,'China Weekly'!$B$2:$B$538,B79,'China Weekly'!$C$2:$C$538,C79)</f>
        <v>1148.31</v>
      </c>
      <c r="F79" s="104">
        <f>SUMIFS('China Weekly'!$D$2:$D$538,'China Weekly'!$B$2:$B$538,B79,'China Weekly'!$C$2:$C$538,C79)*1000</f>
        <v>6379.5</v>
      </c>
      <c r="G79" s="104">
        <f t="shared" si="8"/>
        <v>76.554000000000002</v>
      </c>
    </row>
    <row r="80" spans="1:7">
      <c r="A80" s="39">
        <v>42644</v>
      </c>
      <c r="B80" s="38">
        <f t="shared" si="6"/>
        <v>10</v>
      </c>
      <c r="C80" s="38">
        <f t="shared" si="7"/>
        <v>2016</v>
      </c>
      <c r="D80" s="104">
        <f>SUMIFS('China Weekly'!$E$2:$E$538,'China Weekly'!$B$2:$B$538,B80,'China Weekly'!$C$2:$C$538,C80)*1000</f>
        <v>6455.4364999999998</v>
      </c>
      <c r="E80" s="104">
        <f>SUMIFS('China Weekly'!$F$2:$F$538,'China Weekly'!$B$2:$B$538,B80,'China Weekly'!$C$2:$C$538,C80)</f>
        <v>1461.6089999999999</v>
      </c>
      <c r="F80" s="104">
        <f>SUMIFS('China Weekly'!$D$2:$D$538,'China Weekly'!$B$2:$B$538,B80,'China Weekly'!$C$2:$C$538,C80)*1000</f>
        <v>8219.15</v>
      </c>
      <c r="G80" s="104">
        <f t="shared" si="8"/>
        <v>98.629799999999989</v>
      </c>
    </row>
    <row r="81" spans="1:7">
      <c r="A81" s="39">
        <v>42675</v>
      </c>
      <c r="B81" s="38">
        <f t="shared" si="6"/>
        <v>11</v>
      </c>
      <c r="C81" s="38">
        <f t="shared" si="7"/>
        <v>2016</v>
      </c>
      <c r="D81" s="104">
        <f>SUMIFS('China Weekly'!$E$2:$E$538,'China Weekly'!$B$2:$B$538,B81,'China Weekly'!$C$2:$C$538,C81)*1000</f>
        <v>5740.0770000000002</v>
      </c>
      <c r="E81" s="104">
        <f>SUMIFS('China Weekly'!$F$2:$F$538,'China Weekly'!$B$2:$B$538,B81,'China Weekly'!$C$2:$C$538,C81)</f>
        <v>1299.6405</v>
      </c>
      <c r="F81" s="104">
        <f>SUMIFS('China Weekly'!$D$2:$D$538,'China Weekly'!$B$2:$B$538,B81,'China Weekly'!$C$2:$C$538,C81)*1000</f>
        <v>7227.75</v>
      </c>
      <c r="G81" s="104">
        <f t="shared" si="8"/>
        <v>86.733000000000004</v>
      </c>
    </row>
    <row r="82" spans="1:7">
      <c r="A82" s="39">
        <v>42705</v>
      </c>
      <c r="B82" s="38">
        <f t="shared" si="6"/>
        <v>12</v>
      </c>
      <c r="C82" s="38">
        <f t="shared" si="7"/>
        <v>2016</v>
      </c>
      <c r="D82" s="104">
        <f>SUMIFS('China Weekly'!$E$2:$E$538,'China Weekly'!$B$2:$B$538,B82,'China Weekly'!$C$2:$C$538,C82)*1000</f>
        <v>5995.4509999999991</v>
      </c>
      <c r="E82" s="104">
        <f>SUMIFS('China Weekly'!$F$2:$F$538,'China Weekly'!$B$2:$B$538,B82,'China Weekly'!$C$2:$C$538,C82)</f>
        <v>1357.4609999999998</v>
      </c>
      <c r="F82" s="104">
        <f>SUMIFS('China Weekly'!$D$2:$D$538,'China Weekly'!$B$2:$B$538,B82,'China Weekly'!$C$2:$C$538,C82)*1000</f>
        <v>7541.45</v>
      </c>
      <c r="G82" s="104">
        <f t="shared" si="8"/>
        <v>90.497399999999999</v>
      </c>
    </row>
    <row r="83" spans="1:7">
      <c r="A83" s="39">
        <v>42736</v>
      </c>
      <c r="B83" s="38">
        <f t="shared" si="6"/>
        <v>1</v>
      </c>
      <c r="C83" s="38">
        <f t="shared" si="7"/>
        <v>2017</v>
      </c>
      <c r="D83" s="104">
        <f>SUMIFS('China Weekly'!$E$2:$E$538,'China Weekly'!$B$2:$B$538,B83,'China Weekly'!$C$2:$C$538,C83)*1000</f>
        <v>5374.1600000000008</v>
      </c>
      <c r="E83" s="104">
        <f>SUMIFS('China Weekly'!$F$2:$F$538,'China Weekly'!$B$2:$B$538,B83,'China Weekly'!$C$2:$C$538,C83)</f>
        <v>1216.7909999999999</v>
      </c>
      <c r="F83" s="104">
        <f>SUMIFS('China Weekly'!$D$2:$D$538,'China Weekly'!$B$2:$B$538,B83,'China Weekly'!$C$2:$C$538,C83)*1000</f>
        <v>6759.95</v>
      </c>
      <c r="G83" s="104">
        <f t="shared" si="8"/>
        <v>81.119399999999999</v>
      </c>
    </row>
    <row r="84" spans="1:7">
      <c r="A84" s="39">
        <v>42767</v>
      </c>
      <c r="B84" s="38">
        <f t="shared" si="6"/>
        <v>2</v>
      </c>
      <c r="C84" s="38">
        <f t="shared" si="7"/>
        <v>2017</v>
      </c>
      <c r="D84" s="104">
        <f>SUMIFS('China Weekly'!$E$2:$E$538,'China Weekly'!$B$2:$B$538,B84,'China Weekly'!$C$2:$C$538,C84)*1000</f>
        <v>5186.6589999999997</v>
      </c>
      <c r="E84" s="104">
        <f>SUMIFS('China Weekly'!$F$2:$F$538,'China Weekly'!$B$2:$B$538,B84,'China Weekly'!$C$2:$C$538,C84)</f>
        <v>1174.338</v>
      </c>
      <c r="F84" s="104">
        <f>SUMIFS('China Weekly'!$D$2:$D$538,'China Weekly'!$B$2:$B$538,B84,'China Weekly'!$C$2:$C$538,C84)*1000</f>
        <v>6524.1</v>
      </c>
      <c r="G84" s="104">
        <f t="shared" si="8"/>
        <v>78.289200000000008</v>
      </c>
    </row>
    <row r="85" spans="1:7">
      <c r="A85" s="39">
        <v>42795</v>
      </c>
      <c r="B85" s="38">
        <f t="shared" si="6"/>
        <v>3</v>
      </c>
      <c r="C85" s="38">
        <f t="shared" si="7"/>
        <v>2017</v>
      </c>
      <c r="D85" s="104">
        <f>SUMIFS('China Weekly'!$E$2:$E$538,'China Weekly'!$B$2:$B$538,B85,'China Weekly'!$C$2:$C$538,C85)*1000</f>
        <v>4849.8180000000002</v>
      </c>
      <c r="E85" s="104">
        <f>SUMIFS('China Weekly'!$F$2:$F$538,'China Weekly'!$B$2:$B$538,B85,'China Weekly'!$C$2:$C$538,C85)</f>
        <v>1098.0720000000001</v>
      </c>
      <c r="F85" s="104">
        <f>SUMIFS('China Weekly'!$D$2:$D$538,'China Weekly'!$B$2:$B$538,B85,'China Weekly'!$C$2:$C$538,C85)*1000</f>
        <v>6100.4</v>
      </c>
      <c r="G85" s="104">
        <f t="shared" si="8"/>
        <v>73.204799999999992</v>
      </c>
    </row>
    <row r="86" spans="1:7">
      <c r="A86" s="39">
        <v>42826</v>
      </c>
      <c r="B86" s="38">
        <f t="shared" si="6"/>
        <v>4</v>
      </c>
      <c r="C86" s="38">
        <f t="shared" si="7"/>
        <v>2017</v>
      </c>
      <c r="D86" s="104">
        <f>SUMIFS('China Weekly'!$E$2:$E$538,'China Weekly'!$B$2:$B$538,B86,'China Weekly'!$C$2:$C$538,C86)*1000</f>
        <v>5373.4839999999995</v>
      </c>
      <c r="E86" s="104">
        <f>SUMIFS('China Weekly'!$F$2:$F$538,'China Weekly'!$B$2:$B$538,B86,'China Weekly'!$C$2:$C$538,C86)</f>
        <v>1216.6380000000001</v>
      </c>
      <c r="F86" s="104">
        <f>SUMIFS('China Weekly'!$D$2:$D$538,'China Weekly'!$B$2:$B$538,B86,'China Weekly'!$C$2:$C$538,C86)*1000</f>
        <v>6762.6000000000013</v>
      </c>
      <c r="G86" s="104">
        <f t="shared" si="8"/>
        <v>81.151200000000017</v>
      </c>
    </row>
    <row r="87" spans="1:7">
      <c r="A87" s="39">
        <v>42856</v>
      </c>
      <c r="B87" s="38">
        <f t="shared" si="6"/>
        <v>5</v>
      </c>
      <c r="C87" s="38">
        <f t="shared" si="7"/>
        <v>2017</v>
      </c>
      <c r="D87" s="104">
        <f>SUMIFS('China Weekly'!$E$2:$E$538,'China Weekly'!$B$2:$B$538,B87,'China Weekly'!$C$2:$C$538,C87)*1000</f>
        <v>7185.4470000000001</v>
      </c>
      <c r="E87" s="104">
        <f>SUMIFS('China Weekly'!$F$2:$F$538,'China Weekly'!$B$2:$B$538,B87,'China Weekly'!$C$2:$C$538,C87)</f>
        <v>1626.894</v>
      </c>
      <c r="F87" s="104">
        <f>SUMIFS('China Weekly'!$D$2:$D$538,'China Weekly'!$B$2:$B$538,B87,'China Weekly'!$C$2:$C$538,C87)*1000</f>
        <v>9038.2999999999993</v>
      </c>
      <c r="G87" s="104">
        <f t="shared" si="8"/>
        <v>108.45959999999999</v>
      </c>
    </row>
    <row r="88" spans="1:7">
      <c r="A88" s="39">
        <v>42887</v>
      </c>
      <c r="B88" s="38">
        <f t="shared" si="6"/>
        <v>6</v>
      </c>
      <c r="C88" s="38">
        <f t="shared" si="7"/>
        <v>2017</v>
      </c>
      <c r="D88" s="104">
        <f>SUMIFS('China Weekly'!$E$2:$E$538,'China Weekly'!$B$2:$B$538,B88,'China Weekly'!$C$2:$C$538,C88)*1000</f>
        <v>3769.1414999999997</v>
      </c>
      <c r="E88" s="104">
        <f>SUMIFS('China Weekly'!$F$2:$F$538,'China Weekly'!$B$2:$B$538,B88,'China Weekly'!$C$2:$C$538,C88)</f>
        <v>1282.5989999999999</v>
      </c>
      <c r="F88" s="104">
        <f>SUMIFS('China Weekly'!$D$2:$D$538,'China Weekly'!$B$2:$B$538,B88,'China Weekly'!$C$2:$C$538,C88)*1000</f>
        <v>7136.0500000000011</v>
      </c>
      <c r="G88" s="104">
        <f t="shared" si="8"/>
        <v>85.632600000000011</v>
      </c>
    </row>
    <row r="89" spans="1:7">
      <c r="A89" s="39">
        <v>42917</v>
      </c>
      <c r="B89" s="38">
        <f t="shared" si="6"/>
        <v>7</v>
      </c>
      <c r="C89" s="38">
        <f t="shared" si="7"/>
        <v>2017</v>
      </c>
      <c r="D89" s="104">
        <f>SUMIFS('China Weekly'!$E$2:$E$538,'China Weekly'!$B$2:$B$538,B89,'China Weekly'!$C$2:$C$538,C89)*1000</f>
        <v>7120.0189999999993</v>
      </c>
      <c r="E89" s="104">
        <f>SUMIFS('China Weekly'!$F$2:$F$538,'China Weekly'!$B$2:$B$538,B89,'China Weekly'!$C$2:$C$538,C89)</f>
        <v>1612.0800000000002</v>
      </c>
      <c r="F89" s="104">
        <f>SUMIFS('China Weekly'!$D$2:$D$538,'China Weekly'!$B$2:$B$538,B89,'China Weekly'!$C$2:$C$538,C89)*1000</f>
        <v>8956</v>
      </c>
      <c r="G89" s="104">
        <f t="shared" si="8"/>
        <v>107.47199999999999</v>
      </c>
    </row>
    <row r="90" spans="1:7">
      <c r="A90" s="39">
        <v>42948</v>
      </c>
      <c r="B90" s="38">
        <f t="shared" si="6"/>
        <v>8</v>
      </c>
      <c r="C90" s="38">
        <f t="shared" si="7"/>
        <v>2017</v>
      </c>
      <c r="D90" s="104">
        <f>SUMIFS('China Weekly'!$E$2:$E$538,'China Weekly'!$B$2:$B$538,B90,'China Weekly'!$C$2:$C$538,C90)*1000</f>
        <v>5683.692</v>
      </c>
      <c r="E90" s="104">
        <f>SUMIFS('China Weekly'!$F$2:$F$538,'China Weekly'!$B$2:$B$538,B90,'China Weekly'!$C$2:$C$538,C90)</f>
        <v>1286.874</v>
      </c>
      <c r="F90" s="104">
        <f>SUMIFS('China Weekly'!$D$2:$D$538,'China Weekly'!$B$2:$B$538,B90,'China Weekly'!$C$2:$C$538,C90)*1000</f>
        <v>7149.3</v>
      </c>
      <c r="G90" s="104">
        <f t="shared" si="8"/>
        <v>85.791600000000003</v>
      </c>
    </row>
    <row r="91" spans="1:7">
      <c r="A91" s="39">
        <v>42979</v>
      </c>
      <c r="B91" s="38">
        <f t="shared" si="6"/>
        <v>9</v>
      </c>
      <c r="C91" s="38">
        <f t="shared" si="7"/>
        <v>2017</v>
      </c>
      <c r="D91" s="104">
        <f>SUMIFS('China Weekly'!$E$2:$E$538,'China Weekly'!$B$2:$B$538,B91,'China Weekly'!$C$2:$C$538,C91)*1000</f>
        <v>5987.62</v>
      </c>
      <c r="E91" s="104">
        <f>SUMIFS('China Weekly'!$F$2:$F$538,'China Weekly'!$B$2:$B$538,B91,'China Weekly'!$C$2:$C$538,C91)</f>
        <v>1355.6880000000001</v>
      </c>
      <c r="F91" s="104">
        <f>SUMIFS('China Weekly'!$D$2:$D$538,'China Weekly'!$B$2:$B$538,B91,'China Weekly'!$C$2:$C$538,C91)*1000</f>
        <v>7531.5999999999995</v>
      </c>
      <c r="G91" s="104">
        <f t="shared" si="8"/>
        <v>90.379199999999997</v>
      </c>
    </row>
    <row r="92" spans="1:7">
      <c r="A92" s="39">
        <v>43009</v>
      </c>
      <c r="B92" s="38">
        <f t="shared" si="6"/>
        <v>10</v>
      </c>
      <c r="C92" s="38">
        <f t="shared" si="7"/>
        <v>2017</v>
      </c>
      <c r="D92" s="104">
        <f>SUMIFS('China Weekly'!$E$2:$E$538,'China Weekly'!$B$2:$B$538,B92,'China Weekly'!$C$2:$C$538,C92)*1000</f>
        <v>6777.1755000000003</v>
      </c>
      <c r="E92" s="104">
        <f>SUMIFS('China Weekly'!$F$2:$F$538,'China Weekly'!$B$2:$B$538,B92,'China Weekly'!$C$2:$C$538,C92)</f>
        <v>1534.4550000000002</v>
      </c>
      <c r="F92" s="104">
        <f>SUMIFS('China Weekly'!$D$2:$D$538,'China Weekly'!$B$2:$B$538,B92,'China Weekly'!$C$2:$C$538,C92)*1000</f>
        <v>8524.7500000000018</v>
      </c>
      <c r="G92" s="104">
        <f t="shared" si="8"/>
        <v>102.29700000000003</v>
      </c>
    </row>
    <row r="93" spans="1:7">
      <c r="A93" s="39">
        <v>43040</v>
      </c>
      <c r="B93" s="38">
        <f t="shared" si="6"/>
        <v>11</v>
      </c>
      <c r="C93" s="38">
        <f t="shared" si="7"/>
        <v>2017</v>
      </c>
      <c r="D93" s="104">
        <f>SUMIFS('China Weekly'!$E$2:$E$538,'China Weekly'!$B$2:$B$538,B93,'China Weekly'!$C$2:$C$538,C93)*1000</f>
        <v>5921.3739999999998</v>
      </c>
      <c r="E93" s="104">
        <f>SUMIFS('China Weekly'!$F$2:$F$538,'China Weekly'!$B$2:$B$538,B93,'China Weekly'!$C$2:$C$538,C93)</f>
        <v>1331.6879999999999</v>
      </c>
      <c r="F93" s="104">
        <f>SUMIFS('China Weekly'!$D$2:$D$538,'China Weekly'!$B$2:$B$538,B93,'China Weekly'!$C$2:$C$538,C93)*1000</f>
        <v>7448.2699999999986</v>
      </c>
      <c r="G93" s="104">
        <f t="shared" si="8"/>
        <v>89.379239999999996</v>
      </c>
    </row>
    <row r="94" spans="1:7">
      <c r="A94" s="39">
        <v>43070</v>
      </c>
      <c r="B94" s="38">
        <f t="shared" si="6"/>
        <v>12</v>
      </c>
      <c r="C94" s="38">
        <f t="shared" si="7"/>
        <v>2017</v>
      </c>
      <c r="D94" s="104">
        <f>SUMIFS('China Weekly'!$E$2:$E$538,'China Weekly'!$B$2:$B$538,B94,'China Weekly'!$C$2:$C$538,C94)*1000</f>
        <v>6312.1389999999992</v>
      </c>
      <c r="E94" s="104">
        <f>SUMIFS('China Weekly'!$F$2:$F$538,'China Weekly'!$B$2:$B$538,B94,'China Weekly'!$C$2:$C$538,C94)</f>
        <v>1429.164</v>
      </c>
      <c r="F94" s="104">
        <f>SUMIFS('China Weekly'!$D$2:$D$538,'China Weekly'!$B$2:$B$538,B94,'China Weekly'!$C$2:$C$538,C94)*1000</f>
        <v>7939.8</v>
      </c>
      <c r="G94" s="104">
        <f t="shared" si="8"/>
        <v>95.277600000000007</v>
      </c>
    </row>
    <row r="95" spans="1:7">
      <c r="A95" s="39">
        <v>43101</v>
      </c>
      <c r="B95" s="38">
        <f t="shared" si="6"/>
        <v>1</v>
      </c>
      <c r="C95" s="38">
        <f t="shared" si="7"/>
        <v>2018</v>
      </c>
      <c r="D95" s="104">
        <f>SUMIFS('China Weekly'!$E$2:$E$538,'China Weekly'!$B$2:$B$538,B95,'China Weekly'!$C$2:$C$538,C95)*1000</f>
        <v>7451.558</v>
      </c>
      <c r="E95" s="104">
        <f>SUMIFS('China Weekly'!$F$2:$F$538,'China Weekly'!$B$2:$B$538,B95,'China Weekly'!$C$2:$C$538,C95)</f>
        <v>1684.9259999999999</v>
      </c>
      <c r="F95" s="104">
        <f>SUMIFS('China Weekly'!$D$2:$D$538,'China Weekly'!$B$2:$B$538,B95,'China Weekly'!$C$2:$C$538,C95)*1000</f>
        <v>9360.61</v>
      </c>
      <c r="G95" s="104">
        <f t="shared" si="8"/>
        <v>112.32732</v>
      </c>
    </row>
    <row r="96" spans="1:7">
      <c r="A96" s="39">
        <v>43132</v>
      </c>
      <c r="B96" s="38">
        <f t="shared" si="6"/>
        <v>2</v>
      </c>
      <c r="C96" s="38">
        <f t="shared" si="7"/>
        <v>2018</v>
      </c>
      <c r="D96" s="104">
        <f>SUMIFS('China Weekly'!$E$2:$E$538,'China Weekly'!$B$2:$B$538,B96,'China Weekly'!$C$2:$C$538,C96)*1000</f>
        <v>4548.8895000000002</v>
      </c>
      <c r="E96" s="104">
        <f>SUMIFS('China Weekly'!$F$2:$F$538,'China Weekly'!$B$2:$B$538,B96,'China Weekly'!$C$2:$C$538,C96)</f>
        <v>1029.9374999999998</v>
      </c>
      <c r="F96" s="104">
        <f>SUMIFS('China Weekly'!$D$2:$D$538,'China Weekly'!$B$2:$B$538,B96,'China Weekly'!$C$2:$C$538,C96)*1000</f>
        <v>5721.8750000000009</v>
      </c>
      <c r="G96" s="104">
        <f t="shared" si="8"/>
        <v>68.662500000000009</v>
      </c>
    </row>
    <row r="97" spans="1:7">
      <c r="A97" s="39">
        <v>43160</v>
      </c>
      <c r="B97" s="38">
        <f t="shared" si="6"/>
        <v>3</v>
      </c>
      <c r="C97" s="38">
        <f t="shared" si="7"/>
        <v>2018</v>
      </c>
      <c r="D97" s="104">
        <f>SUMIFS('China Weekly'!$E$2:$E$538,'China Weekly'!$B$2:$B$538,B97,'China Weekly'!$C$2:$C$538,C97)*1000</f>
        <v>5339.14</v>
      </c>
      <c r="E97" s="104">
        <f>SUMIFS('China Weekly'!$F$2:$F$538,'China Weekly'!$B$2:$B$538,B97,'China Weekly'!$C$2:$C$538,C97)</f>
        <v>1208.8620000000001</v>
      </c>
      <c r="F97" s="104">
        <f>SUMIFS('China Weekly'!$D$2:$D$538,'China Weekly'!$B$2:$B$538,B97,'China Weekly'!$C$2:$C$538,C97)*1000</f>
        <v>6715.9</v>
      </c>
      <c r="G97" s="104">
        <f t="shared" si="8"/>
        <v>80.590799999999987</v>
      </c>
    </row>
    <row r="98" spans="1:7">
      <c r="A98" s="39">
        <v>43191</v>
      </c>
      <c r="B98" s="38">
        <f t="shared" ref="B98:B129" si="9">MONTH(A98)</f>
        <v>4</v>
      </c>
      <c r="C98" s="38">
        <f t="shared" ref="C98:C129" si="10">YEAR(A98)</f>
        <v>2018</v>
      </c>
      <c r="D98" s="104">
        <f>SUMIFS('China Weekly'!$E$2:$E$538,'China Weekly'!$B$2:$B$538,B98,'China Weekly'!$C$2:$C$538,C98)*1000</f>
        <v>6402.0545000000002</v>
      </c>
      <c r="E98" s="104">
        <f>SUMIFS('China Weekly'!$F$2:$F$538,'China Weekly'!$B$2:$B$538,B98,'China Weekly'!$C$2:$C$538,C98)</f>
        <v>1449.5219999999999</v>
      </c>
      <c r="F98" s="104">
        <f>SUMIFS('China Weekly'!$D$2:$D$538,'China Weekly'!$B$2:$B$538,B98,'China Weekly'!$C$2:$C$538,C98)*1000</f>
        <v>8052.9</v>
      </c>
      <c r="G98" s="104">
        <f t="shared" ref="G98:G129" si="11">F98*12/1000</f>
        <v>96.634799999999984</v>
      </c>
    </row>
    <row r="99" spans="1:7">
      <c r="A99" s="39">
        <v>43221</v>
      </c>
      <c r="B99" s="38">
        <f t="shared" si="9"/>
        <v>5</v>
      </c>
      <c r="C99" s="38">
        <f t="shared" si="10"/>
        <v>2018</v>
      </c>
      <c r="D99" s="104">
        <f>SUMIFS('China Weekly'!$E$2:$E$538,'China Weekly'!$B$2:$B$538,B99,'China Weekly'!$C$2:$C$538,C99)*1000</f>
        <v>4897.2510000000011</v>
      </c>
      <c r="E99" s="104">
        <f>SUMIFS('China Weekly'!$F$2:$F$538,'China Weekly'!$B$2:$B$538,B99,'China Weekly'!$C$2:$C$538,C99)</f>
        <v>1144.8</v>
      </c>
      <c r="F99" s="104">
        <f>SUMIFS('China Weekly'!$D$2:$D$538,'China Weekly'!$B$2:$B$538,B99,'China Weekly'!$C$2:$C$538,C99)*1000</f>
        <v>6180.4</v>
      </c>
      <c r="G99" s="104">
        <f t="shared" si="11"/>
        <v>74.164799999999985</v>
      </c>
    </row>
    <row r="100" spans="1:7">
      <c r="A100" s="39">
        <v>43252</v>
      </c>
      <c r="B100" s="38">
        <f t="shared" si="9"/>
        <v>6</v>
      </c>
      <c r="C100" s="38">
        <f t="shared" si="10"/>
        <v>2018</v>
      </c>
      <c r="D100" s="104">
        <f>SUMIFS('China Weekly'!$E$2:$E$538,'China Weekly'!$B$2:$B$538,B100,'China Weekly'!$C$2:$C$538,C100)*1000</f>
        <v>5448.2350000000006</v>
      </c>
      <c r="E100" s="104">
        <f>SUMIFS('China Weekly'!$F$2:$F$538,'China Weekly'!$B$2:$B$538,B100,'China Weekly'!$C$2:$C$538,C100)</f>
        <v>1310.335</v>
      </c>
      <c r="F100" s="104">
        <f>SUMIFS('China Weekly'!$D$2:$D$538,'China Weekly'!$B$2:$B$538,B100,'China Weekly'!$C$2:$C$538,C100)*1000</f>
        <v>6896.5</v>
      </c>
      <c r="G100" s="104">
        <f t="shared" si="11"/>
        <v>82.757999999999996</v>
      </c>
    </row>
    <row r="101" spans="1:7">
      <c r="A101" s="39">
        <v>43282</v>
      </c>
      <c r="B101" s="38">
        <f t="shared" si="9"/>
        <v>7</v>
      </c>
      <c r="C101" s="38">
        <f t="shared" si="10"/>
        <v>2018</v>
      </c>
      <c r="D101" s="104">
        <f>SUMIFS('China Weekly'!$E$2:$E$538,'China Weekly'!$B$2:$B$538,B101,'China Weekly'!$C$2:$C$538,C101)*1000</f>
        <v>6893.0649999999996</v>
      </c>
      <c r="E101" s="104">
        <f>SUMIFS('China Weekly'!$F$2:$F$538,'China Weekly'!$B$2:$B$538,B101,'China Weekly'!$C$2:$C$538,C101)</f>
        <v>1657.825</v>
      </c>
      <c r="F101" s="104">
        <f>SUMIFS('China Weekly'!$D$2:$D$538,'China Weekly'!$B$2:$B$538,B101,'China Weekly'!$C$2:$C$538,C101)*1000</f>
        <v>8725.4</v>
      </c>
      <c r="G101" s="104">
        <f t="shared" si="11"/>
        <v>104.70479999999999</v>
      </c>
    </row>
    <row r="102" spans="1:7">
      <c r="A102" s="39">
        <v>43313</v>
      </c>
      <c r="B102" s="38">
        <f t="shared" si="9"/>
        <v>8</v>
      </c>
      <c r="C102" s="38">
        <f t="shared" si="10"/>
        <v>2018</v>
      </c>
      <c r="D102" s="104">
        <f>SUMIFS('China Weekly'!$E$2:$E$538,'China Weekly'!$B$2:$B$538,B102,'China Weekly'!$C$2:$C$538,C102)*1000</f>
        <v>5802.5029999999997</v>
      </c>
      <c r="E102" s="104">
        <f>SUMIFS('China Weekly'!$F$2:$F$538,'China Weekly'!$B$2:$B$538,B102,'China Weekly'!$C$2:$C$538,C102)</f>
        <v>1395.538</v>
      </c>
      <c r="F102" s="104">
        <f>SUMIFS('China Weekly'!$D$2:$D$538,'China Weekly'!$B$2:$B$538,B102,'China Weekly'!$C$2:$C$538,C102)*1000</f>
        <v>7344.9420000000009</v>
      </c>
      <c r="G102" s="104">
        <f t="shared" si="11"/>
        <v>88.13930400000001</v>
      </c>
    </row>
    <row r="103" spans="1:7">
      <c r="A103" s="39">
        <v>43344</v>
      </c>
      <c r="B103" s="38">
        <f t="shared" si="9"/>
        <v>9</v>
      </c>
      <c r="C103" s="38">
        <f t="shared" si="10"/>
        <v>2018</v>
      </c>
      <c r="D103" s="104">
        <f>SUMIFS('China Weekly'!$E$2:$E$538,'China Weekly'!$B$2:$B$538,B103,'China Weekly'!$C$2:$C$538,C103)*1000</f>
        <v>5810.536000000001</v>
      </c>
      <c r="E103" s="104">
        <f>SUMIFS('China Weekly'!$F$2:$F$538,'China Weekly'!$B$2:$B$538,B103,'China Weekly'!$C$2:$C$538,C103)</f>
        <v>1415.0639999999999</v>
      </c>
      <c r="F103" s="104">
        <f>SUMIFS('China Weekly'!$D$2:$D$538,'China Weekly'!$B$2:$B$538,B103,'China Weekly'!$C$2:$C$538,C103)*1000</f>
        <v>7356.1100000000006</v>
      </c>
      <c r="G103" s="104">
        <f t="shared" si="11"/>
        <v>88.273320000000012</v>
      </c>
    </row>
    <row r="104" spans="1:7">
      <c r="A104" s="39">
        <v>43374</v>
      </c>
      <c r="B104" s="38">
        <f t="shared" si="9"/>
        <v>10</v>
      </c>
      <c r="C104" s="38">
        <f t="shared" si="10"/>
        <v>2018</v>
      </c>
      <c r="D104" s="104">
        <f>SUMIFS('China Weekly'!$E$2:$E$538,'China Weekly'!$B$2:$B$538,B104,'China Weekly'!$C$2:$C$538,C104)*1000</f>
        <v>5903.195999999999</v>
      </c>
      <c r="E104" s="104">
        <f>SUMIFS('China Weekly'!$F$2:$F$538,'China Weekly'!$B$2:$B$538,B104,'China Weekly'!$C$2:$C$538,C104)</f>
        <v>1419.7539999999999</v>
      </c>
      <c r="F104" s="104">
        <f>SUMIFS('China Weekly'!$D$2:$D$538,'China Weekly'!$B$2:$B$538,B104,'China Weekly'!$C$2:$C$538,C104)*1000</f>
        <v>7472.4000000000005</v>
      </c>
      <c r="G104" s="104">
        <f t="shared" si="11"/>
        <v>89.668800000000005</v>
      </c>
    </row>
    <row r="105" spans="1:7">
      <c r="A105" s="39">
        <v>43405</v>
      </c>
      <c r="B105" s="38">
        <f t="shared" si="9"/>
        <v>11</v>
      </c>
      <c r="C105" s="38">
        <f t="shared" si="10"/>
        <v>2018</v>
      </c>
      <c r="D105" s="104">
        <f>SUMIFS('China Weekly'!$E$2:$E$538,'China Weekly'!$B$2:$B$538,B105,'China Weekly'!$C$2:$C$538,C105)*1000</f>
        <v>5508.9070000000002</v>
      </c>
      <c r="E105" s="104">
        <f>SUMIFS('China Weekly'!$F$2:$F$538,'China Weekly'!$B$2:$B$538,B105,'China Weekly'!$C$2:$C$538,C105)</f>
        <v>1324.9269999999999</v>
      </c>
      <c r="F105" s="104">
        <f>SUMIFS('China Weekly'!$D$2:$D$538,'China Weekly'!$B$2:$B$538,B105,'China Weekly'!$C$2:$C$538,C105)*1000</f>
        <v>6973.3</v>
      </c>
      <c r="G105" s="104">
        <f t="shared" si="11"/>
        <v>83.679600000000008</v>
      </c>
    </row>
    <row r="106" spans="1:7">
      <c r="A106" s="39">
        <v>43435</v>
      </c>
      <c r="B106" s="38">
        <f t="shared" si="9"/>
        <v>12</v>
      </c>
      <c r="C106" s="38">
        <f t="shared" si="10"/>
        <v>2018</v>
      </c>
      <c r="D106" s="104">
        <f>SUMIFS('China Weekly'!$E$2:$E$538,'China Weekly'!$B$2:$B$538,B106,'China Weekly'!$C$2:$C$538,C106)*1000</f>
        <v>5393.4879999999994</v>
      </c>
      <c r="E106" s="104">
        <f>SUMIFS('China Weekly'!$F$2:$F$538,'China Weekly'!$B$2:$B$538,B106,'China Weekly'!$C$2:$C$538,C106)</f>
        <v>1297.1680000000001</v>
      </c>
      <c r="F106" s="104">
        <f>SUMIFS('China Weekly'!$D$2:$D$538,'China Weekly'!$B$2:$B$538,B106,'China Weekly'!$C$2:$C$538,C106)*1000</f>
        <v>6827.2</v>
      </c>
      <c r="G106" s="104">
        <f t="shared" si="11"/>
        <v>81.926400000000001</v>
      </c>
    </row>
    <row r="107" spans="1:7">
      <c r="A107" s="39">
        <v>43466</v>
      </c>
      <c r="B107" s="38">
        <f t="shared" si="9"/>
        <v>1</v>
      </c>
      <c r="C107" s="38">
        <f t="shared" si="10"/>
        <v>2019</v>
      </c>
      <c r="D107" s="104">
        <f>SUMIFS('China Weekly'!$E$2:$E$538,'China Weekly'!$B$2:$B$538,B107,'China Weekly'!$C$2:$C$538,C107)*1000</f>
        <v>3878.3470000000007</v>
      </c>
      <c r="E107" s="104">
        <f>SUMIFS('China Weekly'!$F$2:$F$538,'China Weekly'!$B$2:$B$538,B107,'China Weekly'!$C$2:$C$538,C107)</f>
        <v>932.76700000000005</v>
      </c>
      <c r="F107" s="104">
        <f>SUMIFS('China Weekly'!$D$2:$D$538,'China Weekly'!$B$2:$B$538,B107,'China Weekly'!$C$2:$C$538,C107)*1000</f>
        <v>4909.3</v>
      </c>
      <c r="G107" s="104">
        <f t="shared" si="11"/>
        <v>58.911600000000007</v>
      </c>
    </row>
    <row r="108" spans="1:7">
      <c r="A108" s="39">
        <v>43497</v>
      </c>
      <c r="B108" s="38">
        <f t="shared" si="9"/>
        <v>2</v>
      </c>
      <c r="C108" s="38">
        <f t="shared" si="10"/>
        <v>2019</v>
      </c>
      <c r="D108" s="104">
        <f>SUMIFS('China Weekly'!$E$2:$E$538,'China Weekly'!$B$2:$B$538,B108,'China Weekly'!$C$2:$C$538,C108)*1000</f>
        <v>2315.8849999999998</v>
      </c>
      <c r="E108" s="104">
        <f>SUMIFS('China Weekly'!$F$2:$F$538,'China Weekly'!$B$2:$B$538,B108,'China Weekly'!$C$2:$C$538,C108)</f>
        <v>596.58500000000004</v>
      </c>
      <c r="F108" s="104">
        <f>SUMIFS('China Weekly'!$D$2:$D$538,'China Weekly'!$B$2:$B$538,B108,'China Weekly'!$C$2:$C$538,C108)*1000</f>
        <v>2931.5</v>
      </c>
      <c r="G108" s="104">
        <f t="shared" si="11"/>
        <v>35.177999999999997</v>
      </c>
    </row>
    <row r="109" spans="1:7">
      <c r="A109" s="39">
        <v>43525</v>
      </c>
      <c r="B109" s="38">
        <f t="shared" si="9"/>
        <v>3</v>
      </c>
      <c r="C109" s="38">
        <f t="shared" si="10"/>
        <v>2019</v>
      </c>
      <c r="D109" s="104">
        <f>SUMIFS('China Weekly'!$E$2:$E$538,'China Weekly'!$B$2:$B$538,B109,'China Weekly'!$C$2:$C$538,C109)*1000</f>
        <v>5044.1099999999997</v>
      </c>
      <c r="E109" s="104">
        <f>SUMIFS('China Weekly'!$F$2:$F$538,'China Weekly'!$B$2:$B$538,B109,'China Weekly'!$C$2:$C$538,C109)</f>
        <v>1213.1399999999999</v>
      </c>
      <c r="F109" s="104">
        <f>SUMIFS('China Weekly'!$D$2:$D$538,'China Weekly'!$B$2:$B$538,B109,'China Weekly'!$C$2:$C$538,C109)*1000</f>
        <v>6384.95</v>
      </c>
      <c r="G109" s="104">
        <f t="shared" si="11"/>
        <v>76.619399999999999</v>
      </c>
    </row>
    <row r="110" spans="1:7">
      <c r="A110" s="39">
        <v>43556</v>
      </c>
      <c r="B110" s="38">
        <f t="shared" si="9"/>
        <v>4</v>
      </c>
      <c r="C110" s="38">
        <f t="shared" si="10"/>
        <v>2019</v>
      </c>
      <c r="D110" s="104">
        <f>SUMIFS('China Weekly'!$E$2:$E$538,'China Weekly'!$B$2:$B$538,B110,'China Weekly'!$C$2:$C$538,C110)*1000</f>
        <v>6670.9160000000011</v>
      </c>
      <c r="E110" s="104">
        <f>SUMIFS('China Weekly'!$F$2:$F$538,'China Weekly'!$B$2:$B$538,B110,'China Weekly'!$C$2:$C$538,C110)</f>
        <v>1604.3959999999997</v>
      </c>
      <c r="F110" s="104">
        <f>SUMIFS('China Weekly'!$D$2:$D$538,'China Weekly'!$B$2:$B$538,B110,'China Weekly'!$C$2:$C$538,C110)*1000</f>
        <v>8444.2000000000007</v>
      </c>
      <c r="G110" s="104">
        <f t="shared" si="11"/>
        <v>101.33040000000001</v>
      </c>
    </row>
    <row r="111" spans="1:7">
      <c r="A111" s="39">
        <v>43586</v>
      </c>
      <c r="B111" s="38">
        <f t="shared" si="9"/>
        <v>5</v>
      </c>
      <c r="C111" s="38">
        <f t="shared" si="10"/>
        <v>2019</v>
      </c>
      <c r="D111" s="104">
        <f>SUMIFS('China Weekly'!$E$2:$E$538,'China Weekly'!$B$2:$B$538,B111,'China Weekly'!$C$2:$C$538,C111)*1000</f>
        <v>5493.9360000000006</v>
      </c>
      <c r="E111" s="104">
        <f>SUMIFS('China Weekly'!$F$2:$F$538,'China Weekly'!$B$2:$B$538,B111,'China Weekly'!$C$2:$C$538,C111)</f>
        <v>1321.326</v>
      </c>
      <c r="F111" s="104">
        <f>SUMIFS('China Weekly'!$D$2:$D$538,'China Weekly'!$B$2:$B$538,B111,'China Weekly'!$C$2:$C$538,C111)*1000</f>
        <v>6954.3499999999995</v>
      </c>
      <c r="G111" s="104">
        <f t="shared" si="11"/>
        <v>83.452199999999991</v>
      </c>
    </row>
    <row r="112" spans="1:7">
      <c r="A112" s="39">
        <v>43617</v>
      </c>
      <c r="B112" s="38">
        <f t="shared" si="9"/>
        <v>6</v>
      </c>
      <c r="C112" s="38">
        <f t="shared" si="10"/>
        <v>2019</v>
      </c>
      <c r="D112" s="104">
        <f>SUMIFS('China Weekly'!$E$2:$E$538,'China Weekly'!$B$2:$B$538,B112,'China Weekly'!$C$2:$C$538,C112)*1000</f>
        <v>5580.2439999999997</v>
      </c>
      <c r="E112" s="104">
        <f>SUMIFS('China Weekly'!$F$2:$F$538,'China Weekly'!$B$2:$B$538,B112,'China Weekly'!$C$2:$C$538,C112)</f>
        <v>1342.0840000000001</v>
      </c>
      <c r="F112" s="104">
        <f>SUMIFS('China Weekly'!$D$2:$D$538,'China Weekly'!$B$2:$B$538,B112,'China Weekly'!$C$2:$C$538,C112)*1000</f>
        <v>7063.6</v>
      </c>
      <c r="G112" s="104">
        <f t="shared" si="11"/>
        <v>84.763200000000012</v>
      </c>
    </row>
    <row r="113" spans="1:7">
      <c r="A113" s="39">
        <v>43647</v>
      </c>
      <c r="B113" s="38">
        <f t="shared" si="9"/>
        <v>7</v>
      </c>
      <c r="C113" s="38">
        <f t="shared" si="10"/>
        <v>2019</v>
      </c>
      <c r="D113" s="104">
        <f>SUMIFS('China Weekly'!$E$2:$E$538,'China Weekly'!$B$2:$B$538,B113,'China Weekly'!$C$2:$C$538,C113)*1000</f>
        <v>6114.9160000000002</v>
      </c>
      <c r="E113" s="104">
        <f>SUMIFS('China Weekly'!$F$2:$F$538,'China Weekly'!$B$2:$B$538,B113,'China Weekly'!$C$2:$C$538,C113)</f>
        <v>1470.6760000000002</v>
      </c>
      <c r="F113" s="104">
        <f>SUMIFS('China Weekly'!$D$2:$D$538,'China Weekly'!$B$2:$B$538,B113,'China Weekly'!$C$2:$C$538,C113)*1000</f>
        <v>7740.4000000000015</v>
      </c>
      <c r="G113" s="104">
        <f t="shared" si="11"/>
        <v>92.884800000000013</v>
      </c>
    </row>
    <row r="114" spans="1:7">
      <c r="A114" s="39">
        <v>43678</v>
      </c>
      <c r="B114" s="38">
        <f t="shared" si="9"/>
        <v>8</v>
      </c>
      <c r="C114" s="38">
        <f t="shared" si="10"/>
        <v>2019</v>
      </c>
      <c r="D114" s="104">
        <f>SUMIFS('China Weekly'!$E$2:$E$538,'China Weekly'!$B$2:$B$538,B114,'China Weekly'!$C$2:$C$538,C114)*1000</f>
        <v>3835.45</v>
      </c>
      <c r="E114" s="104">
        <f>SUMIFS('China Weekly'!$F$2:$F$538,'China Weekly'!$B$2:$B$538,B114,'China Weekly'!$C$2:$C$538,C114)</f>
        <v>922.45</v>
      </c>
      <c r="F114" s="104">
        <f>SUMIFS('China Weekly'!$D$2:$D$538,'China Weekly'!$B$2:$B$538,B114,'China Weekly'!$C$2:$C$538,C114)*1000</f>
        <v>4855</v>
      </c>
      <c r="G114" s="104">
        <f t="shared" si="11"/>
        <v>58.26</v>
      </c>
    </row>
    <row r="115" spans="1:7">
      <c r="A115" s="39">
        <v>43709</v>
      </c>
      <c r="B115" s="38">
        <f t="shared" si="9"/>
        <v>9</v>
      </c>
      <c r="C115" s="38">
        <f t="shared" si="10"/>
        <v>2019</v>
      </c>
      <c r="D115" s="104">
        <f>SUMIFS('China Weekly'!$E$2:$E$538,'China Weekly'!$B$2:$B$538,B115,'China Weekly'!$C$2:$C$538,C115)*1000</f>
        <v>7234.3450000000003</v>
      </c>
      <c r="E115" s="104">
        <f>SUMIFS('China Weekly'!$F$2:$F$538,'China Weekly'!$B$2:$B$538,B115,'China Weekly'!$C$2:$C$538,C115)</f>
        <v>1739.905</v>
      </c>
      <c r="F115" s="104">
        <f>SUMIFS('China Weekly'!$D$2:$D$538,'China Weekly'!$B$2:$B$538,B115,'China Weekly'!$C$2:$C$538,C115)*1000</f>
        <v>9157.4</v>
      </c>
      <c r="G115" s="104">
        <f t="shared" si="11"/>
        <v>109.88879999999999</v>
      </c>
    </row>
    <row r="116" spans="1:7">
      <c r="A116" s="39">
        <v>43739</v>
      </c>
      <c r="B116" s="38">
        <f t="shared" si="9"/>
        <v>10</v>
      </c>
      <c r="C116" s="38">
        <f t="shared" si="10"/>
        <v>2019</v>
      </c>
      <c r="D116" s="104">
        <f>SUMIFS('China Weekly'!$E$2:$E$538,'China Weekly'!$B$2:$B$538,B116,'China Weekly'!$C$2:$C$538,C116)*1000</f>
        <v>3660.4250000000002</v>
      </c>
      <c r="E116" s="104">
        <f>SUMIFS('China Weekly'!$F$2:$F$538,'China Weekly'!$B$2:$B$538,B116,'China Weekly'!$C$2:$C$538,C116)</f>
        <v>880.35500000000002</v>
      </c>
      <c r="F116" s="104">
        <f>SUMIFS('China Weekly'!$D$2:$D$538,'China Weekly'!$B$2:$B$538,B116,'China Weekly'!$C$2:$C$538,C116)*1000</f>
        <v>4633.45</v>
      </c>
      <c r="G116" s="104">
        <f t="shared" si="11"/>
        <v>55.601399999999991</v>
      </c>
    </row>
    <row r="117" spans="1:7">
      <c r="A117" s="39">
        <v>43770</v>
      </c>
      <c r="B117" s="38">
        <f t="shared" si="9"/>
        <v>11</v>
      </c>
      <c r="C117" s="38">
        <f t="shared" si="10"/>
        <v>2019</v>
      </c>
      <c r="D117" s="104">
        <f>SUMIFS('China Weekly'!$E$2:$E$538,'China Weekly'!$B$2:$B$538,B117,'China Weekly'!$C$2:$C$538,C117)*1000</f>
        <v>5071.8379999999997</v>
      </c>
      <c r="E117" s="104">
        <f>SUMIFS('China Weekly'!$F$2:$F$538,'China Weekly'!$B$2:$B$538,B117,'China Weekly'!$C$2:$C$538,C117)</f>
        <v>1219.808</v>
      </c>
      <c r="F117" s="104">
        <f>SUMIFS('China Weekly'!$D$2:$D$538,'China Weekly'!$B$2:$B$538,B117,'China Weekly'!$C$2:$C$538,C117)*1000</f>
        <v>6507.7</v>
      </c>
      <c r="G117" s="104">
        <f t="shared" si="11"/>
        <v>78.092399999999998</v>
      </c>
    </row>
    <row r="118" spans="1:7">
      <c r="A118" s="39">
        <v>43800</v>
      </c>
      <c r="B118" s="38">
        <f t="shared" si="9"/>
        <v>12</v>
      </c>
      <c r="C118" s="38">
        <f t="shared" si="10"/>
        <v>2019</v>
      </c>
      <c r="D118" s="104">
        <f>SUMIFS('China Weekly'!$E$2:$E$538,'China Weekly'!$B$2:$B$538,B118,'China Weekly'!$C$2:$C$538,C118)*1000</f>
        <v>7072.04</v>
      </c>
      <c r="E118" s="104">
        <f>SUMIFS('China Weekly'!$F$2:$F$538,'China Weekly'!$B$2:$B$538,B118,'China Weekly'!$C$2:$C$538,C118)</f>
        <v>1700.547</v>
      </c>
      <c r="F118" s="104">
        <f>SUMIFS('China Weekly'!$D$2:$D$538,'China Weekly'!$B$2:$B$538,B118,'China Weekly'!$C$2:$C$538,C118)*1000</f>
        <v>9092.5499999999993</v>
      </c>
      <c r="G118" s="104">
        <f t="shared" si="11"/>
        <v>109.11059999999999</v>
      </c>
    </row>
    <row r="119" spans="1:7">
      <c r="A119" s="39">
        <v>43831</v>
      </c>
      <c r="B119" s="38">
        <f t="shared" si="9"/>
        <v>1</v>
      </c>
      <c r="C119" s="38">
        <f t="shared" si="10"/>
        <v>2020</v>
      </c>
      <c r="D119" s="104">
        <f>SUMIFS('China Weekly'!$E$2:$E$538,'China Weekly'!$B$2:$B$538,B119,'China Weekly'!$C$2:$C$538,C119)*1000</f>
        <v>5518.5450000000001</v>
      </c>
      <c r="E119" s="104">
        <f>SUMIFS('China Weekly'!$F$2:$F$538,'China Weekly'!$B$2:$B$538,B119,'China Weekly'!$C$2:$C$538,C119)</f>
        <v>1338.0557467061767</v>
      </c>
      <c r="F119" s="104">
        <f>SUMIFS('China Weekly'!$D$2:$D$538,'China Weekly'!$B$2:$B$538,B119,'China Weekly'!$C$2:$C$538,C119)*1000</f>
        <v>7042.3986668746147</v>
      </c>
      <c r="G119" s="104">
        <f t="shared" si="11"/>
        <v>84.508784002495375</v>
      </c>
    </row>
    <row r="120" spans="1:7">
      <c r="A120" s="39">
        <v>43862</v>
      </c>
      <c r="B120" s="38">
        <f t="shared" si="9"/>
        <v>2</v>
      </c>
      <c r="C120" s="38">
        <f t="shared" si="10"/>
        <v>2020</v>
      </c>
      <c r="D120" s="104">
        <f>SUMIFS('China Weekly'!$E$2:$E$538,'China Weekly'!$B$2:$B$538,B120,'China Weekly'!$C$2:$C$538,C120)*1000</f>
        <v>3337.4340000000002</v>
      </c>
      <c r="E120" s="104">
        <f>SUMIFS('China Weekly'!$F$2:$F$538,'China Weekly'!$B$2:$B$538,B120,'China Weekly'!$C$2:$C$538,C120)</f>
        <v>802.67399999999998</v>
      </c>
      <c r="F120" s="104">
        <f>SUMIFS('China Weekly'!$D$2:$D$538,'China Weekly'!$B$2:$B$538,B120,'China Weekly'!$C$2:$C$538,C120)*1000</f>
        <v>4224.5999999999995</v>
      </c>
      <c r="G120" s="104">
        <f t="shared" si="11"/>
        <v>50.6952</v>
      </c>
    </row>
    <row r="121" spans="1:7">
      <c r="A121" s="39">
        <v>43891</v>
      </c>
      <c r="B121" s="38">
        <f t="shared" si="9"/>
        <v>3</v>
      </c>
      <c r="C121" s="38">
        <f t="shared" si="10"/>
        <v>2020</v>
      </c>
      <c r="D121" s="104">
        <f>SUMIFS('China Weekly'!$E$2:$E$538,'China Weekly'!$B$2:$B$538,B121,'China Weekly'!$C$2:$C$538,C121)*1000</f>
        <v>6257.0370000000003</v>
      </c>
      <c r="E121" s="104">
        <f>SUMIFS('China Weekly'!$F$2:$F$538,'China Weekly'!$B$2:$B$538,B121,'China Weekly'!$C$2:$C$538,C121)</f>
        <v>1497.694</v>
      </c>
      <c r="F121" s="104">
        <f>SUMIFS('China Weekly'!$D$2:$D$538,'China Weekly'!$B$2:$B$538,B121,'China Weekly'!$C$2:$C$538,C121)*1000</f>
        <v>7972.0999999999995</v>
      </c>
      <c r="G121" s="104">
        <f t="shared" si="11"/>
        <v>95.665199999999999</v>
      </c>
    </row>
    <row r="122" spans="1:7">
      <c r="A122" s="39">
        <v>43922</v>
      </c>
      <c r="B122" s="38">
        <f t="shared" si="9"/>
        <v>4</v>
      </c>
      <c r="C122" s="38">
        <f t="shared" si="10"/>
        <v>2020</v>
      </c>
      <c r="D122" s="104">
        <f>SUMIFS('China Weekly'!$E$2:$E$538,'China Weekly'!$B$2:$B$538,B122,'China Weekly'!$C$2:$C$538,C122)*1000</f>
        <v>4781.3170000000009</v>
      </c>
      <c r="E122" s="104">
        <f>SUMIFS('China Weekly'!$F$2:$F$538,'China Weekly'!$B$2:$B$538,B122,'China Weekly'!$C$2:$C$538,C122)</f>
        <v>1214.2710000000002</v>
      </c>
      <c r="F122" s="104">
        <f>SUMIFS('China Weekly'!$D$2:$D$538,'China Weekly'!$B$2:$B$538,B122,'China Weekly'!$C$2:$C$538,C122)*1000</f>
        <v>6390.9000000000005</v>
      </c>
      <c r="G122" s="104">
        <f t="shared" si="11"/>
        <v>76.690799999999996</v>
      </c>
    </row>
    <row r="123" spans="1:7">
      <c r="A123" s="39">
        <v>43952</v>
      </c>
      <c r="B123" s="38">
        <f t="shared" si="9"/>
        <v>5</v>
      </c>
      <c r="C123" s="38">
        <f t="shared" si="10"/>
        <v>2020</v>
      </c>
      <c r="D123" s="104">
        <f>SUMIFS('China Weekly'!$E$2:$E$538,'China Weekly'!$B$2:$B$538,B123,'China Weekly'!$C$2:$C$538,C123)*1000</f>
        <v>5953.598</v>
      </c>
      <c r="E123" s="104">
        <f>SUMIFS('China Weekly'!$F$2:$F$538,'China Weekly'!$B$2:$B$538,B123,'China Weekly'!$C$2:$C$538,C123)</f>
        <v>1486.807</v>
      </c>
      <c r="F123" s="104">
        <f>SUMIFS('China Weekly'!$D$2:$D$538,'China Weekly'!$B$2:$B$538,B123,'China Weekly'!$C$2:$C$538,C123)*1000</f>
        <v>7825.3</v>
      </c>
      <c r="G123" s="104">
        <f t="shared" si="11"/>
        <v>93.903600000000012</v>
      </c>
    </row>
    <row r="124" spans="1:7">
      <c r="A124" s="39">
        <v>43983</v>
      </c>
      <c r="B124" s="38">
        <f t="shared" si="9"/>
        <v>6</v>
      </c>
      <c r="C124" s="38">
        <f t="shared" si="10"/>
        <v>2020</v>
      </c>
      <c r="D124" s="104">
        <f>SUMIFS('China Weekly'!$E$2:$E$538,'China Weekly'!$B$2:$B$538,B124,'China Weekly'!$C$2:$C$538,C124)*1000</f>
        <v>8060.2520000000004</v>
      </c>
      <c r="E124" s="104">
        <f>SUMIFS('China Weekly'!$F$2:$F$538,'China Weekly'!$B$2:$B$538,B124,'China Weekly'!$C$2:$C$538,C124)</f>
        <v>1934.0960000000002</v>
      </c>
      <c r="F124" s="104">
        <f>SUMIFS('China Weekly'!$D$2:$D$538,'China Weekly'!$B$2:$B$538,B124,'China Weekly'!$C$2:$C$538,C124)*1000</f>
        <v>10179.450000000001</v>
      </c>
      <c r="G124" s="104">
        <f t="shared" si="11"/>
        <v>122.1534</v>
      </c>
    </row>
    <row r="125" spans="1:7">
      <c r="A125" s="39">
        <v>44013</v>
      </c>
      <c r="B125" s="38">
        <f t="shared" si="9"/>
        <v>7</v>
      </c>
      <c r="C125" s="38">
        <f t="shared" si="10"/>
        <v>2020</v>
      </c>
      <c r="D125" s="104">
        <f>SUMIFS('China Weekly'!$E$2:$E$546,'China Weekly'!$B$2:$B$546,B125,'China Weekly'!$C$2:$C$546,C125)*1000</f>
        <v>6452.9965000000002</v>
      </c>
      <c r="E125" s="104">
        <f>SUMIFS('China Weekly'!$F$2:$F$546,'China Weekly'!$B$2:$B$546,B125,'China Weekly'!$C$2:$C$546,C125)</f>
        <v>1519.6960000000001</v>
      </c>
      <c r="F125" s="104">
        <f>SUMIFS('China Weekly'!$D$2:$D$546,'China Weekly'!$B$2:$B$546,B125,'China Weekly'!$C$2:$C$546,C125)*1000</f>
        <v>7998.4000000000005</v>
      </c>
      <c r="G125" s="104">
        <f t="shared" si="11"/>
        <v>95.980800000000002</v>
      </c>
    </row>
    <row r="126" spans="1:7">
      <c r="A126" s="39">
        <v>44044</v>
      </c>
      <c r="B126" s="38">
        <f t="shared" si="9"/>
        <v>8</v>
      </c>
      <c r="C126" s="38">
        <f t="shared" si="10"/>
        <v>2020</v>
      </c>
      <c r="D126" s="104">
        <f>SUMIFS('China Weekly'!$E$2:$E$546,'China Weekly'!$B$2:$B$546,B126,'China Weekly'!$C$2:$C$546,C126)*1000</f>
        <v>8000.33</v>
      </c>
      <c r="E126" s="104">
        <f>SUMIFS('China Weekly'!$F$2:$F$546,'China Weekly'!$B$2:$B$546,B126,'China Weekly'!$C$2:$C$546,C126)</f>
        <v>1903.1260000000002</v>
      </c>
      <c r="F126" s="104">
        <f>SUMIFS('China Weekly'!$D$2:$D$546,'China Weekly'!$B$2:$B$546,B126,'China Weekly'!$C$2:$C$546,C126)*1000</f>
        <v>10016.450000000001</v>
      </c>
      <c r="G126" s="104">
        <f t="shared" si="11"/>
        <v>120.1974</v>
      </c>
    </row>
    <row r="127" spans="1:7">
      <c r="A127" s="39">
        <v>44075</v>
      </c>
      <c r="B127" s="38">
        <f t="shared" si="9"/>
        <v>9</v>
      </c>
      <c r="C127" s="38">
        <f t="shared" si="10"/>
        <v>2020</v>
      </c>
      <c r="D127" s="104">
        <f>SUMIFS('China Weekly'!$E$2:$E$774,'China Weekly'!$B$2:$B$774,B127,'China Weekly'!$C$2:$C$774,C127)*1000</f>
        <v>6619.8859999999995</v>
      </c>
      <c r="E127" s="104">
        <f>SUMIFS('China Weekly'!$F$2:$F$774,'China Weekly'!$B$2:$B$774,B127,'China Weekly'!$C$2:$C$774,C127)</f>
        <v>1577.4099999999999</v>
      </c>
      <c r="F127" s="104">
        <f>SUMIFS('China Weekly'!$D$2:$D$774,'China Weekly'!$B$2:$B$774,B127,'China Weekly'!$C$2:$C$774,C127)*1000</f>
        <v>8302.1500000000015</v>
      </c>
      <c r="G127" s="104">
        <f t="shared" si="11"/>
        <v>99.625800000000012</v>
      </c>
    </row>
    <row r="128" spans="1:7">
      <c r="A128" s="39">
        <v>44105</v>
      </c>
      <c r="B128" s="38">
        <f t="shared" si="9"/>
        <v>10</v>
      </c>
      <c r="C128" s="38">
        <f t="shared" si="10"/>
        <v>2020</v>
      </c>
      <c r="D128" s="104">
        <f>SUMIFS('China Weekly'!$E$2:$E$774,'China Weekly'!$B$2:$B$774,B128,'China Weekly'!$C$2:$C$774,C128)*1000</f>
        <v>5961.8940000000002</v>
      </c>
      <c r="E128" s="104">
        <f>SUMIFS('China Weekly'!$F$2:$F$774,'China Weekly'!$B$2:$B$774,B128,'China Weekly'!$C$2:$C$774,C128)</f>
        <v>1475.6510000000001</v>
      </c>
      <c r="F128" s="104">
        <f>SUMIFS('China Weekly'!$D$2:$D$774,'China Weekly'!$B$2:$B$774,B128,'China Weekly'!$C$2:$C$774,C128)*1000</f>
        <v>7766.579999999999</v>
      </c>
      <c r="G128" s="104">
        <f t="shared" si="11"/>
        <v>93.198959999999985</v>
      </c>
    </row>
    <row r="129" spans="1:7">
      <c r="A129" s="39">
        <v>44136</v>
      </c>
      <c r="B129" s="38">
        <f t="shared" si="9"/>
        <v>11</v>
      </c>
      <c r="C129" s="38">
        <f t="shared" si="10"/>
        <v>2020</v>
      </c>
      <c r="D129" s="104">
        <f>SUMIFS('China Weekly'!$E$2:$E$774,'China Weekly'!$B$2:$B$774,B129,'China Weekly'!$C$2:$C$774,C129)*1000</f>
        <v>8048.598</v>
      </c>
      <c r="E129" s="104">
        <f>SUMIFS('China Weekly'!$F$2:$F$774,'China Weekly'!$B$2:$B$774,B129,'China Weekly'!$C$2:$C$774,C129)</f>
        <v>1878.0159999999998</v>
      </c>
      <c r="F129" s="104">
        <f>SUMIFS('China Weekly'!$D$2:$D$774,'China Weekly'!$B$2:$B$774,B129,'China Weekly'!$C$2:$C$774,C129)*1000</f>
        <v>9884.2999999999993</v>
      </c>
      <c r="G129" s="104">
        <f t="shared" si="11"/>
        <v>118.6116</v>
      </c>
    </row>
    <row r="130" spans="1:7">
      <c r="A130" s="39">
        <v>44166</v>
      </c>
      <c r="B130" s="38">
        <f t="shared" ref="B130:B161" si="12">MONTH(A130)</f>
        <v>12</v>
      </c>
      <c r="C130" s="38">
        <f t="shared" ref="C130:C164" si="13">YEAR(A130)</f>
        <v>2020</v>
      </c>
      <c r="D130" s="104">
        <f>SUMIFS('China Weekly'!$E$2:$E$774,'China Weekly'!$B$2:$B$774,B130,'China Weekly'!$C$2:$C$774,C130)*1000</f>
        <v>6027.4780000000001</v>
      </c>
      <c r="E130" s="104">
        <f>SUMIFS('China Weekly'!$F$2:$F$774,'China Weekly'!$B$2:$B$774,B130,'China Weekly'!$C$2:$C$774,C130)</f>
        <v>1462.9967785635836</v>
      </c>
      <c r="F130" s="104">
        <f>SUMIFS('China Weekly'!$D$2:$D$774,'China Weekly'!$B$2:$B$774,B130,'China Weekly'!$C$2:$C$774,C130)*1000</f>
        <v>7699.9862029662299</v>
      </c>
      <c r="G130" s="104">
        <f t="shared" ref="G130:G161" si="14">F130*12/1000</f>
        <v>92.399834435594769</v>
      </c>
    </row>
    <row r="131" spans="1:7">
      <c r="A131" s="39">
        <v>44197</v>
      </c>
      <c r="B131" s="38">
        <f t="shared" si="12"/>
        <v>1</v>
      </c>
      <c r="C131" s="38">
        <f t="shared" si="13"/>
        <v>2021</v>
      </c>
      <c r="D131" s="104">
        <f>SUMIFS('China Weekly'!$E$2:$E$774,'China Weekly'!$B$2:$B$774,B131,'China Weekly'!$C$2:$C$774,C131)*1000</f>
        <v>5916.4395783063646</v>
      </c>
      <c r="E131" s="104">
        <f>SUMIFS('China Weekly'!$F$2:$F$774,'China Weekly'!$B$2:$B$774,B131,'China Weekly'!$C$2:$C$774,C131)</f>
        <v>1505.366</v>
      </c>
      <c r="F131" s="104">
        <f>SUMIFS('China Weekly'!$D$2:$D$774,'China Weekly'!$B$2:$B$774,B131,'China Weekly'!$C$2:$C$774,C131)*1000</f>
        <v>7922.9799999999987</v>
      </c>
      <c r="G131" s="104">
        <f t="shared" si="14"/>
        <v>95.075759999999974</v>
      </c>
    </row>
    <row r="132" spans="1:7">
      <c r="A132" s="39">
        <v>44228</v>
      </c>
      <c r="B132" s="38">
        <f t="shared" si="12"/>
        <v>2</v>
      </c>
      <c r="C132" s="38">
        <f t="shared" si="13"/>
        <v>2021</v>
      </c>
      <c r="D132" s="104">
        <f>SUMIFS('China Weekly'!$E$2:$E$774,'China Weekly'!$B$2:$B$774,B132,'China Weekly'!$C$2:$C$774,C132)*1000</f>
        <v>4249.1729999999998</v>
      </c>
      <c r="E132" s="104">
        <f>SUMIFS('China Weekly'!$F$2:$F$774,'China Weekly'!$B$2:$B$774,B132,'China Weekly'!$C$2:$C$774,C132)</f>
        <v>902.32900000000006</v>
      </c>
      <c r="F132" s="104">
        <f>SUMIFS('China Weekly'!$D$2:$D$774,'China Weekly'!$B$2:$B$774,B132,'China Weekly'!$C$2:$C$774,C132)*1000</f>
        <v>4749.1000000000004</v>
      </c>
      <c r="G132" s="104">
        <f t="shared" si="14"/>
        <v>56.989200000000004</v>
      </c>
    </row>
    <row r="133" spans="1:7">
      <c r="A133" s="39">
        <v>44256</v>
      </c>
      <c r="B133" s="38">
        <f t="shared" si="12"/>
        <v>3</v>
      </c>
      <c r="C133" s="38">
        <f t="shared" si="13"/>
        <v>2021</v>
      </c>
      <c r="D133" s="104">
        <f>SUMIFS('China Weekly'!$E$2:$E$774,'China Weekly'!$B$2:$B$774,B133,'China Weekly'!$C$2:$C$774,C133)*1000</f>
        <v>5001.2530000000006</v>
      </c>
      <c r="E133" s="104">
        <f>SUMIFS('China Weekly'!$F$2:$F$774,'China Weekly'!$B$2:$B$774,B133,'China Weekly'!$C$2:$C$774,C133)</f>
        <v>1189.4380000000001</v>
      </c>
      <c r="F133" s="104">
        <f>SUMIFS('China Weekly'!$D$2:$D$774,'China Weekly'!$B$2:$B$774,B133,'China Weekly'!$C$2:$C$774,C133)*1000</f>
        <v>6260.2000000000007</v>
      </c>
      <c r="G133" s="104">
        <f t="shared" si="14"/>
        <v>75.122400000000013</v>
      </c>
    </row>
    <row r="134" spans="1:7">
      <c r="A134" s="39">
        <v>44287</v>
      </c>
      <c r="B134" s="38">
        <f t="shared" si="12"/>
        <v>4</v>
      </c>
      <c r="C134" s="38">
        <f t="shared" si="13"/>
        <v>2021</v>
      </c>
      <c r="D134" s="104">
        <f>SUMIFS('China Weekly'!$E$2:$E$774,'China Weekly'!$B$2:$B$774,B134,'China Weekly'!$C$2:$C$774,C134)*1000</f>
        <v>6422.7000000000007</v>
      </c>
      <c r="E134" s="104">
        <f>SUMIFS('China Weekly'!$F$2:$F$774,'China Weekly'!$B$2:$B$774,B134,'China Weekly'!$C$2:$C$774,C134)</f>
        <v>1544.7</v>
      </c>
      <c r="F134" s="104">
        <f>SUMIFS('China Weekly'!$D$2:$D$774,'China Weekly'!$B$2:$B$774,B134,'China Weekly'!$C$2:$C$774,C134)*1000</f>
        <v>8130.0000000000009</v>
      </c>
      <c r="G134" s="104">
        <f t="shared" si="14"/>
        <v>97.560000000000016</v>
      </c>
    </row>
    <row r="135" spans="1:7">
      <c r="A135" s="39">
        <v>44317</v>
      </c>
      <c r="B135" s="38">
        <f t="shared" si="12"/>
        <v>5</v>
      </c>
      <c r="C135" s="38">
        <f t="shared" si="13"/>
        <v>2021</v>
      </c>
      <c r="D135" s="104">
        <f>SUMIFS('China Weekly'!$E$2:$E$774,'China Weekly'!$B$2:$B$774,B135,'China Weekly'!$C$2:$C$774,C135)*1000</f>
        <v>4637.3</v>
      </c>
      <c r="E135" s="104">
        <f>SUMIFS('China Weekly'!$F$2:$F$774,'China Weekly'!$B$2:$B$774,B135,'China Weekly'!$C$2:$C$774,C135)</f>
        <v>1115.3</v>
      </c>
      <c r="F135" s="104">
        <f>SUMIFS('China Weekly'!$D$2:$D$774,'China Weekly'!$B$2:$B$774,B135,'China Weekly'!$C$2:$C$774,C135)*1000</f>
        <v>5869.9999999999991</v>
      </c>
      <c r="G135" s="104">
        <f t="shared" si="14"/>
        <v>70.439999999999984</v>
      </c>
    </row>
    <row r="136" spans="1:7">
      <c r="A136" s="39">
        <v>44348</v>
      </c>
      <c r="B136" s="38">
        <f t="shared" si="12"/>
        <v>6</v>
      </c>
      <c r="C136" s="38">
        <f t="shared" si="13"/>
        <v>2021</v>
      </c>
      <c r="D136" s="104">
        <f>SUMIFS('China Weekly'!$E$2:$E$774,'China Weekly'!$B$2:$B$774,B136,'China Weekly'!$C$2:$C$774,C136)*1000</f>
        <v>5996.1</v>
      </c>
      <c r="E136" s="104">
        <f>SUMIFS('China Weekly'!$F$2:$F$774,'China Weekly'!$B$2:$B$774,B136,'China Weekly'!$C$2:$C$774,C136)</f>
        <v>1442.1</v>
      </c>
      <c r="F136" s="104">
        <f>SUMIFS('China Weekly'!$D$2:$D$774,'China Weekly'!$B$2:$B$774,B136,'China Weekly'!$C$2:$C$774,C136)*1000</f>
        <v>7589.9999999999991</v>
      </c>
      <c r="G136" s="104">
        <f t="shared" si="14"/>
        <v>91.079999999999984</v>
      </c>
    </row>
    <row r="137" spans="1:7">
      <c r="A137" s="39">
        <v>44378</v>
      </c>
      <c r="B137" s="38">
        <f t="shared" si="12"/>
        <v>7</v>
      </c>
      <c r="C137" s="38">
        <f t="shared" si="13"/>
        <v>2021</v>
      </c>
      <c r="D137" s="104">
        <f>SUMIFS('China Weekly'!$E$2:$E$774,'China Weekly'!$B$2:$B$774,B137,'China Weekly'!$C$2:$C$774,C137)*1000</f>
        <v>6952</v>
      </c>
      <c r="E137" s="104">
        <f>SUMIFS('China Weekly'!$F$2:$F$774,'China Weekly'!$B$2:$B$774,B137,'China Weekly'!$C$2:$C$774,C137)</f>
        <v>1672</v>
      </c>
      <c r="F137" s="104">
        <f>SUMIFS('China Weekly'!$D$2:$D$774,'China Weekly'!$B$2:$B$774,B137,'China Weekly'!$C$2:$C$774,C137)*1000</f>
        <v>8799.9999999999982</v>
      </c>
      <c r="G137" s="104">
        <f t="shared" si="14"/>
        <v>105.59999999999997</v>
      </c>
    </row>
    <row r="138" spans="1:7">
      <c r="A138" s="39">
        <v>44409</v>
      </c>
      <c r="B138" s="38">
        <f t="shared" si="12"/>
        <v>8</v>
      </c>
      <c r="C138" s="38">
        <f t="shared" si="13"/>
        <v>2021</v>
      </c>
      <c r="D138" s="104">
        <f>SUMIFS('China Weekly'!$E$2:$E$774,'China Weekly'!$B$2:$B$774,B138,'China Weekly'!$C$2:$C$774,C138)*1000</f>
        <v>6114.5999999999995</v>
      </c>
      <c r="E138" s="104">
        <f>SUMIFS('China Weekly'!$F$2:$F$774,'China Weekly'!$B$2:$B$774,B138,'China Weekly'!$C$2:$C$774,C138)</f>
        <v>1470.6000000000001</v>
      </c>
      <c r="F138" s="104">
        <f>SUMIFS('China Weekly'!$D$2:$D$774,'China Weekly'!$B$2:$B$774,B138,'China Weekly'!$C$2:$C$774,C138)*1000</f>
        <v>7740</v>
      </c>
      <c r="G138" s="104">
        <f t="shared" si="14"/>
        <v>92.88</v>
      </c>
    </row>
    <row r="139" spans="1:7">
      <c r="A139" s="39">
        <v>44440</v>
      </c>
      <c r="B139" s="38">
        <f t="shared" si="12"/>
        <v>9</v>
      </c>
      <c r="C139" s="38">
        <f t="shared" si="13"/>
        <v>2021</v>
      </c>
      <c r="D139" s="104">
        <f>SUMIFS('China Weekly'!$E$2:$E$774,'China Weekly'!$B$2:$B$774,B139,'China Weekly'!$C$2:$C$774,C139)*1000</f>
        <v>5680.1</v>
      </c>
      <c r="E139" s="104">
        <f>SUMIFS('China Weekly'!$F$2:$F$774,'China Weekly'!$B$2:$B$774,B139,'China Weekly'!$C$2:$C$774,C139)</f>
        <v>1366.1000000000001</v>
      </c>
      <c r="F139" s="104">
        <f>SUMIFS('China Weekly'!$D$2:$D$774,'China Weekly'!$B$2:$B$774,B139,'China Weekly'!$C$2:$C$774,C139)*1000</f>
        <v>7189.9999999999991</v>
      </c>
      <c r="G139" s="104">
        <f t="shared" si="14"/>
        <v>86.279999999999987</v>
      </c>
    </row>
    <row r="140" spans="1:7">
      <c r="A140" s="39">
        <v>44470</v>
      </c>
      <c r="B140" s="38">
        <f t="shared" si="12"/>
        <v>10</v>
      </c>
      <c r="C140" s="38">
        <f t="shared" si="13"/>
        <v>2021</v>
      </c>
      <c r="D140" s="104">
        <f>SUMIFS('China Weekly'!$E$2:$E$774,'China Weekly'!$B$2:$B$774,B140,'China Weekly'!$C$2:$C$774,C140)*1000</f>
        <v>5190.3</v>
      </c>
      <c r="E140" s="104">
        <f>SUMIFS('China Weekly'!$F$2:$F$774,'China Weekly'!$B$2:$B$774,B140,'China Weekly'!$C$2:$C$774,C140)</f>
        <v>1248.3</v>
      </c>
      <c r="F140" s="104">
        <f>SUMIFS('China Weekly'!$D$2:$D$774,'China Weekly'!$B$2:$B$774,B140,'China Weekly'!$C$2:$C$774,C140)*1000</f>
        <v>6569.9999999999991</v>
      </c>
      <c r="G140" s="104">
        <f t="shared" si="14"/>
        <v>78.839999999999989</v>
      </c>
    </row>
    <row r="141" spans="1:7">
      <c r="A141" s="39">
        <v>44501</v>
      </c>
      <c r="B141" s="38">
        <f t="shared" si="12"/>
        <v>11</v>
      </c>
      <c r="C141" s="38">
        <f t="shared" si="13"/>
        <v>2021</v>
      </c>
      <c r="D141" s="104">
        <f>SUMIFS('China Weekly'!$E$2:$E$774,'China Weekly'!$B$2:$B$774,B141,'China Weekly'!$C$2:$C$774,C141)*1000</f>
        <v>6264.7</v>
      </c>
      <c r="E141" s="104">
        <f>SUMIFS('China Weekly'!$F$2:$F$774,'China Weekly'!$B$2:$B$774,B141,'China Weekly'!$C$2:$C$774,C141)</f>
        <v>1506.6999999999998</v>
      </c>
      <c r="F141" s="104">
        <f>SUMIFS('China Weekly'!$D$2:$D$774,'China Weekly'!$B$2:$B$774,B141,'China Weekly'!$C$2:$C$774,C141)*1000</f>
        <v>7930</v>
      </c>
      <c r="G141" s="104">
        <f t="shared" si="14"/>
        <v>95.16</v>
      </c>
    </row>
    <row r="142" spans="1:7">
      <c r="A142" s="39">
        <v>44531</v>
      </c>
      <c r="B142" s="38">
        <f t="shared" si="12"/>
        <v>12</v>
      </c>
      <c r="C142" s="38">
        <f t="shared" si="13"/>
        <v>2021</v>
      </c>
      <c r="D142" s="104">
        <f>SUMIFS('China Weekly'!$E$2:$E$774,'China Weekly'!$B$2:$B$774,B142,'China Weekly'!$C$2:$C$774,C142)*1000</f>
        <v>7125.8000000000011</v>
      </c>
      <c r="E142" s="104">
        <f>SUMIFS('China Weekly'!$F$2:$F$774,'China Weekly'!$B$2:$B$774,B142,'China Weekly'!$C$2:$C$774,C142)</f>
        <v>1713.7999999999997</v>
      </c>
      <c r="F142" s="104">
        <f>SUMIFS('China Weekly'!$D$2:$D$774,'China Weekly'!$B$2:$B$774,B142,'China Weekly'!$C$2:$C$774,C142)*1000</f>
        <v>9020</v>
      </c>
      <c r="G142" s="104">
        <f t="shared" si="14"/>
        <v>108.24</v>
      </c>
    </row>
    <row r="143" spans="1:7">
      <c r="A143" s="39">
        <v>44562</v>
      </c>
      <c r="B143" s="38">
        <f t="shared" si="12"/>
        <v>1</v>
      </c>
      <c r="C143" s="38">
        <f t="shared" si="13"/>
        <v>2022</v>
      </c>
      <c r="D143" s="104">
        <f>SUMIFS('China Weekly'!$E$2:$E$774,'China Weekly'!$B$2:$B$774,B143,'China Weekly'!$C$2:$C$774,C143)*1000</f>
        <v>4345</v>
      </c>
      <c r="E143" s="104">
        <f>SUMIFS('China Weekly'!$F$2:$F$774,'China Weekly'!$B$2:$B$774,B143,'China Weekly'!$C$2:$C$774,C143)</f>
        <v>1045</v>
      </c>
      <c r="F143" s="104">
        <f>SUMIFS('China Weekly'!$D$2:$D$774,'China Weekly'!$B$2:$B$774,B143,'China Weekly'!$C$2:$C$774,C143)*1000</f>
        <v>5500</v>
      </c>
      <c r="G143" s="104">
        <f t="shared" si="14"/>
        <v>66</v>
      </c>
    </row>
    <row r="144" spans="1:7">
      <c r="A144" s="39">
        <v>44593</v>
      </c>
      <c r="B144" s="38">
        <f t="shared" si="12"/>
        <v>2</v>
      </c>
      <c r="C144" s="38">
        <f t="shared" si="13"/>
        <v>2022</v>
      </c>
      <c r="D144" s="104">
        <f>SUMIFS('China Weekly'!$E$2:$E$774,'China Weekly'!$B$2:$B$774,B144,'China Weekly'!$C$2:$C$774,C144)*1000</f>
        <v>4963.57</v>
      </c>
      <c r="E144" s="104">
        <f>SUMIFS('China Weekly'!$F$2:$F$774,'China Weekly'!$B$2:$B$774,B144,'China Weekly'!$C$2:$C$774,C144)</f>
        <v>1193.77</v>
      </c>
      <c r="F144" s="104">
        <f>SUMIFS('China Weekly'!$D$2:$D$774,'China Weekly'!$B$2:$B$774,B144,'China Weekly'!$C$2:$C$774,C144)*1000</f>
        <v>6283</v>
      </c>
      <c r="G144" s="104">
        <f t="shared" si="14"/>
        <v>75.396000000000001</v>
      </c>
    </row>
    <row r="145" spans="1:9">
      <c r="A145" s="39">
        <v>44621</v>
      </c>
      <c r="B145" s="38">
        <f t="shared" si="12"/>
        <v>3</v>
      </c>
      <c r="C145" s="38">
        <f t="shared" si="13"/>
        <v>2022</v>
      </c>
      <c r="D145" s="104">
        <f>SUMIFS('China Weekly'!$E$2:$E$774,'China Weekly'!$B$2:$B$774,B145,'China Weekly'!$C$2:$C$774,C145)*1000</f>
        <v>5127.1000000000004</v>
      </c>
      <c r="E145" s="104">
        <f>SUMIFS('China Weekly'!$F$2:$F$774,'China Weekly'!$B$2:$B$774,B145,'China Weekly'!$C$2:$C$774,C145)</f>
        <v>1233.0999999999999</v>
      </c>
      <c r="F145" s="104">
        <f>SUMIFS('China Weekly'!$D$2:$D$774,'China Weekly'!$B$2:$B$774,B145,'China Weekly'!$C$2:$C$774,C145)*1000</f>
        <v>6490</v>
      </c>
      <c r="G145" s="104">
        <f t="shared" si="14"/>
        <v>77.88</v>
      </c>
    </row>
    <row r="146" spans="1:9">
      <c r="A146" s="39">
        <v>44652</v>
      </c>
      <c r="B146" s="38">
        <f t="shared" si="12"/>
        <v>4</v>
      </c>
      <c r="C146" s="38">
        <f t="shared" si="13"/>
        <v>2022</v>
      </c>
      <c r="D146" s="104">
        <f>SUMIFS('China Weekly'!$E$2:$E$774,'China Weekly'!$B$2:$B$774,B146,'China Weekly'!$C$2:$C$774,C146)*1000</f>
        <v>4779.5</v>
      </c>
      <c r="E146" s="104">
        <f>SUMIFS('China Weekly'!$F$2:$F$774,'China Weekly'!$B$2:$B$774,B146,'China Weekly'!$C$2:$C$774,C146)</f>
        <v>1149.5</v>
      </c>
      <c r="F146" s="104">
        <f>SUMIFS('China Weekly'!$D$2:$D$774,'China Weekly'!$B$2:$B$774,B146,'China Weekly'!$C$2:$C$774,C146)*1000</f>
        <v>6049.9999999999991</v>
      </c>
      <c r="G146" s="104">
        <f t="shared" si="14"/>
        <v>72.59999999999998</v>
      </c>
    </row>
    <row r="147" spans="1:9">
      <c r="A147" s="39">
        <v>44682</v>
      </c>
      <c r="B147" s="38">
        <f t="shared" si="12"/>
        <v>5</v>
      </c>
      <c r="C147" s="38">
        <f t="shared" si="13"/>
        <v>2022</v>
      </c>
      <c r="D147" s="104">
        <f>SUMIFS('China Weekly'!$E$2:$E$774,'China Weekly'!$B$2:$B$774,B147,'China Weekly'!$C$2:$C$774,C147)*1000</f>
        <v>5703.8</v>
      </c>
      <c r="E147" s="104">
        <f>SUMIFS('China Weekly'!$F$2:$F$774,'China Weekly'!$B$2:$B$774,B147,'China Weekly'!$C$2:$C$774,C147)</f>
        <v>1371.8000000000002</v>
      </c>
      <c r="F147" s="104">
        <f>SUMIFS('China Weekly'!$D$2:$D$774,'China Weekly'!$B$2:$B$774,B147,'China Weekly'!$C$2:$C$774,C147)*1000</f>
        <v>7220</v>
      </c>
      <c r="G147" s="104">
        <f t="shared" si="14"/>
        <v>86.64</v>
      </c>
    </row>
    <row r="148" spans="1:9">
      <c r="A148" s="39">
        <v>44713</v>
      </c>
      <c r="B148" s="38">
        <f t="shared" si="12"/>
        <v>6</v>
      </c>
      <c r="C148" s="38">
        <f t="shared" si="13"/>
        <v>2022</v>
      </c>
      <c r="D148" s="104">
        <f>SUMIFS('China Weekly'!$E$2:$E$774,'China Weekly'!$B$2:$B$774,B148,'China Weekly'!$C$2:$C$774,C148)*1000</f>
        <v>6936.2000000000007</v>
      </c>
      <c r="E148" s="104">
        <f>SUMIFS('China Weekly'!$F$2:$F$774,'China Weekly'!$B$2:$B$774,B148,'China Weekly'!$C$2:$C$774,C148)</f>
        <v>1668.2</v>
      </c>
      <c r="F148" s="104">
        <f>SUMIFS('China Weekly'!$D$2:$D$774,'China Weekly'!$B$2:$B$774,B148,'China Weekly'!$C$2:$C$774,C148)*1000</f>
        <v>8780</v>
      </c>
      <c r="G148" s="104">
        <f t="shared" si="14"/>
        <v>105.36</v>
      </c>
    </row>
    <row r="149" spans="1:9">
      <c r="A149" s="39">
        <v>44743</v>
      </c>
      <c r="B149" s="38">
        <f t="shared" si="12"/>
        <v>7</v>
      </c>
      <c r="C149" s="38">
        <f t="shared" si="13"/>
        <v>2022</v>
      </c>
      <c r="D149" s="104">
        <f>SUMIFS('China Weekly'!$E$2:$E$774,'China Weekly'!$B$2:$B$774,B149,'China Weekly'!$C$2:$C$774,C149)*1000</f>
        <v>5395.7000000000007</v>
      </c>
      <c r="E149" s="104">
        <f>SUMIFS('China Weekly'!$F$2:$F$774,'China Weekly'!$B$2:$B$774,B149,'China Weekly'!$C$2:$C$774,C149)</f>
        <v>1297.7000000000003</v>
      </c>
      <c r="F149" s="104">
        <f>SUMIFS('China Weekly'!$D$2:$D$774,'China Weekly'!$B$2:$B$774,B149,'China Weekly'!$C$2:$C$774,C149)*1000</f>
        <v>6830</v>
      </c>
      <c r="G149" s="104">
        <f t="shared" si="14"/>
        <v>81.96</v>
      </c>
    </row>
    <row r="150" spans="1:9">
      <c r="A150" s="39">
        <v>44774</v>
      </c>
      <c r="B150" s="38">
        <f t="shared" si="12"/>
        <v>8</v>
      </c>
      <c r="C150" s="38">
        <f t="shared" si="13"/>
        <v>2022</v>
      </c>
      <c r="D150" s="104">
        <f>SUMIFS('China Weekly'!$E$2:$E$774,'China Weekly'!$B$2:$B$774,B150,'China Weekly'!$C$2:$C$774,C150)*1000</f>
        <v>5569.5</v>
      </c>
      <c r="E150" s="104">
        <f>SUMIFS('China Weekly'!$F$2:$F$774,'China Weekly'!$B$2:$B$774,B150,'China Weekly'!$C$2:$C$774,C150)</f>
        <v>1339.5</v>
      </c>
      <c r="F150" s="104">
        <f>SUMIFS('China Weekly'!$D$2:$D$774,'China Weekly'!$B$2:$B$774,B150,'China Weekly'!$C$2:$C$774,C150)*1000</f>
        <v>7050.0000000000009</v>
      </c>
      <c r="G150" s="104">
        <f t="shared" si="14"/>
        <v>84.600000000000009</v>
      </c>
    </row>
    <row r="151" spans="1:9">
      <c r="A151" s="39">
        <v>44805</v>
      </c>
      <c r="B151" s="38">
        <f t="shared" si="12"/>
        <v>9</v>
      </c>
      <c r="C151" s="38">
        <f t="shared" si="13"/>
        <v>2022</v>
      </c>
      <c r="D151" s="104">
        <f>SUMIFS('China Weekly'!$E$2:$E$774,'China Weekly'!$B$2:$B$774,B151,'China Weekly'!$C$2:$C$774,C151)*1000</f>
        <v>7347</v>
      </c>
      <c r="E151" s="104">
        <f>SUMIFS('China Weekly'!$F$2:$F$774,'China Weekly'!$B$2:$B$774,B151,'China Weekly'!$C$2:$C$774,C151)</f>
        <v>1767</v>
      </c>
      <c r="F151" s="104">
        <f>SUMIFS('China Weekly'!$D$2:$D$774,'China Weekly'!$B$2:$B$774,B151,'China Weekly'!$C$2:$C$774,C151)*1000</f>
        <v>9300</v>
      </c>
      <c r="G151" s="104">
        <f t="shared" si="14"/>
        <v>111.6</v>
      </c>
    </row>
    <row r="152" spans="1:9">
      <c r="A152" s="39">
        <v>44835</v>
      </c>
      <c r="B152" s="38">
        <f t="shared" si="12"/>
        <v>10</v>
      </c>
      <c r="C152" s="38">
        <f t="shared" si="13"/>
        <v>2022</v>
      </c>
      <c r="D152" s="104">
        <f>SUMIFS('China Weekly'!$E$2:$E$774,'China Weekly'!$B$2:$B$774,B152,'China Weekly'!$C$2:$C$774,C152)*1000</f>
        <v>3902.6</v>
      </c>
      <c r="E152" s="104">
        <f>SUMIFS('China Weekly'!$F$2:$F$774,'China Weekly'!$B$2:$B$774,B152,'China Weekly'!$C$2:$C$774,C152)</f>
        <v>938.59999999999991</v>
      </c>
      <c r="F152" s="104">
        <f>SUMIFS('China Weekly'!$D$2:$D$774,'China Weekly'!$B$2:$B$774,B152,'China Weekly'!$C$2:$C$774,C152)*1000</f>
        <v>4939.9999999999991</v>
      </c>
      <c r="G152" s="104">
        <f t="shared" si="14"/>
        <v>59.279999999999987</v>
      </c>
    </row>
    <row r="153" spans="1:9">
      <c r="A153" s="39">
        <v>44866</v>
      </c>
      <c r="B153" s="38">
        <f t="shared" si="12"/>
        <v>11</v>
      </c>
      <c r="C153" s="38">
        <f t="shared" si="13"/>
        <v>2022</v>
      </c>
      <c r="D153" s="104">
        <f>SUMIFS('China Weekly'!$E$2:$E$774,'China Weekly'!$B$2:$B$774,B153,'China Weekly'!$C$2:$C$774,C153)*1000</f>
        <v>5182.4000000000015</v>
      </c>
      <c r="E153" s="104">
        <f>SUMIFS('China Weekly'!$F$2:$F$774,'China Weekly'!$B$2:$B$774,B153,'China Weekly'!$C$2:$C$774,C153)</f>
        <v>1246.4000000000001</v>
      </c>
      <c r="F153" s="104">
        <f>SUMIFS('China Weekly'!$D$2:$D$774,'China Weekly'!$B$2:$B$774,B153,'China Weekly'!$C$2:$C$774,C153)*1000</f>
        <v>6560.0000000000009</v>
      </c>
      <c r="G153" s="104">
        <f t="shared" si="14"/>
        <v>78.720000000000013</v>
      </c>
    </row>
    <row r="154" spans="1:9">
      <c r="A154" s="39">
        <v>44896</v>
      </c>
      <c r="B154" s="38">
        <f t="shared" si="12"/>
        <v>12</v>
      </c>
      <c r="C154" s="38">
        <f t="shared" si="13"/>
        <v>2022</v>
      </c>
      <c r="D154" s="104">
        <f>SUMIFS('China Weekly'!$E$2:$E$774,'China Weekly'!$B$2:$B$774,B154,'China Weekly'!$C$2:$C$774,C154)*1000</f>
        <v>8050.1</v>
      </c>
      <c r="E154" s="104">
        <f>SUMIFS('China Weekly'!$F$2:$F$774,'China Weekly'!$B$2:$B$774,B154,'China Weekly'!$C$2:$C$774,C154)</f>
        <v>1936.1</v>
      </c>
      <c r="F154" s="104">
        <f>SUMIFS('China Weekly'!$D$2:$D$774,'China Weekly'!$B$2:$B$774,B154,'China Weekly'!$C$2:$C$774,C154)*1000</f>
        <v>10190</v>
      </c>
      <c r="G154" s="104">
        <f t="shared" si="14"/>
        <v>122.28</v>
      </c>
    </row>
    <row r="155" spans="1:9">
      <c r="A155" s="39">
        <v>44927</v>
      </c>
      <c r="B155" s="38">
        <f t="shared" si="12"/>
        <v>1</v>
      </c>
      <c r="C155" s="38">
        <f t="shared" si="13"/>
        <v>2023</v>
      </c>
      <c r="D155" s="104">
        <f>SUMIFS('China Weekly'!$E$2:$E$774,'China Weekly'!$B$2:$B$774,B155,'China Weekly'!$C$2:$C$774,C155)*1000</f>
        <v>1666.9000000000003</v>
      </c>
      <c r="E155" s="104">
        <f>SUMIFS('China Weekly'!$F$2:$F$774,'China Weekly'!$B$2:$B$774,B155,'China Weekly'!$C$2:$C$774,C155)</f>
        <v>400.9</v>
      </c>
      <c r="F155" s="104">
        <f>SUMIFS('China Weekly'!$D$2:$D$774,'China Weekly'!$B$2:$B$774,B155,'China Weekly'!$C$2:$C$774,C155)*1000</f>
        <v>2110</v>
      </c>
      <c r="G155" s="104">
        <f t="shared" si="14"/>
        <v>25.32</v>
      </c>
    </row>
    <row r="156" spans="1:9">
      <c r="A156" s="39">
        <v>44958</v>
      </c>
      <c r="B156" s="38">
        <f t="shared" si="12"/>
        <v>2</v>
      </c>
      <c r="C156" s="38">
        <f t="shared" si="13"/>
        <v>2023</v>
      </c>
      <c r="D156" s="104">
        <f>SUMIFS('China Weekly'!$E$2:$E$774,'China Weekly'!$B$2:$B$774,B156,'China Weekly'!$C$2:$C$774,C156)*1000</f>
        <v>5293</v>
      </c>
      <c r="E156" s="104">
        <f>SUMIFS('China Weekly'!$F$2:$F$774,'China Weekly'!$B$2:$B$774,B156,'China Weekly'!$C$2:$C$774,C156)</f>
        <v>1273</v>
      </c>
      <c r="F156" s="104">
        <f>SUMIFS('China Weekly'!$D$2:$D$774,'China Weekly'!$B$2:$B$774,B156,'China Weekly'!$C$2:$C$774,C156)*1000</f>
        <v>6699.9999999999991</v>
      </c>
      <c r="G156" s="104">
        <f t="shared" si="14"/>
        <v>80.399999999999991</v>
      </c>
      <c r="I156">
        <f>F156/23*28</f>
        <v>8156.5217391304341</v>
      </c>
    </row>
    <row r="157" spans="1:9">
      <c r="A157" s="39">
        <v>44986</v>
      </c>
      <c r="B157" s="38">
        <f t="shared" si="12"/>
        <v>3</v>
      </c>
      <c r="C157" s="38">
        <f t="shared" si="13"/>
        <v>2023</v>
      </c>
      <c r="D157" s="104">
        <f>SUMIFS('China Weekly'!$E$2:$E$774,'China Weekly'!$B$2:$B$774,B157,'China Weekly'!$C$2:$C$774,C157)*1000</f>
        <v>5774.9000000000005</v>
      </c>
      <c r="E157" s="104">
        <f>SUMIFS('China Weekly'!$F$2:$F$774,'China Weekly'!$B$2:$B$774,B157,'China Weekly'!$C$2:$C$774,C157)</f>
        <v>1388.9</v>
      </c>
      <c r="F157" s="104">
        <f>SUMIFS('China Weekly'!$D$2:$D$774,'China Weekly'!$B$2:$B$774,B157,'China Weekly'!$C$2:$C$774,C157)*1000</f>
        <v>7310</v>
      </c>
      <c r="G157" s="104">
        <f t="shared" si="14"/>
        <v>87.72</v>
      </c>
    </row>
    <row r="158" spans="1:9">
      <c r="A158" s="39">
        <v>45017</v>
      </c>
      <c r="B158" s="38">
        <f t="shared" si="12"/>
        <v>4</v>
      </c>
      <c r="C158" s="38">
        <f t="shared" si="13"/>
        <v>2023</v>
      </c>
      <c r="D158" s="104">
        <f>SUMIFS('China Weekly'!$E$2:$E$774,'China Weekly'!$B$2:$B$774,B158,'China Weekly'!$C$2:$C$774,C158)*1000</f>
        <v>5103.4000000000005</v>
      </c>
      <c r="E158" s="104">
        <f>SUMIFS('China Weekly'!$F$2:$F$774,'China Weekly'!$B$2:$B$774,B158,'China Weekly'!$C$2:$C$774,C158)</f>
        <v>1227.4000000000001</v>
      </c>
      <c r="F158" s="104">
        <f>SUMIFS('China Weekly'!$D$2:$D$774,'China Weekly'!$B$2:$B$774,B158,'China Weekly'!$C$2:$C$774,C158)*1000</f>
        <v>6460</v>
      </c>
      <c r="G158" s="104">
        <f t="shared" si="14"/>
        <v>77.52</v>
      </c>
    </row>
    <row r="159" spans="1:9">
      <c r="A159" s="39">
        <v>45047</v>
      </c>
      <c r="B159" s="38">
        <f t="shared" si="12"/>
        <v>5</v>
      </c>
      <c r="C159" s="38">
        <f t="shared" si="13"/>
        <v>2023</v>
      </c>
      <c r="D159" s="104">
        <f>SUMIFS('China Weekly'!$E$2:$E$774,'China Weekly'!$B$2:$B$774,B159,'China Weekly'!$C$2:$C$774,C159)*1000</f>
        <v>5056</v>
      </c>
      <c r="E159" s="104">
        <f>SUMIFS('China Weekly'!$F$2:$F$774,'China Weekly'!$B$2:$B$774,B159,'China Weekly'!$C$2:$C$774,C159)</f>
        <v>1216</v>
      </c>
      <c r="F159" s="104">
        <f>SUMIFS('China Weekly'!$D$2:$D$774,'China Weekly'!$B$2:$B$774,B159,'China Weekly'!$C$2:$C$774,C159)*1000</f>
        <v>6399.9999999999991</v>
      </c>
      <c r="G159" s="104">
        <f t="shared" si="14"/>
        <v>76.799999999999983</v>
      </c>
    </row>
    <row r="160" spans="1:9">
      <c r="A160" s="39">
        <v>45078</v>
      </c>
      <c r="B160" s="38">
        <f t="shared" si="12"/>
        <v>6</v>
      </c>
      <c r="C160" s="38">
        <f t="shared" si="13"/>
        <v>2023</v>
      </c>
      <c r="D160" s="104">
        <f>SUMIFS('China Weekly'!$E$2:$E$774,'China Weekly'!$B$2:$B$774,B160,'China Weekly'!$C$2:$C$774,C160)*1000</f>
        <v>8397.7000000000007</v>
      </c>
      <c r="E160" s="104">
        <f>SUMIFS('China Weekly'!$F$2:$F$774,'China Weekly'!$B$2:$B$774,B160,'China Weekly'!$C$2:$C$774,C160)</f>
        <v>2019.7</v>
      </c>
      <c r="F160" s="104">
        <f>SUMIFS('China Weekly'!$D$2:$D$774,'China Weekly'!$B$2:$B$774,B160,'China Weekly'!$C$2:$C$774,C160)*1000</f>
        <v>10630</v>
      </c>
      <c r="G160" s="104">
        <f t="shared" si="14"/>
        <v>127.56</v>
      </c>
    </row>
    <row r="161" spans="1:7">
      <c r="A161" s="39">
        <v>45108</v>
      </c>
      <c r="B161" s="38">
        <f t="shared" si="12"/>
        <v>7</v>
      </c>
      <c r="C161" s="38">
        <f t="shared" si="13"/>
        <v>2023</v>
      </c>
      <c r="D161" s="104">
        <f>SUMIFS('China Weekly'!$E$2:$E$774,'China Weekly'!$B$2:$B$774,B161,'China Weekly'!$C$2:$C$774,C161)*1000</f>
        <v>6288.4000000000005</v>
      </c>
      <c r="E161" s="104">
        <f>SUMIFS('China Weekly'!$F$2:$F$774,'China Weekly'!$B$2:$B$774,B161,'China Weekly'!$C$2:$C$774,C161)</f>
        <v>1512.4</v>
      </c>
      <c r="F161" s="104">
        <f>SUMIFS('China Weekly'!$D$2:$D$774,'China Weekly'!$B$2:$B$774,B161,'China Weekly'!$C$2:$C$774,C161)*1000</f>
        <v>7960.0000000000009</v>
      </c>
      <c r="G161" s="104">
        <f t="shared" si="14"/>
        <v>95.52000000000001</v>
      </c>
    </row>
    <row r="162" spans="1:7">
      <c r="A162" s="39">
        <v>45139</v>
      </c>
      <c r="B162" s="38">
        <f t="shared" ref="B162:B164" si="15">MONTH(A162)</f>
        <v>8</v>
      </c>
      <c r="C162" s="38">
        <f t="shared" si="13"/>
        <v>2023</v>
      </c>
      <c r="D162" s="104">
        <f>SUMIFS('China Weekly'!$E$2:$E$774,'China Weekly'!$B$2:$B$774,B162,'China Weekly'!$C$2:$C$774,C162)*1000</f>
        <v>8239.6999999999989</v>
      </c>
      <c r="E162" s="104">
        <f>SUMIFS('China Weekly'!$F$2:$F$774,'China Weekly'!$B$2:$B$774,B162,'China Weekly'!$C$2:$C$774,C162)</f>
        <v>1981.7</v>
      </c>
      <c r="F162" s="104">
        <f>SUMIFS('China Weekly'!$D$2:$D$774,'China Weekly'!$B$2:$B$774,B162,'China Weekly'!$C$2:$C$774,C162)*1000</f>
        <v>10430</v>
      </c>
      <c r="G162" s="104">
        <f t="shared" ref="G162:G164" si="16">F162*12/1000</f>
        <v>125.16</v>
      </c>
    </row>
    <row r="163" spans="1:7">
      <c r="A163" s="39">
        <v>45170</v>
      </c>
      <c r="B163" s="38">
        <f t="shared" si="15"/>
        <v>9</v>
      </c>
      <c r="C163" s="38">
        <f t="shared" si="13"/>
        <v>2023</v>
      </c>
      <c r="D163" s="104">
        <f>SUMIFS('China Weekly'!$E$2:$E$774,'China Weekly'!$B$2:$B$774,B163,'China Weekly'!$C$2:$C$774,C163)*1000</f>
        <v>6478.0000000000009</v>
      </c>
      <c r="E163" s="104">
        <f>SUMIFS('China Weekly'!$F$2:$F$774,'China Weekly'!$B$2:$B$774,B163,'China Weekly'!$C$2:$C$774,C163)</f>
        <v>1558</v>
      </c>
      <c r="F163" s="104">
        <f>SUMIFS('China Weekly'!$D$2:$D$774,'China Weekly'!$B$2:$B$774,B163,'China Weekly'!$C$2:$C$774,C163)*1000</f>
        <v>8200</v>
      </c>
      <c r="G163" s="104">
        <f t="shared" si="16"/>
        <v>98.4</v>
      </c>
    </row>
    <row r="164" spans="1:7">
      <c r="A164" s="39">
        <v>45200</v>
      </c>
      <c r="B164" s="38">
        <f t="shared" si="15"/>
        <v>10</v>
      </c>
      <c r="C164" s="38">
        <f t="shared" si="13"/>
        <v>2023</v>
      </c>
      <c r="D164" s="104">
        <f>SUMIFS('China Weekly'!$E$2:$E$774,'China Weekly'!$B$2:$B$774,B164,'China Weekly'!$C$2:$C$774,C164)*1000</f>
        <v>3578.7</v>
      </c>
      <c r="E164" s="104">
        <f>SUMIFS('China Weekly'!$F$2:$F$774,'China Weekly'!$B$2:$B$774,B164,'China Weekly'!$C$2:$C$774,C164)</f>
        <v>860.7</v>
      </c>
      <c r="F164" s="104">
        <f>SUMIFS('China Weekly'!$D$2:$D$774,'China Weekly'!$B$2:$B$774,B164,'China Weekly'!$C$2:$C$774,C164)*1000</f>
        <v>4529.9999999999991</v>
      </c>
      <c r="G164" s="104">
        <f t="shared" si="16"/>
        <v>54.359999999999985</v>
      </c>
    </row>
    <row r="165" spans="1:7">
      <c r="A165" s="39">
        <v>45231</v>
      </c>
      <c r="B165" s="38">
        <f t="shared" ref="B165:B167" si="17">MONTH(A165)</f>
        <v>11</v>
      </c>
      <c r="C165" s="38">
        <f t="shared" ref="C165:C167" si="18">YEAR(A165)</f>
        <v>2023</v>
      </c>
      <c r="D165" s="104">
        <f>SUMIFS('China Weekly'!$E$2:$E$774,'China Weekly'!$B$2:$B$774,B165,'China Weekly'!$C$2:$C$774,C165)*1000</f>
        <v>7141.6</v>
      </c>
      <c r="E165" s="104">
        <f>SUMIFS('China Weekly'!$F$2:$F$774,'China Weekly'!$B$2:$B$774,B165,'China Weekly'!$C$2:$C$774,C165)</f>
        <v>1717.6</v>
      </c>
      <c r="F165" s="104">
        <f>SUMIFS('China Weekly'!$D$2:$D$774,'China Weekly'!$B$2:$B$774,B165,'China Weekly'!$C$2:$C$774,C165)*1000</f>
        <v>9040</v>
      </c>
      <c r="G165" s="104">
        <f t="shared" ref="G165:G167" si="19">F165*12/1000</f>
        <v>108.48</v>
      </c>
    </row>
    <row r="166" spans="1:7">
      <c r="A166" s="39">
        <v>45261</v>
      </c>
      <c r="B166" s="38">
        <f t="shared" si="17"/>
        <v>12</v>
      </c>
      <c r="C166" s="38">
        <f t="shared" si="18"/>
        <v>2023</v>
      </c>
      <c r="D166" s="104">
        <f>SUMIFS('China Weekly'!$E$2:$E$774,'China Weekly'!$B$2:$B$774,B166,'China Weekly'!$C$2:$C$774,C166)*1000</f>
        <v>5925</v>
      </c>
      <c r="E166" s="104">
        <f>SUMIFS('China Weekly'!$F$2:$F$774,'China Weekly'!$B$2:$B$774,B166,'China Weekly'!$C$2:$C$774,C166)</f>
        <v>1425</v>
      </c>
      <c r="F166" s="104">
        <f>SUMIFS('China Weekly'!$D$2:$D$774,'China Weekly'!$B$2:$B$774,B166,'China Weekly'!$C$2:$C$774,C166)*1000</f>
        <v>7500</v>
      </c>
      <c r="G166" s="104">
        <f t="shared" si="19"/>
        <v>90</v>
      </c>
    </row>
    <row r="167" spans="1:7">
      <c r="A167" s="39">
        <v>45292</v>
      </c>
      <c r="B167" s="38">
        <f t="shared" si="17"/>
        <v>1</v>
      </c>
      <c r="C167" s="38">
        <f t="shared" si="18"/>
        <v>2024</v>
      </c>
      <c r="D167" s="104">
        <f>SUMIFS('China Weekly'!$E$2:$E$774,'China Weekly'!$B$2:$B$774,B167,'China Weekly'!$C$2:$C$774,C167)*1000</f>
        <v>7086.3</v>
      </c>
      <c r="E167" s="104">
        <f>SUMIFS('China Weekly'!$F$2:$F$774,'China Weekly'!$B$2:$B$774,B167,'China Weekly'!$C$2:$C$774,C167)</f>
        <v>1704.3</v>
      </c>
      <c r="F167" s="104">
        <f>SUMIFS('China Weekly'!$D$2:$D$774,'China Weekly'!$B$2:$B$774,B167,'China Weekly'!$C$2:$C$774,C167)*1000</f>
        <v>8970</v>
      </c>
      <c r="G167" s="104">
        <f t="shared" si="19"/>
        <v>107.64</v>
      </c>
    </row>
    <row r="168" spans="1:7">
      <c r="A168" s="39">
        <v>45323</v>
      </c>
      <c r="B168" s="38">
        <f t="shared" ref="B168:B169" si="20">MONTH(A168)</f>
        <v>2</v>
      </c>
      <c r="C168" s="38">
        <f t="shared" ref="C168:C169" si="21">YEAR(A168)</f>
        <v>2024</v>
      </c>
      <c r="D168" s="104">
        <f>SUMIFS('China Weekly'!$E$2:$E$774,'China Weekly'!$B$2:$B$774,B168,'China Weekly'!$C$2:$C$774,C168)*1000</f>
        <v>3025.7000000000003</v>
      </c>
      <c r="E168" s="104">
        <f>SUMIFS('China Weekly'!$F$2:$F$774,'China Weekly'!$B$2:$B$774,B168,'China Weekly'!$C$2:$C$774,C168)</f>
        <v>727.69999999999993</v>
      </c>
      <c r="F168" s="104">
        <f>SUMIFS('China Weekly'!$D$2:$D$774,'China Weekly'!$B$2:$B$774,B168,'China Weekly'!$C$2:$C$774,C168)*1000</f>
        <v>3830</v>
      </c>
      <c r="G168" s="104">
        <f>F168*12/1000</f>
        <v>45.96</v>
      </c>
    </row>
    <row r="169" spans="1:7">
      <c r="A169" s="39">
        <v>45352</v>
      </c>
      <c r="B169" s="38">
        <f t="shared" si="20"/>
        <v>3</v>
      </c>
      <c r="C169" s="38">
        <f t="shared" si="21"/>
        <v>2024</v>
      </c>
      <c r="D169" s="104">
        <f>SUMIFS('China Weekly'!$E$2:$E$774,'China Weekly'!$B$2:$B$774,B169,'China Weekly'!$C$2:$C$774,C169)*1000</f>
        <v>3705.1000000000004</v>
      </c>
      <c r="E169" s="104">
        <f>SUMIFS('China Weekly'!$F$2:$F$774,'China Weekly'!$B$2:$B$774,B169,'China Weekly'!$C$2:$C$774,C169)</f>
        <v>891.09999999999991</v>
      </c>
      <c r="F169" s="104">
        <f>SUMIFS('China Weekly'!$D$2:$D$774,'China Weekly'!$B$2:$B$774,B169,'China Weekly'!$C$2:$C$774,C169)*1000</f>
        <v>4689.9999999999991</v>
      </c>
      <c r="G169" s="104">
        <f t="shared" ref="G169:G171" si="22">F169*12/1000</f>
        <v>56.279999999999987</v>
      </c>
    </row>
    <row r="170" spans="1:7">
      <c r="A170" s="39">
        <v>45383</v>
      </c>
      <c r="B170" s="38">
        <f t="shared" ref="B170:B171" si="23">MONTH(A170)</f>
        <v>4</v>
      </c>
      <c r="C170" s="38">
        <f t="shared" ref="C170:C171" si="24">YEAR(A170)</f>
        <v>2024</v>
      </c>
      <c r="D170" s="104">
        <f>SUMIFS('China Weekly'!$E$2:$E$774,'China Weekly'!$B$2:$B$774,B170,'China Weekly'!$C$2:$C$774,C170)*1000</f>
        <v>5656.4</v>
      </c>
      <c r="E170" s="104">
        <f>SUMIFS('China Weekly'!$F$2:$F$774,'China Weekly'!$B$2:$B$774,B170,'China Weekly'!$C$2:$C$774,C170)</f>
        <v>1360.4</v>
      </c>
      <c r="F170" s="104">
        <f>SUMIFS('China Weekly'!$D$2:$D$774,'China Weekly'!$B$2:$B$774,B170,'China Weekly'!$C$2:$C$774,C170)*1000</f>
        <v>7160</v>
      </c>
      <c r="G170" s="104">
        <f t="shared" si="22"/>
        <v>85.92</v>
      </c>
    </row>
    <row r="171" spans="1:7">
      <c r="A171" s="39">
        <v>45413</v>
      </c>
      <c r="B171" s="38">
        <f t="shared" si="23"/>
        <v>5</v>
      </c>
      <c r="C171" s="38">
        <f t="shared" si="24"/>
        <v>2024</v>
      </c>
      <c r="D171" s="104">
        <f>SUMIFS('China Weekly'!$E$2:$E$774,'China Weekly'!$B$2:$B$774,B171,'China Weekly'!$C$2:$C$774,C171)*1000</f>
        <v>7568.2000000000007</v>
      </c>
      <c r="E171" s="104">
        <f>SUMIFS('China Weekly'!$F$2:$F$774,'China Weekly'!$B$2:$B$774,B171,'China Weekly'!$C$2:$C$774,C171)</f>
        <v>1820.1999999999998</v>
      </c>
      <c r="F171" s="104">
        <f>SUMIFS('China Weekly'!$D$2:$D$774,'China Weekly'!$B$2:$B$774,B171,'China Weekly'!$C$2:$C$774,C171)*1000</f>
        <v>9580</v>
      </c>
      <c r="G171" s="104">
        <f t="shared" si="22"/>
        <v>114.96</v>
      </c>
    </row>
    <row r="172" spans="1:7">
      <c r="A172" s="150">
        <v>45444</v>
      </c>
      <c r="B172" s="38">
        <f>MONTH(A172)</f>
        <v>6</v>
      </c>
      <c r="C172" s="38">
        <f>YEAR(A172)</f>
        <v>2024</v>
      </c>
      <c r="D172" s="151">
        <f>SUMIFS('China Weekly'!$E$2:$E$774,'China Weekly'!$B$2:$B$774,B172,'China Weekly'!$C$2:$C$774,C172)*1000</f>
        <v>6312.1</v>
      </c>
      <c r="E172" s="151">
        <f>SUMIFS('China Weekly'!$F$2:$F$774,'China Weekly'!$B$2:$B$774,B172,'China Weekly'!$C$2:$C$774,C172)</f>
        <v>1518.1</v>
      </c>
      <c r="F172" s="151">
        <f>SUMIFS('China Weekly'!$D$2:$D$774,'China Weekly'!$B$2:$B$774,B172,'China Weekly'!$C$2:$C$774,C172)*1000</f>
        <v>7990</v>
      </c>
      <c r="G172" s="151">
        <f>F172*12/1000</f>
        <v>95.88</v>
      </c>
    </row>
    <row r="173" spans="1:7">
      <c r="A173" s="39">
        <v>45474</v>
      </c>
      <c r="B173" s="38">
        <f>MONTH(A173)</f>
        <v>7</v>
      </c>
      <c r="C173" s="38">
        <f>YEAR(A173)</f>
        <v>2024</v>
      </c>
      <c r="D173" s="151">
        <f>SUMIFS('China Weekly'!$E$2:$E$774,'China Weekly'!$B$2:$B$774,B173,'China Weekly'!$C$2:$C$774,C173)*1000</f>
        <v>6256.8</v>
      </c>
      <c r="E173" s="151">
        <f>SUMIFS('China Weekly'!$F$2:$F$774,'China Weekly'!$B$2:$B$774,B173,'China Weekly'!$C$2:$C$774,C173)</f>
        <v>1504.8</v>
      </c>
      <c r="F173" s="151">
        <f>SUMIFS('China Weekly'!$D$2:$D$774,'China Weekly'!$B$2:$B$774,B173,'China Weekly'!$C$2:$C$774,C173)*1000</f>
        <v>7919.9999999999991</v>
      </c>
      <c r="G173" s="151">
        <f>F173*12/1000</f>
        <v>95.039999999999992</v>
      </c>
    </row>
    <row r="174" spans="1:7">
      <c r="A174" s="150">
        <v>45505</v>
      </c>
      <c r="B174" s="152">
        <f>MONTH(A174)</f>
        <v>8</v>
      </c>
      <c r="C174" s="152">
        <f>YEAR(A174)</f>
        <v>2024</v>
      </c>
      <c r="D174" s="153">
        <f>SUMIFS('China Weekly'!$E$2:$E$774,'China Weekly'!$B$2:$B$774,B174,'China Weekly'!$C$2:$C$774,C174)*1000</f>
        <v>8113.3</v>
      </c>
      <c r="E174" s="153">
        <f>SUMIFS('China Weekly'!$F$2:$F$774,'China Weekly'!$B$2:$B$774,B174,'China Weekly'!$C$2:$C$774,C174)</f>
        <v>1951.3</v>
      </c>
      <c r="F174" s="153">
        <f>SUMIFS('China Weekly'!$D$2:$D$774,'China Weekly'!$B$2:$B$774,B174,'China Weekly'!$C$2:$C$774,C174)*1000</f>
        <v>10270</v>
      </c>
      <c r="G174" s="153">
        <f>F174*12/1000</f>
        <v>123.24</v>
      </c>
    </row>
    <row r="175" spans="1:7">
      <c r="A175" s="150">
        <v>45536</v>
      </c>
      <c r="B175" s="152">
        <f t="shared" ref="B175:B176" si="25">MONTH(A175)</f>
        <v>9</v>
      </c>
      <c r="C175" s="152">
        <f t="shared" ref="C175:C176" si="26">YEAR(A175)</f>
        <v>2024</v>
      </c>
      <c r="D175" s="153">
        <f>SUMIFS('China Weekly'!$E$2:$E$774,'China Weekly'!$B$2:$B$774,B175,'China Weekly'!$C$2:$C$774,C175)*1000</f>
        <v>6747.6000000000013</v>
      </c>
      <c r="E175" s="153">
        <f>SUMIFS('China Weekly'!$F$2:$F$774,'China Weekly'!$B$2:$B$774,B175,'China Weekly'!$C$2:$C$774,C175)</f>
        <v>1623.6000000000001</v>
      </c>
      <c r="F175" s="153">
        <f>SUMIFS('China Weekly'!$D$2:$D$774,'China Weekly'!$B$2:$B$774,B175,'China Weekly'!$C$2:$C$774,C175)*1000</f>
        <v>8540</v>
      </c>
      <c r="G175" s="153">
        <f t="shared" ref="G175:G176" si="27">F175*12/1000</f>
        <v>102.48</v>
      </c>
    </row>
    <row r="176" spans="1:7">
      <c r="A176" s="150">
        <v>45566</v>
      </c>
      <c r="B176" s="152">
        <f t="shared" si="25"/>
        <v>10</v>
      </c>
      <c r="C176" s="152">
        <f t="shared" si="26"/>
        <v>2024</v>
      </c>
      <c r="D176" s="153">
        <f>SUMIFS('China Weekly'!$E$2:$E$774,'China Weekly'!$B$2:$B$774,B176,'China Weekly'!$C$2:$C$774,C176)*1000</f>
        <v>5699.0488615906515</v>
      </c>
      <c r="E176" s="153">
        <f>SUMIFS('China Weekly'!$F$2:$F$774,'China Weekly'!$B$2:$B$774,B176,'China Weekly'!$C$2:$C$774,C176)</f>
        <v>1370.014927306341</v>
      </c>
      <c r="F176" s="153">
        <f>SUMIFS('China Weekly'!$D$2:$D$774,'China Weekly'!$B$2:$B$774,B176,'China Weekly'!$C$2:$C$774,C176)*1000</f>
        <v>7209.9999999999991</v>
      </c>
      <c r="G176" s="153">
        <f t="shared" si="27"/>
        <v>86.519999999999982</v>
      </c>
    </row>
    <row r="177" spans="1:7">
      <c r="A177" s="150">
        <v>45597</v>
      </c>
      <c r="B177" s="152">
        <f t="shared" ref="B177:B180" si="28">MONTH(A177)</f>
        <v>11</v>
      </c>
      <c r="C177" s="152">
        <f t="shared" ref="C177:C180" si="29">YEAR(A177)</f>
        <v>2024</v>
      </c>
      <c r="D177" s="153">
        <f>SUMIFS('China Weekly'!$E$2:$E$774,'China Weekly'!$B$2:$B$774,B177,'China Weekly'!$C$2:$C$774,C177)*1000</f>
        <v>4582.1349510598939</v>
      </c>
      <c r="E177" s="153">
        <f>SUMIFS('China Weekly'!$F$2:$F$774,'China Weekly'!$B$2:$B$774,B177,'China Weekly'!$C$2:$C$774,C177)</f>
        <v>1102.0412277984653</v>
      </c>
      <c r="F177" s="153">
        <f>SUMIFS('China Weekly'!$D$2:$D$774,'China Weekly'!$B$2:$B$774,B177,'China Weekly'!$C$2:$C$774,C177)*1000</f>
        <v>5800</v>
      </c>
      <c r="G177" s="153">
        <f t="shared" ref="G177:G180" si="30">F177*12/1000</f>
        <v>69.599999999999994</v>
      </c>
    </row>
    <row r="178" spans="1:7">
      <c r="A178" s="150">
        <v>45627</v>
      </c>
      <c r="B178" s="152">
        <f t="shared" si="28"/>
        <v>12</v>
      </c>
      <c r="C178" s="152">
        <f t="shared" si="29"/>
        <v>2024</v>
      </c>
      <c r="D178" s="153">
        <f>SUMIFS('China Weekly'!$E$2:$E$774,'China Weekly'!$B$2:$B$774,B178,'China Weekly'!$C$2:$C$774,C178)*1000</f>
        <v>5909.3740403324164</v>
      </c>
      <c r="E178" s="153">
        <f>SUMIFS('China Weekly'!$F$2:$F$774,'China Weekly'!$B$2:$B$774,B178,'China Weekly'!$C$2:$C$774,C178)</f>
        <v>1421.2531696435381</v>
      </c>
      <c r="F178" s="153">
        <f>SUMIFS('China Weekly'!$D$2:$D$774,'China Weekly'!$B$2:$B$774,B178,'China Weekly'!$C$2:$C$774,C178)*1000</f>
        <v>7480</v>
      </c>
      <c r="G178" s="153">
        <f t="shared" si="30"/>
        <v>89.76</v>
      </c>
    </row>
    <row r="179" spans="1:7">
      <c r="A179" s="150">
        <v>45658</v>
      </c>
      <c r="B179" s="152">
        <f t="shared" si="28"/>
        <v>1</v>
      </c>
      <c r="C179" s="152">
        <f t="shared" si="29"/>
        <v>2025</v>
      </c>
      <c r="D179" s="153">
        <f>SUMIFS('China Weekly'!$E$2:$E$774,'China Weekly'!$B$2:$B$774,B179,'China Weekly'!$C$2:$C$774,C179)*1000</f>
        <v>6414.9889314838529</v>
      </c>
      <c r="E179" s="153">
        <f>SUMIFS('China Weekly'!$F$2:$F$774,'China Weekly'!$B$2:$B$774,B179,'China Weekly'!$C$2:$C$774,C179)</f>
        <v>1542.8577189178511</v>
      </c>
      <c r="F179" s="153">
        <f>SUMIFS('China Weekly'!$D$2:$D$774,'China Weekly'!$B$2:$B$774,B179,'China Weekly'!$C$2:$C$774,C179)*1000</f>
        <v>8120.0000000000009</v>
      </c>
      <c r="G179" s="153">
        <f t="shared" si="30"/>
        <v>97.440000000000012</v>
      </c>
    </row>
    <row r="180" spans="1:7">
      <c r="A180" s="150">
        <v>45689</v>
      </c>
      <c r="B180" s="152">
        <f t="shared" si="28"/>
        <v>2</v>
      </c>
      <c r="C180" s="152">
        <f t="shared" si="29"/>
        <v>2025</v>
      </c>
      <c r="D180" s="153">
        <f>SUMIFS('China Weekly'!$E$2:$E$774,'China Weekly'!$B$2:$B$774,B180,'China Weekly'!$C$2:$C$774,C180)*1000</f>
        <v>3602.5060994539863</v>
      </c>
      <c r="E180" s="153">
        <f>SUMIFS('China Weekly'!$F$2:$F$774,'China Weekly'!$B$2:$B$774,B180,'China Weekly'!$C$2:$C$774,C180)</f>
        <v>866.43241357948295</v>
      </c>
      <c r="F180" s="153">
        <f>SUMIFS('China Weekly'!$D$2:$D$774,'China Weekly'!$B$2:$B$774,B180,'China Weekly'!$C$2:$C$774,C180)*1000</f>
        <v>4560.0000000000009</v>
      </c>
      <c r="G180" s="153">
        <f t="shared" si="30"/>
        <v>54.720000000000013</v>
      </c>
    </row>
    <row r="181" spans="1:7">
      <c r="A181" s="150"/>
      <c r="B181" s="152"/>
      <c r="C181" s="152"/>
      <c r="D181" s="153"/>
      <c r="E181" s="153"/>
      <c r="F181" s="153"/>
      <c r="G181" s="153"/>
    </row>
    <row r="182" spans="1:7">
      <c r="A182" s="150"/>
      <c r="B182" s="152"/>
      <c r="C182" s="152"/>
      <c r="D182" s="153"/>
      <c r="E182" s="153"/>
      <c r="F182" s="153"/>
      <c r="G182" s="1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F322"/>
  <sheetViews>
    <sheetView workbookViewId="0">
      <pane xSplit="1" ySplit="2" topLeftCell="B288" activePane="bottomRight" state="frozen"/>
      <selection pane="topRight" activeCell="B1" sqref="B1"/>
      <selection pane="bottomLeft" activeCell="A3" sqref="A3"/>
      <selection pane="bottomRight" activeCell="U326" sqref="U326"/>
    </sheetView>
  </sheetViews>
  <sheetFormatPr defaultColWidth="9.140625" defaultRowHeight="12.75"/>
  <cols>
    <col min="1" max="16384" width="9.140625" style="70"/>
  </cols>
  <sheetData>
    <row r="1" spans="1:84">
      <c r="A1" s="82"/>
      <c r="B1" s="81" t="s">
        <v>72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3"/>
      <c r="O1" s="84" t="s">
        <v>339</v>
      </c>
      <c r="P1" s="85"/>
      <c r="Q1" s="85"/>
      <c r="R1" s="85"/>
      <c r="S1" s="85"/>
      <c r="T1" s="85"/>
      <c r="U1" s="85"/>
      <c r="V1" s="85"/>
      <c r="W1" s="85"/>
      <c r="X1" s="85"/>
      <c r="Y1" s="85"/>
      <c r="Z1" s="83"/>
      <c r="AA1" s="81" t="s">
        <v>340</v>
      </c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3"/>
      <c r="AP1" s="84" t="s">
        <v>341</v>
      </c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3"/>
      <c r="BD1" s="81" t="s">
        <v>342</v>
      </c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3"/>
      <c r="BP1" s="81" t="s">
        <v>343</v>
      </c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3"/>
      <c r="CC1" s="84" t="s">
        <v>344</v>
      </c>
      <c r="CD1" s="81"/>
      <c r="CE1" s="81"/>
      <c r="CF1" s="81"/>
    </row>
    <row r="2" spans="1:84" s="71" customFormat="1">
      <c r="A2" s="86" t="s">
        <v>345</v>
      </c>
      <c r="B2" s="87" t="s">
        <v>346</v>
      </c>
      <c r="C2" s="87" t="s">
        <v>69</v>
      </c>
      <c r="D2" s="87" t="s">
        <v>347</v>
      </c>
      <c r="E2" s="87" t="s">
        <v>348</v>
      </c>
      <c r="F2" s="87" t="s">
        <v>349</v>
      </c>
      <c r="G2" s="88" t="s">
        <v>350</v>
      </c>
      <c r="H2" s="87" t="s">
        <v>351</v>
      </c>
      <c r="I2" s="87" t="s">
        <v>326</v>
      </c>
      <c r="J2" s="87" t="s">
        <v>352</v>
      </c>
      <c r="K2" s="87" t="s">
        <v>353</v>
      </c>
      <c r="L2" s="87" t="s">
        <v>354</v>
      </c>
      <c r="M2" s="87" t="s">
        <v>22</v>
      </c>
      <c r="N2" s="89" t="s">
        <v>355</v>
      </c>
      <c r="O2" s="85" t="s">
        <v>346</v>
      </c>
      <c r="P2" s="85" t="s">
        <v>69</v>
      </c>
      <c r="Q2" s="85" t="s">
        <v>349</v>
      </c>
      <c r="R2" s="90" t="s">
        <v>350</v>
      </c>
      <c r="S2" s="85" t="s">
        <v>351</v>
      </c>
      <c r="T2" s="85" t="s">
        <v>326</v>
      </c>
      <c r="U2" s="85" t="s">
        <v>352</v>
      </c>
      <c r="V2" s="85" t="s">
        <v>353</v>
      </c>
      <c r="W2" s="90" t="s">
        <v>356</v>
      </c>
      <c r="X2" s="85" t="s">
        <v>354</v>
      </c>
      <c r="Y2" s="85" t="s">
        <v>22</v>
      </c>
      <c r="Z2" s="89" t="s">
        <v>355</v>
      </c>
      <c r="AA2" s="87" t="s">
        <v>346</v>
      </c>
      <c r="AB2" s="87" t="s">
        <v>69</v>
      </c>
      <c r="AC2" s="87" t="s">
        <v>357</v>
      </c>
      <c r="AD2" s="87" t="s">
        <v>327</v>
      </c>
      <c r="AE2" s="87" t="s">
        <v>349</v>
      </c>
      <c r="AF2" s="87" t="s">
        <v>358</v>
      </c>
      <c r="AG2" s="87" t="s">
        <v>359</v>
      </c>
      <c r="AH2" s="87" t="s">
        <v>326</v>
      </c>
      <c r="AI2" s="87" t="s">
        <v>324</v>
      </c>
      <c r="AJ2" s="87" t="s">
        <v>328</v>
      </c>
      <c r="AK2" s="87" t="s">
        <v>353</v>
      </c>
      <c r="AL2" s="87" t="s">
        <v>360</v>
      </c>
      <c r="AM2" s="87" t="s">
        <v>361</v>
      </c>
      <c r="AN2" s="87" t="s">
        <v>22</v>
      </c>
      <c r="AO2" s="89" t="s">
        <v>355</v>
      </c>
      <c r="AP2" s="87" t="s">
        <v>346</v>
      </c>
      <c r="AQ2" s="87" t="s">
        <v>69</v>
      </c>
      <c r="AR2" s="87" t="s">
        <v>327</v>
      </c>
      <c r="AS2" s="87" t="s">
        <v>349</v>
      </c>
      <c r="AT2" s="88" t="s">
        <v>350</v>
      </c>
      <c r="AU2" s="87" t="s">
        <v>359</v>
      </c>
      <c r="AV2" s="88" t="s">
        <v>326</v>
      </c>
      <c r="AW2" s="87" t="s">
        <v>362</v>
      </c>
      <c r="AX2" s="87" t="s">
        <v>324</v>
      </c>
      <c r="AY2" s="87" t="s">
        <v>328</v>
      </c>
      <c r="AZ2" s="87" t="s">
        <v>353</v>
      </c>
      <c r="BA2" s="87" t="s">
        <v>360</v>
      </c>
      <c r="BB2" s="87" t="s">
        <v>22</v>
      </c>
      <c r="BC2" s="89" t="s">
        <v>355</v>
      </c>
      <c r="BD2" s="87" t="s">
        <v>346</v>
      </c>
      <c r="BE2" s="87" t="s">
        <v>69</v>
      </c>
      <c r="BF2" s="87" t="s">
        <v>357</v>
      </c>
      <c r="BG2" s="87" t="s">
        <v>349</v>
      </c>
      <c r="BH2" s="88" t="s">
        <v>350</v>
      </c>
      <c r="BI2" s="88" t="s">
        <v>363</v>
      </c>
      <c r="BJ2" s="88" t="s">
        <v>364</v>
      </c>
      <c r="BK2" s="87" t="s">
        <v>352</v>
      </c>
      <c r="BL2" s="87" t="s">
        <v>353</v>
      </c>
      <c r="BM2" s="87" t="s">
        <v>365</v>
      </c>
      <c r="BN2" s="87" t="s">
        <v>22</v>
      </c>
      <c r="BO2" s="89" t="s">
        <v>355</v>
      </c>
      <c r="BP2" s="87" t="s">
        <v>346</v>
      </c>
      <c r="BQ2" s="87" t="s">
        <v>69</v>
      </c>
      <c r="BR2" s="87" t="s">
        <v>357</v>
      </c>
      <c r="BS2" s="87" t="s">
        <v>349</v>
      </c>
      <c r="BT2" s="87" t="s">
        <v>366</v>
      </c>
      <c r="BU2" s="87" t="s">
        <v>363</v>
      </c>
      <c r="BV2" s="87" t="s">
        <v>324</v>
      </c>
      <c r="BW2" s="87" t="s">
        <v>352</v>
      </c>
      <c r="BX2" s="87" t="s">
        <v>353</v>
      </c>
      <c r="BY2" s="87" t="s">
        <v>365</v>
      </c>
      <c r="BZ2" s="87" t="s">
        <v>214</v>
      </c>
      <c r="CA2" s="87" t="s">
        <v>22</v>
      </c>
      <c r="CB2" s="89" t="s">
        <v>355</v>
      </c>
      <c r="CC2" s="87" t="s">
        <v>346</v>
      </c>
      <c r="CD2" s="87" t="s">
        <v>349</v>
      </c>
      <c r="CE2" s="87" t="s">
        <v>22</v>
      </c>
      <c r="CF2" s="87" t="s">
        <v>355</v>
      </c>
    </row>
    <row r="3" spans="1:84">
      <c r="A3" s="82">
        <v>35065</v>
      </c>
      <c r="B3" s="85">
        <v>303</v>
      </c>
      <c r="C3" s="85">
        <v>2</v>
      </c>
      <c r="D3" s="85">
        <v>0</v>
      </c>
      <c r="E3" s="85">
        <v>0</v>
      </c>
      <c r="F3" s="85">
        <v>156</v>
      </c>
      <c r="G3" s="90">
        <v>7</v>
      </c>
      <c r="H3" s="85">
        <v>14</v>
      </c>
      <c r="I3" s="85">
        <v>4</v>
      </c>
      <c r="J3" s="85">
        <v>2</v>
      </c>
      <c r="K3" s="85">
        <v>5</v>
      </c>
      <c r="L3" s="85">
        <v>23</v>
      </c>
      <c r="M3" s="85">
        <v>517</v>
      </c>
      <c r="N3" s="83">
        <v>516</v>
      </c>
      <c r="O3" s="85">
        <v>320</v>
      </c>
      <c r="P3" s="85">
        <v>4</v>
      </c>
      <c r="Q3" s="85">
        <v>99</v>
      </c>
      <c r="R3" s="90">
        <v>9</v>
      </c>
      <c r="S3" s="85">
        <v>3</v>
      </c>
      <c r="T3" s="85">
        <v>24</v>
      </c>
      <c r="U3" s="85">
        <v>1</v>
      </c>
      <c r="V3" s="85">
        <v>7</v>
      </c>
      <c r="W3" s="90">
        <v>0</v>
      </c>
      <c r="X3" s="85">
        <v>1</v>
      </c>
      <c r="Y3" s="85">
        <v>467</v>
      </c>
      <c r="Z3" s="83">
        <v>468</v>
      </c>
      <c r="AA3" s="85">
        <v>54</v>
      </c>
      <c r="AB3" s="85">
        <v>0</v>
      </c>
      <c r="AC3" s="85">
        <v>0</v>
      </c>
      <c r="AD3" s="85">
        <v>0</v>
      </c>
      <c r="AE3" s="85">
        <v>66</v>
      </c>
      <c r="AF3" s="85">
        <v>3</v>
      </c>
      <c r="AG3" s="85">
        <v>7</v>
      </c>
      <c r="AH3" s="85">
        <v>1</v>
      </c>
      <c r="AI3" s="85">
        <v>0</v>
      </c>
      <c r="AJ3" s="85">
        <v>2</v>
      </c>
      <c r="AK3" s="85">
        <v>2</v>
      </c>
      <c r="AL3" s="85">
        <v>0</v>
      </c>
      <c r="AM3" s="85"/>
      <c r="AN3" s="85">
        <v>136</v>
      </c>
      <c r="AO3" s="83">
        <v>135</v>
      </c>
      <c r="AP3" s="85">
        <v>27</v>
      </c>
      <c r="AQ3" s="85">
        <v>1</v>
      </c>
      <c r="AR3" s="85">
        <v>2</v>
      </c>
      <c r="AS3" s="85">
        <v>27</v>
      </c>
      <c r="AT3" s="90">
        <v>4</v>
      </c>
      <c r="AU3" s="85">
        <v>7</v>
      </c>
      <c r="AV3" s="90">
        <v>12</v>
      </c>
      <c r="AW3" s="85">
        <v>7</v>
      </c>
      <c r="AX3" s="85">
        <v>0</v>
      </c>
      <c r="AY3" s="85">
        <v>3</v>
      </c>
      <c r="AZ3" s="85">
        <v>4</v>
      </c>
      <c r="BA3" s="85">
        <v>3</v>
      </c>
      <c r="BB3" s="85">
        <v>96</v>
      </c>
      <c r="BC3" s="83">
        <v>97</v>
      </c>
      <c r="BD3" s="85">
        <v>233</v>
      </c>
      <c r="BE3" s="85">
        <v>1</v>
      </c>
      <c r="BF3" s="85">
        <v>0</v>
      </c>
      <c r="BG3" s="85">
        <v>88</v>
      </c>
      <c r="BH3" s="90">
        <v>3</v>
      </c>
      <c r="BI3" s="90">
        <v>8</v>
      </c>
      <c r="BJ3" s="90">
        <v>55</v>
      </c>
      <c r="BK3" s="85">
        <v>1</v>
      </c>
      <c r="BL3" s="85">
        <v>3</v>
      </c>
      <c r="BM3" s="85">
        <v>17</v>
      </c>
      <c r="BN3" s="85">
        <v>408</v>
      </c>
      <c r="BO3" s="83">
        <v>409</v>
      </c>
      <c r="BP3" s="85">
        <v>164</v>
      </c>
      <c r="BQ3" s="85">
        <v>2</v>
      </c>
      <c r="BR3" s="85">
        <v>0</v>
      </c>
      <c r="BS3" s="85">
        <v>46</v>
      </c>
      <c r="BT3" s="85">
        <v>1</v>
      </c>
      <c r="BU3" s="85">
        <v>2</v>
      </c>
      <c r="BV3" s="85">
        <v>0</v>
      </c>
      <c r="BW3" s="85">
        <v>3</v>
      </c>
      <c r="BX3" s="85">
        <v>5</v>
      </c>
      <c r="BY3" s="85">
        <v>60</v>
      </c>
      <c r="BZ3" s="85"/>
      <c r="CA3" s="85">
        <v>284</v>
      </c>
      <c r="CB3" s="83">
        <v>283</v>
      </c>
      <c r="CC3" s="85">
        <v>92</v>
      </c>
      <c r="CD3" s="85">
        <v>34</v>
      </c>
      <c r="CE3" s="85">
        <v>126</v>
      </c>
      <c r="CF3" s="81">
        <v>126</v>
      </c>
    </row>
    <row r="4" spans="1:84">
      <c r="A4" s="82">
        <v>35096</v>
      </c>
      <c r="B4" s="85">
        <v>292</v>
      </c>
      <c r="C4" s="85">
        <v>3</v>
      </c>
      <c r="D4" s="85">
        <v>0</v>
      </c>
      <c r="E4" s="85">
        <v>0</v>
      </c>
      <c r="F4" s="85">
        <v>164</v>
      </c>
      <c r="G4" s="90">
        <v>7</v>
      </c>
      <c r="H4" s="85">
        <v>18</v>
      </c>
      <c r="I4" s="85">
        <v>6</v>
      </c>
      <c r="J4" s="85">
        <v>3</v>
      </c>
      <c r="K4" s="85">
        <v>5</v>
      </c>
      <c r="L4" s="85">
        <v>27</v>
      </c>
      <c r="M4" s="85">
        <v>524</v>
      </c>
      <c r="N4" s="83">
        <v>525</v>
      </c>
      <c r="O4" s="85">
        <v>387</v>
      </c>
      <c r="P4" s="85">
        <v>6</v>
      </c>
      <c r="Q4" s="85">
        <v>91</v>
      </c>
      <c r="R4" s="90">
        <v>8</v>
      </c>
      <c r="S4" s="85">
        <v>1</v>
      </c>
      <c r="T4" s="85">
        <v>23</v>
      </c>
      <c r="U4" s="85">
        <v>2</v>
      </c>
      <c r="V4" s="85">
        <v>5</v>
      </c>
      <c r="W4" s="90">
        <v>0</v>
      </c>
      <c r="X4" s="85">
        <v>1</v>
      </c>
      <c r="Y4" s="85">
        <v>524</v>
      </c>
      <c r="Z4" s="83">
        <v>524</v>
      </c>
      <c r="AA4" s="85">
        <v>52</v>
      </c>
      <c r="AB4" s="85">
        <v>1</v>
      </c>
      <c r="AC4" s="85">
        <v>0</v>
      </c>
      <c r="AD4" s="85">
        <v>0</v>
      </c>
      <c r="AE4" s="85">
        <v>69</v>
      </c>
      <c r="AF4" s="85">
        <v>3</v>
      </c>
      <c r="AG4" s="85">
        <v>8</v>
      </c>
      <c r="AH4" s="85">
        <v>2</v>
      </c>
      <c r="AI4" s="85">
        <v>0</v>
      </c>
      <c r="AJ4" s="85">
        <v>2</v>
      </c>
      <c r="AK4" s="85">
        <v>2</v>
      </c>
      <c r="AL4" s="85">
        <v>0</v>
      </c>
      <c r="AM4" s="85"/>
      <c r="AN4" s="85">
        <v>140</v>
      </c>
      <c r="AO4" s="83">
        <v>139</v>
      </c>
      <c r="AP4" s="85">
        <v>26</v>
      </c>
      <c r="AQ4" s="85">
        <v>2</v>
      </c>
      <c r="AR4" s="85">
        <v>1</v>
      </c>
      <c r="AS4" s="85">
        <v>33</v>
      </c>
      <c r="AT4" s="90">
        <v>4</v>
      </c>
      <c r="AU4" s="85">
        <v>8</v>
      </c>
      <c r="AV4" s="90">
        <v>14</v>
      </c>
      <c r="AW4" s="85">
        <v>6</v>
      </c>
      <c r="AX4" s="85">
        <v>0</v>
      </c>
      <c r="AY4" s="85">
        <v>3</v>
      </c>
      <c r="AZ4" s="85">
        <v>4</v>
      </c>
      <c r="BA4" s="85">
        <v>3</v>
      </c>
      <c r="BB4" s="85">
        <v>103</v>
      </c>
      <c r="BC4" s="83">
        <v>104</v>
      </c>
      <c r="BD4" s="85">
        <v>227</v>
      </c>
      <c r="BE4" s="85">
        <v>2</v>
      </c>
      <c r="BF4" s="85">
        <v>0</v>
      </c>
      <c r="BG4" s="85">
        <v>92</v>
      </c>
      <c r="BH4" s="90">
        <v>3</v>
      </c>
      <c r="BI4" s="90">
        <v>10</v>
      </c>
      <c r="BJ4" s="90">
        <v>69</v>
      </c>
      <c r="BK4" s="85">
        <v>1</v>
      </c>
      <c r="BL4" s="85">
        <v>3</v>
      </c>
      <c r="BM4" s="85">
        <v>16</v>
      </c>
      <c r="BN4" s="85">
        <v>423</v>
      </c>
      <c r="BO4" s="83">
        <v>423</v>
      </c>
      <c r="BP4" s="85">
        <v>164</v>
      </c>
      <c r="BQ4" s="85">
        <v>2</v>
      </c>
      <c r="BR4" s="85">
        <v>0</v>
      </c>
      <c r="BS4" s="85">
        <v>46</v>
      </c>
      <c r="BT4" s="85">
        <v>0</v>
      </c>
      <c r="BU4" s="85">
        <v>2</v>
      </c>
      <c r="BV4" s="85">
        <v>0</v>
      </c>
      <c r="BW4" s="85">
        <v>3</v>
      </c>
      <c r="BX4" s="85">
        <v>5</v>
      </c>
      <c r="BY4" s="85">
        <v>56</v>
      </c>
      <c r="BZ4" s="85"/>
      <c r="CA4" s="85">
        <v>279</v>
      </c>
      <c r="CB4" s="83">
        <v>278</v>
      </c>
      <c r="CC4" s="85">
        <v>95</v>
      </c>
      <c r="CD4" s="85">
        <v>33</v>
      </c>
      <c r="CE4" s="85">
        <v>128</v>
      </c>
      <c r="CF4" s="81">
        <v>128</v>
      </c>
    </row>
    <row r="5" spans="1:84">
      <c r="A5" s="82">
        <v>35125</v>
      </c>
      <c r="B5" s="85">
        <v>320</v>
      </c>
      <c r="C5" s="85">
        <v>3</v>
      </c>
      <c r="D5" s="85">
        <v>0</v>
      </c>
      <c r="E5" s="85">
        <v>0</v>
      </c>
      <c r="F5" s="85">
        <v>164</v>
      </c>
      <c r="G5" s="90">
        <v>7</v>
      </c>
      <c r="H5" s="85">
        <v>18</v>
      </c>
      <c r="I5" s="85">
        <v>4</v>
      </c>
      <c r="J5" s="85">
        <v>3</v>
      </c>
      <c r="K5" s="85">
        <v>5</v>
      </c>
      <c r="L5" s="85">
        <v>28</v>
      </c>
      <c r="M5" s="85">
        <v>552</v>
      </c>
      <c r="N5" s="83">
        <v>552</v>
      </c>
      <c r="O5" s="85">
        <v>358</v>
      </c>
      <c r="P5" s="85">
        <v>0</v>
      </c>
      <c r="Q5" s="85">
        <v>94</v>
      </c>
      <c r="R5" s="90">
        <v>11</v>
      </c>
      <c r="S5" s="85">
        <v>0</v>
      </c>
      <c r="T5" s="85">
        <v>22</v>
      </c>
      <c r="U5" s="85">
        <v>0</v>
      </c>
      <c r="V5" s="85">
        <v>6</v>
      </c>
      <c r="W5" s="90">
        <v>0</v>
      </c>
      <c r="X5" s="85">
        <v>10</v>
      </c>
      <c r="Y5" s="85">
        <v>501</v>
      </c>
      <c r="Z5" s="83">
        <v>501</v>
      </c>
      <c r="AA5" s="85">
        <v>57</v>
      </c>
      <c r="AB5" s="85">
        <v>1</v>
      </c>
      <c r="AC5" s="85">
        <v>0</v>
      </c>
      <c r="AD5" s="85">
        <v>0</v>
      </c>
      <c r="AE5" s="85">
        <v>70</v>
      </c>
      <c r="AF5" s="85">
        <v>3</v>
      </c>
      <c r="AG5" s="85">
        <v>8</v>
      </c>
      <c r="AH5" s="85">
        <v>2</v>
      </c>
      <c r="AI5" s="85">
        <v>0</v>
      </c>
      <c r="AJ5" s="85">
        <v>2</v>
      </c>
      <c r="AK5" s="85">
        <v>2</v>
      </c>
      <c r="AL5" s="85">
        <v>0</v>
      </c>
      <c r="AM5" s="85"/>
      <c r="AN5" s="85">
        <v>145</v>
      </c>
      <c r="AO5" s="83">
        <v>145</v>
      </c>
      <c r="AP5" s="85">
        <v>24</v>
      </c>
      <c r="AQ5" s="85">
        <v>1</v>
      </c>
      <c r="AR5" s="85">
        <v>1</v>
      </c>
      <c r="AS5" s="85">
        <v>30</v>
      </c>
      <c r="AT5" s="90">
        <v>3</v>
      </c>
      <c r="AU5" s="85">
        <v>8</v>
      </c>
      <c r="AV5" s="90">
        <v>16</v>
      </c>
      <c r="AW5" s="85">
        <v>5</v>
      </c>
      <c r="AX5" s="85">
        <v>0</v>
      </c>
      <c r="AY5" s="85">
        <v>3</v>
      </c>
      <c r="AZ5" s="85">
        <v>3</v>
      </c>
      <c r="BA5" s="85">
        <v>3</v>
      </c>
      <c r="BB5" s="85">
        <v>98</v>
      </c>
      <c r="BC5" s="83">
        <v>97</v>
      </c>
      <c r="BD5" s="85">
        <v>248</v>
      </c>
      <c r="BE5" s="85">
        <v>1</v>
      </c>
      <c r="BF5" s="85">
        <v>0</v>
      </c>
      <c r="BG5" s="85">
        <v>92</v>
      </c>
      <c r="BH5" s="90">
        <v>3</v>
      </c>
      <c r="BI5" s="90">
        <v>10</v>
      </c>
      <c r="BJ5" s="90">
        <v>70</v>
      </c>
      <c r="BK5" s="85">
        <v>1</v>
      </c>
      <c r="BL5" s="85">
        <v>3</v>
      </c>
      <c r="BM5" s="85">
        <v>17</v>
      </c>
      <c r="BN5" s="85">
        <v>446</v>
      </c>
      <c r="BO5" s="83">
        <v>445</v>
      </c>
      <c r="BP5" s="85">
        <v>152</v>
      </c>
      <c r="BQ5" s="85">
        <v>2</v>
      </c>
      <c r="BR5" s="85">
        <v>0</v>
      </c>
      <c r="BS5" s="85">
        <v>37</v>
      </c>
      <c r="BT5" s="85">
        <v>0</v>
      </c>
      <c r="BU5" s="85">
        <v>2</v>
      </c>
      <c r="BV5" s="85">
        <v>0</v>
      </c>
      <c r="BW5" s="85">
        <v>4</v>
      </c>
      <c r="BX5" s="85">
        <v>3</v>
      </c>
      <c r="BY5" s="85">
        <v>49</v>
      </c>
      <c r="BZ5" s="85"/>
      <c r="CA5" s="85">
        <v>249</v>
      </c>
      <c r="CB5" s="83">
        <v>249</v>
      </c>
      <c r="CC5" s="85">
        <v>93</v>
      </c>
      <c r="CD5" s="85">
        <v>25</v>
      </c>
      <c r="CE5" s="85">
        <v>117</v>
      </c>
      <c r="CF5" s="81">
        <v>118</v>
      </c>
    </row>
    <row r="6" spans="1:84">
      <c r="A6" s="82">
        <v>35156</v>
      </c>
      <c r="B6" s="85">
        <v>305</v>
      </c>
      <c r="C6" s="85">
        <v>3</v>
      </c>
      <c r="D6" s="85">
        <v>0</v>
      </c>
      <c r="E6" s="85">
        <v>0</v>
      </c>
      <c r="F6" s="85">
        <v>157</v>
      </c>
      <c r="G6" s="90">
        <v>7</v>
      </c>
      <c r="H6" s="85">
        <v>19</v>
      </c>
      <c r="I6" s="85">
        <v>5</v>
      </c>
      <c r="J6" s="85">
        <v>3</v>
      </c>
      <c r="K6" s="85">
        <v>7</v>
      </c>
      <c r="L6" s="85">
        <v>29</v>
      </c>
      <c r="M6" s="85">
        <v>536</v>
      </c>
      <c r="N6" s="83">
        <v>535</v>
      </c>
      <c r="O6" s="85">
        <v>355</v>
      </c>
      <c r="P6" s="85">
        <v>3</v>
      </c>
      <c r="Q6" s="85">
        <v>133</v>
      </c>
      <c r="R6" s="90">
        <v>10</v>
      </c>
      <c r="S6" s="85">
        <v>2</v>
      </c>
      <c r="T6" s="85">
        <v>27</v>
      </c>
      <c r="U6" s="85">
        <v>3</v>
      </c>
      <c r="V6" s="85">
        <v>5</v>
      </c>
      <c r="W6" s="90">
        <v>0</v>
      </c>
      <c r="X6" s="85">
        <v>1</v>
      </c>
      <c r="Y6" s="85">
        <v>539</v>
      </c>
      <c r="Z6" s="83">
        <v>539</v>
      </c>
      <c r="AA6" s="85">
        <v>55</v>
      </c>
      <c r="AB6" s="85">
        <v>1</v>
      </c>
      <c r="AC6" s="85">
        <v>0</v>
      </c>
      <c r="AD6" s="85">
        <v>0</v>
      </c>
      <c r="AE6" s="85">
        <v>67</v>
      </c>
      <c r="AF6" s="85">
        <v>3</v>
      </c>
      <c r="AG6" s="85">
        <v>9</v>
      </c>
      <c r="AH6" s="85">
        <v>2</v>
      </c>
      <c r="AI6" s="85">
        <v>0</v>
      </c>
      <c r="AJ6" s="85">
        <v>2</v>
      </c>
      <c r="AK6" s="85">
        <v>3</v>
      </c>
      <c r="AL6" s="85">
        <v>0</v>
      </c>
      <c r="AM6" s="85"/>
      <c r="AN6" s="85">
        <v>141</v>
      </c>
      <c r="AO6" s="83">
        <v>142</v>
      </c>
      <c r="AP6" s="85">
        <v>25</v>
      </c>
      <c r="AQ6" s="85">
        <v>2</v>
      </c>
      <c r="AR6" s="85">
        <v>1</v>
      </c>
      <c r="AS6" s="85">
        <v>25</v>
      </c>
      <c r="AT6" s="90">
        <v>3</v>
      </c>
      <c r="AU6" s="85">
        <v>7</v>
      </c>
      <c r="AV6" s="90">
        <v>12</v>
      </c>
      <c r="AW6" s="85">
        <v>4</v>
      </c>
      <c r="AX6" s="85">
        <v>0</v>
      </c>
      <c r="AY6" s="85">
        <v>2</v>
      </c>
      <c r="AZ6" s="85">
        <v>3</v>
      </c>
      <c r="BA6" s="85">
        <v>3</v>
      </c>
      <c r="BB6" s="85">
        <v>88</v>
      </c>
      <c r="BC6" s="83">
        <v>87</v>
      </c>
      <c r="BD6" s="85">
        <v>236</v>
      </c>
      <c r="BE6" s="85">
        <v>2</v>
      </c>
      <c r="BF6" s="85">
        <v>0</v>
      </c>
      <c r="BG6" s="85">
        <v>88</v>
      </c>
      <c r="BH6" s="90">
        <v>3</v>
      </c>
      <c r="BI6" s="90">
        <v>10</v>
      </c>
      <c r="BJ6" s="90">
        <v>73</v>
      </c>
      <c r="BK6" s="85">
        <v>1</v>
      </c>
      <c r="BL6" s="85">
        <v>4</v>
      </c>
      <c r="BM6" s="85">
        <v>14</v>
      </c>
      <c r="BN6" s="85">
        <v>432</v>
      </c>
      <c r="BO6" s="83">
        <v>431</v>
      </c>
      <c r="BP6" s="85">
        <v>161</v>
      </c>
      <c r="BQ6" s="85">
        <v>2</v>
      </c>
      <c r="BR6" s="85">
        <v>0</v>
      </c>
      <c r="BS6" s="85">
        <v>42</v>
      </c>
      <c r="BT6" s="85">
        <v>1</v>
      </c>
      <c r="BU6" s="85">
        <v>2</v>
      </c>
      <c r="BV6" s="85">
        <v>0</v>
      </c>
      <c r="BW6" s="85">
        <v>3</v>
      </c>
      <c r="BX6" s="85">
        <v>3</v>
      </c>
      <c r="BY6" s="85">
        <v>48</v>
      </c>
      <c r="BZ6" s="85"/>
      <c r="CA6" s="85">
        <v>262</v>
      </c>
      <c r="CB6" s="83">
        <v>262</v>
      </c>
      <c r="CC6" s="85">
        <v>91</v>
      </c>
      <c r="CD6" s="85">
        <v>30</v>
      </c>
      <c r="CE6" s="85">
        <v>121</v>
      </c>
      <c r="CF6" s="81">
        <v>121</v>
      </c>
    </row>
    <row r="7" spans="1:84">
      <c r="A7" s="82">
        <v>35186</v>
      </c>
      <c r="B7" s="85">
        <v>296</v>
      </c>
      <c r="C7" s="85">
        <v>3</v>
      </c>
      <c r="D7" s="85">
        <v>0</v>
      </c>
      <c r="E7" s="85">
        <v>0</v>
      </c>
      <c r="F7" s="85">
        <v>161</v>
      </c>
      <c r="G7" s="90">
        <v>7</v>
      </c>
      <c r="H7" s="85">
        <v>19</v>
      </c>
      <c r="I7" s="85">
        <v>4</v>
      </c>
      <c r="J7" s="85">
        <v>3</v>
      </c>
      <c r="K7" s="85">
        <v>7</v>
      </c>
      <c r="L7" s="85">
        <v>30</v>
      </c>
      <c r="M7" s="85">
        <v>529</v>
      </c>
      <c r="N7" s="83">
        <v>530</v>
      </c>
      <c r="O7" s="85">
        <v>339</v>
      </c>
      <c r="P7" s="85">
        <v>1</v>
      </c>
      <c r="Q7" s="85">
        <v>144</v>
      </c>
      <c r="R7" s="90">
        <v>9</v>
      </c>
      <c r="S7" s="85">
        <v>2</v>
      </c>
      <c r="T7" s="85">
        <v>23</v>
      </c>
      <c r="U7" s="85">
        <v>3</v>
      </c>
      <c r="V7" s="85">
        <v>5</v>
      </c>
      <c r="W7" s="90">
        <v>0</v>
      </c>
      <c r="X7" s="85">
        <v>1</v>
      </c>
      <c r="Y7" s="85">
        <v>528</v>
      </c>
      <c r="Z7" s="83">
        <v>527</v>
      </c>
      <c r="AA7" s="85">
        <v>54</v>
      </c>
      <c r="AB7" s="85">
        <v>0</v>
      </c>
      <c r="AC7" s="85">
        <v>0</v>
      </c>
      <c r="AD7" s="85">
        <v>0</v>
      </c>
      <c r="AE7" s="85">
        <v>68</v>
      </c>
      <c r="AF7" s="85">
        <v>3</v>
      </c>
      <c r="AG7" s="85">
        <v>9</v>
      </c>
      <c r="AH7" s="85">
        <v>2</v>
      </c>
      <c r="AI7" s="85">
        <v>0</v>
      </c>
      <c r="AJ7" s="85">
        <v>2</v>
      </c>
      <c r="AK7" s="85">
        <v>3</v>
      </c>
      <c r="AL7" s="85">
        <v>0</v>
      </c>
      <c r="AM7" s="85"/>
      <c r="AN7" s="85">
        <v>141</v>
      </c>
      <c r="AO7" s="83">
        <v>141</v>
      </c>
      <c r="AP7" s="85">
        <v>24</v>
      </c>
      <c r="AQ7" s="85">
        <v>2</v>
      </c>
      <c r="AR7" s="85">
        <v>1</v>
      </c>
      <c r="AS7" s="85">
        <v>23</v>
      </c>
      <c r="AT7" s="90">
        <v>3</v>
      </c>
      <c r="AU7" s="85">
        <v>6</v>
      </c>
      <c r="AV7" s="90">
        <v>10</v>
      </c>
      <c r="AW7" s="85">
        <v>4</v>
      </c>
      <c r="AX7" s="85">
        <v>0</v>
      </c>
      <c r="AY7" s="85">
        <v>3</v>
      </c>
      <c r="AZ7" s="85">
        <v>3</v>
      </c>
      <c r="BA7" s="85">
        <v>3</v>
      </c>
      <c r="BB7" s="85">
        <v>83</v>
      </c>
      <c r="BC7" s="83">
        <v>82</v>
      </c>
      <c r="BD7" s="85">
        <v>228</v>
      </c>
      <c r="BE7" s="85">
        <v>1</v>
      </c>
      <c r="BF7" s="85">
        <v>0</v>
      </c>
      <c r="BG7" s="85">
        <v>91</v>
      </c>
      <c r="BH7" s="90">
        <v>3</v>
      </c>
      <c r="BI7" s="90">
        <v>11</v>
      </c>
      <c r="BJ7" s="90">
        <v>74</v>
      </c>
      <c r="BK7" s="85">
        <v>1</v>
      </c>
      <c r="BL7" s="85">
        <v>4</v>
      </c>
      <c r="BM7" s="85">
        <v>16</v>
      </c>
      <c r="BN7" s="85">
        <v>428</v>
      </c>
      <c r="BO7" s="83">
        <v>429</v>
      </c>
      <c r="BP7" s="85">
        <v>147</v>
      </c>
      <c r="BQ7" s="85">
        <v>2</v>
      </c>
      <c r="BR7" s="85">
        <v>0</v>
      </c>
      <c r="BS7" s="85">
        <v>47</v>
      </c>
      <c r="BT7" s="85">
        <v>1</v>
      </c>
      <c r="BU7" s="85">
        <v>2</v>
      </c>
      <c r="BV7" s="85">
        <v>0</v>
      </c>
      <c r="BW7" s="85">
        <v>3</v>
      </c>
      <c r="BX7" s="85">
        <v>3</v>
      </c>
      <c r="BY7" s="85">
        <v>49</v>
      </c>
      <c r="BZ7" s="85"/>
      <c r="CA7" s="85">
        <v>252</v>
      </c>
      <c r="CB7" s="83">
        <v>254</v>
      </c>
      <c r="CC7" s="85">
        <v>84</v>
      </c>
      <c r="CD7" s="85">
        <v>33</v>
      </c>
      <c r="CE7" s="85">
        <v>117</v>
      </c>
      <c r="CF7" s="81">
        <v>117</v>
      </c>
    </row>
    <row r="8" spans="1:84">
      <c r="A8" s="82">
        <v>35217</v>
      </c>
      <c r="B8" s="85">
        <v>288</v>
      </c>
      <c r="C8" s="85">
        <v>2</v>
      </c>
      <c r="D8" s="85">
        <v>0</v>
      </c>
      <c r="E8" s="85">
        <v>0</v>
      </c>
      <c r="F8" s="85">
        <v>163</v>
      </c>
      <c r="G8" s="90">
        <v>7</v>
      </c>
      <c r="H8" s="85">
        <v>19</v>
      </c>
      <c r="I8" s="85">
        <v>5</v>
      </c>
      <c r="J8" s="85">
        <v>3</v>
      </c>
      <c r="K8" s="85">
        <v>6</v>
      </c>
      <c r="L8" s="85">
        <v>26</v>
      </c>
      <c r="M8" s="85">
        <v>519</v>
      </c>
      <c r="N8" s="83">
        <v>519</v>
      </c>
      <c r="O8" s="85">
        <v>317</v>
      </c>
      <c r="P8" s="85">
        <v>5</v>
      </c>
      <c r="Q8" s="85">
        <v>154</v>
      </c>
      <c r="R8" s="90">
        <v>10</v>
      </c>
      <c r="S8" s="85">
        <v>2</v>
      </c>
      <c r="T8" s="85">
        <v>27</v>
      </c>
      <c r="U8" s="85">
        <v>3</v>
      </c>
      <c r="V8" s="85">
        <v>10</v>
      </c>
      <c r="W8" s="90">
        <v>0</v>
      </c>
      <c r="X8" s="85">
        <v>1</v>
      </c>
      <c r="Y8" s="85">
        <v>529</v>
      </c>
      <c r="Z8" s="83">
        <v>529</v>
      </c>
      <c r="AA8" s="85">
        <v>53</v>
      </c>
      <c r="AB8" s="85">
        <v>0</v>
      </c>
      <c r="AC8" s="85">
        <v>0</v>
      </c>
      <c r="AD8" s="85">
        <v>0</v>
      </c>
      <c r="AE8" s="85">
        <v>69</v>
      </c>
      <c r="AF8" s="85">
        <v>3</v>
      </c>
      <c r="AG8" s="85">
        <v>9</v>
      </c>
      <c r="AH8" s="85">
        <v>2</v>
      </c>
      <c r="AI8" s="85">
        <v>0</v>
      </c>
      <c r="AJ8" s="85">
        <v>2</v>
      </c>
      <c r="AK8" s="85">
        <v>3</v>
      </c>
      <c r="AL8" s="85">
        <v>0</v>
      </c>
      <c r="AM8" s="85"/>
      <c r="AN8" s="85">
        <v>141</v>
      </c>
      <c r="AO8" s="83">
        <v>141</v>
      </c>
      <c r="AP8" s="85">
        <v>19</v>
      </c>
      <c r="AQ8" s="85">
        <v>2</v>
      </c>
      <c r="AR8" s="85">
        <v>1</v>
      </c>
      <c r="AS8" s="85">
        <v>22</v>
      </c>
      <c r="AT8" s="90">
        <v>3</v>
      </c>
      <c r="AU8" s="85">
        <v>6</v>
      </c>
      <c r="AV8" s="90">
        <v>9</v>
      </c>
      <c r="AW8" s="85">
        <v>6</v>
      </c>
      <c r="AX8" s="85">
        <v>0</v>
      </c>
      <c r="AY8" s="85">
        <v>2</v>
      </c>
      <c r="AZ8" s="85">
        <v>4</v>
      </c>
      <c r="BA8" s="85">
        <v>6</v>
      </c>
      <c r="BB8" s="85">
        <v>79</v>
      </c>
      <c r="BC8" s="83">
        <v>80</v>
      </c>
      <c r="BD8" s="85">
        <v>221</v>
      </c>
      <c r="BE8" s="85">
        <v>1</v>
      </c>
      <c r="BF8" s="85">
        <v>0</v>
      </c>
      <c r="BG8" s="85">
        <v>92</v>
      </c>
      <c r="BH8" s="90">
        <v>3</v>
      </c>
      <c r="BI8" s="90">
        <v>11</v>
      </c>
      <c r="BJ8" s="90">
        <v>74</v>
      </c>
      <c r="BK8" s="85">
        <v>1</v>
      </c>
      <c r="BL8" s="85">
        <v>4</v>
      </c>
      <c r="BM8" s="85">
        <v>17</v>
      </c>
      <c r="BN8" s="85">
        <v>424</v>
      </c>
      <c r="BO8" s="83">
        <v>424</v>
      </c>
      <c r="BP8" s="85">
        <v>134</v>
      </c>
      <c r="BQ8" s="85">
        <v>2</v>
      </c>
      <c r="BR8" s="85">
        <v>0</v>
      </c>
      <c r="BS8" s="85">
        <v>42</v>
      </c>
      <c r="BT8" s="85">
        <v>1</v>
      </c>
      <c r="BU8" s="85">
        <v>2</v>
      </c>
      <c r="BV8" s="85">
        <v>0</v>
      </c>
      <c r="BW8" s="85">
        <v>4</v>
      </c>
      <c r="BX8" s="85">
        <v>3</v>
      </c>
      <c r="BY8" s="85">
        <v>43</v>
      </c>
      <c r="BZ8" s="85"/>
      <c r="CA8" s="85">
        <v>230</v>
      </c>
      <c r="CB8" s="83">
        <v>231</v>
      </c>
      <c r="CC8" s="85">
        <v>82</v>
      </c>
      <c r="CD8" s="85">
        <v>29</v>
      </c>
      <c r="CE8" s="85">
        <v>111</v>
      </c>
      <c r="CF8" s="81">
        <v>111</v>
      </c>
    </row>
    <row r="9" spans="1:84">
      <c r="A9" s="82">
        <v>35247</v>
      </c>
      <c r="B9" s="85">
        <v>304</v>
      </c>
      <c r="C9" s="85">
        <v>3</v>
      </c>
      <c r="D9" s="85">
        <v>0</v>
      </c>
      <c r="E9" s="85">
        <v>0</v>
      </c>
      <c r="F9" s="85">
        <v>168</v>
      </c>
      <c r="G9" s="90">
        <v>8</v>
      </c>
      <c r="H9" s="85">
        <v>20</v>
      </c>
      <c r="I9" s="85">
        <v>3</v>
      </c>
      <c r="J9" s="85">
        <v>3</v>
      </c>
      <c r="K9" s="85">
        <v>10</v>
      </c>
      <c r="L9" s="85">
        <v>28</v>
      </c>
      <c r="M9" s="85">
        <v>547</v>
      </c>
      <c r="N9" s="83">
        <v>547</v>
      </c>
      <c r="O9" s="85">
        <v>340</v>
      </c>
      <c r="P9" s="85">
        <v>5</v>
      </c>
      <c r="Q9" s="85">
        <v>113</v>
      </c>
      <c r="R9" s="90">
        <v>9</v>
      </c>
      <c r="S9" s="85">
        <v>3</v>
      </c>
      <c r="T9" s="85">
        <v>23</v>
      </c>
      <c r="U9" s="85">
        <v>1</v>
      </c>
      <c r="V9" s="85">
        <v>5</v>
      </c>
      <c r="W9" s="90">
        <v>0</v>
      </c>
      <c r="X9" s="85">
        <v>1</v>
      </c>
      <c r="Y9" s="85">
        <v>499</v>
      </c>
      <c r="Z9" s="83">
        <v>500</v>
      </c>
      <c r="AA9" s="85">
        <v>56</v>
      </c>
      <c r="AB9" s="85">
        <v>1</v>
      </c>
      <c r="AC9" s="85">
        <v>0</v>
      </c>
      <c r="AD9" s="85">
        <v>0</v>
      </c>
      <c r="AE9" s="85">
        <v>71</v>
      </c>
      <c r="AF9" s="85">
        <v>4</v>
      </c>
      <c r="AG9" s="85">
        <v>9</v>
      </c>
      <c r="AH9" s="85">
        <v>1</v>
      </c>
      <c r="AI9" s="85">
        <v>0</v>
      </c>
      <c r="AJ9" s="85">
        <v>2</v>
      </c>
      <c r="AK9" s="85">
        <v>4</v>
      </c>
      <c r="AL9" s="85">
        <v>0</v>
      </c>
      <c r="AM9" s="85"/>
      <c r="AN9" s="85">
        <v>148</v>
      </c>
      <c r="AO9" s="83">
        <v>148</v>
      </c>
      <c r="AP9" s="85">
        <v>21</v>
      </c>
      <c r="AQ9" s="85">
        <v>3</v>
      </c>
      <c r="AR9" s="85">
        <v>1</v>
      </c>
      <c r="AS9" s="85">
        <v>20</v>
      </c>
      <c r="AT9" s="90">
        <v>3</v>
      </c>
      <c r="AU9" s="85">
        <v>6</v>
      </c>
      <c r="AV9" s="90">
        <v>11</v>
      </c>
      <c r="AW9" s="85">
        <v>6</v>
      </c>
      <c r="AX9" s="85">
        <v>0</v>
      </c>
      <c r="AY9" s="85">
        <v>2</v>
      </c>
      <c r="AZ9" s="85">
        <v>5</v>
      </c>
      <c r="BA9" s="85">
        <v>5</v>
      </c>
      <c r="BB9" s="85">
        <v>82</v>
      </c>
      <c r="BC9" s="83">
        <v>83</v>
      </c>
      <c r="BD9" s="85">
        <v>234</v>
      </c>
      <c r="BE9" s="85">
        <v>2</v>
      </c>
      <c r="BF9" s="85">
        <v>0</v>
      </c>
      <c r="BG9" s="85">
        <v>96</v>
      </c>
      <c r="BH9" s="90">
        <v>3</v>
      </c>
      <c r="BI9" s="90">
        <v>11</v>
      </c>
      <c r="BJ9" s="90">
        <v>77</v>
      </c>
      <c r="BK9" s="85">
        <v>1</v>
      </c>
      <c r="BL9" s="85">
        <v>6</v>
      </c>
      <c r="BM9" s="85">
        <v>18</v>
      </c>
      <c r="BN9" s="85">
        <v>448</v>
      </c>
      <c r="BO9" s="83">
        <v>448</v>
      </c>
      <c r="BP9" s="85">
        <v>156</v>
      </c>
      <c r="BQ9" s="85">
        <v>2</v>
      </c>
      <c r="BR9" s="85">
        <v>0</v>
      </c>
      <c r="BS9" s="85">
        <v>55</v>
      </c>
      <c r="BT9" s="85">
        <v>1</v>
      </c>
      <c r="BU9" s="85">
        <v>2</v>
      </c>
      <c r="BV9" s="85">
        <v>0</v>
      </c>
      <c r="BW9" s="85">
        <v>3</v>
      </c>
      <c r="BX9" s="85">
        <v>5</v>
      </c>
      <c r="BY9" s="85">
        <v>41</v>
      </c>
      <c r="BZ9" s="85"/>
      <c r="CA9" s="85">
        <v>267</v>
      </c>
      <c r="CB9" s="83">
        <v>265</v>
      </c>
      <c r="CC9" s="85">
        <v>92</v>
      </c>
      <c r="CD9" s="85">
        <v>42</v>
      </c>
      <c r="CE9" s="85">
        <v>134</v>
      </c>
      <c r="CF9" s="81">
        <v>134</v>
      </c>
    </row>
    <row r="10" spans="1:84">
      <c r="A10" s="82">
        <v>35278</v>
      </c>
      <c r="B10" s="85">
        <v>255</v>
      </c>
      <c r="C10" s="85">
        <v>3</v>
      </c>
      <c r="D10" s="85">
        <v>0</v>
      </c>
      <c r="E10" s="85">
        <v>0</v>
      </c>
      <c r="F10" s="85">
        <v>125</v>
      </c>
      <c r="G10" s="90">
        <v>6</v>
      </c>
      <c r="H10" s="85">
        <v>18</v>
      </c>
      <c r="I10" s="85">
        <v>3</v>
      </c>
      <c r="J10" s="85">
        <v>2</v>
      </c>
      <c r="K10" s="85">
        <v>4</v>
      </c>
      <c r="L10" s="85">
        <v>26</v>
      </c>
      <c r="M10" s="85">
        <v>442</v>
      </c>
      <c r="N10" s="83">
        <v>442</v>
      </c>
      <c r="O10" s="85">
        <v>346</v>
      </c>
      <c r="P10" s="85">
        <v>5</v>
      </c>
      <c r="Q10" s="85">
        <v>106</v>
      </c>
      <c r="R10" s="90">
        <v>10</v>
      </c>
      <c r="S10" s="85">
        <v>3</v>
      </c>
      <c r="T10" s="85">
        <v>25</v>
      </c>
      <c r="U10" s="85">
        <v>3</v>
      </c>
      <c r="V10" s="85">
        <v>8</v>
      </c>
      <c r="W10" s="90">
        <v>0</v>
      </c>
      <c r="X10" s="85">
        <v>1</v>
      </c>
      <c r="Y10" s="85">
        <v>508</v>
      </c>
      <c r="Z10" s="83">
        <v>507</v>
      </c>
      <c r="AA10" s="85">
        <v>47</v>
      </c>
      <c r="AB10" s="85">
        <v>1</v>
      </c>
      <c r="AC10" s="85">
        <v>0</v>
      </c>
      <c r="AD10" s="85">
        <v>0</v>
      </c>
      <c r="AE10" s="85">
        <v>53</v>
      </c>
      <c r="AF10" s="85">
        <v>3</v>
      </c>
      <c r="AG10" s="85">
        <v>8</v>
      </c>
      <c r="AH10" s="85">
        <v>1</v>
      </c>
      <c r="AI10" s="85">
        <v>0</v>
      </c>
      <c r="AJ10" s="85">
        <v>1</v>
      </c>
      <c r="AK10" s="85">
        <v>2</v>
      </c>
      <c r="AL10" s="85">
        <v>0</v>
      </c>
      <c r="AM10" s="85"/>
      <c r="AN10" s="85">
        <v>116</v>
      </c>
      <c r="AO10" s="83">
        <v>116</v>
      </c>
      <c r="AP10" s="85">
        <v>25</v>
      </c>
      <c r="AQ10" s="85">
        <v>2</v>
      </c>
      <c r="AR10" s="85">
        <v>1</v>
      </c>
      <c r="AS10" s="85">
        <v>22</v>
      </c>
      <c r="AT10" s="90">
        <v>3</v>
      </c>
      <c r="AU10" s="85">
        <v>7</v>
      </c>
      <c r="AV10" s="90">
        <v>12</v>
      </c>
      <c r="AW10" s="85">
        <v>5</v>
      </c>
      <c r="AX10" s="85">
        <v>0</v>
      </c>
      <c r="AY10" s="85">
        <v>1</v>
      </c>
      <c r="AZ10" s="85">
        <v>4</v>
      </c>
      <c r="BA10" s="85">
        <v>4</v>
      </c>
      <c r="BB10" s="85">
        <v>87</v>
      </c>
      <c r="BC10" s="83">
        <v>86</v>
      </c>
      <c r="BD10" s="85">
        <v>197</v>
      </c>
      <c r="BE10" s="85">
        <v>2</v>
      </c>
      <c r="BF10" s="85">
        <v>0</v>
      </c>
      <c r="BG10" s="85">
        <v>71</v>
      </c>
      <c r="BH10" s="90">
        <v>3</v>
      </c>
      <c r="BI10" s="90">
        <v>10</v>
      </c>
      <c r="BJ10" s="90">
        <v>70</v>
      </c>
      <c r="BK10" s="85">
        <v>1</v>
      </c>
      <c r="BL10" s="85">
        <v>2</v>
      </c>
      <c r="BM10" s="85">
        <v>18</v>
      </c>
      <c r="BN10" s="85">
        <v>373</v>
      </c>
      <c r="BO10" s="83">
        <v>374</v>
      </c>
      <c r="BP10" s="85">
        <v>127</v>
      </c>
      <c r="BQ10" s="85">
        <v>3</v>
      </c>
      <c r="BR10" s="85">
        <v>0</v>
      </c>
      <c r="BS10" s="85">
        <v>51</v>
      </c>
      <c r="BT10" s="85">
        <v>1</v>
      </c>
      <c r="BU10" s="85">
        <v>2</v>
      </c>
      <c r="BV10" s="85">
        <v>0</v>
      </c>
      <c r="BW10" s="85">
        <v>2</v>
      </c>
      <c r="BX10" s="85">
        <v>4</v>
      </c>
      <c r="BY10" s="85">
        <v>48</v>
      </c>
      <c r="BZ10" s="85"/>
      <c r="CA10" s="85">
        <v>238</v>
      </c>
      <c r="CB10" s="83">
        <v>238</v>
      </c>
      <c r="CC10" s="85">
        <v>71</v>
      </c>
      <c r="CD10" s="85">
        <v>37</v>
      </c>
      <c r="CE10" s="85">
        <v>108</v>
      </c>
      <c r="CF10" s="81">
        <v>108</v>
      </c>
    </row>
    <row r="11" spans="1:84">
      <c r="A11" s="82">
        <v>35309</v>
      </c>
      <c r="B11" s="85">
        <v>316</v>
      </c>
      <c r="C11" s="85">
        <v>3</v>
      </c>
      <c r="D11" s="85">
        <v>0</v>
      </c>
      <c r="E11" s="85">
        <v>0</v>
      </c>
      <c r="F11" s="85">
        <v>152</v>
      </c>
      <c r="G11" s="90">
        <v>7</v>
      </c>
      <c r="H11" s="85">
        <v>19</v>
      </c>
      <c r="I11" s="85">
        <v>6</v>
      </c>
      <c r="J11" s="85">
        <v>4</v>
      </c>
      <c r="K11" s="85">
        <v>7</v>
      </c>
      <c r="L11" s="85">
        <v>26</v>
      </c>
      <c r="M11" s="85">
        <v>540</v>
      </c>
      <c r="N11" s="83">
        <v>540</v>
      </c>
      <c r="O11" s="85">
        <v>321</v>
      </c>
      <c r="P11" s="85">
        <v>0</v>
      </c>
      <c r="Q11" s="85">
        <v>116</v>
      </c>
      <c r="R11" s="90">
        <v>11</v>
      </c>
      <c r="S11" s="85">
        <v>3</v>
      </c>
      <c r="T11" s="85">
        <v>19</v>
      </c>
      <c r="U11" s="85">
        <v>0</v>
      </c>
      <c r="V11" s="85">
        <v>3</v>
      </c>
      <c r="W11" s="90">
        <v>0</v>
      </c>
      <c r="X11" s="85">
        <v>7</v>
      </c>
      <c r="Y11" s="85">
        <v>480</v>
      </c>
      <c r="Z11" s="83">
        <v>480</v>
      </c>
      <c r="AA11" s="85">
        <v>58</v>
      </c>
      <c r="AB11" s="85">
        <v>1</v>
      </c>
      <c r="AC11" s="85">
        <v>0</v>
      </c>
      <c r="AD11" s="85">
        <v>0</v>
      </c>
      <c r="AE11" s="85">
        <v>65</v>
      </c>
      <c r="AF11" s="85">
        <v>3</v>
      </c>
      <c r="AG11" s="85">
        <v>9</v>
      </c>
      <c r="AH11" s="85">
        <v>3</v>
      </c>
      <c r="AI11" s="85">
        <v>0</v>
      </c>
      <c r="AJ11" s="85">
        <v>2</v>
      </c>
      <c r="AK11" s="85">
        <v>3</v>
      </c>
      <c r="AL11" s="85">
        <v>0</v>
      </c>
      <c r="AM11" s="85"/>
      <c r="AN11" s="85">
        <v>143</v>
      </c>
      <c r="AO11" s="83">
        <v>144</v>
      </c>
      <c r="AP11" s="85">
        <v>24</v>
      </c>
      <c r="AQ11" s="85">
        <v>2</v>
      </c>
      <c r="AR11" s="85">
        <v>1</v>
      </c>
      <c r="AS11" s="85">
        <v>20</v>
      </c>
      <c r="AT11" s="90">
        <v>3</v>
      </c>
      <c r="AU11" s="85">
        <v>7</v>
      </c>
      <c r="AV11" s="90">
        <v>10</v>
      </c>
      <c r="AW11" s="85">
        <v>3</v>
      </c>
      <c r="AX11" s="85">
        <v>0</v>
      </c>
      <c r="AY11" s="85">
        <v>1</v>
      </c>
      <c r="AZ11" s="85">
        <v>4</v>
      </c>
      <c r="BA11" s="85">
        <v>5</v>
      </c>
      <c r="BB11" s="85">
        <v>82</v>
      </c>
      <c r="BC11" s="83">
        <v>80</v>
      </c>
      <c r="BD11" s="85">
        <v>244</v>
      </c>
      <c r="BE11" s="85">
        <v>2</v>
      </c>
      <c r="BF11" s="85">
        <v>0</v>
      </c>
      <c r="BG11" s="85">
        <v>86</v>
      </c>
      <c r="BH11" s="90">
        <v>3</v>
      </c>
      <c r="BI11" s="90">
        <v>10</v>
      </c>
      <c r="BJ11" s="90">
        <v>71</v>
      </c>
      <c r="BK11" s="85">
        <v>1</v>
      </c>
      <c r="BL11" s="85">
        <v>4</v>
      </c>
      <c r="BM11" s="85">
        <v>18</v>
      </c>
      <c r="BN11" s="85">
        <v>438</v>
      </c>
      <c r="BO11" s="83">
        <v>439</v>
      </c>
      <c r="BP11" s="85">
        <v>131</v>
      </c>
      <c r="BQ11" s="85">
        <v>3</v>
      </c>
      <c r="BR11" s="85">
        <v>0</v>
      </c>
      <c r="BS11" s="85">
        <v>48</v>
      </c>
      <c r="BT11" s="85">
        <v>1</v>
      </c>
      <c r="BU11" s="85">
        <v>2</v>
      </c>
      <c r="BV11" s="85">
        <v>0</v>
      </c>
      <c r="BW11" s="85">
        <v>2</v>
      </c>
      <c r="BX11" s="85">
        <v>4</v>
      </c>
      <c r="BY11" s="85">
        <v>37</v>
      </c>
      <c r="BZ11" s="85"/>
      <c r="CA11" s="85">
        <v>228</v>
      </c>
      <c r="CB11" s="83">
        <v>228</v>
      </c>
      <c r="CC11" s="85">
        <v>78</v>
      </c>
      <c r="CD11" s="85">
        <v>36</v>
      </c>
      <c r="CE11" s="85">
        <v>114</v>
      </c>
      <c r="CF11" s="81">
        <v>114</v>
      </c>
    </row>
    <row r="12" spans="1:84">
      <c r="A12" s="82">
        <v>35339</v>
      </c>
      <c r="B12" s="85">
        <v>342</v>
      </c>
      <c r="C12" s="85">
        <v>3</v>
      </c>
      <c r="D12" s="85">
        <v>0</v>
      </c>
      <c r="E12" s="85">
        <v>0</v>
      </c>
      <c r="F12" s="85">
        <v>176</v>
      </c>
      <c r="G12" s="90">
        <v>8</v>
      </c>
      <c r="H12" s="85">
        <v>16</v>
      </c>
      <c r="I12" s="85">
        <v>4</v>
      </c>
      <c r="J12" s="85">
        <v>4</v>
      </c>
      <c r="K12" s="85">
        <v>6</v>
      </c>
      <c r="L12" s="85">
        <v>30</v>
      </c>
      <c r="M12" s="85">
        <v>591</v>
      </c>
      <c r="N12" s="83">
        <v>589</v>
      </c>
      <c r="O12" s="85">
        <v>358</v>
      </c>
      <c r="P12" s="85">
        <v>5</v>
      </c>
      <c r="Q12" s="85">
        <v>119</v>
      </c>
      <c r="R12" s="90">
        <v>11</v>
      </c>
      <c r="S12" s="85">
        <v>2</v>
      </c>
      <c r="T12" s="85">
        <v>19</v>
      </c>
      <c r="U12" s="85">
        <v>2</v>
      </c>
      <c r="V12" s="85">
        <v>7</v>
      </c>
      <c r="W12" s="90">
        <v>0</v>
      </c>
      <c r="X12" s="85">
        <v>1</v>
      </c>
      <c r="Y12" s="85">
        <v>523</v>
      </c>
      <c r="Z12" s="83">
        <v>524</v>
      </c>
      <c r="AA12" s="85">
        <v>63</v>
      </c>
      <c r="AB12" s="85">
        <v>1</v>
      </c>
      <c r="AC12" s="85">
        <v>0</v>
      </c>
      <c r="AD12" s="85">
        <v>0</v>
      </c>
      <c r="AE12" s="85">
        <v>75</v>
      </c>
      <c r="AF12" s="85">
        <v>4</v>
      </c>
      <c r="AG12" s="85">
        <v>8</v>
      </c>
      <c r="AH12" s="85">
        <v>1</v>
      </c>
      <c r="AI12" s="85">
        <v>0</v>
      </c>
      <c r="AJ12" s="85">
        <v>3</v>
      </c>
      <c r="AK12" s="85">
        <v>3</v>
      </c>
      <c r="AL12" s="85">
        <v>0</v>
      </c>
      <c r="AM12" s="85"/>
      <c r="AN12" s="85">
        <v>157</v>
      </c>
      <c r="AO12" s="83">
        <v>158</v>
      </c>
      <c r="AP12" s="85">
        <v>26</v>
      </c>
      <c r="AQ12" s="85">
        <v>2</v>
      </c>
      <c r="AR12" s="85">
        <v>1</v>
      </c>
      <c r="AS12" s="85">
        <v>22</v>
      </c>
      <c r="AT12" s="90">
        <v>3</v>
      </c>
      <c r="AU12" s="85">
        <v>6</v>
      </c>
      <c r="AV12" s="90">
        <v>8</v>
      </c>
      <c r="AW12" s="85">
        <v>4</v>
      </c>
      <c r="AX12" s="85">
        <v>0</v>
      </c>
      <c r="AY12" s="85">
        <v>2</v>
      </c>
      <c r="AZ12" s="85">
        <v>4</v>
      </c>
      <c r="BA12" s="85">
        <v>4</v>
      </c>
      <c r="BB12" s="85">
        <v>83</v>
      </c>
      <c r="BC12" s="83">
        <v>82</v>
      </c>
      <c r="BD12" s="85">
        <v>264</v>
      </c>
      <c r="BE12" s="85">
        <v>2</v>
      </c>
      <c r="BF12" s="85">
        <v>0</v>
      </c>
      <c r="BG12" s="85">
        <v>99</v>
      </c>
      <c r="BH12" s="90">
        <v>3</v>
      </c>
      <c r="BI12" s="90">
        <v>9</v>
      </c>
      <c r="BJ12" s="90">
        <v>63</v>
      </c>
      <c r="BK12" s="85">
        <v>1</v>
      </c>
      <c r="BL12" s="85">
        <v>4</v>
      </c>
      <c r="BM12" s="85">
        <v>16</v>
      </c>
      <c r="BN12" s="85">
        <v>461</v>
      </c>
      <c r="BO12" s="83">
        <v>461</v>
      </c>
      <c r="BP12" s="85">
        <v>155</v>
      </c>
      <c r="BQ12" s="85">
        <v>3</v>
      </c>
      <c r="BR12" s="85">
        <v>0</v>
      </c>
      <c r="BS12" s="85">
        <v>59</v>
      </c>
      <c r="BT12" s="85">
        <v>1</v>
      </c>
      <c r="BU12" s="85">
        <v>1</v>
      </c>
      <c r="BV12" s="85">
        <v>0</v>
      </c>
      <c r="BW12" s="85">
        <v>3</v>
      </c>
      <c r="BX12" s="85">
        <v>4</v>
      </c>
      <c r="BY12" s="85">
        <v>38</v>
      </c>
      <c r="BZ12" s="85"/>
      <c r="CA12" s="85">
        <v>265</v>
      </c>
      <c r="CB12" s="83">
        <v>264</v>
      </c>
      <c r="CC12" s="85">
        <v>90</v>
      </c>
      <c r="CD12" s="85">
        <v>47</v>
      </c>
      <c r="CE12" s="85">
        <v>137</v>
      </c>
      <c r="CF12" s="81">
        <v>137</v>
      </c>
    </row>
    <row r="13" spans="1:84">
      <c r="A13" s="82">
        <v>35370</v>
      </c>
      <c r="B13" s="85">
        <v>336</v>
      </c>
      <c r="C13" s="85">
        <v>3</v>
      </c>
      <c r="D13" s="85">
        <v>0</v>
      </c>
      <c r="E13" s="85">
        <v>0</v>
      </c>
      <c r="F13" s="85">
        <v>181</v>
      </c>
      <c r="G13" s="90">
        <v>7</v>
      </c>
      <c r="H13" s="85">
        <v>15</v>
      </c>
      <c r="I13" s="85">
        <v>6</v>
      </c>
      <c r="J13" s="85">
        <v>4</v>
      </c>
      <c r="K13" s="85">
        <v>6</v>
      </c>
      <c r="L13" s="85">
        <v>27</v>
      </c>
      <c r="M13" s="85">
        <v>585</v>
      </c>
      <c r="N13" s="83">
        <v>585</v>
      </c>
      <c r="O13" s="85">
        <v>312</v>
      </c>
      <c r="P13" s="85">
        <v>4</v>
      </c>
      <c r="Q13" s="85">
        <v>135</v>
      </c>
      <c r="R13" s="90">
        <v>11</v>
      </c>
      <c r="S13" s="85">
        <v>3</v>
      </c>
      <c r="T13" s="85">
        <v>19</v>
      </c>
      <c r="U13" s="85">
        <v>3</v>
      </c>
      <c r="V13" s="85">
        <v>9</v>
      </c>
      <c r="W13" s="90">
        <v>0</v>
      </c>
      <c r="X13" s="85">
        <v>1</v>
      </c>
      <c r="Y13" s="85">
        <v>495</v>
      </c>
      <c r="Z13" s="83">
        <v>497</v>
      </c>
      <c r="AA13" s="85">
        <v>62</v>
      </c>
      <c r="AB13" s="85">
        <v>1</v>
      </c>
      <c r="AC13" s="85">
        <v>0</v>
      </c>
      <c r="AD13" s="85">
        <v>0</v>
      </c>
      <c r="AE13" s="85">
        <v>77</v>
      </c>
      <c r="AF13" s="85">
        <v>3</v>
      </c>
      <c r="AG13" s="85">
        <v>7</v>
      </c>
      <c r="AH13" s="85">
        <v>2</v>
      </c>
      <c r="AI13" s="85">
        <v>0</v>
      </c>
      <c r="AJ13" s="85">
        <v>2</v>
      </c>
      <c r="AK13" s="85">
        <v>3</v>
      </c>
      <c r="AL13" s="85">
        <v>0</v>
      </c>
      <c r="AM13" s="85"/>
      <c r="AN13" s="85">
        <v>158</v>
      </c>
      <c r="AO13" s="83">
        <v>157</v>
      </c>
      <c r="AP13" s="85">
        <v>29</v>
      </c>
      <c r="AQ13" s="85">
        <v>2</v>
      </c>
      <c r="AR13" s="85">
        <v>1</v>
      </c>
      <c r="AS13" s="85">
        <v>19</v>
      </c>
      <c r="AT13" s="90">
        <v>3</v>
      </c>
      <c r="AU13" s="85">
        <v>5</v>
      </c>
      <c r="AV13" s="90">
        <v>7</v>
      </c>
      <c r="AW13" s="85">
        <v>5</v>
      </c>
      <c r="AX13" s="85">
        <v>0</v>
      </c>
      <c r="AY13" s="85">
        <v>2</v>
      </c>
      <c r="AZ13" s="85">
        <v>3</v>
      </c>
      <c r="BA13" s="85">
        <v>3</v>
      </c>
      <c r="BB13" s="85">
        <v>80</v>
      </c>
      <c r="BC13" s="83">
        <v>79</v>
      </c>
      <c r="BD13" s="85">
        <v>258</v>
      </c>
      <c r="BE13" s="85">
        <v>2</v>
      </c>
      <c r="BF13" s="85">
        <v>0</v>
      </c>
      <c r="BG13" s="85">
        <v>101</v>
      </c>
      <c r="BH13" s="90">
        <v>3</v>
      </c>
      <c r="BI13" s="90">
        <v>8</v>
      </c>
      <c r="BJ13" s="90">
        <v>57</v>
      </c>
      <c r="BK13" s="85">
        <v>1</v>
      </c>
      <c r="BL13" s="85">
        <v>4</v>
      </c>
      <c r="BM13" s="85">
        <v>15</v>
      </c>
      <c r="BN13" s="85">
        <v>449</v>
      </c>
      <c r="BO13" s="83">
        <v>449</v>
      </c>
      <c r="BP13" s="85">
        <v>157</v>
      </c>
      <c r="BQ13" s="85">
        <v>4</v>
      </c>
      <c r="BR13" s="85">
        <v>0</v>
      </c>
      <c r="BS13" s="85">
        <v>76</v>
      </c>
      <c r="BT13" s="85">
        <v>1</v>
      </c>
      <c r="BU13" s="85">
        <v>1</v>
      </c>
      <c r="BV13" s="85">
        <v>0</v>
      </c>
      <c r="BW13" s="85">
        <v>3</v>
      </c>
      <c r="BX13" s="85">
        <v>3</v>
      </c>
      <c r="BY13" s="85">
        <v>30</v>
      </c>
      <c r="BZ13" s="85"/>
      <c r="CA13" s="85">
        <v>274</v>
      </c>
      <c r="CB13" s="83">
        <v>275</v>
      </c>
      <c r="CC13" s="85">
        <v>102</v>
      </c>
      <c r="CD13" s="85">
        <v>63</v>
      </c>
      <c r="CE13" s="85">
        <v>165</v>
      </c>
      <c r="CF13" s="81">
        <v>165</v>
      </c>
    </row>
    <row r="14" spans="1:84">
      <c r="A14" s="82">
        <v>35400</v>
      </c>
      <c r="B14" s="85">
        <v>326</v>
      </c>
      <c r="C14" s="85">
        <v>3</v>
      </c>
      <c r="D14" s="85">
        <v>0</v>
      </c>
      <c r="E14" s="85">
        <v>0</v>
      </c>
      <c r="F14" s="85">
        <v>155</v>
      </c>
      <c r="G14" s="90">
        <v>7</v>
      </c>
      <c r="H14" s="85">
        <v>17</v>
      </c>
      <c r="I14" s="85">
        <v>3</v>
      </c>
      <c r="J14" s="85">
        <v>3</v>
      </c>
      <c r="K14" s="85">
        <v>8</v>
      </c>
      <c r="L14" s="85">
        <v>28</v>
      </c>
      <c r="M14" s="85">
        <v>550</v>
      </c>
      <c r="N14" s="83">
        <v>550</v>
      </c>
      <c r="O14" s="85">
        <v>286</v>
      </c>
      <c r="P14" s="85">
        <v>3</v>
      </c>
      <c r="Q14" s="85">
        <v>104</v>
      </c>
      <c r="R14" s="90">
        <v>10</v>
      </c>
      <c r="S14" s="85">
        <v>1</v>
      </c>
      <c r="T14" s="85">
        <v>21</v>
      </c>
      <c r="U14" s="85">
        <v>5</v>
      </c>
      <c r="V14" s="85">
        <v>4</v>
      </c>
      <c r="W14" s="90">
        <v>0</v>
      </c>
      <c r="X14" s="85">
        <v>1</v>
      </c>
      <c r="Y14" s="85">
        <v>435</v>
      </c>
      <c r="Z14" s="83">
        <v>435</v>
      </c>
      <c r="AA14" s="85">
        <v>61</v>
      </c>
      <c r="AB14" s="85">
        <v>1</v>
      </c>
      <c r="AC14" s="85">
        <v>0</v>
      </c>
      <c r="AD14" s="85">
        <v>0</v>
      </c>
      <c r="AE14" s="85">
        <v>65</v>
      </c>
      <c r="AF14" s="85">
        <v>3</v>
      </c>
      <c r="AG14" s="85">
        <v>8</v>
      </c>
      <c r="AH14" s="85">
        <v>1</v>
      </c>
      <c r="AI14" s="85">
        <v>0</v>
      </c>
      <c r="AJ14" s="85">
        <v>2</v>
      </c>
      <c r="AK14" s="85">
        <v>3</v>
      </c>
      <c r="AL14" s="85">
        <v>0</v>
      </c>
      <c r="AM14" s="85"/>
      <c r="AN14" s="85">
        <v>144</v>
      </c>
      <c r="AO14" s="83">
        <v>144</v>
      </c>
      <c r="AP14" s="85">
        <v>31</v>
      </c>
      <c r="AQ14" s="85">
        <v>2</v>
      </c>
      <c r="AR14" s="85">
        <v>1</v>
      </c>
      <c r="AS14" s="85">
        <v>14</v>
      </c>
      <c r="AT14" s="90">
        <v>3</v>
      </c>
      <c r="AU14" s="85">
        <v>5</v>
      </c>
      <c r="AV14" s="90">
        <v>6</v>
      </c>
      <c r="AW14" s="85">
        <v>4</v>
      </c>
      <c r="AX14" s="85">
        <v>0</v>
      </c>
      <c r="AY14" s="85">
        <v>2</v>
      </c>
      <c r="AZ14" s="85">
        <v>4</v>
      </c>
      <c r="BA14" s="85">
        <v>2</v>
      </c>
      <c r="BB14" s="85">
        <v>73</v>
      </c>
      <c r="BC14" s="83">
        <v>74</v>
      </c>
      <c r="BD14" s="85">
        <v>249</v>
      </c>
      <c r="BE14" s="85">
        <v>2</v>
      </c>
      <c r="BF14" s="85">
        <v>0</v>
      </c>
      <c r="BG14" s="85">
        <v>86</v>
      </c>
      <c r="BH14" s="90">
        <v>3</v>
      </c>
      <c r="BI14" s="90">
        <v>9</v>
      </c>
      <c r="BJ14" s="90">
        <v>66</v>
      </c>
      <c r="BK14" s="85">
        <v>1</v>
      </c>
      <c r="BL14" s="85">
        <v>5</v>
      </c>
      <c r="BM14" s="85">
        <v>14</v>
      </c>
      <c r="BN14" s="85">
        <v>435</v>
      </c>
      <c r="BO14" s="83">
        <v>435</v>
      </c>
      <c r="BP14" s="85">
        <v>143</v>
      </c>
      <c r="BQ14" s="85">
        <v>3</v>
      </c>
      <c r="BR14" s="85">
        <v>0</v>
      </c>
      <c r="BS14" s="85">
        <v>78</v>
      </c>
      <c r="BT14" s="85">
        <v>1</v>
      </c>
      <c r="BU14" s="85">
        <v>1</v>
      </c>
      <c r="BV14" s="85">
        <v>0</v>
      </c>
      <c r="BW14" s="85">
        <v>3</v>
      </c>
      <c r="BX14" s="85">
        <v>4</v>
      </c>
      <c r="BY14" s="85">
        <v>34</v>
      </c>
      <c r="BZ14" s="85"/>
      <c r="CA14" s="85">
        <v>268</v>
      </c>
      <c r="CB14" s="83">
        <v>267</v>
      </c>
      <c r="CC14" s="85">
        <v>83</v>
      </c>
      <c r="CD14" s="85">
        <v>64</v>
      </c>
      <c r="CE14" s="85">
        <v>147</v>
      </c>
      <c r="CF14" s="81">
        <v>147</v>
      </c>
    </row>
    <row r="15" spans="1:84">
      <c r="A15" s="82">
        <v>35431</v>
      </c>
      <c r="B15" s="85">
        <v>283</v>
      </c>
      <c r="C15" s="85">
        <v>3</v>
      </c>
      <c r="D15" s="85">
        <v>0</v>
      </c>
      <c r="E15" s="85">
        <v>0</v>
      </c>
      <c r="F15" s="85">
        <v>145</v>
      </c>
      <c r="G15" s="90">
        <v>7</v>
      </c>
      <c r="H15" s="85">
        <v>15</v>
      </c>
      <c r="I15" s="85">
        <v>3</v>
      </c>
      <c r="J15" s="85">
        <v>3</v>
      </c>
      <c r="K15" s="85">
        <v>3</v>
      </c>
      <c r="L15" s="85">
        <v>23</v>
      </c>
      <c r="M15" s="85">
        <v>485</v>
      </c>
      <c r="N15" s="83">
        <v>485</v>
      </c>
      <c r="O15" s="85">
        <v>274</v>
      </c>
      <c r="P15" s="85">
        <v>4</v>
      </c>
      <c r="Q15" s="85">
        <v>108</v>
      </c>
      <c r="R15" s="90">
        <v>10</v>
      </c>
      <c r="S15" s="85">
        <v>2</v>
      </c>
      <c r="T15" s="85">
        <v>17</v>
      </c>
      <c r="U15" s="85">
        <v>2</v>
      </c>
      <c r="V15" s="85">
        <v>3</v>
      </c>
      <c r="W15" s="90">
        <v>0</v>
      </c>
      <c r="X15" s="85">
        <v>1</v>
      </c>
      <c r="Y15" s="85">
        <v>421</v>
      </c>
      <c r="Z15" s="83">
        <v>421</v>
      </c>
      <c r="AA15" s="85">
        <v>51</v>
      </c>
      <c r="AB15" s="85">
        <v>1</v>
      </c>
      <c r="AC15" s="85">
        <v>0</v>
      </c>
      <c r="AD15" s="85">
        <v>0</v>
      </c>
      <c r="AE15" s="85">
        <v>60</v>
      </c>
      <c r="AF15" s="85">
        <v>3</v>
      </c>
      <c r="AG15" s="85">
        <v>7</v>
      </c>
      <c r="AH15" s="85">
        <v>1</v>
      </c>
      <c r="AI15" s="85">
        <v>0</v>
      </c>
      <c r="AJ15" s="85">
        <v>2</v>
      </c>
      <c r="AK15" s="85">
        <v>1</v>
      </c>
      <c r="AL15" s="85">
        <v>0</v>
      </c>
      <c r="AM15" s="85"/>
      <c r="AN15" s="85">
        <v>127</v>
      </c>
      <c r="AO15" s="83">
        <v>126</v>
      </c>
      <c r="AP15" s="85">
        <v>24</v>
      </c>
      <c r="AQ15" s="85">
        <v>1</v>
      </c>
      <c r="AR15" s="85">
        <v>1</v>
      </c>
      <c r="AS15" s="85">
        <v>13</v>
      </c>
      <c r="AT15" s="90">
        <v>4</v>
      </c>
      <c r="AU15" s="85">
        <v>4</v>
      </c>
      <c r="AV15" s="90">
        <v>7</v>
      </c>
      <c r="AW15" s="85">
        <v>6</v>
      </c>
      <c r="AX15" s="85">
        <v>0</v>
      </c>
      <c r="AY15" s="85">
        <v>2</v>
      </c>
      <c r="AZ15" s="85">
        <v>2</v>
      </c>
      <c r="BA15" s="85">
        <v>1</v>
      </c>
      <c r="BB15" s="85">
        <v>65</v>
      </c>
      <c r="BC15" s="83">
        <v>65</v>
      </c>
      <c r="BD15" s="85">
        <v>217</v>
      </c>
      <c r="BE15" s="85">
        <v>1</v>
      </c>
      <c r="BF15" s="85">
        <v>0</v>
      </c>
      <c r="BG15" s="85">
        <v>81</v>
      </c>
      <c r="BH15" s="90">
        <v>3</v>
      </c>
      <c r="BI15" s="90">
        <v>8</v>
      </c>
      <c r="BJ15" s="90">
        <v>57</v>
      </c>
      <c r="BK15" s="85">
        <v>1</v>
      </c>
      <c r="BL15" s="85">
        <v>2</v>
      </c>
      <c r="BM15" s="85">
        <v>15</v>
      </c>
      <c r="BN15" s="85">
        <v>384</v>
      </c>
      <c r="BO15" s="83">
        <v>385</v>
      </c>
      <c r="BP15" s="85">
        <v>129</v>
      </c>
      <c r="BQ15" s="85">
        <v>3</v>
      </c>
      <c r="BR15" s="85">
        <v>0</v>
      </c>
      <c r="BS15" s="85">
        <v>74</v>
      </c>
      <c r="BT15" s="85">
        <v>1</v>
      </c>
      <c r="BU15" s="85">
        <v>1</v>
      </c>
      <c r="BV15" s="85">
        <v>0</v>
      </c>
      <c r="BW15" s="85">
        <v>2</v>
      </c>
      <c r="BX15" s="85">
        <v>3</v>
      </c>
      <c r="BY15" s="85">
        <v>28</v>
      </c>
      <c r="BZ15" s="85"/>
      <c r="CA15" s="85">
        <v>242</v>
      </c>
      <c r="CB15" s="83">
        <v>241</v>
      </c>
      <c r="CC15" s="85">
        <v>66</v>
      </c>
      <c r="CD15" s="85">
        <v>60</v>
      </c>
      <c r="CE15" s="85">
        <v>126</v>
      </c>
      <c r="CF15" s="81">
        <v>126</v>
      </c>
    </row>
    <row r="16" spans="1:84">
      <c r="A16" s="82">
        <v>35462</v>
      </c>
      <c r="B16" s="85">
        <v>288</v>
      </c>
      <c r="C16" s="85">
        <v>3</v>
      </c>
      <c r="D16" s="85">
        <v>0</v>
      </c>
      <c r="E16" s="85">
        <v>0</v>
      </c>
      <c r="F16" s="85">
        <v>154</v>
      </c>
      <c r="G16" s="90">
        <v>6</v>
      </c>
      <c r="H16" s="85">
        <v>16</v>
      </c>
      <c r="I16" s="85">
        <v>2</v>
      </c>
      <c r="J16" s="85">
        <v>3</v>
      </c>
      <c r="K16" s="85">
        <v>5</v>
      </c>
      <c r="L16" s="85">
        <v>24</v>
      </c>
      <c r="M16" s="85">
        <v>501</v>
      </c>
      <c r="N16" s="83">
        <v>501</v>
      </c>
      <c r="O16" s="85">
        <v>265</v>
      </c>
      <c r="P16" s="85">
        <v>3</v>
      </c>
      <c r="Q16" s="85">
        <v>104</v>
      </c>
      <c r="R16" s="90">
        <v>6</v>
      </c>
      <c r="S16" s="85">
        <v>2</v>
      </c>
      <c r="T16" s="85">
        <v>24</v>
      </c>
      <c r="U16" s="85">
        <v>1</v>
      </c>
      <c r="V16" s="85">
        <v>7</v>
      </c>
      <c r="W16" s="90">
        <v>0</v>
      </c>
      <c r="X16" s="85">
        <v>1</v>
      </c>
      <c r="Y16" s="85">
        <v>412</v>
      </c>
      <c r="Z16" s="83">
        <v>413</v>
      </c>
      <c r="AA16" s="85">
        <v>52</v>
      </c>
      <c r="AB16" s="85">
        <v>1</v>
      </c>
      <c r="AC16" s="85">
        <v>0</v>
      </c>
      <c r="AD16" s="85">
        <v>0</v>
      </c>
      <c r="AE16" s="85">
        <v>65</v>
      </c>
      <c r="AF16" s="85">
        <v>3</v>
      </c>
      <c r="AG16" s="85">
        <v>7</v>
      </c>
      <c r="AH16" s="85">
        <v>1</v>
      </c>
      <c r="AI16" s="85">
        <v>0</v>
      </c>
      <c r="AJ16" s="85">
        <v>2</v>
      </c>
      <c r="AK16" s="85">
        <v>2</v>
      </c>
      <c r="AL16" s="85">
        <v>0</v>
      </c>
      <c r="AM16" s="85"/>
      <c r="AN16" s="85">
        <v>132</v>
      </c>
      <c r="AO16" s="83">
        <v>133</v>
      </c>
      <c r="AP16" s="85">
        <v>22</v>
      </c>
      <c r="AQ16" s="85">
        <v>2</v>
      </c>
      <c r="AR16" s="85">
        <v>1</v>
      </c>
      <c r="AS16" s="85">
        <v>15</v>
      </c>
      <c r="AT16" s="90">
        <v>4</v>
      </c>
      <c r="AU16" s="85">
        <v>4</v>
      </c>
      <c r="AV16" s="90">
        <v>9</v>
      </c>
      <c r="AW16" s="85">
        <v>6</v>
      </c>
      <c r="AX16" s="85">
        <v>0</v>
      </c>
      <c r="AY16" s="85">
        <v>1</v>
      </c>
      <c r="AZ16" s="85">
        <v>2</v>
      </c>
      <c r="BA16" s="85">
        <v>1</v>
      </c>
      <c r="BB16" s="85">
        <v>67</v>
      </c>
      <c r="BC16" s="83">
        <v>67</v>
      </c>
      <c r="BD16" s="85">
        <v>220</v>
      </c>
      <c r="BE16" s="85">
        <v>1</v>
      </c>
      <c r="BF16" s="85">
        <v>0</v>
      </c>
      <c r="BG16" s="85">
        <v>86</v>
      </c>
      <c r="BH16" s="90">
        <v>3</v>
      </c>
      <c r="BI16" s="90">
        <v>8</v>
      </c>
      <c r="BJ16" s="90">
        <v>60</v>
      </c>
      <c r="BK16" s="85">
        <v>1</v>
      </c>
      <c r="BL16" s="85">
        <v>3</v>
      </c>
      <c r="BM16" s="85">
        <v>15</v>
      </c>
      <c r="BN16" s="85">
        <v>397</v>
      </c>
      <c r="BO16" s="83">
        <v>397</v>
      </c>
      <c r="BP16" s="85">
        <v>137</v>
      </c>
      <c r="BQ16" s="85">
        <v>2</v>
      </c>
      <c r="BR16" s="85">
        <v>0</v>
      </c>
      <c r="BS16" s="85">
        <v>68</v>
      </c>
      <c r="BT16" s="85">
        <v>0</v>
      </c>
      <c r="BU16" s="85">
        <v>1</v>
      </c>
      <c r="BV16" s="85">
        <v>0</v>
      </c>
      <c r="BW16" s="85">
        <v>2</v>
      </c>
      <c r="BX16" s="85">
        <v>2</v>
      </c>
      <c r="BY16" s="85">
        <v>31</v>
      </c>
      <c r="BZ16" s="85"/>
      <c r="CA16" s="85">
        <v>244</v>
      </c>
      <c r="CB16" s="83">
        <v>243</v>
      </c>
      <c r="CC16" s="85">
        <v>72</v>
      </c>
      <c r="CD16" s="85">
        <v>55</v>
      </c>
      <c r="CE16" s="85">
        <v>127</v>
      </c>
      <c r="CF16" s="81">
        <v>127</v>
      </c>
    </row>
    <row r="17" spans="1:84">
      <c r="A17" s="82">
        <v>35490</v>
      </c>
      <c r="B17" s="85">
        <v>308</v>
      </c>
      <c r="C17" s="85">
        <v>3</v>
      </c>
      <c r="D17" s="85">
        <v>0</v>
      </c>
      <c r="E17" s="85">
        <v>0</v>
      </c>
      <c r="F17" s="85">
        <v>147</v>
      </c>
      <c r="G17" s="90">
        <v>8</v>
      </c>
      <c r="H17" s="85">
        <v>18</v>
      </c>
      <c r="I17" s="85">
        <v>3</v>
      </c>
      <c r="J17" s="85">
        <v>3</v>
      </c>
      <c r="K17" s="85">
        <v>8</v>
      </c>
      <c r="L17" s="85">
        <v>28</v>
      </c>
      <c r="M17" s="85">
        <v>524</v>
      </c>
      <c r="N17" s="83">
        <v>526</v>
      </c>
      <c r="O17" s="85">
        <v>293</v>
      </c>
      <c r="P17" s="85">
        <v>2</v>
      </c>
      <c r="Q17" s="85">
        <v>138</v>
      </c>
      <c r="R17" s="90">
        <v>10</v>
      </c>
      <c r="S17" s="85">
        <v>3</v>
      </c>
      <c r="T17" s="85">
        <v>26</v>
      </c>
      <c r="U17" s="85">
        <v>3</v>
      </c>
      <c r="V17" s="85">
        <v>6</v>
      </c>
      <c r="W17" s="90">
        <v>0</v>
      </c>
      <c r="X17" s="85">
        <v>1</v>
      </c>
      <c r="Y17" s="85">
        <v>482</v>
      </c>
      <c r="Z17" s="83">
        <v>482</v>
      </c>
      <c r="AA17" s="85">
        <v>55</v>
      </c>
      <c r="AB17" s="85">
        <v>1</v>
      </c>
      <c r="AC17" s="85">
        <v>0</v>
      </c>
      <c r="AD17" s="85">
        <v>0</v>
      </c>
      <c r="AE17" s="85">
        <v>62</v>
      </c>
      <c r="AF17" s="85">
        <v>4</v>
      </c>
      <c r="AG17" s="85">
        <v>8</v>
      </c>
      <c r="AH17" s="85">
        <v>1</v>
      </c>
      <c r="AI17" s="85">
        <v>0</v>
      </c>
      <c r="AJ17" s="85">
        <v>2</v>
      </c>
      <c r="AK17" s="85">
        <v>3</v>
      </c>
      <c r="AL17" s="85">
        <v>0</v>
      </c>
      <c r="AM17" s="85"/>
      <c r="AN17" s="85">
        <v>135</v>
      </c>
      <c r="AO17" s="83">
        <v>136</v>
      </c>
      <c r="AP17" s="85">
        <v>15</v>
      </c>
      <c r="AQ17" s="85">
        <v>2</v>
      </c>
      <c r="AR17" s="85">
        <v>1</v>
      </c>
      <c r="AS17" s="85">
        <v>11</v>
      </c>
      <c r="AT17" s="90">
        <v>4</v>
      </c>
      <c r="AU17" s="85">
        <v>5</v>
      </c>
      <c r="AV17" s="90">
        <v>12</v>
      </c>
      <c r="AW17" s="85">
        <v>7</v>
      </c>
      <c r="AX17" s="85">
        <v>0</v>
      </c>
      <c r="AY17" s="85">
        <v>1</v>
      </c>
      <c r="AZ17" s="85">
        <v>2</v>
      </c>
      <c r="BA17" s="85">
        <v>3</v>
      </c>
      <c r="BB17" s="85">
        <v>61</v>
      </c>
      <c r="BC17" s="83">
        <v>63</v>
      </c>
      <c r="BD17" s="85">
        <v>234</v>
      </c>
      <c r="BE17" s="85">
        <v>1</v>
      </c>
      <c r="BF17" s="85">
        <v>0</v>
      </c>
      <c r="BG17" s="85">
        <v>82</v>
      </c>
      <c r="BH17" s="90">
        <v>3</v>
      </c>
      <c r="BI17" s="90">
        <v>10</v>
      </c>
      <c r="BJ17" s="90">
        <v>69</v>
      </c>
      <c r="BK17" s="85">
        <v>1</v>
      </c>
      <c r="BL17" s="85">
        <v>4</v>
      </c>
      <c r="BM17" s="85">
        <v>15</v>
      </c>
      <c r="BN17" s="85">
        <v>421</v>
      </c>
      <c r="BO17" s="83">
        <v>419</v>
      </c>
      <c r="BP17" s="85">
        <v>114</v>
      </c>
      <c r="BQ17" s="85">
        <v>1</v>
      </c>
      <c r="BR17" s="85">
        <v>0</v>
      </c>
      <c r="BS17" s="85">
        <v>41</v>
      </c>
      <c r="BT17" s="85">
        <v>0</v>
      </c>
      <c r="BU17" s="85">
        <v>1</v>
      </c>
      <c r="BV17" s="85">
        <v>0</v>
      </c>
      <c r="BW17" s="85">
        <v>3</v>
      </c>
      <c r="BX17" s="85">
        <v>3</v>
      </c>
      <c r="BY17" s="85">
        <v>20</v>
      </c>
      <c r="BZ17" s="85"/>
      <c r="CA17" s="85">
        <v>184</v>
      </c>
      <c r="CB17" s="83">
        <v>183</v>
      </c>
      <c r="CC17" s="85">
        <v>61</v>
      </c>
      <c r="CD17" s="85">
        <v>30</v>
      </c>
      <c r="CE17" s="85">
        <v>91</v>
      </c>
      <c r="CF17" s="81">
        <v>91</v>
      </c>
    </row>
    <row r="18" spans="1:84">
      <c r="A18" s="82">
        <v>35521</v>
      </c>
      <c r="B18" s="85">
        <v>342</v>
      </c>
      <c r="C18" s="85">
        <v>3</v>
      </c>
      <c r="D18" s="85">
        <v>0</v>
      </c>
      <c r="E18" s="85">
        <v>0</v>
      </c>
      <c r="F18" s="85">
        <v>195</v>
      </c>
      <c r="G18" s="90">
        <v>7</v>
      </c>
      <c r="H18" s="85">
        <v>19</v>
      </c>
      <c r="I18" s="85">
        <v>4</v>
      </c>
      <c r="J18" s="85">
        <v>4</v>
      </c>
      <c r="K18" s="85">
        <v>6</v>
      </c>
      <c r="L18" s="85">
        <v>26</v>
      </c>
      <c r="M18" s="85">
        <v>606</v>
      </c>
      <c r="N18" s="83">
        <v>606</v>
      </c>
      <c r="O18" s="85">
        <v>259</v>
      </c>
      <c r="P18" s="85">
        <v>2</v>
      </c>
      <c r="Q18" s="85">
        <v>104</v>
      </c>
      <c r="R18" s="90">
        <v>9</v>
      </c>
      <c r="S18" s="85">
        <v>2</v>
      </c>
      <c r="T18" s="85">
        <v>27</v>
      </c>
      <c r="U18" s="85">
        <v>3</v>
      </c>
      <c r="V18" s="85">
        <v>11</v>
      </c>
      <c r="W18" s="90">
        <v>0</v>
      </c>
      <c r="X18" s="85">
        <v>1</v>
      </c>
      <c r="Y18" s="85">
        <v>417</v>
      </c>
      <c r="Z18" s="83">
        <v>418</v>
      </c>
      <c r="AA18" s="85">
        <v>61</v>
      </c>
      <c r="AB18" s="85">
        <v>1</v>
      </c>
      <c r="AC18" s="85">
        <v>0</v>
      </c>
      <c r="AD18" s="85">
        <v>0</v>
      </c>
      <c r="AE18" s="85">
        <v>82</v>
      </c>
      <c r="AF18" s="85">
        <v>4</v>
      </c>
      <c r="AG18" s="85">
        <v>9</v>
      </c>
      <c r="AH18" s="85">
        <v>2</v>
      </c>
      <c r="AI18" s="85">
        <v>0</v>
      </c>
      <c r="AJ18" s="85">
        <v>2</v>
      </c>
      <c r="AK18" s="85">
        <v>2</v>
      </c>
      <c r="AL18" s="85">
        <v>0</v>
      </c>
      <c r="AM18" s="85"/>
      <c r="AN18" s="85">
        <v>163</v>
      </c>
      <c r="AO18" s="83">
        <v>163</v>
      </c>
      <c r="AP18" s="85">
        <v>18</v>
      </c>
      <c r="AQ18" s="85">
        <v>1</v>
      </c>
      <c r="AR18" s="85">
        <v>2</v>
      </c>
      <c r="AS18" s="85">
        <v>14</v>
      </c>
      <c r="AT18" s="90">
        <v>4</v>
      </c>
      <c r="AU18" s="85">
        <v>5</v>
      </c>
      <c r="AV18" s="90">
        <v>8</v>
      </c>
      <c r="AW18" s="85">
        <v>6</v>
      </c>
      <c r="AX18" s="85">
        <v>0</v>
      </c>
      <c r="AY18" s="85">
        <v>1</v>
      </c>
      <c r="AZ18" s="85">
        <v>2</v>
      </c>
      <c r="BA18" s="85">
        <v>3</v>
      </c>
      <c r="BB18" s="85">
        <v>63</v>
      </c>
      <c r="BC18" s="83">
        <v>64</v>
      </c>
      <c r="BD18" s="85">
        <v>262</v>
      </c>
      <c r="BE18" s="85">
        <v>2</v>
      </c>
      <c r="BF18" s="85">
        <v>0</v>
      </c>
      <c r="BG18" s="85">
        <v>109</v>
      </c>
      <c r="BH18" s="90">
        <v>3</v>
      </c>
      <c r="BI18" s="90">
        <v>10</v>
      </c>
      <c r="BJ18" s="90">
        <v>73</v>
      </c>
      <c r="BK18" s="85">
        <v>1</v>
      </c>
      <c r="BL18" s="85">
        <v>3</v>
      </c>
      <c r="BM18" s="85">
        <v>15</v>
      </c>
      <c r="BN18" s="85">
        <v>478</v>
      </c>
      <c r="BO18" s="83">
        <v>478</v>
      </c>
      <c r="BP18" s="85">
        <v>146</v>
      </c>
      <c r="BQ18" s="85">
        <v>1</v>
      </c>
      <c r="BR18" s="85">
        <v>0</v>
      </c>
      <c r="BS18" s="85">
        <v>66</v>
      </c>
      <c r="BT18" s="85">
        <v>0</v>
      </c>
      <c r="BU18" s="85">
        <v>1</v>
      </c>
      <c r="BV18" s="85">
        <v>0</v>
      </c>
      <c r="BW18" s="85">
        <v>2</v>
      </c>
      <c r="BX18" s="85">
        <v>4</v>
      </c>
      <c r="BY18" s="85">
        <v>24</v>
      </c>
      <c r="BZ18" s="85"/>
      <c r="CA18" s="85">
        <v>246</v>
      </c>
      <c r="CB18" s="83">
        <v>244</v>
      </c>
      <c r="CC18" s="85">
        <v>90</v>
      </c>
      <c r="CD18" s="85">
        <v>52</v>
      </c>
      <c r="CE18" s="85">
        <v>142</v>
      </c>
      <c r="CF18" s="81">
        <v>142</v>
      </c>
    </row>
    <row r="19" spans="1:84">
      <c r="A19" s="82">
        <v>35551</v>
      </c>
      <c r="B19" s="85">
        <v>319</v>
      </c>
      <c r="C19" s="85">
        <v>3</v>
      </c>
      <c r="D19" s="85">
        <v>0</v>
      </c>
      <c r="E19" s="85">
        <v>0</v>
      </c>
      <c r="F19" s="85">
        <v>179</v>
      </c>
      <c r="G19" s="90">
        <v>7</v>
      </c>
      <c r="H19" s="85">
        <v>20</v>
      </c>
      <c r="I19" s="85">
        <v>3</v>
      </c>
      <c r="J19" s="85">
        <v>4</v>
      </c>
      <c r="K19" s="85">
        <v>9</v>
      </c>
      <c r="L19" s="85">
        <v>29</v>
      </c>
      <c r="M19" s="85">
        <v>572</v>
      </c>
      <c r="N19" s="83">
        <v>573</v>
      </c>
      <c r="O19" s="85">
        <v>268</v>
      </c>
      <c r="P19" s="85">
        <v>2</v>
      </c>
      <c r="Q19" s="85">
        <v>123</v>
      </c>
      <c r="R19" s="90">
        <v>9</v>
      </c>
      <c r="S19" s="85">
        <v>2</v>
      </c>
      <c r="T19" s="85">
        <v>24</v>
      </c>
      <c r="U19" s="85">
        <v>2</v>
      </c>
      <c r="V19" s="85">
        <v>9</v>
      </c>
      <c r="W19" s="90">
        <v>0</v>
      </c>
      <c r="X19" s="85">
        <v>1</v>
      </c>
      <c r="Y19" s="85">
        <v>439</v>
      </c>
      <c r="Z19" s="83">
        <v>440</v>
      </c>
      <c r="AA19" s="85">
        <v>57</v>
      </c>
      <c r="AB19" s="85">
        <v>1</v>
      </c>
      <c r="AC19" s="85">
        <v>0</v>
      </c>
      <c r="AD19" s="85">
        <v>0</v>
      </c>
      <c r="AE19" s="85">
        <v>75</v>
      </c>
      <c r="AF19" s="85">
        <v>3</v>
      </c>
      <c r="AG19" s="85">
        <v>9</v>
      </c>
      <c r="AH19" s="85">
        <v>1</v>
      </c>
      <c r="AI19" s="85">
        <v>0</v>
      </c>
      <c r="AJ19" s="85">
        <v>2</v>
      </c>
      <c r="AK19" s="85">
        <v>4</v>
      </c>
      <c r="AL19" s="85">
        <v>0</v>
      </c>
      <c r="AM19" s="85"/>
      <c r="AN19" s="85">
        <v>153</v>
      </c>
      <c r="AO19" s="83">
        <v>152</v>
      </c>
      <c r="AP19" s="85">
        <v>16</v>
      </c>
      <c r="AQ19" s="85">
        <v>1</v>
      </c>
      <c r="AR19" s="85">
        <v>1</v>
      </c>
      <c r="AS19" s="85">
        <v>17</v>
      </c>
      <c r="AT19" s="90">
        <v>4</v>
      </c>
      <c r="AU19" s="85">
        <v>5</v>
      </c>
      <c r="AV19" s="90">
        <v>8</v>
      </c>
      <c r="AW19" s="85">
        <v>6</v>
      </c>
      <c r="AX19" s="85">
        <v>0</v>
      </c>
      <c r="AY19" s="85">
        <v>1</v>
      </c>
      <c r="AZ19" s="85">
        <v>3</v>
      </c>
      <c r="BA19" s="85">
        <v>5</v>
      </c>
      <c r="BB19" s="85">
        <v>67</v>
      </c>
      <c r="BC19" s="83">
        <v>67</v>
      </c>
      <c r="BD19" s="85">
        <v>242</v>
      </c>
      <c r="BE19" s="85">
        <v>1</v>
      </c>
      <c r="BF19" s="85">
        <v>0</v>
      </c>
      <c r="BG19" s="85">
        <v>101</v>
      </c>
      <c r="BH19" s="90">
        <v>3</v>
      </c>
      <c r="BI19" s="90">
        <v>10</v>
      </c>
      <c r="BJ19" s="90">
        <v>75</v>
      </c>
      <c r="BK19" s="85">
        <v>1</v>
      </c>
      <c r="BL19" s="85">
        <v>5</v>
      </c>
      <c r="BM19" s="85">
        <v>15</v>
      </c>
      <c r="BN19" s="85">
        <v>455</v>
      </c>
      <c r="BO19" s="83">
        <v>453</v>
      </c>
      <c r="BP19" s="85">
        <v>146</v>
      </c>
      <c r="BQ19" s="85">
        <v>2</v>
      </c>
      <c r="BR19" s="85">
        <v>0</v>
      </c>
      <c r="BS19" s="85">
        <v>82</v>
      </c>
      <c r="BT19" s="85">
        <v>1</v>
      </c>
      <c r="BU19" s="85">
        <v>1</v>
      </c>
      <c r="BV19" s="85">
        <v>0</v>
      </c>
      <c r="BW19" s="85">
        <v>2</v>
      </c>
      <c r="BX19" s="85">
        <v>5</v>
      </c>
      <c r="BY19" s="85">
        <v>29</v>
      </c>
      <c r="BZ19" s="85"/>
      <c r="CA19" s="85">
        <v>268</v>
      </c>
      <c r="CB19" s="83">
        <v>268</v>
      </c>
      <c r="CC19" s="85">
        <v>91</v>
      </c>
      <c r="CD19" s="85">
        <v>69</v>
      </c>
      <c r="CE19" s="85">
        <v>160</v>
      </c>
      <c r="CF19" s="81">
        <v>160</v>
      </c>
    </row>
    <row r="20" spans="1:84">
      <c r="A20" s="82">
        <v>35582</v>
      </c>
      <c r="B20" s="85">
        <v>322</v>
      </c>
      <c r="C20" s="85">
        <v>3</v>
      </c>
      <c r="D20" s="85">
        <v>0</v>
      </c>
      <c r="E20" s="85">
        <v>0</v>
      </c>
      <c r="F20" s="85">
        <v>182</v>
      </c>
      <c r="G20" s="90">
        <v>7</v>
      </c>
      <c r="H20" s="85">
        <v>19</v>
      </c>
      <c r="I20" s="85">
        <v>6</v>
      </c>
      <c r="J20" s="85">
        <v>4</v>
      </c>
      <c r="K20" s="85">
        <v>9</v>
      </c>
      <c r="L20" s="85">
        <v>28</v>
      </c>
      <c r="M20" s="85">
        <v>580</v>
      </c>
      <c r="N20" s="83">
        <v>580</v>
      </c>
      <c r="O20" s="85">
        <v>273</v>
      </c>
      <c r="P20" s="85">
        <v>1</v>
      </c>
      <c r="Q20" s="85">
        <v>131</v>
      </c>
      <c r="R20" s="90">
        <v>9</v>
      </c>
      <c r="S20" s="85">
        <v>2</v>
      </c>
      <c r="T20" s="85">
        <v>31</v>
      </c>
      <c r="U20" s="85">
        <v>2</v>
      </c>
      <c r="V20" s="85">
        <v>9</v>
      </c>
      <c r="W20" s="90">
        <v>0</v>
      </c>
      <c r="X20" s="85">
        <v>1</v>
      </c>
      <c r="Y20" s="85">
        <v>459</v>
      </c>
      <c r="Z20" s="83">
        <v>459</v>
      </c>
      <c r="AA20" s="85">
        <v>58</v>
      </c>
      <c r="AB20" s="85">
        <v>1</v>
      </c>
      <c r="AC20" s="85">
        <v>0</v>
      </c>
      <c r="AD20" s="85">
        <v>0</v>
      </c>
      <c r="AE20" s="85">
        <v>77</v>
      </c>
      <c r="AF20" s="85">
        <v>3</v>
      </c>
      <c r="AG20" s="85">
        <v>9</v>
      </c>
      <c r="AH20" s="85">
        <v>2</v>
      </c>
      <c r="AI20" s="85">
        <v>0</v>
      </c>
      <c r="AJ20" s="85">
        <v>2</v>
      </c>
      <c r="AK20" s="85">
        <v>3</v>
      </c>
      <c r="AL20" s="85">
        <v>0</v>
      </c>
      <c r="AM20" s="85"/>
      <c r="AN20" s="85">
        <v>156</v>
      </c>
      <c r="AO20" s="83">
        <v>155</v>
      </c>
      <c r="AP20" s="85">
        <v>19</v>
      </c>
      <c r="AQ20" s="85">
        <v>1</v>
      </c>
      <c r="AR20" s="85">
        <v>2</v>
      </c>
      <c r="AS20" s="85">
        <v>22</v>
      </c>
      <c r="AT20" s="90">
        <v>4</v>
      </c>
      <c r="AU20" s="85">
        <v>5</v>
      </c>
      <c r="AV20" s="90">
        <v>8</v>
      </c>
      <c r="AW20" s="85">
        <v>7</v>
      </c>
      <c r="AX20" s="85">
        <v>0</v>
      </c>
      <c r="AY20" s="85">
        <v>1</v>
      </c>
      <c r="AZ20" s="85">
        <v>4</v>
      </c>
      <c r="BA20" s="85">
        <v>5</v>
      </c>
      <c r="BB20" s="85">
        <v>77</v>
      </c>
      <c r="BC20" s="83">
        <v>78</v>
      </c>
      <c r="BD20" s="85">
        <v>246</v>
      </c>
      <c r="BE20" s="85">
        <v>2</v>
      </c>
      <c r="BF20" s="85">
        <v>0</v>
      </c>
      <c r="BG20" s="85">
        <v>103</v>
      </c>
      <c r="BH20" s="90">
        <v>3</v>
      </c>
      <c r="BI20" s="90">
        <v>10</v>
      </c>
      <c r="BJ20" s="90">
        <v>73</v>
      </c>
      <c r="BK20" s="85">
        <v>1</v>
      </c>
      <c r="BL20" s="85">
        <v>5</v>
      </c>
      <c r="BM20" s="85">
        <v>16</v>
      </c>
      <c r="BN20" s="85">
        <v>460</v>
      </c>
      <c r="BO20" s="83">
        <v>459</v>
      </c>
      <c r="BP20" s="85">
        <v>162</v>
      </c>
      <c r="BQ20" s="85">
        <v>3</v>
      </c>
      <c r="BR20" s="85">
        <v>0</v>
      </c>
      <c r="BS20" s="85">
        <v>97</v>
      </c>
      <c r="BT20" s="85">
        <v>1</v>
      </c>
      <c r="BU20" s="85">
        <v>1</v>
      </c>
      <c r="BV20" s="85">
        <v>0</v>
      </c>
      <c r="BW20" s="85">
        <v>4</v>
      </c>
      <c r="BX20" s="85">
        <v>6</v>
      </c>
      <c r="BY20" s="85">
        <v>19</v>
      </c>
      <c r="BZ20" s="85"/>
      <c r="CA20" s="85">
        <v>293</v>
      </c>
      <c r="CB20" s="83">
        <v>293</v>
      </c>
      <c r="CC20" s="85">
        <v>102</v>
      </c>
      <c r="CD20" s="85">
        <v>84</v>
      </c>
      <c r="CE20" s="85">
        <v>186</v>
      </c>
      <c r="CF20" s="81">
        <v>186</v>
      </c>
    </row>
    <row r="21" spans="1:84">
      <c r="A21" s="82">
        <v>35612</v>
      </c>
      <c r="B21" s="85">
        <v>303</v>
      </c>
      <c r="C21" s="85">
        <v>3</v>
      </c>
      <c r="D21" s="85">
        <v>0</v>
      </c>
      <c r="E21" s="85">
        <v>0</v>
      </c>
      <c r="F21" s="85">
        <v>174</v>
      </c>
      <c r="G21" s="90">
        <v>8</v>
      </c>
      <c r="H21" s="85">
        <v>20</v>
      </c>
      <c r="I21" s="85">
        <v>5</v>
      </c>
      <c r="J21" s="85">
        <v>4</v>
      </c>
      <c r="K21" s="85">
        <v>7</v>
      </c>
      <c r="L21" s="85">
        <v>29</v>
      </c>
      <c r="M21" s="85">
        <v>552</v>
      </c>
      <c r="N21" s="83">
        <v>553</v>
      </c>
      <c r="O21" s="85">
        <v>335</v>
      </c>
      <c r="P21" s="85">
        <v>2</v>
      </c>
      <c r="Q21" s="85">
        <v>105</v>
      </c>
      <c r="R21" s="90">
        <v>13</v>
      </c>
      <c r="S21" s="85">
        <v>2</v>
      </c>
      <c r="T21" s="85">
        <v>27</v>
      </c>
      <c r="U21" s="85">
        <v>3</v>
      </c>
      <c r="V21" s="85">
        <v>5</v>
      </c>
      <c r="W21" s="90">
        <v>0</v>
      </c>
      <c r="X21" s="85">
        <v>1</v>
      </c>
      <c r="Y21" s="85">
        <v>493</v>
      </c>
      <c r="Z21" s="83">
        <v>493</v>
      </c>
      <c r="AA21" s="85">
        <v>55</v>
      </c>
      <c r="AB21" s="85">
        <v>0</v>
      </c>
      <c r="AC21" s="85">
        <v>0</v>
      </c>
      <c r="AD21" s="85">
        <v>0</v>
      </c>
      <c r="AE21" s="85">
        <v>73</v>
      </c>
      <c r="AF21" s="85">
        <v>4</v>
      </c>
      <c r="AG21" s="85">
        <v>9</v>
      </c>
      <c r="AH21" s="85">
        <v>2</v>
      </c>
      <c r="AI21" s="85">
        <v>0</v>
      </c>
      <c r="AJ21" s="85">
        <v>3</v>
      </c>
      <c r="AK21" s="85">
        <v>3</v>
      </c>
      <c r="AL21" s="85">
        <v>0</v>
      </c>
      <c r="AM21" s="85"/>
      <c r="AN21" s="85">
        <v>149</v>
      </c>
      <c r="AO21" s="83">
        <v>149</v>
      </c>
      <c r="AP21" s="85">
        <v>15</v>
      </c>
      <c r="AQ21" s="85">
        <v>1</v>
      </c>
      <c r="AR21" s="85">
        <v>1</v>
      </c>
      <c r="AS21" s="85">
        <v>20</v>
      </c>
      <c r="AT21" s="90">
        <v>4</v>
      </c>
      <c r="AU21" s="85">
        <v>6</v>
      </c>
      <c r="AV21" s="90">
        <v>12</v>
      </c>
      <c r="AW21" s="85">
        <v>5</v>
      </c>
      <c r="AX21" s="85">
        <v>0</v>
      </c>
      <c r="AY21" s="85">
        <v>2</v>
      </c>
      <c r="AZ21" s="85">
        <v>4</v>
      </c>
      <c r="BA21" s="85">
        <v>4</v>
      </c>
      <c r="BB21" s="85">
        <v>73</v>
      </c>
      <c r="BC21" s="83">
        <v>74</v>
      </c>
      <c r="BD21" s="85">
        <v>230</v>
      </c>
      <c r="BE21" s="85">
        <v>1</v>
      </c>
      <c r="BF21" s="85">
        <v>0</v>
      </c>
      <c r="BG21" s="85">
        <v>98</v>
      </c>
      <c r="BH21" s="90">
        <v>3</v>
      </c>
      <c r="BI21" s="90">
        <v>11</v>
      </c>
      <c r="BJ21" s="90">
        <v>78</v>
      </c>
      <c r="BK21" s="85">
        <v>1</v>
      </c>
      <c r="BL21" s="85">
        <v>4</v>
      </c>
      <c r="BM21" s="85">
        <v>16</v>
      </c>
      <c r="BN21" s="85">
        <v>442</v>
      </c>
      <c r="BO21" s="83">
        <v>442</v>
      </c>
      <c r="BP21" s="85">
        <v>168</v>
      </c>
      <c r="BQ21" s="85">
        <v>3</v>
      </c>
      <c r="BR21" s="85">
        <v>0</v>
      </c>
      <c r="BS21" s="85">
        <v>106</v>
      </c>
      <c r="BT21" s="85">
        <v>1</v>
      </c>
      <c r="BU21" s="85">
        <v>2</v>
      </c>
      <c r="BV21" s="85">
        <v>0</v>
      </c>
      <c r="BW21" s="85">
        <v>3</v>
      </c>
      <c r="BX21" s="85">
        <v>7</v>
      </c>
      <c r="BY21" s="85">
        <v>9</v>
      </c>
      <c r="BZ21" s="85"/>
      <c r="CA21" s="85">
        <v>299</v>
      </c>
      <c r="CB21" s="83">
        <v>299</v>
      </c>
      <c r="CC21" s="85">
        <v>110</v>
      </c>
      <c r="CD21" s="85">
        <v>93</v>
      </c>
      <c r="CE21" s="85">
        <v>203</v>
      </c>
      <c r="CF21" s="81">
        <v>203</v>
      </c>
    </row>
    <row r="22" spans="1:84">
      <c r="A22" s="82">
        <v>35643</v>
      </c>
      <c r="B22" s="85">
        <v>278</v>
      </c>
      <c r="C22" s="85">
        <v>2</v>
      </c>
      <c r="D22" s="85">
        <v>0</v>
      </c>
      <c r="E22" s="85">
        <v>0</v>
      </c>
      <c r="F22" s="85">
        <v>145</v>
      </c>
      <c r="G22" s="90">
        <v>6</v>
      </c>
      <c r="H22" s="85">
        <v>17</v>
      </c>
      <c r="I22" s="85">
        <v>2</v>
      </c>
      <c r="J22" s="85">
        <v>3</v>
      </c>
      <c r="K22" s="85">
        <v>5</v>
      </c>
      <c r="L22" s="85">
        <v>27</v>
      </c>
      <c r="M22" s="85">
        <v>486</v>
      </c>
      <c r="N22" s="83">
        <v>485</v>
      </c>
      <c r="O22" s="85">
        <v>370</v>
      </c>
      <c r="P22" s="85">
        <v>3</v>
      </c>
      <c r="Q22" s="85">
        <v>124</v>
      </c>
      <c r="R22" s="90">
        <v>20</v>
      </c>
      <c r="S22" s="85">
        <v>2</v>
      </c>
      <c r="T22" s="85">
        <v>25</v>
      </c>
      <c r="U22" s="85">
        <v>2</v>
      </c>
      <c r="V22" s="85">
        <v>10</v>
      </c>
      <c r="W22" s="90">
        <v>0</v>
      </c>
      <c r="X22" s="85">
        <v>1</v>
      </c>
      <c r="Y22" s="85">
        <v>556</v>
      </c>
      <c r="Z22" s="83">
        <v>557</v>
      </c>
      <c r="AA22" s="85">
        <v>51</v>
      </c>
      <c r="AB22" s="85">
        <v>1</v>
      </c>
      <c r="AC22" s="85">
        <v>0</v>
      </c>
      <c r="AD22" s="85">
        <v>0</v>
      </c>
      <c r="AE22" s="85">
        <v>61</v>
      </c>
      <c r="AF22" s="85">
        <v>3</v>
      </c>
      <c r="AG22" s="85">
        <v>8</v>
      </c>
      <c r="AH22" s="85">
        <v>1</v>
      </c>
      <c r="AI22" s="85">
        <v>0</v>
      </c>
      <c r="AJ22" s="85">
        <v>2</v>
      </c>
      <c r="AK22" s="85">
        <v>2</v>
      </c>
      <c r="AL22" s="85">
        <v>0</v>
      </c>
      <c r="AM22" s="85"/>
      <c r="AN22" s="85">
        <v>129</v>
      </c>
      <c r="AO22" s="83">
        <v>129</v>
      </c>
      <c r="AP22" s="85">
        <v>21</v>
      </c>
      <c r="AQ22" s="85">
        <v>1</v>
      </c>
      <c r="AR22" s="85">
        <v>1</v>
      </c>
      <c r="AS22" s="85">
        <v>20</v>
      </c>
      <c r="AT22" s="90">
        <v>4</v>
      </c>
      <c r="AU22" s="85">
        <v>6</v>
      </c>
      <c r="AV22" s="90">
        <v>12</v>
      </c>
      <c r="AW22" s="85">
        <v>4</v>
      </c>
      <c r="AX22" s="85">
        <v>0</v>
      </c>
      <c r="AY22" s="85">
        <v>2</v>
      </c>
      <c r="AZ22" s="85">
        <v>4</v>
      </c>
      <c r="BA22" s="85">
        <v>3</v>
      </c>
      <c r="BB22" s="85">
        <v>78</v>
      </c>
      <c r="BC22" s="83">
        <v>78</v>
      </c>
      <c r="BD22" s="85">
        <v>213</v>
      </c>
      <c r="BE22" s="85">
        <v>1</v>
      </c>
      <c r="BF22" s="85">
        <v>0</v>
      </c>
      <c r="BG22" s="85">
        <v>82</v>
      </c>
      <c r="BH22" s="90">
        <v>0</v>
      </c>
      <c r="BI22" s="90">
        <v>9</v>
      </c>
      <c r="BJ22" s="90">
        <v>67</v>
      </c>
      <c r="BK22" s="85">
        <v>1</v>
      </c>
      <c r="BL22" s="85">
        <v>3</v>
      </c>
      <c r="BM22" s="85">
        <v>16</v>
      </c>
      <c r="BN22" s="85">
        <v>392</v>
      </c>
      <c r="BO22" s="83">
        <v>392</v>
      </c>
      <c r="BP22" s="85">
        <v>168</v>
      </c>
      <c r="BQ22" s="85">
        <v>3</v>
      </c>
      <c r="BR22" s="85">
        <v>0</v>
      </c>
      <c r="BS22" s="85">
        <v>98</v>
      </c>
      <c r="BT22" s="85">
        <v>0</v>
      </c>
      <c r="BU22" s="85">
        <v>1</v>
      </c>
      <c r="BV22" s="85">
        <v>0</v>
      </c>
      <c r="BW22" s="85">
        <v>3</v>
      </c>
      <c r="BX22" s="85">
        <v>6</v>
      </c>
      <c r="BY22" s="85">
        <v>35</v>
      </c>
      <c r="BZ22" s="85"/>
      <c r="CA22" s="85">
        <v>315</v>
      </c>
      <c r="CB22" s="83">
        <v>314</v>
      </c>
      <c r="CC22" s="85">
        <v>109</v>
      </c>
      <c r="CD22" s="85">
        <v>84</v>
      </c>
      <c r="CE22" s="85">
        <v>193</v>
      </c>
      <c r="CF22" s="81">
        <v>193</v>
      </c>
    </row>
    <row r="23" spans="1:84">
      <c r="A23" s="82">
        <v>35674</v>
      </c>
      <c r="B23" s="85">
        <v>327</v>
      </c>
      <c r="C23" s="85">
        <v>3</v>
      </c>
      <c r="D23" s="85">
        <v>0</v>
      </c>
      <c r="E23" s="85">
        <v>0</v>
      </c>
      <c r="F23" s="85">
        <v>175</v>
      </c>
      <c r="G23" s="90">
        <v>7</v>
      </c>
      <c r="H23" s="85">
        <v>17</v>
      </c>
      <c r="I23" s="85">
        <v>6</v>
      </c>
      <c r="J23" s="85">
        <v>2</v>
      </c>
      <c r="K23" s="85">
        <v>8</v>
      </c>
      <c r="L23" s="85">
        <v>29</v>
      </c>
      <c r="M23" s="85">
        <v>575</v>
      </c>
      <c r="N23" s="83">
        <v>574</v>
      </c>
      <c r="O23" s="85">
        <v>331</v>
      </c>
      <c r="P23" s="85">
        <v>3</v>
      </c>
      <c r="Q23" s="85">
        <v>92</v>
      </c>
      <c r="R23" s="90">
        <v>24</v>
      </c>
      <c r="S23" s="85">
        <v>2</v>
      </c>
      <c r="T23" s="85">
        <v>18</v>
      </c>
      <c r="U23" s="85">
        <v>3</v>
      </c>
      <c r="V23" s="85">
        <v>2</v>
      </c>
      <c r="W23" s="90">
        <v>0</v>
      </c>
      <c r="X23" s="85">
        <v>1</v>
      </c>
      <c r="Y23" s="85">
        <v>477</v>
      </c>
      <c r="Z23" s="83">
        <v>476</v>
      </c>
      <c r="AA23" s="85">
        <v>60</v>
      </c>
      <c r="AB23" s="85">
        <v>1</v>
      </c>
      <c r="AC23" s="85">
        <v>0</v>
      </c>
      <c r="AD23" s="85">
        <v>0</v>
      </c>
      <c r="AE23" s="85">
        <v>73</v>
      </c>
      <c r="AF23" s="85">
        <v>4</v>
      </c>
      <c r="AG23" s="85">
        <v>8</v>
      </c>
      <c r="AH23" s="85">
        <v>2</v>
      </c>
      <c r="AI23" s="85">
        <v>0</v>
      </c>
      <c r="AJ23" s="85">
        <v>2</v>
      </c>
      <c r="AK23" s="85">
        <v>3</v>
      </c>
      <c r="AL23" s="85">
        <v>0</v>
      </c>
      <c r="AM23" s="85"/>
      <c r="AN23" s="85">
        <v>153</v>
      </c>
      <c r="AO23" s="83">
        <v>153</v>
      </c>
      <c r="AP23" s="85">
        <v>23</v>
      </c>
      <c r="AQ23" s="85">
        <v>1</v>
      </c>
      <c r="AR23" s="85">
        <v>1</v>
      </c>
      <c r="AS23" s="85">
        <v>20</v>
      </c>
      <c r="AT23" s="90">
        <v>4</v>
      </c>
      <c r="AU23" s="85">
        <v>6</v>
      </c>
      <c r="AV23" s="90">
        <v>10</v>
      </c>
      <c r="AW23" s="85">
        <v>6</v>
      </c>
      <c r="AX23" s="85">
        <v>0</v>
      </c>
      <c r="AY23" s="85">
        <v>1</v>
      </c>
      <c r="AZ23" s="85">
        <v>4</v>
      </c>
      <c r="BA23" s="85">
        <v>2</v>
      </c>
      <c r="BB23" s="85">
        <v>76</v>
      </c>
      <c r="BC23" s="83">
        <v>78</v>
      </c>
      <c r="BD23" s="85">
        <v>252</v>
      </c>
      <c r="BE23" s="85">
        <v>2</v>
      </c>
      <c r="BF23" s="85">
        <v>0</v>
      </c>
      <c r="BG23" s="85">
        <v>100</v>
      </c>
      <c r="BH23" s="90">
        <v>3</v>
      </c>
      <c r="BI23" s="90">
        <v>9</v>
      </c>
      <c r="BJ23" s="90">
        <v>65</v>
      </c>
      <c r="BK23" s="85">
        <v>1</v>
      </c>
      <c r="BL23" s="85">
        <v>4</v>
      </c>
      <c r="BM23" s="85">
        <v>16</v>
      </c>
      <c r="BN23" s="85">
        <v>450</v>
      </c>
      <c r="BO23" s="83">
        <v>452</v>
      </c>
      <c r="BP23" s="85">
        <v>161</v>
      </c>
      <c r="BQ23" s="85">
        <v>3</v>
      </c>
      <c r="BR23" s="85">
        <v>0</v>
      </c>
      <c r="BS23" s="85">
        <v>91</v>
      </c>
      <c r="BT23" s="85">
        <v>1</v>
      </c>
      <c r="BU23" s="85">
        <v>1</v>
      </c>
      <c r="BV23" s="85">
        <v>0</v>
      </c>
      <c r="BW23" s="85">
        <v>2</v>
      </c>
      <c r="BX23" s="85">
        <v>6</v>
      </c>
      <c r="BY23" s="85">
        <v>33</v>
      </c>
      <c r="BZ23" s="85"/>
      <c r="CA23" s="85">
        <v>299</v>
      </c>
      <c r="CB23" s="83">
        <v>298</v>
      </c>
      <c r="CC23" s="85">
        <v>106</v>
      </c>
      <c r="CD23" s="85">
        <v>79</v>
      </c>
      <c r="CE23" s="85">
        <v>185</v>
      </c>
      <c r="CF23" s="81">
        <v>185</v>
      </c>
    </row>
    <row r="24" spans="1:84">
      <c r="A24" s="82">
        <v>35704</v>
      </c>
      <c r="B24" s="85">
        <v>337</v>
      </c>
      <c r="C24" s="85">
        <v>3</v>
      </c>
      <c r="D24" s="85">
        <v>0</v>
      </c>
      <c r="E24" s="85">
        <v>0</v>
      </c>
      <c r="F24" s="85">
        <v>191</v>
      </c>
      <c r="G24" s="90">
        <v>7</v>
      </c>
      <c r="H24" s="85">
        <v>16</v>
      </c>
      <c r="I24" s="85">
        <v>4</v>
      </c>
      <c r="J24" s="85">
        <v>5</v>
      </c>
      <c r="K24" s="85">
        <v>6</v>
      </c>
      <c r="L24" s="85">
        <v>31</v>
      </c>
      <c r="M24" s="85">
        <v>601</v>
      </c>
      <c r="N24" s="83">
        <v>600</v>
      </c>
      <c r="O24" s="85">
        <v>308</v>
      </c>
      <c r="P24" s="85">
        <v>3</v>
      </c>
      <c r="Q24" s="85">
        <v>116</v>
      </c>
      <c r="R24" s="90">
        <v>26</v>
      </c>
      <c r="S24" s="85">
        <v>3</v>
      </c>
      <c r="T24" s="85">
        <v>21</v>
      </c>
      <c r="U24" s="85">
        <v>1</v>
      </c>
      <c r="V24" s="85">
        <v>3</v>
      </c>
      <c r="W24" s="90">
        <v>0</v>
      </c>
      <c r="X24" s="85">
        <v>1</v>
      </c>
      <c r="Y24" s="85">
        <v>482</v>
      </c>
      <c r="Z24" s="83">
        <v>482</v>
      </c>
      <c r="AA24" s="85">
        <v>62</v>
      </c>
      <c r="AB24" s="85">
        <v>1</v>
      </c>
      <c r="AC24" s="85">
        <v>0</v>
      </c>
      <c r="AD24" s="85">
        <v>0</v>
      </c>
      <c r="AE24" s="85">
        <v>80</v>
      </c>
      <c r="AF24" s="85">
        <v>3</v>
      </c>
      <c r="AG24" s="85">
        <v>8</v>
      </c>
      <c r="AH24" s="85">
        <v>1</v>
      </c>
      <c r="AI24" s="85">
        <v>0</v>
      </c>
      <c r="AJ24" s="85">
        <v>3</v>
      </c>
      <c r="AK24" s="85">
        <v>2</v>
      </c>
      <c r="AL24" s="85">
        <v>0</v>
      </c>
      <c r="AM24" s="85"/>
      <c r="AN24" s="85">
        <v>161</v>
      </c>
      <c r="AO24" s="83">
        <v>160</v>
      </c>
      <c r="AP24" s="85">
        <v>20</v>
      </c>
      <c r="AQ24" s="85">
        <v>1</v>
      </c>
      <c r="AR24" s="85">
        <v>2</v>
      </c>
      <c r="AS24" s="85">
        <v>18</v>
      </c>
      <c r="AT24" s="90">
        <v>4</v>
      </c>
      <c r="AU24" s="85">
        <v>4</v>
      </c>
      <c r="AV24" s="90">
        <v>8</v>
      </c>
      <c r="AW24" s="85">
        <v>5</v>
      </c>
      <c r="AX24" s="85">
        <v>0</v>
      </c>
      <c r="AY24" s="85">
        <v>1</v>
      </c>
      <c r="AZ24" s="85">
        <v>4</v>
      </c>
      <c r="BA24" s="85">
        <v>4</v>
      </c>
      <c r="BB24" s="85">
        <v>70</v>
      </c>
      <c r="BC24" s="83">
        <v>71</v>
      </c>
      <c r="BD24" s="85">
        <v>259</v>
      </c>
      <c r="BE24" s="85">
        <v>2</v>
      </c>
      <c r="BF24" s="85">
        <v>0</v>
      </c>
      <c r="BG24" s="85">
        <v>109</v>
      </c>
      <c r="BH24" s="90">
        <v>3</v>
      </c>
      <c r="BI24" s="90">
        <v>8</v>
      </c>
      <c r="BJ24" s="90">
        <v>61</v>
      </c>
      <c r="BK24" s="85">
        <v>2</v>
      </c>
      <c r="BL24" s="85">
        <v>4</v>
      </c>
      <c r="BM24" s="85">
        <v>16</v>
      </c>
      <c r="BN24" s="85">
        <v>464</v>
      </c>
      <c r="BO24" s="83">
        <v>464</v>
      </c>
      <c r="BP24" s="85">
        <v>179</v>
      </c>
      <c r="BQ24" s="85">
        <v>3</v>
      </c>
      <c r="BR24" s="85">
        <v>0</v>
      </c>
      <c r="BS24" s="85">
        <v>89</v>
      </c>
      <c r="BT24" s="85">
        <v>1</v>
      </c>
      <c r="BU24" s="85">
        <v>1</v>
      </c>
      <c r="BV24" s="85">
        <v>0</v>
      </c>
      <c r="BW24" s="85">
        <v>4</v>
      </c>
      <c r="BX24" s="85">
        <v>7</v>
      </c>
      <c r="BY24" s="85">
        <v>70</v>
      </c>
      <c r="BZ24" s="85"/>
      <c r="CA24" s="85">
        <v>355</v>
      </c>
      <c r="CB24" s="83">
        <v>354</v>
      </c>
      <c r="CC24" s="85">
        <v>113</v>
      </c>
      <c r="CD24" s="85">
        <v>76</v>
      </c>
      <c r="CE24" s="85">
        <v>189</v>
      </c>
      <c r="CF24" s="81">
        <v>189</v>
      </c>
    </row>
    <row r="25" spans="1:84">
      <c r="A25" s="82">
        <v>35735</v>
      </c>
      <c r="B25" s="85">
        <v>348</v>
      </c>
      <c r="C25" s="85">
        <v>3</v>
      </c>
      <c r="D25" s="85">
        <v>0</v>
      </c>
      <c r="E25" s="85">
        <v>0</v>
      </c>
      <c r="F25" s="85">
        <v>198</v>
      </c>
      <c r="G25" s="90">
        <v>7</v>
      </c>
      <c r="H25" s="85">
        <v>15</v>
      </c>
      <c r="I25" s="85">
        <v>3</v>
      </c>
      <c r="J25" s="85">
        <v>3</v>
      </c>
      <c r="K25" s="85">
        <v>6</v>
      </c>
      <c r="L25" s="85">
        <v>25</v>
      </c>
      <c r="M25" s="85">
        <v>609</v>
      </c>
      <c r="N25" s="83">
        <v>608</v>
      </c>
      <c r="O25" s="85">
        <v>243</v>
      </c>
      <c r="P25" s="85">
        <v>2</v>
      </c>
      <c r="Q25" s="85">
        <v>120</v>
      </c>
      <c r="R25" s="90">
        <v>27</v>
      </c>
      <c r="S25" s="85">
        <v>2</v>
      </c>
      <c r="T25" s="85">
        <v>18</v>
      </c>
      <c r="U25" s="85">
        <v>3</v>
      </c>
      <c r="V25" s="85">
        <v>6</v>
      </c>
      <c r="W25" s="90">
        <v>0</v>
      </c>
      <c r="X25" s="85">
        <v>1</v>
      </c>
      <c r="Y25" s="85">
        <v>422</v>
      </c>
      <c r="Z25" s="83">
        <v>422</v>
      </c>
      <c r="AA25" s="85">
        <v>66</v>
      </c>
      <c r="AB25" s="85">
        <v>1</v>
      </c>
      <c r="AC25" s="85">
        <v>0</v>
      </c>
      <c r="AD25" s="85">
        <v>0</v>
      </c>
      <c r="AE25" s="85">
        <v>81</v>
      </c>
      <c r="AF25" s="85">
        <v>3</v>
      </c>
      <c r="AG25" s="85">
        <v>7</v>
      </c>
      <c r="AH25" s="85">
        <v>1</v>
      </c>
      <c r="AI25" s="85">
        <v>0</v>
      </c>
      <c r="AJ25" s="85">
        <v>2</v>
      </c>
      <c r="AK25" s="85">
        <v>2</v>
      </c>
      <c r="AL25" s="85">
        <v>0</v>
      </c>
      <c r="AM25" s="85"/>
      <c r="AN25" s="85">
        <v>163</v>
      </c>
      <c r="AO25" s="83">
        <v>163</v>
      </c>
      <c r="AP25" s="85">
        <v>25</v>
      </c>
      <c r="AQ25" s="85">
        <v>0</v>
      </c>
      <c r="AR25" s="85">
        <v>1</v>
      </c>
      <c r="AS25" s="85">
        <v>18</v>
      </c>
      <c r="AT25" s="90">
        <v>4</v>
      </c>
      <c r="AU25" s="85">
        <v>3</v>
      </c>
      <c r="AV25" s="90">
        <v>4</v>
      </c>
      <c r="AW25" s="85">
        <v>6</v>
      </c>
      <c r="AX25" s="85">
        <v>0</v>
      </c>
      <c r="AY25" s="85">
        <v>1</v>
      </c>
      <c r="AZ25" s="85">
        <v>3</v>
      </c>
      <c r="BA25" s="85">
        <v>4</v>
      </c>
      <c r="BB25" s="85">
        <v>70</v>
      </c>
      <c r="BC25" s="83">
        <v>69</v>
      </c>
      <c r="BD25" s="85">
        <v>267</v>
      </c>
      <c r="BE25" s="85">
        <v>2</v>
      </c>
      <c r="BF25" s="85">
        <v>0</v>
      </c>
      <c r="BG25" s="85">
        <v>111</v>
      </c>
      <c r="BH25" s="90">
        <v>3</v>
      </c>
      <c r="BI25" s="90">
        <v>8</v>
      </c>
      <c r="BJ25" s="90">
        <v>57</v>
      </c>
      <c r="BK25" s="85">
        <v>1</v>
      </c>
      <c r="BL25" s="85">
        <v>4</v>
      </c>
      <c r="BM25" s="85">
        <v>15</v>
      </c>
      <c r="BN25" s="85">
        <v>467</v>
      </c>
      <c r="BO25" s="83">
        <v>468</v>
      </c>
      <c r="BP25" s="85">
        <v>202</v>
      </c>
      <c r="BQ25" s="85">
        <v>4</v>
      </c>
      <c r="BR25" s="85">
        <v>0</v>
      </c>
      <c r="BS25" s="85">
        <v>100</v>
      </c>
      <c r="BT25" s="85">
        <v>1</v>
      </c>
      <c r="BU25" s="85">
        <v>2</v>
      </c>
      <c r="BV25" s="85">
        <v>0</v>
      </c>
      <c r="BW25" s="85">
        <v>3</v>
      </c>
      <c r="BX25" s="85">
        <v>6</v>
      </c>
      <c r="BY25" s="85">
        <v>65</v>
      </c>
      <c r="BZ25" s="85"/>
      <c r="CA25" s="85">
        <v>382</v>
      </c>
      <c r="CB25" s="83">
        <v>383</v>
      </c>
      <c r="CC25" s="85">
        <v>134</v>
      </c>
      <c r="CD25" s="85">
        <v>85</v>
      </c>
      <c r="CE25" s="85">
        <v>220</v>
      </c>
      <c r="CF25" s="81">
        <v>219</v>
      </c>
    </row>
    <row r="26" spans="1:84">
      <c r="A26" s="82">
        <v>35765</v>
      </c>
      <c r="B26" s="85">
        <v>327</v>
      </c>
      <c r="C26" s="85">
        <v>3</v>
      </c>
      <c r="D26" s="85">
        <v>0</v>
      </c>
      <c r="E26" s="85">
        <v>0</v>
      </c>
      <c r="F26" s="85">
        <v>166</v>
      </c>
      <c r="G26" s="90">
        <v>6</v>
      </c>
      <c r="H26" s="85">
        <v>19</v>
      </c>
      <c r="I26" s="85">
        <v>2</v>
      </c>
      <c r="J26" s="85">
        <v>4</v>
      </c>
      <c r="K26" s="85">
        <v>6</v>
      </c>
      <c r="L26" s="85">
        <v>30</v>
      </c>
      <c r="M26" s="85">
        <v>562</v>
      </c>
      <c r="N26" s="83">
        <v>563</v>
      </c>
      <c r="O26" s="85">
        <v>311</v>
      </c>
      <c r="P26" s="85">
        <v>1</v>
      </c>
      <c r="Q26" s="85">
        <v>115</v>
      </c>
      <c r="R26" s="90">
        <v>26</v>
      </c>
      <c r="S26" s="85">
        <v>2</v>
      </c>
      <c r="T26" s="85">
        <v>16</v>
      </c>
      <c r="U26" s="85">
        <v>3</v>
      </c>
      <c r="V26" s="85">
        <v>7</v>
      </c>
      <c r="W26" s="90">
        <v>0</v>
      </c>
      <c r="X26" s="85">
        <v>2</v>
      </c>
      <c r="Y26" s="85">
        <v>483</v>
      </c>
      <c r="Z26" s="83">
        <v>483</v>
      </c>
      <c r="AA26" s="85">
        <v>61</v>
      </c>
      <c r="AB26" s="85">
        <v>1</v>
      </c>
      <c r="AC26" s="85">
        <v>0</v>
      </c>
      <c r="AD26" s="85">
        <v>0</v>
      </c>
      <c r="AE26" s="85">
        <v>69</v>
      </c>
      <c r="AF26" s="85">
        <v>3</v>
      </c>
      <c r="AG26" s="85">
        <v>9</v>
      </c>
      <c r="AH26" s="85">
        <v>1</v>
      </c>
      <c r="AI26" s="85">
        <v>0</v>
      </c>
      <c r="AJ26" s="85">
        <v>2</v>
      </c>
      <c r="AK26" s="85">
        <v>2</v>
      </c>
      <c r="AL26" s="85">
        <v>0</v>
      </c>
      <c r="AM26" s="85"/>
      <c r="AN26" s="85">
        <v>148</v>
      </c>
      <c r="AO26" s="83">
        <v>148</v>
      </c>
      <c r="AP26" s="85">
        <v>24</v>
      </c>
      <c r="AQ26" s="85">
        <v>1</v>
      </c>
      <c r="AR26" s="85">
        <v>1</v>
      </c>
      <c r="AS26" s="85">
        <v>18</v>
      </c>
      <c r="AT26" s="90">
        <v>3</v>
      </c>
      <c r="AU26" s="85">
        <v>3</v>
      </c>
      <c r="AV26" s="90">
        <v>6</v>
      </c>
      <c r="AW26" s="85">
        <v>6</v>
      </c>
      <c r="AX26" s="85">
        <v>0</v>
      </c>
      <c r="AY26" s="85">
        <v>1</v>
      </c>
      <c r="AZ26" s="85">
        <v>3</v>
      </c>
      <c r="BA26" s="85">
        <v>5</v>
      </c>
      <c r="BB26" s="85">
        <v>72</v>
      </c>
      <c r="BC26" s="83">
        <v>71</v>
      </c>
      <c r="BD26" s="85">
        <v>253</v>
      </c>
      <c r="BE26" s="85">
        <v>2</v>
      </c>
      <c r="BF26" s="85">
        <v>0</v>
      </c>
      <c r="BG26" s="85">
        <v>94</v>
      </c>
      <c r="BH26" s="90">
        <v>3</v>
      </c>
      <c r="BI26" s="90">
        <v>10</v>
      </c>
      <c r="BJ26" s="90">
        <v>71</v>
      </c>
      <c r="BK26" s="85">
        <v>1</v>
      </c>
      <c r="BL26" s="85">
        <v>3</v>
      </c>
      <c r="BM26" s="85">
        <v>15</v>
      </c>
      <c r="BN26" s="85">
        <v>452</v>
      </c>
      <c r="BO26" s="83">
        <v>452</v>
      </c>
      <c r="BP26" s="85">
        <v>172</v>
      </c>
      <c r="BQ26" s="85">
        <v>4</v>
      </c>
      <c r="BR26" s="85">
        <v>0</v>
      </c>
      <c r="BS26" s="85">
        <v>72</v>
      </c>
      <c r="BT26" s="85">
        <v>0</v>
      </c>
      <c r="BU26" s="85">
        <v>2</v>
      </c>
      <c r="BV26" s="85">
        <v>0</v>
      </c>
      <c r="BW26" s="85">
        <v>2</v>
      </c>
      <c r="BX26" s="85">
        <v>4</v>
      </c>
      <c r="BY26" s="85">
        <v>46</v>
      </c>
      <c r="BZ26" s="85"/>
      <c r="CA26" s="85">
        <v>302</v>
      </c>
      <c r="CB26" s="83">
        <v>302</v>
      </c>
      <c r="CC26" s="85">
        <v>110</v>
      </c>
      <c r="CD26" s="85">
        <v>58</v>
      </c>
      <c r="CE26" s="85">
        <v>168</v>
      </c>
      <c r="CF26" s="81">
        <v>168</v>
      </c>
    </row>
    <row r="27" spans="1:84">
      <c r="A27" s="82">
        <v>35796</v>
      </c>
      <c r="B27" s="85">
        <v>293</v>
      </c>
      <c r="C27" s="85">
        <v>3</v>
      </c>
      <c r="D27" s="85">
        <v>0</v>
      </c>
      <c r="E27" s="85">
        <v>0</v>
      </c>
      <c r="F27" s="85">
        <v>162</v>
      </c>
      <c r="G27" s="90">
        <v>6</v>
      </c>
      <c r="H27" s="85">
        <v>16</v>
      </c>
      <c r="I27" s="85">
        <v>2</v>
      </c>
      <c r="J27" s="85">
        <v>3</v>
      </c>
      <c r="K27" s="85">
        <v>7</v>
      </c>
      <c r="L27" s="85">
        <v>24</v>
      </c>
      <c r="M27" s="85">
        <v>516</v>
      </c>
      <c r="N27" s="83">
        <v>516</v>
      </c>
      <c r="O27" s="85">
        <v>325</v>
      </c>
      <c r="P27" s="85">
        <v>2</v>
      </c>
      <c r="Q27" s="85">
        <v>134</v>
      </c>
      <c r="R27" s="90">
        <v>27</v>
      </c>
      <c r="S27" s="85">
        <v>2</v>
      </c>
      <c r="T27" s="85">
        <v>13</v>
      </c>
      <c r="U27" s="85">
        <v>3</v>
      </c>
      <c r="V27" s="85">
        <v>7</v>
      </c>
      <c r="W27" s="90">
        <v>0</v>
      </c>
      <c r="X27" s="85">
        <v>1</v>
      </c>
      <c r="Y27" s="85">
        <v>514</v>
      </c>
      <c r="Z27" s="83">
        <v>514</v>
      </c>
      <c r="AA27" s="85">
        <v>53</v>
      </c>
      <c r="AB27" s="85">
        <v>1</v>
      </c>
      <c r="AC27" s="85">
        <v>0</v>
      </c>
      <c r="AD27" s="85">
        <v>0</v>
      </c>
      <c r="AE27" s="85">
        <v>68</v>
      </c>
      <c r="AF27" s="85">
        <v>3</v>
      </c>
      <c r="AG27" s="85">
        <v>7</v>
      </c>
      <c r="AH27" s="85">
        <v>1</v>
      </c>
      <c r="AI27" s="85">
        <v>0</v>
      </c>
      <c r="AJ27" s="85">
        <v>2</v>
      </c>
      <c r="AK27" s="85">
        <v>3</v>
      </c>
      <c r="AL27" s="85">
        <v>0</v>
      </c>
      <c r="AM27" s="85"/>
      <c r="AN27" s="85">
        <v>137</v>
      </c>
      <c r="AO27" s="83">
        <v>138</v>
      </c>
      <c r="AP27" s="85">
        <v>22</v>
      </c>
      <c r="AQ27" s="85">
        <v>1</v>
      </c>
      <c r="AR27" s="85">
        <v>1</v>
      </c>
      <c r="AS27" s="85">
        <v>23</v>
      </c>
      <c r="AT27" s="90">
        <v>4</v>
      </c>
      <c r="AU27" s="85">
        <v>4</v>
      </c>
      <c r="AV27" s="90">
        <v>6</v>
      </c>
      <c r="AW27" s="85">
        <v>7</v>
      </c>
      <c r="AX27" s="85">
        <v>0</v>
      </c>
      <c r="AY27" s="85">
        <v>1</v>
      </c>
      <c r="AZ27" s="85">
        <v>3</v>
      </c>
      <c r="BA27" s="85">
        <v>4</v>
      </c>
      <c r="BB27" s="85">
        <v>76</v>
      </c>
      <c r="BC27" s="83">
        <v>76</v>
      </c>
      <c r="BD27" s="85">
        <v>223</v>
      </c>
      <c r="BE27" s="85">
        <v>1</v>
      </c>
      <c r="BF27" s="85">
        <v>0</v>
      </c>
      <c r="BG27" s="85">
        <v>92</v>
      </c>
      <c r="BH27" s="90">
        <v>3</v>
      </c>
      <c r="BI27" s="90">
        <v>9</v>
      </c>
      <c r="BJ27" s="90">
        <v>61</v>
      </c>
      <c r="BK27" s="85">
        <v>1</v>
      </c>
      <c r="BL27" s="85">
        <v>4</v>
      </c>
      <c r="BM27" s="85">
        <v>17</v>
      </c>
      <c r="BN27" s="85">
        <v>411</v>
      </c>
      <c r="BO27" s="83">
        <v>411</v>
      </c>
      <c r="BP27" s="85">
        <v>137</v>
      </c>
      <c r="BQ27" s="85">
        <v>5</v>
      </c>
      <c r="BR27" s="85">
        <v>0</v>
      </c>
      <c r="BS27" s="85">
        <v>84</v>
      </c>
      <c r="BT27" s="85">
        <v>1</v>
      </c>
      <c r="BU27" s="85">
        <v>4</v>
      </c>
      <c r="BV27" s="85">
        <v>0</v>
      </c>
      <c r="BW27" s="85">
        <v>3</v>
      </c>
      <c r="BX27" s="85">
        <v>6</v>
      </c>
      <c r="BY27" s="85">
        <v>15</v>
      </c>
      <c r="BZ27" s="85"/>
      <c r="CA27" s="85">
        <v>256</v>
      </c>
      <c r="CB27" s="83">
        <v>255</v>
      </c>
      <c r="CC27" s="85">
        <v>106</v>
      </c>
      <c r="CD27" s="85">
        <v>53</v>
      </c>
      <c r="CE27" s="85">
        <v>159</v>
      </c>
      <c r="CF27" s="81">
        <v>159</v>
      </c>
    </row>
    <row r="28" spans="1:84">
      <c r="A28" s="82">
        <v>35827</v>
      </c>
      <c r="B28" s="85">
        <v>311</v>
      </c>
      <c r="C28" s="85">
        <v>3</v>
      </c>
      <c r="D28" s="85">
        <v>0</v>
      </c>
      <c r="E28" s="85">
        <v>0</v>
      </c>
      <c r="F28" s="85">
        <v>157</v>
      </c>
      <c r="G28" s="90">
        <v>5</v>
      </c>
      <c r="H28" s="85">
        <v>18</v>
      </c>
      <c r="I28" s="85">
        <v>5</v>
      </c>
      <c r="J28" s="85">
        <v>3</v>
      </c>
      <c r="K28" s="85">
        <v>6</v>
      </c>
      <c r="L28" s="85">
        <v>24</v>
      </c>
      <c r="M28" s="85">
        <v>532</v>
      </c>
      <c r="N28" s="83">
        <v>532</v>
      </c>
      <c r="O28" s="85">
        <v>220</v>
      </c>
      <c r="P28" s="85">
        <v>1</v>
      </c>
      <c r="Q28" s="85">
        <v>142</v>
      </c>
      <c r="R28" s="90">
        <v>28</v>
      </c>
      <c r="S28" s="85">
        <v>2</v>
      </c>
      <c r="T28" s="85">
        <v>14</v>
      </c>
      <c r="U28" s="85">
        <v>2</v>
      </c>
      <c r="V28" s="85">
        <v>7</v>
      </c>
      <c r="W28" s="90">
        <v>0</v>
      </c>
      <c r="X28" s="85">
        <v>1</v>
      </c>
      <c r="Y28" s="85">
        <v>417</v>
      </c>
      <c r="Z28" s="83">
        <v>417</v>
      </c>
      <c r="AA28" s="85">
        <v>56</v>
      </c>
      <c r="AB28" s="85">
        <v>1</v>
      </c>
      <c r="AC28" s="85">
        <v>0</v>
      </c>
      <c r="AD28" s="85">
        <v>0</v>
      </c>
      <c r="AE28" s="85">
        <v>65</v>
      </c>
      <c r="AF28" s="85">
        <v>3</v>
      </c>
      <c r="AG28" s="85">
        <v>8</v>
      </c>
      <c r="AH28" s="85">
        <v>2</v>
      </c>
      <c r="AI28" s="85">
        <v>0</v>
      </c>
      <c r="AJ28" s="85">
        <v>2</v>
      </c>
      <c r="AK28" s="85">
        <v>2</v>
      </c>
      <c r="AL28" s="85">
        <v>0</v>
      </c>
      <c r="AM28" s="85"/>
      <c r="AN28" s="85">
        <v>139</v>
      </c>
      <c r="AO28" s="83">
        <v>139</v>
      </c>
      <c r="AP28" s="85">
        <v>23</v>
      </c>
      <c r="AQ28" s="85">
        <v>1</v>
      </c>
      <c r="AR28" s="85">
        <v>1</v>
      </c>
      <c r="AS28" s="85">
        <v>25</v>
      </c>
      <c r="AT28" s="90">
        <v>4</v>
      </c>
      <c r="AU28" s="85">
        <v>5</v>
      </c>
      <c r="AV28" s="90">
        <v>8</v>
      </c>
      <c r="AW28" s="85">
        <v>7</v>
      </c>
      <c r="AX28" s="85">
        <v>0</v>
      </c>
      <c r="AY28" s="85">
        <v>2</v>
      </c>
      <c r="AZ28" s="85">
        <v>3</v>
      </c>
      <c r="BA28" s="85">
        <v>3</v>
      </c>
      <c r="BB28" s="85">
        <v>80</v>
      </c>
      <c r="BC28" s="83">
        <v>82</v>
      </c>
      <c r="BD28" s="85">
        <v>237</v>
      </c>
      <c r="BE28" s="85">
        <v>2</v>
      </c>
      <c r="BF28" s="85">
        <v>0</v>
      </c>
      <c r="BG28" s="85">
        <v>89</v>
      </c>
      <c r="BH28" s="90">
        <v>2</v>
      </c>
      <c r="BI28" s="90">
        <v>10</v>
      </c>
      <c r="BJ28" s="90">
        <v>66</v>
      </c>
      <c r="BK28" s="85">
        <v>1</v>
      </c>
      <c r="BL28" s="85">
        <v>4</v>
      </c>
      <c r="BM28" s="85">
        <v>14</v>
      </c>
      <c r="BN28" s="85">
        <v>425</v>
      </c>
      <c r="BO28" s="83">
        <v>425</v>
      </c>
      <c r="BP28" s="85">
        <v>175</v>
      </c>
      <c r="BQ28" s="85">
        <v>3</v>
      </c>
      <c r="BR28" s="85">
        <v>0</v>
      </c>
      <c r="BS28" s="85">
        <v>55</v>
      </c>
      <c r="BT28" s="85">
        <v>0</v>
      </c>
      <c r="BU28" s="85">
        <v>2</v>
      </c>
      <c r="BV28" s="85">
        <v>0</v>
      </c>
      <c r="BW28" s="85">
        <v>2</v>
      </c>
      <c r="BX28" s="85">
        <v>3</v>
      </c>
      <c r="BY28" s="85">
        <v>29</v>
      </c>
      <c r="BZ28" s="85"/>
      <c r="CA28" s="85">
        <v>271</v>
      </c>
      <c r="CB28" s="83">
        <v>269</v>
      </c>
      <c r="CC28" s="85">
        <v>106</v>
      </c>
      <c r="CD28" s="85">
        <v>41</v>
      </c>
      <c r="CE28" s="85">
        <v>147</v>
      </c>
      <c r="CF28" s="81">
        <v>147</v>
      </c>
    </row>
    <row r="29" spans="1:84">
      <c r="A29" s="82">
        <v>35855</v>
      </c>
      <c r="B29" s="85">
        <v>326</v>
      </c>
      <c r="C29" s="85">
        <v>3</v>
      </c>
      <c r="D29" s="85">
        <v>0</v>
      </c>
      <c r="E29" s="85">
        <v>0</v>
      </c>
      <c r="F29" s="85">
        <v>177</v>
      </c>
      <c r="G29" s="90">
        <v>6</v>
      </c>
      <c r="H29" s="85">
        <v>19</v>
      </c>
      <c r="I29" s="85">
        <v>2</v>
      </c>
      <c r="J29" s="85">
        <v>4</v>
      </c>
      <c r="K29" s="85">
        <v>7</v>
      </c>
      <c r="L29" s="85">
        <v>27</v>
      </c>
      <c r="M29" s="85">
        <v>571</v>
      </c>
      <c r="N29" s="83">
        <v>571</v>
      </c>
      <c r="O29" s="85">
        <v>286</v>
      </c>
      <c r="P29" s="85">
        <v>2</v>
      </c>
      <c r="Q29" s="85">
        <v>103</v>
      </c>
      <c r="R29" s="90">
        <v>28</v>
      </c>
      <c r="S29" s="85">
        <v>3</v>
      </c>
      <c r="T29" s="85">
        <v>12</v>
      </c>
      <c r="U29" s="85">
        <v>3</v>
      </c>
      <c r="V29" s="85">
        <v>9</v>
      </c>
      <c r="W29" s="90">
        <v>0</v>
      </c>
      <c r="X29" s="85">
        <v>1</v>
      </c>
      <c r="Y29" s="85">
        <v>446</v>
      </c>
      <c r="Z29" s="83">
        <v>447</v>
      </c>
      <c r="AA29" s="85">
        <v>59</v>
      </c>
      <c r="AB29" s="85">
        <v>1</v>
      </c>
      <c r="AC29" s="85">
        <v>0</v>
      </c>
      <c r="AD29" s="85">
        <v>0</v>
      </c>
      <c r="AE29" s="85">
        <v>74</v>
      </c>
      <c r="AF29" s="85">
        <v>3</v>
      </c>
      <c r="AG29" s="85">
        <v>9</v>
      </c>
      <c r="AH29" s="85">
        <v>1</v>
      </c>
      <c r="AI29" s="85">
        <v>0</v>
      </c>
      <c r="AJ29" s="85">
        <v>2</v>
      </c>
      <c r="AK29" s="85">
        <v>3</v>
      </c>
      <c r="AL29" s="85">
        <v>0</v>
      </c>
      <c r="AM29" s="85"/>
      <c r="AN29" s="85">
        <v>152</v>
      </c>
      <c r="AO29" s="83">
        <v>152</v>
      </c>
      <c r="AP29" s="85">
        <v>26</v>
      </c>
      <c r="AQ29" s="85">
        <v>1</v>
      </c>
      <c r="AR29" s="85">
        <v>1</v>
      </c>
      <c r="AS29" s="85">
        <v>27</v>
      </c>
      <c r="AT29" s="90">
        <v>4</v>
      </c>
      <c r="AU29" s="85">
        <v>5</v>
      </c>
      <c r="AV29" s="90">
        <v>11</v>
      </c>
      <c r="AW29" s="85">
        <v>6</v>
      </c>
      <c r="AX29" s="85">
        <v>0</v>
      </c>
      <c r="AY29" s="85">
        <v>2</v>
      </c>
      <c r="AZ29" s="85">
        <v>3</v>
      </c>
      <c r="BA29" s="85">
        <v>2</v>
      </c>
      <c r="BB29" s="85">
        <v>87</v>
      </c>
      <c r="BC29" s="83">
        <v>88</v>
      </c>
      <c r="BD29" s="85">
        <v>249</v>
      </c>
      <c r="BE29" s="85">
        <v>2</v>
      </c>
      <c r="BF29" s="85">
        <v>0</v>
      </c>
      <c r="BG29" s="85">
        <v>101</v>
      </c>
      <c r="BH29" s="90">
        <v>3</v>
      </c>
      <c r="BI29" s="90">
        <v>10</v>
      </c>
      <c r="BJ29" s="90">
        <v>70</v>
      </c>
      <c r="BK29" s="85">
        <v>1</v>
      </c>
      <c r="BL29" s="85">
        <v>4</v>
      </c>
      <c r="BM29" s="85">
        <v>14</v>
      </c>
      <c r="BN29" s="85">
        <v>454</v>
      </c>
      <c r="BO29" s="83">
        <v>454</v>
      </c>
      <c r="BP29" s="85">
        <v>169</v>
      </c>
      <c r="BQ29" s="85">
        <v>3</v>
      </c>
      <c r="BR29" s="85">
        <v>0</v>
      </c>
      <c r="BS29" s="85">
        <v>47</v>
      </c>
      <c r="BT29" s="85">
        <v>0</v>
      </c>
      <c r="BU29" s="85">
        <v>3</v>
      </c>
      <c r="BV29" s="85">
        <v>0</v>
      </c>
      <c r="BW29" s="85">
        <v>5</v>
      </c>
      <c r="BX29" s="85">
        <v>3</v>
      </c>
      <c r="BY29" s="85">
        <v>25</v>
      </c>
      <c r="BZ29" s="85"/>
      <c r="CA29" s="85">
        <v>255</v>
      </c>
      <c r="CB29" s="83">
        <v>255</v>
      </c>
      <c r="CC29" s="85">
        <v>98</v>
      </c>
      <c r="CD29" s="85">
        <v>34</v>
      </c>
      <c r="CE29" s="85">
        <v>132</v>
      </c>
      <c r="CF29" s="81">
        <v>132</v>
      </c>
    </row>
    <row r="30" spans="1:84">
      <c r="A30" s="82">
        <v>35886</v>
      </c>
      <c r="B30" s="85">
        <v>305</v>
      </c>
      <c r="C30" s="85">
        <v>3</v>
      </c>
      <c r="D30" s="85">
        <v>0</v>
      </c>
      <c r="E30" s="85">
        <v>0</v>
      </c>
      <c r="F30" s="85">
        <v>171</v>
      </c>
      <c r="G30" s="90">
        <v>7</v>
      </c>
      <c r="H30" s="85">
        <v>21</v>
      </c>
      <c r="I30" s="85">
        <v>3</v>
      </c>
      <c r="J30" s="85">
        <v>3</v>
      </c>
      <c r="K30" s="85">
        <v>6</v>
      </c>
      <c r="L30" s="85">
        <v>26</v>
      </c>
      <c r="M30" s="85">
        <v>546</v>
      </c>
      <c r="N30" s="83">
        <v>545</v>
      </c>
      <c r="O30" s="85">
        <v>259</v>
      </c>
      <c r="P30" s="85">
        <v>1</v>
      </c>
      <c r="Q30" s="85">
        <v>141</v>
      </c>
      <c r="R30" s="90">
        <v>29</v>
      </c>
      <c r="S30" s="85">
        <v>2</v>
      </c>
      <c r="T30" s="85">
        <v>16</v>
      </c>
      <c r="U30" s="85">
        <v>3</v>
      </c>
      <c r="V30" s="85">
        <v>8</v>
      </c>
      <c r="W30" s="90">
        <v>0</v>
      </c>
      <c r="X30" s="85">
        <v>2</v>
      </c>
      <c r="Y30" s="85">
        <v>460</v>
      </c>
      <c r="Z30" s="83">
        <v>461</v>
      </c>
      <c r="AA30" s="85">
        <v>56</v>
      </c>
      <c r="AB30" s="85">
        <v>1</v>
      </c>
      <c r="AC30" s="85">
        <v>0</v>
      </c>
      <c r="AD30" s="85">
        <v>0</v>
      </c>
      <c r="AE30" s="85">
        <v>72</v>
      </c>
      <c r="AF30" s="85">
        <v>3</v>
      </c>
      <c r="AG30" s="85">
        <v>10</v>
      </c>
      <c r="AH30" s="85">
        <v>1</v>
      </c>
      <c r="AI30" s="85">
        <v>0</v>
      </c>
      <c r="AJ30" s="85">
        <v>2</v>
      </c>
      <c r="AK30" s="85">
        <v>2</v>
      </c>
      <c r="AL30" s="85">
        <v>0</v>
      </c>
      <c r="AM30" s="85"/>
      <c r="AN30" s="85">
        <v>147</v>
      </c>
      <c r="AO30" s="83">
        <v>147</v>
      </c>
      <c r="AP30" s="85">
        <v>23</v>
      </c>
      <c r="AQ30" s="85">
        <v>1</v>
      </c>
      <c r="AR30" s="85">
        <v>1</v>
      </c>
      <c r="AS30" s="85">
        <v>25</v>
      </c>
      <c r="AT30" s="90">
        <v>4</v>
      </c>
      <c r="AU30" s="85">
        <v>6</v>
      </c>
      <c r="AV30" s="90">
        <v>11</v>
      </c>
      <c r="AW30" s="85">
        <v>4</v>
      </c>
      <c r="AX30" s="85">
        <v>0</v>
      </c>
      <c r="AY30" s="85">
        <v>2</v>
      </c>
      <c r="AZ30" s="85">
        <v>3</v>
      </c>
      <c r="BA30" s="85">
        <v>3</v>
      </c>
      <c r="BB30" s="85">
        <v>82</v>
      </c>
      <c r="BC30" s="83">
        <v>83</v>
      </c>
      <c r="BD30" s="85">
        <v>233</v>
      </c>
      <c r="BE30" s="85">
        <v>2</v>
      </c>
      <c r="BF30" s="85">
        <v>0</v>
      </c>
      <c r="BG30" s="85">
        <v>98</v>
      </c>
      <c r="BH30" s="90">
        <v>3</v>
      </c>
      <c r="BI30" s="90">
        <v>12</v>
      </c>
      <c r="BJ30" s="90">
        <v>77</v>
      </c>
      <c r="BK30" s="85">
        <v>1</v>
      </c>
      <c r="BL30" s="85">
        <v>3</v>
      </c>
      <c r="BM30" s="85">
        <v>15</v>
      </c>
      <c r="BN30" s="85">
        <v>444</v>
      </c>
      <c r="BO30" s="83">
        <v>444</v>
      </c>
      <c r="BP30" s="85">
        <v>166</v>
      </c>
      <c r="BQ30" s="85">
        <v>4</v>
      </c>
      <c r="BR30" s="85">
        <v>0</v>
      </c>
      <c r="BS30" s="85">
        <v>45</v>
      </c>
      <c r="BT30" s="85">
        <v>1</v>
      </c>
      <c r="BU30" s="85">
        <v>3</v>
      </c>
      <c r="BV30" s="85">
        <v>0</v>
      </c>
      <c r="BW30" s="85">
        <v>4</v>
      </c>
      <c r="BX30" s="85">
        <v>3</v>
      </c>
      <c r="BY30" s="85">
        <v>24</v>
      </c>
      <c r="BZ30" s="85"/>
      <c r="CA30" s="85">
        <v>249</v>
      </c>
      <c r="CB30" s="83">
        <v>250</v>
      </c>
      <c r="CC30" s="85">
        <v>103</v>
      </c>
      <c r="CD30" s="85">
        <v>33</v>
      </c>
      <c r="CE30" s="85">
        <v>135</v>
      </c>
      <c r="CF30" s="81">
        <v>136</v>
      </c>
    </row>
    <row r="31" spans="1:84">
      <c r="A31" s="82">
        <v>35916</v>
      </c>
      <c r="B31" s="85">
        <v>305</v>
      </c>
      <c r="C31" s="85">
        <v>3</v>
      </c>
      <c r="D31" s="85">
        <v>0</v>
      </c>
      <c r="E31" s="85">
        <v>0</v>
      </c>
      <c r="F31" s="85">
        <v>176</v>
      </c>
      <c r="G31" s="90">
        <v>6</v>
      </c>
      <c r="H31" s="85">
        <v>19</v>
      </c>
      <c r="I31" s="85">
        <v>4</v>
      </c>
      <c r="J31" s="85">
        <v>4</v>
      </c>
      <c r="K31" s="85">
        <v>8</v>
      </c>
      <c r="L31" s="85">
        <v>28</v>
      </c>
      <c r="M31" s="85">
        <v>552</v>
      </c>
      <c r="N31" s="83">
        <v>553</v>
      </c>
      <c r="O31" s="85">
        <v>315</v>
      </c>
      <c r="P31" s="85">
        <v>2</v>
      </c>
      <c r="Q31" s="85">
        <v>132</v>
      </c>
      <c r="R31" s="90">
        <v>31</v>
      </c>
      <c r="S31" s="85">
        <v>3</v>
      </c>
      <c r="T31" s="85">
        <v>16</v>
      </c>
      <c r="U31" s="85">
        <v>2</v>
      </c>
      <c r="V31" s="85">
        <v>7</v>
      </c>
      <c r="W31" s="90">
        <v>0</v>
      </c>
      <c r="X31" s="85">
        <v>1</v>
      </c>
      <c r="Y31" s="85">
        <v>509</v>
      </c>
      <c r="Z31" s="83">
        <v>509</v>
      </c>
      <c r="AA31" s="85">
        <v>56</v>
      </c>
      <c r="AB31" s="85">
        <v>1</v>
      </c>
      <c r="AC31" s="85">
        <v>0</v>
      </c>
      <c r="AD31" s="85">
        <v>0</v>
      </c>
      <c r="AE31" s="85">
        <v>74</v>
      </c>
      <c r="AF31" s="85">
        <v>3</v>
      </c>
      <c r="AG31" s="85">
        <v>9</v>
      </c>
      <c r="AH31" s="85">
        <v>2</v>
      </c>
      <c r="AI31" s="85">
        <v>0</v>
      </c>
      <c r="AJ31" s="85">
        <v>2</v>
      </c>
      <c r="AK31" s="85">
        <v>3</v>
      </c>
      <c r="AL31" s="85">
        <v>0</v>
      </c>
      <c r="AM31" s="85"/>
      <c r="AN31" s="85">
        <v>149</v>
      </c>
      <c r="AO31" s="83">
        <v>150</v>
      </c>
      <c r="AP31" s="85">
        <v>26</v>
      </c>
      <c r="AQ31" s="85">
        <v>1</v>
      </c>
      <c r="AR31" s="85">
        <v>1</v>
      </c>
      <c r="AS31" s="85">
        <v>24</v>
      </c>
      <c r="AT31" s="90">
        <v>4</v>
      </c>
      <c r="AU31" s="85">
        <v>6</v>
      </c>
      <c r="AV31" s="90">
        <v>10</v>
      </c>
      <c r="AW31" s="85">
        <v>5</v>
      </c>
      <c r="AX31" s="85">
        <v>0</v>
      </c>
      <c r="AY31" s="85">
        <v>2</v>
      </c>
      <c r="AZ31" s="85">
        <v>4</v>
      </c>
      <c r="BA31" s="85">
        <v>2</v>
      </c>
      <c r="BB31" s="85">
        <v>83</v>
      </c>
      <c r="BC31" s="83">
        <v>85</v>
      </c>
      <c r="BD31" s="85">
        <v>234</v>
      </c>
      <c r="BE31" s="85">
        <v>1</v>
      </c>
      <c r="BF31" s="85">
        <v>0</v>
      </c>
      <c r="BG31" s="85">
        <v>100</v>
      </c>
      <c r="BH31" s="90">
        <v>3</v>
      </c>
      <c r="BI31" s="90">
        <v>10</v>
      </c>
      <c r="BJ31" s="90">
        <v>71</v>
      </c>
      <c r="BK31" s="85">
        <v>1</v>
      </c>
      <c r="BL31" s="85">
        <v>5</v>
      </c>
      <c r="BM31" s="85">
        <v>15</v>
      </c>
      <c r="BN31" s="85">
        <v>441</v>
      </c>
      <c r="BO31" s="83">
        <v>440</v>
      </c>
      <c r="BP31" s="85">
        <v>167</v>
      </c>
      <c r="BQ31" s="85">
        <v>5</v>
      </c>
      <c r="BR31" s="85">
        <v>0</v>
      </c>
      <c r="BS31" s="85">
        <v>57</v>
      </c>
      <c r="BT31" s="85">
        <v>1</v>
      </c>
      <c r="BU31" s="85">
        <v>2</v>
      </c>
      <c r="BV31" s="85">
        <v>0</v>
      </c>
      <c r="BW31" s="85">
        <v>3</v>
      </c>
      <c r="BX31" s="85">
        <v>4</v>
      </c>
      <c r="BY31" s="85">
        <v>41</v>
      </c>
      <c r="BZ31" s="85"/>
      <c r="CA31" s="85">
        <v>280</v>
      </c>
      <c r="CB31" s="83">
        <v>280</v>
      </c>
      <c r="CC31" s="85">
        <v>107</v>
      </c>
      <c r="CD31" s="85">
        <v>44</v>
      </c>
      <c r="CE31" s="85">
        <v>150</v>
      </c>
      <c r="CF31" s="81">
        <v>151</v>
      </c>
    </row>
    <row r="32" spans="1:84">
      <c r="A32" s="82">
        <v>35947</v>
      </c>
      <c r="B32" s="85">
        <v>302</v>
      </c>
      <c r="C32" s="85">
        <v>4</v>
      </c>
      <c r="D32" s="85">
        <v>0</v>
      </c>
      <c r="E32" s="85">
        <v>0</v>
      </c>
      <c r="F32" s="85">
        <v>166</v>
      </c>
      <c r="G32" s="90">
        <v>7</v>
      </c>
      <c r="H32" s="85">
        <v>21</v>
      </c>
      <c r="I32" s="85">
        <v>4</v>
      </c>
      <c r="J32" s="85">
        <v>3</v>
      </c>
      <c r="K32" s="85">
        <v>7</v>
      </c>
      <c r="L32" s="85">
        <v>27</v>
      </c>
      <c r="M32" s="85">
        <v>541</v>
      </c>
      <c r="N32" s="83">
        <v>541</v>
      </c>
      <c r="O32" s="85">
        <v>318</v>
      </c>
      <c r="P32" s="85">
        <v>2</v>
      </c>
      <c r="Q32" s="85">
        <v>140</v>
      </c>
      <c r="R32" s="90">
        <v>32</v>
      </c>
      <c r="S32" s="85">
        <v>2</v>
      </c>
      <c r="T32" s="85">
        <v>13</v>
      </c>
      <c r="U32" s="85">
        <v>1</v>
      </c>
      <c r="V32" s="85">
        <v>7</v>
      </c>
      <c r="W32" s="90">
        <v>0</v>
      </c>
      <c r="X32" s="85">
        <v>1</v>
      </c>
      <c r="Y32" s="85">
        <v>516</v>
      </c>
      <c r="Z32" s="83">
        <v>516</v>
      </c>
      <c r="AA32" s="85">
        <v>57</v>
      </c>
      <c r="AB32" s="85">
        <v>1</v>
      </c>
      <c r="AC32" s="85">
        <v>0</v>
      </c>
      <c r="AD32" s="85">
        <v>0</v>
      </c>
      <c r="AE32" s="85">
        <v>69</v>
      </c>
      <c r="AF32" s="85">
        <v>3</v>
      </c>
      <c r="AG32" s="85">
        <v>11</v>
      </c>
      <c r="AH32" s="85">
        <v>1</v>
      </c>
      <c r="AI32" s="85">
        <v>0</v>
      </c>
      <c r="AJ32" s="85">
        <v>2</v>
      </c>
      <c r="AK32" s="85">
        <v>3</v>
      </c>
      <c r="AL32" s="85">
        <v>0</v>
      </c>
      <c r="AM32" s="85"/>
      <c r="AN32" s="85">
        <v>146</v>
      </c>
      <c r="AO32" s="83">
        <v>147</v>
      </c>
      <c r="AP32" s="85">
        <v>23</v>
      </c>
      <c r="AQ32" s="85">
        <v>1</v>
      </c>
      <c r="AR32" s="85">
        <v>1</v>
      </c>
      <c r="AS32" s="85">
        <v>23</v>
      </c>
      <c r="AT32" s="90">
        <v>3</v>
      </c>
      <c r="AU32" s="85">
        <v>7</v>
      </c>
      <c r="AV32" s="90">
        <v>9</v>
      </c>
      <c r="AW32" s="85">
        <v>7</v>
      </c>
      <c r="AX32" s="85">
        <v>0</v>
      </c>
      <c r="AY32" s="85">
        <v>2</v>
      </c>
      <c r="AZ32" s="85">
        <v>5</v>
      </c>
      <c r="BA32" s="85">
        <v>2</v>
      </c>
      <c r="BB32" s="85">
        <v>82</v>
      </c>
      <c r="BC32" s="83">
        <v>83</v>
      </c>
      <c r="BD32" s="85">
        <v>232</v>
      </c>
      <c r="BE32" s="85">
        <v>2</v>
      </c>
      <c r="BF32" s="85">
        <v>0</v>
      </c>
      <c r="BG32" s="85">
        <v>96</v>
      </c>
      <c r="BH32" s="90">
        <v>3</v>
      </c>
      <c r="BI32" s="90">
        <v>12</v>
      </c>
      <c r="BJ32" s="90">
        <v>80</v>
      </c>
      <c r="BK32" s="85">
        <v>1</v>
      </c>
      <c r="BL32" s="85">
        <v>4</v>
      </c>
      <c r="BM32" s="85">
        <v>15</v>
      </c>
      <c r="BN32" s="85">
        <v>446</v>
      </c>
      <c r="BO32" s="83">
        <v>445</v>
      </c>
      <c r="BP32" s="85">
        <v>159</v>
      </c>
      <c r="BQ32" s="85">
        <v>4</v>
      </c>
      <c r="BR32" s="85">
        <v>0</v>
      </c>
      <c r="BS32" s="85">
        <v>54</v>
      </c>
      <c r="BT32" s="85">
        <v>1</v>
      </c>
      <c r="BU32" s="85">
        <v>3</v>
      </c>
      <c r="BV32" s="85">
        <v>0</v>
      </c>
      <c r="BW32" s="85">
        <v>4</v>
      </c>
      <c r="BX32" s="85">
        <v>4</v>
      </c>
      <c r="BY32" s="85">
        <v>37</v>
      </c>
      <c r="BZ32" s="85"/>
      <c r="CA32" s="85">
        <v>268</v>
      </c>
      <c r="CB32" s="83">
        <v>266</v>
      </c>
      <c r="CC32" s="85">
        <v>96</v>
      </c>
      <c r="CD32" s="85">
        <v>41</v>
      </c>
      <c r="CE32" s="85">
        <v>137</v>
      </c>
      <c r="CF32" s="81">
        <v>137</v>
      </c>
    </row>
    <row r="33" spans="1:84">
      <c r="A33" s="82">
        <v>35977</v>
      </c>
      <c r="B33" s="85">
        <v>302</v>
      </c>
      <c r="C33" s="85">
        <v>3</v>
      </c>
      <c r="D33" s="85">
        <v>0</v>
      </c>
      <c r="E33" s="85">
        <v>0</v>
      </c>
      <c r="F33" s="85">
        <v>193</v>
      </c>
      <c r="G33" s="90">
        <v>7</v>
      </c>
      <c r="H33" s="85">
        <v>21</v>
      </c>
      <c r="I33" s="85">
        <v>3</v>
      </c>
      <c r="J33" s="85">
        <v>3</v>
      </c>
      <c r="K33" s="85">
        <v>7</v>
      </c>
      <c r="L33" s="85">
        <v>28</v>
      </c>
      <c r="M33" s="85">
        <v>567</v>
      </c>
      <c r="N33" s="83">
        <v>567</v>
      </c>
      <c r="O33" s="85">
        <v>299</v>
      </c>
      <c r="P33" s="85">
        <v>1</v>
      </c>
      <c r="Q33" s="85">
        <v>111</v>
      </c>
      <c r="R33" s="90">
        <v>27</v>
      </c>
      <c r="S33" s="85">
        <v>2</v>
      </c>
      <c r="T33" s="85">
        <v>21</v>
      </c>
      <c r="U33" s="85">
        <v>1</v>
      </c>
      <c r="V33" s="85">
        <v>7</v>
      </c>
      <c r="W33" s="90">
        <v>0</v>
      </c>
      <c r="X33" s="85">
        <v>1</v>
      </c>
      <c r="Y33" s="85">
        <v>470</v>
      </c>
      <c r="Z33" s="83">
        <v>470</v>
      </c>
      <c r="AA33" s="85">
        <v>56</v>
      </c>
      <c r="AB33" s="85">
        <v>1</v>
      </c>
      <c r="AC33" s="85">
        <v>0</v>
      </c>
      <c r="AD33" s="85">
        <v>0</v>
      </c>
      <c r="AE33" s="85">
        <v>80</v>
      </c>
      <c r="AF33" s="85">
        <v>3</v>
      </c>
      <c r="AG33" s="85">
        <v>10</v>
      </c>
      <c r="AH33" s="85">
        <v>1</v>
      </c>
      <c r="AI33" s="85">
        <v>0</v>
      </c>
      <c r="AJ33" s="85">
        <v>2</v>
      </c>
      <c r="AK33" s="85">
        <v>3</v>
      </c>
      <c r="AL33" s="85">
        <v>0</v>
      </c>
      <c r="AM33" s="85"/>
      <c r="AN33" s="85">
        <v>156</v>
      </c>
      <c r="AO33" s="83">
        <v>156</v>
      </c>
      <c r="AP33" s="85">
        <v>22</v>
      </c>
      <c r="AQ33" s="85">
        <v>1</v>
      </c>
      <c r="AR33" s="85">
        <v>1</v>
      </c>
      <c r="AS33" s="85">
        <v>30</v>
      </c>
      <c r="AT33" s="90">
        <v>3</v>
      </c>
      <c r="AU33" s="85">
        <v>7</v>
      </c>
      <c r="AV33" s="90">
        <v>10</v>
      </c>
      <c r="AW33" s="85">
        <v>7</v>
      </c>
      <c r="AX33" s="85">
        <v>0</v>
      </c>
      <c r="AY33" s="85">
        <v>2</v>
      </c>
      <c r="AZ33" s="85">
        <v>5</v>
      </c>
      <c r="BA33" s="85">
        <v>3</v>
      </c>
      <c r="BB33" s="85">
        <v>91</v>
      </c>
      <c r="BC33" s="83">
        <v>91</v>
      </c>
      <c r="BD33" s="85">
        <v>231</v>
      </c>
      <c r="BE33" s="85">
        <v>2</v>
      </c>
      <c r="BF33" s="85">
        <v>0</v>
      </c>
      <c r="BG33" s="85">
        <v>111</v>
      </c>
      <c r="BH33" s="90">
        <v>3</v>
      </c>
      <c r="BI33" s="90">
        <v>11</v>
      </c>
      <c r="BJ33" s="90">
        <v>78</v>
      </c>
      <c r="BK33" s="85">
        <v>1</v>
      </c>
      <c r="BL33" s="85">
        <v>4</v>
      </c>
      <c r="BM33" s="85">
        <v>14</v>
      </c>
      <c r="BN33" s="85">
        <v>456</v>
      </c>
      <c r="BO33" s="83">
        <v>455</v>
      </c>
      <c r="BP33" s="85">
        <v>168</v>
      </c>
      <c r="BQ33" s="85">
        <v>5</v>
      </c>
      <c r="BR33" s="85">
        <v>0</v>
      </c>
      <c r="BS33" s="85">
        <v>70</v>
      </c>
      <c r="BT33" s="85">
        <v>1</v>
      </c>
      <c r="BU33" s="85">
        <v>3</v>
      </c>
      <c r="BV33" s="85">
        <v>0</v>
      </c>
      <c r="BW33" s="85">
        <v>3</v>
      </c>
      <c r="BX33" s="85">
        <v>5</v>
      </c>
      <c r="BY33" s="85">
        <v>41</v>
      </c>
      <c r="BZ33" s="85"/>
      <c r="CA33" s="85">
        <v>297</v>
      </c>
      <c r="CB33" s="83">
        <v>296</v>
      </c>
      <c r="CC33" s="85">
        <v>101</v>
      </c>
      <c r="CD33" s="85">
        <v>57</v>
      </c>
      <c r="CE33" s="85">
        <v>158</v>
      </c>
      <c r="CF33" s="81">
        <v>158</v>
      </c>
    </row>
    <row r="34" spans="1:84">
      <c r="A34" s="82">
        <v>36008</v>
      </c>
      <c r="B34" s="85">
        <v>253</v>
      </c>
      <c r="C34" s="85">
        <v>3</v>
      </c>
      <c r="D34" s="85">
        <v>0</v>
      </c>
      <c r="E34" s="85">
        <v>0</v>
      </c>
      <c r="F34" s="85">
        <v>141</v>
      </c>
      <c r="G34" s="90">
        <v>6</v>
      </c>
      <c r="H34" s="85">
        <v>17</v>
      </c>
      <c r="I34" s="85">
        <v>2</v>
      </c>
      <c r="J34" s="85">
        <v>2</v>
      </c>
      <c r="K34" s="85">
        <v>6</v>
      </c>
      <c r="L34" s="85">
        <v>24</v>
      </c>
      <c r="M34" s="85">
        <v>455</v>
      </c>
      <c r="N34" s="83">
        <v>454</v>
      </c>
      <c r="O34" s="85">
        <v>348</v>
      </c>
      <c r="P34" s="85">
        <v>1</v>
      </c>
      <c r="Q34" s="85">
        <v>107</v>
      </c>
      <c r="R34" s="90">
        <v>30</v>
      </c>
      <c r="S34" s="85">
        <v>4</v>
      </c>
      <c r="T34" s="85">
        <v>19</v>
      </c>
      <c r="U34" s="85">
        <v>2</v>
      </c>
      <c r="V34" s="85">
        <v>5</v>
      </c>
      <c r="W34" s="90">
        <v>0</v>
      </c>
      <c r="X34" s="85">
        <v>1</v>
      </c>
      <c r="Y34" s="85">
        <v>516</v>
      </c>
      <c r="Z34" s="83">
        <v>517</v>
      </c>
      <c r="AA34" s="85">
        <v>47</v>
      </c>
      <c r="AB34" s="85">
        <v>1</v>
      </c>
      <c r="AC34" s="85">
        <v>0</v>
      </c>
      <c r="AD34" s="85">
        <v>0</v>
      </c>
      <c r="AE34" s="85">
        <v>57</v>
      </c>
      <c r="AF34" s="85">
        <v>3</v>
      </c>
      <c r="AG34" s="85">
        <v>8</v>
      </c>
      <c r="AH34" s="85">
        <v>1</v>
      </c>
      <c r="AI34" s="85">
        <v>0</v>
      </c>
      <c r="AJ34" s="85">
        <v>1</v>
      </c>
      <c r="AK34" s="85">
        <v>2</v>
      </c>
      <c r="AL34" s="85">
        <v>0</v>
      </c>
      <c r="AM34" s="85"/>
      <c r="AN34" s="85">
        <v>120</v>
      </c>
      <c r="AO34" s="83">
        <v>120</v>
      </c>
      <c r="AP34" s="85">
        <v>25</v>
      </c>
      <c r="AQ34" s="85">
        <v>1</v>
      </c>
      <c r="AR34" s="85">
        <v>1</v>
      </c>
      <c r="AS34" s="85">
        <v>22</v>
      </c>
      <c r="AT34" s="90">
        <v>3</v>
      </c>
      <c r="AU34" s="85">
        <v>7</v>
      </c>
      <c r="AV34" s="90">
        <v>11</v>
      </c>
      <c r="AW34" s="85">
        <v>6</v>
      </c>
      <c r="AX34" s="85">
        <v>0</v>
      </c>
      <c r="AY34" s="85">
        <v>1</v>
      </c>
      <c r="AZ34" s="85">
        <v>5</v>
      </c>
      <c r="BA34" s="85">
        <v>2</v>
      </c>
      <c r="BB34" s="85">
        <v>85</v>
      </c>
      <c r="BC34" s="83">
        <v>84</v>
      </c>
      <c r="BD34" s="85">
        <v>194</v>
      </c>
      <c r="BE34" s="85">
        <v>2</v>
      </c>
      <c r="BF34" s="85">
        <v>0</v>
      </c>
      <c r="BG34" s="85">
        <v>82</v>
      </c>
      <c r="BH34" s="90">
        <v>2</v>
      </c>
      <c r="BI34" s="90">
        <v>9</v>
      </c>
      <c r="BJ34" s="90">
        <v>64</v>
      </c>
      <c r="BK34" s="85">
        <v>1</v>
      </c>
      <c r="BL34" s="85">
        <v>4</v>
      </c>
      <c r="BM34" s="85">
        <v>13</v>
      </c>
      <c r="BN34" s="85">
        <v>372</v>
      </c>
      <c r="BO34" s="83">
        <v>371</v>
      </c>
      <c r="BP34" s="85">
        <v>167</v>
      </c>
      <c r="BQ34" s="85">
        <v>4</v>
      </c>
      <c r="BR34" s="85">
        <v>0</v>
      </c>
      <c r="BS34" s="85">
        <v>68</v>
      </c>
      <c r="BT34" s="85">
        <v>1</v>
      </c>
      <c r="BU34" s="85">
        <v>3</v>
      </c>
      <c r="BV34" s="85">
        <v>0</v>
      </c>
      <c r="BW34" s="85">
        <v>2</v>
      </c>
      <c r="BX34" s="85">
        <v>6</v>
      </c>
      <c r="BY34" s="85">
        <v>40</v>
      </c>
      <c r="BZ34" s="85"/>
      <c r="CA34" s="85">
        <v>291</v>
      </c>
      <c r="CB34" s="83">
        <v>291</v>
      </c>
      <c r="CC34" s="85">
        <v>103</v>
      </c>
      <c r="CD34" s="85">
        <v>56</v>
      </c>
      <c r="CE34" s="85">
        <v>160</v>
      </c>
      <c r="CF34" s="81">
        <v>159</v>
      </c>
    </row>
    <row r="35" spans="1:84">
      <c r="A35" s="82">
        <v>36039</v>
      </c>
      <c r="B35" s="85">
        <v>274</v>
      </c>
      <c r="C35" s="85">
        <v>3</v>
      </c>
      <c r="D35" s="85">
        <v>0</v>
      </c>
      <c r="E35" s="85">
        <v>0</v>
      </c>
      <c r="F35" s="85">
        <v>168</v>
      </c>
      <c r="G35" s="90">
        <v>8</v>
      </c>
      <c r="H35" s="85">
        <v>19</v>
      </c>
      <c r="I35" s="85">
        <v>0</v>
      </c>
      <c r="J35" s="85">
        <v>3</v>
      </c>
      <c r="K35" s="85">
        <v>9</v>
      </c>
      <c r="L35" s="85">
        <v>27</v>
      </c>
      <c r="M35" s="85">
        <v>511</v>
      </c>
      <c r="N35" s="83">
        <v>511</v>
      </c>
      <c r="O35" s="85">
        <v>312</v>
      </c>
      <c r="P35" s="85">
        <v>2</v>
      </c>
      <c r="Q35" s="85">
        <v>115</v>
      </c>
      <c r="R35" s="90">
        <v>30</v>
      </c>
      <c r="S35" s="85">
        <v>2</v>
      </c>
      <c r="T35" s="85">
        <v>14</v>
      </c>
      <c r="U35" s="85">
        <v>2</v>
      </c>
      <c r="V35" s="85">
        <v>0</v>
      </c>
      <c r="W35" s="90">
        <v>0</v>
      </c>
      <c r="X35" s="85">
        <v>1</v>
      </c>
      <c r="Y35" s="85">
        <v>478</v>
      </c>
      <c r="Z35" s="83">
        <v>478</v>
      </c>
      <c r="AA35" s="85">
        <v>51</v>
      </c>
      <c r="AB35" s="85">
        <v>1</v>
      </c>
      <c r="AC35" s="85">
        <v>0</v>
      </c>
      <c r="AD35" s="85">
        <v>0</v>
      </c>
      <c r="AE35" s="85">
        <v>70</v>
      </c>
      <c r="AF35" s="85">
        <v>4</v>
      </c>
      <c r="AG35" s="85">
        <v>9</v>
      </c>
      <c r="AH35" s="85">
        <v>2</v>
      </c>
      <c r="AI35" s="85">
        <v>0</v>
      </c>
      <c r="AJ35" s="85">
        <v>2</v>
      </c>
      <c r="AK35" s="85">
        <v>3</v>
      </c>
      <c r="AL35" s="85">
        <v>0</v>
      </c>
      <c r="AM35" s="85"/>
      <c r="AN35" s="85">
        <v>141</v>
      </c>
      <c r="AO35" s="83">
        <v>142</v>
      </c>
      <c r="AP35" s="85">
        <v>20</v>
      </c>
      <c r="AQ35" s="85">
        <v>0</v>
      </c>
      <c r="AR35" s="85">
        <v>1</v>
      </c>
      <c r="AS35" s="85">
        <v>20</v>
      </c>
      <c r="AT35" s="90">
        <v>3</v>
      </c>
      <c r="AU35" s="85">
        <v>8</v>
      </c>
      <c r="AV35" s="90">
        <v>10</v>
      </c>
      <c r="AW35" s="85">
        <v>6</v>
      </c>
      <c r="AX35" s="85">
        <v>0</v>
      </c>
      <c r="AY35" s="85">
        <v>2</v>
      </c>
      <c r="AZ35" s="85">
        <v>6</v>
      </c>
      <c r="BA35" s="85">
        <v>2</v>
      </c>
      <c r="BB35" s="85">
        <v>78</v>
      </c>
      <c r="BC35" s="83">
        <v>78</v>
      </c>
      <c r="BD35" s="85">
        <v>210</v>
      </c>
      <c r="BE35" s="85">
        <v>2</v>
      </c>
      <c r="BF35" s="85">
        <v>0</v>
      </c>
      <c r="BG35" s="85">
        <v>100</v>
      </c>
      <c r="BH35" s="90">
        <v>3</v>
      </c>
      <c r="BI35" s="90">
        <v>10</v>
      </c>
      <c r="BJ35" s="90">
        <v>70</v>
      </c>
      <c r="BK35" s="85">
        <v>1</v>
      </c>
      <c r="BL35" s="85">
        <v>5</v>
      </c>
      <c r="BM35" s="85">
        <v>14</v>
      </c>
      <c r="BN35" s="85">
        <v>416</v>
      </c>
      <c r="BO35" s="83">
        <v>415</v>
      </c>
      <c r="BP35" s="85">
        <v>154</v>
      </c>
      <c r="BQ35" s="85">
        <v>5</v>
      </c>
      <c r="BR35" s="85">
        <v>0</v>
      </c>
      <c r="BS35" s="85">
        <v>71</v>
      </c>
      <c r="BT35" s="85">
        <v>1</v>
      </c>
      <c r="BU35" s="85">
        <v>3</v>
      </c>
      <c r="BV35" s="85">
        <v>0</v>
      </c>
      <c r="BW35" s="85">
        <v>2</v>
      </c>
      <c r="BX35" s="85">
        <v>7</v>
      </c>
      <c r="BY35" s="85">
        <v>28</v>
      </c>
      <c r="BZ35" s="85"/>
      <c r="CA35" s="85">
        <v>271</v>
      </c>
      <c r="CB35" s="83">
        <v>271</v>
      </c>
      <c r="CC35" s="85">
        <v>90</v>
      </c>
      <c r="CD35" s="85">
        <v>59</v>
      </c>
      <c r="CE35" s="85">
        <v>149</v>
      </c>
      <c r="CF35" s="81">
        <v>149</v>
      </c>
    </row>
    <row r="36" spans="1:84">
      <c r="A36" s="82">
        <v>36069</v>
      </c>
      <c r="B36" s="85">
        <v>332</v>
      </c>
      <c r="C36" s="85">
        <v>3</v>
      </c>
      <c r="D36" s="85">
        <v>0</v>
      </c>
      <c r="E36" s="85">
        <v>0</v>
      </c>
      <c r="F36" s="85">
        <v>208</v>
      </c>
      <c r="G36" s="90">
        <v>8</v>
      </c>
      <c r="H36" s="85">
        <v>17</v>
      </c>
      <c r="I36" s="85">
        <v>3</v>
      </c>
      <c r="J36" s="85">
        <v>2</v>
      </c>
      <c r="K36" s="85">
        <v>4</v>
      </c>
      <c r="L36" s="85">
        <v>31</v>
      </c>
      <c r="M36" s="85">
        <v>608</v>
      </c>
      <c r="N36" s="83">
        <v>608</v>
      </c>
      <c r="O36" s="85">
        <v>225</v>
      </c>
      <c r="P36" s="85">
        <v>3</v>
      </c>
      <c r="Q36" s="85">
        <v>122</v>
      </c>
      <c r="R36" s="90">
        <v>31</v>
      </c>
      <c r="S36" s="85">
        <v>2</v>
      </c>
      <c r="T36" s="85">
        <v>17</v>
      </c>
      <c r="U36" s="85">
        <v>3</v>
      </c>
      <c r="V36" s="85">
        <v>8</v>
      </c>
      <c r="W36" s="90">
        <v>0</v>
      </c>
      <c r="X36" s="85">
        <v>1</v>
      </c>
      <c r="Y36" s="85">
        <v>413</v>
      </c>
      <c r="Z36" s="83">
        <v>412</v>
      </c>
      <c r="AA36" s="85">
        <v>62</v>
      </c>
      <c r="AB36" s="85">
        <v>1</v>
      </c>
      <c r="AC36" s="85">
        <v>0</v>
      </c>
      <c r="AD36" s="85">
        <v>0</v>
      </c>
      <c r="AE36" s="85">
        <v>87</v>
      </c>
      <c r="AF36" s="85">
        <v>4</v>
      </c>
      <c r="AG36" s="85">
        <v>8</v>
      </c>
      <c r="AH36" s="85">
        <v>1</v>
      </c>
      <c r="AI36" s="85">
        <v>0</v>
      </c>
      <c r="AJ36" s="85">
        <v>1</v>
      </c>
      <c r="AK36" s="85">
        <v>2</v>
      </c>
      <c r="AL36" s="85">
        <v>0</v>
      </c>
      <c r="AM36" s="85"/>
      <c r="AN36" s="85">
        <v>165</v>
      </c>
      <c r="AO36" s="83">
        <v>166</v>
      </c>
      <c r="AP36" s="85">
        <v>25</v>
      </c>
      <c r="AQ36" s="85">
        <v>1</v>
      </c>
      <c r="AR36" s="85">
        <v>1</v>
      </c>
      <c r="AS36" s="85">
        <v>26</v>
      </c>
      <c r="AT36" s="90">
        <v>3</v>
      </c>
      <c r="AU36" s="85">
        <v>7</v>
      </c>
      <c r="AV36" s="90">
        <v>11</v>
      </c>
      <c r="AW36" s="85">
        <v>5</v>
      </c>
      <c r="AX36" s="85">
        <v>0</v>
      </c>
      <c r="AY36" s="85">
        <v>1</v>
      </c>
      <c r="AZ36" s="85">
        <v>5</v>
      </c>
      <c r="BA36" s="85">
        <v>3</v>
      </c>
      <c r="BB36" s="85">
        <v>87</v>
      </c>
      <c r="BC36" s="83">
        <v>88</v>
      </c>
      <c r="BD36" s="85">
        <v>256</v>
      </c>
      <c r="BE36" s="85">
        <v>1</v>
      </c>
      <c r="BF36" s="85">
        <v>0</v>
      </c>
      <c r="BG36" s="85">
        <v>119</v>
      </c>
      <c r="BH36" s="90">
        <v>4</v>
      </c>
      <c r="BI36" s="90">
        <v>9</v>
      </c>
      <c r="BJ36" s="90">
        <v>65</v>
      </c>
      <c r="BK36" s="85">
        <v>1</v>
      </c>
      <c r="BL36" s="85">
        <v>3</v>
      </c>
      <c r="BM36" s="85">
        <v>17</v>
      </c>
      <c r="BN36" s="85">
        <v>475</v>
      </c>
      <c r="BO36" s="83">
        <v>475</v>
      </c>
      <c r="BP36" s="85">
        <v>168</v>
      </c>
      <c r="BQ36" s="85">
        <v>5</v>
      </c>
      <c r="BR36" s="85">
        <v>0</v>
      </c>
      <c r="BS36" s="85">
        <v>92</v>
      </c>
      <c r="BT36" s="85">
        <v>1</v>
      </c>
      <c r="BU36" s="85">
        <v>2</v>
      </c>
      <c r="BV36" s="85">
        <v>0</v>
      </c>
      <c r="BW36" s="85">
        <v>2</v>
      </c>
      <c r="BX36" s="85">
        <v>6</v>
      </c>
      <c r="BY36" s="85">
        <v>37</v>
      </c>
      <c r="BZ36" s="85"/>
      <c r="CA36" s="85">
        <v>315</v>
      </c>
      <c r="CB36" s="83">
        <v>313</v>
      </c>
      <c r="CC36" s="85">
        <v>107</v>
      </c>
      <c r="CD36" s="85">
        <v>80</v>
      </c>
      <c r="CE36" s="85">
        <v>187</v>
      </c>
      <c r="CF36" s="81">
        <v>187</v>
      </c>
    </row>
    <row r="37" spans="1:84">
      <c r="A37" s="82">
        <v>36100</v>
      </c>
      <c r="B37" s="85">
        <v>302</v>
      </c>
      <c r="C37" s="85">
        <v>3</v>
      </c>
      <c r="D37" s="85">
        <v>0</v>
      </c>
      <c r="E37" s="85">
        <v>0</v>
      </c>
      <c r="F37" s="85">
        <v>193</v>
      </c>
      <c r="G37" s="90">
        <v>7</v>
      </c>
      <c r="H37" s="85">
        <v>15</v>
      </c>
      <c r="I37" s="85">
        <v>2</v>
      </c>
      <c r="J37" s="85">
        <v>4</v>
      </c>
      <c r="K37" s="85">
        <v>6</v>
      </c>
      <c r="L37" s="85">
        <v>27</v>
      </c>
      <c r="M37" s="85">
        <v>559</v>
      </c>
      <c r="N37" s="83">
        <v>559</v>
      </c>
      <c r="O37" s="85">
        <v>260</v>
      </c>
      <c r="P37" s="85">
        <v>4</v>
      </c>
      <c r="Q37" s="85">
        <v>134</v>
      </c>
      <c r="R37" s="90">
        <v>29</v>
      </c>
      <c r="S37" s="85">
        <v>3</v>
      </c>
      <c r="T37" s="85">
        <v>14</v>
      </c>
      <c r="U37" s="85">
        <v>2</v>
      </c>
      <c r="V37" s="85">
        <v>4</v>
      </c>
      <c r="W37" s="85">
        <v>0</v>
      </c>
      <c r="X37" s="85">
        <v>1</v>
      </c>
      <c r="Y37" s="85">
        <v>451</v>
      </c>
      <c r="Z37" s="83">
        <v>451</v>
      </c>
      <c r="AA37" s="85">
        <v>57</v>
      </c>
      <c r="AB37" s="85">
        <v>1</v>
      </c>
      <c r="AC37" s="85">
        <v>0</v>
      </c>
      <c r="AD37" s="85">
        <v>0</v>
      </c>
      <c r="AE37" s="85">
        <v>79</v>
      </c>
      <c r="AF37" s="85">
        <v>3</v>
      </c>
      <c r="AG37" s="85">
        <v>7</v>
      </c>
      <c r="AH37" s="85">
        <v>1</v>
      </c>
      <c r="AI37" s="85">
        <v>0</v>
      </c>
      <c r="AJ37" s="85">
        <v>2</v>
      </c>
      <c r="AK37" s="85">
        <v>2</v>
      </c>
      <c r="AL37" s="85">
        <v>0</v>
      </c>
      <c r="AM37" s="85"/>
      <c r="AN37" s="85">
        <v>152</v>
      </c>
      <c r="AO37" s="83">
        <v>152</v>
      </c>
      <c r="AP37" s="85">
        <v>26</v>
      </c>
      <c r="AQ37" s="85">
        <v>0</v>
      </c>
      <c r="AR37" s="85">
        <v>1</v>
      </c>
      <c r="AS37" s="85">
        <v>21</v>
      </c>
      <c r="AT37" s="90">
        <v>3</v>
      </c>
      <c r="AU37" s="85">
        <v>6</v>
      </c>
      <c r="AV37" s="90">
        <v>7</v>
      </c>
      <c r="AW37" s="85">
        <v>4</v>
      </c>
      <c r="AX37" s="85">
        <v>0</v>
      </c>
      <c r="AY37" s="85">
        <v>1</v>
      </c>
      <c r="AZ37" s="85">
        <v>4</v>
      </c>
      <c r="BA37" s="85">
        <v>2</v>
      </c>
      <c r="BB37" s="85">
        <v>76</v>
      </c>
      <c r="BC37" s="83">
        <v>75</v>
      </c>
      <c r="BD37" s="85">
        <v>232</v>
      </c>
      <c r="BE37" s="85">
        <v>2</v>
      </c>
      <c r="BF37" s="85">
        <v>0</v>
      </c>
      <c r="BG37" s="85">
        <v>112</v>
      </c>
      <c r="BH37" s="90">
        <v>3</v>
      </c>
      <c r="BI37" s="90">
        <v>8</v>
      </c>
      <c r="BJ37" s="90">
        <v>56</v>
      </c>
      <c r="BK37" s="85">
        <v>1</v>
      </c>
      <c r="BL37" s="85">
        <v>4</v>
      </c>
      <c r="BM37" s="85">
        <v>16</v>
      </c>
      <c r="BN37" s="85">
        <v>434</v>
      </c>
      <c r="BO37" s="83">
        <v>434</v>
      </c>
      <c r="BP37" s="85">
        <v>158</v>
      </c>
      <c r="BQ37" s="85">
        <v>5</v>
      </c>
      <c r="BR37" s="85">
        <v>0</v>
      </c>
      <c r="BS37" s="85">
        <v>95</v>
      </c>
      <c r="BT37" s="85">
        <v>1</v>
      </c>
      <c r="BU37" s="85">
        <v>3</v>
      </c>
      <c r="BV37" s="85">
        <v>0</v>
      </c>
      <c r="BW37" s="85">
        <v>2</v>
      </c>
      <c r="BX37" s="85">
        <v>6</v>
      </c>
      <c r="BY37" s="85">
        <v>32</v>
      </c>
      <c r="BZ37" s="85"/>
      <c r="CA37" s="85">
        <v>301</v>
      </c>
      <c r="CB37" s="83">
        <v>302</v>
      </c>
      <c r="CC37" s="85">
        <v>100</v>
      </c>
      <c r="CD37" s="85">
        <v>82</v>
      </c>
      <c r="CE37" s="85">
        <v>182</v>
      </c>
      <c r="CF37" s="81">
        <v>182</v>
      </c>
    </row>
    <row r="38" spans="1:84">
      <c r="A38" s="82">
        <v>36130</v>
      </c>
      <c r="B38" s="85">
        <v>312</v>
      </c>
      <c r="C38" s="85">
        <v>3</v>
      </c>
      <c r="D38" s="85">
        <v>0</v>
      </c>
      <c r="E38" s="85">
        <v>0</v>
      </c>
      <c r="F38" s="85">
        <v>175</v>
      </c>
      <c r="G38" s="90">
        <v>7</v>
      </c>
      <c r="H38" s="85">
        <v>18</v>
      </c>
      <c r="I38" s="85">
        <v>1</v>
      </c>
      <c r="J38" s="85">
        <v>4</v>
      </c>
      <c r="K38" s="85">
        <v>6</v>
      </c>
      <c r="L38" s="85">
        <v>31</v>
      </c>
      <c r="M38" s="85">
        <v>555</v>
      </c>
      <c r="N38" s="83">
        <v>557</v>
      </c>
      <c r="O38" s="85">
        <v>302</v>
      </c>
      <c r="P38" s="85">
        <v>4</v>
      </c>
      <c r="Q38" s="85">
        <v>136</v>
      </c>
      <c r="R38" s="90">
        <v>25</v>
      </c>
      <c r="S38" s="85">
        <v>2</v>
      </c>
      <c r="T38" s="85">
        <v>17</v>
      </c>
      <c r="U38" s="85">
        <v>5</v>
      </c>
      <c r="V38" s="85">
        <v>7</v>
      </c>
      <c r="W38" s="90">
        <v>0</v>
      </c>
      <c r="X38" s="85">
        <v>2</v>
      </c>
      <c r="Y38" s="85">
        <v>500</v>
      </c>
      <c r="Z38" s="83">
        <v>500</v>
      </c>
      <c r="AA38" s="85">
        <v>58</v>
      </c>
      <c r="AB38" s="85">
        <v>1</v>
      </c>
      <c r="AC38" s="85">
        <v>0</v>
      </c>
      <c r="AD38" s="85">
        <v>0</v>
      </c>
      <c r="AE38" s="85">
        <v>72</v>
      </c>
      <c r="AF38" s="85">
        <v>3</v>
      </c>
      <c r="AG38" s="85">
        <v>8</v>
      </c>
      <c r="AH38" s="85">
        <v>0</v>
      </c>
      <c r="AI38" s="85">
        <v>0</v>
      </c>
      <c r="AJ38" s="85">
        <v>2</v>
      </c>
      <c r="AK38" s="85">
        <v>2</v>
      </c>
      <c r="AL38" s="85">
        <v>0</v>
      </c>
      <c r="AM38" s="85"/>
      <c r="AN38" s="85">
        <v>147</v>
      </c>
      <c r="AO38" s="83">
        <v>146</v>
      </c>
      <c r="AP38" s="85">
        <v>25</v>
      </c>
      <c r="AQ38" s="85">
        <v>0</v>
      </c>
      <c r="AR38" s="85">
        <v>1</v>
      </c>
      <c r="AS38" s="85">
        <v>16</v>
      </c>
      <c r="AT38" s="90">
        <v>3</v>
      </c>
      <c r="AU38" s="85">
        <v>5</v>
      </c>
      <c r="AV38" s="90">
        <v>7</v>
      </c>
      <c r="AW38" s="85">
        <v>5</v>
      </c>
      <c r="AX38" s="85">
        <v>0</v>
      </c>
      <c r="AY38" s="85">
        <v>1</v>
      </c>
      <c r="AZ38" s="85">
        <v>4</v>
      </c>
      <c r="BA38" s="85">
        <v>2</v>
      </c>
      <c r="BB38" s="85">
        <v>69</v>
      </c>
      <c r="BC38" s="83">
        <v>69</v>
      </c>
      <c r="BD38" s="85">
        <v>238</v>
      </c>
      <c r="BE38" s="85">
        <v>2</v>
      </c>
      <c r="BF38" s="85">
        <v>0</v>
      </c>
      <c r="BG38" s="85">
        <v>102</v>
      </c>
      <c r="BH38" s="90">
        <v>3</v>
      </c>
      <c r="BI38" s="90">
        <v>10</v>
      </c>
      <c r="BJ38" s="90">
        <v>66</v>
      </c>
      <c r="BK38" s="85">
        <v>1</v>
      </c>
      <c r="BL38" s="85">
        <v>4</v>
      </c>
      <c r="BM38" s="85">
        <v>16</v>
      </c>
      <c r="BN38" s="85">
        <v>442</v>
      </c>
      <c r="BO38" s="83">
        <v>442</v>
      </c>
      <c r="BP38" s="85">
        <v>131</v>
      </c>
      <c r="BQ38" s="85">
        <v>5</v>
      </c>
      <c r="BR38" s="85">
        <v>0</v>
      </c>
      <c r="BS38" s="85">
        <v>88</v>
      </c>
      <c r="BT38" s="85">
        <v>1</v>
      </c>
      <c r="BU38" s="85">
        <v>3</v>
      </c>
      <c r="BV38" s="85">
        <v>0</v>
      </c>
      <c r="BW38" s="85">
        <v>3</v>
      </c>
      <c r="BX38" s="85">
        <v>6</v>
      </c>
      <c r="BY38" s="85">
        <v>21</v>
      </c>
      <c r="BZ38" s="85"/>
      <c r="CA38" s="85">
        <v>258</v>
      </c>
      <c r="CB38" s="83">
        <v>258</v>
      </c>
      <c r="CC38" s="85">
        <v>70</v>
      </c>
      <c r="CD38" s="85">
        <v>74</v>
      </c>
      <c r="CE38" s="85">
        <v>144</v>
      </c>
      <c r="CF38" s="81">
        <v>144</v>
      </c>
    </row>
    <row r="39" spans="1:84">
      <c r="A39" s="82">
        <v>36161</v>
      </c>
      <c r="B39" s="81">
        <v>305</v>
      </c>
      <c r="C39" s="81">
        <v>4</v>
      </c>
      <c r="D39" s="81">
        <v>0</v>
      </c>
      <c r="E39" s="81">
        <v>0</v>
      </c>
      <c r="F39" s="81">
        <v>176</v>
      </c>
      <c r="G39" s="81">
        <v>6</v>
      </c>
      <c r="H39" s="81">
        <v>17</v>
      </c>
      <c r="I39" s="81">
        <v>4</v>
      </c>
      <c r="J39" s="81">
        <v>4</v>
      </c>
      <c r="K39" s="81">
        <v>6</v>
      </c>
      <c r="L39" s="81">
        <v>23</v>
      </c>
      <c r="M39" s="81">
        <v>544</v>
      </c>
      <c r="N39" s="83">
        <v>545</v>
      </c>
      <c r="O39" s="85">
        <v>368</v>
      </c>
      <c r="P39" s="85">
        <v>3</v>
      </c>
      <c r="Q39" s="85">
        <v>141</v>
      </c>
      <c r="R39" s="85">
        <v>28</v>
      </c>
      <c r="S39" s="85">
        <v>1</v>
      </c>
      <c r="T39" s="85">
        <v>14</v>
      </c>
      <c r="U39" s="85">
        <v>4</v>
      </c>
      <c r="V39" s="85">
        <v>7</v>
      </c>
      <c r="W39" s="85">
        <v>0</v>
      </c>
      <c r="X39" s="85">
        <v>1</v>
      </c>
      <c r="Y39" s="85">
        <v>567</v>
      </c>
      <c r="Z39" s="83">
        <v>567</v>
      </c>
      <c r="AA39" s="85">
        <v>56</v>
      </c>
      <c r="AB39" s="85">
        <v>1</v>
      </c>
      <c r="AC39" s="85">
        <v>0</v>
      </c>
      <c r="AD39" s="85">
        <v>0</v>
      </c>
      <c r="AE39" s="85">
        <v>73</v>
      </c>
      <c r="AF39" s="85">
        <v>3</v>
      </c>
      <c r="AG39" s="85">
        <v>8</v>
      </c>
      <c r="AH39" s="85">
        <v>1</v>
      </c>
      <c r="AI39" s="85">
        <v>0</v>
      </c>
      <c r="AJ39" s="85">
        <v>2</v>
      </c>
      <c r="AK39" s="85">
        <v>2</v>
      </c>
      <c r="AL39" s="85">
        <v>0</v>
      </c>
      <c r="AM39" s="85"/>
      <c r="AN39" s="85">
        <v>147</v>
      </c>
      <c r="AO39" s="83">
        <v>146</v>
      </c>
      <c r="AP39" s="85">
        <v>26</v>
      </c>
      <c r="AQ39" s="85">
        <v>0</v>
      </c>
      <c r="AR39" s="85">
        <v>1</v>
      </c>
      <c r="AS39" s="85">
        <v>24</v>
      </c>
      <c r="AT39" s="85">
        <v>3</v>
      </c>
      <c r="AU39" s="85">
        <v>6</v>
      </c>
      <c r="AV39" s="85">
        <v>8</v>
      </c>
      <c r="AW39" s="85">
        <v>7</v>
      </c>
      <c r="AX39" s="85">
        <v>0</v>
      </c>
      <c r="AY39" s="85">
        <v>2</v>
      </c>
      <c r="AZ39" s="85">
        <v>4</v>
      </c>
      <c r="BA39" s="85">
        <v>1</v>
      </c>
      <c r="BB39" s="85">
        <v>81</v>
      </c>
      <c r="BC39" s="83">
        <v>82</v>
      </c>
      <c r="BD39" s="85">
        <v>235</v>
      </c>
      <c r="BE39" s="85">
        <v>2</v>
      </c>
      <c r="BF39" s="85">
        <v>0</v>
      </c>
      <c r="BG39" s="85">
        <v>102</v>
      </c>
      <c r="BH39" s="85">
        <v>3</v>
      </c>
      <c r="BI39" s="85">
        <v>9</v>
      </c>
      <c r="BJ39" s="85">
        <v>62</v>
      </c>
      <c r="BK39" s="85">
        <v>1</v>
      </c>
      <c r="BL39" s="85">
        <v>4</v>
      </c>
      <c r="BM39" s="85">
        <v>15</v>
      </c>
      <c r="BN39" s="85">
        <v>434</v>
      </c>
      <c r="BO39" s="83">
        <v>433</v>
      </c>
      <c r="BP39" s="85">
        <v>154</v>
      </c>
      <c r="BQ39" s="85">
        <v>5</v>
      </c>
      <c r="BR39" s="85">
        <v>0</v>
      </c>
      <c r="BS39" s="85">
        <v>89</v>
      </c>
      <c r="BT39" s="85">
        <v>1</v>
      </c>
      <c r="BU39" s="85">
        <v>4</v>
      </c>
      <c r="BV39" s="85">
        <v>0</v>
      </c>
      <c r="BW39" s="85">
        <v>3</v>
      </c>
      <c r="BX39" s="85">
        <v>6</v>
      </c>
      <c r="BY39" s="85">
        <v>15</v>
      </c>
      <c r="BZ39" s="81"/>
      <c r="CA39" s="85">
        <v>277</v>
      </c>
      <c r="CB39" s="83">
        <v>277</v>
      </c>
      <c r="CC39" s="85">
        <v>94</v>
      </c>
      <c r="CD39" s="85">
        <v>76</v>
      </c>
      <c r="CE39" s="85">
        <v>169</v>
      </c>
      <c r="CF39" s="81">
        <v>170</v>
      </c>
    </row>
    <row r="40" spans="1:84">
      <c r="A40" s="82">
        <v>36192</v>
      </c>
      <c r="B40" s="81">
        <v>288</v>
      </c>
      <c r="C40" s="81">
        <v>3</v>
      </c>
      <c r="D40" s="81">
        <v>0</v>
      </c>
      <c r="E40" s="81">
        <v>0</v>
      </c>
      <c r="F40" s="81">
        <v>156</v>
      </c>
      <c r="G40" s="81">
        <v>6</v>
      </c>
      <c r="H40" s="81">
        <v>17</v>
      </c>
      <c r="I40" s="81">
        <v>1</v>
      </c>
      <c r="J40" s="81">
        <v>3</v>
      </c>
      <c r="K40" s="81">
        <v>7</v>
      </c>
      <c r="L40" s="81">
        <v>24</v>
      </c>
      <c r="M40" s="81">
        <v>505</v>
      </c>
      <c r="N40" s="83">
        <v>505</v>
      </c>
      <c r="O40" s="85">
        <v>273</v>
      </c>
      <c r="P40" s="85">
        <v>3</v>
      </c>
      <c r="Q40" s="85">
        <v>146</v>
      </c>
      <c r="R40" s="85">
        <v>27</v>
      </c>
      <c r="S40" s="85">
        <v>2</v>
      </c>
      <c r="T40" s="85">
        <v>12</v>
      </c>
      <c r="U40" s="85">
        <v>1</v>
      </c>
      <c r="V40" s="85">
        <v>5</v>
      </c>
      <c r="W40" s="85">
        <v>0</v>
      </c>
      <c r="X40" s="85">
        <v>1</v>
      </c>
      <c r="Y40" s="85">
        <v>471</v>
      </c>
      <c r="Z40" s="83">
        <v>470</v>
      </c>
      <c r="AA40" s="85">
        <v>53</v>
      </c>
      <c r="AB40" s="85">
        <v>1</v>
      </c>
      <c r="AC40" s="85">
        <v>0</v>
      </c>
      <c r="AD40" s="85">
        <v>0</v>
      </c>
      <c r="AE40" s="85">
        <v>65</v>
      </c>
      <c r="AF40" s="85">
        <v>3</v>
      </c>
      <c r="AG40" s="85">
        <v>8</v>
      </c>
      <c r="AH40" s="85">
        <v>0</v>
      </c>
      <c r="AI40" s="85">
        <v>0</v>
      </c>
      <c r="AJ40" s="85">
        <v>2</v>
      </c>
      <c r="AK40" s="85">
        <v>3</v>
      </c>
      <c r="AL40" s="85">
        <v>0</v>
      </c>
      <c r="AM40" s="85"/>
      <c r="AN40" s="85">
        <v>134</v>
      </c>
      <c r="AO40" s="83">
        <v>135</v>
      </c>
      <c r="AP40" s="85">
        <v>28</v>
      </c>
      <c r="AQ40" s="85">
        <v>0</v>
      </c>
      <c r="AR40" s="85">
        <v>1</v>
      </c>
      <c r="AS40" s="85">
        <v>25</v>
      </c>
      <c r="AT40" s="85">
        <v>3</v>
      </c>
      <c r="AU40" s="85">
        <v>6</v>
      </c>
      <c r="AV40" s="85">
        <v>7</v>
      </c>
      <c r="AW40" s="85">
        <v>8</v>
      </c>
      <c r="AX40" s="85">
        <v>0</v>
      </c>
      <c r="AY40" s="85">
        <v>1</v>
      </c>
      <c r="AZ40" s="85">
        <v>5</v>
      </c>
      <c r="BA40" s="85">
        <v>3</v>
      </c>
      <c r="BB40" s="85">
        <v>88</v>
      </c>
      <c r="BC40" s="83">
        <v>87</v>
      </c>
      <c r="BD40" s="85">
        <v>222</v>
      </c>
      <c r="BE40" s="85">
        <v>2</v>
      </c>
      <c r="BF40" s="85">
        <v>0</v>
      </c>
      <c r="BG40" s="85">
        <v>91</v>
      </c>
      <c r="BH40" s="85">
        <v>3</v>
      </c>
      <c r="BI40" s="85">
        <v>9</v>
      </c>
      <c r="BJ40" s="85">
        <v>63</v>
      </c>
      <c r="BK40" s="85">
        <v>1</v>
      </c>
      <c r="BL40" s="85">
        <v>4</v>
      </c>
      <c r="BM40" s="85">
        <v>13</v>
      </c>
      <c r="BN40" s="85">
        <v>408</v>
      </c>
      <c r="BO40" s="83">
        <v>408</v>
      </c>
      <c r="BP40" s="85">
        <v>165</v>
      </c>
      <c r="BQ40" s="85">
        <v>6</v>
      </c>
      <c r="BR40" s="85">
        <v>0</v>
      </c>
      <c r="BS40" s="85">
        <v>78</v>
      </c>
      <c r="BT40" s="85">
        <v>1</v>
      </c>
      <c r="BU40" s="85">
        <v>4</v>
      </c>
      <c r="BV40" s="85">
        <v>0</v>
      </c>
      <c r="BW40" s="85">
        <v>2</v>
      </c>
      <c r="BX40" s="85">
        <v>7</v>
      </c>
      <c r="BY40" s="85">
        <v>12</v>
      </c>
      <c r="BZ40" s="81"/>
      <c r="CA40" s="85">
        <v>275</v>
      </c>
      <c r="CB40" s="83">
        <v>275</v>
      </c>
      <c r="CC40" s="81">
        <v>101</v>
      </c>
      <c r="CD40" s="85">
        <v>65</v>
      </c>
      <c r="CE40" s="85">
        <v>166</v>
      </c>
      <c r="CF40" s="81">
        <v>166</v>
      </c>
    </row>
    <row r="41" spans="1:84">
      <c r="A41" s="82">
        <v>36220</v>
      </c>
      <c r="B41" s="81">
        <v>287</v>
      </c>
      <c r="C41" s="81">
        <v>3</v>
      </c>
      <c r="D41" s="81">
        <v>0</v>
      </c>
      <c r="E41" s="81">
        <v>0</v>
      </c>
      <c r="F41" s="81">
        <v>163</v>
      </c>
      <c r="G41" s="81">
        <v>8</v>
      </c>
      <c r="H41" s="81">
        <v>21</v>
      </c>
      <c r="I41" s="81">
        <v>2</v>
      </c>
      <c r="J41" s="81">
        <v>3</v>
      </c>
      <c r="K41" s="81">
        <v>5</v>
      </c>
      <c r="L41" s="81">
        <v>28</v>
      </c>
      <c r="M41" s="81">
        <v>520</v>
      </c>
      <c r="N41" s="83">
        <v>520</v>
      </c>
      <c r="O41" s="85">
        <v>243</v>
      </c>
      <c r="P41" s="85">
        <v>1</v>
      </c>
      <c r="Q41" s="85">
        <v>134</v>
      </c>
      <c r="R41" s="85">
        <v>28</v>
      </c>
      <c r="S41" s="85">
        <v>2</v>
      </c>
      <c r="T41" s="85">
        <v>11</v>
      </c>
      <c r="U41" s="85">
        <v>1</v>
      </c>
      <c r="V41" s="85">
        <v>7</v>
      </c>
      <c r="W41" s="85">
        <v>0</v>
      </c>
      <c r="X41" s="85">
        <v>1</v>
      </c>
      <c r="Y41" s="85">
        <v>427</v>
      </c>
      <c r="Z41" s="83">
        <v>428</v>
      </c>
      <c r="AA41" s="85">
        <v>53</v>
      </c>
      <c r="AB41" s="85">
        <v>1</v>
      </c>
      <c r="AC41" s="85">
        <v>0</v>
      </c>
      <c r="AD41" s="85">
        <v>0</v>
      </c>
      <c r="AE41" s="85">
        <v>68</v>
      </c>
      <c r="AF41" s="85">
        <v>4</v>
      </c>
      <c r="AG41" s="85">
        <v>10</v>
      </c>
      <c r="AH41" s="85">
        <v>1</v>
      </c>
      <c r="AI41" s="81">
        <v>0</v>
      </c>
      <c r="AJ41" s="85">
        <v>2</v>
      </c>
      <c r="AK41" s="85">
        <v>2</v>
      </c>
      <c r="AL41" s="85">
        <v>0</v>
      </c>
      <c r="AM41" s="85"/>
      <c r="AN41" s="85">
        <v>139</v>
      </c>
      <c r="AO41" s="83">
        <v>141</v>
      </c>
      <c r="AP41" s="85">
        <v>24</v>
      </c>
      <c r="AQ41" s="85">
        <v>1</v>
      </c>
      <c r="AR41" s="85">
        <v>1</v>
      </c>
      <c r="AS41" s="85">
        <v>18</v>
      </c>
      <c r="AT41" s="85">
        <v>4</v>
      </c>
      <c r="AU41" s="85">
        <v>7</v>
      </c>
      <c r="AV41" s="85">
        <v>10</v>
      </c>
      <c r="AW41" s="85">
        <v>5</v>
      </c>
      <c r="AX41" s="85">
        <v>0</v>
      </c>
      <c r="AY41" s="85">
        <v>1</v>
      </c>
      <c r="AZ41" s="85">
        <v>4</v>
      </c>
      <c r="BA41" s="85">
        <v>3</v>
      </c>
      <c r="BB41" s="85">
        <v>78</v>
      </c>
      <c r="BC41" s="83">
        <v>78</v>
      </c>
      <c r="BD41" s="85">
        <v>221</v>
      </c>
      <c r="BE41" s="85">
        <v>2</v>
      </c>
      <c r="BF41" s="85">
        <v>0</v>
      </c>
      <c r="BG41" s="85">
        <v>95</v>
      </c>
      <c r="BH41" s="85">
        <v>3</v>
      </c>
      <c r="BI41" s="85">
        <v>11</v>
      </c>
      <c r="BJ41" s="85">
        <v>77</v>
      </c>
      <c r="BK41" s="85">
        <v>1</v>
      </c>
      <c r="BL41" s="85">
        <v>3</v>
      </c>
      <c r="BM41" s="85">
        <v>13</v>
      </c>
      <c r="BN41" s="85">
        <v>427</v>
      </c>
      <c r="BO41" s="83">
        <v>426</v>
      </c>
      <c r="BP41" s="85">
        <v>144</v>
      </c>
      <c r="BQ41" s="85">
        <v>5</v>
      </c>
      <c r="BR41" s="85">
        <v>0</v>
      </c>
      <c r="BS41" s="85">
        <v>57</v>
      </c>
      <c r="BT41" s="85">
        <v>1</v>
      </c>
      <c r="BU41" s="85">
        <v>4</v>
      </c>
      <c r="BV41" s="85">
        <v>0</v>
      </c>
      <c r="BW41" s="85">
        <v>2</v>
      </c>
      <c r="BX41" s="85">
        <v>6</v>
      </c>
      <c r="BY41" s="85">
        <v>18</v>
      </c>
      <c r="BZ41" s="81"/>
      <c r="CA41" s="85">
        <v>238</v>
      </c>
      <c r="CB41" s="83">
        <v>237</v>
      </c>
      <c r="CC41" s="81">
        <v>79</v>
      </c>
      <c r="CD41" s="81">
        <v>45</v>
      </c>
      <c r="CE41" s="81">
        <v>124</v>
      </c>
      <c r="CF41" s="81">
        <v>124</v>
      </c>
    </row>
    <row r="42" spans="1:84">
      <c r="A42" s="82">
        <v>36251</v>
      </c>
      <c r="B42" s="81">
        <v>327</v>
      </c>
      <c r="C42" s="81">
        <v>1</v>
      </c>
      <c r="D42" s="81">
        <v>0</v>
      </c>
      <c r="E42" s="81">
        <v>0</v>
      </c>
      <c r="F42" s="81">
        <v>189</v>
      </c>
      <c r="G42" s="81">
        <v>8</v>
      </c>
      <c r="H42" s="81">
        <v>20</v>
      </c>
      <c r="I42" s="81">
        <v>5</v>
      </c>
      <c r="J42" s="81">
        <v>3</v>
      </c>
      <c r="K42" s="81">
        <v>6</v>
      </c>
      <c r="L42" s="81">
        <v>28</v>
      </c>
      <c r="M42" s="81">
        <v>587</v>
      </c>
      <c r="N42" s="83">
        <v>587</v>
      </c>
      <c r="O42" s="85">
        <v>301</v>
      </c>
      <c r="P42" s="85">
        <v>1</v>
      </c>
      <c r="Q42" s="85">
        <v>121</v>
      </c>
      <c r="R42" s="85">
        <v>29</v>
      </c>
      <c r="S42" s="85">
        <v>0</v>
      </c>
      <c r="T42" s="85">
        <v>6</v>
      </c>
      <c r="U42" s="85">
        <v>3</v>
      </c>
      <c r="V42" s="85">
        <v>7</v>
      </c>
      <c r="W42" s="85">
        <v>0</v>
      </c>
      <c r="X42" s="85">
        <v>2</v>
      </c>
      <c r="Y42" s="85">
        <v>471</v>
      </c>
      <c r="Z42" s="83">
        <v>470</v>
      </c>
      <c r="AA42" s="85">
        <v>60</v>
      </c>
      <c r="AB42" s="85">
        <v>0</v>
      </c>
      <c r="AC42" s="85">
        <v>0</v>
      </c>
      <c r="AD42" s="85">
        <v>0</v>
      </c>
      <c r="AE42" s="85">
        <v>79</v>
      </c>
      <c r="AF42" s="85">
        <v>4</v>
      </c>
      <c r="AG42" s="85">
        <v>9</v>
      </c>
      <c r="AH42" s="85">
        <v>2</v>
      </c>
      <c r="AI42" s="85">
        <v>0</v>
      </c>
      <c r="AJ42" s="85">
        <v>2</v>
      </c>
      <c r="AK42" s="85">
        <v>2</v>
      </c>
      <c r="AL42" s="85">
        <v>0</v>
      </c>
      <c r="AM42" s="85"/>
      <c r="AN42" s="85">
        <v>159</v>
      </c>
      <c r="AO42" s="83">
        <v>158</v>
      </c>
      <c r="AP42" s="85">
        <v>23</v>
      </c>
      <c r="AQ42" s="85">
        <v>1</v>
      </c>
      <c r="AR42" s="85">
        <v>1</v>
      </c>
      <c r="AS42" s="85">
        <v>20</v>
      </c>
      <c r="AT42" s="85">
        <v>4</v>
      </c>
      <c r="AU42" s="85">
        <v>7</v>
      </c>
      <c r="AV42" s="85">
        <v>12</v>
      </c>
      <c r="AW42" s="85">
        <v>4</v>
      </c>
      <c r="AX42" s="85">
        <v>0</v>
      </c>
      <c r="AY42" s="85">
        <v>1</v>
      </c>
      <c r="AZ42" s="85">
        <v>4</v>
      </c>
      <c r="BA42" s="85">
        <v>3</v>
      </c>
      <c r="BB42" s="85">
        <v>81</v>
      </c>
      <c r="BC42" s="83">
        <v>80</v>
      </c>
      <c r="BD42" s="85">
        <v>252</v>
      </c>
      <c r="BE42" s="85">
        <v>1</v>
      </c>
      <c r="BF42" s="85">
        <v>0</v>
      </c>
      <c r="BG42" s="85">
        <v>111</v>
      </c>
      <c r="BH42" s="85">
        <v>4</v>
      </c>
      <c r="BI42" s="85">
        <v>11</v>
      </c>
      <c r="BJ42" s="85">
        <v>75</v>
      </c>
      <c r="BK42" s="85">
        <v>1</v>
      </c>
      <c r="BL42" s="85">
        <v>4</v>
      </c>
      <c r="BM42" s="85">
        <v>13</v>
      </c>
      <c r="BN42" s="85">
        <v>471</v>
      </c>
      <c r="BO42" s="83">
        <v>472</v>
      </c>
      <c r="BP42" s="85">
        <v>156</v>
      </c>
      <c r="BQ42" s="85">
        <v>5</v>
      </c>
      <c r="BR42" s="85">
        <v>0</v>
      </c>
      <c r="BS42" s="85">
        <v>66</v>
      </c>
      <c r="BT42" s="85">
        <v>1</v>
      </c>
      <c r="BU42" s="85">
        <v>3</v>
      </c>
      <c r="BV42" s="85">
        <v>0</v>
      </c>
      <c r="BW42" s="85">
        <v>3</v>
      </c>
      <c r="BX42" s="85">
        <v>6</v>
      </c>
      <c r="BY42" s="85">
        <v>22</v>
      </c>
      <c r="BZ42" s="81"/>
      <c r="CA42" s="85">
        <v>262</v>
      </c>
      <c r="CB42" s="83">
        <v>262</v>
      </c>
      <c r="CC42" s="81">
        <v>88</v>
      </c>
      <c r="CD42" s="81">
        <v>54</v>
      </c>
      <c r="CE42" s="81">
        <v>142</v>
      </c>
      <c r="CF42" s="81">
        <v>142</v>
      </c>
    </row>
    <row r="43" spans="1:84">
      <c r="A43" s="82">
        <v>36281</v>
      </c>
      <c r="B43" s="81">
        <v>308</v>
      </c>
      <c r="C43" s="81">
        <v>3</v>
      </c>
      <c r="D43" s="81">
        <v>0</v>
      </c>
      <c r="E43" s="81">
        <v>0</v>
      </c>
      <c r="F43" s="81">
        <v>173</v>
      </c>
      <c r="G43" s="81">
        <v>7</v>
      </c>
      <c r="H43" s="81">
        <v>20</v>
      </c>
      <c r="I43" s="81">
        <v>2</v>
      </c>
      <c r="J43" s="81">
        <v>3</v>
      </c>
      <c r="K43" s="81">
        <v>7</v>
      </c>
      <c r="L43" s="81">
        <v>27</v>
      </c>
      <c r="M43" s="81">
        <v>549</v>
      </c>
      <c r="N43" s="83">
        <v>550</v>
      </c>
      <c r="O43" s="85">
        <v>308</v>
      </c>
      <c r="P43" s="85">
        <v>1</v>
      </c>
      <c r="Q43" s="85">
        <v>123</v>
      </c>
      <c r="R43" s="85">
        <v>30</v>
      </c>
      <c r="S43" s="85">
        <v>0</v>
      </c>
      <c r="T43" s="85">
        <v>10</v>
      </c>
      <c r="U43" s="85">
        <v>3</v>
      </c>
      <c r="V43" s="85">
        <v>2</v>
      </c>
      <c r="W43" s="85">
        <v>0</v>
      </c>
      <c r="X43" s="85">
        <v>1</v>
      </c>
      <c r="Y43" s="85">
        <v>478</v>
      </c>
      <c r="Z43" s="83">
        <v>478</v>
      </c>
      <c r="AA43" s="81">
        <v>57</v>
      </c>
      <c r="AB43" s="81">
        <v>1</v>
      </c>
      <c r="AC43" s="81">
        <v>0</v>
      </c>
      <c r="AD43" s="81">
        <v>0</v>
      </c>
      <c r="AE43" s="81">
        <v>72</v>
      </c>
      <c r="AF43" s="81">
        <v>3</v>
      </c>
      <c r="AG43" s="81">
        <v>9</v>
      </c>
      <c r="AH43" s="81">
        <v>1</v>
      </c>
      <c r="AI43" s="81">
        <v>0</v>
      </c>
      <c r="AJ43" s="81">
        <v>2</v>
      </c>
      <c r="AK43" s="81">
        <v>3</v>
      </c>
      <c r="AL43" s="81">
        <v>0</v>
      </c>
      <c r="AM43" s="81"/>
      <c r="AN43" s="81">
        <v>147</v>
      </c>
      <c r="AO43" s="83">
        <v>148</v>
      </c>
      <c r="AP43" s="81">
        <v>21</v>
      </c>
      <c r="AQ43" s="81">
        <v>1</v>
      </c>
      <c r="AR43" s="81">
        <v>1</v>
      </c>
      <c r="AS43" s="81">
        <v>16</v>
      </c>
      <c r="AT43" s="81">
        <v>3</v>
      </c>
      <c r="AU43" s="81">
        <v>8</v>
      </c>
      <c r="AV43" s="81">
        <v>11</v>
      </c>
      <c r="AW43" s="81">
        <v>5</v>
      </c>
      <c r="AX43" s="81">
        <v>0</v>
      </c>
      <c r="AY43" s="81">
        <v>1</v>
      </c>
      <c r="AZ43" s="81">
        <v>4</v>
      </c>
      <c r="BA43" s="81">
        <v>4</v>
      </c>
      <c r="BB43" s="81">
        <v>76</v>
      </c>
      <c r="BC43" s="83">
        <v>75</v>
      </c>
      <c r="BD43" s="81">
        <v>235</v>
      </c>
      <c r="BE43" s="81">
        <v>2</v>
      </c>
      <c r="BF43" s="81">
        <v>0</v>
      </c>
      <c r="BG43" s="81">
        <v>101</v>
      </c>
      <c r="BH43" s="81">
        <v>3</v>
      </c>
      <c r="BI43" s="81">
        <v>11</v>
      </c>
      <c r="BJ43" s="81">
        <v>75</v>
      </c>
      <c r="BK43" s="81">
        <v>1</v>
      </c>
      <c r="BL43" s="81">
        <v>4</v>
      </c>
      <c r="BM43" s="81">
        <v>35</v>
      </c>
      <c r="BN43" s="81">
        <v>466</v>
      </c>
      <c r="BO43" s="83">
        <v>467</v>
      </c>
      <c r="BP43" s="81">
        <v>149</v>
      </c>
      <c r="BQ43" s="81">
        <v>5</v>
      </c>
      <c r="BR43" s="81">
        <v>0</v>
      </c>
      <c r="BS43" s="81">
        <v>70</v>
      </c>
      <c r="BT43" s="81">
        <v>1</v>
      </c>
      <c r="BU43" s="81">
        <v>3</v>
      </c>
      <c r="BV43" s="81">
        <v>0</v>
      </c>
      <c r="BW43" s="81">
        <v>3</v>
      </c>
      <c r="BX43" s="81">
        <v>6</v>
      </c>
      <c r="BY43" s="81">
        <v>36</v>
      </c>
      <c r="BZ43" s="81"/>
      <c r="CA43" s="81">
        <v>272</v>
      </c>
      <c r="CB43" s="83">
        <v>273</v>
      </c>
      <c r="CC43" s="81">
        <v>92</v>
      </c>
      <c r="CD43" s="81">
        <v>57</v>
      </c>
      <c r="CE43" s="81">
        <v>149</v>
      </c>
      <c r="CF43" s="81">
        <v>149</v>
      </c>
    </row>
    <row r="44" spans="1:84">
      <c r="A44" s="82">
        <v>36312</v>
      </c>
      <c r="B44" s="81">
        <v>298</v>
      </c>
      <c r="C44" s="81">
        <v>3</v>
      </c>
      <c r="D44" s="81">
        <v>0</v>
      </c>
      <c r="E44" s="81">
        <v>0</v>
      </c>
      <c r="F44" s="81">
        <v>188</v>
      </c>
      <c r="G44" s="81">
        <v>7</v>
      </c>
      <c r="H44" s="81">
        <v>21</v>
      </c>
      <c r="I44" s="81">
        <v>4</v>
      </c>
      <c r="J44" s="81">
        <v>3</v>
      </c>
      <c r="K44" s="81">
        <v>5</v>
      </c>
      <c r="L44" s="81">
        <v>27</v>
      </c>
      <c r="M44" s="81">
        <v>557</v>
      </c>
      <c r="N44" s="83">
        <v>556</v>
      </c>
      <c r="O44" s="85">
        <v>258</v>
      </c>
      <c r="P44" s="85">
        <v>1</v>
      </c>
      <c r="Q44" s="85">
        <v>124</v>
      </c>
      <c r="R44" s="85">
        <v>30</v>
      </c>
      <c r="S44" s="85">
        <v>4</v>
      </c>
      <c r="T44" s="85">
        <v>13</v>
      </c>
      <c r="U44" s="85">
        <v>3</v>
      </c>
      <c r="V44" s="85">
        <v>4</v>
      </c>
      <c r="W44" s="85">
        <v>0</v>
      </c>
      <c r="X44" s="85">
        <v>1</v>
      </c>
      <c r="Y44" s="85">
        <v>439</v>
      </c>
      <c r="Z44" s="83">
        <v>438</v>
      </c>
      <c r="AA44" s="81">
        <v>56</v>
      </c>
      <c r="AB44" s="81">
        <v>1</v>
      </c>
      <c r="AC44" s="81">
        <v>0</v>
      </c>
      <c r="AD44" s="81">
        <v>0</v>
      </c>
      <c r="AE44" s="81">
        <v>79</v>
      </c>
      <c r="AF44" s="81">
        <v>4</v>
      </c>
      <c r="AG44" s="81">
        <v>10</v>
      </c>
      <c r="AH44" s="81">
        <v>3</v>
      </c>
      <c r="AI44" s="81">
        <v>0</v>
      </c>
      <c r="AJ44" s="81">
        <v>2</v>
      </c>
      <c r="AK44" s="81">
        <v>2</v>
      </c>
      <c r="AL44" s="81">
        <v>0</v>
      </c>
      <c r="AM44" s="81"/>
      <c r="AN44" s="81">
        <v>155</v>
      </c>
      <c r="AO44" s="83">
        <v>157</v>
      </c>
      <c r="AP44" s="81">
        <v>19</v>
      </c>
      <c r="AQ44" s="81">
        <v>1</v>
      </c>
      <c r="AR44" s="81">
        <v>1</v>
      </c>
      <c r="AS44" s="81">
        <v>20</v>
      </c>
      <c r="AT44" s="81">
        <v>4</v>
      </c>
      <c r="AU44" s="81">
        <v>8</v>
      </c>
      <c r="AV44" s="81">
        <v>11</v>
      </c>
      <c r="AW44" s="81">
        <v>8</v>
      </c>
      <c r="AX44" s="81">
        <v>0</v>
      </c>
      <c r="AY44" s="81">
        <v>2</v>
      </c>
      <c r="AZ44" s="81">
        <v>4</v>
      </c>
      <c r="BA44" s="81">
        <v>3</v>
      </c>
      <c r="BB44" s="81">
        <v>81</v>
      </c>
      <c r="BC44" s="83">
        <v>81</v>
      </c>
      <c r="BD44" s="81">
        <v>229</v>
      </c>
      <c r="BE44" s="81">
        <v>2</v>
      </c>
      <c r="BF44" s="81">
        <v>0</v>
      </c>
      <c r="BG44" s="81">
        <v>110</v>
      </c>
      <c r="BH44" s="81">
        <v>3</v>
      </c>
      <c r="BI44" s="81">
        <v>12</v>
      </c>
      <c r="BJ44" s="81">
        <v>79</v>
      </c>
      <c r="BK44" s="81">
        <v>1</v>
      </c>
      <c r="BL44" s="81">
        <v>3</v>
      </c>
      <c r="BM44" s="81">
        <v>35</v>
      </c>
      <c r="BN44" s="81">
        <v>474</v>
      </c>
      <c r="BO44" s="83">
        <v>474</v>
      </c>
      <c r="BP44" s="81">
        <v>138</v>
      </c>
      <c r="BQ44" s="81">
        <v>5</v>
      </c>
      <c r="BR44" s="81">
        <v>0</v>
      </c>
      <c r="BS44" s="81">
        <v>70</v>
      </c>
      <c r="BT44" s="81">
        <v>1</v>
      </c>
      <c r="BU44" s="81">
        <v>3</v>
      </c>
      <c r="BV44" s="81">
        <v>0</v>
      </c>
      <c r="BW44" s="81">
        <v>3</v>
      </c>
      <c r="BX44" s="81">
        <v>6</v>
      </c>
      <c r="BY44" s="81">
        <v>30</v>
      </c>
      <c r="BZ44" s="81"/>
      <c r="CA44" s="81">
        <v>256</v>
      </c>
      <c r="CB44" s="83">
        <v>256</v>
      </c>
      <c r="CC44" s="81">
        <v>81</v>
      </c>
      <c r="CD44" s="81">
        <v>57</v>
      </c>
      <c r="CE44" s="81">
        <v>139</v>
      </c>
      <c r="CF44" s="81">
        <v>138</v>
      </c>
    </row>
    <row r="45" spans="1:84">
      <c r="A45" s="82">
        <v>36342</v>
      </c>
      <c r="B45" s="81">
        <v>311</v>
      </c>
      <c r="C45" s="81">
        <v>3</v>
      </c>
      <c r="D45" s="81">
        <v>0</v>
      </c>
      <c r="E45" s="81">
        <v>0</v>
      </c>
      <c r="F45" s="81">
        <v>205</v>
      </c>
      <c r="G45" s="81">
        <v>8</v>
      </c>
      <c r="H45" s="81">
        <v>20</v>
      </c>
      <c r="I45" s="81">
        <v>2</v>
      </c>
      <c r="J45" s="81">
        <v>3</v>
      </c>
      <c r="K45" s="81">
        <v>6</v>
      </c>
      <c r="L45" s="81">
        <v>28</v>
      </c>
      <c r="M45" s="81">
        <v>588</v>
      </c>
      <c r="N45" s="83">
        <v>586</v>
      </c>
      <c r="O45" s="85">
        <v>318</v>
      </c>
      <c r="P45" s="85">
        <v>1</v>
      </c>
      <c r="Q45" s="85">
        <v>128</v>
      </c>
      <c r="R45" s="85">
        <v>31</v>
      </c>
      <c r="S45" s="85">
        <v>0</v>
      </c>
      <c r="T45" s="85">
        <v>16</v>
      </c>
      <c r="U45" s="85">
        <v>0</v>
      </c>
      <c r="V45" s="85">
        <v>6</v>
      </c>
      <c r="W45" s="85">
        <v>0</v>
      </c>
      <c r="X45" s="85">
        <v>1</v>
      </c>
      <c r="Y45" s="85">
        <v>500</v>
      </c>
      <c r="Z45" s="83">
        <v>501</v>
      </c>
      <c r="AA45" s="81">
        <v>58</v>
      </c>
      <c r="AB45" s="81">
        <v>1</v>
      </c>
      <c r="AC45" s="81">
        <v>0</v>
      </c>
      <c r="AD45" s="81">
        <v>0</v>
      </c>
      <c r="AE45" s="81">
        <v>86</v>
      </c>
      <c r="AF45" s="81">
        <v>4</v>
      </c>
      <c r="AG45" s="81">
        <v>9</v>
      </c>
      <c r="AH45" s="81">
        <v>1</v>
      </c>
      <c r="AI45" s="81">
        <v>0</v>
      </c>
      <c r="AJ45" s="81">
        <v>2</v>
      </c>
      <c r="AK45" s="81">
        <v>2</v>
      </c>
      <c r="AL45" s="81">
        <v>0</v>
      </c>
      <c r="AM45" s="81"/>
      <c r="AN45" s="81">
        <v>163</v>
      </c>
      <c r="AO45" s="83">
        <v>163</v>
      </c>
      <c r="AP45" s="81">
        <v>19</v>
      </c>
      <c r="AQ45" s="81">
        <v>2</v>
      </c>
      <c r="AR45" s="81">
        <v>1</v>
      </c>
      <c r="AS45" s="81">
        <v>24</v>
      </c>
      <c r="AT45" s="81">
        <v>3</v>
      </c>
      <c r="AU45" s="81">
        <v>9</v>
      </c>
      <c r="AV45" s="81">
        <v>11</v>
      </c>
      <c r="AW45" s="81">
        <v>8</v>
      </c>
      <c r="AX45" s="81">
        <v>0</v>
      </c>
      <c r="AY45" s="81">
        <v>2</v>
      </c>
      <c r="AZ45" s="81">
        <v>4</v>
      </c>
      <c r="BA45" s="81">
        <v>3</v>
      </c>
      <c r="BB45" s="81">
        <v>86</v>
      </c>
      <c r="BC45" s="83">
        <v>86</v>
      </c>
      <c r="BD45" s="81">
        <v>236</v>
      </c>
      <c r="BE45" s="81">
        <v>2</v>
      </c>
      <c r="BF45" s="81">
        <v>0</v>
      </c>
      <c r="BG45" s="81">
        <v>119</v>
      </c>
      <c r="BH45" s="81">
        <v>4</v>
      </c>
      <c r="BI45" s="81">
        <v>11</v>
      </c>
      <c r="BJ45" s="81">
        <v>77</v>
      </c>
      <c r="BK45" s="81">
        <v>1</v>
      </c>
      <c r="BL45" s="81">
        <v>4</v>
      </c>
      <c r="BM45" s="81">
        <v>37</v>
      </c>
      <c r="BN45" s="81">
        <v>491</v>
      </c>
      <c r="BO45" s="83">
        <v>491</v>
      </c>
      <c r="BP45" s="81">
        <v>155</v>
      </c>
      <c r="BQ45" s="81">
        <v>6</v>
      </c>
      <c r="BR45" s="81">
        <v>0</v>
      </c>
      <c r="BS45" s="81">
        <v>86</v>
      </c>
      <c r="BT45" s="81">
        <v>1</v>
      </c>
      <c r="BU45" s="81">
        <v>3</v>
      </c>
      <c r="BV45" s="81">
        <v>0</v>
      </c>
      <c r="BW45" s="81">
        <v>2</v>
      </c>
      <c r="BX45" s="81">
        <v>6</v>
      </c>
      <c r="BY45" s="81">
        <v>25</v>
      </c>
      <c r="BZ45" s="81"/>
      <c r="CA45" s="81">
        <v>283</v>
      </c>
      <c r="CB45" s="83">
        <v>284</v>
      </c>
      <c r="CC45" s="81">
        <v>94</v>
      </c>
      <c r="CD45" s="81">
        <v>73</v>
      </c>
      <c r="CE45" s="81">
        <v>167</v>
      </c>
      <c r="CF45" s="81">
        <v>167</v>
      </c>
    </row>
    <row r="46" spans="1:84">
      <c r="A46" s="82">
        <v>36373</v>
      </c>
      <c r="B46" s="81">
        <v>273</v>
      </c>
      <c r="C46" s="81">
        <v>3</v>
      </c>
      <c r="D46" s="81">
        <v>0</v>
      </c>
      <c r="E46" s="81">
        <v>0</v>
      </c>
      <c r="F46" s="81">
        <v>146</v>
      </c>
      <c r="G46" s="81">
        <v>6</v>
      </c>
      <c r="H46" s="81">
        <v>19</v>
      </c>
      <c r="I46" s="81">
        <v>2</v>
      </c>
      <c r="J46" s="81">
        <v>3</v>
      </c>
      <c r="K46" s="81">
        <v>3</v>
      </c>
      <c r="L46" s="81">
        <v>26</v>
      </c>
      <c r="M46" s="81">
        <v>480</v>
      </c>
      <c r="N46" s="83">
        <v>481</v>
      </c>
      <c r="O46" s="85">
        <v>287</v>
      </c>
      <c r="P46" s="85">
        <v>0</v>
      </c>
      <c r="Q46" s="85">
        <v>129</v>
      </c>
      <c r="R46" s="85">
        <v>28</v>
      </c>
      <c r="S46" s="85">
        <v>5</v>
      </c>
      <c r="T46" s="85">
        <v>15</v>
      </c>
      <c r="U46" s="85">
        <v>0</v>
      </c>
      <c r="V46" s="85">
        <v>6</v>
      </c>
      <c r="W46" s="85">
        <v>0</v>
      </c>
      <c r="X46" s="85">
        <v>3</v>
      </c>
      <c r="Y46" s="85">
        <v>473</v>
      </c>
      <c r="Z46" s="83">
        <v>473</v>
      </c>
      <c r="AA46" s="81">
        <v>51</v>
      </c>
      <c r="AB46" s="81">
        <v>1</v>
      </c>
      <c r="AC46" s="81">
        <v>0</v>
      </c>
      <c r="AD46" s="81">
        <v>0</v>
      </c>
      <c r="AE46" s="81">
        <v>62</v>
      </c>
      <c r="AF46" s="81">
        <v>3</v>
      </c>
      <c r="AG46" s="81">
        <v>9</v>
      </c>
      <c r="AH46" s="81">
        <v>1</v>
      </c>
      <c r="AI46" s="81">
        <v>0</v>
      </c>
      <c r="AJ46" s="81">
        <v>2</v>
      </c>
      <c r="AK46" s="81">
        <v>1</v>
      </c>
      <c r="AL46" s="81">
        <v>0</v>
      </c>
      <c r="AM46" s="81"/>
      <c r="AN46" s="81">
        <v>128</v>
      </c>
      <c r="AO46" s="83">
        <v>130</v>
      </c>
      <c r="AP46" s="81">
        <v>20</v>
      </c>
      <c r="AQ46" s="81">
        <v>2</v>
      </c>
      <c r="AR46" s="81">
        <v>1</v>
      </c>
      <c r="AS46" s="81">
        <v>23</v>
      </c>
      <c r="AT46" s="81">
        <v>3</v>
      </c>
      <c r="AU46" s="81">
        <v>9</v>
      </c>
      <c r="AV46" s="81">
        <v>12</v>
      </c>
      <c r="AW46" s="81">
        <v>7</v>
      </c>
      <c r="AX46" s="81">
        <v>0</v>
      </c>
      <c r="AY46" s="81">
        <v>1</v>
      </c>
      <c r="AZ46" s="81">
        <v>3</v>
      </c>
      <c r="BA46" s="81">
        <v>4</v>
      </c>
      <c r="BB46" s="81">
        <v>86</v>
      </c>
      <c r="BC46" s="83">
        <v>85</v>
      </c>
      <c r="BD46" s="81">
        <v>209</v>
      </c>
      <c r="BE46" s="81">
        <v>1</v>
      </c>
      <c r="BF46" s="81">
        <v>0</v>
      </c>
      <c r="BG46" s="81">
        <v>85</v>
      </c>
      <c r="BH46" s="81">
        <v>3</v>
      </c>
      <c r="BI46" s="81">
        <v>10</v>
      </c>
      <c r="BJ46" s="81">
        <v>70</v>
      </c>
      <c r="BK46" s="81">
        <v>1</v>
      </c>
      <c r="BL46" s="81">
        <v>2</v>
      </c>
      <c r="BM46" s="81">
        <v>40</v>
      </c>
      <c r="BN46" s="81">
        <v>422</v>
      </c>
      <c r="BO46" s="83">
        <v>421</v>
      </c>
      <c r="BP46" s="81">
        <v>133</v>
      </c>
      <c r="BQ46" s="81">
        <v>6</v>
      </c>
      <c r="BR46" s="81">
        <v>0</v>
      </c>
      <c r="BS46" s="81">
        <v>77</v>
      </c>
      <c r="BT46" s="81">
        <v>1</v>
      </c>
      <c r="BU46" s="81">
        <v>2</v>
      </c>
      <c r="BV46" s="81">
        <v>0</v>
      </c>
      <c r="BW46" s="81">
        <v>2</v>
      </c>
      <c r="BX46" s="81">
        <v>4</v>
      </c>
      <c r="BY46" s="81">
        <v>35</v>
      </c>
      <c r="BZ46" s="81"/>
      <c r="CA46" s="81">
        <v>260</v>
      </c>
      <c r="CB46" s="83">
        <v>260</v>
      </c>
      <c r="CC46" s="81">
        <v>78</v>
      </c>
      <c r="CD46" s="81">
        <v>64</v>
      </c>
      <c r="CE46" s="81">
        <v>142</v>
      </c>
      <c r="CF46" s="81">
        <v>142</v>
      </c>
    </row>
    <row r="47" spans="1:84">
      <c r="A47" s="82">
        <v>36404</v>
      </c>
      <c r="B47" s="81">
        <v>331</v>
      </c>
      <c r="C47" s="81">
        <v>3</v>
      </c>
      <c r="D47" s="81">
        <v>0</v>
      </c>
      <c r="E47" s="81">
        <v>0</v>
      </c>
      <c r="F47" s="81">
        <v>186</v>
      </c>
      <c r="G47" s="81">
        <v>7</v>
      </c>
      <c r="H47" s="81">
        <v>17</v>
      </c>
      <c r="I47" s="81">
        <v>4</v>
      </c>
      <c r="J47" s="81">
        <v>2</v>
      </c>
      <c r="K47" s="81">
        <v>8</v>
      </c>
      <c r="L47" s="81">
        <v>28</v>
      </c>
      <c r="M47" s="81">
        <v>586</v>
      </c>
      <c r="N47" s="83">
        <v>586</v>
      </c>
      <c r="O47" s="85">
        <v>342</v>
      </c>
      <c r="P47" s="85">
        <v>2</v>
      </c>
      <c r="Q47" s="85">
        <v>129</v>
      </c>
      <c r="R47" s="85">
        <v>27</v>
      </c>
      <c r="S47" s="85">
        <v>6</v>
      </c>
      <c r="T47" s="85">
        <v>16</v>
      </c>
      <c r="U47" s="85">
        <v>2</v>
      </c>
      <c r="V47" s="85">
        <v>7</v>
      </c>
      <c r="W47" s="85">
        <v>0</v>
      </c>
      <c r="X47" s="85">
        <v>2</v>
      </c>
      <c r="Y47" s="85">
        <v>532</v>
      </c>
      <c r="Z47" s="83">
        <v>533</v>
      </c>
      <c r="AA47" s="85">
        <v>62</v>
      </c>
      <c r="AB47" s="85">
        <v>1</v>
      </c>
      <c r="AC47" s="85">
        <v>0</v>
      </c>
      <c r="AD47" s="85">
        <v>0</v>
      </c>
      <c r="AE47" s="85">
        <v>77</v>
      </c>
      <c r="AF47" s="85">
        <v>3</v>
      </c>
      <c r="AG47" s="85">
        <v>8</v>
      </c>
      <c r="AH47" s="85">
        <v>2</v>
      </c>
      <c r="AI47" s="85">
        <v>0</v>
      </c>
      <c r="AJ47" s="85">
        <v>1</v>
      </c>
      <c r="AK47" s="85">
        <v>3</v>
      </c>
      <c r="AL47" s="85">
        <v>0</v>
      </c>
      <c r="AM47" s="85"/>
      <c r="AN47" s="85">
        <v>157</v>
      </c>
      <c r="AO47" s="83">
        <v>157</v>
      </c>
      <c r="AP47" s="85">
        <v>20</v>
      </c>
      <c r="AQ47" s="85">
        <v>1</v>
      </c>
      <c r="AR47" s="85">
        <v>1</v>
      </c>
      <c r="AS47" s="85">
        <v>21</v>
      </c>
      <c r="AT47" s="85">
        <v>3</v>
      </c>
      <c r="AU47" s="85">
        <v>9</v>
      </c>
      <c r="AV47" s="85">
        <v>12</v>
      </c>
      <c r="AW47" s="85">
        <v>7</v>
      </c>
      <c r="AX47" s="85">
        <v>0</v>
      </c>
      <c r="AY47" s="85">
        <v>0</v>
      </c>
      <c r="AZ47" s="85">
        <v>4</v>
      </c>
      <c r="BA47" s="85">
        <v>3</v>
      </c>
      <c r="BB47" s="85">
        <v>83</v>
      </c>
      <c r="BC47" s="83">
        <v>81</v>
      </c>
      <c r="BD47" s="85">
        <v>254</v>
      </c>
      <c r="BE47" s="85">
        <v>2</v>
      </c>
      <c r="BF47" s="85">
        <v>0</v>
      </c>
      <c r="BG47" s="85">
        <v>109</v>
      </c>
      <c r="BH47" s="85">
        <v>3</v>
      </c>
      <c r="BI47" s="85">
        <v>10</v>
      </c>
      <c r="BJ47" s="85">
        <v>64</v>
      </c>
      <c r="BK47" s="85">
        <v>1</v>
      </c>
      <c r="BL47" s="85">
        <v>5</v>
      </c>
      <c r="BM47" s="85">
        <v>18</v>
      </c>
      <c r="BN47" s="85">
        <v>465</v>
      </c>
      <c r="BO47" s="83">
        <v>466</v>
      </c>
      <c r="BP47" s="85">
        <v>141</v>
      </c>
      <c r="BQ47" s="85">
        <v>6</v>
      </c>
      <c r="BR47" s="85">
        <v>0</v>
      </c>
      <c r="BS47" s="85">
        <v>75</v>
      </c>
      <c r="BT47" s="85">
        <v>1</v>
      </c>
      <c r="BU47" s="85">
        <v>2</v>
      </c>
      <c r="BV47" s="85">
        <v>0</v>
      </c>
      <c r="BW47" s="85">
        <v>3</v>
      </c>
      <c r="BX47" s="85">
        <v>5</v>
      </c>
      <c r="BY47" s="85">
        <v>41</v>
      </c>
      <c r="BZ47" s="85"/>
      <c r="CA47" s="85">
        <v>274</v>
      </c>
      <c r="CB47" s="83">
        <v>274</v>
      </c>
      <c r="CC47" s="81">
        <v>86</v>
      </c>
      <c r="CD47" s="81">
        <v>62</v>
      </c>
      <c r="CE47" s="81">
        <v>148</v>
      </c>
      <c r="CF47" s="81">
        <v>148</v>
      </c>
    </row>
    <row r="48" spans="1:84">
      <c r="A48" s="82">
        <v>36434</v>
      </c>
      <c r="B48" s="81">
        <v>354</v>
      </c>
      <c r="C48" s="81">
        <v>3</v>
      </c>
      <c r="D48" s="81">
        <v>0</v>
      </c>
      <c r="E48" s="81">
        <v>0</v>
      </c>
      <c r="F48" s="81">
        <v>190</v>
      </c>
      <c r="G48" s="81">
        <v>7</v>
      </c>
      <c r="H48" s="81">
        <v>17</v>
      </c>
      <c r="I48" s="81">
        <v>1</v>
      </c>
      <c r="J48" s="81">
        <v>2</v>
      </c>
      <c r="K48" s="81">
        <v>5</v>
      </c>
      <c r="L48" s="81">
        <v>30</v>
      </c>
      <c r="M48" s="81">
        <v>610</v>
      </c>
      <c r="N48" s="83">
        <v>609</v>
      </c>
      <c r="O48" s="85">
        <v>310</v>
      </c>
      <c r="P48" s="85">
        <v>1</v>
      </c>
      <c r="Q48" s="85">
        <v>128</v>
      </c>
      <c r="R48" s="85">
        <v>28</v>
      </c>
      <c r="S48" s="85">
        <v>5</v>
      </c>
      <c r="T48" s="85">
        <v>16</v>
      </c>
      <c r="U48" s="85">
        <v>6</v>
      </c>
      <c r="V48" s="85">
        <v>4</v>
      </c>
      <c r="W48" s="85">
        <v>0</v>
      </c>
      <c r="X48" s="85">
        <v>1</v>
      </c>
      <c r="Y48" s="85">
        <v>499</v>
      </c>
      <c r="Z48" s="83">
        <v>499</v>
      </c>
      <c r="AA48" s="81">
        <v>67</v>
      </c>
      <c r="AB48" s="81">
        <v>1</v>
      </c>
      <c r="AC48" s="81">
        <v>0</v>
      </c>
      <c r="AD48" s="81">
        <v>0</v>
      </c>
      <c r="AE48" s="81">
        <v>79</v>
      </c>
      <c r="AF48" s="81">
        <v>3</v>
      </c>
      <c r="AG48" s="81">
        <v>8</v>
      </c>
      <c r="AH48" s="81">
        <v>0</v>
      </c>
      <c r="AI48" s="81">
        <v>0</v>
      </c>
      <c r="AJ48" s="81">
        <v>1</v>
      </c>
      <c r="AK48" s="81">
        <v>2</v>
      </c>
      <c r="AL48" s="81">
        <v>0</v>
      </c>
      <c r="AM48" s="81"/>
      <c r="AN48" s="81">
        <v>161</v>
      </c>
      <c r="AO48" s="83">
        <v>161</v>
      </c>
      <c r="AP48" s="81">
        <v>24</v>
      </c>
      <c r="AQ48" s="81">
        <v>1</v>
      </c>
      <c r="AR48" s="81">
        <v>1</v>
      </c>
      <c r="AS48" s="81">
        <v>22</v>
      </c>
      <c r="AT48" s="81">
        <v>3</v>
      </c>
      <c r="AU48" s="81">
        <v>9</v>
      </c>
      <c r="AV48" s="81">
        <v>8</v>
      </c>
      <c r="AW48" s="81">
        <v>5</v>
      </c>
      <c r="AX48" s="81">
        <v>0</v>
      </c>
      <c r="AY48" s="81">
        <v>1</v>
      </c>
      <c r="AZ48" s="81">
        <v>4</v>
      </c>
      <c r="BA48" s="81">
        <v>4</v>
      </c>
      <c r="BB48" s="81">
        <v>80</v>
      </c>
      <c r="BC48" s="83">
        <v>82</v>
      </c>
      <c r="BD48" s="81">
        <v>273</v>
      </c>
      <c r="BE48" s="81">
        <v>1</v>
      </c>
      <c r="BF48" s="81">
        <v>0</v>
      </c>
      <c r="BG48" s="81">
        <v>109</v>
      </c>
      <c r="BH48" s="81">
        <v>3</v>
      </c>
      <c r="BI48" s="81">
        <v>9</v>
      </c>
      <c r="BJ48" s="81">
        <v>67</v>
      </c>
      <c r="BK48" s="81">
        <v>1</v>
      </c>
      <c r="BL48" s="81">
        <v>3</v>
      </c>
      <c r="BM48" s="81">
        <v>39</v>
      </c>
      <c r="BN48" s="81">
        <v>506</v>
      </c>
      <c r="BO48" s="83">
        <v>505</v>
      </c>
      <c r="BP48" s="81">
        <v>164</v>
      </c>
      <c r="BQ48" s="81">
        <v>4</v>
      </c>
      <c r="BR48" s="81">
        <v>0</v>
      </c>
      <c r="BS48" s="81">
        <v>82</v>
      </c>
      <c r="BT48" s="81">
        <v>1</v>
      </c>
      <c r="BU48" s="81">
        <v>2</v>
      </c>
      <c r="BV48" s="81">
        <v>0</v>
      </c>
      <c r="BW48" s="81">
        <v>2</v>
      </c>
      <c r="BX48" s="81">
        <v>5</v>
      </c>
      <c r="BY48" s="81">
        <v>65</v>
      </c>
      <c r="BZ48" s="81"/>
      <c r="CA48" s="81">
        <v>326</v>
      </c>
      <c r="CB48" s="83">
        <v>325</v>
      </c>
      <c r="CC48" s="81">
        <v>111</v>
      </c>
      <c r="CD48" s="81">
        <v>69</v>
      </c>
      <c r="CE48" s="81">
        <v>180</v>
      </c>
      <c r="CF48" s="81">
        <v>180</v>
      </c>
    </row>
    <row r="49" spans="1:84">
      <c r="A49" s="82">
        <v>36465</v>
      </c>
      <c r="B49" s="81">
        <v>329</v>
      </c>
      <c r="C49" s="81">
        <v>3</v>
      </c>
      <c r="D49" s="81">
        <v>0</v>
      </c>
      <c r="E49" s="81">
        <v>1</v>
      </c>
      <c r="F49" s="81">
        <v>218</v>
      </c>
      <c r="G49" s="81">
        <v>8</v>
      </c>
      <c r="H49" s="81">
        <v>13</v>
      </c>
      <c r="I49" s="81">
        <v>5</v>
      </c>
      <c r="J49" s="81">
        <v>4</v>
      </c>
      <c r="K49" s="81">
        <v>6</v>
      </c>
      <c r="L49" s="81">
        <v>27</v>
      </c>
      <c r="M49" s="81">
        <v>615</v>
      </c>
      <c r="N49" s="83">
        <v>614</v>
      </c>
      <c r="O49" s="85">
        <v>249</v>
      </c>
      <c r="P49" s="85">
        <v>2</v>
      </c>
      <c r="Q49" s="85">
        <v>125</v>
      </c>
      <c r="R49" s="85">
        <v>25</v>
      </c>
      <c r="S49" s="85">
        <v>10</v>
      </c>
      <c r="T49" s="85">
        <v>16</v>
      </c>
      <c r="U49" s="85">
        <v>2</v>
      </c>
      <c r="V49" s="85">
        <v>1</v>
      </c>
      <c r="W49" s="85">
        <v>0</v>
      </c>
      <c r="X49" s="85">
        <v>1</v>
      </c>
      <c r="Y49" s="85">
        <v>430</v>
      </c>
      <c r="Z49" s="83">
        <v>431</v>
      </c>
      <c r="AA49" s="81">
        <v>62</v>
      </c>
      <c r="AB49" s="81">
        <v>1</v>
      </c>
      <c r="AC49" s="81">
        <v>0</v>
      </c>
      <c r="AD49" s="81">
        <v>0</v>
      </c>
      <c r="AE49" s="81">
        <v>90</v>
      </c>
      <c r="AF49" s="81">
        <v>4</v>
      </c>
      <c r="AG49" s="81">
        <v>6</v>
      </c>
      <c r="AH49" s="81">
        <v>2</v>
      </c>
      <c r="AI49" s="81">
        <v>0</v>
      </c>
      <c r="AJ49" s="81">
        <v>3</v>
      </c>
      <c r="AK49" s="81">
        <v>2</v>
      </c>
      <c r="AL49" s="81">
        <v>0</v>
      </c>
      <c r="AM49" s="81"/>
      <c r="AN49" s="81">
        <v>170</v>
      </c>
      <c r="AO49" s="83">
        <v>170</v>
      </c>
      <c r="AP49" s="81">
        <v>22</v>
      </c>
      <c r="AQ49" s="81">
        <v>1</v>
      </c>
      <c r="AR49" s="81">
        <v>0</v>
      </c>
      <c r="AS49" s="81">
        <v>27</v>
      </c>
      <c r="AT49" s="81">
        <v>4</v>
      </c>
      <c r="AU49" s="81">
        <v>8</v>
      </c>
      <c r="AV49" s="81">
        <v>8</v>
      </c>
      <c r="AW49" s="81">
        <v>5</v>
      </c>
      <c r="AX49" s="81">
        <v>0</v>
      </c>
      <c r="AY49" s="81">
        <v>1</v>
      </c>
      <c r="AZ49" s="81">
        <v>4</v>
      </c>
      <c r="BA49" s="81">
        <v>3</v>
      </c>
      <c r="BB49" s="81">
        <v>82</v>
      </c>
      <c r="BC49" s="83">
        <v>83</v>
      </c>
      <c r="BD49" s="81">
        <v>253</v>
      </c>
      <c r="BE49" s="81">
        <v>1</v>
      </c>
      <c r="BF49" s="81">
        <v>0</v>
      </c>
      <c r="BG49" s="81">
        <v>125</v>
      </c>
      <c r="BH49" s="81">
        <v>4</v>
      </c>
      <c r="BI49" s="81">
        <v>7</v>
      </c>
      <c r="BJ49" s="81">
        <v>50</v>
      </c>
      <c r="BK49" s="81">
        <v>1</v>
      </c>
      <c r="BL49" s="81">
        <v>4</v>
      </c>
      <c r="BM49" s="81">
        <v>30</v>
      </c>
      <c r="BN49" s="81">
        <v>475</v>
      </c>
      <c r="BO49" s="83">
        <v>475</v>
      </c>
      <c r="BP49" s="81">
        <v>159</v>
      </c>
      <c r="BQ49" s="81">
        <v>4</v>
      </c>
      <c r="BR49" s="81">
        <v>0</v>
      </c>
      <c r="BS49" s="81">
        <v>97</v>
      </c>
      <c r="BT49" s="81">
        <v>1</v>
      </c>
      <c r="BU49" s="81">
        <v>1</v>
      </c>
      <c r="BV49" s="81">
        <v>0</v>
      </c>
      <c r="BW49" s="81">
        <v>2</v>
      </c>
      <c r="BX49" s="81">
        <v>5</v>
      </c>
      <c r="BY49" s="81">
        <v>60</v>
      </c>
      <c r="BZ49" s="81"/>
      <c r="CA49" s="81">
        <v>330</v>
      </c>
      <c r="CB49" s="83">
        <v>329</v>
      </c>
      <c r="CC49" s="81">
        <v>105</v>
      </c>
      <c r="CD49" s="81">
        <v>84</v>
      </c>
      <c r="CE49" s="81">
        <v>189</v>
      </c>
      <c r="CF49" s="81">
        <v>189</v>
      </c>
    </row>
    <row r="50" spans="1:84">
      <c r="A50" s="82">
        <v>36495</v>
      </c>
      <c r="B50" s="81">
        <v>340</v>
      </c>
      <c r="C50" s="81">
        <v>3</v>
      </c>
      <c r="D50" s="81">
        <v>0</v>
      </c>
      <c r="E50" s="81"/>
      <c r="F50" s="81">
        <v>185</v>
      </c>
      <c r="G50" s="81">
        <v>7</v>
      </c>
      <c r="H50" s="81">
        <v>19</v>
      </c>
      <c r="I50" s="81">
        <v>2</v>
      </c>
      <c r="J50" s="81">
        <v>4</v>
      </c>
      <c r="K50" s="81">
        <v>4</v>
      </c>
      <c r="L50" s="81">
        <v>31</v>
      </c>
      <c r="M50" s="81">
        <v>595</v>
      </c>
      <c r="N50" s="83">
        <v>595</v>
      </c>
      <c r="O50" s="85">
        <v>327</v>
      </c>
      <c r="P50" s="85">
        <v>2</v>
      </c>
      <c r="Q50" s="85">
        <v>159</v>
      </c>
      <c r="R50" s="85">
        <v>23</v>
      </c>
      <c r="S50" s="85">
        <v>8</v>
      </c>
      <c r="T50" s="85">
        <v>20</v>
      </c>
      <c r="U50" s="85">
        <v>2</v>
      </c>
      <c r="V50" s="85">
        <v>5</v>
      </c>
      <c r="W50" s="85">
        <v>0</v>
      </c>
      <c r="X50" s="85">
        <v>2</v>
      </c>
      <c r="Y50" s="85">
        <v>546</v>
      </c>
      <c r="Z50" s="83">
        <v>548</v>
      </c>
      <c r="AA50" s="81">
        <v>64</v>
      </c>
      <c r="AB50" s="81">
        <v>1</v>
      </c>
      <c r="AC50" s="81">
        <v>0</v>
      </c>
      <c r="AD50" s="81">
        <v>0</v>
      </c>
      <c r="AE50" s="81">
        <v>76</v>
      </c>
      <c r="AF50" s="81">
        <v>3</v>
      </c>
      <c r="AG50" s="81">
        <v>9</v>
      </c>
      <c r="AH50" s="81">
        <v>1</v>
      </c>
      <c r="AI50" s="81">
        <v>0</v>
      </c>
      <c r="AJ50" s="81">
        <v>2</v>
      </c>
      <c r="AK50" s="81">
        <v>2</v>
      </c>
      <c r="AL50" s="81">
        <v>0</v>
      </c>
      <c r="AM50" s="81"/>
      <c r="AN50" s="81">
        <v>158</v>
      </c>
      <c r="AO50" s="83">
        <v>158</v>
      </c>
      <c r="AP50" s="81">
        <v>23</v>
      </c>
      <c r="AQ50" s="81">
        <v>1</v>
      </c>
      <c r="AR50" s="81">
        <v>0</v>
      </c>
      <c r="AS50" s="81">
        <v>21</v>
      </c>
      <c r="AT50" s="81">
        <v>4</v>
      </c>
      <c r="AU50" s="81">
        <v>8</v>
      </c>
      <c r="AV50" s="81">
        <v>9</v>
      </c>
      <c r="AW50" s="81">
        <v>5</v>
      </c>
      <c r="AX50" s="81">
        <v>0</v>
      </c>
      <c r="AY50" s="81">
        <v>1</v>
      </c>
      <c r="AZ50" s="81">
        <v>3</v>
      </c>
      <c r="BA50" s="81">
        <v>6</v>
      </c>
      <c r="BB50" s="81">
        <v>81</v>
      </c>
      <c r="BC50" s="83">
        <v>81</v>
      </c>
      <c r="BD50" s="81">
        <v>261</v>
      </c>
      <c r="BE50" s="81">
        <v>2</v>
      </c>
      <c r="BF50" s="81">
        <v>0</v>
      </c>
      <c r="BG50" s="81">
        <v>105</v>
      </c>
      <c r="BH50" s="81">
        <v>3</v>
      </c>
      <c r="BI50" s="81">
        <v>11</v>
      </c>
      <c r="BJ50" s="81">
        <v>74</v>
      </c>
      <c r="BK50" s="81">
        <v>1</v>
      </c>
      <c r="BL50" s="81">
        <v>3</v>
      </c>
      <c r="BM50" s="81">
        <v>30</v>
      </c>
      <c r="BN50" s="81">
        <v>490</v>
      </c>
      <c r="BO50" s="83">
        <v>490</v>
      </c>
      <c r="BP50" s="81">
        <v>147</v>
      </c>
      <c r="BQ50" s="81">
        <v>4</v>
      </c>
      <c r="BR50" s="81">
        <v>0</v>
      </c>
      <c r="BS50" s="81">
        <v>83</v>
      </c>
      <c r="BT50" s="81">
        <v>1</v>
      </c>
      <c r="BU50" s="81">
        <v>2</v>
      </c>
      <c r="BV50" s="81">
        <v>0</v>
      </c>
      <c r="BW50" s="81">
        <v>3</v>
      </c>
      <c r="BX50" s="81">
        <v>4</v>
      </c>
      <c r="BY50" s="81">
        <v>60</v>
      </c>
      <c r="BZ50" s="81"/>
      <c r="CA50" s="81">
        <v>303</v>
      </c>
      <c r="CB50" s="83">
        <v>304</v>
      </c>
      <c r="CC50" s="81">
        <v>87</v>
      </c>
      <c r="CD50" s="81">
        <v>68</v>
      </c>
      <c r="CE50" s="81">
        <v>156</v>
      </c>
      <c r="CF50" s="81">
        <v>155</v>
      </c>
    </row>
    <row r="51" spans="1:84">
      <c r="A51" s="82">
        <v>36526</v>
      </c>
      <c r="B51" s="81">
        <v>274</v>
      </c>
      <c r="C51" s="81">
        <v>3</v>
      </c>
      <c r="D51" s="81">
        <v>0</v>
      </c>
      <c r="E51" s="81">
        <v>0</v>
      </c>
      <c r="F51" s="81">
        <v>169</v>
      </c>
      <c r="G51" s="81">
        <v>6</v>
      </c>
      <c r="H51" s="81">
        <v>17</v>
      </c>
      <c r="I51" s="81">
        <v>2</v>
      </c>
      <c r="J51" s="81">
        <v>2</v>
      </c>
      <c r="K51" s="81">
        <v>6</v>
      </c>
      <c r="L51" s="81">
        <v>24</v>
      </c>
      <c r="M51" s="81">
        <v>503</v>
      </c>
      <c r="N51" s="83">
        <v>503</v>
      </c>
      <c r="O51" s="85">
        <v>372</v>
      </c>
      <c r="P51" s="85">
        <v>2</v>
      </c>
      <c r="Q51" s="85">
        <v>95</v>
      </c>
      <c r="R51" s="85">
        <v>19</v>
      </c>
      <c r="S51" s="85">
        <v>6</v>
      </c>
      <c r="T51" s="85">
        <v>18</v>
      </c>
      <c r="U51" s="85">
        <v>3</v>
      </c>
      <c r="V51" s="85">
        <v>3</v>
      </c>
      <c r="W51" s="85">
        <v>0</v>
      </c>
      <c r="X51" s="85">
        <v>1</v>
      </c>
      <c r="Y51" s="85">
        <v>520</v>
      </c>
      <c r="Z51" s="83">
        <v>519</v>
      </c>
      <c r="AA51" s="85">
        <v>51</v>
      </c>
      <c r="AB51" s="85">
        <v>1</v>
      </c>
      <c r="AC51" s="85">
        <v>0</v>
      </c>
      <c r="AD51" s="85">
        <v>0</v>
      </c>
      <c r="AE51" s="85">
        <v>70</v>
      </c>
      <c r="AF51" s="85">
        <v>3</v>
      </c>
      <c r="AG51" s="85">
        <v>8</v>
      </c>
      <c r="AH51" s="85">
        <v>1</v>
      </c>
      <c r="AI51" s="85">
        <v>0</v>
      </c>
      <c r="AJ51" s="85">
        <v>1</v>
      </c>
      <c r="AK51" s="85">
        <v>2</v>
      </c>
      <c r="AL51" s="85">
        <v>0</v>
      </c>
      <c r="AM51" s="85"/>
      <c r="AN51" s="85">
        <v>136</v>
      </c>
      <c r="AO51" s="83">
        <v>137</v>
      </c>
      <c r="AP51" s="85">
        <v>24</v>
      </c>
      <c r="AQ51" s="85">
        <v>1</v>
      </c>
      <c r="AR51" s="85">
        <v>0</v>
      </c>
      <c r="AS51" s="85">
        <v>27</v>
      </c>
      <c r="AT51" s="85">
        <v>4</v>
      </c>
      <c r="AU51" s="85">
        <v>8</v>
      </c>
      <c r="AV51" s="85">
        <v>9</v>
      </c>
      <c r="AW51" s="85">
        <v>5</v>
      </c>
      <c r="AX51" s="85">
        <v>0</v>
      </c>
      <c r="AY51" s="85">
        <v>1</v>
      </c>
      <c r="AZ51" s="85">
        <v>4</v>
      </c>
      <c r="BA51" s="85">
        <v>3</v>
      </c>
      <c r="BB51" s="85">
        <v>87</v>
      </c>
      <c r="BC51" s="83">
        <v>86</v>
      </c>
      <c r="BD51" s="85">
        <v>210</v>
      </c>
      <c r="BE51" s="85">
        <v>1</v>
      </c>
      <c r="BF51" s="85">
        <v>0</v>
      </c>
      <c r="BG51" s="85">
        <v>97</v>
      </c>
      <c r="BH51" s="85">
        <v>3</v>
      </c>
      <c r="BI51" s="85">
        <v>10</v>
      </c>
      <c r="BJ51" s="85">
        <v>67</v>
      </c>
      <c r="BK51" s="85">
        <v>1</v>
      </c>
      <c r="BL51" s="85">
        <v>3</v>
      </c>
      <c r="BM51" s="85">
        <v>15</v>
      </c>
      <c r="BN51" s="85">
        <v>405</v>
      </c>
      <c r="BO51" s="83">
        <v>407</v>
      </c>
      <c r="BP51" s="85">
        <v>150</v>
      </c>
      <c r="BQ51" s="85">
        <v>3</v>
      </c>
      <c r="BR51" s="85">
        <v>0</v>
      </c>
      <c r="BS51" s="85">
        <v>74</v>
      </c>
      <c r="BT51" s="85">
        <v>1</v>
      </c>
      <c r="BU51" s="85">
        <v>2</v>
      </c>
      <c r="BV51" s="85">
        <v>0</v>
      </c>
      <c r="BW51" s="85">
        <v>3</v>
      </c>
      <c r="BX51" s="85">
        <v>4</v>
      </c>
      <c r="BY51" s="85">
        <v>26</v>
      </c>
      <c r="BZ51" s="81"/>
      <c r="CA51" s="85">
        <v>263</v>
      </c>
      <c r="CB51" s="83">
        <v>263</v>
      </c>
      <c r="CC51" s="81">
        <v>90</v>
      </c>
      <c r="CD51" s="81">
        <v>60</v>
      </c>
      <c r="CE51" s="81">
        <v>150</v>
      </c>
      <c r="CF51" s="81">
        <v>150</v>
      </c>
    </row>
    <row r="52" spans="1:84">
      <c r="A52" s="82">
        <v>36557</v>
      </c>
      <c r="B52" s="81">
        <v>309</v>
      </c>
      <c r="C52" s="81">
        <v>3</v>
      </c>
      <c r="D52" s="81">
        <v>0</v>
      </c>
      <c r="E52" s="81"/>
      <c r="F52" s="81">
        <v>170</v>
      </c>
      <c r="G52" s="81">
        <v>6</v>
      </c>
      <c r="H52" s="81">
        <v>17</v>
      </c>
      <c r="I52" s="81">
        <v>4</v>
      </c>
      <c r="J52" s="81">
        <v>3</v>
      </c>
      <c r="K52" s="81">
        <v>5</v>
      </c>
      <c r="L52" s="81">
        <v>27</v>
      </c>
      <c r="M52" s="81">
        <v>545</v>
      </c>
      <c r="N52" s="83">
        <v>544</v>
      </c>
      <c r="O52" s="85">
        <v>273</v>
      </c>
      <c r="P52" s="85">
        <v>1</v>
      </c>
      <c r="Q52" s="85">
        <v>159</v>
      </c>
      <c r="R52" s="85">
        <v>21</v>
      </c>
      <c r="S52" s="85">
        <v>6</v>
      </c>
      <c r="T52" s="85">
        <v>14</v>
      </c>
      <c r="U52" s="85">
        <v>3</v>
      </c>
      <c r="V52" s="85">
        <v>7</v>
      </c>
      <c r="W52" s="85">
        <v>0</v>
      </c>
      <c r="X52" s="85">
        <v>1</v>
      </c>
      <c r="Y52" s="85">
        <v>486</v>
      </c>
      <c r="Z52" s="83">
        <v>485</v>
      </c>
      <c r="AA52" s="81">
        <v>57</v>
      </c>
      <c r="AB52" s="81">
        <v>1</v>
      </c>
      <c r="AC52" s="81">
        <v>0</v>
      </c>
      <c r="AD52" s="81">
        <v>0</v>
      </c>
      <c r="AE52" s="81">
        <v>71</v>
      </c>
      <c r="AF52" s="81">
        <v>3</v>
      </c>
      <c r="AG52" s="81">
        <v>8</v>
      </c>
      <c r="AH52" s="81">
        <v>2</v>
      </c>
      <c r="AI52" s="81">
        <v>0</v>
      </c>
      <c r="AJ52" s="81">
        <v>2</v>
      </c>
      <c r="AK52" s="81">
        <v>2</v>
      </c>
      <c r="AL52" s="81">
        <v>0</v>
      </c>
      <c r="AM52" s="81"/>
      <c r="AN52" s="81">
        <v>145</v>
      </c>
      <c r="AO52" s="83">
        <v>146</v>
      </c>
      <c r="AP52" s="81">
        <v>31</v>
      </c>
      <c r="AQ52" s="81">
        <v>2</v>
      </c>
      <c r="AR52" s="81">
        <v>1</v>
      </c>
      <c r="AS52" s="81">
        <v>34</v>
      </c>
      <c r="AT52" s="81">
        <v>4</v>
      </c>
      <c r="AU52" s="81">
        <v>9</v>
      </c>
      <c r="AV52" s="81">
        <v>10</v>
      </c>
      <c r="AW52" s="81">
        <v>7</v>
      </c>
      <c r="AX52" s="81">
        <v>0</v>
      </c>
      <c r="AY52" s="81">
        <v>0</v>
      </c>
      <c r="AZ52" s="81">
        <v>4</v>
      </c>
      <c r="BA52" s="81">
        <v>3</v>
      </c>
      <c r="BB52" s="81">
        <v>104</v>
      </c>
      <c r="BC52" s="83">
        <v>105</v>
      </c>
      <c r="BD52" s="81">
        <v>237</v>
      </c>
      <c r="BE52" s="81">
        <v>1</v>
      </c>
      <c r="BF52" s="81">
        <v>0</v>
      </c>
      <c r="BG52" s="81">
        <v>97</v>
      </c>
      <c r="BH52" s="81">
        <v>3</v>
      </c>
      <c r="BI52" s="81">
        <v>9</v>
      </c>
      <c r="BJ52" s="81">
        <v>65</v>
      </c>
      <c r="BK52" s="81">
        <v>1</v>
      </c>
      <c r="BL52" s="81">
        <v>3</v>
      </c>
      <c r="BM52" s="81">
        <v>17</v>
      </c>
      <c r="BN52" s="81">
        <v>434</v>
      </c>
      <c r="BO52" s="83">
        <v>433</v>
      </c>
      <c r="BP52" s="81">
        <v>149</v>
      </c>
      <c r="BQ52" s="81">
        <v>2</v>
      </c>
      <c r="BR52" s="81">
        <v>0</v>
      </c>
      <c r="BS52" s="81">
        <v>56</v>
      </c>
      <c r="BT52" s="81">
        <v>1</v>
      </c>
      <c r="BU52" s="81">
        <v>2</v>
      </c>
      <c r="BV52" s="81">
        <v>0</v>
      </c>
      <c r="BW52" s="81">
        <v>2</v>
      </c>
      <c r="BX52" s="81">
        <v>4</v>
      </c>
      <c r="BY52" s="81">
        <v>40</v>
      </c>
      <c r="BZ52" s="81"/>
      <c r="CA52" s="81">
        <v>256</v>
      </c>
      <c r="CB52" s="83">
        <v>256</v>
      </c>
      <c r="CC52" s="81">
        <v>91</v>
      </c>
      <c r="CD52" s="81">
        <v>44</v>
      </c>
      <c r="CE52" s="81">
        <v>135</v>
      </c>
      <c r="CF52" s="81">
        <v>135</v>
      </c>
    </row>
    <row r="53" spans="1:84">
      <c r="A53" s="82">
        <v>36586</v>
      </c>
      <c r="B53" s="81">
        <v>319</v>
      </c>
      <c r="C53" s="81">
        <v>3</v>
      </c>
      <c r="D53" s="81">
        <v>0</v>
      </c>
      <c r="E53" s="81"/>
      <c r="F53" s="81">
        <v>202</v>
      </c>
      <c r="G53" s="81">
        <v>8</v>
      </c>
      <c r="H53" s="81">
        <v>18</v>
      </c>
      <c r="I53" s="81">
        <v>4</v>
      </c>
      <c r="J53" s="81">
        <v>4</v>
      </c>
      <c r="K53" s="81">
        <v>6</v>
      </c>
      <c r="L53" s="81">
        <v>30</v>
      </c>
      <c r="M53" s="81">
        <v>595</v>
      </c>
      <c r="N53" s="83">
        <v>594</v>
      </c>
      <c r="O53" s="85">
        <v>255</v>
      </c>
      <c r="P53" s="85">
        <v>2</v>
      </c>
      <c r="Q53" s="85">
        <v>146</v>
      </c>
      <c r="R53" s="85">
        <v>23</v>
      </c>
      <c r="S53" s="85">
        <v>7</v>
      </c>
      <c r="T53" s="85">
        <v>14</v>
      </c>
      <c r="U53" s="85">
        <v>3</v>
      </c>
      <c r="V53" s="85">
        <v>8</v>
      </c>
      <c r="W53" s="85">
        <v>0</v>
      </c>
      <c r="X53" s="85">
        <v>1</v>
      </c>
      <c r="Y53" s="85">
        <v>459</v>
      </c>
      <c r="Z53" s="83">
        <v>459</v>
      </c>
      <c r="AA53" s="81">
        <v>59</v>
      </c>
      <c r="AB53" s="81">
        <v>1</v>
      </c>
      <c r="AC53" s="81">
        <v>0</v>
      </c>
      <c r="AD53" s="81">
        <v>0</v>
      </c>
      <c r="AE53" s="81">
        <v>85</v>
      </c>
      <c r="AF53" s="81">
        <v>4</v>
      </c>
      <c r="AG53" s="81">
        <v>9</v>
      </c>
      <c r="AH53" s="81">
        <v>2</v>
      </c>
      <c r="AI53" s="81">
        <v>0</v>
      </c>
      <c r="AJ53" s="81">
        <v>2</v>
      </c>
      <c r="AK53" s="81">
        <v>2</v>
      </c>
      <c r="AL53" s="81">
        <v>0</v>
      </c>
      <c r="AM53" s="81"/>
      <c r="AN53" s="81">
        <v>163</v>
      </c>
      <c r="AO53" s="83">
        <v>164</v>
      </c>
      <c r="AP53" s="81">
        <v>29</v>
      </c>
      <c r="AQ53" s="81">
        <v>2</v>
      </c>
      <c r="AR53" s="81">
        <v>1</v>
      </c>
      <c r="AS53" s="81">
        <v>33</v>
      </c>
      <c r="AT53" s="81">
        <v>4</v>
      </c>
      <c r="AU53" s="81">
        <v>9</v>
      </c>
      <c r="AV53" s="81">
        <v>11</v>
      </c>
      <c r="AW53" s="81">
        <v>6</v>
      </c>
      <c r="AX53" s="81">
        <v>0</v>
      </c>
      <c r="AY53" s="81">
        <v>1</v>
      </c>
      <c r="AZ53" s="81">
        <v>4</v>
      </c>
      <c r="BA53" s="81">
        <v>5</v>
      </c>
      <c r="BB53" s="81">
        <v>104</v>
      </c>
      <c r="BC53" s="83">
        <v>105</v>
      </c>
      <c r="BD53" s="81">
        <v>244</v>
      </c>
      <c r="BE53" s="81">
        <v>2</v>
      </c>
      <c r="BF53" s="81">
        <v>0</v>
      </c>
      <c r="BG53" s="81">
        <v>116</v>
      </c>
      <c r="BH53" s="81">
        <v>3</v>
      </c>
      <c r="BI53" s="81">
        <v>10</v>
      </c>
      <c r="BJ53" s="81">
        <v>70</v>
      </c>
      <c r="BK53" s="81">
        <v>1</v>
      </c>
      <c r="BL53" s="81">
        <v>4</v>
      </c>
      <c r="BM53" s="81">
        <v>28</v>
      </c>
      <c r="BN53" s="81">
        <v>478</v>
      </c>
      <c r="BO53" s="83">
        <v>478</v>
      </c>
      <c r="BP53" s="81">
        <v>141</v>
      </c>
      <c r="BQ53" s="81">
        <v>0</v>
      </c>
      <c r="BR53" s="81">
        <v>0</v>
      </c>
      <c r="BS53" s="81">
        <v>44</v>
      </c>
      <c r="BT53" s="81">
        <v>0</v>
      </c>
      <c r="BU53" s="81">
        <v>0</v>
      </c>
      <c r="BV53" s="81">
        <v>0</v>
      </c>
      <c r="BW53" s="81">
        <v>0</v>
      </c>
      <c r="BX53" s="81">
        <v>0</v>
      </c>
      <c r="BY53" s="81">
        <v>40</v>
      </c>
      <c r="BZ53" s="81">
        <v>12</v>
      </c>
      <c r="CA53" s="81">
        <v>237</v>
      </c>
      <c r="CB53" s="83">
        <v>237</v>
      </c>
      <c r="CC53" s="81">
        <v>83</v>
      </c>
      <c r="CD53" s="81">
        <v>33</v>
      </c>
      <c r="CE53" s="81">
        <v>116</v>
      </c>
      <c r="CF53" s="81">
        <v>116</v>
      </c>
    </row>
    <row r="54" spans="1:84">
      <c r="A54" s="82">
        <v>36617</v>
      </c>
      <c r="B54" s="81">
        <v>307</v>
      </c>
      <c r="C54" s="81">
        <v>3</v>
      </c>
      <c r="D54" s="81">
        <v>0</v>
      </c>
      <c r="E54" s="81"/>
      <c r="F54" s="81">
        <v>188</v>
      </c>
      <c r="G54" s="81">
        <v>7</v>
      </c>
      <c r="H54" s="81">
        <v>20</v>
      </c>
      <c r="I54" s="81">
        <v>5</v>
      </c>
      <c r="J54" s="81">
        <v>5</v>
      </c>
      <c r="K54" s="81">
        <v>6</v>
      </c>
      <c r="L54" s="81">
        <v>28</v>
      </c>
      <c r="M54" s="81">
        <v>568</v>
      </c>
      <c r="N54" s="83">
        <v>569</v>
      </c>
      <c r="O54" s="85">
        <v>263</v>
      </c>
      <c r="P54" s="85">
        <v>1</v>
      </c>
      <c r="Q54" s="85">
        <v>137</v>
      </c>
      <c r="R54" s="85">
        <v>24</v>
      </c>
      <c r="S54" s="85">
        <v>7</v>
      </c>
      <c r="T54" s="85">
        <v>15</v>
      </c>
      <c r="U54" s="85">
        <v>1</v>
      </c>
      <c r="V54" s="85">
        <v>5</v>
      </c>
      <c r="W54" s="85">
        <v>0</v>
      </c>
      <c r="X54" s="85">
        <v>1</v>
      </c>
      <c r="Y54" s="85">
        <v>452</v>
      </c>
      <c r="Z54" s="83">
        <v>454</v>
      </c>
      <c r="AA54" s="81">
        <v>57</v>
      </c>
      <c r="AB54" s="81">
        <v>1</v>
      </c>
      <c r="AC54" s="81">
        <v>0</v>
      </c>
      <c r="AD54" s="81">
        <v>0</v>
      </c>
      <c r="AE54" s="81">
        <v>78</v>
      </c>
      <c r="AF54" s="81">
        <v>3</v>
      </c>
      <c r="AG54" s="81">
        <v>9</v>
      </c>
      <c r="AH54" s="81">
        <v>2</v>
      </c>
      <c r="AI54" s="81">
        <v>0</v>
      </c>
      <c r="AJ54" s="81">
        <v>3</v>
      </c>
      <c r="AK54" s="81">
        <v>2</v>
      </c>
      <c r="AL54" s="81">
        <v>0</v>
      </c>
      <c r="AM54" s="81"/>
      <c r="AN54" s="81">
        <v>155</v>
      </c>
      <c r="AO54" s="83">
        <v>155</v>
      </c>
      <c r="AP54" s="81">
        <v>26</v>
      </c>
      <c r="AQ54" s="81">
        <v>2</v>
      </c>
      <c r="AR54" s="81">
        <v>1</v>
      </c>
      <c r="AS54" s="81">
        <v>29</v>
      </c>
      <c r="AT54" s="81">
        <v>4</v>
      </c>
      <c r="AU54" s="81">
        <v>8</v>
      </c>
      <c r="AV54" s="81">
        <v>11</v>
      </c>
      <c r="AW54" s="81">
        <v>6</v>
      </c>
      <c r="AX54" s="81">
        <v>0</v>
      </c>
      <c r="AY54" s="81">
        <v>1</v>
      </c>
      <c r="AZ54" s="81">
        <v>4</v>
      </c>
      <c r="BA54" s="81">
        <v>3</v>
      </c>
      <c r="BB54" s="81">
        <v>97</v>
      </c>
      <c r="BC54" s="83">
        <v>95</v>
      </c>
      <c r="BD54" s="81">
        <v>235</v>
      </c>
      <c r="BE54" s="81">
        <v>1</v>
      </c>
      <c r="BF54" s="81">
        <v>0</v>
      </c>
      <c r="BG54" s="81">
        <v>107</v>
      </c>
      <c r="BH54" s="81">
        <v>3</v>
      </c>
      <c r="BI54" s="81">
        <v>11</v>
      </c>
      <c r="BJ54" s="81">
        <v>75</v>
      </c>
      <c r="BK54" s="81">
        <v>2</v>
      </c>
      <c r="BL54" s="81">
        <v>3</v>
      </c>
      <c r="BM54" s="81">
        <v>35</v>
      </c>
      <c r="BN54" s="81">
        <v>473</v>
      </c>
      <c r="BO54" s="83">
        <v>472</v>
      </c>
      <c r="BP54" s="81">
        <v>151</v>
      </c>
      <c r="BQ54" s="81">
        <v>1</v>
      </c>
      <c r="BR54" s="81">
        <v>0</v>
      </c>
      <c r="BS54" s="81">
        <v>47</v>
      </c>
      <c r="BT54" s="81">
        <v>1</v>
      </c>
      <c r="BU54" s="81">
        <v>3</v>
      </c>
      <c r="BV54" s="81">
        <v>0</v>
      </c>
      <c r="BW54" s="81">
        <v>4</v>
      </c>
      <c r="BX54" s="81">
        <v>4</v>
      </c>
      <c r="BY54" s="81">
        <v>35</v>
      </c>
      <c r="BZ54" s="81"/>
      <c r="CA54" s="81">
        <v>246</v>
      </c>
      <c r="CB54" s="83">
        <v>246</v>
      </c>
      <c r="CC54" s="81">
        <v>90</v>
      </c>
      <c r="CD54" s="81">
        <v>35</v>
      </c>
      <c r="CE54" s="81">
        <v>125</v>
      </c>
      <c r="CF54" s="81">
        <v>125</v>
      </c>
    </row>
    <row r="55" spans="1:84">
      <c r="A55" s="82">
        <v>36647</v>
      </c>
      <c r="B55" s="81">
        <v>301</v>
      </c>
      <c r="C55" s="81">
        <v>2</v>
      </c>
      <c r="D55" s="81">
        <v>0</v>
      </c>
      <c r="E55" s="81"/>
      <c r="F55" s="81">
        <v>178</v>
      </c>
      <c r="G55" s="81">
        <v>7</v>
      </c>
      <c r="H55" s="81">
        <v>18</v>
      </c>
      <c r="I55" s="81">
        <v>4</v>
      </c>
      <c r="J55" s="81">
        <v>3</v>
      </c>
      <c r="K55" s="81">
        <v>4</v>
      </c>
      <c r="L55" s="81">
        <v>30</v>
      </c>
      <c r="M55" s="81">
        <v>546</v>
      </c>
      <c r="N55" s="83">
        <v>547</v>
      </c>
      <c r="O55" s="85">
        <v>348</v>
      </c>
      <c r="P55" s="85">
        <v>1</v>
      </c>
      <c r="Q55" s="85">
        <v>135</v>
      </c>
      <c r="R55" s="85">
        <v>28</v>
      </c>
      <c r="S55" s="85">
        <v>7</v>
      </c>
      <c r="T55" s="85">
        <v>10</v>
      </c>
      <c r="U55" s="85">
        <v>4</v>
      </c>
      <c r="V55" s="85">
        <v>3</v>
      </c>
      <c r="W55" s="85">
        <v>0</v>
      </c>
      <c r="X55" s="85">
        <v>1</v>
      </c>
      <c r="Y55" s="85">
        <v>537</v>
      </c>
      <c r="Z55" s="83">
        <v>537</v>
      </c>
      <c r="AA55" s="81">
        <v>55</v>
      </c>
      <c r="AB55" s="81">
        <v>0</v>
      </c>
      <c r="AC55" s="81">
        <v>0</v>
      </c>
      <c r="AD55" s="81">
        <v>0</v>
      </c>
      <c r="AE55" s="81">
        <v>74</v>
      </c>
      <c r="AF55" s="81">
        <v>3</v>
      </c>
      <c r="AG55" s="81">
        <v>8</v>
      </c>
      <c r="AH55" s="81">
        <v>2</v>
      </c>
      <c r="AI55" s="81">
        <v>0</v>
      </c>
      <c r="AJ55" s="81">
        <v>2</v>
      </c>
      <c r="AK55" s="81">
        <v>1</v>
      </c>
      <c r="AL55" s="81">
        <v>0</v>
      </c>
      <c r="AM55" s="81"/>
      <c r="AN55" s="81">
        <v>147</v>
      </c>
      <c r="AO55" s="83">
        <v>145</v>
      </c>
      <c r="AP55" s="81">
        <v>25</v>
      </c>
      <c r="AQ55" s="81">
        <v>2</v>
      </c>
      <c r="AR55" s="81">
        <v>0</v>
      </c>
      <c r="AS55" s="81">
        <v>27</v>
      </c>
      <c r="AT55" s="81">
        <v>4</v>
      </c>
      <c r="AU55" s="81">
        <v>9</v>
      </c>
      <c r="AV55" s="81">
        <v>9</v>
      </c>
      <c r="AW55" s="81">
        <v>9</v>
      </c>
      <c r="AX55" s="81">
        <v>0</v>
      </c>
      <c r="AY55" s="81">
        <v>1</v>
      </c>
      <c r="AZ55" s="81">
        <v>4</v>
      </c>
      <c r="BA55" s="81">
        <v>2</v>
      </c>
      <c r="BB55" s="81">
        <v>93</v>
      </c>
      <c r="BC55" s="83">
        <v>92</v>
      </c>
      <c r="BD55" s="81">
        <v>231</v>
      </c>
      <c r="BE55" s="81">
        <v>1</v>
      </c>
      <c r="BF55" s="81">
        <v>0</v>
      </c>
      <c r="BG55" s="81">
        <v>102</v>
      </c>
      <c r="BH55" s="81">
        <v>3</v>
      </c>
      <c r="BI55" s="81">
        <v>10</v>
      </c>
      <c r="BJ55" s="81">
        <v>69</v>
      </c>
      <c r="BK55" s="81">
        <v>1</v>
      </c>
      <c r="BL55" s="81">
        <v>2</v>
      </c>
      <c r="BM55" s="81">
        <v>36</v>
      </c>
      <c r="BN55" s="81">
        <v>455</v>
      </c>
      <c r="BO55" s="83">
        <v>455</v>
      </c>
      <c r="BP55" s="81">
        <v>144</v>
      </c>
      <c r="BQ55" s="81">
        <v>1</v>
      </c>
      <c r="BR55" s="81">
        <v>0</v>
      </c>
      <c r="BS55" s="81">
        <v>52</v>
      </c>
      <c r="BT55" s="81">
        <v>1</v>
      </c>
      <c r="BU55" s="81">
        <v>3</v>
      </c>
      <c r="BV55" s="81">
        <v>0</v>
      </c>
      <c r="BW55" s="81">
        <v>3</v>
      </c>
      <c r="BX55" s="81">
        <v>3</v>
      </c>
      <c r="BY55" s="81">
        <v>33</v>
      </c>
      <c r="BZ55" s="81"/>
      <c r="CA55" s="81">
        <v>240</v>
      </c>
      <c r="CB55" s="83">
        <v>240</v>
      </c>
      <c r="CC55" s="81">
        <v>85</v>
      </c>
      <c r="CD55" s="81">
        <v>39</v>
      </c>
      <c r="CE55" s="81">
        <v>124</v>
      </c>
      <c r="CF55" s="81">
        <v>124</v>
      </c>
    </row>
    <row r="56" spans="1:84">
      <c r="A56" s="82">
        <v>36678</v>
      </c>
      <c r="B56" s="85">
        <v>337</v>
      </c>
      <c r="C56" s="81">
        <v>3</v>
      </c>
      <c r="D56" s="81">
        <v>0</v>
      </c>
      <c r="E56" s="81">
        <v>0</v>
      </c>
      <c r="F56" s="81">
        <v>201</v>
      </c>
      <c r="G56" s="81">
        <v>8</v>
      </c>
      <c r="H56" s="81">
        <v>19</v>
      </c>
      <c r="I56" s="81">
        <v>1</v>
      </c>
      <c r="J56" s="81">
        <v>4</v>
      </c>
      <c r="K56" s="81">
        <v>6</v>
      </c>
      <c r="L56" s="81">
        <v>29</v>
      </c>
      <c r="M56" s="81">
        <v>608</v>
      </c>
      <c r="N56" s="83">
        <v>608</v>
      </c>
      <c r="O56" s="85">
        <v>347</v>
      </c>
      <c r="P56" s="85">
        <v>2</v>
      </c>
      <c r="Q56" s="85">
        <v>123</v>
      </c>
      <c r="R56" s="85">
        <v>31</v>
      </c>
      <c r="S56" s="85">
        <v>8</v>
      </c>
      <c r="T56" s="85">
        <v>14</v>
      </c>
      <c r="U56" s="85">
        <v>5</v>
      </c>
      <c r="V56" s="85">
        <v>6</v>
      </c>
      <c r="W56" s="85">
        <v>0</v>
      </c>
      <c r="X56" s="85">
        <v>1</v>
      </c>
      <c r="Y56" s="85">
        <v>537</v>
      </c>
      <c r="Z56" s="83">
        <v>537</v>
      </c>
      <c r="AA56" s="81">
        <v>63</v>
      </c>
      <c r="AB56" s="81">
        <v>1</v>
      </c>
      <c r="AC56" s="81">
        <v>0</v>
      </c>
      <c r="AD56" s="81">
        <v>0</v>
      </c>
      <c r="AE56" s="81">
        <v>82</v>
      </c>
      <c r="AF56" s="81">
        <v>4</v>
      </c>
      <c r="AG56" s="81">
        <v>9</v>
      </c>
      <c r="AH56" s="81">
        <v>1</v>
      </c>
      <c r="AI56" s="81">
        <v>0</v>
      </c>
      <c r="AJ56" s="81">
        <v>3</v>
      </c>
      <c r="AK56" s="81">
        <v>2</v>
      </c>
      <c r="AL56" s="81">
        <v>0</v>
      </c>
      <c r="AM56" s="81"/>
      <c r="AN56" s="81">
        <v>164</v>
      </c>
      <c r="AO56" s="83">
        <v>165</v>
      </c>
      <c r="AP56" s="81">
        <v>29</v>
      </c>
      <c r="AQ56" s="81">
        <v>2</v>
      </c>
      <c r="AR56" s="81">
        <v>0</v>
      </c>
      <c r="AS56" s="81">
        <v>29</v>
      </c>
      <c r="AT56" s="81">
        <v>4</v>
      </c>
      <c r="AU56" s="81">
        <v>10</v>
      </c>
      <c r="AV56" s="81">
        <v>8</v>
      </c>
      <c r="AW56" s="81">
        <v>8</v>
      </c>
      <c r="AX56" s="81">
        <v>0</v>
      </c>
      <c r="AY56" s="81">
        <v>2</v>
      </c>
      <c r="AZ56" s="81">
        <v>4</v>
      </c>
      <c r="BA56" s="81">
        <v>2</v>
      </c>
      <c r="BB56" s="81">
        <v>97</v>
      </c>
      <c r="BC56" s="83">
        <v>98</v>
      </c>
      <c r="BD56" s="81">
        <v>257</v>
      </c>
      <c r="BE56" s="81">
        <v>1</v>
      </c>
      <c r="BF56" s="81">
        <v>0</v>
      </c>
      <c r="BG56" s="81">
        <v>113</v>
      </c>
      <c r="BH56" s="81">
        <v>3</v>
      </c>
      <c r="BI56" s="81">
        <v>10</v>
      </c>
      <c r="BJ56" s="81">
        <v>72</v>
      </c>
      <c r="BK56" s="81">
        <v>1</v>
      </c>
      <c r="BL56" s="81">
        <v>3</v>
      </c>
      <c r="BM56" s="81">
        <v>35</v>
      </c>
      <c r="BN56" s="81">
        <v>497</v>
      </c>
      <c r="BO56" s="83">
        <v>495</v>
      </c>
      <c r="BP56" s="81">
        <v>160</v>
      </c>
      <c r="BQ56" s="81">
        <v>1</v>
      </c>
      <c r="BR56" s="81">
        <v>0</v>
      </c>
      <c r="BS56" s="81">
        <v>60</v>
      </c>
      <c r="BT56" s="81">
        <v>1</v>
      </c>
      <c r="BU56" s="81">
        <v>2</v>
      </c>
      <c r="BV56" s="81">
        <v>0</v>
      </c>
      <c r="BW56" s="81">
        <v>3</v>
      </c>
      <c r="BX56" s="81">
        <v>4</v>
      </c>
      <c r="BY56" s="81">
        <v>20</v>
      </c>
      <c r="BZ56" s="81"/>
      <c r="CA56" s="81">
        <v>252</v>
      </c>
      <c r="CB56" s="83">
        <v>251</v>
      </c>
      <c r="CC56" s="81">
        <v>107</v>
      </c>
      <c r="CD56" s="81">
        <v>46</v>
      </c>
      <c r="CE56" s="81">
        <v>153</v>
      </c>
      <c r="CF56" s="81">
        <v>153</v>
      </c>
    </row>
    <row r="57" spans="1:84">
      <c r="A57" s="82">
        <v>36708</v>
      </c>
      <c r="B57" s="81">
        <v>296</v>
      </c>
      <c r="C57" s="81">
        <v>2</v>
      </c>
      <c r="D57" s="81">
        <v>0</v>
      </c>
      <c r="E57" s="81"/>
      <c r="F57" s="81">
        <v>181</v>
      </c>
      <c r="G57" s="81">
        <v>7</v>
      </c>
      <c r="H57" s="81">
        <v>20</v>
      </c>
      <c r="I57" s="81">
        <v>2</v>
      </c>
      <c r="J57" s="81">
        <v>3</v>
      </c>
      <c r="K57" s="81">
        <v>4</v>
      </c>
      <c r="L57" s="81">
        <v>27</v>
      </c>
      <c r="M57" s="81">
        <v>543</v>
      </c>
      <c r="N57" s="83">
        <v>542</v>
      </c>
      <c r="O57" s="85">
        <v>343</v>
      </c>
      <c r="P57" s="85">
        <v>2</v>
      </c>
      <c r="Q57" s="85">
        <v>115</v>
      </c>
      <c r="R57" s="85">
        <v>33</v>
      </c>
      <c r="S57" s="85">
        <v>7</v>
      </c>
      <c r="T57" s="85">
        <v>17</v>
      </c>
      <c r="U57" s="85">
        <v>2</v>
      </c>
      <c r="V57" s="85">
        <v>5</v>
      </c>
      <c r="W57" s="85">
        <v>0</v>
      </c>
      <c r="X57" s="85">
        <v>1</v>
      </c>
      <c r="Y57" s="85">
        <v>526</v>
      </c>
      <c r="Z57" s="83">
        <v>525</v>
      </c>
      <c r="AA57" s="81">
        <v>57</v>
      </c>
      <c r="AB57" s="81">
        <v>0</v>
      </c>
      <c r="AC57" s="81">
        <v>0</v>
      </c>
      <c r="AD57" s="81">
        <v>0</v>
      </c>
      <c r="AE57" s="81">
        <v>75</v>
      </c>
      <c r="AF57" s="81">
        <v>3</v>
      </c>
      <c r="AG57" s="81">
        <v>10</v>
      </c>
      <c r="AH57" s="81">
        <v>1</v>
      </c>
      <c r="AI57" s="81">
        <v>0</v>
      </c>
      <c r="AJ57" s="81">
        <v>2</v>
      </c>
      <c r="AK57" s="81">
        <v>2</v>
      </c>
      <c r="AL57" s="81">
        <v>0</v>
      </c>
      <c r="AM57" s="81"/>
      <c r="AN57" s="81">
        <v>150</v>
      </c>
      <c r="AO57" s="83">
        <v>150</v>
      </c>
      <c r="AP57" s="81">
        <v>29</v>
      </c>
      <c r="AQ57" s="81">
        <v>1</v>
      </c>
      <c r="AR57" s="81">
        <v>1</v>
      </c>
      <c r="AS57" s="81">
        <v>29</v>
      </c>
      <c r="AT57" s="81">
        <v>4</v>
      </c>
      <c r="AU57" s="81">
        <v>10</v>
      </c>
      <c r="AV57" s="81">
        <v>9</v>
      </c>
      <c r="AW57" s="81">
        <v>8</v>
      </c>
      <c r="AX57" s="81">
        <v>0</v>
      </c>
      <c r="AY57" s="81">
        <v>1</v>
      </c>
      <c r="AZ57" s="81">
        <v>4</v>
      </c>
      <c r="BA57" s="81">
        <v>1</v>
      </c>
      <c r="BB57" s="81">
        <v>96</v>
      </c>
      <c r="BC57" s="83">
        <v>97</v>
      </c>
      <c r="BD57" s="81">
        <v>223</v>
      </c>
      <c r="BE57" s="81">
        <v>1</v>
      </c>
      <c r="BF57" s="81">
        <v>0</v>
      </c>
      <c r="BG57" s="81">
        <v>103</v>
      </c>
      <c r="BH57" s="81">
        <v>3</v>
      </c>
      <c r="BI57" s="81">
        <v>11</v>
      </c>
      <c r="BJ57" s="81">
        <v>77</v>
      </c>
      <c r="BK57" s="81">
        <v>1</v>
      </c>
      <c r="BL57" s="81">
        <v>3</v>
      </c>
      <c r="BM57" s="81">
        <v>38</v>
      </c>
      <c r="BN57" s="81">
        <v>460</v>
      </c>
      <c r="BO57" s="83">
        <v>460</v>
      </c>
      <c r="BP57" s="81">
        <v>177</v>
      </c>
      <c r="BQ57" s="81">
        <v>1</v>
      </c>
      <c r="BR57" s="81">
        <v>0</v>
      </c>
      <c r="BS57" s="81">
        <v>69</v>
      </c>
      <c r="BT57" s="81">
        <v>1</v>
      </c>
      <c r="BU57" s="81">
        <v>4</v>
      </c>
      <c r="BV57" s="81">
        <v>0</v>
      </c>
      <c r="BW57" s="81">
        <v>3</v>
      </c>
      <c r="BX57" s="81">
        <v>4</v>
      </c>
      <c r="BY57" s="81">
        <v>33</v>
      </c>
      <c r="BZ57" s="81"/>
      <c r="CA57" s="81">
        <v>291</v>
      </c>
      <c r="CB57" s="83">
        <v>292</v>
      </c>
      <c r="CC57" s="81">
        <v>119</v>
      </c>
      <c r="CD57" s="81">
        <v>55</v>
      </c>
      <c r="CE57" s="81">
        <v>174</v>
      </c>
      <c r="CF57" s="81">
        <v>174</v>
      </c>
    </row>
    <row r="58" spans="1:84">
      <c r="A58" s="82">
        <v>36739</v>
      </c>
      <c r="B58" s="81">
        <v>284</v>
      </c>
      <c r="C58" s="81">
        <v>2</v>
      </c>
      <c r="D58" s="81">
        <v>0</v>
      </c>
      <c r="E58" s="81"/>
      <c r="F58" s="81">
        <v>154</v>
      </c>
      <c r="G58" s="81">
        <v>6</v>
      </c>
      <c r="H58" s="81">
        <v>17</v>
      </c>
      <c r="I58" s="81">
        <v>1</v>
      </c>
      <c r="J58" s="81">
        <v>3</v>
      </c>
      <c r="K58" s="81">
        <v>6</v>
      </c>
      <c r="L58" s="81">
        <v>29</v>
      </c>
      <c r="M58" s="81">
        <v>503</v>
      </c>
      <c r="N58" s="83">
        <v>502</v>
      </c>
      <c r="O58" s="85">
        <v>367</v>
      </c>
      <c r="P58" s="85">
        <v>1</v>
      </c>
      <c r="Q58" s="85">
        <v>154</v>
      </c>
      <c r="R58" s="85">
        <v>34</v>
      </c>
      <c r="S58" s="85">
        <v>8</v>
      </c>
      <c r="T58" s="85">
        <v>16</v>
      </c>
      <c r="U58" s="85">
        <v>2</v>
      </c>
      <c r="V58" s="85">
        <v>3</v>
      </c>
      <c r="W58" s="85">
        <v>0</v>
      </c>
      <c r="X58" s="85">
        <v>1</v>
      </c>
      <c r="Y58" s="85">
        <v>586</v>
      </c>
      <c r="Z58" s="83">
        <v>586</v>
      </c>
      <c r="AA58" s="81">
        <v>53</v>
      </c>
      <c r="AB58" s="81">
        <v>1</v>
      </c>
      <c r="AC58" s="81">
        <v>0</v>
      </c>
      <c r="AD58" s="81">
        <v>0</v>
      </c>
      <c r="AE58" s="81">
        <v>64</v>
      </c>
      <c r="AF58" s="81">
        <v>3</v>
      </c>
      <c r="AG58" s="81">
        <v>8</v>
      </c>
      <c r="AH58" s="81">
        <v>0</v>
      </c>
      <c r="AI58" s="81">
        <v>0</v>
      </c>
      <c r="AJ58" s="81">
        <v>2</v>
      </c>
      <c r="AK58" s="81">
        <v>2</v>
      </c>
      <c r="AL58" s="81">
        <v>0</v>
      </c>
      <c r="AM58" s="81"/>
      <c r="AN58" s="81">
        <v>134</v>
      </c>
      <c r="AO58" s="83">
        <v>133</v>
      </c>
      <c r="AP58" s="81">
        <v>34</v>
      </c>
      <c r="AQ58" s="81">
        <v>1</v>
      </c>
      <c r="AR58" s="81">
        <v>0</v>
      </c>
      <c r="AS58" s="81">
        <v>28</v>
      </c>
      <c r="AT58" s="81">
        <v>3</v>
      </c>
      <c r="AU58" s="81">
        <v>11</v>
      </c>
      <c r="AV58" s="81">
        <v>9</v>
      </c>
      <c r="AW58" s="81">
        <v>8</v>
      </c>
      <c r="AX58" s="81">
        <v>0</v>
      </c>
      <c r="AY58" s="81">
        <v>2</v>
      </c>
      <c r="AZ58" s="81">
        <v>4</v>
      </c>
      <c r="BA58" s="81">
        <v>1</v>
      </c>
      <c r="BB58" s="81">
        <v>102</v>
      </c>
      <c r="BC58" s="83">
        <v>101</v>
      </c>
      <c r="BD58" s="81">
        <v>215</v>
      </c>
      <c r="BE58" s="81">
        <v>1</v>
      </c>
      <c r="BF58" s="81">
        <v>0</v>
      </c>
      <c r="BG58" s="81">
        <v>88</v>
      </c>
      <c r="BH58" s="81">
        <v>3</v>
      </c>
      <c r="BI58" s="81">
        <v>9</v>
      </c>
      <c r="BJ58" s="81">
        <v>65</v>
      </c>
      <c r="BK58" s="81">
        <v>1</v>
      </c>
      <c r="BL58" s="81">
        <v>3</v>
      </c>
      <c r="BM58" s="81">
        <v>41</v>
      </c>
      <c r="BN58" s="81">
        <v>427</v>
      </c>
      <c r="BO58" s="83">
        <v>426</v>
      </c>
      <c r="BP58" s="81">
        <v>167</v>
      </c>
      <c r="BQ58" s="81">
        <v>1</v>
      </c>
      <c r="BR58" s="81">
        <v>0</v>
      </c>
      <c r="BS58" s="81">
        <v>54</v>
      </c>
      <c r="BT58" s="81">
        <v>1</v>
      </c>
      <c r="BU58" s="81">
        <v>3</v>
      </c>
      <c r="BV58" s="81">
        <v>0</v>
      </c>
      <c r="BW58" s="81">
        <v>2</v>
      </c>
      <c r="BX58" s="81">
        <v>5</v>
      </c>
      <c r="BY58" s="81">
        <v>25</v>
      </c>
      <c r="BZ58" s="81"/>
      <c r="CA58" s="81">
        <v>258</v>
      </c>
      <c r="CB58" s="83">
        <v>258</v>
      </c>
      <c r="CC58" s="81">
        <v>107</v>
      </c>
      <c r="CD58" s="81">
        <v>41</v>
      </c>
      <c r="CE58" s="81">
        <v>148</v>
      </c>
      <c r="CF58" s="81">
        <v>148</v>
      </c>
    </row>
    <row r="59" spans="1:84">
      <c r="A59" s="82">
        <v>36770</v>
      </c>
      <c r="B59" s="81">
        <v>318</v>
      </c>
      <c r="C59" s="81">
        <v>2</v>
      </c>
      <c r="D59" s="81">
        <v>0</v>
      </c>
      <c r="E59" s="81"/>
      <c r="F59" s="81">
        <v>187</v>
      </c>
      <c r="G59" s="81">
        <v>8</v>
      </c>
      <c r="H59" s="81">
        <v>18</v>
      </c>
      <c r="I59" s="81">
        <v>3</v>
      </c>
      <c r="J59" s="81">
        <v>3</v>
      </c>
      <c r="K59" s="81">
        <v>4</v>
      </c>
      <c r="L59" s="81">
        <v>29</v>
      </c>
      <c r="M59" s="81">
        <v>571</v>
      </c>
      <c r="N59" s="83">
        <v>572</v>
      </c>
      <c r="O59" s="85">
        <v>356</v>
      </c>
      <c r="P59" s="85">
        <v>1</v>
      </c>
      <c r="Q59" s="85">
        <v>140</v>
      </c>
      <c r="R59" s="85">
        <v>35</v>
      </c>
      <c r="S59" s="85">
        <v>7</v>
      </c>
      <c r="T59" s="85">
        <v>14</v>
      </c>
      <c r="U59" s="85">
        <v>2</v>
      </c>
      <c r="V59" s="85">
        <v>4</v>
      </c>
      <c r="W59" s="85">
        <v>0</v>
      </c>
      <c r="X59" s="85">
        <v>1</v>
      </c>
      <c r="Y59" s="85">
        <v>560</v>
      </c>
      <c r="Z59" s="83">
        <v>560</v>
      </c>
      <c r="AA59" s="81">
        <v>58</v>
      </c>
      <c r="AB59" s="81">
        <v>1</v>
      </c>
      <c r="AC59" s="81">
        <v>0</v>
      </c>
      <c r="AD59" s="81">
        <v>0</v>
      </c>
      <c r="AE59" s="81">
        <v>77</v>
      </c>
      <c r="AF59" s="81">
        <v>4</v>
      </c>
      <c r="AG59" s="81">
        <v>9</v>
      </c>
      <c r="AH59" s="81">
        <v>1</v>
      </c>
      <c r="AI59" s="81">
        <v>0</v>
      </c>
      <c r="AJ59" s="81">
        <v>2</v>
      </c>
      <c r="AK59" s="81">
        <v>1</v>
      </c>
      <c r="AL59" s="81">
        <v>0</v>
      </c>
      <c r="AM59" s="81"/>
      <c r="AN59" s="81">
        <v>153</v>
      </c>
      <c r="AO59" s="83">
        <v>153</v>
      </c>
      <c r="AP59" s="81">
        <v>32</v>
      </c>
      <c r="AQ59" s="81">
        <v>2</v>
      </c>
      <c r="AR59" s="81">
        <v>1</v>
      </c>
      <c r="AS59" s="81">
        <v>24</v>
      </c>
      <c r="AT59" s="81">
        <v>4</v>
      </c>
      <c r="AU59" s="81">
        <v>10</v>
      </c>
      <c r="AV59" s="81">
        <v>7</v>
      </c>
      <c r="AW59" s="81">
        <v>9</v>
      </c>
      <c r="AX59" s="81">
        <v>0</v>
      </c>
      <c r="AY59" s="81">
        <v>1</v>
      </c>
      <c r="AZ59" s="81">
        <v>3</v>
      </c>
      <c r="BA59" s="81">
        <v>1</v>
      </c>
      <c r="BB59" s="81">
        <v>92</v>
      </c>
      <c r="BC59" s="83">
        <v>94</v>
      </c>
      <c r="BD59" s="81">
        <v>236</v>
      </c>
      <c r="BE59" s="81">
        <v>1</v>
      </c>
      <c r="BF59" s="81">
        <v>0</v>
      </c>
      <c r="BG59" s="81">
        <v>106</v>
      </c>
      <c r="BH59" s="81">
        <v>3</v>
      </c>
      <c r="BI59" s="81">
        <v>10</v>
      </c>
      <c r="BJ59" s="81">
        <v>70</v>
      </c>
      <c r="BK59" s="81">
        <v>1</v>
      </c>
      <c r="BL59" s="81">
        <v>2</v>
      </c>
      <c r="BM59" s="81">
        <v>42</v>
      </c>
      <c r="BN59" s="81">
        <v>472</v>
      </c>
      <c r="BO59" s="83">
        <v>471</v>
      </c>
      <c r="BP59" s="81">
        <v>153</v>
      </c>
      <c r="BQ59" s="81">
        <v>1</v>
      </c>
      <c r="BR59" s="81">
        <v>0</v>
      </c>
      <c r="BS59" s="81">
        <v>55</v>
      </c>
      <c r="BT59" s="81">
        <v>1</v>
      </c>
      <c r="BU59" s="81">
        <v>4</v>
      </c>
      <c r="BV59" s="81">
        <v>0</v>
      </c>
      <c r="BW59" s="81">
        <v>4</v>
      </c>
      <c r="BX59" s="81">
        <v>4</v>
      </c>
      <c r="BY59" s="81">
        <v>30</v>
      </c>
      <c r="BZ59" s="81"/>
      <c r="CA59" s="81">
        <v>252</v>
      </c>
      <c r="CB59" s="83">
        <v>252</v>
      </c>
      <c r="CC59" s="81">
        <v>97</v>
      </c>
      <c r="CD59" s="81">
        <v>42</v>
      </c>
      <c r="CE59" s="81">
        <v>139</v>
      </c>
      <c r="CF59" s="81">
        <v>139</v>
      </c>
    </row>
    <row r="60" spans="1:84">
      <c r="A60" s="82">
        <v>36800</v>
      </c>
      <c r="B60" s="81">
        <v>325</v>
      </c>
      <c r="C60" s="81">
        <v>2</v>
      </c>
      <c r="D60" s="81">
        <v>0</v>
      </c>
      <c r="E60" s="81"/>
      <c r="F60" s="81">
        <v>191</v>
      </c>
      <c r="G60" s="81">
        <v>8</v>
      </c>
      <c r="H60" s="81">
        <v>15</v>
      </c>
      <c r="I60" s="81">
        <v>4</v>
      </c>
      <c r="J60" s="81">
        <v>2</v>
      </c>
      <c r="K60" s="81">
        <v>4</v>
      </c>
      <c r="L60" s="81">
        <v>30</v>
      </c>
      <c r="M60" s="81">
        <v>582</v>
      </c>
      <c r="N60" s="83">
        <v>581</v>
      </c>
      <c r="O60" s="85">
        <v>341</v>
      </c>
      <c r="P60" s="85">
        <v>2</v>
      </c>
      <c r="Q60" s="85">
        <v>125</v>
      </c>
      <c r="R60" s="85">
        <v>35</v>
      </c>
      <c r="S60" s="85">
        <v>9</v>
      </c>
      <c r="T60" s="85">
        <v>10</v>
      </c>
      <c r="U60" s="85">
        <v>3</v>
      </c>
      <c r="V60" s="85">
        <v>5</v>
      </c>
      <c r="W60" s="85">
        <v>0</v>
      </c>
      <c r="X60" s="85">
        <v>1</v>
      </c>
      <c r="Y60" s="85">
        <v>531</v>
      </c>
      <c r="Z60" s="83">
        <v>531</v>
      </c>
      <c r="AA60" s="81">
        <v>62</v>
      </c>
      <c r="AB60" s="81">
        <v>0</v>
      </c>
      <c r="AC60" s="81">
        <v>0</v>
      </c>
      <c r="AD60" s="81">
        <v>0</v>
      </c>
      <c r="AE60" s="81">
        <v>80</v>
      </c>
      <c r="AF60" s="81">
        <v>4</v>
      </c>
      <c r="AG60" s="81">
        <v>7</v>
      </c>
      <c r="AH60" s="81">
        <v>2</v>
      </c>
      <c r="AI60" s="81">
        <v>0</v>
      </c>
      <c r="AJ60" s="81">
        <v>1</v>
      </c>
      <c r="AK60" s="81">
        <v>2</v>
      </c>
      <c r="AL60" s="81">
        <v>0</v>
      </c>
      <c r="AM60" s="81"/>
      <c r="AN60" s="81">
        <v>157</v>
      </c>
      <c r="AO60" s="83">
        <v>158</v>
      </c>
      <c r="AP60" s="81">
        <v>34</v>
      </c>
      <c r="AQ60" s="81">
        <v>2</v>
      </c>
      <c r="AR60" s="81">
        <v>0</v>
      </c>
      <c r="AS60" s="81">
        <v>25</v>
      </c>
      <c r="AT60" s="81">
        <v>3</v>
      </c>
      <c r="AU60" s="81">
        <v>9</v>
      </c>
      <c r="AV60" s="81">
        <v>6</v>
      </c>
      <c r="AW60" s="81">
        <v>7</v>
      </c>
      <c r="AX60" s="81">
        <v>0</v>
      </c>
      <c r="AY60" s="81">
        <v>1</v>
      </c>
      <c r="AZ60" s="81">
        <v>3</v>
      </c>
      <c r="BA60" s="81">
        <v>2</v>
      </c>
      <c r="BB60" s="81">
        <v>91</v>
      </c>
      <c r="BC60" s="83">
        <v>92</v>
      </c>
      <c r="BD60" s="81">
        <v>247</v>
      </c>
      <c r="BE60" s="81">
        <v>1</v>
      </c>
      <c r="BF60" s="81">
        <v>0</v>
      </c>
      <c r="BG60" s="81">
        <v>109</v>
      </c>
      <c r="BH60" s="81">
        <v>3</v>
      </c>
      <c r="BI60" s="81">
        <v>8</v>
      </c>
      <c r="BJ60" s="81">
        <v>57</v>
      </c>
      <c r="BK60" s="81">
        <v>1</v>
      </c>
      <c r="BL60" s="81">
        <v>3</v>
      </c>
      <c r="BM60" s="81">
        <v>39</v>
      </c>
      <c r="BN60" s="81">
        <v>468</v>
      </c>
      <c r="BO60" s="83">
        <v>468</v>
      </c>
      <c r="BP60" s="81">
        <v>180</v>
      </c>
      <c r="BQ60" s="81">
        <v>1</v>
      </c>
      <c r="BR60" s="81">
        <v>0</v>
      </c>
      <c r="BS60" s="81">
        <v>60</v>
      </c>
      <c r="BT60" s="81">
        <v>1</v>
      </c>
      <c r="BU60" s="81">
        <v>3</v>
      </c>
      <c r="BV60" s="81">
        <v>0</v>
      </c>
      <c r="BW60" s="81">
        <v>3</v>
      </c>
      <c r="BX60" s="81">
        <v>4</v>
      </c>
      <c r="BY60" s="81">
        <v>31</v>
      </c>
      <c r="BZ60" s="81"/>
      <c r="CA60" s="81">
        <v>283</v>
      </c>
      <c r="CB60" s="83">
        <v>283</v>
      </c>
      <c r="CC60" s="81">
        <v>118</v>
      </c>
      <c r="CD60" s="81">
        <v>47</v>
      </c>
      <c r="CE60" s="81">
        <v>165</v>
      </c>
      <c r="CF60" s="81">
        <v>165</v>
      </c>
    </row>
    <row r="61" spans="1:84">
      <c r="A61" s="82">
        <v>36831</v>
      </c>
      <c r="B61" s="81">
        <v>331</v>
      </c>
      <c r="C61" s="81">
        <v>3</v>
      </c>
      <c r="D61" s="81">
        <v>0</v>
      </c>
      <c r="E61" s="81"/>
      <c r="F61" s="81">
        <v>191</v>
      </c>
      <c r="G61" s="81">
        <v>7</v>
      </c>
      <c r="H61" s="81">
        <v>18</v>
      </c>
      <c r="I61" s="81">
        <v>5</v>
      </c>
      <c r="J61" s="81">
        <v>4</v>
      </c>
      <c r="K61" s="81">
        <v>5</v>
      </c>
      <c r="L61" s="81">
        <v>28</v>
      </c>
      <c r="M61" s="81">
        <v>592</v>
      </c>
      <c r="N61" s="83">
        <v>592</v>
      </c>
      <c r="O61" s="85">
        <v>304</v>
      </c>
      <c r="P61" s="85">
        <v>2</v>
      </c>
      <c r="Q61" s="85">
        <v>131</v>
      </c>
      <c r="R61" s="85">
        <v>35</v>
      </c>
      <c r="S61" s="85">
        <v>9</v>
      </c>
      <c r="T61" s="85">
        <v>20</v>
      </c>
      <c r="U61" s="85">
        <v>2</v>
      </c>
      <c r="V61" s="85">
        <v>5</v>
      </c>
      <c r="W61" s="85">
        <v>0</v>
      </c>
      <c r="X61" s="85">
        <v>1</v>
      </c>
      <c r="Y61" s="85">
        <v>510</v>
      </c>
      <c r="Z61" s="83">
        <v>509</v>
      </c>
      <c r="AA61" s="81">
        <v>63</v>
      </c>
      <c r="AB61" s="81">
        <v>1</v>
      </c>
      <c r="AC61" s="81">
        <v>0</v>
      </c>
      <c r="AD61" s="81">
        <v>0</v>
      </c>
      <c r="AE61" s="81">
        <v>80</v>
      </c>
      <c r="AF61" s="81">
        <v>4</v>
      </c>
      <c r="AG61" s="81">
        <v>8</v>
      </c>
      <c r="AH61" s="81">
        <v>2</v>
      </c>
      <c r="AI61" s="81">
        <v>0</v>
      </c>
      <c r="AJ61" s="81">
        <v>2</v>
      </c>
      <c r="AK61" s="81">
        <v>2</v>
      </c>
      <c r="AL61" s="81">
        <v>0</v>
      </c>
      <c r="AM61" s="81"/>
      <c r="AN61" s="81">
        <v>162</v>
      </c>
      <c r="AO61" s="83">
        <v>162</v>
      </c>
      <c r="AP61" s="81">
        <v>36</v>
      </c>
      <c r="AQ61" s="81">
        <v>2</v>
      </c>
      <c r="AR61" s="81">
        <v>0</v>
      </c>
      <c r="AS61" s="81">
        <v>24</v>
      </c>
      <c r="AT61" s="81">
        <v>4</v>
      </c>
      <c r="AU61" s="81">
        <v>9</v>
      </c>
      <c r="AV61" s="81">
        <v>5</v>
      </c>
      <c r="AW61" s="81">
        <v>9</v>
      </c>
      <c r="AX61" s="81">
        <v>0</v>
      </c>
      <c r="AY61" s="81">
        <v>1</v>
      </c>
      <c r="AZ61" s="81">
        <v>3</v>
      </c>
      <c r="BA61" s="81">
        <v>1</v>
      </c>
      <c r="BB61" s="81">
        <v>94</v>
      </c>
      <c r="BC61" s="83">
        <v>94</v>
      </c>
      <c r="BD61" s="81">
        <v>252</v>
      </c>
      <c r="BE61" s="81">
        <v>2</v>
      </c>
      <c r="BF61" s="81">
        <v>0</v>
      </c>
      <c r="BG61" s="81">
        <v>109</v>
      </c>
      <c r="BH61" s="81">
        <v>3</v>
      </c>
      <c r="BI61" s="81">
        <v>9</v>
      </c>
      <c r="BJ61" s="81">
        <v>69</v>
      </c>
      <c r="BK61" s="81">
        <v>1</v>
      </c>
      <c r="BL61" s="81">
        <v>3</v>
      </c>
      <c r="BM61" s="81">
        <v>30</v>
      </c>
      <c r="BN61" s="81">
        <v>477</v>
      </c>
      <c r="BO61" s="83">
        <v>478</v>
      </c>
      <c r="BP61" s="81">
        <v>168</v>
      </c>
      <c r="BQ61" s="81">
        <v>1</v>
      </c>
      <c r="BR61" s="81">
        <v>0</v>
      </c>
      <c r="BS61" s="81">
        <v>67</v>
      </c>
      <c r="BT61" s="81">
        <v>1</v>
      </c>
      <c r="BU61" s="81">
        <v>3</v>
      </c>
      <c r="BV61" s="81">
        <v>0</v>
      </c>
      <c r="BW61" s="81">
        <v>2</v>
      </c>
      <c r="BX61" s="81">
        <v>5</v>
      </c>
      <c r="BY61" s="81">
        <v>32</v>
      </c>
      <c r="BZ61" s="81"/>
      <c r="CA61" s="81">
        <v>278</v>
      </c>
      <c r="CB61" s="83">
        <v>279</v>
      </c>
      <c r="CC61" s="81">
        <v>106</v>
      </c>
      <c r="CD61" s="81">
        <v>53</v>
      </c>
      <c r="CE61" s="81">
        <v>159</v>
      </c>
      <c r="CF61" s="81">
        <v>159</v>
      </c>
    </row>
    <row r="62" spans="1:84">
      <c r="A62" s="82">
        <v>36861</v>
      </c>
      <c r="B62" s="81">
        <v>319</v>
      </c>
      <c r="C62" s="81">
        <v>3</v>
      </c>
      <c r="D62" s="81">
        <v>0</v>
      </c>
      <c r="E62" s="81"/>
      <c r="F62" s="81">
        <v>183</v>
      </c>
      <c r="G62" s="81">
        <v>7</v>
      </c>
      <c r="H62" s="81">
        <v>17</v>
      </c>
      <c r="I62" s="81">
        <v>3</v>
      </c>
      <c r="J62" s="81">
        <v>4</v>
      </c>
      <c r="K62" s="81">
        <v>5</v>
      </c>
      <c r="L62" s="81">
        <v>31</v>
      </c>
      <c r="M62" s="81">
        <v>571</v>
      </c>
      <c r="N62" s="83">
        <v>572</v>
      </c>
      <c r="O62" s="85">
        <v>334</v>
      </c>
      <c r="P62" s="85">
        <v>2</v>
      </c>
      <c r="Q62" s="85">
        <v>119</v>
      </c>
      <c r="R62" s="85">
        <v>34</v>
      </c>
      <c r="S62" s="85">
        <v>9</v>
      </c>
      <c r="T62" s="85">
        <v>17</v>
      </c>
      <c r="U62" s="85">
        <v>3</v>
      </c>
      <c r="V62" s="85">
        <v>5</v>
      </c>
      <c r="W62" s="85">
        <v>0</v>
      </c>
      <c r="X62" s="85">
        <v>1</v>
      </c>
      <c r="Y62" s="85">
        <v>524</v>
      </c>
      <c r="Z62" s="83">
        <v>524</v>
      </c>
      <c r="AA62" s="81">
        <v>59</v>
      </c>
      <c r="AB62" s="81">
        <v>1</v>
      </c>
      <c r="AC62" s="81">
        <v>0</v>
      </c>
      <c r="AD62" s="81">
        <v>0</v>
      </c>
      <c r="AE62" s="81">
        <v>76</v>
      </c>
      <c r="AF62" s="81">
        <v>3</v>
      </c>
      <c r="AG62" s="81">
        <v>8</v>
      </c>
      <c r="AH62" s="81">
        <v>1</v>
      </c>
      <c r="AI62" s="81">
        <v>0</v>
      </c>
      <c r="AJ62" s="81">
        <v>2</v>
      </c>
      <c r="AK62" s="81">
        <v>2</v>
      </c>
      <c r="AL62" s="81">
        <v>0</v>
      </c>
      <c r="AM62" s="81"/>
      <c r="AN62" s="81">
        <v>153</v>
      </c>
      <c r="AO62" s="83">
        <v>152</v>
      </c>
      <c r="AP62" s="81">
        <v>33</v>
      </c>
      <c r="AQ62" s="81">
        <v>1</v>
      </c>
      <c r="AR62" s="81">
        <v>1</v>
      </c>
      <c r="AS62" s="81">
        <v>22</v>
      </c>
      <c r="AT62" s="81">
        <v>3</v>
      </c>
      <c r="AU62" s="81">
        <v>7</v>
      </c>
      <c r="AV62" s="81">
        <v>5</v>
      </c>
      <c r="AW62" s="81">
        <v>7</v>
      </c>
      <c r="AX62" s="81">
        <v>0</v>
      </c>
      <c r="AY62" s="81">
        <v>2</v>
      </c>
      <c r="AZ62" s="81">
        <v>3</v>
      </c>
      <c r="BA62" s="81">
        <v>1</v>
      </c>
      <c r="BB62" s="81">
        <v>86</v>
      </c>
      <c r="BC62" s="83">
        <v>85</v>
      </c>
      <c r="BD62" s="81">
        <v>244</v>
      </c>
      <c r="BE62" s="81">
        <v>1</v>
      </c>
      <c r="BF62" s="81">
        <v>0</v>
      </c>
      <c r="BG62" s="81">
        <v>103</v>
      </c>
      <c r="BH62" s="81">
        <v>3</v>
      </c>
      <c r="BI62" s="81">
        <v>9</v>
      </c>
      <c r="BJ62" s="81">
        <v>64</v>
      </c>
      <c r="BK62" s="81">
        <v>1</v>
      </c>
      <c r="BL62" s="81">
        <v>3</v>
      </c>
      <c r="BM62" s="81">
        <v>30</v>
      </c>
      <c r="BN62" s="81">
        <v>459</v>
      </c>
      <c r="BO62" s="83">
        <v>458</v>
      </c>
      <c r="BP62" s="81">
        <v>136</v>
      </c>
      <c r="BQ62" s="81">
        <v>1</v>
      </c>
      <c r="BR62" s="81">
        <v>0</v>
      </c>
      <c r="BS62" s="81">
        <v>53</v>
      </c>
      <c r="BT62" s="81">
        <v>1</v>
      </c>
      <c r="BU62" s="81">
        <v>2</v>
      </c>
      <c r="BV62" s="81">
        <v>0</v>
      </c>
      <c r="BW62" s="81">
        <v>3</v>
      </c>
      <c r="BX62" s="81">
        <v>4</v>
      </c>
      <c r="BY62" s="81">
        <v>32</v>
      </c>
      <c r="BZ62" s="81"/>
      <c r="CA62" s="81">
        <v>231</v>
      </c>
      <c r="CB62" s="83">
        <v>232</v>
      </c>
      <c r="CC62" s="81">
        <v>67</v>
      </c>
      <c r="CD62" s="81">
        <v>40</v>
      </c>
      <c r="CE62" s="81">
        <v>107</v>
      </c>
      <c r="CF62" s="81">
        <v>107</v>
      </c>
    </row>
    <row r="63" spans="1:84">
      <c r="A63" s="82">
        <v>36892</v>
      </c>
      <c r="B63" s="81">
        <v>315</v>
      </c>
      <c r="C63" s="81">
        <v>3</v>
      </c>
      <c r="D63" s="81">
        <v>0</v>
      </c>
      <c r="E63" s="81"/>
      <c r="F63" s="81">
        <v>190</v>
      </c>
      <c r="G63" s="81">
        <v>7</v>
      </c>
      <c r="H63" s="81">
        <v>17</v>
      </c>
      <c r="I63" s="81">
        <v>1</v>
      </c>
      <c r="J63" s="81">
        <v>3</v>
      </c>
      <c r="K63" s="81">
        <v>3</v>
      </c>
      <c r="L63" s="81">
        <v>24</v>
      </c>
      <c r="M63" s="81">
        <v>563</v>
      </c>
      <c r="N63" s="83">
        <v>563</v>
      </c>
      <c r="O63" s="85">
        <v>280</v>
      </c>
      <c r="P63" s="85">
        <v>2</v>
      </c>
      <c r="Q63" s="85">
        <v>112</v>
      </c>
      <c r="R63" s="85">
        <v>34</v>
      </c>
      <c r="S63" s="85">
        <v>8</v>
      </c>
      <c r="T63" s="85">
        <v>16</v>
      </c>
      <c r="U63" s="85">
        <v>1</v>
      </c>
      <c r="V63" s="85">
        <v>4</v>
      </c>
      <c r="W63" s="85">
        <v>0</v>
      </c>
      <c r="X63" s="85">
        <v>1</v>
      </c>
      <c r="Y63" s="85">
        <v>458</v>
      </c>
      <c r="Z63" s="83">
        <v>458</v>
      </c>
      <c r="AA63" s="81">
        <v>58</v>
      </c>
      <c r="AB63" s="81">
        <v>0</v>
      </c>
      <c r="AC63" s="81">
        <v>0</v>
      </c>
      <c r="AD63" s="81">
        <v>0</v>
      </c>
      <c r="AE63" s="81">
        <v>80</v>
      </c>
      <c r="AF63" s="81">
        <v>3</v>
      </c>
      <c r="AG63" s="81">
        <v>8</v>
      </c>
      <c r="AH63" s="81">
        <v>1</v>
      </c>
      <c r="AI63" s="81">
        <v>0</v>
      </c>
      <c r="AJ63" s="81">
        <v>2</v>
      </c>
      <c r="AK63" s="81">
        <v>1</v>
      </c>
      <c r="AL63" s="81">
        <v>0</v>
      </c>
      <c r="AM63" s="81"/>
      <c r="AN63" s="81">
        <v>153</v>
      </c>
      <c r="AO63" s="83">
        <v>153</v>
      </c>
      <c r="AP63" s="81">
        <v>34</v>
      </c>
      <c r="AQ63" s="81">
        <v>1</v>
      </c>
      <c r="AR63" s="81">
        <v>0</v>
      </c>
      <c r="AS63" s="81">
        <v>28</v>
      </c>
      <c r="AT63" s="81">
        <v>4</v>
      </c>
      <c r="AU63" s="81">
        <v>7</v>
      </c>
      <c r="AV63" s="81">
        <v>6</v>
      </c>
      <c r="AW63" s="81">
        <v>7</v>
      </c>
      <c r="AX63" s="81">
        <v>0</v>
      </c>
      <c r="AY63" s="81">
        <v>2</v>
      </c>
      <c r="AZ63" s="81">
        <v>3</v>
      </c>
      <c r="BA63" s="81">
        <v>3</v>
      </c>
      <c r="BB63" s="81">
        <v>95</v>
      </c>
      <c r="BC63" s="83">
        <v>95</v>
      </c>
      <c r="BD63" s="81">
        <v>242</v>
      </c>
      <c r="BE63" s="81">
        <v>1</v>
      </c>
      <c r="BF63" s="81">
        <v>0</v>
      </c>
      <c r="BG63" s="81">
        <v>108</v>
      </c>
      <c r="BH63" s="81">
        <v>3</v>
      </c>
      <c r="BI63" s="81">
        <v>9</v>
      </c>
      <c r="BJ63" s="81">
        <v>64</v>
      </c>
      <c r="BK63" s="81">
        <v>1</v>
      </c>
      <c r="BL63" s="81">
        <v>2</v>
      </c>
      <c r="BM63" s="81">
        <v>18</v>
      </c>
      <c r="BN63" s="81">
        <v>448</v>
      </c>
      <c r="BO63" s="83">
        <v>448</v>
      </c>
      <c r="BP63" s="81">
        <v>157</v>
      </c>
      <c r="BQ63" s="81">
        <v>1</v>
      </c>
      <c r="BR63" s="81">
        <v>0</v>
      </c>
      <c r="BS63" s="81">
        <v>64</v>
      </c>
      <c r="BT63" s="81">
        <v>1</v>
      </c>
      <c r="BU63" s="81">
        <v>2</v>
      </c>
      <c r="BV63" s="81">
        <v>0</v>
      </c>
      <c r="BW63" s="81">
        <v>3</v>
      </c>
      <c r="BX63" s="81">
        <v>3</v>
      </c>
      <c r="BY63" s="81">
        <v>30</v>
      </c>
      <c r="BZ63" s="81"/>
      <c r="CA63" s="81">
        <v>260</v>
      </c>
      <c r="CB63" s="83">
        <v>261</v>
      </c>
      <c r="CC63" s="81">
        <v>92</v>
      </c>
      <c r="CD63" s="81">
        <v>50</v>
      </c>
      <c r="CE63" s="81">
        <v>142</v>
      </c>
      <c r="CF63" s="81">
        <v>142</v>
      </c>
    </row>
    <row r="64" spans="1:84">
      <c r="A64" s="82">
        <v>36923</v>
      </c>
      <c r="B64" s="81">
        <v>277</v>
      </c>
      <c r="C64" s="81">
        <v>3</v>
      </c>
      <c r="D64" s="81">
        <v>0</v>
      </c>
      <c r="E64" s="81"/>
      <c r="F64" s="81">
        <v>153</v>
      </c>
      <c r="G64" s="81">
        <v>7</v>
      </c>
      <c r="H64" s="81">
        <v>18</v>
      </c>
      <c r="I64" s="81">
        <v>2</v>
      </c>
      <c r="J64" s="81">
        <v>2</v>
      </c>
      <c r="K64" s="81">
        <v>4</v>
      </c>
      <c r="L64" s="81">
        <v>26</v>
      </c>
      <c r="M64" s="81">
        <v>492</v>
      </c>
      <c r="N64" s="83">
        <v>492</v>
      </c>
      <c r="O64" s="85">
        <v>255</v>
      </c>
      <c r="P64" s="85">
        <v>2</v>
      </c>
      <c r="Q64" s="85">
        <v>152</v>
      </c>
      <c r="R64" s="85">
        <v>32</v>
      </c>
      <c r="S64" s="85">
        <v>6</v>
      </c>
      <c r="T64" s="85">
        <v>14</v>
      </c>
      <c r="U64" s="85">
        <v>4</v>
      </c>
      <c r="V64" s="85">
        <v>5</v>
      </c>
      <c r="W64" s="85">
        <v>0</v>
      </c>
      <c r="X64" s="85">
        <v>1</v>
      </c>
      <c r="Y64" s="85">
        <v>470</v>
      </c>
      <c r="Z64" s="83">
        <v>471</v>
      </c>
      <c r="AA64" s="81">
        <v>51</v>
      </c>
      <c r="AB64" s="81">
        <v>1</v>
      </c>
      <c r="AC64" s="81">
        <v>0</v>
      </c>
      <c r="AD64" s="81">
        <v>0</v>
      </c>
      <c r="AE64" s="81">
        <v>64</v>
      </c>
      <c r="AF64" s="81">
        <v>3</v>
      </c>
      <c r="AG64" s="81">
        <v>9</v>
      </c>
      <c r="AH64" s="81">
        <v>1</v>
      </c>
      <c r="AI64" s="81">
        <v>0</v>
      </c>
      <c r="AJ64" s="81">
        <v>1</v>
      </c>
      <c r="AK64" s="81">
        <v>2</v>
      </c>
      <c r="AL64" s="81">
        <v>0</v>
      </c>
      <c r="AM64" s="81"/>
      <c r="AN64" s="81">
        <v>131</v>
      </c>
      <c r="AO64" s="83">
        <v>132</v>
      </c>
      <c r="AP64" s="81">
        <v>34</v>
      </c>
      <c r="AQ64" s="81">
        <v>1</v>
      </c>
      <c r="AR64" s="81">
        <v>0</v>
      </c>
      <c r="AS64" s="81">
        <v>30</v>
      </c>
      <c r="AT64" s="81">
        <v>4</v>
      </c>
      <c r="AU64" s="81">
        <v>8</v>
      </c>
      <c r="AV64" s="81">
        <v>6</v>
      </c>
      <c r="AW64" s="81">
        <v>7</v>
      </c>
      <c r="AX64" s="81">
        <v>0</v>
      </c>
      <c r="AY64" s="81">
        <v>2</v>
      </c>
      <c r="AZ64" s="81">
        <v>2</v>
      </c>
      <c r="BA64" s="81">
        <v>3</v>
      </c>
      <c r="BB64" s="81">
        <v>97</v>
      </c>
      <c r="BC64" s="83">
        <v>97</v>
      </c>
      <c r="BD64" s="81">
        <v>213</v>
      </c>
      <c r="BE64" s="81">
        <v>2</v>
      </c>
      <c r="BF64" s="81">
        <v>0</v>
      </c>
      <c r="BG64" s="81">
        <v>87</v>
      </c>
      <c r="BH64" s="81">
        <v>3</v>
      </c>
      <c r="BI64" s="81">
        <v>10</v>
      </c>
      <c r="BJ64" s="81">
        <v>69</v>
      </c>
      <c r="BK64" s="81">
        <v>1</v>
      </c>
      <c r="BL64" s="81">
        <v>2</v>
      </c>
      <c r="BM64" s="81">
        <v>18</v>
      </c>
      <c r="BN64" s="81">
        <v>404</v>
      </c>
      <c r="BO64" s="83">
        <v>405</v>
      </c>
      <c r="BP64" s="81">
        <v>146</v>
      </c>
      <c r="BQ64" s="81">
        <v>1</v>
      </c>
      <c r="BR64" s="81">
        <v>0</v>
      </c>
      <c r="BS64" s="81">
        <v>53</v>
      </c>
      <c r="BT64" s="81">
        <v>1</v>
      </c>
      <c r="BU64" s="81">
        <v>3</v>
      </c>
      <c r="BV64" s="81">
        <v>0</v>
      </c>
      <c r="BW64" s="81">
        <v>2</v>
      </c>
      <c r="BX64" s="81">
        <v>3</v>
      </c>
      <c r="BY64" s="81">
        <v>17</v>
      </c>
      <c r="BZ64" s="81"/>
      <c r="CA64" s="81">
        <v>225</v>
      </c>
      <c r="CB64" s="83">
        <v>226</v>
      </c>
      <c r="CC64" s="81">
        <v>85</v>
      </c>
      <c r="CD64" s="81">
        <v>40</v>
      </c>
      <c r="CE64" s="81">
        <v>125</v>
      </c>
      <c r="CF64" s="81">
        <v>125</v>
      </c>
    </row>
    <row r="65" spans="1:84">
      <c r="A65" s="82">
        <v>36951</v>
      </c>
      <c r="B65" s="81">
        <v>335</v>
      </c>
      <c r="C65" s="81">
        <v>3</v>
      </c>
      <c r="D65" s="81">
        <v>0</v>
      </c>
      <c r="E65" s="81"/>
      <c r="F65" s="81">
        <v>179</v>
      </c>
      <c r="G65" s="81">
        <v>7</v>
      </c>
      <c r="H65" s="81">
        <v>20</v>
      </c>
      <c r="I65" s="81">
        <v>5</v>
      </c>
      <c r="J65" s="81">
        <v>4</v>
      </c>
      <c r="K65" s="81">
        <v>5</v>
      </c>
      <c r="L65" s="81">
        <v>29</v>
      </c>
      <c r="M65" s="81">
        <v>586</v>
      </c>
      <c r="N65" s="83">
        <v>587</v>
      </c>
      <c r="O65" s="85">
        <v>264</v>
      </c>
      <c r="P65" s="85">
        <v>1</v>
      </c>
      <c r="Q65" s="85">
        <v>131</v>
      </c>
      <c r="R65" s="85">
        <v>32</v>
      </c>
      <c r="S65" s="85">
        <v>5</v>
      </c>
      <c r="T65" s="85">
        <v>9</v>
      </c>
      <c r="U65" s="85">
        <v>1</v>
      </c>
      <c r="V65" s="85">
        <v>2</v>
      </c>
      <c r="W65" s="85">
        <v>0</v>
      </c>
      <c r="X65" s="85">
        <v>1</v>
      </c>
      <c r="Y65" s="85">
        <v>446</v>
      </c>
      <c r="Z65" s="83">
        <v>446</v>
      </c>
      <c r="AA65" s="81">
        <v>62</v>
      </c>
      <c r="AB65" s="81">
        <v>1</v>
      </c>
      <c r="AC65" s="81">
        <v>0</v>
      </c>
      <c r="AD65" s="81">
        <v>0</v>
      </c>
      <c r="AE65" s="81">
        <v>75</v>
      </c>
      <c r="AF65" s="81">
        <v>4</v>
      </c>
      <c r="AG65" s="81">
        <v>10</v>
      </c>
      <c r="AH65" s="81">
        <v>2</v>
      </c>
      <c r="AI65" s="81">
        <v>0</v>
      </c>
      <c r="AJ65" s="81">
        <v>2</v>
      </c>
      <c r="AK65" s="81">
        <v>2</v>
      </c>
      <c r="AL65" s="81">
        <v>0</v>
      </c>
      <c r="AM65" s="81"/>
      <c r="AN65" s="81">
        <v>157</v>
      </c>
      <c r="AO65" s="83">
        <v>158</v>
      </c>
      <c r="AP65" s="81">
        <v>36</v>
      </c>
      <c r="AQ65" s="81">
        <v>1</v>
      </c>
      <c r="AR65" s="81">
        <v>0</v>
      </c>
      <c r="AS65" s="81">
        <v>27</v>
      </c>
      <c r="AT65" s="81">
        <v>3</v>
      </c>
      <c r="AU65" s="81">
        <v>8</v>
      </c>
      <c r="AV65" s="81">
        <v>7</v>
      </c>
      <c r="AW65" s="81">
        <v>8</v>
      </c>
      <c r="AX65" s="81">
        <v>0</v>
      </c>
      <c r="AY65" s="81">
        <v>3</v>
      </c>
      <c r="AZ65" s="81">
        <v>2</v>
      </c>
      <c r="BA65" s="81">
        <v>5</v>
      </c>
      <c r="BB65" s="81">
        <v>98</v>
      </c>
      <c r="BC65" s="83">
        <v>100</v>
      </c>
      <c r="BD65" s="81">
        <v>260</v>
      </c>
      <c r="BE65" s="81">
        <v>2</v>
      </c>
      <c r="BF65" s="81">
        <v>0</v>
      </c>
      <c r="BG65" s="81">
        <v>103</v>
      </c>
      <c r="BH65" s="81">
        <v>3</v>
      </c>
      <c r="BI65" s="81">
        <v>11</v>
      </c>
      <c r="BJ65" s="81">
        <v>75</v>
      </c>
      <c r="BK65" s="81">
        <v>1</v>
      </c>
      <c r="BL65" s="81">
        <v>3</v>
      </c>
      <c r="BM65" s="81">
        <v>27</v>
      </c>
      <c r="BN65" s="81">
        <v>485</v>
      </c>
      <c r="BO65" s="83">
        <v>485</v>
      </c>
      <c r="BP65" s="81">
        <v>151</v>
      </c>
      <c r="BQ65" s="81">
        <v>1</v>
      </c>
      <c r="BR65" s="81">
        <v>0</v>
      </c>
      <c r="BS65" s="81">
        <v>50</v>
      </c>
      <c r="BT65" s="81">
        <v>1</v>
      </c>
      <c r="BU65" s="81">
        <v>2</v>
      </c>
      <c r="BV65" s="81">
        <v>0</v>
      </c>
      <c r="BW65" s="81">
        <v>2</v>
      </c>
      <c r="BX65" s="81">
        <v>3</v>
      </c>
      <c r="BY65" s="81">
        <v>23</v>
      </c>
      <c r="BZ65" s="81"/>
      <c r="CA65" s="81">
        <v>232</v>
      </c>
      <c r="CB65" s="83">
        <v>233</v>
      </c>
      <c r="CC65" s="81">
        <v>92</v>
      </c>
      <c r="CD65" s="81">
        <v>37</v>
      </c>
      <c r="CE65" s="81">
        <v>129</v>
      </c>
      <c r="CF65" s="81">
        <v>129</v>
      </c>
    </row>
    <row r="66" spans="1:84">
      <c r="A66" s="82">
        <v>36982</v>
      </c>
      <c r="B66" s="81">
        <v>324</v>
      </c>
      <c r="C66" s="81">
        <v>2</v>
      </c>
      <c r="D66" s="81">
        <v>0</v>
      </c>
      <c r="E66" s="81"/>
      <c r="F66" s="81">
        <v>195</v>
      </c>
      <c r="G66" s="81">
        <v>8</v>
      </c>
      <c r="H66" s="81">
        <v>19</v>
      </c>
      <c r="I66" s="81">
        <v>5</v>
      </c>
      <c r="J66" s="81">
        <v>2</v>
      </c>
      <c r="K66" s="81">
        <v>4</v>
      </c>
      <c r="L66" s="81">
        <v>27</v>
      </c>
      <c r="M66" s="81">
        <v>587</v>
      </c>
      <c r="N66" s="83">
        <v>586</v>
      </c>
      <c r="O66" s="85">
        <v>294</v>
      </c>
      <c r="P66" s="85">
        <v>0</v>
      </c>
      <c r="Q66" s="85">
        <v>150</v>
      </c>
      <c r="R66" s="85">
        <v>34</v>
      </c>
      <c r="S66" s="85">
        <v>4</v>
      </c>
      <c r="T66" s="85">
        <v>12</v>
      </c>
      <c r="U66" s="85">
        <v>5</v>
      </c>
      <c r="V66" s="85">
        <v>4</v>
      </c>
      <c r="W66" s="85">
        <v>0</v>
      </c>
      <c r="X66" s="85">
        <v>1</v>
      </c>
      <c r="Y66" s="85">
        <v>505</v>
      </c>
      <c r="Z66" s="83">
        <v>504</v>
      </c>
      <c r="AA66" s="81">
        <v>60</v>
      </c>
      <c r="AB66" s="81">
        <v>1</v>
      </c>
      <c r="AC66" s="81">
        <v>0</v>
      </c>
      <c r="AD66" s="81">
        <v>0</v>
      </c>
      <c r="AE66" s="81">
        <v>79</v>
      </c>
      <c r="AF66" s="81">
        <v>4</v>
      </c>
      <c r="AG66" s="81">
        <v>10</v>
      </c>
      <c r="AH66" s="81">
        <v>2</v>
      </c>
      <c r="AI66" s="81">
        <v>0</v>
      </c>
      <c r="AJ66" s="81">
        <v>1</v>
      </c>
      <c r="AK66" s="81">
        <v>2</v>
      </c>
      <c r="AL66" s="81">
        <v>0</v>
      </c>
      <c r="AM66" s="81"/>
      <c r="AN66" s="81">
        <v>158</v>
      </c>
      <c r="AO66" s="83">
        <v>159</v>
      </c>
      <c r="AP66" s="81">
        <v>35</v>
      </c>
      <c r="AQ66" s="81">
        <v>0</v>
      </c>
      <c r="AR66" s="81">
        <v>0</v>
      </c>
      <c r="AS66" s="81">
        <v>26</v>
      </c>
      <c r="AT66" s="81">
        <v>4</v>
      </c>
      <c r="AU66" s="81">
        <v>9</v>
      </c>
      <c r="AV66" s="81">
        <v>6</v>
      </c>
      <c r="AW66" s="81">
        <v>7</v>
      </c>
      <c r="AX66" s="81">
        <v>0</v>
      </c>
      <c r="AY66" s="81">
        <v>1</v>
      </c>
      <c r="AZ66" s="81">
        <v>2</v>
      </c>
      <c r="BA66" s="81">
        <v>3</v>
      </c>
      <c r="BB66" s="81">
        <v>94</v>
      </c>
      <c r="BC66" s="83">
        <v>93</v>
      </c>
      <c r="BD66" s="81">
        <v>252</v>
      </c>
      <c r="BE66" s="81">
        <v>1</v>
      </c>
      <c r="BF66" s="81">
        <v>0</v>
      </c>
      <c r="BG66" s="81">
        <v>114</v>
      </c>
      <c r="BH66" s="81">
        <v>4</v>
      </c>
      <c r="BI66" s="81">
        <v>10</v>
      </c>
      <c r="BJ66" s="81">
        <v>72</v>
      </c>
      <c r="BK66" s="81">
        <v>1</v>
      </c>
      <c r="BL66" s="81">
        <v>3</v>
      </c>
      <c r="BM66" s="81">
        <v>29</v>
      </c>
      <c r="BN66" s="81">
        <v>485</v>
      </c>
      <c r="BO66" s="83">
        <v>486</v>
      </c>
      <c r="BP66" s="81">
        <v>156</v>
      </c>
      <c r="BQ66" s="81">
        <v>1</v>
      </c>
      <c r="BR66" s="81">
        <v>0</v>
      </c>
      <c r="BS66" s="81">
        <v>62</v>
      </c>
      <c r="BT66" s="81">
        <v>1</v>
      </c>
      <c r="BU66" s="81">
        <v>2</v>
      </c>
      <c r="BV66" s="81">
        <v>0</v>
      </c>
      <c r="BW66" s="81">
        <v>4</v>
      </c>
      <c r="BX66" s="81">
        <v>2</v>
      </c>
      <c r="BY66" s="81">
        <v>20</v>
      </c>
      <c r="BZ66" s="81"/>
      <c r="CA66" s="81">
        <v>248</v>
      </c>
      <c r="CB66" s="83">
        <v>248</v>
      </c>
      <c r="CC66" s="81">
        <v>95</v>
      </c>
      <c r="CD66" s="81">
        <v>49</v>
      </c>
      <c r="CE66" s="81">
        <v>144</v>
      </c>
      <c r="CF66" s="81">
        <v>144</v>
      </c>
    </row>
    <row r="67" spans="1:84">
      <c r="A67" s="82">
        <v>37012</v>
      </c>
      <c r="B67" s="81">
        <v>316</v>
      </c>
      <c r="C67" s="81">
        <v>3</v>
      </c>
      <c r="D67" s="81">
        <v>0</v>
      </c>
      <c r="E67" s="81"/>
      <c r="F67" s="81">
        <v>174</v>
      </c>
      <c r="G67" s="81">
        <v>7</v>
      </c>
      <c r="H67" s="81">
        <v>19</v>
      </c>
      <c r="I67" s="81">
        <v>4</v>
      </c>
      <c r="J67" s="81">
        <v>4</v>
      </c>
      <c r="K67" s="81">
        <v>4</v>
      </c>
      <c r="L67" s="81">
        <v>29</v>
      </c>
      <c r="M67" s="81">
        <v>561</v>
      </c>
      <c r="N67" s="83">
        <v>560</v>
      </c>
      <c r="O67" s="85">
        <v>331</v>
      </c>
      <c r="P67" s="85">
        <v>1</v>
      </c>
      <c r="Q67" s="85">
        <v>148</v>
      </c>
      <c r="R67" s="85">
        <v>33</v>
      </c>
      <c r="S67" s="85">
        <v>5</v>
      </c>
      <c r="T67" s="85">
        <v>12</v>
      </c>
      <c r="U67" s="85">
        <v>3</v>
      </c>
      <c r="V67" s="85">
        <v>3</v>
      </c>
      <c r="W67" s="85">
        <v>0</v>
      </c>
      <c r="X67" s="85">
        <v>1</v>
      </c>
      <c r="Y67" s="85">
        <v>537</v>
      </c>
      <c r="Z67" s="83">
        <v>537</v>
      </c>
      <c r="AA67" s="81">
        <v>59</v>
      </c>
      <c r="AB67" s="81">
        <v>1</v>
      </c>
      <c r="AC67" s="81">
        <v>0</v>
      </c>
      <c r="AD67" s="81">
        <v>0</v>
      </c>
      <c r="AE67" s="81">
        <v>74</v>
      </c>
      <c r="AF67" s="81">
        <v>3</v>
      </c>
      <c r="AG67" s="81">
        <v>9</v>
      </c>
      <c r="AH67" s="81">
        <v>2</v>
      </c>
      <c r="AI67" s="81">
        <v>0</v>
      </c>
      <c r="AJ67" s="81">
        <v>2</v>
      </c>
      <c r="AK67" s="81">
        <v>2</v>
      </c>
      <c r="AL67" s="81">
        <v>0</v>
      </c>
      <c r="AM67" s="81"/>
      <c r="AN67" s="81">
        <v>151</v>
      </c>
      <c r="AO67" s="83">
        <v>152</v>
      </c>
      <c r="AP67" s="81">
        <v>36</v>
      </c>
      <c r="AQ67" s="81">
        <v>0</v>
      </c>
      <c r="AR67" s="81">
        <v>0</v>
      </c>
      <c r="AS67" s="81">
        <v>23</v>
      </c>
      <c r="AT67" s="81">
        <v>4</v>
      </c>
      <c r="AU67" s="81">
        <v>7</v>
      </c>
      <c r="AV67" s="81">
        <v>6</v>
      </c>
      <c r="AW67" s="81">
        <v>10</v>
      </c>
      <c r="AX67" s="81">
        <v>0</v>
      </c>
      <c r="AY67" s="81">
        <v>2</v>
      </c>
      <c r="AZ67" s="81">
        <v>2</v>
      </c>
      <c r="BA67" s="81">
        <v>5</v>
      </c>
      <c r="BB67" s="81">
        <v>96</v>
      </c>
      <c r="BC67" s="83">
        <v>95</v>
      </c>
      <c r="BD67" s="81">
        <v>244</v>
      </c>
      <c r="BE67" s="81">
        <v>1</v>
      </c>
      <c r="BF67" s="81">
        <v>0</v>
      </c>
      <c r="BG67" s="81">
        <v>100</v>
      </c>
      <c r="BH67" s="81">
        <v>3</v>
      </c>
      <c r="BI67" s="81">
        <v>10</v>
      </c>
      <c r="BJ67" s="81">
        <v>73</v>
      </c>
      <c r="BK67" s="81">
        <v>1</v>
      </c>
      <c r="BL67" s="81">
        <v>3</v>
      </c>
      <c r="BM67" s="81">
        <v>33</v>
      </c>
      <c r="BN67" s="81">
        <v>468</v>
      </c>
      <c r="BO67" s="83">
        <v>468</v>
      </c>
      <c r="BP67" s="81">
        <v>146</v>
      </c>
      <c r="BQ67" s="81">
        <v>1</v>
      </c>
      <c r="BR67" s="81">
        <v>0</v>
      </c>
      <c r="BS67" s="81">
        <v>62</v>
      </c>
      <c r="BT67" s="81">
        <v>1</v>
      </c>
      <c r="BU67" s="81">
        <v>2</v>
      </c>
      <c r="BV67" s="81">
        <v>0</v>
      </c>
      <c r="BW67" s="81">
        <v>3</v>
      </c>
      <c r="BX67" s="81">
        <v>2</v>
      </c>
      <c r="BY67" s="81">
        <v>18</v>
      </c>
      <c r="BZ67" s="81"/>
      <c r="CA67" s="81">
        <v>234</v>
      </c>
      <c r="CB67" s="83">
        <v>235</v>
      </c>
      <c r="CC67" s="81">
        <v>85</v>
      </c>
      <c r="CD67" s="81">
        <v>48</v>
      </c>
      <c r="CE67" s="81">
        <v>133</v>
      </c>
      <c r="CF67" s="81">
        <v>133</v>
      </c>
    </row>
    <row r="68" spans="1:84">
      <c r="A68" s="82">
        <v>37043</v>
      </c>
      <c r="B68" s="81">
        <v>314</v>
      </c>
      <c r="C68" s="81">
        <v>2</v>
      </c>
      <c r="D68" s="81">
        <v>0</v>
      </c>
      <c r="E68" s="81"/>
      <c r="F68" s="81">
        <v>188</v>
      </c>
      <c r="G68" s="81">
        <v>8</v>
      </c>
      <c r="H68" s="81">
        <v>21</v>
      </c>
      <c r="I68" s="81">
        <v>3</v>
      </c>
      <c r="J68" s="81">
        <v>3</v>
      </c>
      <c r="K68" s="81">
        <v>5</v>
      </c>
      <c r="L68" s="81">
        <v>27</v>
      </c>
      <c r="M68" s="81">
        <v>572</v>
      </c>
      <c r="N68" s="83">
        <v>571</v>
      </c>
      <c r="O68" s="85">
        <v>326</v>
      </c>
      <c r="P68" s="85">
        <v>2</v>
      </c>
      <c r="Q68" s="85">
        <v>151</v>
      </c>
      <c r="R68" s="85">
        <v>36</v>
      </c>
      <c r="S68" s="85">
        <v>4</v>
      </c>
      <c r="T68" s="85">
        <v>9</v>
      </c>
      <c r="U68" s="85">
        <v>3</v>
      </c>
      <c r="V68" s="85">
        <v>1</v>
      </c>
      <c r="W68" s="85">
        <v>0</v>
      </c>
      <c r="X68" s="85">
        <v>1</v>
      </c>
      <c r="Y68" s="85">
        <v>532</v>
      </c>
      <c r="Z68" s="83">
        <v>533</v>
      </c>
      <c r="AA68" s="81">
        <v>60</v>
      </c>
      <c r="AB68" s="81">
        <v>0</v>
      </c>
      <c r="AC68" s="81">
        <v>0</v>
      </c>
      <c r="AD68" s="81">
        <v>0</v>
      </c>
      <c r="AE68" s="81">
        <v>79</v>
      </c>
      <c r="AF68" s="81">
        <v>4</v>
      </c>
      <c r="AG68" s="81">
        <v>10</v>
      </c>
      <c r="AH68" s="81">
        <v>1</v>
      </c>
      <c r="AI68" s="81">
        <v>0</v>
      </c>
      <c r="AJ68" s="81">
        <v>2</v>
      </c>
      <c r="AK68" s="81">
        <v>2</v>
      </c>
      <c r="AL68" s="81">
        <v>0</v>
      </c>
      <c r="AM68" s="81"/>
      <c r="AN68" s="81">
        <v>158</v>
      </c>
      <c r="AO68" s="83">
        <v>158</v>
      </c>
      <c r="AP68" s="81">
        <v>36</v>
      </c>
      <c r="AQ68" s="81">
        <v>1</v>
      </c>
      <c r="AR68" s="81">
        <v>0</v>
      </c>
      <c r="AS68" s="81">
        <v>26</v>
      </c>
      <c r="AT68" s="81">
        <v>4</v>
      </c>
      <c r="AU68" s="81">
        <v>10</v>
      </c>
      <c r="AV68" s="81">
        <v>5</v>
      </c>
      <c r="AW68" s="81">
        <v>10</v>
      </c>
      <c r="AX68" s="81">
        <v>0</v>
      </c>
      <c r="AY68" s="81">
        <v>1</v>
      </c>
      <c r="AZ68" s="81">
        <v>2</v>
      </c>
      <c r="BA68" s="81">
        <v>4</v>
      </c>
      <c r="BB68" s="81">
        <v>100</v>
      </c>
      <c r="BC68" s="83">
        <v>99</v>
      </c>
      <c r="BD68" s="81">
        <v>241</v>
      </c>
      <c r="BE68" s="81">
        <v>1</v>
      </c>
      <c r="BF68" s="81">
        <v>0</v>
      </c>
      <c r="BG68" s="81">
        <v>108</v>
      </c>
      <c r="BH68" s="81">
        <v>3</v>
      </c>
      <c r="BI68" s="81">
        <v>11</v>
      </c>
      <c r="BJ68" s="81">
        <v>79</v>
      </c>
      <c r="BK68" s="81">
        <v>1</v>
      </c>
      <c r="BL68" s="81">
        <v>3</v>
      </c>
      <c r="BM68" s="81">
        <v>35</v>
      </c>
      <c r="BN68" s="81">
        <v>482</v>
      </c>
      <c r="BO68" s="83">
        <v>482</v>
      </c>
      <c r="BP68" s="81">
        <v>131</v>
      </c>
      <c r="BQ68" s="81">
        <v>1</v>
      </c>
      <c r="BR68" s="81">
        <v>0</v>
      </c>
      <c r="BS68" s="81">
        <v>72</v>
      </c>
      <c r="BT68" s="81">
        <v>1</v>
      </c>
      <c r="BU68" s="81">
        <v>3</v>
      </c>
      <c r="BV68" s="81">
        <v>0</v>
      </c>
      <c r="BW68" s="81">
        <v>3</v>
      </c>
      <c r="BX68" s="81">
        <v>3</v>
      </c>
      <c r="BY68" s="81">
        <v>18</v>
      </c>
      <c r="BZ68" s="81"/>
      <c r="CA68" s="81">
        <v>231</v>
      </c>
      <c r="CB68" s="83">
        <v>232</v>
      </c>
      <c r="CC68" s="81">
        <v>70</v>
      </c>
      <c r="CD68" s="81">
        <v>58</v>
      </c>
      <c r="CE68" s="81">
        <v>129</v>
      </c>
      <c r="CF68" s="81">
        <v>128</v>
      </c>
    </row>
    <row r="69" spans="1:84">
      <c r="A69" s="82">
        <v>37073</v>
      </c>
      <c r="B69" s="81">
        <v>307</v>
      </c>
      <c r="C69" s="81">
        <v>3</v>
      </c>
      <c r="D69" s="81">
        <v>0</v>
      </c>
      <c r="E69" s="81"/>
      <c r="F69" s="81">
        <v>202</v>
      </c>
      <c r="G69" s="81">
        <v>8</v>
      </c>
      <c r="H69" s="81">
        <v>21</v>
      </c>
      <c r="I69" s="81">
        <v>4</v>
      </c>
      <c r="J69" s="81">
        <v>3</v>
      </c>
      <c r="K69" s="81">
        <v>3</v>
      </c>
      <c r="L69" s="81">
        <v>26</v>
      </c>
      <c r="M69" s="81">
        <v>577</v>
      </c>
      <c r="N69" s="83">
        <v>577</v>
      </c>
      <c r="O69" s="85">
        <v>327</v>
      </c>
      <c r="P69" s="85">
        <v>1</v>
      </c>
      <c r="Q69" s="85">
        <v>161</v>
      </c>
      <c r="R69" s="85">
        <v>35</v>
      </c>
      <c r="S69" s="85">
        <v>3</v>
      </c>
      <c r="T69" s="85">
        <v>5</v>
      </c>
      <c r="U69" s="85">
        <v>3</v>
      </c>
      <c r="V69" s="85">
        <v>2</v>
      </c>
      <c r="W69" s="85">
        <v>0</v>
      </c>
      <c r="X69" s="85">
        <v>1</v>
      </c>
      <c r="Y69" s="85">
        <v>536</v>
      </c>
      <c r="Z69" s="83">
        <v>538</v>
      </c>
      <c r="AA69" s="81">
        <v>59</v>
      </c>
      <c r="AB69" s="81">
        <v>1</v>
      </c>
      <c r="AC69" s="81">
        <v>0</v>
      </c>
      <c r="AD69" s="81">
        <v>0</v>
      </c>
      <c r="AE69" s="81">
        <v>82</v>
      </c>
      <c r="AF69" s="81">
        <v>4</v>
      </c>
      <c r="AG69" s="81">
        <v>10</v>
      </c>
      <c r="AH69" s="81">
        <v>2</v>
      </c>
      <c r="AI69" s="81">
        <v>0</v>
      </c>
      <c r="AJ69" s="81">
        <v>2</v>
      </c>
      <c r="AK69" s="81">
        <v>1</v>
      </c>
      <c r="AL69" s="81">
        <v>0</v>
      </c>
      <c r="AM69" s="81"/>
      <c r="AN69" s="81">
        <v>161</v>
      </c>
      <c r="AO69" s="83">
        <v>161</v>
      </c>
      <c r="AP69" s="81">
        <v>39</v>
      </c>
      <c r="AQ69" s="81">
        <v>1</v>
      </c>
      <c r="AR69" s="81">
        <v>0</v>
      </c>
      <c r="AS69" s="81">
        <v>30</v>
      </c>
      <c r="AT69" s="81">
        <v>4</v>
      </c>
      <c r="AU69" s="81">
        <v>9</v>
      </c>
      <c r="AV69" s="81">
        <v>5</v>
      </c>
      <c r="AW69" s="81">
        <v>11</v>
      </c>
      <c r="AX69" s="81">
        <v>0</v>
      </c>
      <c r="AY69" s="81">
        <v>1</v>
      </c>
      <c r="AZ69" s="81">
        <v>2</v>
      </c>
      <c r="BA69" s="81">
        <v>1</v>
      </c>
      <c r="BB69" s="81">
        <v>104</v>
      </c>
      <c r="BC69" s="83">
        <v>103</v>
      </c>
      <c r="BD69" s="81">
        <v>241</v>
      </c>
      <c r="BE69" s="81">
        <v>2</v>
      </c>
      <c r="BF69" s="81">
        <v>0</v>
      </c>
      <c r="BG69" s="81">
        <v>112</v>
      </c>
      <c r="BH69" s="81">
        <v>3</v>
      </c>
      <c r="BI69" s="81">
        <v>11</v>
      </c>
      <c r="BJ69" s="81">
        <v>80</v>
      </c>
      <c r="BK69" s="81">
        <v>1</v>
      </c>
      <c r="BL69" s="81">
        <v>2</v>
      </c>
      <c r="BM69" s="81">
        <v>29</v>
      </c>
      <c r="BN69" s="81">
        <v>481</v>
      </c>
      <c r="BO69" s="83">
        <v>481</v>
      </c>
      <c r="BP69" s="81">
        <v>131</v>
      </c>
      <c r="BQ69" s="81">
        <v>1</v>
      </c>
      <c r="BR69" s="81">
        <v>0</v>
      </c>
      <c r="BS69" s="81">
        <v>82</v>
      </c>
      <c r="BT69" s="81">
        <v>1</v>
      </c>
      <c r="BU69" s="81">
        <v>2</v>
      </c>
      <c r="BV69" s="81">
        <v>0</v>
      </c>
      <c r="BW69" s="81">
        <v>3</v>
      </c>
      <c r="BX69" s="81">
        <v>2</v>
      </c>
      <c r="BY69" s="81">
        <v>43</v>
      </c>
      <c r="BZ69" s="81"/>
      <c r="CA69" s="81">
        <v>265</v>
      </c>
      <c r="CB69" s="83">
        <v>265</v>
      </c>
      <c r="CC69" s="81">
        <v>74</v>
      </c>
      <c r="CD69" s="81">
        <v>68</v>
      </c>
      <c r="CE69" s="81">
        <v>142</v>
      </c>
      <c r="CF69" s="81">
        <v>142</v>
      </c>
    </row>
    <row r="70" spans="1:84">
      <c r="A70" s="82">
        <v>37104</v>
      </c>
      <c r="B70" s="81">
        <v>282</v>
      </c>
      <c r="C70" s="81">
        <v>2</v>
      </c>
      <c r="D70" s="81">
        <v>0</v>
      </c>
      <c r="E70" s="81"/>
      <c r="F70" s="81">
        <v>139</v>
      </c>
      <c r="G70" s="81">
        <v>7</v>
      </c>
      <c r="H70" s="81">
        <v>18</v>
      </c>
      <c r="I70" s="81">
        <v>0</v>
      </c>
      <c r="J70" s="81">
        <v>2</v>
      </c>
      <c r="K70" s="81">
        <v>4</v>
      </c>
      <c r="L70" s="81">
        <v>27</v>
      </c>
      <c r="M70" s="81">
        <v>482</v>
      </c>
      <c r="N70" s="83">
        <v>481</v>
      </c>
      <c r="O70" s="85">
        <v>335</v>
      </c>
      <c r="P70" s="85">
        <v>1</v>
      </c>
      <c r="Q70" s="85">
        <v>171</v>
      </c>
      <c r="R70" s="85">
        <v>34</v>
      </c>
      <c r="S70" s="85">
        <v>3</v>
      </c>
      <c r="T70" s="85">
        <v>5</v>
      </c>
      <c r="U70" s="85">
        <v>3</v>
      </c>
      <c r="V70" s="85">
        <v>2</v>
      </c>
      <c r="W70" s="85">
        <v>0</v>
      </c>
      <c r="X70" s="85">
        <v>1</v>
      </c>
      <c r="Y70" s="85">
        <v>554</v>
      </c>
      <c r="Z70" s="83">
        <v>555</v>
      </c>
      <c r="AA70" s="81">
        <v>53</v>
      </c>
      <c r="AB70" s="81">
        <v>1</v>
      </c>
      <c r="AC70" s="81">
        <v>0</v>
      </c>
      <c r="AD70" s="81">
        <v>0</v>
      </c>
      <c r="AE70" s="81">
        <v>58</v>
      </c>
      <c r="AF70" s="81">
        <v>3</v>
      </c>
      <c r="AG70" s="81">
        <v>9</v>
      </c>
      <c r="AH70" s="81">
        <v>0</v>
      </c>
      <c r="AI70" s="81">
        <v>0</v>
      </c>
      <c r="AJ70" s="81">
        <v>1</v>
      </c>
      <c r="AK70" s="81">
        <v>2</v>
      </c>
      <c r="AL70" s="81">
        <v>0</v>
      </c>
      <c r="AM70" s="81"/>
      <c r="AN70" s="81">
        <v>126</v>
      </c>
      <c r="AO70" s="83">
        <v>127</v>
      </c>
      <c r="AP70" s="81">
        <v>40</v>
      </c>
      <c r="AQ70" s="81">
        <v>0</v>
      </c>
      <c r="AR70" s="81">
        <v>0</v>
      </c>
      <c r="AS70" s="81">
        <v>29</v>
      </c>
      <c r="AT70" s="81">
        <v>4</v>
      </c>
      <c r="AU70" s="81">
        <v>11</v>
      </c>
      <c r="AV70" s="81">
        <v>5</v>
      </c>
      <c r="AW70" s="81">
        <v>8</v>
      </c>
      <c r="AX70" s="81">
        <v>0</v>
      </c>
      <c r="AY70" s="81">
        <v>1</v>
      </c>
      <c r="AZ70" s="81">
        <v>2</v>
      </c>
      <c r="BA70" s="81">
        <v>0</v>
      </c>
      <c r="BB70" s="81">
        <v>100</v>
      </c>
      <c r="BC70" s="83">
        <v>100</v>
      </c>
      <c r="BD70" s="81">
        <v>217</v>
      </c>
      <c r="BE70" s="81">
        <v>1</v>
      </c>
      <c r="BF70" s="81">
        <v>0</v>
      </c>
      <c r="BG70" s="81">
        <v>77</v>
      </c>
      <c r="BH70" s="81">
        <v>3</v>
      </c>
      <c r="BI70" s="81">
        <v>10</v>
      </c>
      <c r="BJ70" s="81">
        <v>70</v>
      </c>
      <c r="BK70" s="81">
        <v>1</v>
      </c>
      <c r="BL70" s="81">
        <v>3</v>
      </c>
      <c r="BM70" s="81">
        <v>31</v>
      </c>
      <c r="BN70" s="81">
        <v>412</v>
      </c>
      <c r="BO70" s="83">
        <v>413</v>
      </c>
      <c r="BP70" s="81">
        <v>119</v>
      </c>
      <c r="BQ70" s="81">
        <v>2</v>
      </c>
      <c r="BR70" s="81">
        <v>0</v>
      </c>
      <c r="BS70" s="81">
        <v>68</v>
      </c>
      <c r="BT70" s="81">
        <v>1</v>
      </c>
      <c r="BU70" s="81">
        <v>2</v>
      </c>
      <c r="BV70" s="81">
        <v>0</v>
      </c>
      <c r="BW70" s="81">
        <v>4</v>
      </c>
      <c r="BX70" s="81">
        <v>3</v>
      </c>
      <c r="BY70" s="81">
        <v>73</v>
      </c>
      <c r="BZ70" s="81"/>
      <c r="CA70" s="81">
        <v>271</v>
      </c>
      <c r="CB70" s="83">
        <v>272</v>
      </c>
      <c r="CC70" s="81">
        <v>61</v>
      </c>
      <c r="CD70" s="81">
        <v>55</v>
      </c>
      <c r="CE70" s="81">
        <v>116</v>
      </c>
      <c r="CF70" s="81">
        <v>116</v>
      </c>
    </row>
    <row r="71" spans="1:84">
      <c r="A71" s="82">
        <v>37135</v>
      </c>
      <c r="B71" s="81">
        <v>318</v>
      </c>
      <c r="C71" s="81">
        <v>3</v>
      </c>
      <c r="D71" s="81">
        <v>0</v>
      </c>
      <c r="E71" s="81"/>
      <c r="F71" s="81">
        <v>176</v>
      </c>
      <c r="G71" s="81">
        <v>8</v>
      </c>
      <c r="H71" s="81">
        <v>18</v>
      </c>
      <c r="I71" s="81">
        <v>1</v>
      </c>
      <c r="J71" s="81">
        <v>3</v>
      </c>
      <c r="K71" s="81">
        <v>5</v>
      </c>
      <c r="L71" s="81">
        <v>27</v>
      </c>
      <c r="M71" s="81">
        <v>558</v>
      </c>
      <c r="N71" s="83">
        <v>559</v>
      </c>
      <c r="O71" s="85">
        <v>337</v>
      </c>
      <c r="P71" s="85">
        <v>1</v>
      </c>
      <c r="Q71" s="85">
        <v>159</v>
      </c>
      <c r="R71" s="85">
        <v>33</v>
      </c>
      <c r="S71" s="85">
        <v>2</v>
      </c>
      <c r="T71" s="85">
        <v>3</v>
      </c>
      <c r="U71" s="85">
        <v>3</v>
      </c>
      <c r="V71" s="85">
        <v>2</v>
      </c>
      <c r="W71" s="85">
        <v>0</v>
      </c>
      <c r="X71" s="85">
        <v>1</v>
      </c>
      <c r="Y71" s="85">
        <v>541</v>
      </c>
      <c r="Z71" s="83">
        <v>541</v>
      </c>
      <c r="AA71" s="81">
        <v>60</v>
      </c>
      <c r="AB71" s="81">
        <v>1</v>
      </c>
      <c r="AC71" s="81">
        <v>0</v>
      </c>
      <c r="AD71" s="81">
        <v>0</v>
      </c>
      <c r="AE71" s="81">
        <v>73</v>
      </c>
      <c r="AF71" s="81">
        <v>4</v>
      </c>
      <c r="AG71" s="81">
        <v>8</v>
      </c>
      <c r="AH71" s="81">
        <v>1</v>
      </c>
      <c r="AI71" s="81">
        <v>0</v>
      </c>
      <c r="AJ71" s="81">
        <v>2</v>
      </c>
      <c r="AK71" s="81">
        <v>2</v>
      </c>
      <c r="AL71" s="81">
        <v>0</v>
      </c>
      <c r="AM71" s="81"/>
      <c r="AN71" s="81">
        <v>150</v>
      </c>
      <c r="AO71" s="83">
        <v>151</v>
      </c>
      <c r="AP71" s="81">
        <v>34</v>
      </c>
      <c r="AQ71" s="81">
        <v>1</v>
      </c>
      <c r="AR71" s="81">
        <v>0</v>
      </c>
      <c r="AS71" s="81">
        <v>26</v>
      </c>
      <c r="AT71" s="81">
        <v>4</v>
      </c>
      <c r="AU71" s="81">
        <v>9</v>
      </c>
      <c r="AV71" s="81">
        <v>5</v>
      </c>
      <c r="AW71" s="81">
        <v>7</v>
      </c>
      <c r="AX71" s="81">
        <v>0</v>
      </c>
      <c r="AY71" s="81">
        <v>1</v>
      </c>
      <c r="AZ71" s="81">
        <v>2</v>
      </c>
      <c r="BA71" s="81">
        <v>1</v>
      </c>
      <c r="BB71" s="81">
        <v>90</v>
      </c>
      <c r="BC71" s="83">
        <v>90</v>
      </c>
      <c r="BD71" s="81">
        <v>244</v>
      </c>
      <c r="BE71" s="81">
        <v>1</v>
      </c>
      <c r="BF71" s="81">
        <v>0</v>
      </c>
      <c r="BG71" s="81">
        <v>101</v>
      </c>
      <c r="BH71" s="81">
        <v>4</v>
      </c>
      <c r="BI71" s="81">
        <v>9</v>
      </c>
      <c r="BJ71" s="81">
        <v>67</v>
      </c>
      <c r="BK71" s="81">
        <v>1</v>
      </c>
      <c r="BL71" s="81">
        <v>3</v>
      </c>
      <c r="BM71" s="81">
        <v>31</v>
      </c>
      <c r="BN71" s="81">
        <v>461</v>
      </c>
      <c r="BO71" s="83">
        <v>461</v>
      </c>
      <c r="BP71" s="81">
        <v>117</v>
      </c>
      <c r="BQ71" s="81">
        <v>1</v>
      </c>
      <c r="BR71" s="81">
        <v>0</v>
      </c>
      <c r="BS71" s="81">
        <v>64</v>
      </c>
      <c r="BT71" s="81">
        <v>1</v>
      </c>
      <c r="BU71" s="81">
        <v>2</v>
      </c>
      <c r="BV71" s="81">
        <v>0</v>
      </c>
      <c r="BW71" s="81">
        <v>4</v>
      </c>
      <c r="BX71" s="81">
        <v>3</v>
      </c>
      <c r="BY71" s="81">
        <v>69</v>
      </c>
      <c r="BZ71" s="81"/>
      <c r="CA71" s="81">
        <v>261</v>
      </c>
      <c r="CB71" s="83">
        <v>261</v>
      </c>
      <c r="CC71" s="81">
        <v>65</v>
      </c>
      <c r="CD71" s="81">
        <v>52</v>
      </c>
      <c r="CE71" s="81">
        <v>116</v>
      </c>
      <c r="CF71" s="81">
        <v>117</v>
      </c>
    </row>
    <row r="72" spans="1:84">
      <c r="A72" s="82">
        <v>37165</v>
      </c>
      <c r="B72" s="81">
        <v>355</v>
      </c>
      <c r="C72" s="81">
        <v>3</v>
      </c>
      <c r="D72" s="81">
        <v>0</v>
      </c>
      <c r="E72" s="81"/>
      <c r="F72" s="81">
        <v>182</v>
      </c>
      <c r="G72" s="81">
        <v>8</v>
      </c>
      <c r="H72" s="81">
        <v>15</v>
      </c>
      <c r="I72" s="81">
        <v>3</v>
      </c>
      <c r="J72" s="81">
        <v>3</v>
      </c>
      <c r="K72" s="81">
        <v>6</v>
      </c>
      <c r="L72" s="81">
        <v>30</v>
      </c>
      <c r="M72" s="81">
        <v>603</v>
      </c>
      <c r="N72" s="83">
        <v>605</v>
      </c>
      <c r="O72" s="85">
        <v>336</v>
      </c>
      <c r="P72" s="85">
        <v>2</v>
      </c>
      <c r="Q72" s="85">
        <v>158</v>
      </c>
      <c r="R72" s="85">
        <v>31</v>
      </c>
      <c r="S72" s="85">
        <v>4</v>
      </c>
      <c r="T72" s="85">
        <v>6</v>
      </c>
      <c r="U72" s="85">
        <v>3</v>
      </c>
      <c r="V72" s="85">
        <v>4</v>
      </c>
      <c r="W72" s="85">
        <v>0</v>
      </c>
      <c r="X72" s="85">
        <v>1</v>
      </c>
      <c r="Y72" s="85">
        <v>543</v>
      </c>
      <c r="Z72" s="83">
        <v>545</v>
      </c>
      <c r="AA72" s="81">
        <v>68</v>
      </c>
      <c r="AB72" s="81">
        <v>1</v>
      </c>
      <c r="AC72" s="81">
        <v>0</v>
      </c>
      <c r="AD72" s="81">
        <v>0</v>
      </c>
      <c r="AE72" s="81">
        <v>76</v>
      </c>
      <c r="AF72" s="81">
        <v>4</v>
      </c>
      <c r="AG72" s="81">
        <v>7</v>
      </c>
      <c r="AH72" s="81">
        <v>1</v>
      </c>
      <c r="AI72" s="81">
        <v>0</v>
      </c>
      <c r="AJ72" s="81">
        <v>2</v>
      </c>
      <c r="AK72" s="81">
        <v>2</v>
      </c>
      <c r="AL72" s="81">
        <v>0</v>
      </c>
      <c r="AM72" s="81"/>
      <c r="AN72" s="81">
        <v>160</v>
      </c>
      <c r="AO72" s="83">
        <v>161</v>
      </c>
      <c r="AP72" s="81">
        <v>39</v>
      </c>
      <c r="AQ72" s="81">
        <v>1</v>
      </c>
      <c r="AR72" s="81">
        <v>0</v>
      </c>
      <c r="AS72" s="81">
        <v>27</v>
      </c>
      <c r="AT72" s="81">
        <v>4</v>
      </c>
      <c r="AU72" s="81">
        <v>8</v>
      </c>
      <c r="AV72" s="81">
        <v>6</v>
      </c>
      <c r="AW72" s="81">
        <v>6</v>
      </c>
      <c r="AX72" s="81">
        <v>0</v>
      </c>
      <c r="AY72" s="81">
        <v>1</v>
      </c>
      <c r="AZ72" s="81">
        <v>3</v>
      </c>
      <c r="BA72" s="81">
        <v>1</v>
      </c>
      <c r="BB72" s="81">
        <v>95</v>
      </c>
      <c r="BC72" s="83">
        <v>96</v>
      </c>
      <c r="BD72" s="81">
        <v>273</v>
      </c>
      <c r="BE72" s="81">
        <v>2</v>
      </c>
      <c r="BF72" s="81">
        <v>0</v>
      </c>
      <c r="BG72" s="81">
        <v>104</v>
      </c>
      <c r="BH72" s="81">
        <v>3</v>
      </c>
      <c r="BI72" s="81">
        <v>8</v>
      </c>
      <c r="BJ72" s="81">
        <v>57</v>
      </c>
      <c r="BK72" s="81">
        <v>1</v>
      </c>
      <c r="BL72" s="81">
        <v>3</v>
      </c>
      <c r="BM72" s="81">
        <v>33</v>
      </c>
      <c r="BN72" s="81">
        <v>484</v>
      </c>
      <c r="BO72" s="83">
        <v>484</v>
      </c>
      <c r="BP72" s="81">
        <v>121</v>
      </c>
      <c r="BQ72" s="81">
        <v>1</v>
      </c>
      <c r="BR72" s="81">
        <v>0</v>
      </c>
      <c r="BS72" s="81">
        <v>57</v>
      </c>
      <c r="BT72" s="81">
        <v>1</v>
      </c>
      <c r="BU72" s="81">
        <v>1</v>
      </c>
      <c r="BV72" s="81">
        <v>0</v>
      </c>
      <c r="BW72" s="81">
        <v>3</v>
      </c>
      <c r="BX72" s="81">
        <v>4</v>
      </c>
      <c r="BY72" s="81">
        <v>70</v>
      </c>
      <c r="BZ72" s="81"/>
      <c r="CA72" s="81">
        <v>258</v>
      </c>
      <c r="CB72" s="83">
        <v>258</v>
      </c>
      <c r="CC72" s="81">
        <v>59</v>
      </c>
      <c r="CD72" s="81">
        <v>44</v>
      </c>
      <c r="CE72" s="81">
        <v>103</v>
      </c>
      <c r="CF72" s="81">
        <v>103</v>
      </c>
    </row>
    <row r="73" spans="1:84">
      <c r="A73" s="82">
        <v>37196</v>
      </c>
      <c r="B73" s="81">
        <v>334</v>
      </c>
      <c r="C73" s="81">
        <v>3</v>
      </c>
      <c r="D73" s="81">
        <v>0</v>
      </c>
      <c r="E73" s="81"/>
      <c r="F73" s="81">
        <v>184</v>
      </c>
      <c r="G73" s="81">
        <v>7</v>
      </c>
      <c r="H73" s="81">
        <v>19</v>
      </c>
      <c r="I73" s="81">
        <v>3</v>
      </c>
      <c r="J73" s="81">
        <v>3</v>
      </c>
      <c r="K73" s="81">
        <v>5</v>
      </c>
      <c r="L73" s="81">
        <v>27</v>
      </c>
      <c r="M73" s="81">
        <v>584</v>
      </c>
      <c r="N73" s="83">
        <v>585</v>
      </c>
      <c r="O73" s="85">
        <v>232</v>
      </c>
      <c r="P73" s="85">
        <v>1</v>
      </c>
      <c r="Q73" s="85">
        <v>150</v>
      </c>
      <c r="R73" s="85">
        <v>31</v>
      </c>
      <c r="S73" s="85">
        <v>2</v>
      </c>
      <c r="T73" s="85">
        <v>6</v>
      </c>
      <c r="U73" s="85">
        <v>3</v>
      </c>
      <c r="V73" s="85">
        <v>6</v>
      </c>
      <c r="W73" s="85">
        <v>0</v>
      </c>
      <c r="X73" s="85">
        <v>1</v>
      </c>
      <c r="Y73" s="85">
        <v>433</v>
      </c>
      <c r="Z73" s="83">
        <v>432</v>
      </c>
      <c r="AA73" s="81">
        <v>63</v>
      </c>
      <c r="AB73" s="81">
        <v>1</v>
      </c>
      <c r="AC73" s="81">
        <v>0</v>
      </c>
      <c r="AD73" s="81">
        <v>0</v>
      </c>
      <c r="AE73" s="81">
        <v>77</v>
      </c>
      <c r="AF73" s="81">
        <v>3</v>
      </c>
      <c r="AG73" s="81">
        <v>9</v>
      </c>
      <c r="AH73" s="81">
        <v>1</v>
      </c>
      <c r="AI73" s="81">
        <v>0</v>
      </c>
      <c r="AJ73" s="81">
        <v>2</v>
      </c>
      <c r="AK73" s="81">
        <v>2</v>
      </c>
      <c r="AL73" s="81">
        <v>0</v>
      </c>
      <c r="AM73" s="81"/>
      <c r="AN73" s="81">
        <v>158</v>
      </c>
      <c r="AO73" s="83">
        <v>158</v>
      </c>
      <c r="AP73" s="81">
        <v>33</v>
      </c>
      <c r="AQ73" s="81">
        <v>1</v>
      </c>
      <c r="AR73" s="81">
        <v>1</v>
      </c>
      <c r="AS73" s="81">
        <v>28</v>
      </c>
      <c r="AT73" s="81">
        <v>4</v>
      </c>
      <c r="AU73" s="81">
        <v>8</v>
      </c>
      <c r="AV73" s="81">
        <v>7</v>
      </c>
      <c r="AW73" s="81">
        <v>6</v>
      </c>
      <c r="AX73" s="81">
        <v>0</v>
      </c>
      <c r="AY73" s="81">
        <v>1</v>
      </c>
      <c r="AZ73" s="81">
        <v>3</v>
      </c>
      <c r="BA73" s="81">
        <v>1</v>
      </c>
      <c r="BB73" s="81">
        <v>93</v>
      </c>
      <c r="BC73" s="83">
        <v>93</v>
      </c>
      <c r="BD73" s="81">
        <v>256</v>
      </c>
      <c r="BE73" s="81">
        <v>1</v>
      </c>
      <c r="BF73" s="81">
        <v>0</v>
      </c>
      <c r="BG73" s="81">
        <v>105</v>
      </c>
      <c r="BH73" s="81">
        <v>3</v>
      </c>
      <c r="BI73" s="81">
        <v>10</v>
      </c>
      <c r="BJ73" s="81">
        <v>71</v>
      </c>
      <c r="BK73" s="81">
        <v>1</v>
      </c>
      <c r="BL73" s="81">
        <v>3</v>
      </c>
      <c r="BM73" s="81">
        <v>28</v>
      </c>
      <c r="BN73" s="81">
        <v>478</v>
      </c>
      <c r="BO73" s="83">
        <v>478</v>
      </c>
      <c r="BP73" s="81">
        <v>138</v>
      </c>
      <c r="BQ73" s="81">
        <v>1</v>
      </c>
      <c r="BR73" s="81">
        <v>0</v>
      </c>
      <c r="BS73" s="81">
        <v>63</v>
      </c>
      <c r="BT73" s="81">
        <v>1</v>
      </c>
      <c r="BU73" s="81">
        <v>1</v>
      </c>
      <c r="BV73" s="81">
        <v>0</v>
      </c>
      <c r="BW73" s="81">
        <v>3</v>
      </c>
      <c r="BX73" s="81">
        <v>4</v>
      </c>
      <c r="BY73" s="81">
        <v>58</v>
      </c>
      <c r="BZ73" s="81"/>
      <c r="CA73" s="81">
        <v>269</v>
      </c>
      <c r="CB73" s="83">
        <v>269</v>
      </c>
      <c r="CC73" s="81">
        <v>69</v>
      </c>
      <c r="CD73" s="81">
        <v>50</v>
      </c>
      <c r="CE73" s="81">
        <v>119</v>
      </c>
      <c r="CF73" s="81">
        <v>119</v>
      </c>
    </row>
    <row r="74" spans="1:84">
      <c r="A74" s="82">
        <v>37226</v>
      </c>
      <c r="B74" s="81">
        <v>336</v>
      </c>
      <c r="C74" s="81">
        <v>2</v>
      </c>
      <c r="D74" s="81">
        <v>0</v>
      </c>
      <c r="E74" s="81"/>
      <c r="F74" s="81">
        <v>166</v>
      </c>
      <c r="G74" s="81">
        <v>7</v>
      </c>
      <c r="H74" s="81">
        <v>17</v>
      </c>
      <c r="I74" s="81">
        <v>1</v>
      </c>
      <c r="J74" s="81">
        <v>2</v>
      </c>
      <c r="K74" s="81">
        <v>5</v>
      </c>
      <c r="L74" s="81">
        <v>28</v>
      </c>
      <c r="M74" s="81">
        <v>564</v>
      </c>
      <c r="N74" s="83">
        <v>564</v>
      </c>
      <c r="O74" s="85">
        <v>284</v>
      </c>
      <c r="P74" s="85">
        <v>1</v>
      </c>
      <c r="Q74" s="85">
        <v>140</v>
      </c>
      <c r="R74" s="85">
        <v>31</v>
      </c>
      <c r="S74" s="85">
        <v>2</v>
      </c>
      <c r="T74" s="85">
        <v>6</v>
      </c>
      <c r="U74" s="85">
        <v>5</v>
      </c>
      <c r="V74" s="85">
        <v>3</v>
      </c>
      <c r="W74" s="85">
        <v>0</v>
      </c>
      <c r="X74" s="85">
        <v>1</v>
      </c>
      <c r="Y74" s="85">
        <v>472</v>
      </c>
      <c r="Z74" s="83">
        <v>473</v>
      </c>
      <c r="AA74" s="81">
        <v>62</v>
      </c>
      <c r="AB74" s="81">
        <v>1</v>
      </c>
      <c r="AC74" s="81">
        <v>0</v>
      </c>
      <c r="AD74" s="81">
        <v>0</v>
      </c>
      <c r="AE74" s="81">
        <v>69</v>
      </c>
      <c r="AF74" s="81">
        <v>3</v>
      </c>
      <c r="AG74" s="81">
        <v>8</v>
      </c>
      <c r="AH74" s="81">
        <v>0</v>
      </c>
      <c r="AI74" s="81">
        <v>0</v>
      </c>
      <c r="AJ74" s="81">
        <v>1</v>
      </c>
      <c r="AK74" s="81">
        <v>2</v>
      </c>
      <c r="AL74" s="81">
        <v>0</v>
      </c>
      <c r="AM74" s="81"/>
      <c r="AN74" s="81">
        <v>146</v>
      </c>
      <c r="AO74" s="83">
        <v>146</v>
      </c>
      <c r="AP74" s="81">
        <v>29</v>
      </c>
      <c r="AQ74" s="81">
        <v>0</v>
      </c>
      <c r="AR74" s="81">
        <v>1</v>
      </c>
      <c r="AS74" s="81">
        <v>20</v>
      </c>
      <c r="AT74" s="81">
        <v>4</v>
      </c>
      <c r="AU74" s="81">
        <v>7</v>
      </c>
      <c r="AV74" s="81">
        <v>6</v>
      </c>
      <c r="AW74" s="81">
        <v>8</v>
      </c>
      <c r="AX74" s="81">
        <v>0</v>
      </c>
      <c r="AY74" s="81">
        <v>1</v>
      </c>
      <c r="AZ74" s="81">
        <v>3</v>
      </c>
      <c r="BA74" s="81">
        <v>1</v>
      </c>
      <c r="BB74" s="81">
        <v>80</v>
      </c>
      <c r="BC74" s="83">
        <v>80</v>
      </c>
      <c r="BD74" s="81">
        <v>258</v>
      </c>
      <c r="BE74" s="81">
        <v>1</v>
      </c>
      <c r="BF74" s="81">
        <v>0</v>
      </c>
      <c r="BG74" s="81">
        <v>96</v>
      </c>
      <c r="BH74" s="81">
        <v>3</v>
      </c>
      <c r="BI74" s="81">
        <v>9</v>
      </c>
      <c r="BJ74" s="81">
        <v>65</v>
      </c>
      <c r="BK74" s="81">
        <v>1</v>
      </c>
      <c r="BL74" s="81">
        <v>3</v>
      </c>
      <c r="BM74" s="81">
        <v>28</v>
      </c>
      <c r="BN74" s="81">
        <v>463</v>
      </c>
      <c r="BO74" s="83">
        <v>464</v>
      </c>
      <c r="BP74" s="81">
        <v>135</v>
      </c>
      <c r="BQ74" s="81">
        <v>1</v>
      </c>
      <c r="BR74" s="81">
        <v>0</v>
      </c>
      <c r="BS74" s="81">
        <v>54</v>
      </c>
      <c r="BT74" s="81">
        <v>0</v>
      </c>
      <c r="BU74" s="81">
        <v>1</v>
      </c>
      <c r="BV74" s="81">
        <v>0</v>
      </c>
      <c r="BW74" s="81">
        <v>2</v>
      </c>
      <c r="BX74" s="81">
        <v>3</v>
      </c>
      <c r="BY74" s="81">
        <v>52</v>
      </c>
      <c r="BZ74" s="81"/>
      <c r="CA74" s="81">
        <v>249</v>
      </c>
      <c r="CB74" s="83">
        <v>248</v>
      </c>
      <c r="CC74" s="81">
        <v>71</v>
      </c>
      <c r="CD74" s="81">
        <v>40</v>
      </c>
      <c r="CE74" s="81">
        <v>111</v>
      </c>
      <c r="CF74" s="81">
        <v>111</v>
      </c>
    </row>
    <row r="75" spans="1:84">
      <c r="A75" s="82">
        <v>37257</v>
      </c>
      <c r="B75" s="81">
        <v>327</v>
      </c>
      <c r="C75" s="81">
        <v>3</v>
      </c>
      <c r="D75" s="81">
        <v>0</v>
      </c>
      <c r="E75" s="81"/>
      <c r="F75" s="81">
        <v>169</v>
      </c>
      <c r="G75" s="81">
        <v>7</v>
      </c>
      <c r="H75" s="81">
        <v>15</v>
      </c>
      <c r="I75" s="81">
        <v>2</v>
      </c>
      <c r="J75" s="81">
        <v>2</v>
      </c>
      <c r="K75" s="81">
        <v>5</v>
      </c>
      <c r="L75" s="81">
        <v>23</v>
      </c>
      <c r="M75" s="81">
        <v>553</v>
      </c>
      <c r="N75" s="83">
        <v>553</v>
      </c>
      <c r="O75" s="85">
        <v>280</v>
      </c>
      <c r="P75" s="85">
        <v>2</v>
      </c>
      <c r="Q75" s="85">
        <v>112</v>
      </c>
      <c r="R75" s="85">
        <v>34</v>
      </c>
      <c r="S75" s="85">
        <v>8</v>
      </c>
      <c r="T75" s="85">
        <v>16</v>
      </c>
      <c r="U75" s="85">
        <v>1</v>
      </c>
      <c r="V75" s="85">
        <v>4</v>
      </c>
      <c r="W75" s="85">
        <v>0</v>
      </c>
      <c r="X75" s="85">
        <v>1</v>
      </c>
      <c r="Y75" s="85">
        <v>458</v>
      </c>
      <c r="Z75" s="83">
        <v>458</v>
      </c>
      <c r="AA75" s="81">
        <v>60</v>
      </c>
      <c r="AB75" s="81">
        <v>1</v>
      </c>
      <c r="AC75" s="81">
        <v>0</v>
      </c>
      <c r="AD75" s="81">
        <v>0</v>
      </c>
      <c r="AE75" s="81">
        <v>70</v>
      </c>
      <c r="AF75" s="81">
        <v>3</v>
      </c>
      <c r="AG75" s="81">
        <v>7</v>
      </c>
      <c r="AH75" s="81">
        <v>1</v>
      </c>
      <c r="AI75" s="81">
        <v>0</v>
      </c>
      <c r="AJ75" s="81">
        <v>1</v>
      </c>
      <c r="AK75" s="81">
        <v>2</v>
      </c>
      <c r="AL75" s="81">
        <v>0</v>
      </c>
      <c r="AM75" s="81"/>
      <c r="AN75" s="81">
        <v>145</v>
      </c>
      <c r="AO75" s="83">
        <v>145</v>
      </c>
      <c r="AP75" s="81">
        <v>28</v>
      </c>
      <c r="AQ75" s="81">
        <v>0</v>
      </c>
      <c r="AR75" s="81">
        <v>0</v>
      </c>
      <c r="AS75" s="81">
        <v>22</v>
      </c>
      <c r="AT75" s="81">
        <v>4</v>
      </c>
      <c r="AU75" s="81">
        <v>6</v>
      </c>
      <c r="AV75" s="81">
        <v>8</v>
      </c>
      <c r="AW75" s="81">
        <v>10</v>
      </c>
      <c r="AX75" s="81">
        <v>0</v>
      </c>
      <c r="AY75" s="81">
        <v>1</v>
      </c>
      <c r="AZ75" s="81">
        <v>3</v>
      </c>
      <c r="BA75" s="81">
        <v>4</v>
      </c>
      <c r="BB75" s="81">
        <v>87</v>
      </c>
      <c r="BC75" s="83">
        <v>86</v>
      </c>
      <c r="BD75" s="81">
        <v>249</v>
      </c>
      <c r="BE75" s="81">
        <v>1</v>
      </c>
      <c r="BF75" s="81">
        <v>0</v>
      </c>
      <c r="BG75" s="81">
        <v>96</v>
      </c>
      <c r="BH75" s="81">
        <v>3</v>
      </c>
      <c r="BI75" s="81">
        <v>8</v>
      </c>
      <c r="BJ75" s="81">
        <v>59</v>
      </c>
      <c r="BK75" s="81">
        <v>1</v>
      </c>
      <c r="BL75" s="81">
        <v>3</v>
      </c>
      <c r="BM75" s="81">
        <v>17</v>
      </c>
      <c r="BN75" s="81">
        <v>437</v>
      </c>
      <c r="BO75" s="83">
        <v>437</v>
      </c>
      <c r="BP75" s="81">
        <v>173</v>
      </c>
      <c r="BQ75" s="81">
        <v>1</v>
      </c>
      <c r="BR75" s="81">
        <v>0</v>
      </c>
      <c r="BS75" s="81">
        <v>60</v>
      </c>
      <c r="BT75" s="81">
        <v>0</v>
      </c>
      <c r="BU75" s="81">
        <v>1</v>
      </c>
      <c r="BV75" s="81">
        <v>0</v>
      </c>
      <c r="BW75" s="81">
        <v>4</v>
      </c>
      <c r="BX75" s="81">
        <v>4</v>
      </c>
      <c r="BY75" s="81">
        <v>51</v>
      </c>
      <c r="BZ75" s="81"/>
      <c r="CA75" s="81">
        <v>294</v>
      </c>
      <c r="CB75" s="83">
        <v>294</v>
      </c>
      <c r="CC75" s="81">
        <v>94</v>
      </c>
      <c r="CD75" s="81">
        <v>47</v>
      </c>
      <c r="CE75" s="81">
        <v>140</v>
      </c>
      <c r="CF75" s="81">
        <v>141</v>
      </c>
    </row>
    <row r="76" spans="1:84">
      <c r="A76" s="82">
        <v>37288</v>
      </c>
      <c r="B76" s="81">
        <v>290</v>
      </c>
      <c r="C76" s="81">
        <v>2</v>
      </c>
      <c r="D76" s="81">
        <v>0</v>
      </c>
      <c r="E76" s="81"/>
      <c r="F76" s="81">
        <v>158</v>
      </c>
      <c r="G76" s="81">
        <v>7</v>
      </c>
      <c r="H76" s="81">
        <v>15</v>
      </c>
      <c r="I76" s="81">
        <v>3</v>
      </c>
      <c r="J76" s="81">
        <v>3</v>
      </c>
      <c r="K76" s="81">
        <v>3</v>
      </c>
      <c r="L76" s="81">
        <v>24</v>
      </c>
      <c r="M76" s="81">
        <v>505</v>
      </c>
      <c r="N76" s="83">
        <v>505</v>
      </c>
      <c r="O76" s="85">
        <v>323</v>
      </c>
      <c r="P76" s="85">
        <v>2</v>
      </c>
      <c r="Q76" s="85">
        <v>158</v>
      </c>
      <c r="R76" s="85">
        <v>29</v>
      </c>
      <c r="S76" s="85">
        <v>2</v>
      </c>
      <c r="T76" s="85">
        <v>5</v>
      </c>
      <c r="U76" s="85">
        <v>2</v>
      </c>
      <c r="V76" s="85">
        <v>3</v>
      </c>
      <c r="W76" s="85">
        <v>2</v>
      </c>
      <c r="X76" s="85">
        <v>1</v>
      </c>
      <c r="Y76" s="85">
        <v>526</v>
      </c>
      <c r="Z76" s="83">
        <v>527</v>
      </c>
      <c r="AA76" s="81">
        <v>53</v>
      </c>
      <c r="AB76" s="81">
        <v>1</v>
      </c>
      <c r="AC76" s="81">
        <v>0</v>
      </c>
      <c r="AD76" s="81">
        <v>0</v>
      </c>
      <c r="AE76" s="81">
        <v>66</v>
      </c>
      <c r="AF76" s="81">
        <v>3</v>
      </c>
      <c r="AG76" s="81">
        <v>8</v>
      </c>
      <c r="AH76" s="81">
        <v>1</v>
      </c>
      <c r="AI76" s="81">
        <v>0</v>
      </c>
      <c r="AJ76" s="81">
        <v>2</v>
      </c>
      <c r="AK76" s="81">
        <v>2</v>
      </c>
      <c r="AL76" s="81">
        <v>0</v>
      </c>
      <c r="AM76" s="81"/>
      <c r="AN76" s="81">
        <v>135</v>
      </c>
      <c r="AO76" s="83">
        <v>136</v>
      </c>
      <c r="AP76" s="81">
        <v>25</v>
      </c>
      <c r="AQ76" s="81">
        <v>1</v>
      </c>
      <c r="AR76" s="81">
        <v>0</v>
      </c>
      <c r="AS76" s="81">
        <v>24</v>
      </c>
      <c r="AT76" s="81">
        <v>4</v>
      </c>
      <c r="AU76" s="81">
        <v>5</v>
      </c>
      <c r="AV76" s="81">
        <v>8</v>
      </c>
      <c r="AW76" s="81">
        <v>8</v>
      </c>
      <c r="AX76" s="81">
        <v>0</v>
      </c>
      <c r="AY76" s="81">
        <v>1</v>
      </c>
      <c r="AZ76" s="81">
        <v>3</v>
      </c>
      <c r="BA76" s="81">
        <v>3</v>
      </c>
      <c r="BB76" s="81">
        <v>84</v>
      </c>
      <c r="BC76" s="83">
        <v>82</v>
      </c>
      <c r="BD76" s="81">
        <v>221</v>
      </c>
      <c r="BE76" s="81">
        <v>1</v>
      </c>
      <c r="BF76" s="81">
        <v>0</v>
      </c>
      <c r="BG76" s="81">
        <v>92</v>
      </c>
      <c r="BH76" s="81">
        <v>3</v>
      </c>
      <c r="BI76" s="81">
        <v>8</v>
      </c>
      <c r="BJ76" s="81">
        <v>57</v>
      </c>
      <c r="BK76" s="81">
        <v>1</v>
      </c>
      <c r="BL76" s="81">
        <v>2</v>
      </c>
      <c r="BM76" s="81">
        <v>15</v>
      </c>
      <c r="BN76" s="81">
        <v>400</v>
      </c>
      <c r="BO76" s="83">
        <v>400</v>
      </c>
      <c r="BP76" s="81">
        <v>169</v>
      </c>
      <c r="BQ76" s="81">
        <v>1</v>
      </c>
      <c r="BR76" s="81">
        <v>0</v>
      </c>
      <c r="BS76" s="81">
        <v>54</v>
      </c>
      <c r="BT76" s="81">
        <v>1</v>
      </c>
      <c r="BU76" s="81">
        <v>1</v>
      </c>
      <c r="BV76" s="81">
        <v>0</v>
      </c>
      <c r="BW76" s="81">
        <v>3</v>
      </c>
      <c r="BX76" s="81">
        <v>4</v>
      </c>
      <c r="BY76" s="81">
        <v>39</v>
      </c>
      <c r="BZ76" s="81"/>
      <c r="CA76" s="81">
        <v>271</v>
      </c>
      <c r="CB76" s="83">
        <v>272</v>
      </c>
      <c r="CC76" s="81">
        <v>93</v>
      </c>
      <c r="CD76" s="81">
        <v>40</v>
      </c>
      <c r="CE76" s="81">
        <v>133</v>
      </c>
      <c r="CF76" s="81">
        <v>133</v>
      </c>
    </row>
    <row r="77" spans="1:84">
      <c r="A77" s="82">
        <v>37316</v>
      </c>
      <c r="B77" s="81">
        <v>314</v>
      </c>
      <c r="C77" s="81">
        <v>3</v>
      </c>
      <c r="D77" s="81">
        <v>0</v>
      </c>
      <c r="E77" s="81"/>
      <c r="F77" s="81">
        <v>182</v>
      </c>
      <c r="G77" s="81">
        <v>7</v>
      </c>
      <c r="H77" s="81">
        <v>18</v>
      </c>
      <c r="I77" s="81">
        <v>1</v>
      </c>
      <c r="J77" s="81">
        <v>2</v>
      </c>
      <c r="K77" s="81">
        <v>4</v>
      </c>
      <c r="L77" s="81">
        <v>25</v>
      </c>
      <c r="M77" s="81">
        <v>557</v>
      </c>
      <c r="N77" s="83">
        <v>556</v>
      </c>
      <c r="O77" s="85">
        <v>287</v>
      </c>
      <c r="P77" s="85">
        <v>2</v>
      </c>
      <c r="Q77" s="85">
        <v>115</v>
      </c>
      <c r="R77" s="85">
        <v>30</v>
      </c>
      <c r="S77" s="85">
        <v>2</v>
      </c>
      <c r="T77" s="85">
        <v>4</v>
      </c>
      <c r="U77" s="85">
        <v>3</v>
      </c>
      <c r="V77" s="85">
        <v>1</v>
      </c>
      <c r="W77" s="85">
        <v>0</v>
      </c>
      <c r="X77" s="85">
        <v>1</v>
      </c>
      <c r="Y77" s="85">
        <v>443</v>
      </c>
      <c r="Z77" s="83">
        <v>445</v>
      </c>
      <c r="AA77" s="81">
        <v>57</v>
      </c>
      <c r="AB77" s="81">
        <v>1</v>
      </c>
      <c r="AC77" s="81">
        <v>0</v>
      </c>
      <c r="AD77" s="81">
        <v>0</v>
      </c>
      <c r="AE77" s="81">
        <v>76</v>
      </c>
      <c r="AF77" s="81">
        <v>4</v>
      </c>
      <c r="AG77" s="81">
        <v>9</v>
      </c>
      <c r="AH77" s="81">
        <v>0</v>
      </c>
      <c r="AI77" s="81">
        <v>0</v>
      </c>
      <c r="AJ77" s="81">
        <v>1</v>
      </c>
      <c r="AK77" s="81">
        <v>1</v>
      </c>
      <c r="AL77" s="81">
        <v>0</v>
      </c>
      <c r="AM77" s="81"/>
      <c r="AN77" s="81">
        <v>150</v>
      </c>
      <c r="AO77" s="83">
        <v>149</v>
      </c>
      <c r="AP77" s="81">
        <v>17</v>
      </c>
      <c r="AQ77" s="81">
        <v>1</v>
      </c>
      <c r="AR77" s="81">
        <v>0</v>
      </c>
      <c r="AS77" s="81">
        <v>24</v>
      </c>
      <c r="AT77" s="81">
        <v>4</v>
      </c>
      <c r="AU77" s="81">
        <v>5</v>
      </c>
      <c r="AV77" s="81">
        <v>9</v>
      </c>
      <c r="AW77" s="81">
        <v>9</v>
      </c>
      <c r="AX77" s="81">
        <v>0</v>
      </c>
      <c r="AY77" s="81">
        <v>1</v>
      </c>
      <c r="AZ77" s="81">
        <v>3</v>
      </c>
      <c r="BA77" s="81">
        <v>4</v>
      </c>
      <c r="BB77" s="81">
        <v>78</v>
      </c>
      <c r="BC77" s="83">
        <v>77</v>
      </c>
      <c r="BD77" s="81">
        <v>241</v>
      </c>
      <c r="BE77" s="81">
        <v>1</v>
      </c>
      <c r="BF77" s="81">
        <v>0</v>
      </c>
      <c r="BG77" s="81">
        <v>105</v>
      </c>
      <c r="BH77" s="81">
        <v>3</v>
      </c>
      <c r="BI77" s="81">
        <v>10</v>
      </c>
      <c r="BJ77" s="81">
        <v>69</v>
      </c>
      <c r="BK77" s="81">
        <v>1</v>
      </c>
      <c r="BL77" s="81">
        <v>2</v>
      </c>
      <c r="BM77" s="81">
        <v>25</v>
      </c>
      <c r="BN77" s="81">
        <v>456</v>
      </c>
      <c r="BO77" s="83">
        <v>457</v>
      </c>
      <c r="BP77" s="81">
        <v>140</v>
      </c>
      <c r="BQ77" s="81">
        <v>1</v>
      </c>
      <c r="BR77" s="81">
        <v>0</v>
      </c>
      <c r="BS77" s="81">
        <v>54</v>
      </c>
      <c r="BT77" s="81">
        <v>1</v>
      </c>
      <c r="BU77" s="81">
        <v>1</v>
      </c>
      <c r="BV77" s="81">
        <v>0</v>
      </c>
      <c r="BW77" s="81">
        <v>3</v>
      </c>
      <c r="BX77" s="81">
        <v>3</v>
      </c>
      <c r="BY77" s="81">
        <v>32</v>
      </c>
      <c r="BZ77" s="81"/>
      <c r="CA77" s="81">
        <v>234</v>
      </c>
      <c r="CB77" s="83">
        <v>235</v>
      </c>
      <c r="CC77" s="81">
        <v>82</v>
      </c>
      <c r="CD77" s="81">
        <v>41</v>
      </c>
      <c r="CE77" s="81">
        <v>123</v>
      </c>
      <c r="CF77" s="81">
        <v>123</v>
      </c>
    </row>
    <row r="78" spans="1:84">
      <c r="A78" s="82">
        <v>37347</v>
      </c>
      <c r="B78" s="81">
        <v>351</v>
      </c>
      <c r="C78" s="81">
        <v>3</v>
      </c>
      <c r="D78" s="81">
        <v>0</v>
      </c>
      <c r="E78" s="81"/>
      <c r="F78" s="81">
        <v>170</v>
      </c>
      <c r="G78" s="81">
        <v>7</v>
      </c>
      <c r="H78" s="81">
        <v>18</v>
      </c>
      <c r="I78" s="81">
        <v>1</v>
      </c>
      <c r="J78" s="81">
        <v>3</v>
      </c>
      <c r="K78" s="81">
        <v>6</v>
      </c>
      <c r="L78" s="81">
        <v>26</v>
      </c>
      <c r="M78" s="81">
        <v>585</v>
      </c>
      <c r="N78" s="83">
        <v>585</v>
      </c>
      <c r="O78" s="85">
        <v>282</v>
      </c>
      <c r="P78" s="85">
        <v>0</v>
      </c>
      <c r="Q78" s="85">
        <v>142</v>
      </c>
      <c r="R78" s="85">
        <v>32</v>
      </c>
      <c r="S78" s="85">
        <v>2</v>
      </c>
      <c r="T78" s="85">
        <v>3</v>
      </c>
      <c r="U78" s="85"/>
      <c r="V78" s="85">
        <v>4</v>
      </c>
      <c r="W78" s="85"/>
      <c r="X78" s="85">
        <v>1</v>
      </c>
      <c r="Y78" s="85">
        <v>466</v>
      </c>
      <c r="Z78" s="83">
        <v>466</v>
      </c>
      <c r="AA78" s="81">
        <v>65</v>
      </c>
      <c r="AB78" s="81">
        <v>1</v>
      </c>
      <c r="AC78" s="81">
        <v>0</v>
      </c>
      <c r="AD78" s="81">
        <v>0</v>
      </c>
      <c r="AE78" s="81">
        <v>71</v>
      </c>
      <c r="AF78" s="81">
        <v>4</v>
      </c>
      <c r="AG78" s="81">
        <v>9</v>
      </c>
      <c r="AH78" s="81">
        <v>1</v>
      </c>
      <c r="AI78" s="81">
        <v>0</v>
      </c>
      <c r="AJ78" s="81">
        <v>2</v>
      </c>
      <c r="AK78" s="81">
        <v>2</v>
      </c>
      <c r="AL78" s="81">
        <v>0</v>
      </c>
      <c r="AM78" s="81"/>
      <c r="AN78" s="81">
        <v>154</v>
      </c>
      <c r="AO78" s="83">
        <v>155</v>
      </c>
      <c r="AP78" s="81">
        <v>18</v>
      </c>
      <c r="AQ78" s="81">
        <v>1</v>
      </c>
      <c r="AR78" s="81">
        <v>0</v>
      </c>
      <c r="AS78" s="81">
        <v>21</v>
      </c>
      <c r="AT78" s="81">
        <v>4</v>
      </c>
      <c r="AU78" s="81">
        <v>4</v>
      </c>
      <c r="AV78" s="81">
        <v>8</v>
      </c>
      <c r="AW78" s="81">
        <v>8</v>
      </c>
      <c r="AX78" s="81">
        <v>0</v>
      </c>
      <c r="AY78" s="81">
        <v>3</v>
      </c>
      <c r="AZ78" s="81">
        <v>3</v>
      </c>
      <c r="BA78" s="81">
        <v>3</v>
      </c>
      <c r="BB78" s="81">
        <v>74</v>
      </c>
      <c r="BC78" s="83">
        <v>73</v>
      </c>
      <c r="BD78" s="81">
        <v>267</v>
      </c>
      <c r="BE78" s="81">
        <v>1</v>
      </c>
      <c r="BF78" s="81">
        <v>0</v>
      </c>
      <c r="BG78" s="81">
        <v>97</v>
      </c>
      <c r="BH78" s="81">
        <v>3</v>
      </c>
      <c r="BI78" s="81">
        <v>10</v>
      </c>
      <c r="BJ78" s="81">
        <v>71</v>
      </c>
      <c r="BK78" s="81">
        <v>1</v>
      </c>
      <c r="BL78" s="81">
        <v>3</v>
      </c>
      <c r="BM78" s="81">
        <v>28</v>
      </c>
      <c r="BN78" s="81">
        <v>482</v>
      </c>
      <c r="BO78" s="83">
        <v>481</v>
      </c>
      <c r="BP78" s="81">
        <v>154</v>
      </c>
      <c r="BQ78" s="81">
        <v>1</v>
      </c>
      <c r="BR78" s="81">
        <v>0</v>
      </c>
      <c r="BS78" s="81">
        <v>55</v>
      </c>
      <c r="BT78" s="81">
        <v>0</v>
      </c>
      <c r="BU78" s="81">
        <v>2</v>
      </c>
      <c r="BV78" s="81">
        <v>0</v>
      </c>
      <c r="BW78" s="81">
        <v>4</v>
      </c>
      <c r="BX78" s="81">
        <v>4</v>
      </c>
      <c r="BY78" s="81">
        <v>27</v>
      </c>
      <c r="BZ78" s="81"/>
      <c r="CA78" s="81">
        <v>247</v>
      </c>
      <c r="CB78" s="83">
        <v>247</v>
      </c>
      <c r="CC78" s="81">
        <v>91</v>
      </c>
      <c r="CD78" s="81">
        <v>41</v>
      </c>
      <c r="CE78" s="81">
        <v>132</v>
      </c>
      <c r="CF78" s="81">
        <v>132</v>
      </c>
    </row>
    <row r="79" spans="1:84">
      <c r="A79" s="82">
        <v>37377</v>
      </c>
      <c r="B79" s="81">
        <v>331</v>
      </c>
      <c r="C79" s="81">
        <v>3</v>
      </c>
      <c r="D79" s="81">
        <v>0</v>
      </c>
      <c r="E79" s="81"/>
      <c r="F79" s="81">
        <v>164</v>
      </c>
      <c r="G79" s="81">
        <v>8</v>
      </c>
      <c r="H79" s="81">
        <v>18</v>
      </c>
      <c r="I79" s="81">
        <v>3</v>
      </c>
      <c r="J79" s="81">
        <v>3</v>
      </c>
      <c r="K79" s="81">
        <v>3</v>
      </c>
      <c r="L79" s="81">
        <v>27</v>
      </c>
      <c r="M79" s="81">
        <v>560</v>
      </c>
      <c r="N79" s="83">
        <v>560</v>
      </c>
      <c r="O79" s="85">
        <v>289</v>
      </c>
      <c r="P79" s="85">
        <v>1</v>
      </c>
      <c r="Q79" s="85">
        <v>155</v>
      </c>
      <c r="R79" s="85">
        <v>35</v>
      </c>
      <c r="S79" s="85">
        <v>2</v>
      </c>
      <c r="T79" s="85">
        <v>4</v>
      </c>
      <c r="U79" s="85"/>
      <c r="V79" s="85">
        <v>2</v>
      </c>
      <c r="W79" s="85"/>
      <c r="X79" s="85">
        <v>1</v>
      </c>
      <c r="Y79" s="85">
        <v>488</v>
      </c>
      <c r="Z79" s="83">
        <v>489</v>
      </c>
      <c r="AA79" s="81">
        <v>62</v>
      </c>
      <c r="AB79" s="81">
        <v>0</v>
      </c>
      <c r="AC79" s="81">
        <v>0</v>
      </c>
      <c r="AD79" s="81">
        <v>0</v>
      </c>
      <c r="AE79" s="81">
        <v>70</v>
      </c>
      <c r="AF79" s="81">
        <v>4</v>
      </c>
      <c r="AG79" s="81">
        <v>9</v>
      </c>
      <c r="AH79" s="81">
        <v>1</v>
      </c>
      <c r="AI79" s="81">
        <v>0</v>
      </c>
      <c r="AJ79" s="81">
        <v>2</v>
      </c>
      <c r="AK79" s="81">
        <v>1</v>
      </c>
      <c r="AL79" s="81">
        <v>0</v>
      </c>
      <c r="AM79" s="81"/>
      <c r="AN79" s="81">
        <v>149</v>
      </c>
      <c r="AO79" s="83">
        <v>149</v>
      </c>
      <c r="AP79" s="81">
        <v>18</v>
      </c>
      <c r="AQ79" s="81">
        <v>1</v>
      </c>
      <c r="AR79" s="81">
        <v>0</v>
      </c>
      <c r="AS79" s="81">
        <v>23</v>
      </c>
      <c r="AT79" s="81">
        <v>4</v>
      </c>
      <c r="AU79" s="81">
        <v>4</v>
      </c>
      <c r="AV79" s="81">
        <v>9</v>
      </c>
      <c r="AW79" s="81">
        <v>8</v>
      </c>
      <c r="AX79" s="81">
        <v>0</v>
      </c>
      <c r="AY79" s="81">
        <v>3</v>
      </c>
      <c r="AZ79" s="81">
        <v>3</v>
      </c>
      <c r="BA79" s="81">
        <v>3</v>
      </c>
      <c r="BB79" s="81">
        <v>77</v>
      </c>
      <c r="BC79" s="83">
        <v>76</v>
      </c>
      <c r="BD79" s="81">
        <v>253</v>
      </c>
      <c r="BE79" s="81">
        <v>1</v>
      </c>
      <c r="BF79" s="81">
        <v>0</v>
      </c>
      <c r="BG79" s="81">
        <v>93</v>
      </c>
      <c r="BH79" s="81">
        <v>3</v>
      </c>
      <c r="BI79" s="81">
        <v>10</v>
      </c>
      <c r="BJ79" s="81">
        <v>71</v>
      </c>
      <c r="BK79" s="81">
        <v>1</v>
      </c>
      <c r="BL79" s="81">
        <v>2</v>
      </c>
      <c r="BM79" s="81">
        <v>31</v>
      </c>
      <c r="BN79" s="81">
        <v>465</v>
      </c>
      <c r="BO79" s="83">
        <v>465</v>
      </c>
      <c r="BP79" s="81">
        <v>141</v>
      </c>
      <c r="BQ79" s="81">
        <v>1</v>
      </c>
      <c r="BR79" s="81">
        <v>0</v>
      </c>
      <c r="BS79" s="81">
        <v>58</v>
      </c>
      <c r="BT79" s="81">
        <v>1</v>
      </c>
      <c r="BU79" s="81">
        <v>2</v>
      </c>
      <c r="BV79" s="81">
        <v>0</v>
      </c>
      <c r="BW79" s="81">
        <v>4</v>
      </c>
      <c r="BX79" s="81">
        <v>4</v>
      </c>
      <c r="BY79" s="81">
        <v>29</v>
      </c>
      <c r="BZ79" s="81"/>
      <c r="CA79" s="81">
        <v>238</v>
      </c>
      <c r="CB79" s="83">
        <v>240</v>
      </c>
      <c r="CC79" s="81">
        <v>78</v>
      </c>
      <c r="CD79" s="81">
        <v>46</v>
      </c>
      <c r="CE79" s="81">
        <v>124</v>
      </c>
      <c r="CF79" s="81">
        <v>124</v>
      </c>
    </row>
    <row r="80" spans="1:84">
      <c r="A80" s="82">
        <v>37408</v>
      </c>
      <c r="B80" s="81">
        <v>374</v>
      </c>
      <c r="C80" s="81">
        <v>3</v>
      </c>
      <c r="D80" s="81">
        <v>0</v>
      </c>
      <c r="E80" s="81"/>
      <c r="F80" s="81">
        <v>188</v>
      </c>
      <c r="G80" s="81">
        <v>7</v>
      </c>
      <c r="H80" s="81">
        <v>20</v>
      </c>
      <c r="I80" s="81">
        <v>0</v>
      </c>
      <c r="J80" s="81"/>
      <c r="K80" s="81">
        <v>1</v>
      </c>
      <c r="L80" s="81">
        <v>24</v>
      </c>
      <c r="M80" s="81">
        <v>616</v>
      </c>
      <c r="N80" s="83">
        <v>617</v>
      </c>
      <c r="O80" s="85">
        <v>286</v>
      </c>
      <c r="P80" s="85">
        <v>2</v>
      </c>
      <c r="Q80" s="85">
        <v>145</v>
      </c>
      <c r="R80" s="85">
        <v>36</v>
      </c>
      <c r="S80" s="85">
        <v>2</v>
      </c>
      <c r="T80" s="85">
        <v>4</v>
      </c>
      <c r="U80" s="85"/>
      <c r="V80" s="85">
        <v>2</v>
      </c>
      <c r="W80" s="85"/>
      <c r="X80" s="85">
        <v>1</v>
      </c>
      <c r="Y80" s="85">
        <v>477</v>
      </c>
      <c r="Z80" s="83">
        <v>478</v>
      </c>
      <c r="AA80" s="81">
        <v>71</v>
      </c>
      <c r="AB80" s="81">
        <v>1</v>
      </c>
      <c r="AC80" s="81">
        <v>0</v>
      </c>
      <c r="AD80" s="81">
        <v>0</v>
      </c>
      <c r="AE80" s="81">
        <v>80</v>
      </c>
      <c r="AF80" s="81">
        <v>4</v>
      </c>
      <c r="AG80" s="81">
        <v>9</v>
      </c>
      <c r="AH80" s="81">
        <v>0</v>
      </c>
      <c r="AI80" s="81">
        <v>0</v>
      </c>
      <c r="AJ80" s="81">
        <v>0</v>
      </c>
      <c r="AK80" s="81">
        <v>1</v>
      </c>
      <c r="AL80" s="81">
        <v>0</v>
      </c>
      <c r="AM80" s="81"/>
      <c r="AN80" s="81">
        <v>164</v>
      </c>
      <c r="AO80" s="83">
        <v>166</v>
      </c>
      <c r="AP80" s="81">
        <v>23</v>
      </c>
      <c r="AQ80" s="81">
        <v>1</v>
      </c>
      <c r="AR80" s="81">
        <v>0</v>
      </c>
      <c r="AS80" s="81">
        <v>24</v>
      </c>
      <c r="AT80" s="81">
        <v>4</v>
      </c>
      <c r="AU80" s="81">
        <v>4</v>
      </c>
      <c r="AV80" s="81">
        <v>8</v>
      </c>
      <c r="AW80" s="81">
        <v>8</v>
      </c>
      <c r="AX80" s="81">
        <v>0</v>
      </c>
      <c r="AY80" s="81">
        <v>1</v>
      </c>
      <c r="AZ80" s="81">
        <v>2</v>
      </c>
      <c r="BA80" s="81">
        <v>2</v>
      </c>
      <c r="BB80" s="81">
        <v>79</v>
      </c>
      <c r="BC80" s="83">
        <v>77</v>
      </c>
      <c r="BD80" s="81">
        <v>285</v>
      </c>
      <c r="BE80" s="81">
        <v>2</v>
      </c>
      <c r="BF80" s="81">
        <v>0</v>
      </c>
      <c r="BG80" s="81">
        <v>108</v>
      </c>
      <c r="BH80" s="81">
        <v>3</v>
      </c>
      <c r="BI80" s="81">
        <v>11</v>
      </c>
      <c r="BJ80" s="81">
        <v>75</v>
      </c>
      <c r="BK80" s="81"/>
      <c r="BL80" s="81">
        <v>1</v>
      </c>
      <c r="BM80" s="81">
        <v>32</v>
      </c>
      <c r="BN80" s="81">
        <v>516</v>
      </c>
      <c r="BO80" s="83">
        <v>517</v>
      </c>
      <c r="BP80" s="81">
        <v>169</v>
      </c>
      <c r="BQ80" s="81">
        <v>1</v>
      </c>
      <c r="BR80" s="81">
        <v>0</v>
      </c>
      <c r="BS80" s="81">
        <v>71</v>
      </c>
      <c r="BT80" s="81">
        <v>1</v>
      </c>
      <c r="BU80" s="81">
        <v>3</v>
      </c>
      <c r="BV80" s="81">
        <v>0</v>
      </c>
      <c r="BW80" s="81">
        <v>2</v>
      </c>
      <c r="BX80" s="81">
        <v>3</v>
      </c>
      <c r="BY80" s="81">
        <v>27</v>
      </c>
      <c r="BZ80" s="81"/>
      <c r="CA80" s="81">
        <v>277</v>
      </c>
      <c r="CB80" s="83">
        <v>277</v>
      </c>
      <c r="CC80" s="81">
        <v>105</v>
      </c>
      <c r="CD80" s="81">
        <v>58</v>
      </c>
      <c r="CE80" s="81">
        <v>163</v>
      </c>
      <c r="CF80" s="81">
        <v>163</v>
      </c>
    </row>
    <row r="81" spans="1:84">
      <c r="A81" s="82">
        <v>37438</v>
      </c>
      <c r="B81" s="81">
        <v>305</v>
      </c>
      <c r="C81" s="81">
        <v>3</v>
      </c>
      <c r="D81" s="81">
        <v>0</v>
      </c>
      <c r="E81" s="81"/>
      <c r="F81" s="81">
        <v>198</v>
      </c>
      <c r="G81" s="81">
        <v>8</v>
      </c>
      <c r="H81" s="81">
        <v>20</v>
      </c>
      <c r="I81" s="81">
        <v>0</v>
      </c>
      <c r="J81" s="81"/>
      <c r="K81" s="81">
        <v>4</v>
      </c>
      <c r="L81" s="81">
        <v>26</v>
      </c>
      <c r="M81" s="81">
        <v>564</v>
      </c>
      <c r="N81" s="83">
        <v>564</v>
      </c>
      <c r="O81" s="85">
        <v>315</v>
      </c>
      <c r="P81" s="85">
        <v>2</v>
      </c>
      <c r="Q81" s="85">
        <v>145</v>
      </c>
      <c r="R81" s="85">
        <v>33</v>
      </c>
      <c r="S81" s="85">
        <v>2</v>
      </c>
      <c r="T81" s="85">
        <v>1</v>
      </c>
      <c r="U81" s="85"/>
      <c r="V81" s="85">
        <v>3</v>
      </c>
      <c r="W81" s="85"/>
      <c r="X81" s="85">
        <v>4</v>
      </c>
      <c r="Y81" s="85">
        <v>505</v>
      </c>
      <c r="Z81" s="83">
        <v>505</v>
      </c>
      <c r="AA81" s="81">
        <v>59</v>
      </c>
      <c r="AB81" s="81">
        <v>1</v>
      </c>
      <c r="AC81" s="81">
        <v>0</v>
      </c>
      <c r="AD81" s="81">
        <v>0</v>
      </c>
      <c r="AE81" s="81">
        <v>83</v>
      </c>
      <c r="AF81" s="81">
        <v>4</v>
      </c>
      <c r="AG81" s="81">
        <v>9</v>
      </c>
      <c r="AH81" s="81">
        <v>0</v>
      </c>
      <c r="AI81" s="81">
        <v>0</v>
      </c>
      <c r="AJ81" s="81">
        <v>0</v>
      </c>
      <c r="AK81" s="81">
        <v>2</v>
      </c>
      <c r="AL81" s="81">
        <v>0</v>
      </c>
      <c r="AM81" s="81"/>
      <c r="AN81" s="81">
        <v>158</v>
      </c>
      <c r="AO81" s="83">
        <v>158</v>
      </c>
      <c r="AP81" s="81">
        <v>19</v>
      </c>
      <c r="AQ81" s="81">
        <v>1</v>
      </c>
      <c r="AR81" s="81">
        <v>1</v>
      </c>
      <c r="AS81" s="81">
        <v>32</v>
      </c>
      <c r="AT81" s="81">
        <v>4</v>
      </c>
      <c r="AU81" s="81">
        <v>6</v>
      </c>
      <c r="AV81" s="81">
        <v>8</v>
      </c>
      <c r="AW81" s="81">
        <v>7</v>
      </c>
      <c r="AX81" s="81">
        <v>0</v>
      </c>
      <c r="AY81" s="81">
        <v>2</v>
      </c>
      <c r="AZ81" s="81">
        <v>2</v>
      </c>
      <c r="BA81" s="81">
        <v>3</v>
      </c>
      <c r="BB81" s="81">
        <v>85</v>
      </c>
      <c r="BC81" s="83">
        <v>85</v>
      </c>
      <c r="BD81" s="81">
        <v>234</v>
      </c>
      <c r="BE81" s="81">
        <v>1</v>
      </c>
      <c r="BF81" s="81">
        <v>0</v>
      </c>
      <c r="BG81" s="81">
        <v>113</v>
      </c>
      <c r="BH81" s="81">
        <v>3</v>
      </c>
      <c r="BI81" s="81">
        <v>11</v>
      </c>
      <c r="BJ81" s="81">
        <v>76</v>
      </c>
      <c r="BK81" s="81"/>
      <c r="BL81" s="81">
        <v>3</v>
      </c>
      <c r="BM81" s="81">
        <v>29</v>
      </c>
      <c r="BN81" s="81">
        <v>471</v>
      </c>
      <c r="BO81" s="83">
        <v>470</v>
      </c>
      <c r="BP81" s="81">
        <v>150</v>
      </c>
      <c r="BQ81" s="81">
        <v>2</v>
      </c>
      <c r="BR81" s="81">
        <v>0</v>
      </c>
      <c r="BS81" s="81">
        <v>91</v>
      </c>
      <c r="BT81" s="81">
        <v>1</v>
      </c>
      <c r="BU81" s="81">
        <v>3</v>
      </c>
      <c r="BV81" s="81">
        <v>0</v>
      </c>
      <c r="BW81" s="81">
        <v>4</v>
      </c>
      <c r="BX81" s="81">
        <v>3</v>
      </c>
      <c r="BY81" s="81">
        <v>44</v>
      </c>
      <c r="BZ81" s="81"/>
      <c r="CA81" s="81">
        <v>299</v>
      </c>
      <c r="CB81" s="83">
        <v>298</v>
      </c>
      <c r="CC81" s="81">
        <v>84</v>
      </c>
      <c r="CD81" s="81">
        <v>79</v>
      </c>
      <c r="CE81" s="81">
        <v>163</v>
      </c>
      <c r="CF81" s="81">
        <v>163</v>
      </c>
    </row>
    <row r="82" spans="1:84">
      <c r="A82" s="82">
        <v>37469</v>
      </c>
      <c r="B82" s="81">
        <v>306</v>
      </c>
      <c r="C82" s="81">
        <v>3</v>
      </c>
      <c r="D82" s="81">
        <v>0</v>
      </c>
      <c r="E82" s="81"/>
      <c r="F82" s="81">
        <v>147</v>
      </c>
      <c r="G82" s="81">
        <v>7</v>
      </c>
      <c r="H82" s="81">
        <v>17</v>
      </c>
      <c r="I82" s="81">
        <v>0</v>
      </c>
      <c r="J82" s="81"/>
      <c r="K82" s="81">
        <v>3</v>
      </c>
      <c r="L82" s="81">
        <v>26</v>
      </c>
      <c r="M82" s="81">
        <v>511</v>
      </c>
      <c r="N82" s="83">
        <v>509</v>
      </c>
      <c r="O82" s="85">
        <v>313</v>
      </c>
      <c r="P82" s="85">
        <v>1</v>
      </c>
      <c r="Q82" s="85">
        <v>163</v>
      </c>
      <c r="R82" s="85">
        <v>32</v>
      </c>
      <c r="S82" s="85">
        <v>2</v>
      </c>
      <c r="T82" s="85">
        <v>0</v>
      </c>
      <c r="U82" s="85"/>
      <c r="V82" s="85">
        <v>2</v>
      </c>
      <c r="W82" s="85"/>
      <c r="X82" s="85">
        <v>4</v>
      </c>
      <c r="Y82" s="85">
        <v>517</v>
      </c>
      <c r="Z82" s="83">
        <v>517</v>
      </c>
      <c r="AA82" s="81">
        <v>58</v>
      </c>
      <c r="AB82" s="81">
        <v>1</v>
      </c>
      <c r="AC82" s="81">
        <v>0</v>
      </c>
      <c r="AD82" s="81">
        <v>0</v>
      </c>
      <c r="AE82" s="81">
        <v>63</v>
      </c>
      <c r="AF82" s="81">
        <v>3</v>
      </c>
      <c r="AG82" s="81">
        <v>8</v>
      </c>
      <c r="AH82" s="81">
        <v>0</v>
      </c>
      <c r="AI82" s="81">
        <v>0</v>
      </c>
      <c r="AJ82" s="81">
        <v>0</v>
      </c>
      <c r="AK82" s="81">
        <v>1</v>
      </c>
      <c r="AL82" s="81">
        <v>0</v>
      </c>
      <c r="AM82" s="81"/>
      <c r="AN82" s="81">
        <v>135</v>
      </c>
      <c r="AO82" s="83">
        <v>134</v>
      </c>
      <c r="AP82" s="81">
        <v>22</v>
      </c>
      <c r="AQ82" s="81">
        <v>1</v>
      </c>
      <c r="AR82" s="81">
        <v>1</v>
      </c>
      <c r="AS82" s="81">
        <v>34</v>
      </c>
      <c r="AT82" s="81">
        <v>4</v>
      </c>
      <c r="AU82" s="81">
        <v>6</v>
      </c>
      <c r="AV82" s="81">
        <v>9</v>
      </c>
      <c r="AW82" s="81">
        <v>6</v>
      </c>
      <c r="AX82" s="81">
        <v>0</v>
      </c>
      <c r="AY82" s="81">
        <v>1</v>
      </c>
      <c r="AZ82" s="81">
        <v>3</v>
      </c>
      <c r="BA82" s="81">
        <v>3</v>
      </c>
      <c r="BB82" s="81">
        <v>90</v>
      </c>
      <c r="BC82" s="83">
        <v>90</v>
      </c>
      <c r="BD82" s="81">
        <v>232</v>
      </c>
      <c r="BE82" s="81">
        <v>1</v>
      </c>
      <c r="BF82" s="81">
        <v>0</v>
      </c>
      <c r="BG82" s="81">
        <v>85</v>
      </c>
      <c r="BH82" s="81">
        <v>3</v>
      </c>
      <c r="BI82" s="81">
        <v>9</v>
      </c>
      <c r="BJ82" s="81">
        <v>67</v>
      </c>
      <c r="BK82" s="81"/>
      <c r="BL82" s="81">
        <v>2</v>
      </c>
      <c r="BM82" s="81">
        <v>29</v>
      </c>
      <c r="BN82" s="81">
        <v>429</v>
      </c>
      <c r="BO82" s="83">
        <v>428</v>
      </c>
      <c r="BP82" s="81">
        <v>138</v>
      </c>
      <c r="BQ82" s="81">
        <v>2</v>
      </c>
      <c r="BR82" s="81">
        <v>0</v>
      </c>
      <c r="BS82" s="81">
        <v>77</v>
      </c>
      <c r="BT82" s="81">
        <v>1</v>
      </c>
      <c r="BU82" s="81">
        <v>2</v>
      </c>
      <c r="BV82" s="81">
        <v>0</v>
      </c>
      <c r="BW82" s="81">
        <v>3</v>
      </c>
      <c r="BX82" s="81">
        <v>4</v>
      </c>
      <c r="BY82" s="81">
        <v>75</v>
      </c>
      <c r="BZ82" s="81"/>
      <c r="CA82" s="81">
        <v>301</v>
      </c>
      <c r="CB82" s="83">
        <v>302</v>
      </c>
      <c r="CC82" s="81">
        <v>71</v>
      </c>
      <c r="CD82" s="81">
        <v>64</v>
      </c>
      <c r="CE82" s="81">
        <v>135</v>
      </c>
      <c r="CF82" s="81">
        <v>135</v>
      </c>
    </row>
    <row r="83" spans="1:84">
      <c r="A83" s="82">
        <v>37500</v>
      </c>
      <c r="B83" s="81">
        <v>350</v>
      </c>
      <c r="C83" s="81">
        <v>2</v>
      </c>
      <c r="D83" s="81">
        <v>0</v>
      </c>
      <c r="E83" s="81"/>
      <c r="F83" s="81">
        <v>175</v>
      </c>
      <c r="G83" s="81">
        <v>8</v>
      </c>
      <c r="H83" s="81">
        <v>17</v>
      </c>
      <c r="I83" s="81">
        <v>2</v>
      </c>
      <c r="J83" s="81"/>
      <c r="K83" s="81">
        <v>2</v>
      </c>
      <c r="L83" s="81">
        <v>25</v>
      </c>
      <c r="M83" s="81">
        <v>582</v>
      </c>
      <c r="N83" s="83">
        <v>581</v>
      </c>
      <c r="O83" s="85">
        <v>301</v>
      </c>
      <c r="P83" s="85">
        <v>0</v>
      </c>
      <c r="Q83" s="85">
        <v>136</v>
      </c>
      <c r="R83" s="85">
        <v>35</v>
      </c>
      <c r="S83" s="85">
        <v>2</v>
      </c>
      <c r="T83" s="85">
        <v>1</v>
      </c>
      <c r="U83" s="85"/>
      <c r="V83" s="85">
        <v>2</v>
      </c>
      <c r="W83" s="85"/>
      <c r="X83" s="85">
        <v>2</v>
      </c>
      <c r="Y83" s="85">
        <v>479</v>
      </c>
      <c r="Z83" s="83">
        <v>479</v>
      </c>
      <c r="AA83" s="81">
        <v>67</v>
      </c>
      <c r="AB83" s="81">
        <v>0</v>
      </c>
      <c r="AC83" s="81">
        <v>0</v>
      </c>
      <c r="AD83" s="81">
        <v>0</v>
      </c>
      <c r="AE83" s="81">
        <v>74</v>
      </c>
      <c r="AF83" s="81">
        <v>4</v>
      </c>
      <c r="AG83" s="81">
        <v>8</v>
      </c>
      <c r="AH83" s="81">
        <v>1</v>
      </c>
      <c r="AI83" s="81">
        <v>0</v>
      </c>
      <c r="AJ83" s="81">
        <v>0</v>
      </c>
      <c r="AK83" s="81">
        <v>1</v>
      </c>
      <c r="AL83" s="81">
        <v>0</v>
      </c>
      <c r="AM83" s="81"/>
      <c r="AN83" s="81">
        <v>155</v>
      </c>
      <c r="AO83" s="83">
        <v>155</v>
      </c>
      <c r="AP83" s="81">
        <v>22</v>
      </c>
      <c r="AQ83" s="81">
        <v>1</v>
      </c>
      <c r="AR83" s="81">
        <v>1</v>
      </c>
      <c r="AS83" s="81">
        <v>30</v>
      </c>
      <c r="AT83" s="81">
        <v>5</v>
      </c>
      <c r="AU83" s="81">
        <v>6</v>
      </c>
      <c r="AV83" s="81">
        <v>8</v>
      </c>
      <c r="AW83" s="81">
        <v>8</v>
      </c>
      <c r="AX83" s="81">
        <v>0</v>
      </c>
      <c r="AY83" s="81">
        <v>1</v>
      </c>
      <c r="AZ83" s="81">
        <v>2</v>
      </c>
      <c r="BA83" s="81">
        <v>4</v>
      </c>
      <c r="BB83" s="81">
        <v>89</v>
      </c>
      <c r="BC83" s="83">
        <v>88</v>
      </c>
      <c r="BD83" s="81">
        <v>265</v>
      </c>
      <c r="BE83" s="81">
        <v>1</v>
      </c>
      <c r="BF83" s="81">
        <v>0</v>
      </c>
      <c r="BG83" s="81">
        <v>100</v>
      </c>
      <c r="BH83" s="81">
        <v>3</v>
      </c>
      <c r="BI83" s="81">
        <v>9</v>
      </c>
      <c r="BJ83" s="81">
        <v>64</v>
      </c>
      <c r="BK83" s="81"/>
      <c r="BL83" s="81">
        <v>1</v>
      </c>
      <c r="BM83" s="81">
        <v>28</v>
      </c>
      <c r="BN83" s="81">
        <v>473</v>
      </c>
      <c r="BO83" s="83">
        <v>471</v>
      </c>
      <c r="BP83" s="81">
        <v>137</v>
      </c>
      <c r="BQ83" s="81">
        <v>2</v>
      </c>
      <c r="BR83" s="81">
        <v>0</v>
      </c>
      <c r="BS83" s="81">
        <v>70</v>
      </c>
      <c r="BT83" s="81">
        <v>0</v>
      </c>
      <c r="BU83" s="81">
        <v>2</v>
      </c>
      <c r="BV83" s="81">
        <v>0</v>
      </c>
      <c r="BW83" s="81">
        <v>2</v>
      </c>
      <c r="BX83" s="81">
        <v>3</v>
      </c>
      <c r="BY83" s="81">
        <v>72</v>
      </c>
      <c r="BZ83" s="81"/>
      <c r="CA83" s="81">
        <v>289</v>
      </c>
      <c r="CB83" s="83">
        <v>288</v>
      </c>
      <c r="CC83" s="81">
        <v>78</v>
      </c>
      <c r="CD83" s="81">
        <v>58</v>
      </c>
      <c r="CE83" s="81">
        <v>136</v>
      </c>
      <c r="CF83" s="81">
        <v>136</v>
      </c>
    </row>
    <row r="84" spans="1:84">
      <c r="A84" s="82">
        <v>37530</v>
      </c>
      <c r="B84" s="81">
        <v>352</v>
      </c>
      <c r="C84" s="81">
        <v>2</v>
      </c>
      <c r="D84" s="81">
        <v>0</v>
      </c>
      <c r="E84" s="81"/>
      <c r="F84" s="81">
        <v>187</v>
      </c>
      <c r="G84" s="81">
        <v>8</v>
      </c>
      <c r="H84" s="81">
        <v>17</v>
      </c>
      <c r="I84" s="81">
        <v>1</v>
      </c>
      <c r="J84" s="81"/>
      <c r="K84" s="81">
        <v>1</v>
      </c>
      <c r="L84" s="81">
        <v>28</v>
      </c>
      <c r="M84" s="81">
        <v>596</v>
      </c>
      <c r="N84" s="83">
        <v>596</v>
      </c>
      <c r="O84" s="85">
        <v>244</v>
      </c>
      <c r="P84" s="85">
        <v>0</v>
      </c>
      <c r="Q84" s="85">
        <v>179</v>
      </c>
      <c r="R84" s="85">
        <v>33</v>
      </c>
      <c r="S84" s="85">
        <v>3</v>
      </c>
      <c r="T84" s="85">
        <v>1</v>
      </c>
      <c r="U84" s="85"/>
      <c r="V84" s="85">
        <v>2</v>
      </c>
      <c r="W84" s="85"/>
      <c r="X84" s="85">
        <v>1</v>
      </c>
      <c r="Y84" s="85">
        <v>463</v>
      </c>
      <c r="Z84" s="83">
        <v>463</v>
      </c>
      <c r="AA84" s="81">
        <v>68</v>
      </c>
      <c r="AB84" s="81">
        <v>0</v>
      </c>
      <c r="AC84" s="81">
        <v>0</v>
      </c>
      <c r="AD84" s="81">
        <v>0</v>
      </c>
      <c r="AE84" s="81">
        <v>78</v>
      </c>
      <c r="AF84" s="81">
        <v>4</v>
      </c>
      <c r="AG84" s="81">
        <v>8</v>
      </c>
      <c r="AH84" s="81">
        <v>0</v>
      </c>
      <c r="AI84" s="81">
        <v>0</v>
      </c>
      <c r="AJ84" s="81">
        <v>0</v>
      </c>
      <c r="AK84" s="81">
        <v>0</v>
      </c>
      <c r="AL84" s="81">
        <v>0</v>
      </c>
      <c r="AM84" s="81"/>
      <c r="AN84" s="81">
        <v>159</v>
      </c>
      <c r="AO84" s="83">
        <v>158</v>
      </c>
      <c r="AP84" s="81">
        <v>22</v>
      </c>
      <c r="AQ84" s="81">
        <v>1</v>
      </c>
      <c r="AR84" s="81">
        <v>1</v>
      </c>
      <c r="AS84" s="81">
        <v>32</v>
      </c>
      <c r="AT84" s="81">
        <v>5</v>
      </c>
      <c r="AU84" s="81">
        <v>5</v>
      </c>
      <c r="AV84" s="81">
        <v>7</v>
      </c>
      <c r="AW84" s="81">
        <v>6</v>
      </c>
      <c r="AX84" s="81">
        <v>0</v>
      </c>
      <c r="AY84" s="81">
        <v>2</v>
      </c>
      <c r="AZ84" s="81">
        <v>2</v>
      </c>
      <c r="BA84" s="81">
        <v>3</v>
      </c>
      <c r="BB84" s="81">
        <v>85</v>
      </c>
      <c r="BC84" s="83">
        <v>86</v>
      </c>
      <c r="BD84" s="81">
        <v>269</v>
      </c>
      <c r="BE84" s="81">
        <v>1</v>
      </c>
      <c r="BF84" s="81">
        <v>0</v>
      </c>
      <c r="BG84" s="81">
        <v>106</v>
      </c>
      <c r="BH84" s="81">
        <v>3</v>
      </c>
      <c r="BI84" s="81">
        <v>9</v>
      </c>
      <c r="BJ84" s="81">
        <v>64</v>
      </c>
      <c r="BK84" s="81"/>
      <c r="BL84" s="81">
        <v>1</v>
      </c>
      <c r="BM84" s="81">
        <v>31</v>
      </c>
      <c r="BN84" s="81">
        <v>485</v>
      </c>
      <c r="BO84" s="83">
        <v>484</v>
      </c>
      <c r="BP84" s="81">
        <v>123</v>
      </c>
      <c r="BQ84" s="81">
        <v>2</v>
      </c>
      <c r="BR84" s="81">
        <v>0</v>
      </c>
      <c r="BS84" s="81">
        <v>76</v>
      </c>
      <c r="BT84" s="81">
        <v>1</v>
      </c>
      <c r="BU84" s="81">
        <v>1</v>
      </c>
      <c r="BV84" s="81">
        <v>0</v>
      </c>
      <c r="BW84" s="81">
        <v>4</v>
      </c>
      <c r="BX84" s="81">
        <v>1</v>
      </c>
      <c r="BY84" s="81">
        <v>86</v>
      </c>
      <c r="BZ84" s="81"/>
      <c r="CA84" s="81">
        <v>293</v>
      </c>
      <c r="CB84" s="83">
        <v>294</v>
      </c>
      <c r="CC84" s="81">
        <v>62</v>
      </c>
      <c r="CD84" s="81">
        <v>63</v>
      </c>
      <c r="CE84" s="81">
        <v>125</v>
      </c>
      <c r="CF84" s="81">
        <v>125</v>
      </c>
    </row>
    <row r="85" spans="1:84">
      <c r="A85" s="82">
        <v>37561</v>
      </c>
      <c r="B85" s="81">
        <v>370</v>
      </c>
      <c r="C85" s="81">
        <v>2</v>
      </c>
      <c r="D85" s="81">
        <v>0</v>
      </c>
      <c r="E85" s="81"/>
      <c r="F85" s="81">
        <v>174</v>
      </c>
      <c r="G85" s="81">
        <v>8</v>
      </c>
      <c r="H85" s="81">
        <v>17</v>
      </c>
      <c r="I85" s="81">
        <v>2</v>
      </c>
      <c r="J85" s="81"/>
      <c r="K85" s="81">
        <v>2</v>
      </c>
      <c r="L85" s="81">
        <v>25</v>
      </c>
      <c r="M85" s="81">
        <v>601</v>
      </c>
      <c r="N85" s="83">
        <v>600</v>
      </c>
      <c r="O85" s="85">
        <v>254</v>
      </c>
      <c r="P85" s="85">
        <v>1</v>
      </c>
      <c r="Q85" s="85">
        <v>185</v>
      </c>
      <c r="R85" s="85">
        <v>31</v>
      </c>
      <c r="S85" s="85">
        <v>3</v>
      </c>
      <c r="T85" s="85">
        <v>2</v>
      </c>
      <c r="U85" s="85">
        <v>0</v>
      </c>
      <c r="V85" s="85">
        <v>3</v>
      </c>
      <c r="W85" s="85">
        <v>0</v>
      </c>
      <c r="X85" s="85">
        <v>1</v>
      </c>
      <c r="Y85" s="85">
        <v>481</v>
      </c>
      <c r="Z85" s="83">
        <v>480</v>
      </c>
      <c r="AA85" s="81">
        <v>71</v>
      </c>
      <c r="AB85" s="81">
        <v>1</v>
      </c>
      <c r="AC85" s="81">
        <v>0</v>
      </c>
      <c r="AD85" s="81">
        <v>0</v>
      </c>
      <c r="AE85" s="81">
        <v>73</v>
      </c>
      <c r="AF85" s="81">
        <v>4</v>
      </c>
      <c r="AG85" s="81">
        <v>8</v>
      </c>
      <c r="AH85" s="81">
        <v>1</v>
      </c>
      <c r="AI85" s="81">
        <v>0</v>
      </c>
      <c r="AJ85" s="81">
        <v>0</v>
      </c>
      <c r="AK85" s="81">
        <v>1</v>
      </c>
      <c r="AL85" s="81">
        <v>0</v>
      </c>
      <c r="AM85" s="81"/>
      <c r="AN85" s="81">
        <v>159</v>
      </c>
      <c r="AO85" s="83">
        <v>159</v>
      </c>
      <c r="AP85" s="81">
        <v>24</v>
      </c>
      <c r="AQ85" s="81">
        <v>1</v>
      </c>
      <c r="AR85" s="81">
        <v>0</v>
      </c>
      <c r="AS85" s="81">
        <v>27</v>
      </c>
      <c r="AT85" s="81">
        <v>5</v>
      </c>
      <c r="AU85" s="81">
        <v>5</v>
      </c>
      <c r="AV85" s="81">
        <v>7</v>
      </c>
      <c r="AW85" s="81">
        <v>9</v>
      </c>
      <c r="AX85" s="81">
        <v>0</v>
      </c>
      <c r="AY85" s="81">
        <v>1</v>
      </c>
      <c r="AZ85" s="81">
        <v>2</v>
      </c>
      <c r="BA85" s="81">
        <v>2</v>
      </c>
      <c r="BB85" s="81">
        <v>82</v>
      </c>
      <c r="BC85" s="83">
        <v>83</v>
      </c>
      <c r="BD85" s="81">
        <v>281</v>
      </c>
      <c r="BE85" s="81">
        <v>1</v>
      </c>
      <c r="BF85" s="81">
        <v>0</v>
      </c>
      <c r="BG85" s="81">
        <v>99</v>
      </c>
      <c r="BH85" s="81">
        <v>4</v>
      </c>
      <c r="BI85" s="81">
        <v>9</v>
      </c>
      <c r="BJ85" s="81">
        <v>65</v>
      </c>
      <c r="BK85" s="81"/>
      <c r="BL85" s="81">
        <v>1</v>
      </c>
      <c r="BM85" s="81">
        <v>28</v>
      </c>
      <c r="BN85" s="81">
        <v>489</v>
      </c>
      <c r="BO85" s="83">
        <v>488</v>
      </c>
      <c r="BP85" s="81">
        <v>129</v>
      </c>
      <c r="BQ85" s="81">
        <v>2</v>
      </c>
      <c r="BR85" s="81">
        <v>0</v>
      </c>
      <c r="BS85" s="81">
        <v>82</v>
      </c>
      <c r="BT85" s="81">
        <v>1</v>
      </c>
      <c r="BU85" s="81">
        <v>2</v>
      </c>
      <c r="BV85" s="81">
        <v>0</v>
      </c>
      <c r="BW85" s="81">
        <v>3</v>
      </c>
      <c r="BX85" s="81">
        <v>2</v>
      </c>
      <c r="BY85" s="81">
        <v>68</v>
      </c>
      <c r="BZ85" s="81"/>
      <c r="CA85" s="81">
        <v>287</v>
      </c>
      <c r="CB85" s="83">
        <v>289</v>
      </c>
      <c r="CC85" s="81">
        <v>69</v>
      </c>
      <c r="CD85" s="81">
        <v>69</v>
      </c>
      <c r="CE85" s="81">
        <v>138</v>
      </c>
      <c r="CF85" s="81">
        <v>138</v>
      </c>
    </row>
    <row r="86" spans="1:84">
      <c r="A86" s="82">
        <v>37591</v>
      </c>
      <c r="B86" s="81">
        <v>354</v>
      </c>
      <c r="C86" s="81">
        <v>2</v>
      </c>
      <c r="D86" s="81">
        <v>0</v>
      </c>
      <c r="E86" s="81"/>
      <c r="F86" s="81">
        <v>162</v>
      </c>
      <c r="G86" s="81">
        <v>7</v>
      </c>
      <c r="H86" s="81">
        <v>18</v>
      </c>
      <c r="I86" s="81">
        <v>0</v>
      </c>
      <c r="J86" s="81"/>
      <c r="K86" s="81">
        <v>2</v>
      </c>
      <c r="L86" s="81">
        <v>27</v>
      </c>
      <c r="M86" s="81">
        <v>572</v>
      </c>
      <c r="N86" s="83">
        <v>572</v>
      </c>
      <c r="O86" s="85">
        <v>282</v>
      </c>
      <c r="P86" s="85">
        <v>0</v>
      </c>
      <c r="Q86" s="85">
        <v>170</v>
      </c>
      <c r="R86" s="85">
        <v>30</v>
      </c>
      <c r="S86" s="85">
        <v>0</v>
      </c>
      <c r="T86" s="85">
        <v>0</v>
      </c>
      <c r="U86" s="85">
        <v>0</v>
      </c>
      <c r="V86" s="85">
        <v>0</v>
      </c>
      <c r="W86" s="85">
        <v>0</v>
      </c>
      <c r="X86" s="85">
        <v>9</v>
      </c>
      <c r="Y86" s="85">
        <v>491</v>
      </c>
      <c r="Z86" s="83">
        <v>491</v>
      </c>
      <c r="AA86" s="81">
        <v>67</v>
      </c>
      <c r="AB86" s="81">
        <v>0</v>
      </c>
      <c r="AC86" s="81">
        <v>0</v>
      </c>
      <c r="AD86" s="81">
        <v>0</v>
      </c>
      <c r="AE86" s="81">
        <v>66</v>
      </c>
      <c r="AF86" s="81">
        <v>3</v>
      </c>
      <c r="AG86" s="81">
        <v>9</v>
      </c>
      <c r="AH86" s="81">
        <v>0</v>
      </c>
      <c r="AI86" s="81">
        <v>0</v>
      </c>
      <c r="AJ86" s="81">
        <v>0</v>
      </c>
      <c r="AK86" s="81">
        <v>1</v>
      </c>
      <c r="AL86" s="81">
        <v>0</v>
      </c>
      <c r="AM86" s="81"/>
      <c r="AN86" s="81">
        <v>147</v>
      </c>
      <c r="AO86" s="83">
        <v>146</v>
      </c>
      <c r="AP86" s="81">
        <v>21</v>
      </c>
      <c r="AQ86" s="81">
        <v>1</v>
      </c>
      <c r="AR86" s="81">
        <v>0</v>
      </c>
      <c r="AS86" s="81">
        <v>18</v>
      </c>
      <c r="AT86" s="81">
        <v>5</v>
      </c>
      <c r="AU86" s="81">
        <v>5</v>
      </c>
      <c r="AV86" s="81">
        <v>7</v>
      </c>
      <c r="AW86" s="81">
        <v>8</v>
      </c>
      <c r="AX86" s="81">
        <v>0</v>
      </c>
      <c r="AY86" s="81">
        <v>2</v>
      </c>
      <c r="AZ86" s="81">
        <v>1</v>
      </c>
      <c r="BA86" s="81">
        <v>2</v>
      </c>
      <c r="BB86" s="81">
        <v>70</v>
      </c>
      <c r="BC86" s="83">
        <v>70</v>
      </c>
      <c r="BD86" s="81">
        <v>269</v>
      </c>
      <c r="BE86" s="81">
        <v>1</v>
      </c>
      <c r="BF86" s="81">
        <v>0</v>
      </c>
      <c r="BG86" s="81">
        <v>93</v>
      </c>
      <c r="BH86" s="81">
        <v>3</v>
      </c>
      <c r="BI86" s="81">
        <v>10</v>
      </c>
      <c r="BJ86" s="81">
        <v>69</v>
      </c>
      <c r="BK86" s="81"/>
      <c r="BL86" s="81">
        <v>1</v>
      </c>
      <c r="BM86" s="81">
        <v>27</v>
      </c>
      <c r="BN86" s="81">
        <v>474</v>
      </c>
      <c r="BO86" s="83">
        <v>473</v>
      </c>
      <c r="BP86" s="81">
        <v>119</v>
      </c>
      <c r="BQ86" s="81">
        <v>2</v>
      </c>
      <c r="BR86" s="81">
        <v>0</v>
      </c>
      <c r="BS86" s="81">
        <v>71</v>
      </c>
      <c r="BT86" s="81">
        <v>1</v>
      </c>
      <c r="BU86" s="81">
        <v>1</v>
      </c>
      <c r="BV86" s="81">
        <v>0</v>
      </c>
      <c r="BW86" s="81">
        <v>1</v>
      </c>
      <c r="BX86" s="81">
        <v>2</v>
      </c>
      <c r="BY86" s="81">
        <v>48</v>
      </c>
      <c r="BZ86" s="81"/>
      <c r="CA86" s="81">
        <v>245</v>
      </c>
      <c r="CB86" s="83">
        <v>245</v>
      </c>
      <c r="CC86" s="81">
        <v>50</v>
      </c>
      <c r="CD86" s="81">
        <v>58</v>
      </c>
      <c r="CE86" s="81">
        <v>108</v>
      </c>
      <c r="CF86" s="81">
        <v>108</v>
      </c>
    </row>
    <row r="87" spans="1:84">
      <c r="A87" s="82">
        <v>37622</v>
      </c>
      <c r="B87" s="81">
        <v>349</v>
      </c>
      <c r="C87" s="81">
        <v>2</v>
      </c>
      <c r="D87" s="81">
        <v>0</v>
      </c>
      <c r="E87" s="81"/>
      <c r="F87" s="81">
        <v>169</v>
      </c>
      <c r="G87" s="81">
        <v>7</v>
      </c>
      <c r="H87" s="81">
        <v>16</v>
      </c>
      <c r="I87" s="81">
        <v>0</v>
      </c>
      <c r="J87" s="81"/>
      <c r="K87" s="81">
        <v>2</v>
      </c>
      <c r="L87" s="81">
        <v>23</v>
      </c>
      <c r="M87" s="81">
        <v>568</v>
      </c>
      <c r="N87" s="83">
        <v>568</v>
      </c>
      <c r="O87" s="85">
        <v>268</v>
      </c>
      <c r="P87" s="85">
        <v>1</v>
      </c>
      <c r="Q87" s="85">
        <v>153</v>
      </c>
      <c r="R87" s="85">
        <v>30</v>
      </c>
      <c r="S87" s="85">
        <v>1</v>
      </c>
      <c r="T87" s="85">
        <v>2</v>
      </c>
      <c r="U87" s="85">
        <v>0</v>
      </c>
      <c r="V87" s="85">
        <v>1</v>
      </c>
      <c r="W87" s="85">
        <v>0</v>
      </c>
      <c r="X87" s="85">
        <v>1</v>
      </c>
      <c r="Y87" s="85">
        <v>457</v>
      </c>
      <c r="Z87" s="83">
        <v>457</v>
      </c>
      <c r="AA87" s="81">
        <v>65</v>
      </c>
      <c r="AB87" s="81">
        <v>1</v>
      </c>
      <c r="AC87" s="81">
        <v>0</v>
      </c>
      <c r="AD87" s="81">
        <v>0</v>
      </c>
      <c r="AE87" s="81">
        <v>69</v>
      </c>
      <c r="AF87" s="81">
        <v>3</v>
      </c>
      <c r="AG87" s="81">
        <v>7</v>
      </c>
      <c r="AH87" s="81">
        <v>0</v>
      </c>
      <c r="AI87" s="81">
        <v>0</v>
      </c>
      <c r="AJ87" s="81">
        <v>0</v>
      </c>
      <c r="AK87" s="81">
        <v>1</v>
      </c>
      <c r="AL87" s="81">
        <v>0</v>
      </c>
      <c r="AM87" s="81"/>
      <c r="AN87" s="81">
        <v>146</v>
      </c>
      <c r="AO87" s="83">
        <v>146</v>
      </c>
      <c r="AP87" s="81">
        <v>29</v>
      </c>
      <c r="AQ87" s="81">
        <v>1</v>
      </c>
      <c r="AR87" s="81">
        <v>0</v>
      </c>
      <c r="AS87" s="81">
        <v>23</v>
      </c>
      <c r="AT87" s="81">
        <v>5</v>
      </c>
      <c r="AU87" s="81">
        <v>5</v>
      </c>
      <c r="AV87" s="81">
        <v>8</v>
      </c>
      <c r="AW87" s="81">
        <v>6</v>
      </c>
      <c r="AX87" s="81">
        <v>0</v>
      </c>
      <c r="AY87" s="81">
        <v>2</v>
      </c>
      <c r="AZ87" s="81">
        <v>2</v>
      </c>
      <c r="BA87" s="81">
        <v>2</v>
      </c>
      <c r="BB87" s="81">
        <v>84</v>
      </c>
      <c r="BC87" s="83">
        <v>83</v>
      </c>
      <c r="BD87" s="81">
        <v>264</v>
      </c>
      <c r="BE87" s="81">
        <v>1</v>
      </c>
      <c r="BF87" s="81">
        <v>0</v>
      </c>
      <c r="BG87" s="81">
        <v>97</v>
      </c>
      <c r="BH87" s="81">
        <v>3</v>
      </c>
      <c r="BI87" s="81">
        <v>9</v>
      </c>
      <c r="BJ87" s="81">
        <v>61</v>
      </c>
      <c r="BK87" s="81"/>
      <c r="BL87" s="81">
        <v>1</v>
      </c>
      <c r="BM87" s="81">
        <v>18</v>
      </c>
      <c r="BN87" s="81">
        <v>455</v>
      </c>
      <c r="BO87" s="83">
        <v>454</v>
      </c>
      <c r="BP87" s="81">
        <v>139</v>
      </c>
      <c r="BQ87" s="81">
        <v>1</v>
      </c>
      <c r="BR87" s="81">
        <v>0</v>
      </c>
      <c r="BS87" s="81">
        <v>74</v>
      </c>
      <c r="BT87" s="81">
        <v>0</v>
      </c>
      <c r="BU87" s="81">
        <v>2</v>
      </c>
      <c r="BV87" s="81">
        <v>0</v>
      </c>
      <c r="BW87" s="81">
        <v>4</v>
      </c>
      <c r="BX87" s="81">
        <v>2</v>
      </c>
      <c r="BY87" s="81">
        <v>30</v>
      </c>
      <c r="BZ87" s="81"/>
      <c r="CA87" s="81">
        <v>252</v>
      </c>
      <c r="CB87" s="83">
        <v>252</v>
      </c>
      <c r="CC87" s="81">
        <v>74</v>
      </c>
      <c r="CD87" s="81">
        <v>61</v>
      </c>
      <c r="CE87" s="81">
        <v>135</v>
      </c>
      <c r="CF87" s="81">
        <v>135</v>
      </c>
    </row>
    <row r="88" spans="1:84">
      <c r="A88" s="82">
        <v>37653</v>
      </c>
      <c r="B88" s="81">
        <v>307</v>
      </c>
      <c r="C88" s="81">
        <v>3</v>
      </c>
      <c r="D88" s="81">
        <v>0</v>
      </c>
      <c r="E88" s="81"/>
      <c r="F88" s="81">
        <v>155</v>
      </c>
      <c r="G88" s="81">
        <v>7</v>
      </c>
      <c r="H88" s="81">
        <v>16</v>
      </c>
      <c r="I88" s="81">
        <v>0</v>
      </c>
      <c r="J88" s="81"/>
      <c r="K88" s="81">
        <v>2</v>
      </c>
      <c r="L88" s="81">
        <v>24</v>
      </c>
      <c r="M88" s="81">
        <v>514</v>
      </c>
      <c r="N88" s="83">
        <v>514</v>
      </c>
      <c r="O88" s="85">
        <v>306</v>
      </c>
      <c r="P88" s="85">
        <v>1</v>
      </c>
      <c r="Q88" s="85">
        <v>186</v>
      </c>
      <c r="R88" s="85">
        <v>28</v>
      </c>
      <c r="S88" s="85">
        <v>2</v>
      </c>
      <c r="T88" s="85">
        <v>2</v>
      </c>
      <c r="U88" s="85">
        <v>0</v>
      </c>
      <c r="V88" s="85">
        <v>2</v>
      </c>
      <c r="W88" s="85">
        <v>0</v>
      </c>
      <c r="X88" s="85">
        <v>1</v>
      </c>
      <c r="Y88" s="85">
        <v>528</v>
      </c>
      <c r="Z88" s="83">
        <v>528</v>
      </c>
      <c r="AA88" s="81">
        <v>57</v>
      </c>
      <c r="AB88" s="81">
        <v>1</v>
      </c>
      <c r="AC88" s="81">
        <v>0</v>
      </c>
      <c r="AD88" s="81">
        <v>0</v>
      </c>
      <c r="AE88" s="81">
        <v>64</v>
      </c>
      <c r="AF88" s="81">
        <v>3</v>
      </c>
      <c r="AG88" s="81">
        <v>8</v>
      </c>
      <c r="AH88" s="81">
        <v>0</v>
      </c>
      <c r="AI88" s="81">
        <v>0</v>
      </c>
      <c r="AJ88" s="81">
        <v>0</v>
      </c>
      <c r="AK88" s="81">
        <v>1</v>
      </c>
      <c r="AL88" s="81">
        <v>0</v>
      </c>
      <c r="AM88" s="81"/>
      <c r="AN88" s="81">
        <v>133</v>
      </c>
      <c r="AO88" s="83">
        <v>134</v>
      </c>
      <c r="AP88" s="81">
        <v>29</v>
      </c>
      <c r="AQ88" s="81">
        <v>1</v>
      </c>
      <c r="AR88" s="81">
        <v>0</v>
      </c>
      <c r="AS88" s="81">
        <v>26</v>
      </c>
      <c r="AT88" s="81">
        <v>5</v>
      </c>
      <c r="AU88" s="81">
        <v>5</v>
      </c>
      <c r="AV88" s="81">
        <v>7</v>
      </c>
      <c r="AW88" s="81">
        <v>9</v>
      </c>
      <c r="AX88" s="81">
        <v>0</v>
      </c>
      <c r="AY88" s="81">
        <v>3</v>
      </c>
      <c r="AZ88" s="81">
        <v>2</v>
      </c>
      <c r="BA88" s="81">
        <v>1</v>
      </c>
      <c r="BB88" s="81">
        <v>87</v>
      </c>
      <c r="BC88" s="83">
        <v>88</v>
      </c>
      <c r="BD88" s="81">
        <v>235</v>
      </c>
      <c r="BE88" s="81">
        <v>1</v>
      </c>
      <c r="BF88" s="81">
        <v>0</v>
      </c>
      <c r="BG88" s="81">
        <v>89</v>
      </c>
      <c r="BH88" s="81">
        <v>3</v>
      </c>
      <c r="BI88" s="81">
        <v>9</v>
      </c>
      <c r="BJ88" s="81">
        <v>63</v>
      </c>
      <c r="BK88" s="81"/>
      <c r="BL88" s="81">
        <v>1</v>
      </c>
      <c r="BM88" s="81">
        <v>17</v>
      </c>
      <c r="BN88" s="81">
        <v>417</v>
      </c>
      <c r="BO88" s="83">
        <v>418</v>
      </c>
      <c r="BP88" s="81">
        <v>127</v>
      </c>
      <c r="BQ88" s="81">
        <v>1</v>
      </c>
      <c r="BR88" s="81">
        <v>0</v>
      </c>
      <c r="BS88" s="81">
        <v>54</v>
      </c>
      <c r="BT88" s="81">
        <v>0</v>
      </c>
      <c r="BU88" s="81">
        <v>2</v>
      </c>
      <c r="BV88" s="81">
        <v>0</v>
      </c>
      <c r="BW88" s="81">
        <v>3</v>
      </c>
      <c r="BX88" s="81">
        <v>2</v>
      </c>
      <c r="BY88" s="81">
        <v>22</v>
      </c>
      <c r="BZ88" s="81"/>
      <c r="CA88" s="81">
        <v>211</v>
      </c>
      <c r="CB88" s="83">
        <v>211</v>
      </c>
      <c r="CC88" s="81">
        <v>61</v>
      </c>
      <c r="CD88" s="81">
        <v>41</v>
      </c>
      <c r="CE88" s="81">
        <v>102</v>
      </c>
      <c r="CF88" s="81">
        <v>102</v>
      </c>
    </row>
    <row r="89" spans="1:84">
      <c r="A89" s="82">
        <v>37681</v>
      </c>
      <c r="B89" s="81">
        <v>359</v>
      </c>
      <c r="C89" s="81">
        <v>3</v>
      </c>
      <c r="D89" s="81">
        <v>0</v>
      </c>
      <c r="E89" s="81"/>
      <c r="F89" s="81">
        <v>190</v>
      </c>
      <c r="G89" s="81">
        <v>8</v>
      </c>
      <c r="H89" s="81">
        <v>19</v>
      </c>
      <c r="I89" s="81">
        <v>0</v>
      </c>
      <c r="J89" s="81"/>
      <c r="K89" s="81">
        <v>2</v>
      </c>
      <c r="L89" s="81">
        <v>26</v>
      </c>
      <c r="M89" s="81">
        <v>608</v>
      </c>
      <c r="N89" s="83">
        <v>607</v>
      </c>
      <c r="O89" s="85">
        <v>292</v>
      </c>
      <c r="P89" s="85">
        <v>1</v>
      </c>
      <c r="Q89" s="85">
        <v>157</v>
      </c>
      <c r="R89" s="85">
        <v>25</v>
      </c>
      <c r="S89" s="85">
        <v>2</v>
      </c>
      <c r="T89" s="85">
        <v>1</v>
      </c>
      <c r="U89" s="85">
        <v>0</v>
      </c>
      <c r="V89" s="85">
        <v>3</v>
      </c>
      <c r="W89" s="85">
        <v>0</v>
      </c>
      <c r="X89" s="85">
        <v>1</v>
      </c>
      <c r="Y89" s="85">
        <v>481</v>
      </c>
      <c r="Z89" s="83">
        <v>482</v>
      </c>
      <c r="AA89" s="81">
        <v>67</v>
      </c>
      <c r="AB89" s="81">
        <v>1</v>
      </c>
      <c r="AC89" s="81">
        <v>0</v>
      </c>
      <c r="AD89" s="81">
        <v>0</v>
      </c>
      <c r="AE89" s="81">
        <v>79</v>
      </c>
      <c r="AF89" s="81">
        <v>4</v>
      </c>
      <c r="AG89" s="81">
        <v>9</v>
      </c>
      <c r="AH89" s="81">
        <v>1</v>
      </c>
      <c r="AI89" s="81">
        <v>0</v>
      </c>
      <c r="AJ89" s="81">
        <v>0</v>
      </c>
      <c r="AK89" s="81">
        <v>1</v>
      </c>
      <c r="AL89" s="81">
        <v>0</v>
      </c>
      <c r="AM89" s="81"/>
      <c r="AN89" s="81">
        <v>161</v>
      </c>
      <c r="AO89" s="83">
        <v>162</v>
      </c>
      <c r="AP89" s="81">
        <v>32</v>
      </c>
      <c r="AQ89" s="81">
        <v>0</v>
      </c>
      <c r="AR89" s="81">
        <v>0</v>
      </c>
      <c r="AS89" s="81">
        <v>29</v>
      </c>
      <c r="AT89" s="81">
        <v>5</v>
      </c>
      <c r="AU89" s="81">
        <v>6</v>
      </c>
      <c r="AV89" s="81">
        <v>6</v>
      </c>
      <c r="AW89" s="81">
        <v>7</v>
      </c>
      <c r="AX89" s="81">
        <v>0</v>
      </c>
      <c r="AY89" s="81">
        <v>2</v>
      </c>
      <c r="AZ89" s="81">
        <v>1</v>
      </c>
      <c r="BA89" s="81">
        <v>3</v>
      </c>
      <c r="BB89" s="81">
        <v>92</v>
      </c>
      <c r="BC89" s="83">
        <v>91</v>
      </c>
      <c r="BD89" s="81">
        <v>274</v>
      </c>
      <c r="BE89" s="81">
        <v>1</v>
      </c>
      <c r="BF89" s="81">
        <v>0</v>
      </c>
      <c r="BG89" s="81">
        <v>108</v>
      </c>
      <c r="BH89" s="81">
        <v>3</v>
      </c>
      <c r="BI89" s="81">
        <v>10</v>
      </c>
      <c r="BJ89" s="81">
        <v>74</v>
      </c>
      <c r="BK89" s="81"/>
      <c r="BL89" s="81">
        <v>1</v>
      </c>
      <c r="BM89" s="81">
        <v>25</v>
      </c>
      <c r="BN89" s="81">
        <v>497</v>
      </c>
      <c r="BO89" s="83">
        <v>496</v>
      </c>
      <c r="BP89" s="81">
        <v>144</v>
      </c>
      <c r="BQ89" s="81">
        <v>1</v>
      </c>
      <c r="BR89" s="81">
        <v>0</v>
      </c>
      <c r="BS89" s="81">
        <v>56</v>
      </c>
      <c r="BT89" s="81">
        <v>0</v>
      </c>
      <c r="BU89" s="81">
        <v>2</v>
      </c>
      <c r="BV89" s="81">
        <v>0</v>
      </c>
      <c r="BW89" s="81">
        <v>4</v>
      </c>
      <c r="BX89" s="81">
        <v>3</v>
      </c>
      <c r="BY89" s="81">
        <v>21</v>
      </c>
      <c r="BZ89" s="81"/>
      <c r="CA89" s="81">
        <v>231</v>
      </c>
      <c r="CB89" s="83">
        <v>231</v>
      </c>
      <c r="CC89" s="81">
        <v>81</v>
      </c>
      <c r="CD89" s="81">
        <v>42</v>
      </c>
      <c r="CE89" s="81">
        <v>124</v>
      </c>
      <c r="CF89" s="81">
        <v>123</v>
      </c>
    </row>
    <row r="90" spans="1:84">
      <c r="A90" s="82">
        <v>37712</v>
      </c>
      <c r="B90" s="81">
        <v>344</v>
      </c>
      <c r="C90" s="81">
        <v>3</v>
      </c>
      <c r="D90" s="81">
        <v>0</v>
      </c>
      <c r="E90" s="81"/>
      <c r="F90" s="81">
        <v>181</v>
      </c>
      <c r="G90" s="81">
        <v>8</v>
      </c>
      <c r="H90" s="81">
        <v>18</v>
      </c>
      <c r="I90" s="81">
        <v>0</v>
      </c>
      <c r="J90" s="81"/>
      <c r="K90" s="81">
        <v>2</v>
      </c>
      <c r="L90" s="81">
        <v>27</v>
      </c>
      <c r="M90" s="81">
        <v>583</v>
      </c>
      <c r="N90" s="83">
        <v>583</v>
      </c>
      <c r="O90" s="85">
        <v>292</v>
      </c>
      <c r="P90" s="85">
        <v>1</v>
      </c>
      <c r="Q90" s="85">
        <v>120</v>
      </c>
      <c r="R90" s="85">
        <v>23</v>
      </c>
      <c r="S90" s="85">
        <v>2</v>
      </c>
      <c r="T90" s="85">
        <v>5</v>
      </c>
      <c r="U90" s="85">
        <v>0</v>
      </c>
      <c r="V90" s="85">
        <v>2</v>
      </c>
      <c r="W90" s="85">
        <v>0</v>
      </c>
      <c r="X90" s="85">
        <v>1</v>
      </c>
      <c r="Y90" s="85">
        <v>444</v>
      </c>
      <c r="Z90" s="83">
        <v>446</v>
      </c>
      <c r="AA90" s="81">
        <v>65</v>
      </c>
      <c r="AB90" s="81">
        <v>1</v>
      </c>
      <c r="AC90" s="81">
        <v>0</v>
      </c>
      <c r="AD90" s="81">
        <v>0</v>
      </c>
      <c r="AE90" s="81">
        <v>75</v>
      </c>
      <c r="AF90" s="81">
        <v>4</v>
      </c>
      <c r="AG90" s="81">
        <v>9</v>
      </c>
      <c r="AH90" s="81">
        <v>0</v>
      </c>
      <c r="AI90" s="81">
        <v>0</v>
      </c>
      <c r="AJ90" s="81">
        <v>0</v>
      </c>
      <c r="AK90" s="81">
        <v>1</v>
      </c>
      <c r="AL90" s="81">
        <v>0</v>
      </c>
      <c r="AM90" s="81"/>
      <c r="AN90" s="81">
        <v>154</v>
      </c>
      <c r="AO90" s="83">
        <v>155</v>
      </c>
      <c r="AP90" s="81">
        <v>30</v>
      </c>
      <c r="AQ90" s="81">
        <v>0</v>
      </c>
      <c r="AR90" s="81">
        <v>0</v>
      </c>
      <c r="AS90" s="81">
        <v>30</v>
      </c>
      <c r="AT90" s="81">
        <v>5</v>
      </c>
      <c r="AU90" s="81">
        <v>6</v>
      </c>
      <c r="AV90" s="81">
        <v>7</v>
      </c>
      <c r="AW90" s="81">
        <v>7</v>
      </c>
      <c r="AX90" s="81">
        <v>0</v>
      </c>
      <c r="AY90" s="81">
        <v>2</v>
      </c>
      <c r="AZ90" s="81">
        <v>1</v>
      </c>
      <c r="BA90" s="81">
        <v>3</v>
      </c>
      <c r="BB90" s="81">
        <v>91</v>
      </c>
      <c r="BC90" s="83">
        <v>91</v>
      </c>
      <c r="BD90" s="81">
        <v>263</v>
      </c>
      <c r="BE90" s="81">
        <v>2</v>
      </c>
      <c r="BF90" s="81">
        <v>0</v>
      </c>
      <c r="BG90" s="81">
        <v>104</v>
      </c>
      <c r="BH90" s="81">
        <v>3</v>
      </c>
      <c r="BI90" s="81">
        <v>10</v>
      </c>
      <c r="BJ90" s="81">
        <v>70</v>
      </c>
      <c r="BK90" s="81"/>
      <c r="BL90" s="81">
        <v>1</v>
      </c>
      <c r="BM90" s="81">
        <v>31</v>
      </c>
      <c r="BN90" s="81">
        <v>485</v>
      </c>
      <c r="BO90" s="83">
        <v>484</v>
      </c>
      <c r="BP90" s="81">
        <v>155</v>
      </c>
      <c r="BQ90" s="81">
        <v>2</v>
      </c>
      <c r="BR90" s="81">
        <v>0</v>
      </c>
      <c r="BS90" s="81">
        <v>59</v>
      </c>
      <c r="BT90" s="81">
        <v>0</v>
      </c>
      <c r="BU90" s="81">
        <v>2</v>
      </c>
      <c r="BV90" s="81">
        <v>0</v>
      </c>
      <c r="BW90" s="81">
        <v>3</v>
      </c>
      <c r="BX90" s="81">
        <v>3</v>
      </c>
      <c r="BY90" s="81">
        <v>27</v>
      </c>
      <c r="BZ90" s="81"/>
      <c r="CA90" s="81">
        <v>252</v>
      </c>
      <c r="CB90" s="83">
        <v>251</v>
      </c>
      <c r="CC90" s="81">
        <v>89</v>
      </c>
      <c r="CD90" s="81">
        <v>46</v>
      </c>
      <c r="CE90" s="81">
        <v>135</v>
      </c>
      <c r="CF90" s="81">
        <v>135</v>
      </c>
    </row>
    <row r="91" spans="1:84">
      <c r="A91" s="82">
        <v>37742</v>
      </c>
      <c r="B91" s="81">
        <v>335</v>
      </c>
      <c r="C91" s="81">
        <v>3</v>
      </c>
      <c r="D91" s="81">
        <v>0</v>
      </c>
      <c r="E91" s="81"/>
      <c r="F91" s="81">
        <v>173</v>
      </c>
      <c r="G91" s="81">
        <v>7</v>
      </c>
      <c r="H91" s="81">
        <v>18</v>
      </c>
      <c r="I91" s="81">
        <v>3</v>
      </c>
      <c r="J91" s="81"/>
      <c r="K91" s="81">
        <v>2</v>
      </c>
      <c r="L91" s="81">
        <v>27</v>
      </c>
      <c r="M91" s="81">
        <v>568</v>
      </c>
      <c r="N91" s="83">
        <v>568</v>
      </c>
      <c r="O91" s="85">
        <v>344</v>
      </c>
      <c r="P91" s="85">
        <v>0</v>
      </c>
      <c r="Q91" s="85">
        <v>126</v>
      </c>
      <c r="R91" s="85">
        <v>23</v>
      </c>
      <c r="S91" s="85">
        <v>2</v>
      </c>
      <c r="T91" s="85">
        <v>2</v>
      </c>
      <c r="U91" s="85">
        <v>0</v>
      </c>
      <c r="V91" s="85">
        <v>0</v>
      </c>
      <c r="W91" s="85">
        <v>0</v>
      </c>
      <c r="X91" s="85">
        <v>1</v>
      </c>
      <c r="Y91" s="85">
        <v>499</v>
      </c>
      <c r="Z91" s="83">
        <v>498</v>
      </c>
      <c r="AA91" s="81">
        <v>63</v>
      </c>
      <c r="AB91" s="81">
        <v>1</v>
      </c>
      <c r="AC91" s="81">
        <v>0</v>
      </c>
      <c r="AD91" s="81">
        <v>0</v>
      </c>
      <c r="AE91" s="81">
        <v>71</v>
      </c>
      <c r="AF91" s="81">
        <v>4</v>
      </c>
      <c r="AG91" s="81">
        <v>9</v>
      </c>
      <c r="AH91" s="81">
        <v>1</v>
      </c>
      <c r="AI91" s="81">
        <v>0</v>
      </c>
      <c r="AJ91" s="81">
        <v>0</v>
      </c>
      <c r="AK91" s="81">
        <v>1</v>
      </c>
      <c r="AL91" s="81">
        <v>0</v>
      </c>
      <c r="AM91" s="81"/>
      <c r="AN91" s="81">
        <v>149</v>
      </c>
      <c r="AO91" s="83">
        <v>150</v>
      </c>
      <c r="AP91" s="81">
        <v>30</v>
      </c>
      <c r="AQ91" s="81">
        <v>1</v>
      </c>
      <c r="AR91" s="81">
        <v>0</v>
      </c>
      <c r="AS91" s="81">
        <v>30</v>
      </c>
      <c r="AT91" s="81">
        <v>5</v>
      </c>
      <c r="AU91" s="81">
        <v>6</v>
      </c>
      <c r="AV91" s="81">
        <v>7</v>
      </c>
      <c r="AW91" s="81">
        <v>9</v>
      </c>
      <c r="AX91" s="81">
        <v>0</v>
      </c>
      <c r="AY91" s="81">
        <v>2</v>
      </c>
      <c r="AZ91" s="81">
        <v>3</v>
      </c>
      <c r="BA91" s="81">
        <v>4</v>
      </c>
      <c r="BB91" s="81">
        <v>98</v>
      </c>
      <c r="BC91" s="83">
        <v>97</v>
      </c>
      <c r="BD91" s="81">
        <v>256</v>
      </c>
      <c r="BE91" s="81">
        <v>1</v>
      </c>
      <c r="BF91" s="81">
        <v>0</v>
      </c>
      <c r="BG91" s="81">
        <v>99</v>
      </c>
      <c r="BH91" s="81">
        <v>3</v>
      </c>
      <c r="BI91" s="81">
        <v>10</v>
      </c>
      <c r="BJ91" s="81">
        <v>70</v>
      </c>
      <c r="BK91" s="81"/>
      <c r="BL91" s="81">
        <v>1</v>
      </c>
      <c r="BM91" s="81">
        <v>31</v>
      </c>
      <c r="BN91" s="81">
        <v>472</v>
      </c>
      <c r="BO91" s="83">
        <v>471</v>
      </c>
      <c r="BP91" s="81">
        <v>155</v>
      </c>
      <c r="BQ91" s="81">
        <v>2</v>
      </c>
      <c r="BR91" s="81">
        <v>0</v>
      </c>
      <c r="BS91" s="81">
        <v>65</v>
      </c>
      <c r="BT91" s="81">
        <v>1</v>
      </c>
      <c r="BU91" s="81">
        <v>1</v>
      </c>
      <c r="BV91" s="81">
        <v>0</v>
      </c>
      <c r="BW91" s="81">
        <v>2</v>
      </c>
      <c r="BX91" s="81">
        <v>3</v>
      </c>
      <c r="BY91" s="81">
        <v>20</v>
      </c>
      <c r="BZ91" s="81"/>
      <c r="CA91" s="81">
        <v>250</v>
      </c>
      <c r="CB91" s="83">
        <v>249</v>
      </c>
      <c r="CC91" s="81">
        <v>90</v>
      </c>
      <c r="CD91" s="81">
        <v>51</v>
      </c>
      <c r="CE91" s="81">
        <v>142</v>
      </c>
      <c r="CF91" s="81">
        <v>141</v>
      </c>
    </row>
    <row r="92" spans="1:84">
      <c r="A92" s="82">
        <v>37773</v>
      </c>
      <c r="B92" s="81">
        <v>341</v>
      </c>
      <c r="C92" s="81">
        <v>3</v>
      </c>
      <c r="D92" s="81">
        <v>0</v>
      </c>
      <c r="E92" s="81"/>
      <c r="F92" s="81">
        <v>181</v>
      </c>
      <c r="G92" s="81">
        <v>7</v>
      </c>
      <c r="H92" s="81">
        <v>18</v>
      </c>
      <c r="I92" s="81">
        <v>2</v>
      </c>
      <c r="J92" s="81"/>
      <c r="K92" s="81">
        <v>1</v>
      </c>
      <c r="L92" s="81">
        <v>24</v>
      </c>
      <c r="M92" s="81">
        <v>578</v>
      </c>
      <c r="N92" s="83">
        <v>577</v>
      </c>
      <c r="O92" s="85">
        <v>372</v>
      </c>
      <c r="P92" s="85">
        <v>0</v>
      </c>
      <c r="Q92" s="85">
        <v>129</v>
      </c>
      <c r="R92" s="85">
        <v>23</v>
      </c>
      <c r="S92" s="85">
        <v>2</v>
      </c>
      <c r="T92" s="85">
        <v>4</v>
      </c>
      <c r="U92" s="85">
        <v>0</v>
      </c>
      <c r="V92" s="85">
        <v>2</v>
      </c>
      <c r="W92" s="85">
        <v>0</v>
      </c>
      <c r="X92" s="85">
        <v>1</v>
      </c>
      <c r="Y92" s="85">
        <v>532</v>
      </c>
      <c r="Z92" s="83">
        <v>533</v>
      </c>
      <c r="AA92" s="81">
        <v>65</v>
      </c>
      <c r="AB92" s="81">
        <v>1</v>
      </c>
      <c r="AC92" s="81">
        <v>0</v>
      </c>
      <c r="AD92" s="81">
        <v>0</v>
      </c>
      <c r="AE92" s="81">
        <v>74</v>
      </c>
      <c r="AF92" s="81">
        <v>3</v>
      </c>
      <c r="AG92" s="81">
        <v>9</v>
      </c>
      <c r="AH92" s="81">
        <v>1</v>
      </c>
      <c r="AI92" s="81">
        <v>0</v>
      </c>
      <c r="AJ92" s="81">
        <v>0</v>
      </c>
      <c r="AK92" s="81">
        <v>0</v>
      </c>
      <c r="AL92" s="81">
        <v>0</v>
      </c>
      <c r="AM92" s="81"/>
      <c r="AN92" s="81">
        <v>153</v>
      </c>
      <c r="AO92" s="83">
        <v>153</v>
      </c>
      <c r="AP92" s="81">
        <v>30</v>
      </c>
      <c r="AQ92" s="81">
        <v>1</v>
      </c>
      <c r="AR92" s="81">
        <v>1</v>
      </c>
      <c r="AS92" s="81">
        <v>30</v>
      </c>
      <c r="AT92" s="81">
        <v>5</v>
      </c>
      <c r="AU92" s="81">
        <v>6</v>
      </c>
      <c r="AV92" s="81">
        <v>7</v>
      </c>
      <c r="AW92" s="81">
        <v>9</v>
      </c>
      <c r="AX92" s="81">
        <v>0</v>
      </c>
      <c r="AY92" s="81">
        <v>3</v>
      </c>
      <c r="AZ92" s="81">
        <v>2</v>
      </c>
      <c r="BA92" s="81">
        <v>4</v>
      </c>
      <c r="BB92" s="81">
        <v>99</v>
      </c>
      <c r="BC92" s="83">
        <v>98</v>
      </c>
      <c r="BD92" s="81">
        <v>260</v>
      </c>
      <c r="BE92" s="81">
        <v>2</v>
      </c>
      <c r="BF92" s="81">
        <v>0</v>
      </c>
      <c r="BG92" s="81">
        <v>104</v>
      </c>
      <c r="BH92" s="81">
        <v>3</v>
      </c>
      <c r="BI92" s="81">
        <v>10</v>
      </c>
      <c r="BJ92" s="81">
        <v>70</v>
      </c>
      <c r="BK92" s="81"/>
      <c r="BL92" s="81">
        <v>0</v>
      </c>
      <c r="BM92" s="81">
        <v>33</v>
      </c>
      <c r="BN92" s="81">
        <v>482</v>
      </c>
      <c r="BO92" s="83">
        <v>482</v>
      </c>
      <c r="BP92" s="81">
        <v>166</v>
      </c>
      <c r="BQ92" s="81">
        <v>3</v>
      </c>
      <c r="BR92" s="81">
        <v>0</v>
      </c>
      <c r="BS92" s="81">
        <v>73</v>
      </c>
      <c r="BT92" s="81">
        <v>1</v>
      </c>
      <c r="BU92" s="81">
        <v>1</v>
      </c>
      <c r="BV92" s="81">
        <v>0</v>
      </c>
      <c r="BW92" s="81">
        <v>4</v>
      </c>
      <c r="BX92" s="81">
        <v>3</v>
      </c>
      <c r="BY92" s="81">
        <v>22</v>
      </c>
      <c r="BZ92" s="81"/>
      <c r="CA92" s="81">
        <v>272</v>
      </c>
      <c r="CB92" s="83">
        <v>273</v>
      </c>
      <c r="CC92" s="81">
        <v>101</v>
      </c>
      <c r="CD92" s="81">
        <v>60</v>
      </c>
      <c r="CE92" s="81">
        <v>161</v>
      </c>
      <c r="CF92" s="81">
        <v>161</v>
      </c>
    </row>
    <row r="93" spans="1:84">
      <c r="A93" s="82">
        <v>37803</v>
      </c>
      <c r="B93" s="81">
        <v>320</v>
      </c>
      <c r="C93" s="81">
        <v>3</v>
      </c>
      <c r="D93" s="81">
        <v>0</v>
      </c>
      <c r="E93" s="81"/>
      <c r="F93" s="81">
        <v>179</v>
      </c>
      <c r="G93" s="81">
        <v>7</v>
      </c>
      <c r="H93" s="81">
        <v>19</v>
      </c>
      <c r="I93" s="81">
        <v>0</v>
      </c>
      <c r="J93" s="81"/>
      <c r="K93" s="81">
        <v>2</v>
      </c>
      <c r="L93" s="81">
        <v>27</v>
      </c>
      <c r="M93" s="81">
        <v>556</v>
      </c>
      <c r="N93" s="83">
        <v>557</v>
      </c>
      <c r="O93" s="85">
        <v>380</v>
      </c>
      <c r="P93" s="85">
        <v>1</v>
      </c>
      <c r="Q93" s="85">
        <v>153</v>
      </c>
      <c r="R93" s="85">
        <v>22</v>
      </c>
      <c r="S93" s="85">
        <v>1</v>
      </c>
      <c r="T93" s="85">
        <v>4</v>
      </c>
      <c r="U93" s="85">
        <v>0</v>
      </c>
      <c r="V93" s="85">
        <v>1</v>
      </c>
      <c r="W93" s="85">
        <v>0</v>
      </c>
      <c r="X93" s="85">
        <v>1</v>
      </c>
      <c r="Y93" s="85">
        <v>563</v>
      </c>
      <c r="Z93" s="83">
        <v>563</v>
      </c>
      <c r="AA93" s="81">
        <v>61</v>
      </c>
      <c r="AB93" s="81">
        <v>1</v>
      </c>
      <c r="AC93" s="81">
        <v>0</v>
      </c>
      <c r="AD93" s="81">
        <v>0</v>
      </c>
      <c r="AE93" s="81">
        <v>74</v>
      </c>
      <c r="AF93" s="81">
        <v>3</v>
      </c>
      <c r="AG93" s="81">
        <v>9</v>
      </c>
      <c r="AH93" s="81">
        <v>0</v>
      </c>
      <c r="AI93" s="81">
        <v>0</v>
      </c>
      <c r="AJ93" s="81">
        <v>0</v>
      </c>
      <c r="AK93" s="81">
        <v>1</v>
      </c>
      <c r="AL93" s="81">
        <v>0</v>
      </c>
      <c r="AM93" s="81"/>
      <c r="AN93" s="81">
        <v>149</v>
      </c>
      <c r="AO93" s="83">
        <v>149</v>
      </c>
      <c r="AP93" s="81">
        <v>28</v>
      </c>
      <c r="AQ93" s="81">
        <v>1</v>
      </c>
      <c r="AR93" s="81">
        <v>1</v>
      </c>
      <c r="AS93" s="81">
        <v>31</v>
      </c>
      <c r="AT93" s="81">
        <v>5</v>
      </c>
      <c r="AU93" s="81">
        <v>9</v>
      </c>
      <c r="AV93" s="81">
        <v>8</v>
      </c>
      <c r="AW93" s="81">
        <v>9</v>
      </c>
      <c r="AX93" s="81">
        <v>0</v>
      </c>
      <c r="AY93" s="81">
        <v>2</v>
      </c>
      <c r="AZ93" s="81">
        <v>3</v>
      </c>
      <c r="BA93" s="81">
        <v>2</v>
      </c>
      <c r="BB93" s="81">
        <v>97</v>
      </c>
      <c r="BC93" s="83">
        <v>99</v>
      </c>
      <c r="BD93" s="81">
        <v>244</v>
      </c>
      <c r="BE93" s="81">
        <v>1</v>
      </c>
      <c r="BF93" s="81">
        <v>0</v>
      </c>
      <c r="BG93" s="81">
        <v>102</v>
      </c>
      <c r="BH93" s="81">
        <v>3</v>
      </c>
      <c r="BI93" s="81">
        <v>10</v>
      </c>
      <c r="BJ93" s="81">
        <v>74</v>
      </c>
      <c r="BK93" s="81"/>
      <c r="BL93" s="81">
        <v>1</v>
      </c>
      <c r="BM93" s="81">
        <v>29</v>
      </c>
      <c r="BN93" s="81">
        <v>465</v>
      </c>
      <c r="BO93" s="83">
        <v>464</v>
      </c>
      <c r="BP93" s="81">
        <v>161</v>
      </c>
      <c r="BQ93" s="81">
        <v>3</v>
      </c>
      <c r="BR93" s="81">
        <v>0</v>
      </c>
      <c r="BS93" s="81">
        <v>85</v>
      </c>
      <c r="BT93" s="81">
        <v>1</v>
      </c>
      <c r="BU93" s="81">
        <v>1</v>
      </c>
      <c r="BV93" s="81">
        <v>0</v>
      </c>
      <c r="BW93" s="81">
        <v>4</v>
      </c>
      <c r="BX93" s="81">
        <v>3</v>
      </c>
      <c r="BY93" s="81">
        <v>41</v>
      </c>
      <c r="BZ93" s="81"/>
      <c r="CA93" s="81">
        <v>299</v>
      </c>
      <c r="CB93" s="83">
        <v>299</v>
      </c>
      <c r="CC93" s="81">
        <v>95</v>
      </c>
      <c r="CD93" s="81">
        <v>72</v>
      </c>
      <c r="CE93" s="81">
        <v>167</v>
      </c>
      <c r="CF93" s="81">
        <v>167</v>
      </c>
    </row>
    <row r="94" spans="1:84">
      <c r="A94" s="82">
        <v>37834</v>
      </c>
      <c r="B94" s="81">
        <v>291</v>
      </c>
      <c r="C94" s="81">
        <v>2</v>
      </c>
      <c r="D94" s="81">
        <v>0</v>
      </c>
      <c r="E94" s="81"/>
      <c r="F94" s="81">
        <v>139</v>
      </c>
      <c r="G94" s="81">
        <v>6</v>
      </c>
      <c r="H94" s="81">
        <v>17</v>
      </c>
      <c r="I94" s="81">
        <v>0</v>
      </c>
      <c r="J94" s="81"/>
      <c r="K94" s="81">
        <v>1</v>
      </c>
      <c r="L94" s="81">
        <v>25</v>
      </c>
      <c r="M94" s="81">
        <v>482</v>
      </c>
      <c r="N94" s="83">
        <v>481</v>
      </c>
      <c r="O94" s="85">
        <v>421</v>
      </c>
      <c r="P94" s="85">
        <v>0</v>
      </c>
      <c r="Q94" s="85">
        <v>155</v>
      </c>
      <c r="R94" s="85">
        <v>24</v>
      </c>
      <c r="S94" s="85">
        <v>2</v>
      </c>
      <c r="T94" s="85">
        <v>4</v>
      </c>
      <c r="U94" s="85">
        <v>0</v>
      </c>
      <c r="V94" s="85">
        <v>0</v>
      </c>
      <c r="W94" s="85">
        <v>0</v>
      </c>
      <c r="X94" s="85">
        <v>1</v>
      </c>
      <c r="Y94" s="85">
        <v>607</v>
      </c>
      <c r="Z94" s="83">
        <v>607</v>
      </c>
      <c r="AA94" s="81">
        <v>56</v>
      </c>
      <c r="AB94" s="81">
        <v>0</v>
      </c>
      <c r="AC94" s="81">
        <v>0</v>
      </c>
      <c r="AD94" s="81">
        <v>0</v>
      </c>
      <c r="AE94" s="81">
        <v>58</v>
      </c>
      <c r="AF94" s="81">
        <v>3</v>
      </c>
      <c r="AG94" s="81">
        <v>8</v>
      </c>
      <c r="AH94" s="81">
        <v>0</v>
      </c>
      <c r="AI94" s="81">
        <v>0</v>
      </c>
      <c r="AJ94" s="81">
        <v>0</v>
      </c>
      <c r="AK94" s="81">
        <v>0</v>
      </c>
      <c r="AL94" s="81">
        <v>0</v>
      </c>
      <c r="AM94" s="81"/>
      <c r="AN94" s="81">
        <v>126</v>
      </c>
      <c r="AO94" s="83">
        <v>125</v>
      </c>
      <c r="AP94" s="81">
        <v>30</v>
      </c>
      <c r="AQ94" s="81">
        <v>1</v>
      </c>
      <c r="AR94" s="81">
        <v>0</v>
      </c>
      <c r="AS94" s="81">
        <v>27</v>
      </c>
      <c r="AT94" s="81">
        <v>5</v>
      </c>
      <c r="AU94" s="81">
        <v>10</v>
      </c>
      <c r="AV94" s="81">
        <v>7</v>
      </c>
      <c r="AW94" s="81">
        <v>9</v>
      </c>
      <c r="AX94" s="81">
        <v>0</v>
      </c>
      <c r="AY94" s="81">
        <v>2</v>
      </c>
      <c r="AZ94" s="81">
        <v>2</v>
      </c>
      <c r="BA94" s="81">
        <v>4</v>
      </c>
      <c r="BB94" s="81">
        <v>97</v>
      </c>
      <c r="BC94" s="83">
        <v>97</v>
      </c>
      <c r="BD94" s="81">
        <v>223</v>
      </c>
      <c r="BE94" s="81">
        <v>1</v>
      </c>
      <c r="BF94" s="81">
        <v>0</v>
      </c>
      <c r="BG94" s="81">
        <v>79</v>
      </c>
      <c r="BH94" s="81">
        <v>3</v>
      </c>
      <c r="BI94" s="81">
        <v>9</v>
      </c>
      <c r="BJ94" s="81">
        <v>67</v>
      </c>
      <c r="BK94" s="81"/>
      <c r="BL94" s="81">
        <v>1</v>
      </c>
      <c r="BM94" s="81">
        <v>29</v>
      </c>
      <c r="BN94" s="81">
        <v>411</v>
      </c>
      <c r="BO94" s="83">
        <v>412</v>
      </c>
      <c r="BP94" s="81">
        <v>152</v>
      </c>
      <c r="BQ94" s="81">
        <v>4</v>
      </c>
      <c r="BR94" s="81">
        <v>0</v>
      </c>
      <c r="BS94" s="81">
        <v>68</v>
      </c>
      <c r="BT94" s="81">
        <v>0</v>
      </c>
      <c r="BU94" s="81">
        <v>1</v>
      </c>
      <c r="BV94" s="81">
        <v>0</v>
      </c>
      <c r="BW94" s="81">
        <v>6</v>
      </c>
      <c r="BX94" s="81">
        <v>3</v>
      </c>
      <c r="BY94" s="81">
        <v>46</v>
      </c>
      <c r="BZ94" s="81"/>
      <c r="CA94" s="81">
        <v>279</v>
      </c>
      <c r="CB94" s="83">
        <v>280</v>
      </c>
      <c r="CC94" s="81">
        <v>84</v>
      </c>
      <c r="CD94" s="81">
        <v>57</v>
      </c>
      <c r="CE94" s="81">
        <v>141</v>
      </c>
      <c r="CF94" s="81">
        <v>141</v>
      </c>
    </row>
    <row r="95" spans="1:84">
      <c r="A95" s="82">
        <v>37865</v>
      </c>
      <c r="B95" s="81">
        <v>329</v>
      </c>
      <c r="C95" s="81">
        <v>3</v>
      </c>
      <c r="D95" s="81">
        <v>0</v>
      </c>
      <c r="E95" s="81"/>
      <c r="F95" s="81">
        <v>182</v>
      </c>
      <c r="G95" s="81">
        <v>7</v>
      </c>
      <c r="H95" s="81">
        <v>16</v>
      </c>
      <c r="I95" s="81">
        <v>1</v>
      </c>
      <c r="J95" s="81"/>
      <c r="K95" s="81">
        <v>2</v>
      </c>
      <c r="L95" s="81">
        <v>25</v>
      </c>
      <c r="M95" s="81">
        <v>566</v>
      </c>
      <c r="N95" s="83">
        <v>565</v>
      </c>
      <c r="O95" s="85">
        <v>310</v>
      </c>
      <c r="P95" s="85">
        <v>0</v>
      </c>
      <c r="Q95" s="85">
        <v>168</v>
      </c>
      <c r="R95" s="85">
        <v>27</v>
      </c>
      <c r="S95" s="85">
        <v>0</v>
      </c>
      <c r="T95" s="85">
        <v>0</v>
      </c>
      <c r="U95" s="85">
        <v>0</v>
      </c>
      <c r="V95" s="85">
        <v>0</v>
      </c>
      <c r="W95" s="85">
        <v>0</v>
      </c>
      <c r="X95" s="85">
        <v>8</v>
      </c>
      <c r="Y95" s="85">
        <v>513</v>
      </c>
      <c r="Z95" s="83">
        <v>513</v>
      </c>
      <c r="AA95" s="81">
        <v>64</v>
      </c>
      <c r="AB95" s="81">
        <v>1</v>
      </c>
      <c r="AC95" s="81">
        <v>0</v>
      </c>
      <c r="AD95" s="81">
        <v>0</v>
      </c>
      <c r="AE95" s="81">
        <v>76</v>
      </c>
      <c r="AF95" s="81">
        <v>4</v>
      </c>
      <c r="AG95" s="81">
        <v>8</v>
      </c>
      <c r="AH95" s="81">
        <v>1</v>
      </c>
      <c r="AI95" s="81">
        <v>0</v>
      </c>
      <c r="AJ95" s="81">
        <v>0</v>
      </c>
      <c r="AK95" s="81">
        <v>1</v>
      </c>
      <c r="AL95" s="81">
        <v>0</v>
      </c>
      <c r="AM95" s="81"/>
      <c r="AN95" s="81">
        <v>153</v>
      </c>
      <c r="AO95" s="83">
        <v>155</v>
      </c>
      <c r="AP95" s="81">
        <v>29</v>
      </c>
      <c r="AQ95" s="81">
        <v>1</v>
      </c>
      <c r="AR95" s="81">
        <v>0</v>
      </c>
      <c r="AS95" s="81">
        <v>27</v>
      </c>
      <c r="AT95" s="81">
        <v>4</v>
      </c>
      <c r="AU95" s="81">
        <v>8</v>
      </c>
      <c r="AV95" s="81">
        <v>9</v>
      </c>
      <c r="AW95" s="81">
        <v>7</v>
      </c>
      <c r="AX95" s="81">
        <v>0</v>
      </c>
      <c r="AY95" s="81">
        <v>2</v>
      </c>
      <c r="AZ95" s="81">
        <v>2</v>
      </c>
      <c r="BA95" s="81">
        <v>3</v>
      </c>
      <c r="BB95" s="81">
        <v>93</v>
      </c>
      <c r="BC95" s="83">
        <v>92</v>
      </c>
      <c r="BD95" s="81">
        <v>255</v>
      </c>
      <c r="BE95" s="81">
        <v>1</v>
      </c>
      <c r="BF95" s="81">
        <v>0</v>
      </c>
      <c r="BG95" s="81">
        <v>104</v>
      </c>
      <c r="BH95" s="81">
        <v>3</v>
      </c>
      <c r="BI95" s="81">
        <v>9</v>
      </c>
      <c r="BJ95" s="81">
        <v>61</v>
      </c>
      <c r="BK95" s="81"/>
      <c r="BL95" s="81">
        <v>1</v>
      </c>
      <c r="BM95" s="81">
        <v>29</v>
      </c>
      <c r="BN95" s="81">
        <v>463</v>
      </c>
      <c r="BO95" s="83">
        <v>463</v>
      </c>
      <c r="BP95" s="81">
        <v>143</v>
      </c>
      <c r="BQ95" s="81">
        <v>4</v>
      </c>
      <c r="BR95" s="81">
        <v>0</v>
      </c>
      <c r="BS95" s="81">
        <v>69</v>
      </c>
      <c r="BT95" s="81">
        <v>0</v>
      </c>
      <c r="BU95" s="81">
        <v>1</v>
      </c>
      <c r="BV95" s="81">
        <v>0</v>
      </c>
      <c r="BW95" s="81">
        <v>5</v>
      </c>
      <c r="BX95" s="81">
        <v>3</v>
      </c>
      <c r="BY95" s="81">
        <v>58</v>
      </c>
      <c r="BZ95" s="81"/>
      <c r="CA95" s="81">
        <v>282</v>
      </c>
      <c r="CB95" s="83">
        <v>283</v>
      </c>
      <c r="CC95" s="81">
        <v>80</v>
      </c>
      <c r="CD95" s="81">
        <v>57</v>
      </c>
      <c r="CE95" s="81">
        <v>137</v>
      </c>
      <c r="CF95" s="81">
        <v>137</v>
      </c>
    </row>
    <row r="96" spans="1:84">
      <c r="A96" s="82">
        <v>37895</v>
      </c>
      <c r="B96" s="81">
        <v>335</v>
      </c>
      <c r="C96" s="81">
        <v>3</v>
      </c>
      <c r="D96" s="81">
        <v>0</v>
      </c>
      <c r="E96" s="81"/>
      <c r="F96" s="81">
        <v>170</v>
      </c>
      <c r="G96" s="81">
        <v>7</v>
      </c>
      <c r="H96" s="81">
        <v>15</v>
      </c>
      <c r="I96" s="81">
        <v>3</v>
      </c>
      <c r="J96" s="81"/>
      <c r="K96" s="81">
        <v>1</v>
      </c>
      <c r="L96" s="81">
        <v>27</v>
      </c>
      <c r="M96" s="81">
        <v>562</v>
      </c>
      <c r="N96" s="83">
        <v>561</v>
      </c>
      <c r="O96" s="85">
        <v>361</v>
      </c>
      <c r="P96" s="85">
        <v>0</v>
      </c>
      <c r="Q96" s="85">
        <v>166</v>
      </c>
      <c r="R96" s="85">
        <v>32</v>
      </c>
      <c r="S96" s="85">
        <v>4</v>
      </c>
      <c r="T96" s="85">
        <v>0</v>
      </c>
      <c r="U96" s="85">
        <v>0</v>
      </c>
      <c r="V96" s="85">
        <v>1</v>
      </c>
      <c r="W96" s="85">
        <v>0</v>
      </c>
      <c r="X96" s="85">
        <v>0</v>
      </c>
      <c r="Y96" s="85">
        <v>564</v>
      </c>
      <c r="Z96" s="83">
        <v>564</v>
      </c>
      <c r="AA96" s="81">
        <v>65</v>
      </c>
      <c r="AB96" s="81">
        <v>1</v>
      </c>
      <c r="AC96" s="81">
        <v>0</v>
      </c>
      <c r="AD96" s="81">
        <v>0</v>
      </c>
      <c r="AE96" s="81">
        <v>71</v>
      </c>
      <c r="AF96" s="81">
        <v>4</v>
      </c>
      <c r="AG96" s="81">
        <v>7</v>
      </c>
      <c r="AH96" s="81">
        <v>1</v>
      </c>
      <c r="AI96" s="81">
        <v>0</v>
      </c>
      <c r="AJ96" s="81">
        <v>0</v>
      </c>
      <c r="AK96" s="81">
        <v>1</v>
      </c>
      <c r="AL96" s="81">
        <v>0</v>
      </c>
      <c r="AM96" s="81"/>
      <c r="AN96" s="81">
        <v>149</v>
      </c>
      <c r="AO96" s="83">
        <v>150</v>
      </c>
      <c r="AP96" s="81">
        <v>29</v>
      </c>
      <c r="AQ96" s="81">
        <v>1</v>
      </c>
      <c r="AR96" s="81">
        <v>0</v>
      </c>
      <c r="AS96" s="81">
        <v>23</v>
      </c>
      <c r="AT96" s="81">
        <v>4</v>
      </c>
      <c r="AU96" s="81">
        <v>7</v>
      </c>
      <c r="AV96" s="81">
        <v>8</v>
      </c>
      <c r="AW96" s="81">
        <v>4</v>
      </c>
      <c r="AX96" s="81">
        <v>0</v>
      </c>
      <c r="AY96" s="81">
        <v>2</v>
      </c>
      <c r="AZ96" s="81">
        <v>2</v>
      </c>
      <c r="BA96" s="81">
        <v>4</v>
      </c>
      <c r="BB96" s="81">
        <v>84</v>
      </c>
      <c r="BC96" s="83">
        <v>84</v>
      </c>
      <c r="BD96" s="81">
        <v>255</v>
      </c>
      <c r="BE96" s="81">
        <v>1</v>
      </c>
      <c r="BF96" s="81">
        <v>0</v>
      </c>
      <c r="BG96" s="81">
        <v>97</v>
      </c>
      <c r="BH96" s="81">
        <v>0</v>
      </c>
      <c r="BI96" s="81">
        <v>8</v>
      </c>
      <c r="BJ96" s="81">
        <v>57</v>
      </c>
      <c r="BK96" s="81"/>
      <c r="BL96" s="81">
        <v>1</v>
      </c>
      <c r="BM96" s="81">
        <v>29</v>
      </c>
      <c r="BN96" s="81">
        <v>449</v>
      </c>
      <c r="BO96" s="83">
        <v>448</v>
      </c>
      <c r="BP96" s="81">
        <v>123</v>
      </c>
      <c r="BQ96" s="81">
        <v>4</v>
      </c>
      <c r="BR96" s="81">
        <v>0</v>
      </c>
      <c r="BS96" s="81">
        <v>58</v>
      </c>
      <c r="BT96" s="81">
        <v>0</v>
      </c>
      <c r="BU96" s="81">
        <v>1</v>
      </c>
      <c r="BV96" s="81">
        <v>0</v>
      </c>
      <c r="BW96" s="81">
        <v>3</v>
      </c>
      <c r="BX96" s="81">
        <v>3</v>
      </c>
      <c r="BY96" s="81">
        <v>64</v>
      </c>
      <c r="BZ96" s="81"/>
      <c r="CA96" s="81">
        <v>257</v>
      </c>
      <c r="CB96" s="83">
        <v>256</v>
      </c>
      <c r="CC96" s="81">
        <v>60</v>
      </c>
      <c r="CD96" s="81">
        <v>46</v>
      </c>
      <c r="CE96" s="81">
        <v>106</v>
      </c>
      <c r="CF96" s="81">
        <v>106</v>
      </c>
    </row>
    <row r="97" spans="1:84">
      <c r="A97" s="82">
        <v>37926</v>
      </c>
      <c r="B97" s="81">
        <v>365</v>
      </c>
      <c r="C97" s="81">
        <v>2</v>
      </c>
      <c r="D97" s="81">
        <v>0</v>
      </c>
      <c r="E97" s="81"/>
      <c r="F97" s="81">
        <v>199</v>
      </c>
      <c r="G97" s="81">
        <v>7</v>
      </c>
      <c r="H97" s="81">
        <v>18</v>
      </c>
      <c r="I97" s="81">
        <v>0</v>
      </c>
      <c r="J97" s="81"/>
      <c r="K97" s="81">
        <v>2</v>
      </c>
      <c r="L97" s="81">
        <v>23</v>
      </c>
      <c r="M97" s="81">
        <v>615</v>
      </c>
      <c r="N97" s="83">
        <v>616</v>
      </c>
      <c r="O97" s="85">
        <v>252</v>
      </c>
      <c r="P97" s="85">
        <v>1</v>
      </c>
      <c r="Q97" s="85">
        <v>132</v>
      </c>
      <c r="R97" s="85">
        <v>29</v>
      </c>
      <c r="S97" s="85">
        <v>3</v>
      </c>
      <c r="T97" s="85">
        <v>0</v>
      </c>
      <c r="U97" s="85">
        <v>0</v>
      </c>
      <c r="V97" s="85">
        <v>2</v>
      </c>
      <c r="W97" s="85">
        <v>0</v>
      </c>
      <c r="X97" s="85">
        <v>1</v>
      </c>
      <c r="Y97" s="85">
        <v>420</v>
      </c>
      <c r="Z97" s="83">
        <v>420</v>
      </c>
      <c r="AA97" s="81">
        <v>70</v>
      </c>
      <c r="AB97" s="81">
        <v>0</v>
      </c>
      <c r="AC97" s="81">
        <v>0</v>
      </c>
      <c r="AD97" s="81">
        <v>0</v>
      </c>
      <c r="AE97" s="81">
        <v>81</v>
      </c>
      <c r="AF97" s="81">
        <v>3</v>
      </c>
      <c r="AG97" s="81">
        <v>9</v>
      </c>
      <c r="AH97" s="81">
        <v>0</v>
      </c>
      <c r="AI97" s="81">
        <v>0</v>
      </c>
      <c r="AJ97" s="81">
        <v>0</v>
      </c>
      <c r="AK97" s="81">
        <v>1</v>
      </c>
      <c r="AL97" s="81">
        <v>0</v>
      </c>
      <c r="AM97" s="81"/>
      <c r="AN97" s="81">
        <v>165</v>
      </c>
      <c r="AO97" s="83">
        <v>164</v>
      </c>
      <c r="AP97" s="81">
        <v>31</v>
      </c>
      <c r="AQ97" s="81">
        <v>1</v>
      </c>
      <c r="AR97" s="81">
        <v>0</v>
      </c>
      <c r="AS97" s="81">
        <v>23</v>
      </c>
      <c r="AT97" s="81">
        <v>4</v>
      </c>
      <c r="AU97" s="81">
        <v>7</v>
      </c>
      <c r="AV97" s="81">
        <v>8</v>
      </c>
      <c r="AW97" s="81">
        <v>8</v>
      </c>
      <c r="AX97" s="81">
        <v>0</v>
      </c>
      <c r="AY97" s="81">
        <v>2</v>
      </c>
      <c r="AZ97" s="81">
        <v>2</v>
      </c>
      <c r="BA97" s="81">
        <v>3</v>
      </c>
      <c r="BB97" s="81">
        <v>89</v>
      </c>
      <c r="BC97" s="83">
        <v>89</v>
      </c>
      <c r="BD97" s="81">
        <v>279</v>
      </c>
      <c r="BE97" s="81">
        <v>1</v>
      </c>
      <c r="BF97" s="81">
        <v>0</v>
      </c>
      <c r="BG97" s="81">
        <v>115</v>
      </c>
      <c r="BH97" s="81">
        <v>3</v>
      </c>
      <c r="BI97" s="81">
        <v>10</v>
      </c>
      <c r="BJ97" s="81">
        <v>69</v>
      </c>
      <c r="BK97" s="81"/>
      <c r="BL97" s="81">
        <v>1</v>
      </c>
      <c r="BM97" s="81">
        <v>27</v>
      </c>
      <c r="BN97" s="81">
        <v>504</v>
      </c>
      <c r="BO97" s="83">
        <v>505</v>
      </c>
      <c r="BP97" s="81">
        <v>141</v>
      </c>
      <c r="BQ97" s="81">
        <v>4</v>
      </c>
      <c r="BR97" s="81">
        <v>0</v>
      </c>
      <c r="BS97" s="81">
        <v>74</v>
      </c>
      <c r="BT97" s="81">
        <v>1</v>
      </c>
      <c r="BU97" s="81">
        <v>2</v>
      </c>
      <c r="BV97" s="81">
        <v>0</v>
      </c>
      <c r="BW97" s="81">
        <v>2</v>
      </c>
      <c r="BX97" s="81">
        <v>3</v>
      </c>
      <c r="BY97" s="81">
        <v>51</v>
      </c>
      <c r="BZ97" s="81"/>
      <c r="CA97" s="81">
        <v>277</v>
      </c>
      <c r="CB97" s="83">
        <v>278</v>
      </c>
      <c r="CC97" s="81">
        <v>78</v>
      </c>
      <c r="CD97" s="81">
        <v>60</v>
      </c>
      <c r="CE97" s="81">
        <v>138</v>
      </c>
      <c r="CF97" s="81">
        <v>138</v>
      </c>
    </row>
    <row r="98" spans="1:84">
      <c r="A98" s="82">
        <v>37956</v>
      </c>
      <c r="B98" s="81">
        <v>336</v>
      </c>
      <c r="C98" s="81">
        <v>2</v>
      </c>
      <c r="D98" s="81">
        <v>0</v>
      </c>
      <c r="E98" s="81"/>
      <c r="F98" s="81">
        <v>176</v>
      </c>
      <c r="G98" s="81">
        <v>7</v>
      </c>
      <c r="H98" s="81">
        <v>17</v>
      </c>
      <c r="I98" s="81">
        <v>0</v>
      </c>
      <c r="J98" s="81"/>
      <c r="K98" s="81">
        <v>2</v>
      </c>
      <c r="L98" s="81">
        <v>28</v>
      </c>
      <c r="M98" s="81">
        <v>568</v>
      </c>
      <c r="N98" s="83">
        <v>568</v>
      </c>
      <c r="O98" s="85">
        <v>350</v>
      </c>
      <c r="P98" s="85">
        <v>0</v>
      </c>
      <c r="Q98" s="85">
        <v>115</v>
      </c>
      <c r="R98" s="85">
        <v>27</v>
      </c>
      <c r="S98" s="85">
        <v>0</v>
      </c>
      <c r="T98" s="85">
        <v>0</v>
      </c>
      <c r="U98" s="85">
        <v>0</v>
      </c>
      <c r="V98" s="85">
        <v>0</v>
      </c>
      <c r="W98" s="85">
        <v>0</v>
      </c>
      <c r="X98" s="85">
        <v>8</v>
      </c>
      <c r="Y98" s="85">
        <v>500</v>
      </c>
      <c r="Z98" s="83">
        <v>500</v>
      </c>
      <c r="AA98" s="81">
        <v>63</v>
      </c>
      <c r="AB98" s="81">
        <v>0</v>
      </c>
      <c r="AC98" s="81">
        <v>0</v>
      </c>
      <c r="AD98" s="81">
        <v>0</v>
      </c>
      <c r="AE98" s="81">
        <v>72</v>
      </c>
      <c r="AF98" s="81">
        <v>3</v>
      </c>
      <c r="AG98" s="81">
        <v>9</v>
      </c>
      <c r="AH98" s="81">
        <v>0</v>
      </c>
      <c r="AI98" s="81">
        <v>0</v>
      </c>
      <c r="AJ98" s="81">
        <v>0</v>
      </c>
      <c r="AK98" s="81">
        <v>1</v>
      </c>
      <c r="AL98" s="81">
        <v>0</v>
      </c>
      <c r="AM98" s="81"/>
      <c r="AN98" s="81">
        <v>148</v>
      </c>
      <c r="AO98" s="83">
        <v>148</v>
      </c>
      <c r="AP98" s="81">
        <v>31</v>
      </c>
      <c r="AQ98" s="81">
        <v>1</v>
      </c>
      <c r="AR98" s="81">
        <v>0</v>
      </c>
      <c r="AS98" s="81">
        <v>18</v>
      </c>
      <c r="AT98" s="81">
        <v>4</v>
      </c>
      <c r="AU98" s="81">
        <v>7</v>
      </c>
      <c r="AV98" s="81">
        <v>9</v>
      </c>
      <c r="AW98" s="81">
        <v>6</v>
      </c>
      <c r="AX98" s="81">
        <v>0</v>
      </c>
      <c r="AY98" s="81">
        <v>1</v>
      </c>
      <c r="AZ98" s="81">
        <v>2</v>
      </c>
      <c r="BA98" s="81">
        <v>3</v>
      </c>
      <c r="BB98" s="81">
        <v>82</v>
      </c>
      <c r="BC98" s="83">
        <v>82</v>
      </c>
      <c r="BD98" s="81">
        <v>258</v>
      </c>
      <c r="BE98" s="81">
        <v>1</v>
      </c>
      <c r="BF98" s="81">
        <v>0</v>
      </c>
      <c r="BG98" s="81">
        <v>102</v>
      </c>
      <c r="BH98" s="81">
        <v>3</v>
      </c>
      <c r="BI98" s="81">
        <v>9</v>
      </c>
      <c r="BJ98" s="81">
        <v>67</v>
      </c>
      <c r="BK98" s="81"/>
      <c r="BL98" s="81">
        <v>1</v>
      </c>
      <c r="BM98" s="81">
        <v>26</v>
      </c>
      <c r="BN98" s="81">
        <v>467</v>
      </c>
      <c r="BO98" s="83">
        <v>467</v>
      </c>
      <c r="BP98" s="81">
        <v>119</v>
      </c>
      <c r="BQ98" s="81">
        <v>3</v>
      </c>
      <c r="BR98" s="81">
        <v>0</v>
      </c>
      <c r="BS98" s="81">
        <v>63</v>
      </c>
      <c r="BT98" s="81">
        <v>0</v>
      </c>
      <c r="BU98" s="81">
        <v>2</v>
      </c>
      <c r="BV98" s="81">
        <v>0</v>
      </c>
      <c r="BW98" s="81">
        <v>4</v>
      </c>
      <c r="BX98" s="81">
        <v>3</v>
      </c>
      <c r="BY98" s="81">
        <v>40</v>
      </c>
      <c r="BZ98" s="81"/>
      <c r="CA98" s="81">
        <v>236</v>
      </c>
      <c r="CB98" s="83">
        <v>234</v>
      </c>
      <c r="CC98" s="81">
        <v>55</v>
      </c>
      <c r="CD98" s="81">
        <v>48</v>
      </c>
      <c r="CE98" s="81">
        <v>103</v>
      </c>
      <c r="CF98" s="81">
        <v>103</v>
      </c>
    </row>
    <row r="99" spans="1:84">
      <c r="A99" s="82">
        <v>37987</v>
      </c>
      <c r="B99" s="81">
        <v>310</v>
      </c>
      <c r="C99" s="81">
        <v>2</v>
      </c>
      <c r="D99" s="81">
        <v>0</v>
      </c>
      <c r="E99" s="81"/>
      <c r="F99" s="81">
        <v>180</v>
      </c>
      <c r="G99" s="81">
        <v>7</v>
      </c>
      <c r="H99" s="81">
        <v>15</v>
      </c>
      <c r="I99" s="81">
        <v>0</v>
      </c>
      <c r="J99" s="81"/>
      <c r="K99" s="81">
        <v>2</v>
      </c>
      <c r="L99" s="81">
        <v>22</v>
      </c>
      <c r="M99" s="81">
        <v>538</v>
      </c>
      <c r="N99" s="83">
        <v>538</v>
      </c>
      <c r="O99" s="85">
        <v>345</v>
      </c>
      <c r="P99" s="85">
        <v>1</v>
      </c>
      <c r="Q99" s="85">
        <v>165</v>
      </c>
      <c r="R99" s="85">
        <v>23</v>
      </c>
      <c r="S99" s="85">
        <v>3</v>
      </c>
      <c r="T99" s="85">
        <v>0</v>
      </c>
      <c r="U99" s="85">
        <v>0</v>
      </c>
      <c r="V99" s="85">
        <v>2</v>
      </c>
      <c r="W99" s="85">
        <v>0</v>
      </c>
      <c r="X99" s="85">
        <v>1</v>
      </c>
      <c r="Y99" s="85">
        <v>539</v>
      </c>
      <c r="Z99" s="83">
        <v>540</v>
      </c>
      <c r="AA99" s="81">
        <v>57</v>
      </c>
      <c r="AB99" s="81">
        <v>0</v>
      </c>
      <c r="AC99" s="81">
        <v>0</v>
      </c>
      <c r="AD99" s="81">
        <v>0</v>
      </c>
      <c r="AE99" s="81">
        <v>74</v>
      </c>
      <c r="AF99" s="81">
        <v>3</v>
      </c>
      <c r="AG99" s="81">
        <v>7</v>
      </c>
      <c r="AH99" s="81">
        <v>0</v>
      </c>
      <c r="AI99" s="81">
        <v>0</v>
      </c>
      <c r="AJ99" s="81">
        <v>0</v>
      </c>
      <c r="AK99" s="81">
        <v>1</v>
      </c>
      <c r="AL99" s="81">
        <v>0</v>
      </c>
      <c r="AM99" s="81"/>
      <c r="AN99" s="81">
        <v>142</v>
      </c>
      <c r="AO99" s="83">
        <v>142</v>
      </c>
      <c r="AP99" s="81">
        <v>34</v>
      </c>
      <c r="AQ99" s="81">
        <v>0</v>
      </c>
      <c r="AR99" s="81">
        <v>0</v>
      </c>
      <c r="AS99" s="81">
        <v>22</v>
      </c>
      <c r="AT99" s="81">
        <v>4</v>
      </c>
      <c r="AU99" s="81">
        <v>6</v>
      </c>
      <c r="AV99" s="81">
        <v>8</v>
      </c>
      <c r="AW99" s="81">
        <v>7</v>
      </c>
      <c r="AX99" s="81">
        <v>0</v>
      </c>
      <c r="AY99" s="81">
        <v>2</v>
      </c>
      <c r="AZ99" s="81">
        <v>1</v>
      </c>
      <c r="BA99" s="81">
        <v>2</v>
      </c>
      <c r="BB99" s="81">
        <v>87</v>
      </c>
      <c r="BC99" s="83">
        <v>86</v>
      </c>
      <c r="BD99" s="81">
        <v>237</v>
      </c>
      <c r="BE99" s="81">
        <v>1</v>
      </c>
      <c r="BF99" s="81">
        <v>0</v>
      </c>
      <c r="BG99" s="81">
        <v>103</v>
      </c>
      <c r="BH99" s="81">
        <v>3</v>
      </c>
      <c r="BI99" s="81">
        <v>8</v>
      </c>
      <c r="BJ99" s="81">
        <v>58</v>
      </c>
      <c r="BK99" s="81"/>
      <c r="BL99" s="81">
        <v>1</v>
      </c>
      <c r="BM99" s="81">
        <v>18</v>
      </c>
      <c r="BN99" s="81">
        <v>430</v>
      </c>
      <c r="BO99" s="83">
        <v>429</v>
      </c>
      <c r="BP99" s="81">
        <v>142</v>
      </c>
      <c r="BQ99" s="81">
        <v>3</v>
      </c>
      <c r="BR99" s="81">
        <v>0</v>
      </c>
      <c r="BS99" s="81">
        <v>64</v>
      </c>
      <c r="BT99" s="81">
        <v>0</v>
      </c>
      <c r="BU99" s="81">
        <v>2</v>
      </c>
      <c r="BV99" s="81">
        <v>0</v>
      </c>
      <c r="BW99" s="81">
        <v>3</v>
      </c>
      <c r="BX99" s="81">
        <v>3</v>
      </c>
      <c r="BY99" s="81">
        <v>33</v>
      </c>
      <c r="BZ99" s="81"/>
      <c r="CA99" s="81">
        <v>250</v>
      </c>
      <c r="CB99" s="83">
        <v>250</v>
      </c>
      <c r="CC99" s="81">
        <v>71</v>
      </c>
      <c r="CD99" s="81">
        <v>50</v>
      </c>
      <c r="CE99" s="81">
        <v>121</v>
      </c>
      <c r="CF99" s="81">
        <v>121</v>
      </c>
    </row>
    <row r="100" spans="1:84">
      <c r="A100" s="82">
        <v>38018</v>
      </c>
      <c r="B100" s="81">
        <v>300</v>
      </c>
      <c r="C100" s="81">
        <v>3</v>
      </c>
      <c r="D100" s="81">
        <v>0</v>
      </c>
      <c r="E100" s="81"/>
      <c r="F100" s="81">
        <v>179</v>
      </c>
      <c r="G100" s="81">
        <v>6</v>
      </c>
      <c r="H100" s="81">
        <v>16</v>
      </c>
      <c r="I100" s="81">
        <v>0</v>
      </c>
      <c r="J100" s="81"/>
      <c r="K100" s="81">
        <v>2</v>
      </c>
      <c r="L100" s="81">
        <v>23</v>
      </c>
      <c r="M100" s="81">
        <v>530</v>
      </c>
      <c r="N100" s="83">
        <v>529</v>
      </c>
      <c r="O100" s="85">
        <v>309</v>
      </c>
      <c r="P100" s="85">
        <v>0</v>
      </c>
      <c r="Q100" s="85">
        <v>151</v>
      </c>
      <c r="R100" s="85">
        <v>22</v>
      </c>
      <c r="S100" s="85">
        <v>3</v>
      </c>
      <c r="T100" s="85">
        <v>0</v>
      </c>
      <c r="U100" s="85">
        <v>0</v>
      </c>
      <c r="V100" s="85">
        <v>3</v>
      </c>
      <c r="W100" s="85">
        <v>0</v>
      </c>
      <c r="X100" s="85">
        <v>1</v>
      </c>
      <c r="Y100" s="85">
        <v>489</v>
      </c>
      <c r="Z100" s="83">
        <v>489</v>
      </c>
      <c r="AA100" s="81">
        <v>56</v>
      </c>
      <c r="AB100" s="81">
        <v>0</v>
      </c>
      <c r="AC100" s="81">
        <v>0</v>
      </c>
      <c r="AD100" s="81">
        <v>0</v>
      </c>
      <c r="AE100" s="81">
        <v>76</v>
      </c>
      <c r="AF100" s="81">
        <v>3</v>
      </c>
      <c r="AG100" s="81">
        <v>8</v>
      </c>
      <c r="AH100" s="81">
        <v>0</v>
      </c>
      <c r="AI100" s="81">
        <v>0</v>
      </c>
      <c r="AJ100" s="81">
        <v>0</v>
      </c>
      <c r="AK100" s="81">
        <v>1</v>
      </c>
      <c r="AL100" s="81">
        <v>0</v>
      </c>
      <c r="AM100" s="81"/>
      <c r="AN100" s="81">
        <v>144</v>
      </c>
      <c r="AO100" s="83">
        <v>144</v>
      </c>
      <c r="AP100" s="81">
        <v>37</v>
      </c>
      <c r="AQ100" s="81">
        <v>1</v>
      </c>
      <c r="AR100" s="81">
        <v>0</v>
      </c>
      <c r="AS100" s="81">
        <v>27</v>
      </c>
      <c r="AT100" s="81">
        <v>4</v>
      </c>
      <c r="AU100" s="81">
        <v>6</v>
      </c>
      <c r="AV100" s="81">
        <v>8</v>
      </c>
      <c r="AW100" s="81">
        <v>8</v>
      </c>
      <c r="AX100" s="81">
        <v>0</v>
      </c>
      <c r="AY100" s="81">
        <v>2</v>
      </c>
      <c r="AZ100" s="81">
        <v>1</v>
      </c>
      <c r="BA100" s="81">
        <v>2</v>
      </c>
      <c r="BB100" s="81">
        <v>96</v>
      </c>
      <c r="BC100" s="83">
        <v>96</v>
      </c>
      <c r="BD100" s="81">
        <v>235</v>
      </c>
      <c r="BE100" s="81">
        <v>1</v>
      </c>
      <c r="BF100" s="81">
        <v>0</v>
      </c>
      <c r="BG100" s="81">
        <v>103</v>
      </c>
      <c r="BH100" s="81">
        <v>3</v>
      </c>
      <c r="BI100" s="81">
        <v>9</v>
      </c>
      <c r="BJ100" s="81">
        <v>62</v>
      </c>
      <c r="BK100" s="81"/>
      <c r="BL100" s="81">
        <v>1</v>
      </c>
      <c r="BM100" s="81">
        <v>17</v>
      </c>
      <c r="BN100" s="81">
        <v>431</v>
      </c>
      <c r="BO100" s="83">
        <v>431</v>
      </c>
      <c r="BP100" s="81">
        <v>151</v>
      </c>
      <c r="BQ100" s="81">
        <v>3</v>
      </c>
      <c r="BR100" s="81">
        <v>0</v>
      </c>
      <c r="BS100" s="81">
        <v>58</v>
      </c>
      <c r="BT100" s="81">
        <v>0</v>
      </c>
      <c r="BU100" s="81">
        <v>2</v>
      </c>
      <c r="BV100" s="81">
        <v>0</v>
      </c>
      <c r="BW100" s="81">
        <v>2</v>
      </c>
      <c r="BX100" s="81">
        <v>3</v>
      </c>
      <c r="BY100" s="81">
        <v>22</v>
      </c>
      <c r="BZ100" s="81"/>
      <c r="CA100" s="81">
        <v>240</v>
      </c>
      <c r="CB100" s="83">
        <v>241</v>
      </c>
      <c r="CC100" s="81">
        <v>85</v>
      </c>
      <c r="CD100" s="81">
        <v>44</v>
      </c>
      <c r="CE100" s="81">
        <v>129</v>
      </c>
      <c r="CF100" s="81">
        <v>129</v>
      </c>
    </row>
    <row r="101" spans="1:84">
      <c r="A101" s="82">
        <v>38047</v>
      </c>
      <c r="B101" s="81">
        <v>289</v>
      </c>
      <c r="C101" s="81">
        <v>3</v>
      </c>
      <c r="D101" s="81">
        <v>0</v>
      </c>
      <c r="E101" s="81"/>
      <c r="F101" s="81">
        <v>193</v>
      </c>
      <c r="G101" s="81">
        <v>7</v>
      </c>
      <c r="H101" s="81">
        <v>18</v>
      </c>
      <c r="I101" s="81">
        <v>0</v>
      </c>
      <c r="J101" s="81"/>
      <c r="K101" s="81">
        <v>2</v>
      </c>
      <c r="L101" s="81">
        <v>26</v>
      </c>
      <c r="M101" s="81">
        <v>538</v>
      </c>
      <c r="N101" s="83">
        <v>538</v>
      </c>
      <c r="O101" s="85">
        <v>258</v>
      </c>
      <c r="P101" s="85">
        <v>0</v>
      </c>
      <c r="Q101" s="85">
        <v>142</v>
      </c>
      <c r="R101" s="85">
        <v>22</v>
      </c>
      <c r="S101" s="85">
        <v>2</v>
      </c>
      <c r="T101" s="85">
        <v>0</v>
      </c>
      <c r="U101" s="85">
        <v>0</v>
      </c>
      <c r="V101" s="85">
        <v>2</v>
      </c>
      <c r="W101" s="85">
        <v>0</v>
      </c>
      <c r="X101" s="85">
        <v>1</v>
      </c>
      <c r="Y101" s="85">
        <v>428</v>
      </c>
      <c r="Z101" s="83">
        <v>427</v>
      </c>
      <c r="AA101" s="81">
        <v>53</v>
      </c>
      <c r="AB101" s="81">
        <v>0</v>
      </c>
      <c r="AC101" s="81">
        <v>0</v>
      </c>
      <c r="AD101" s="81">
        <v>0</v>
      </c>
      <c r="AE101" s="81">
        <v>79</v>
      </c>
      <c r="AF101" s="81">
        <v>4</v>
      </c>
      <c r="AG101" s="81">
        <v>9</v>
      </c>
      <c r="AH101" s="81">
        <v>0</v>
      </c>
      <c r="AI101" s="81">
        <v>0</v>
      </c>
      <c r="AJ101" s="81">
        <v>0</v>
      </c>
      <c r="AK101" s="81">
        <v>1</v>
      </c>
      <c r="AL101" s="81">
        <v>0</v>
      </c>
      <c r="AM101" s="81"/>
      <c r="AN101" s="81">
        <v>145</v>
      </c>
      <c r="AO101" s="83">
        <v>146</v>
      </c>
      <c r="AP101" s="81">
        <v>29</v>
      </c>
      <c r="AQ101" s="81">
        <v>1</v>
      </c>
      <c r="AR101" s="81">
        <v>0</v>
      </c>
      <c r="AS101" s="81">
        <v>21</v>
      </c>
      <c r="AT101" s="81">
        <v>3</v>
      </c>
      <c r="AU101" s="81">
        <v>7</v>
      </c>
      <c r="AV101" s="81">
        <v>7</v>
      </c>
      <c r="AW101" s="81">
        <v>7</v>
      </c>
      <c r="AX101" s="81">
        <v>0</v>
      </c>
      <c r="AY101" s="81">
        <v>2</v>
      </c>
      <c r="AZ101" s="81">
        <v>1</v>
      </c>
      <c r="BA101" s="81">
        <v>2</v>
      </c>
      <c r="BB101" s="81">
        <v>79</v>
      </c>
      <c r="BC101" s="83">
        <v>80</v>
      </c>
      <c r="BD101" s="81">
        <v>223</v>
      </c>
      <c r="BE101" s="81">
        <v>1</v>
      </c>
      <c r="BF101" s="81">
        <v>0</v>
      </c>
      <c r="BG101" s="81">
        <v>111</v>
      </c>
      <c r="BH101" s="81">
        <v>3</v>
      </c>
      <c r="BI101" s="81">
        <v>10</v>
      </c>
      <c r="BJ101" s="81">
        <v>71</v>
      </c>
      <c r="BK101" s="81"/>
      <c r="BL101" s="81">
        <v>1</v>
      </c>
      <c r="BM101" s="81">
        <v>25</v>
      </c>
      <c r="BN101" s="81">
        <v>445</v>
      </c>
      <c r="BO101" s="83">
        <v>445</v>
      </c>
      <c r="BP101" s="81">
        <v>127</v>
      </c>
      <c r="BQ101" s="81">
        <v>2</v>
      </c>
      <c r="BR101" s="81">
        <v>0</v>
      </c>
      <c r="BS101" s="81">
        <v>50</v>
      </c>
      <c r="BT101" s="81">
        <v>0</v>
      </c>
      <c r="BU101" s="81">
        <v>1</v>
      </c>
      <c r="BV101" s="81">
        <v>0</v>
      </c>
      <c r="BW101" s="81">
        <v>4</v>
      </c>
      <c r="BX101" s="81">
        <v>2</v>
      </c>
      <c r="BY101" s="81">
        <v>31</v>
      </c>
      <c r="BZ101" s="81"/>
      <c r="CA101" s="81">
        <v>218</v>
      </c>
      <c r="CB101" s="83">
        <v>217</v>
      </c>
      <c r="CC101" s="81">
        <v>66</v>
      </c>
      <c r="CD101" s="81">
        <v>36</v>
      </c>
      <c r="CE101" s="81">
        <v>102</v>
      </c>
      <c r="CF101" s="81">
        <v>102</v>
      </c>
    </row>
    <row r="102" spans="1:84">
      <c r="A102" s="82">
        <v>38078</v>
      </c>
      <c r="B102" s="81">
        <v>301</v>
      </c>
      <c r="C102" s="81">
        <v>2</v>
      </c>
      <c r="D102" s="81">
        <v>0</v>
      </c>
      <c r="E102" s="81"/>
      <c r="F102" s="81">
        <v>193</v>
      </c>
      <c r="G102" s="81">
        <v>8</v>
      </c>
      <c r="H102" s="81">
        <v>18</v>
      </c>
      <c r="I102" s="81">
        <v>0</v>
      </c>
      <c r="J102" s="81"/>
      <c r="K102" s="81">
        <v>2</v>
      </c>
      <c r="L102" s="81">
        <v>25</v>
      </c>
      <c r="M102" s="81">
        <v>549</v>
      </c>
      <c r="N102" s="83">
        <v>549</v>
      </c>
      <c r="O102" s="85">
        <v>298</v>
      </c>
      <c r="P102" s="85">
        <v>0</v>
      </c>
      <c r="Q102" s="85">
        <v>153</v>
      </c>
      <c r="R102" s="85">
        <v>19</v>
      </c>
      <c r="S102" s="85">
        <v>2</v>
      </c>
      <c r="T102" s="85">
        <v>0</v>
      </c>
      <c r="U102" s="85">
        <v>0</v>
      </c>
      <c r="V102" s="85">
        <v>2</v>
      </c>
      <c r="W102" s="85">
        <v>0</v>
      </c>
      <c r="X102" s="85">
        <v>1</v>
      </c>
      <c r="Y102" s="85">
        <v>474</v>
      </c>
      <c r="Z102" s="83">
        <v>475</v>
      </c>
      <c r="AA102" s="81">
        <v>55</v>
      </c>
      <c r="AB102" s="81">
        <v>0</v>
      </c>
      <c r="AC102" s="81">
        <v>0</v>
      </c>
      <c r="AD102" s="81">
        <v>0</v>
      </c>
      <c r="AE102" s="81">
        <v>80</v>
      </c>
      <c r="AF102" s="81">
        <v>4</v>
      </c>
      <c r="AG102" s="81">
        <v>8</v>
      </c>
      <c r="AH102" s="81">
        <v>0</v>
      </c>
      <c r="AI102" s="81">
        <v>0</v>
      </c>
      <c r="AJ102" s="81">
        <v>0</v>
      </c>
      <c r="AK102" s="81">
        <v>1</v>
      </c>
      <c r="AL102" s="81">
        <v>0</v>
      </c>
      <c r="AM102" s="81"/>
      <c r="AN102" s="81">
        <v>149</v>
      </c>
      <c r="AO102" s="83">
        <v>148</v>
      </c>
      <c r="AP102" s="81">
        <v>23</v>
      </c>
      <c r="AQ102" s="81">
        <v>1</v>
      </c>
      <c r="AR102" s="81">
        <v>0</v>
      </c>
      <c r="AS102" s="81">
        <v>21</v>
      </c>
      <c r="AT102" s="81">
        <v>3</v>
      </c>
      <c r="AU102" s="81">
        <v>6</v>
      </c>
      <c r="AV102" s="81">
        <v>7</v>
      </c>
      <c r="AW102" s="81">
        <v>4</v>
      </c>
      <c r="AX102" s="81">
        <v>0</v>
      </c>
      <c r="AY102" s="81">
        <v>1</v>
      </c>
      <c r="AZ102" s="81">
        <v>2</v>
      </c>
      <c r="BA102" s="81">
        <v>4</v>
      </c>
      <c r="BB102" s="81">
        <v>72</v>
      </c>
      <c r="BC102" s="83">
        <v>72</v>
      </c>
      <c r="BD102" s="81">
        <v>231</v>
      </c>
      <c r="BE102" s="81">
        <v>1</v>
      </c>
      <c r="BF102" s="81">
        <v>0</v>
      </c>
      <c r="BG102" s="81">
        <v>110</v>
      </c>
      <c r="BH102" s="81">
        <v>3</v>
      </c>
      <c r="BI102" s="81">
        <v>10</v>
      </c>
      <c r="BJ102" s="81">
        <v>67</v>
      </c>
      <c r="BK102" s="81"/>
      <c r="BL102" s="81">
        <v>1</v>
      </c>
      <c r="BM102" s="81">
        <v>27</v>
      </c>
      <c r="BN102" s="81">
        <v>451</v>
      </c>
      <c r="BO102" s="83">
        <v>450</v>
      </c>
      <c r="BP102" s="81">
        <v>157</v>
      </c>
      <c r="BQ102" s="81">
        <v>2</v>
      </c>
      <c r="BR102" s="81">
        <v>0</v>
      </c>
      <c r="BS102" s="81">
        <v>48</v>
      </c>
      <c r="BT102" s="81">
        <v>0</v>
      </c>
      <c r="BU102" s="81">
        <v>1</v>
      </c>
      <c r="BV102" s="81">
        <v>0</v>
      </c>
      <c r="BW102" s="81">
        <v>3</v>
      </c>
      <c r="BX102" s="81">
        <v>2</v>
      </c>
      <c r="BY102" s="81">
        <v>24</v>
      </c>
      <c r="BZ102" s="81"/>
      <c r="CA102" s="81">
        <v>237</v>
      </c>
      <c r="CB102" s="83">
        <v>237</v>
      </c>
      <c r="CC102" s="81">
        <v>88</v>
      </c>
      <c r="CD102" s="81">
        <v>34</v>
      </c>
      <c r="CE102" s="81">
        <v>122</v>
      </c>
      <c r="CF102" s="81">
        <v>122</v>
      </c>
    </row>
    <row r="103" spans="1:84">
      <c r="A103" s="82">
        <v>38108</v>
      </c>
      <c r="B103" s="81">
        <v>281</v>
      </c>
      <c r="C103" s="81">
        <v>2</v>
      </c>
      <c r="D103" s="81">
        <v>0</v>
      </c>
      <c r="E103" s="81"/>
      <c r="F103" s="81">
        <v>191</v>
      </c>
      <c r="G103" s="81">
        <v>7</v>
      </c>
      <c r="H103" s="81">
        <v>17</v>
      </c>
      <c r="I103" s="81">
        <v>0</v>
      </c>
      <c r="J103" s="81"/>
      <c r="K103" s="81">
        <v>1</v>
      </c>
      <c r="L103" s="81">
        <v>24</v>
      </c>
      <c r="M103" s="81">
        <v>523</v>
      </c>
      <c r="N103" s="83">
        <v>523</v>
      </c>
      <c r="O103" s="85">
        <v>332</v>
      </c>
      <c r="P103" s="85">
        <v>0</v>
      </c>
      <c r="Q103" s="85">
        <v>177</v>
      </c>
      <c r="R103" s="85">
        <v>21</v>
      </c>
      <c r="S103" s="85">
        <v>3</v>
      </c>
      <c r="T103" s="85">
        <v>0</v>
      </c>
      <c r="U103" s="85">
        <v>0</v>
      </c>
      <c r="V103" s="85">
        <v>2</v>
      </c>
      <c r="W103" s="85">
        <v>0</v>
      </c>
      <c r="X103" s="85">
        <v>1</v>
      </c>
      <c r="Y103" s="85">
        <v>536</v>
      </c>
      <c r="Z103" s="83">
        <v>536</v>
      </c>
      <c r="AA103" s="81">
        <v>52</v>
      </c>
      <c r="AB103" s="81">
        <v>0</v>
      </c>
      <c r="AC103" s="81">
        <v>0</v>
      </c>
      <c r="AD103" s="81">
        <v>0</v>
      </c>
      <c r="AE103" s="81">
        <v>79</v>
      </c>
      <c r="AF103" s="81">
        <v>3</v>
      </c>
      <c r="AG103" s="81">
        <v>8</v>
      </c>
      <c r="AH103" s="81">
        <v>0</v>
      </c>
      <c r="AI103" s="81">
        <v>0</v>
      </c>
      <c r="AJ103" s="81">
        <v>0</v>
      </c>
      <c r="AK103" s="81">
        <v>0</v>
      </c>
      <c r="AL103" s="81">
        <v>0</v>
      </c>
      <c r="AM103" s="81"/>
      <c r="AN103" s="81">
        <v>144</v>
      </c>
      <c r="AO103" s="83">
        <v>142</v>
      </c>
      <c r="AP103" s="81">
        <v>19</v>
      </c>
      <c r="AQ103" s="81">
        <v>1</v>
      </c>
      <c r="AR103" s="81">
        <v>0</v>
      </c>
      <c r="AS103" s="81">
        <v>21</v>
      </c>
      <c r="AT103" s="81">
        <v>3</v>
      </c>
      <c r="AU103" s="81">
        <v>6</v>
      </c>
      <c r="AV103" s="81">
        <v>6</v>
      </c>
      <c r="AW103" s="81">
        <v>6</v>
      </c>
      <c r="AX103" s="81">
        <v>0</v>
      </c>
      <c r="AY103" s="81">
        <v>1</v>
      </c>
      <c r="AZ103" s="81">
        <v>2</v>
      </c>
      <c r="BA103" s="81">
        <v>5</v>
      </c>
      <c r="BB103" s="81">
        <v>71</v>
      </c>
      <c r="BC103" s="83">
        <v>70</v>
      </c>
      <c r="BD103" s="81">
        <v>216</v>
      </c>
      <c r="BE103" s="81">
        <v>1</v>
      </c>
      <c r="BF103" s="81">
        <v>0</v>
      </c>
      <c r="BG103" s="81">
        <v>111</v>
      </c>
      <c r="BH103" s="81">
        <v>3</v>
      </c>
      <c r="BI103" s="81">
        <v>9</v>
      </c>
      <c r="BJ103" s="81">
        <v>66</v>
      </c>
      <c r="BK103" s="81"/>
      <c r="BL103" s="81">
        <v>1</v>
      </c>
      <c r="BM103" s="81">
        <v>30</v>
      </c>
      <c r="BN103" s="81">
        <v>436</v>
      </c>
      <c r="BO103" s="83">
        <v>437</v>
      </c>
      <c r="BP103" s="81">
        <v>176</v>
      </c>
      <c r="BQ103" s="81">
        <v>2</v>
      </c>
      <c r="BR103" s="81">
        <v>0</v>
      </c>
      <c r="BS103" s="81">
        <v>61</v>
      </c>
      <c r="BT103" s="81">
        <v>1</v>
      </c>
      <c r="BU103" s="81">
        <v>2</v>
      </c>
      <c r="BV103" s="81">
        <v>0</v>
      </c>
      <c r="BW103" s="81">
        <v>2</v>
      </c>
      <c r="BX103" s="81">
        <v>2</v>
      </c>
      <c r="BY103" s="81">
        <v>17</v>
      </c>
      <c r="BZ103" s="81"/>
      <c r="CA103" s="81">
        <v>262</v>
      </c>
      <c r="CB103" s="83">
        <v>263</v>
      </c>
      <c r="CC103" s="81">
        <v>106</v>
      </c>
      <c r="CD103" s="81">
        <v>48</v>
      </c>
      <c r="CE103" s="81">
        <v>154</v>
      </c>
      <c r="CF103" s="81">
        <v>154</v>
      </c>
    </row>
    <row r="104" spans="1:84">
      <c r="A104" s="82">
        <v>38139</v>
      </c>
      <c r="B104" s="81">
        <v>294</v>
      </c>
      <c r="C104" s="81">
        <v>3</v>
      </c>
      <c r="D104" s="81">
        <v>0</v>
      </c>
      <c r="E104" s="81"/>
      <c r="F104" s="81">
        <v>203</v>
      </c>
      <c r="G104" s="81">
        <v>8</v>
      </c>
      <c r="H104" s="81">
        <v>18</v>
      </c>
      <c r="I104" s="81">
        <v>0</v>
      </c>
      <c r="J104" s="81"/>
      <c r="K104" s="81">
        <v>2</v>
      </c>
      <c r="L104" s="81">
        <v>25</v>
      </c>
      <c r="M104" s="81">
        <v>553</v>
      </c>
      <c r="N104" s="83">
        <v>553</v>
      </c>
      <c r="O104" s="85">
        <v>286</v>
      </c>
      <c r="P104" s="85">
        <v>1</v>
      </c>
      <c r="Q104" s="85">
        <v>172</v>
      </c>
      <c r="R104" s="85">
        <v>20</v>
      </c>
      <c r="S104" s="85">
        <v>2</v>
      </c>
      <c r="T104" s="85">
        <v>0</v>
      </c>
      <c r="U104" s="85">
        <v>0</v>
      </c>
      <c r="V104" s="85">
        <v>2</v>
      </c>
      <c r="W104" s="85">
        <v>0</v>
      </c>
      <c r="X104" s="85">
        <v>1</v>
      </c>
      <c r="Y104" s="85">
        <v>483</v>
      </c>
      <c r="Z104" s="83">
        <v>484</v>
      </c>
      <c r="AA104" s="81">
        <v>55</v>
      </c>
      <c r="AB104" s="81">
        <v>1</v>
      </c>
      <c r="AC104" s="81">
        <v>0</v>
      </c>
      <c r="AD104" s="81">
        <v>0</v>
      </c>
      <c r="AE104" s="81">
        <v>84</v>
      </c>
      <c r="AF104" s="81">
        <v>4</v>
      </c>
      <c r="AG104" s="81">
        <v>9</v>
      </c>
      <c r="AH104" s="81">
        <v>0</v>
      </c>
      <c r="AI104" s="81">
        <v>0</v>
      </c>
      <c r="AJ104" s="81">
        <v>0</v>
      </c>
      <c r="AK104" s="81">
        <v>1</v>
      </c>
      <c r="AL104" s="81">
        <v>0</v>
      </c>
      <c r="AM104" s="81"/>
      <c r="AN104" s="81">
        <v>153</v>
      </c>
      <c r="AO104" s="83">
        <v>154</v>
      </c>
      <c r="AP104" s="81">
        <v>24</v>
      </c>
      <c r="AQ104" s="81">
        <v>1</v>
      </c>
      <c r="AR104" s="81">
        <v>0</v>
      </c>
      <c r="AS104" s="81">
        <v>24</v>
      </c>
      <c r="AT104" s="81">
        <v>4</v>
      </c>
      <c r="AU104" s="81">
        <v>7</v>
      </c>
      <c r="AV104" s="81">
        <v>6</v>
      </c>
      <c r="AW104" s="81">
        <v>5</v>
      </c>
      <c r="AX104" s="81">
        <v>0</v>
      </c>
      <c r="AY104" s="81">
        <v>1</v>
      </c>
      <c r="AZ104" s="81">
        <v>2</v>
      </c>
      <c r="BA104" s="81">
        <v>3</v>
      </c>
      <c r="BB104" s="81">
        <v>77</v>
      </c>
      <c r="BC104" s="83">
        <v>77</v>
      </c>
      <c r="BD104" s="81">
        <v>226</v>
      </c>
      <c r="BE104" s="81">
        <v>2</v>
      </c>
      <c r="BF104" s="81">
        <v>0</v>
      </c>
      <c r="BG104" s="81">
        <v>117</v>
      </c>
      <c r="BH104" s="81">
        <v>4</v>
      </c>
      <c r="BI104" s="81">
        <v>10</v>
      </c>
      <c r="BJ104" s="81">
        <v>70</v>
      </c>
      <c r="BK104" s="81"/>
      <c r="BL104" s="81">
        <v>1</v>
      </c>
      <c r="BM104" s="81">
        <v>31</v>
      </c>
      <c r="BN104" s="81">
        <v>461</v>
      </c>
      <c r="BO104" s="83">
        <v>461</v>
      </c>
      <c r="BP104" s="81">
        <v>190</v>
      </c>
      <c r="BQ104" s="81">
        <v>3</v>
      </c>
      <c r="BR104" s="81">
        <v>0</v>
      </c>
      <c r="BS104" s="81">
        <v>73</v>
      </c>
      <c r="BT104" s="81">
        <v>1</v>
      </c>
      <c r="BU104" s="81">
        <v>2</v>
      </c>
      <c r="BV104" s="81">
        <v>0</v>
      </c>
      <c r="BW104" s="81">
        <v>3</v>
      </c>
      <c r="BX104" s="81">
        <v>2</v>
      </c>
      <c r="BY104" s="81">
        <v>21</v>
      </c>
      <c r="BZ104" s="81"/>
      <c r="CA104" s="81">
        <v>295</v>
      </c>
      <c r="CB104" s="83">
        <v>295</v>
      </c>
      <c r="CC104" s="81">
        <v>123</v>
      </c>
      <c r="CD104" s="81">
        <v>58</v>
      </c>
      <c r="CE104" s="81">
        <v>181</v>
      </c>
      <c r="CF104" s="81">
        <v>181</v>
      </c>
    </row>
    <row r="105" spans="1:84">
      <c r="A105" s="82">
        <v>38169</v>
      </c>
      <c r="B105" s="81">
        <v>243</v>
      </c>
      <c r="C105" s="81">
        <v>2</v>
      </c>
      <c r="D105" s="81">
        <v>0</v>
      </c>
      <c r="E105" s="81"/>
      <c r="F105" s="81">
        <v>211</v>
      </c>
      <c r="G105" s="81">
        <v>8</v>
      </c>
      <c r="H105" s="81">
        <v>19</v>
      </c>
      <c r="I105" s="81"/>
      <c r="J105" s="81"/>
      <c r="K105" s="81">
        <v>2</v>
      </c>
      <c r="L105" s="81">
        <v>25</v>
      </c>
      <c r="M105" s="81">
        <v>510</v>
      </c>
      <c r="N105" s="83">
        <v>510</v>
      </c>
      <c r="O105" s="85">
        <v>331</v>
      </c>
      <c r="P105" s="85">
        <v>1</v>
      </c>
      <c r="Q105" s="85">
        <v>160</v>
      </c>
      <c r="R105" s="85">
        <v>20</v>
      </c>
      <c r="S105" s="85">
        <v>2</v>
      </c>
      <c r="T105" s="85">
        <v>0</v>
      </c>
      <c r="U105" s="85">
        <v>0</v>
      </c>
      <c r="V105" s="85">
        <v>1</v>
      </c>
      <c r="W105" s="85">
        <v>0</v>
      </c>
      <c r="X105" s="85">
        <v>1</v>
      </c>
      <c r="Y105" s="85">
        <v>516</v>
      </c>
      <c r="Z105" s="83">
        <v>516</v>
      </c>
      <c r="AA105" s="81">
        <v>45</v>
      </c>
      <c r="AB105" s="81">
        <v>1</v>
      </c>
      <c r="AC105" s="81">
        <v>0</v>
      </c>
      <c r="AD105" s="81">
        <v>0</v>
      </c>
      <c r="AE105" s="81">
        <v>88</v>
      </c>
      <c r="AF105" s="81">
        <v>4</v>
      </c>
      <c r="AG105" s="81">
        <v>9</v>
      </c>
      <c r="AH105" s="81">
        <v>0</v>
      </c>
      <c r="AI105" s="81">
        <v>0</v>
      </c>
      <c r="AJ105" s="81">
        <v>0</v>
      </c>
      <c r="AK105" s="81">
        <v>1</v>
      </c>
      <c r="AL105" s="81">
        <v>0</v>
      </c>
      <c r="AM105" s="81"/>
      <c r="AN105" s="81">
        <v>147</v>
      </c>
      <c r="AO105" s="83">
        <v>148</v>
      </c>
      <c r="AP105" s="81">
        <v>24</v>
      </c>
      <c r="AQ105" s="81">
        <v>1</v>
      </c>
      <c r="AR105" s="81">
        <v>0</v>
      </c>
      <c r="AS105" s="81">
        <v>32</v>
      </c>
      <c r="AT105" s="81">
        <v>3</v>
      </c>
      <c r="AU105" s="81">
        <v>7</v>
      </c>
      <c r="AV105" s="81">
        <v>6</v>
      </c>
      <c r="AW105" s="81">
        <v>6</v>
      </c>
      <c r="AX105" s="81">
        <v>0</v>
      </c>
      <c r="AY105" s="81">
        <v>1</v>
      </c>
      <c r="AZ105" s="81">
        <v>2</v>
      </c>
      <c r="BA105" s="81">
        <v>2</v>
      </c>
      <c r="BB105" s="81">
        <v>87</v>
      </c>
      <c r="BC105" s="83">
        <v>84</v>
      </c>
      <c r="BD105" s="81">
        <v>185</v>
      </c>
      <c r="BE105" s="81">
        <v>1</v>
      </c>
      <c r="BF105" s="81">
        <v>0</v>
      </c>
      <c r="BG105" s="81">
        <v>122</v>
      </c>
      <c r="BH105" s="81">
        <v>4</v>
      </c>
      <c r="BI105" s="81">
        <v>10</v>
      </c>
      <c r="BJ105" s="81">
        <v>71</v>
      </c>
      <c r="BK105" s="81"/>
      <c r="BL105" s="81">
        <v>1</v>
      </c>
      <c r="BM105" s="81">
        <v>31</v>
      </c>
      <c r="BN105" s="81">
        <v>426</v>
      </c>
      <c r="BO105" s="83">
        <v>425</v>
      </c>
      <c r="BP105" s="81">
        <v>197</v>
      </c>
      <c r="BQ105" s="81">
        <v>3</v>
      </c>
      <c r="BR105" s="81">
        <v>0</v>
      </c>
      <c r="BS105" s="81">
        <v>87</v>
      </c>
      <c r="BT105" s="81">
        <v>1</v>
      </c>
      <c r="BU105" s="81">
        <v>2</v>
      </c>
      <c r="BV105" s="81">
        <v>0</v>
      </c>
      <c r="BW105" s="81">
        <v>3</v>
      </c>
      <c r="BX105" s="81">
        <v>2</v>
      </c>
      <c r="BY105" s="81">
        <v>34</v>
      </c>
      <c r="BZ105" s="81"/>
      <c r="CA105" s="81">
        <v>330</v>
      </c>
      <c r="CB105" s="83">
        <v>329</v>
      </c>
      <c r="CC105" s="81">
        <v>135</v>
      </c>
      <c r="CD105" s="81">
        <v>72</v>
      </c>
      <c r="CE105" s="81">
        <v>207</v>
      </c>
      <c r="CF105" s="81">
        <v>207</v>
      </c>
    </row>
    <row r="106" spans="1:84">
      <c r="A106" s="82">
        <v>38200</v>
      </c>
      <c r="B106" s="81">
        <v>226</v>
      </c>
      <c r="C106" s="81">
        <v>2</v>
      </c>
      <c r="D106" s="81">
        <v>0</v>
      </c>
      <c r="E106" s="81"/>
      <c r="F106" s="81">
        <v>149</v>
      </c>
      <c r="G106" s="81">
        <v>7</v>
      </c>
      <c r="H106" s="81">
        <v>17</v>
      </c>
      <c r="I106" s="81"/>
      <c r="J106" s="81"/>
      <c r="K106" s="81">
        <v>1</v>
      </c>
      <c r="L106" s="81">
        <v>25</v>
      </c>
      <c r="M106" s="81">
        <v>428</v>
      </c>
      <c r="N106" s="83">
        <v>427</v>
      </c>
      <c r="O106" s="85">
        <v>323</v>
      </c>
      <c r="P106" s="85">
        <v>1</v>
      </c>
      <c r="Q106" s="85">
        <v>212</v>
      </c>
      <c r="R106" s="85">
        <v>25</v>
      </c>
      <c r="S106" s="85">
        <v>2</v>
      </c>
      <c r="T106" s="85">
        <v>0</v>
      </c>
      <c r="U106" s="85">
        <v>0</v>
      </c>
      <c r="V106" s="85">
        <v>2</v>
      </c>
      <c r="W106" s="85">
        <v>0</v>
      </c>
      <c r="X106" s="85">
        <v>1</v>
      </c>
      <c r="Y106" s="85">
        <v>566</v>
      </c>
      <c r="Z106" s="83">
        <v>566</v>
      </c>
      <c r="AA106" s="81">
        <v>43</v>
      </c>
      <c r="AB106" s="81">
        <v>0</v>
      </c>
      <c r="AC106" s="81">
        <v>0</v>
      </c>
      <c r="AD106" s="81">
        <v>0</v>
      </c>
      <c r="AE106" s="81">
        <v>62</v>
      </c>
      <c r="AF106" s="81">
        <v>3</v>
      </c>
      <c r="AG106" s="81">
        <v>8</v>
      </c>
      <c r="AH106" s="81">
        <v>0</v>
      </c>
      <c r="AI106" s="81">
        <v>0</v>
      </c>
      <c r="AJ106" s="81">
        <v>0</v>
      </c>
      <c r="AK106" s="81">
        <v>0</v>
      </c>
      <c r="AL106" s="81">
        <v>0</v>
      </c>
      <c r="AM106" s="81"/>
      <c r="AN106" s="81">
        <v>117</v>
      </c>
      <c r="AO106" s="83">
        <v>116</v>
      </c>
      <c r="AP106" s="81">
        <v>29</v>
      </c>
      <c r="AQ106" s="81">
        <v>1</v>
      </c>
      <c r="AR106" s="81">
        <v>0</v>
      </c>
      <c r="AS106" s="81">
        <v>28</v>
      </c>
      <c r="AT106" s="81">
        <v>4</v>
      </c>
      <c r="AU106" s="81">
        <v>9</v>
      </c>
      <c r="AV106" s="81">
        <v>6</v>
      </c>
      <c r="AW106" s="81">
        <v>8</v>
      </c>
      <c r="AX106" s="81">
        <v>0</v>
      </c>
      <c r="AY106" s="81">
        <v>1</v>
      </c>
      <c r="AZ106" s="81">
        <v>1</v>
      </c>
      <c r="BA106" s="81">
        <v>3</v>
      </c>
      <c r="BB106" s="81">
        <v>90</v>
      </c>
      <c r="BC106" s="83">
        <v>90</v>
      </c>
      <c r="BD106" s="81">
        <v>174</v>
      </c>
      <c r="BE106" s="81">
        <v>1</v>
      </c>
      <c r="BF106" s="81">
        <v>0</v>
      </c>
      <c r="BG106" s="81">
        <v>90</v>
      </c>
      <c r="BH106" s="81">
        <v>3</v>
      </c>
      <c r="BI106" s="81">
        <v>9</v>
      </c>
      <c r="BJ106" s="81">
        <v>66</v>
      </c>
      <c r="BK106" s="81"/>
      <c r="BL106" s="81">
        <v>1</v>
      </c>
      <c r="BM106" s="81">
        <v>29</v>
      </c>
      <c r="BN106" s="81">
        <v>372</v>
      </c>
      <c r="BO106" s="83">
        <v>373</v>
      </c>
      <c r="BP106" s="81">
        <v>187</v>
      </c>
      <c r="BQ106" s="81">
        <v>3</v>
      </c>
      <c r="BR106" s="81">
        <v>0</v>
      </c>
      <c r="BS106" s="81">
        <v>74</v>
      </c>
      <c r="BT106" s="81">
        <v>1</v>
      </c>
      <c r="BU106" s="81">
        <v>2</v>
      </c>
      <c r="BV106" s="81">
        <v>0</v>
      </c>
      <c r="BW106" s="81">
        <v>2</v>
      </c>
      <c r="BX106" s="81">
        <v>2</v>
      </c>
      <c r="BY106" s="81">
        <v>39</v>
      </c>
      <c r="BZ106" s="81"/>
      <c r="CA106" s="81">
        <v>310</v>
      </c>
      <c r="CB106" s="83">
        <v>310</v>
      </c>
      <c r="CC106" s="81">
        <v>124</v>
      </c>
      <c r="CD106" s="81">
        <v>60</v>
      </c>
      <c r="CE106" s="81">
        <v>183</v>
      </c>
      <c r="CF106" s="81">
        <v>184</v>
      </c>
    </row>
    <row r="107" spans="1:84">
      <c r="A107" s="82">
        <v>38231</v>
      </c>
      <c r="B107" s="81">
        <v>256</v>
      </c>
      <c r="C107" s="81">
        <v>3</v>
      </c>
      <c r="D107" s="81">
        <v>0</v>
      </c>
      <c r="E107" s="81"/>
      <c r="F107" s="81">
        <v>200</v>
      </c>
      <c r="G107" s="81">
        <v>7</v>
      </c>
      <c r="H107" s="81">
        <v>16</v>
      </c>
      <c r="I107" s="81"/>
      <c r="J107" s="81"/>
      <c r="K107" s="81">
        <v>2</v>
      </c>
      <c r="L107" s="81">
        <v>25</v>
      </c>
      <c r="M107" s="81">
        <v>509</v>
      </c>
      <c r="N107" s="83">
        <v>509</v>
      </c>
      <c r="O107" s="85">
        <v>299</v>
      </c>
      <c r="P107" s="85">
        <v>0</v>
      </c>
      <c r="Q107" s="85">
        <v>178</v>
      </c>
      <c r="R107" s="85">
        <v>30</v>
      </c>
      <c r="S107" s="85">
        <v>0</v>
      </c>
      <c r="T107" s="85">
        <v>0</v>
      </c>
      <c r="U107" s="85">
        <v>0</v>
      </c>
      <c r="V107" s="85">
        <v>0</v>
      </c>
      <c r="W107" s="85">
        <v>0</v>
      </c>
      <c r="X107" s="85">
        <v>4</v>
      </c>
      <c r="Y107" s="85">
        <v>511</v>
      </c>
      <c r="Z107" s="83">
        <v>511</v>
      </c>
      <c r="AA107" s="81">
        <v>48</v>
      </c>
      <c r="AB107" s="81">
        <v>1</v>
      </c>
      <c r="AC107" s="81">
        <v>0</v>
      </c>
      <c r="AD107" s="81">
        <v>0</v>
      </c>
      <c r="AE107" s="81">
        <v>83</v>
      </c>
      <c r="AF107" s="81">
        <v>3</v>
      </c>
      <c r="AG107" s="81">
        <v>8</v>
      </c>
      <c r="AH107" s="81">
        <v>0</v>
      </c>
      <c r="AI107" s="81">
        <v>0</v>
      </c>
      <c r="AJ107" s="81">
        <v>0</v>
      </c>
      <c r="AK107" s="81">
        <v>1</v>
      </c>
      <c r="AL107" s="81">
        <v>0</v>
      </c>
      <c r="AM107" s="81"/>
      <c r="AN107" s="81">
        <v>144</v>
      </c>
      <c r="AO107" s="83">
        <v>144</v>
      </c>
      <c r="AP107" s="81">
        <v>33</v>
      </c>
      <c r="AQ107" s="81">
        <v>2</v>
      </c>
      <c r="AR107" s="81">
        <v>1</v>
      </c>
      <c r="AS107" s="81">
        <v>34</v>
      </c>
      <c r="AT107" s="81">
        <v>4</v>
      </c>
      <c r="AU107" s="81">
        <v>8</v>
      </c>
      <c r="AV107" s="81">
        <v>6</v>
      </c>
      <c r="AW107" s="81">
        <v>8</v>
      </c>
      <c r="AX107" s="81">
        <v>0</v>
      </c>
      <c r="AY107" s="81">
        <v>1</v>
      </c>
      <c r="AZ107" s="81">
        <v>1</v>
      </c>
      <c r="BA107" s="81">
        <v>4</v>
      </c>
      <c r="BB107" s="81">
        <v>101</v>
      </c>
      <c r="BC107" s="83">
        <v>102</v>
      </c>
      <c r="BD107" s="81">
        <v>194</v>
      </c>
      <c r="BE107" s="81">
        <v>2</v>
      </c>
      <c r="BF107" s="81">
        <v>0</v>
      </c>
      <c r="BG107" s="81">
        <v>116</v>
      </c>
      <c r="BH107" s="81">
        <v>3</v>
      </c>
      <c r="BI107" s="81">
        <v>9</v>
      </c>
      <c r="BJ107" s="81">
        <v>62</v>
      </c>
      <c r="BK107" s="81"/>
      <c r="BL107" s="81">
        <v>1</v>
      </c>
      <c r="BM107" s="81">
        <v>30</v>
      </c>
      <c r="BN107" s="81">
        <v>416</v>
      </c>
      <c r="BO107" s="83">
        <v>417</v>
      </c>
      <c r="BP107" s="81">
        <v>170</v>
      </c>
      <c r="BQ107" s="81">
        <v>4</v>
      </c>
      <c r="BR107" s="81">
        <v>0</v>
      </c>
      <c r="BS107" s="81">
        <v>80</v>
      </c>
      <c r="BT107" s="81">
        <v>0</v>
      </c>
      <c r="BU107" s="81">
        <v>1</v>
      </c>
      <c r="BV107" s="81">
        <v>0</v>
      </c>
      <c r="BW107" s="81">
        <v>4</v>
      </c>
      <c r="BX107" s="81">
        <v>2</v>
      </c>
      <c r="BY107" s="81">
        <v>48</v>
      </c>
      <c r="BZ107" s="81"/>
      <c r="CA107" s="81">
        <v>310</v>
      </c>
      <c r="CB107" s="83">
        <v>309</v>
      </c>
      <c r="CC107" s="81">
        <v>114</v>
      </c>
      <c r="CD107" s="81">
        <v>68</v>
      </c>
      <c r="CE107" s="81">
        <v>182</v>
      </c>
      <c r="CF107" s="81">
        <v>182</v>
      </c>
    </row>
    <row r="108" spans="1:84">
      <c r="A108" s="82">
        <v>38261</v>
      </c>
      <c r="B108" s="81">
        <v>280</v>
      </c>
      <c r="C108" s="81">
        <v>3</v>
      </c>
      <c r="D108" s="81">
        <v>0</v>
      </c>
      <c r="E108" s="81"/>
      <c r="F108" s="81">
        <v>188</v>
      </c>
      <c r="G108" s="81">
        <v>8</v>
      </c>
      <c r="H108" s="81">
        <v>14</v>
      </c>
      <c r="I108" s="81"/>
      <c r="J108" s="81"/>
      <c r="K108" s="81">
        <v>1</v>
      </c>
      <c r="L108" s="81">
        <v>26</v>
      </c>
      <c r="M108" s="81">
        <v>518</v>
      </c>
      <c r="N108" s="83">
        <v>520</v>
      </c>
      <c r="O108" s="85">
        <v>310</v>
      </c>
      <c r="P108" s="85">
        <v>0</v>
      </c>
      <c r="Q108" s="85">
        <v>180</v>
      </c>
      <c r="R108" s="85">
        <v>31</v>
      </c>
      <c r="S108" s="85">
        <v>0</v>
      </c>
      <c r="T108" s="85">
        <v>0</v>
      </c>
      <c r="U108" s="85">
        <v>0</v>
      </c>
      <c r="V108" s="85">
        <v>0</v>
      </c>
      <c r="W108" s="85">
        <v>0</v>
      </c>
      <c r="X108" s="85">
        <v>5</v>
      </c>
      <c r="Y108" s="85">
        <v>526</v>
      </c>
      <c r="Z108" s="83">
        <v>526</v>
      </c>
      <c r="AA108" s="81">
        <v>53</v>
      </c>
      <c r="AB108" s="81">
        <v>1</v>
      </c>
      <c r="AC108" s="81">
        <v>0</v>
      </c>
      <c r="AD108" s="81">
        <v>0</v>
      </c>
      <c r="AE108" s="81">
        <v>78</v>
      </c>
      <c r="AF108" s="81">
        <v>4</v>
      </c>
      <c r="AG108" s="81">
        <v>6</v>
      </c>
      <c r="AH108" s="81">
        <v>0</v>
      </c>
      <c r="AI108" s="81">
        <v>0</v>
      </c>
      <c r="AJ108" s="81">
        <v>0</v>
      </c>
      <c r="AK108" s="81">
        <v>0</v>
      </c>
      <c r="AL108" s="81">
        <v>0</v>
      </c>
      <c r="AM108" s="81"/>
      <c r="AN108" s="81">
        <v>143</v>
      </c>
      <c r="AO108" s="83">
        <v>142</v>
      </c>
      <c r="AP108" s="81">
        <v>35</v>
      </c>
      <c r="AQ108" s="81">
        <v>1</v>
      </c>
      <c r="AR108" s="81">
        <v>1</v>
      </c>
      <c r="AS108" s="81">
        <v>24</v>
      </c>
      <c r="AT108" s="81">
        <v>4</v>
      </c>
      <c r="AU108" s="81">
        <v>8</v>
      </c>
      <c r="AV108" s="81">
        <v>5</v>
      </c>
      <c r="AW108" s="81">
        <v>3</v>
      </c>
      <c r="AX108" s="81">
        <v>0</v>
      </c>
      <c r="AY108" s="81">
        <v>2</v>
      </c>
      <c r="AZ108" s="81">
        <v>2</v>
      </c>
      <c r="BA108" s="81">
        <v>2</v>
      </c>
      <c r="BB108" s="81">
        <v>85</v>
      </c>
      <c r="BC108" s="83">
        <v>87</v>
      </c>
      <c r="BD108" s="81">
        <v>214</v>
      </c>
      <c r="BE108" s="81">
        <v>1</v>
      </c>
      <c r="BF108" s="81">
        <v>0</v>
      </c>
      <c r="BG108" s="81">
        <v>111</v>
      </c>
      <c r="BH108" s="81">
        <v>4</v>
      </c>
      <c r="BI108" s="81">
        <v>7</v>
      </c>
      <c r="BJ108" s="81">
        <v>52</v>
      </c>
      <c r="BK108" s="81"/>
      <c r="BL108" s="81">
        <v>1</v>
      </c>
      <c r="BM108" s="81">
        <v>30</v>
      </c>
      <c r="BN108" s="81">
        <v>420</v>
      </c>
      <c r="BO108" s="83">
        <v>420</v>
      </c>
      <c r="BP108" s="81">
        <v>159</v>
      </c>
      <c r="BQ108" s="81">
        <v>4</v>
      </c>
      <c r="BR108" s="81">
        <v>0</v>
      </c>
      <c r="BS108" s="81">
        <v>80</v>
      </c>
      <c r="BT108" s="81">
        <v>1</v>
      </c>
      <c r="BU108" s="81">
        <v>1</v>
      </c>
      <c r="BV108" s="81">
        <v>0</v>
      </c>
      <c r="BW108" s="81">
        <v>3</v>
      </c>
      <c r="BX108" s="81">
        <v>1</v>
      </c>
      <c r="BY108" s="81">
        <v>51</v>
      </c>
      <c r="BZ108" s="81"/>
      <c r="CA108" s="81">
        <v>300</v>
      </c>
      <c r="CB108" s="83">
        <v>300</v>
      </c>
      <c r="CC108" s="81">
        <v>101</v>
      </c>
      <c r="CD108" s="81">
        <v>66</v>
      </c>
      <c r="CE108" s="81">
        <v>167</v>
      </c>
      <c r="CF108" s="81">
        <v>167</v>
      </c>
    </row>
    <row r="109" spans="1:84">
      <c r="A109" s="82">
        <v>38292</v>
      </c>
      <c r="B109" s="81">
        <v>322</v>
      </c>
      <c r="C109" s="81">
        <v>2</v>
      </c>
      <c r="D109" s="81">
        <v>0</v>
      </c>
      <c r="E109" s="81"/>
      <c r="F109" s="81">
        <v>209</v>
      </c>
      <c r="G109" s="81">
        <v>7</v>
      </c>
      <c r="H109" s="81">
        <v>18</v>
      </c>
      <c r="I109" s="81"/>
      <c r="J109" s="81"/>
      <c r="K109" s="81">
        <v>1</v>
      </c>
      <c r="L109" s="81">
        <v>25</v>
      </c>
      <c r="M109" s="81">
        <v>584</v>
      </c>
      <c r="N109" s="83">
        <v>584</v>
      </c>
      <c r="O109" s="85">
        <v>310</v>
      </c>
      <c r="P109" s="85">
        <v>0</v>
      </c>
      <c r="Q109" s="85">
        <v>180</v>
      </c>
      <c r="R109" s="85">
        <v>30</v>
      </c>
      <c r="S109" s="85">
        <v>2</v>
      </c>
      <c r="T109" s="85"/>
      <c r="U109" s="85"/>
      <c r="V109" s="85">
        <v>0</v>
      </c>
      <c r="W109" s="85"/>
      <c r="X109" s="85">
        <v>2</v>
      </c>
      <c r="Y109" s="85">
        <v>524</v>
      </c>
      <c r="Z109" s="83">
        <v>524</v>
      </c>
      <c r="AA109" s="81">
        <v>62</v>
      </c>
      <c r="AB109" s="81">
        <v>0</v>
      </c>
      <c r="AC109" s="81">
        <v>0</v>
      </c>
      <c r="AD109" s="81">
        <v>0</v>
      </c>
      <c r="AE109" s="81">
        <v>86</v>
      </c>
      <c r="AF109" s="81">
        <v>4</v>
      </c>
      <c r="AG109" s="81">
        <v>8</v>
      </c>
      <c r="AH109" s="81">
        <v>0</v>
      </c>
      <c r="AI109" s="81">
        <v>0</v>
      </c>
      <c r="AJ109" s="81">
        <v>0</v>
      </c>
      <c r="AK109" s="81">
        <v>1</v>
      </c>
      <c r="AL109" s="81">
        <v>0</v>
      </c>
      <c r="AM109" s="81"/>
      <c r="AN109" s="81">
        <v>161</v>
      </c>
      <c r="AO109" s="83">
        <v>161</v>
      </c>
      <c r="AP109" s="81">
        <v>40</v>
      </c>
      <c r="AQ109" s="81">
        <v>1</v>
      </c>
      <c r="AR109" s="81">
        <v>0</v>
      </c>
      <c r="AS109" s="81">
        <v>25</v>
      </c>
      <c r="AT109" s="81">
        <v>4</v>
      </c>
      <c r="AU109" s="81">
        <v>6</v>
      </c>
      <c r="AV109" s="81">
        <v>5</v>
      </c>
      <c r="AW109" s="81">
        <v>8</v>
      </c>
      <c r="AX109" s="81">
        <v>0</v>
      </c>
      <c r="AY109" s="81">
        <v>1</v>
      </c>
      <c r="AZ109" s="81">
        <v>1</v>
      </c>
      <c r="BA109" s="81">
        <v>3</v>
      </c>
      <c r="BB109" s="81">
        <v>95</v>
      </c>
      <c r="BC109" s="83">
        <v>94</v>
      </c>
      <c r="BD109" s="81">
        <v>246</v>
      </c>
      <c r="BE109" s="81">
        <v>1</v>
      </c>
      <c r="BF109" s="81">
        <v>0</v>
      </c>
      <c r="BG109" s="81">
        <v>124</v>
      </c>
      <c r="BH109" s="81">
        <v>3</v>
      </c>
      <c r="BI109" s="81">
        <v>10</v>
      </c>
      <c r="BJ109" s="81">
        <v>67</v>
      </c>
      <c r="BK109" s="81"/>
      <c r="BL109" s="81">
        <v>1</v>
      </c>
      <c r="BM109" s="81">
        <v>27</v>
      </c>
      <c r="BN109" s="81">
        <v>479</v>
      </c>
      <c r="BO109" s="83">
        <v>479</v>
      </c>
      <c r="BP109" s="81">
        <v>140</v>
      </c>
      <c r="BQ109" s="81">
        <v>4</v>
      </c>
      <c r="BR109" s="81">
        <v>0</v>
      </c>
      <c r="BS109" s="81">
        <v>75</v>
      </c>
      <c r="BT109" s="81">
        <v>0</v>
      </c>
      <c r="BU109" s="81">
        <v>2</v>
      </c>
      <c r="BV109" s="81">
        <v>0</v>
      </c>
      <c r="BW109" s="81">
        <v>2</v>
      </c>
      <c r="BX109" s="81">
        <v>1</v>
      </c>
      <c r="BY109" s="81">
        <v>44</v>
      </c>
      <c r="BZ109" s="81"/>
      <c r="CA109" s="81">
        <v>267</v>
      </c>
      <c r="CB109" s="83">
        <v>268</v>
      </c>
      <c r="CC109" s="81">
        <v>78</v>
      </c>
      <c r="CD109" s="81">
        <v>61</v>
      </c>
      <c r="CE109" s="81">
        <v>139</v>
      </c>
      <c r="CF109" s="81">
        <v>139</v>
      </c>
    </row>
    <row r="110" spans="1:84">
      <c r="A110" s="82">
        <v>38322</v>
      </c>
      <c r="B110" s="81">
        <v>317</v>
      </c>
      <c r="C110" s="81">
        <v>2</v>
      </c>
      <c r="D110" s="81">
        <v>0</v>
      </c>
      <c r="E110" s="81"/>
      <c r="F110" s="81">
        <v>187</v>
      </c>
      <c r="G110" s="81">
        <v>7</v>
      </c>
      <c r="H110" s="81">
        <v>16</v>
      </c>
      <c r="I110" s="81"/>
      <c r="J110" s="81"/>
      <c r="K110" s="81">
        <v>2</v>
      </c>
      <c r="L110" s="81">
        <v>26</v>
      </c>
      <c r="M110" s="81">
        <v>558</v>
      </c>
      <c r="N110" s="83">
        <v>557</v>
      </c>
      <c r="O110" s="85">
        <v>245</v>
      </c>
      <c r="P110" s="85">
        <v>1</v>
      </c>
      <c r="Q110" s="85">
        <v>139</v>
      </c>
      <c r="R110" s="85">
        <v>25</v>
      </c>
      <c r="S110" s="85">
        <v>1</v>
      </c>
      <c r="T110" s="85"/>
      <c r="U110" s="85"/>
      <c r="V110" s="85">
        <v>0</v>
      </c>
      <c r="W110" s="85"/>
      <c r="X110" s="85">
        <v>1</v>
      </c>
      <c r="Y110" s="85">
        <v>413</v>
      </c>
      <c r="Z110" s="83">
        <v>412</v>
      </c>
      <c r="AA110" s="81">
        <v>60</v>
      </c>
      <c r="AB110" s="81">
        <v>0</v>
      </c>
      <c r="AC110" s="81">
        <v>0</v>
      </c>
      <c r="AD110" s="81">
        <v>0</v>
      </c>
      <c r="AE110" s="81">
        <v>77</v>
      </c>
      <c r="AF110" s="81">
        <v>3</v>
      </c>
      <c r="AG110" s="81">
        <v>7</v>
      </c>
      <c r="AH110" s="81">
        <v>0</v>
      </c>
      <c r="AI110" s="81">
        <v>0</v>
      </c>
      <c r="AJ110" s="81">
        <v>0</v>
      </c>
      <c r="AK110" s="81">
        <v>1</v>
      </c>
      <c r="AL110" s="81">
        <v>0</v>
      </c>
      <c r="AM110" s="81"/>
      <c r="AN110" s="81">
        <v>149</v>
      </c>
      <c r="AO110" s="83">
        <v>148</v>
      </c>
      <c r="AP110" s="81">
        <v>42</v>
      </c>
      <c r="AQ110" s="81">
        <v>1</v>
      </c>
      <c r="AR110" s="81">
        <v>1</v>
      </c>
      <c r="AS110" s="81">
        <v>25</v>
      </c>
      <c r="AT110" s="81">
        <v>4</v>
      </c>
      <c r="AU110" s="81">
        <v>4</v>
      </c>
      <c r="AV110" s="81">
        <v>5</v>
      </c>
      <c r="AW110" s="81">
        <v>7</v>
      </c>
      <c r="AX110" s="81">
        <v>0</v>
      </c>
      <c r="AY110" s="81">
        <v>1</v>
      </c>
      <c r="AZ110" s="81">
        <v>1</v>
      </c>
      <c r="BA110" s="81">
        <v>2</v>
      </c>
      <c r="BB110" s="81">
        <v>93</v>
      </c>
      <c r="BC110" s="83">
        <v>93</v>
      </c>
      <c r="BD110" s="81">
        <v>245</v>
      </c>
      <c r="BE110" s="81">
        <v>1</v>
      </c>
      <c r="BF110" s="81">
        <v>0</v>
      </c>
      <c r="BG110" s="81">
        <v>112</v>
      </c>
      <c r="BH110" s="81">
        <v>3</v>
      </c>
      <c r="BI110" s="81">
        <v>9</v>
      </c>
      <c r="BJ110" s="81">
        <v>69</v>
      </c>
      <c r="BK110" s="81"/>
      <c r="BL110" s="81">
        <v>1</v>
      </c>
      <c r="BM110" s="81">
        <v>26</v>
      </c>
      <c r="BN110" s="81">
        <v>467</v>
      </c>
      <c r="BO110" s="83">
        <v>466</v>
      </c>
      <c r="BP110" s="81">
        <v>124</v>
      </c>
      <c r="BQ110" s="81">
        <v>3</v>
      </c>
      <c r="BR110" s="81">
        <v>0</v>
      </c>
      <c r="BS110" s="81">
        <v>56</v>
      </c>
      <c r="BT110" s="81">
        <v>0</v>
      </c>
      <c r="BU110" s="81">
        <v>2</v>
      </c>
      <c r="BV110" s="81">
        <v>0</v>
      </c>
      <c r="BW110" s="81">
        <v>4</v>
      </c>
      <c r="BX110" s="81">
        <v>1</v>
      </c>
      <c r="BY110" s="81">
        <v>37</v>
      </c>
      <c r="BZ110" s="81"/>
      <c r="CA110" s="81">
        <v>228</v>
      </c>
      <c r="CB110" s="83">
        <v>227</v>
      </c>
      <c r="CC110" s="81">
        <v>63</v>
      </c>
      <c r="CD110" s="81">
        <v>41</v>
      </c>
      <c r="CE110" s="81">
        <v>105</v>
      </c>
      <c r="CF110" s="81">
        <v>104</v>
      </c>
    </row>
    <row r="111" spans="1:84">
      <c r="A111" s="82">
        <v>38353</v>
      </c>
      <c r="B111" s="81">
        <v>262</v>
      </c>
      <c r="C111" s="81">
        <v>2</v>
      </c>
      <c r="D111" s="81">
        <v>0</v>
      </c>
      <c r="E111" s="81"/>
      <c r="F111" s="81">
        <v>177</v>
      </c>
      <c r="G111" s="81">
        <v>7</v>
      </c>
      <c r="H111" s="81">
        <v>15</v>
      </c>
      <c r="I111" s="81"/>
      <c r="J111" s="81"/>
      <c r="K111" s="81">
        <v>2</v>
      </c>
      <c r="L111" s="81">
        <v>22</v>
      </c>
      <c r="M111" s="81">
        <v>487</v>
      </c>
      <c r="N111" s="83">
        <v>487</v>
      </c>
      <c r="O111" s="85">
        <v>211</v>
      </c>
      <c r="P111" s="85">
        <v>0</v>
      </c>
      <c r="Q111" s="85">
        <v>152</v>
      </c>
      <c r="R111" s="85">
        <v>23</v>
      </c>
      <c r="S111" s="85">
        <v>0</v>
      </c>
      <c r="T111" s="85"/>
      <c r="U111" s="85"/>
      <c r="V111" s="85">
        <v>0</v>
      </c>
      <c r="W111" s="85"/>
      <c r="X111" s="85">
        <v>6</v>
      </c>
      <c r="Y111" s="85">
        <v>392</v>
      </c>
      <c r="Z111" s="83">
        <v>392</v>
      </c>
      <c r="AA111" s="81">
        <v>48</v>
      </c>
      <c r="AB111" s="81">
        <v>1</v>
      </c>
      <c r="AC111" s="81">
        <v>0</v>
      </c>
      <c r="AD111" s="81">
        <v>0</v>
      </c>
      <c r="AE111" s="81">
        <v>73</v>
      </c>
      <c r="AF111" s="81">
        <v>3</v>
      </c>
      <c r="AG111" s="81">
        <v>7</v>
      </c>
      <c r="AH111" s="81">
        <v>0</v>
      </c>
      <c r="AI111" s="81">
        <v>0</v>
      </c>
      <c r="AJ111" s="81">
        <v>0</v>
      </c>
      <c r="AK111" s="81">
        <v>1</v>
      </c>
      <c r="AL111" s="81">
        <v>0</v>
      </c>
      <c r="AM111" s="81"/>
      <c r="AN111" s="81">
        <v>133</v>
      </c>
      <c r="AO111" s="83">
        <v>133</v>
      </c>
      <c r="AP111" s="81">
        <v>42</v>
      </c>
      <c r="AQ111" s="81">
        <v>1</v>
      </c>
      <c r="AR111" s="81">
        <v>1</v>
      </c>
      <c r="AS111" s="81">
        <v>27</v>
      </c>
      <c r="AT111" s="81">
        <v>4</v>
      </c>
      <c r="AU111" s="81">
        <v>5</v>
      </c>
      <c r="AV111" s="81">
        <v>5</v>
      </c>
      <c r="AW111" s="81">
        <v>8</v>
      </c>
      <c r="AX111" s="81">
        <v>0</v>
      </c>
      <c r="AY111" s="81">
        <v>2</v>
      </c>
      <c r="AZ111" s="81">
        <v>1</v>
      </c>
      <c r="BA111" s="81">
        <v>1</v>
      </c>
      <c r="BB111" s="81">
        <v>97</v>
      </c>
      <c r="BC111" s="83">
        <v>97</v>
      </c>
      <c r="BD111" s="81">
        <v>201</v>
      </c>
      <c r="BE111" s="81">
        <v>1</v>
      </c>
      <c r="BF111" s="81">
        <v>0</v>
      </c>
      <c r="BG111" s="81">
        <v>106</v>
      </c>
      <c r="BH111" s="81">
        <v>3</v>
      </c>
      <c r="BI111" s="81">
        <v>8</v>
      </c>
      <c r="BJ111" s="81">
        <v>61</v>
      </c>
      <c r="BK111" s="81"/>
      <c r="BL111" s="81">
        <v>1</v>
      </c>
      <c r="BM111" s="81">
        <v>18</v>
      </c>
      <c r="BN111" s="81">
        <v>400</v>
      </c>
      <c r="BO111" s="83">
        <v>399</v>
      </c>
      <c r="BP111" s="81">
        <v>124</v>
      </c>
      <c r="BQ111" s="81">
        <v>2</v>
      </c>
      <c r="BR111" s="81">
        <v>0</v>
      </c>
      <c r="BS111" s="81">
        <v>52</v>
      </c>
      <c r="BT111" s="81">
        <v>0</v>
      </c>
      <c r="BU111" s="81">
        <v>2</v>
      </c>
      <c r="BV111" s="81">
        <v>0</v>
      </c>
      <c r="BW111" s="81">
        <v>3</v>
      </c>
      <c r="BX111" s="81">
        <v>2</v>
      </c>
      <c r="BY111" s="81">
        <v>30</v>
      </c>
      <c r="BZ111" s="81"/>
      <c r="CA111" s="81">
        <v>214</v>
      </c>
      <c r="CB111" s="83">
        <v>215</v>
      </c>
      <c r="CC111" s="81">
        <v>59</v>
      </c>
      <c r="CD111" s="81">
        <v>37</v>
      </c>
      <c r="CE111" s="81">
        <v>97</v>
      </c>
      <c r="CF111" s="81">
        <v>96</v>
      </c>
    </row>
    <row r="112" spans="1:84">
      <c r="A112" s="82">
        <v>38384</v>
      </c>
      <c r="B112" s="81">
        <v>241</v>
      </c>
      <c r="C112" s="81">
        <v>2</v>
      </c>
      <c r="D112" s="81">
        <v>0</v>
      </c>
      <c r="E112" s="81"/>
      <c r="F112" s="81">
        <v>161</v>
      </c>
      <c r="G112" s="81">
        <v>7</v>
      </c>
      <c r="H112" s="81">
        <v>14</v>
      </c>
      <c r="I112" s="81"/>
      <c r="J112" s="81"/>
      <c r="K112" s="81">
        <v>1</v>
      </c>
      <c r="L112" s="81">
        <v>23</v>
      </c>
      <c r="M112" s="81">
        <v>449</v>
      </c>
      <c r="N112" s="83">
        <v>449</v>
      </c>
      <c r="O112" s="85">
        <v>253</v>
      </c>
      <c r="P112" s="85">
        <v>0</v>
      </c>
      <c r="Q112" s="85">
        <v>131</v>
      </c>
      <c r="R112" s="85">
        <v>23</v>
      </c>
      <c r="S112" s="85">
        <v>2</v>
      </c>
      <c r="T112" s="85"/>
      <c r="U112" s="85"/>
      <c r="V112" s="85">
        <v>2</v>
      </c>
      <c r="W112" s="85"/>
      <c r="X112" s="85">
        <v>1</v>
      </c>
      <c r="Y112" s="85">
        <v>413</v>
      </c>
      <c r="Z112" s="83">
        <v>412</v>
      </c>
      <c r="AA112" s="81">
        <v>44</v>
      </c>
      <c r="AB112" s="81">
        <v>0</v>
      </c>
      <c r="AC112" s="81">
        <v>0</v>
      </c>
      <c r="AD112" s="81">
        <v>0</v>
      </c>
      <c r="AE112" s="81">
        <v>66</v>
      </c>
      <c r="AF112" s="81">
        <v>3</v>
      </c>
      <c r="AG112" s="81">
        <v>7</v>
      </c>
      <c r="AH112" s="81">
        <v>0</v>
      </c>
      <c r="AI112" s="81">
        <v>0</v>
      </c>
      <c r="AJ112" s="81">
        <v>0</v>
      </c>
      <c r="AK112" s="81">
        <v>0</v>
      </c>
      <c r="AL112" s="81">
        <v>0</v>
      </c>
      <c r="AM112" s="81"/>
      <c r="AN112" s="81">
        <v>121</v>
      </c>
      <c r="AO112" s="83">
        <v>120</v>
      </c>
      <c r="AP112" s="81">
        <v>43</v>
      </c>
      <c r="AQ112" s="81">
        <v>1</v>
      </c>
      <c r="AR112" s="81">
        <v>1</v>
      </c>
      <c r="AS112" s="81">
        <v>28</v>
      </c>
      <c r="AT112" s="81">
        <v>4</v>
      </c>
      <c r="AU112" s="81">
        <v>5</v>
      </c>
      <c r="AV112" s="81">
        <v>4</v>
      </c>
      <c r="AW112" s="81">
        <v>9</v>
      </c>
      <c r="AX112" s="81">
        <v>0</v>
      </c>
      <c r="AY112" s="81">
        <v>2</v>
      </c>
      <c r="AZ112" s="81">
        <v>1</v>
      </c>
      <c r="BA112" s="81">
        <v>3</v>
      </c>
      <c r="BB112" s="81">
        <v>100</v>
      </c>
      <c r="BC112" s="83">
        <v>101</v>
      </c>
      <c r="BD112" s="81">
        <v>185</v>
      </c>
      <c r="BE112" s="81">
        <v>1</v>
      </c>
      <c r="BF112" s="81">
        <v>0</v>
      </c>
      <c r="BG112" s="81">
        <v>92</v>
      </c>
      <c r="BH112" s="81">
        <v>3</v>
      </c>
      <c r="BI112" s="81">
        <v>8</v>
      </c>
      <c r="BJ112" s="81">
        <v>63</v>
      </c>
      <c r="BK112" s="81"/>
      <c r="BL112" s="81">
        <v>1</v>
      </c>
      <c r="BM112" s="81">
        <v>17</v>
      </c>
      <c r="BN112" s="81">
        <v>369</v>
      </c>
      <c r="BO112" s="83">
        <v>370</v>
      </c>
      <c r="BP112" s="81">
        <v>113</v>
      </c>
      <c r="BQ112" s="81">
        <v>1</v>
      </c>
      <c r="BR112" s="81">
        <v>0</v>
      </c>
      <c r="BS112" s="81">
        <v>42</v>
      </c>
      <c r="BT112" s="81">
        <v>0</v>
      </c>
      <c r="BU112" s="81">
        <v>2</v>
      </c>
      <c r="BV112" s="81">
        <v>0</v>
      </c>
      <c r="BW112" s="81">
        <v>2</v>
      </c>
      <c r="BX112" s="81">
        <v>2</v>
      </c>
      <c r="BY112" s="81">
        <v>17</v>
      </c>
      <c r="BZ112" s="81"/>
      <c r="CA112" s="81">
        <v>179</v>
      </c>
      <c r="CB112" s="83">
        <v>179</v>
      </c>
      <c r="CC112" s="81">
        <v>53</v>
      </c>
      <c r="CD112" s="81">
        <v>27</v>
      </c>
      <c r="CE112" s="81">
        <v>80</v>
      </c>
      <c r="CF112" s="81">
        <v>80</v>
      </c>
    </row>
    <row r="113" spans="1:84">
      <c r="A113" s="82">
        <v>38412</v>
      </c>
      <c r="B113" s="81">
        <v>270</v>
      </c>
      <c r="C113" s="81">
        <v>2</v>
      </c>
      <c r="D113" s="81">
        <v>0</v>
      </c>
      <c r="E113" s="81"/>
      <c r="F113" s="81">
        <v>190</v>
      </c>
      <c r="G113" s="81">
        <v>7</v>
      </c>
      <c r="H113" s="81">
        <v>19</v>
      </c>
      <c r="I113" s="81"/>
      <c r="J113" s="81"/>
      <c r="K113" s="81">
        <v>2</v>
      </c>
      <c r="L113" s="81">
        <v>27</v>
      </c>
      <c r="M113" s="81">
        <v>517</v>
      </c>
      <c r="N113" s="83">
        <v>517</v>
      </c>
      <c r="O113" s="85">
        <v>224</v>
      </c>
      <c r="P113" s="85">
        <v>1</v>
      </c>
      <c r="Q113" s="85">
        <v>182</v>
      </c>
      <c r="R113" s="85">
        <v>22</v>
      </c>
      <c r="S113" s="85">
        <v>2</v>
      </c>
      <c r="T113" s="85"/>
      <c r="U113" s="85"/>
      <c r="V113" s="85">
        <v>4</v>
      </c>
      <c r="W113" s="85"/>
      <c r="X113" s="85">
        <v>1</v>
      </c>
      <c r="Y113" s="85">
        <v>434</v>
      </c>
      <c r="Z113" s="83">
        <v>436</v>
      </c>
      <c r="AA113" s="81">
        <v>50</v>
      </c>
      <c r="AB113" s="81">
        <v>1</v>
      </c>
      <c r="AC113" s="81">
        <v>0</v>
      </c>
      <c r="AD113" s="81">
        <v>0</v>
      </c>
      <c r="AE113" s="81">
        <v>79</v>
      </c>
      <c r="AF113" s="81">
        <v>3</v>
      </c>
      <c r="AG113" s="81">
        <v>9</v>
      </c>
      <c r="AH113" s="81">
        <v>0</v>
      </c>
      <c r="AI113" s="81">
        <v>0</v>
      </c>
      <c r="AJ113" s="81">
        <v>0</v>
      </c>
      <c r="AK113" s="81">
        <v>1</v>
      </c>
      <c r="AL113" s="81">
        <v>0</v>
      </c>
      <c r="AM113" s="81"/>
      <c r="AN113" s="81">
        <v>142</v>
      </c>
      <c r="AO113" s="83">
        <v>143</v>
      </c>
      <c r="AP113" s="81">
        <v>42</v>
      </c>
      <c r="AQ113" s="81">
        <v>1</v>
      </c>
      <c r="AR113" s="81">
        <v>1</v>
      </c>
      <c r="AS113" s="81">
        <v>28</v>
      </c>
      <c r="AT113" s="81">
        <v>4</v>
      </c>
      <c r="AU113" s="81">
        <v>5</v>
      </c>
      <c r="AV113" s="81">
        <v>3</v>
      </c>
      <c r="AW113" s="81">
        <v>3</v>
      </c>
      <c r="AX113" s="81">
        <v>0</v>
      </c>
      <c r="AY113" s="81">
        <v>2</v>
      </c>
      <c r="AZ113" s="81">
        <v>1</v>
      </c>
      <c r="BA113" s="81">
        <v>2</v>
      </c>
      <c r="BB113" s="81">
        <v>91</v>
      </c>
      <c r="BC113" s="83">
        <v>92</v>
      </c>
      <c r="BD113" s="81">
        <v>210</v>
      </c>
      <c r="BE113" s="81">
        <v>1</v>
      </c>
      <c r="BF113" s="81">
        <v>0</v>
      </c>
      <c r="BG113" s="81">
        <v>109</v>
      </c>
      <c r="BH113" s="81">
        <v>3</v>
      </c>
      <c r="BI113" s="81">
        <v>10</v>
      </c>
      <c r="BJ113" s="81">
        <v>75</v>
      </c>
      <c r="BK113" s="81"/>
      <c r="BL113" s="81">
        <v>1</v>
      </c>
      <c r="BM113" s="81">
        <v>25</v>
      </c>
      <c r="BN113" s="81">
        <v>435</v>
      </c>
      <c r="BO113" s="83">
        <v>434</v>
      </c>
      <c r="BP113" s="81">
        <v>99</v>
      </c>
      <c r="BQ113" s="81">
        <v>1</v>
      </c>
      <c r="BR113" s="81">
        <v>0</v>
      </c>
      <c r="BS113" s="81">
        <v>39</v>
      </c>
      <c r="BT113" s="81">
        <v>0</v>
      </c>
      <c r="BU113" s="81">
        <v>3</v>
      </c>
      <c r="BV113" s="81">
        <v>0</v>
      </c>
      <c r="BW113" s="81">
        <v>5</v>
      </c>
      <c r="BX113" s="81">
        <v>2</v>
      </c>
      <c r="BY113" s="81">
        <v>18</v>
      </c>
      <c r="BZ113" s="81"/>
      <c r="CA113" s="81">
        <v>167</v>
      </c>
      <c r="CB113" s="83">
        <v>167</v>
      </c>
      <c r="CC113" s="81">
        <v>38</v>
      </c>
      <c r="CD113" s="81">
        <v>27</v>
      </c>
      <c r="CE113" s="81">
        <v>65</v>
      </c>
      <c r="CF113" s="81">
        <v>65</v>
      </c>
    </row>
    <row r="114" spans="1:84">
      <c r="A114" s="82">
        <v>38443</v>
      </c>
      <c r="B114" s="81">
        <v>274</v>
      </c>
      <c r="C114" s="81">
        <v>2</v>
      </c>
      <c r="D114" s="81">
        <v>0</v>
      </c>
      <c r="E114" s="81"/>
      <c r="F114" s="81">
        <v>196</v>
      </c>
      <c r="G114" s="81">
        <v>8</v>
      </c>
      <c r="H114" s="81">
        <v>18</v>
      </c>
      <c r="I114" s="81"/>
      <c r="J114" s="81"/>
      <c r="K114" s="81">
        <v>1</v>
      </c>
      <c r="L114" s="81">
        <v>26</v>
      </c>
      <c r="M114" s="81">
        <v>526</v>
      </c>
      <c r="N114" s="83">
        <v>525</v>
      </c>
      <c r="O114" s="85">
        <v>247</v>
      </c>
      <c r="P114" s="85">
        <v>0</v>
      </c>
      <c r="Q114" s="85">
        <v>175</v>
      </c>
      <c r="R114" s="85">
        <v>19</v>
      </c>
      <c r="S114" s="85">
        <v>2</v>
      </c>
      <c r="T114" s="85"/>
      <c r="U114" s="85"/>
      <c r="V114" s="85">
        <v>3</v>
      </c>
      <c r="W114" s="85"/>
      <c r="X114" s="85">
        <v>0</v>
      </c>
      <c r="Y114" s="85">
        <v>447</v>
      </c>
      <c r="Z114" s="83">
        <v>446</v>
      </c>
      <c r="AA114" s="81">
        <v>51</v>
      </c>
      <c r="AB114" s="81">
        <v>0</v>
      </c>
      <c r="AC114" s="81">
        <v>0</v>
      </c>
      <c r="AD114" s="81">
        <v>0</v>
      </c>
      <c r="AE114" s="81">
        <v>81</v>
      </c>
      <c r="AF114" s="81">
        <v>4</v>
      </c>
      <c r="AG114" s="81">
        <v>9</v>
      </c>
      <c r="AH114" s="81">
        <v>0</v>
      </c>
      <c r="AI114" s="81">
        <v>0</v>
      </c>
      <c r="AJ114" s="81">
        <v>0</v>
      </c>
      <c r="AK114" s="81">
        <v>0</v>
      </c>
      <c r="AL114" s="81">
        <v>0</v>
      </c>
      <c r="AM114" s="81"/>
      <c r="AN114" s="81">
        <v>145</v>
      </c>
      <c r="AO114" s="83">
        <v>145</v>
      </c>
      <c r="AP114" s="81">
        <v>39</v>
      </c>
      <c r="AQ114" s="81">
        <v>1</v>
      </c>
      <c r="AR114" s="81">
        <v>1</v>
      </c>
      <c r="AS114" s="81">
        <v>25</v>
      </c>
      <c r="AT114" s="81">
        <v>4</v>
      </c>
      <c r="AU114" s="81">
        <v>5</v>
      </c>
      <c r="AV114" s="81">
        <v>3</v>
      </c>
      <c r="AW114" s="81">
        <v>5</v>
      </c>
      <c r="AX114" s="81">
        <v>0</v>
      </c>
      <c r="AY114" s="81">
        <v>2</v>
      </c>
      <c r="AZ114" s="81">
        <v>1</v>
      </c>
      <c r="BA114" s="81">
        <v>4</v>
      </c>
      <c r="BB114" s="81">
        <v>91</v>
      </c>
      <c r="BC114" s="83">
        <v>90</v>
      </c>
      <c r="BD114" s="81">
        <v>209</v>
      </c>
      <c r="BE114" s="81">
        <v>1</v>
      </c>
      <c r="BF114" s="81">
        <v>0</v>
      </c>
      <c r="BG114" s="81">
        <v>112</v>
      </c>
      <c r="BH114" s="81">
        <v>4</v>
      </c>
      <c r="BI114" s="81">
        <v>10</v>
      </c>
      <c r="BJ114" s="81">
        <v>71</v>
      </c>
      <c r="BK114" s="81"/>
      <c r="BL114" s="81">
        <v>0</v>
      </c>
      <c r="BM114" s="81">
        <v>29</v>
      </c>
      <c r="BN114" s="81">
        <v>437</v>
      </c>
      <c r="BO114" s="83">
        <v>436</v>
      </c>
      <c r="BP114" s="81">
        <v>111</v>
      </c>
      <c r="BQ114" s="81">
        <v>0</v>
      </c>
      <c r="BR114" s="81">
        <v>0</v>
      </c>
      <c r="BS114" s="81">
        <v>44</v>
      </c>
      <c r="BT114" s="81">
        <v>1</v>
      </c>
      <c r="BU114" s="81">
        <v>3</v>
      </c>
      <c r="BV114" s="81">
        <v>0</v>
      </c>
      <c r="BW114" s="81">
        <v>4</v>
      </c>
      <c r="BX114" s="81">
        <v>2</v>
      </c>
      <c r="BY114" s="81">
        <v>21</v>
      </c>
      <c r="BZ114" s="81"/>
      <c r="CA114" s="81">
        <v>183</v>
      </c>
      <c r="CB114" s="83">
        <v>186</v>
      </c>
      <c r="CC114" s="81">
        <v>50</v>
      </c>
      <c r="CD114" s="81">
        <v>31</v>
      </c>
      <c r="CE114" s="81">
        <v>81</v>
      </c>
      <c r="CF114" s="81">
        <v>81</v>
      </c>
    </row>
    <row r="115" spans="1:84">
      <c r="A115" s="82">
        <v>38473</v>
      </c>
      <c r="B115" s="81">
        <v>249</v>
      </c>
      <c r="C115" s="81">
        <v>3</v>
      </c>
      <c r="D115" s="81">
        <v>0</v>
      </c>
      <c r="E115" s="81"/>
      <c r="F115" s="81">
        <v>177</v>
      </c>
      <c r="G115" s="81">
        <v>8</v>
      </c>
      <c r="H115" s="81">
        <v>18</v>
      </c>
      <c r="I115" s="81"/>
      <c r="J115" s="81"/>
      <c r="K115" s="81">
        <v>2</v>
      </c>
      <c r="L115" s="81">
        <v>25</v>
      </c>
      <c r="M115" s="81">
        <v>481</v>
      </c>
      <c r="N115" s="83">
        <v>482</v>
      </c>
      <c r="O115" s="85">
        <v>225</v>
      </c>
      <c r="P115" s="85">
        <v>0</v>
      </c>
      <c r="Q115" s="85">
        <v>210</v>
      </c>
      <c r="R115" s="85">
        <v>19</v>
      </c>
      <c r="S115" s="85">
        <v>3</v>
      </c>
      <c r="T115" s="85"/>
      <c r="U115" s="85"/>
      <c r="V115" s="85">
        <v>2</v>
      </c>
      <c r="W115" s="85"/>
      <c r="X115" s="85">
        <v>2</v>
      </c>
      <c r="Y115" s="85">
        <v>460</v>
      </c>
      <c r="Z115" s="83">
        <v>461</v>
      </c>
      <c r="AA115" s="81">
        <v>47</v>
      </c>
      <c r="AB115" s="81">
        <v>1</v>
      </c>
      <c r="AC115" s="81">
        <v>0</v>
      </c>
      <c r="AD115" s="81">
        <v>0</v>
      </c>
      <c r="AE115" s="81">
        <v>72</v>
      </c>
      <c r="AF115" s="81">
        <v>4</v>
      </c>
      <c r="AG115" s="81">
        <v>8</v>
      </c>
      <c r="AH115" s="81">
        <v>0</v>
      </c>
      <c r="AI115" s="81">
        <v>0</v>
      </c>
      <c r="AJ115" s="81">
        <v>0</v>
      </c>
      <c r="AK115" s="81">
        <v>1</v>
      </c>
      <c r="AL115" s="81">
        <v>0</v>
      </c>
      <c r="AM115" s="81"/>
      <c r="AN115" s="81">
        <v>131</v>
      </c>
      <c r="AO115" s="83">
        <v>133</v>
      </c>
      <c r="AP115" s="81">
        <v>41</v>
      </c>
      <c r="AQ115" s="81">
        <v>1</v>
      </c>
      <c r="AR115" s="81">
        <v>1</v>
      </c>
      <c r="AS115" s="81">
        <v>25</v>
      </c>
      <c r="AT115" s="81">
        <v>4</v>
      </c>
      <c r="AU115" s="81">
        <v>7</v>
      </c>
      <c r="AV115" s="81">
        <v>3</v>
      </c>
      <c r="AW115" s="81">
        <v>6</v>
      </c>
      <c r="AX115" s="81">
        <v>0</v>
      </c>
      <c r="AY115" s="81">
        <v>2</v>
      </c>
      <c r="AZ115" s="81">
        <v>2</v>
      </c>
      <c r="BA115" s="81">
        <v>4</v>
      </c>
      <c r="BB115" s="81">
        <v>94</v>
      </c>
      <c r="BC115" s="83">
        <v>96</v>
      </c>
      <c r="BD115" s="81">
        <v>190</v>
      </c>
      <c r="BE115" s="81">
        <v>1</v>
      </c>
      <c r="BF115" s="81">
        <v>0</v>
      </c>
      <c r="BG115" s="81">
        <v>101</v>
      </c>
      <c r="BH115" s="81">
        <v>3</v>
      </c>
      <c r="BI115" s="81">
        <v>10</v>
      </c>
      <c r="BJ115" s="81">
        <v>71</v>
      </c>
      <c r="BK115" s="81"/>
      <c r="BL115" s="81">
        <v>1</v>
      </c>
      <c r="BM115" s="81">
        <v>29</v>
      </c>
      <c r="BN115" s="81">
        <v>407</v>
      </c>
      <c r="BO115" s="83">
        <v>406</v>
      </c>
      <c r="BP115" s="81">
        <v>118</v>
      </c>
      <c r="BQ115" s="81">
        <v>1</v>
      </c>
      <c r="BR115" s="81">
        <v>0</v>
      </c>
      <c r="BS115" s="81">
        <v>52</v>
      </c>
      <c r="BT115" s="81">
        <v>0</v>
      </c>
      <c r="BU115" s="81">
        <v>2</v>
      </c>
      <c r="BV115" s="81">
        <v>0</v>
      </c>
      <c r="BW115" s="81">
        <v>3</v>
      </c>
      <c r="BX115" s="81">
        <v>2</v>
      </c>
      <c r="BY115" s="81">
        <v>23</v>
      </c>
      <c r="BZ115" s="81"/>
      <c r="CA115" s="81">
        <v>201</v>
      </c>
      <c r="CB115" s="83">
        <v>201</v>
      </c>
      <c r="CC115" s="81">
        <v>54</v>
      </c>
      <c r="CD115" s="81">
        <v>38</v>
      </c>
      <c r="CE115" s="81">
        <v>92</v>
      </c>
      <c r="CF115" s="81">
        <v>92</v>
      </c>
    </row>
    <row r="116" spans="1:84">
      <c r="A116" s="82">
        <v>38504</v>
      </c>
      <c r="B116" s="81">
        <v>263</v>
      </c>
      <c r="C116" s="81">
        <v>3</v>
      </c>
      <c r="D116" s="81">
        <v>0</v>
      </c>
      <c r="E116" s="81"/>
      <c r="F116" s="81">
        <v>199</v>
      </c>
      <c r="G116" s="81">
        <v>8</v>
      </c>
      <c r="H116" s="81">
        <v>19</v>
      </c>
      <c r="I116" s="81"/>
      <c r="J116" s="81"/>
      <c r="K116" s="81">
        <v>1</v>
      </c>
      <c r="L116" s="81">
        <v>26</v>
      </c>
      <c r="M116" s="81">
        <v>518</v>
      </c>
      <c r="N116" s="83">
        <v>519</v>
      </c>
      <c r="O116" s="85">
        <v>247</v>
      </c>
      <c r="P116" s="85">
        <v>1</v>
      </c>
      <c r="Q116" s="85">
        <v>203</v>
      </c>
      <c r="R116" s="85">
        <v>19</v>
      </c>
      <c r="S116" s="85">
        <v>2</v>
      </c>
      <c r="T116" s="85"/>
      <c r="U116" s="85"/>
      <c r="V116" s="85">
        <v>3</v>
      </c>
      <c r="W116" s="85"/>
      <c r="X116" s="85">
        <v>1</v>
      </c>
      <c r="Y116" s="85">
        <v>476</v>
      </c>
      <c r="Z116" s="83">
        <v>476</v>
      </c>
      <c r="AA116" s="81">
        <v>49</v>
      </c>
      <c r="AB116" s="81">
        <v>1</v>
      </c>
      <c r="AC116" s="81">
        <v>0</v>
      </c>
      <c r="AD116" s="81">
        <v>0</v>
      </c>
      <c r="AE116" s="81">
        <v>82</v>
      </c>
      <c r="AF116" s="81">
        <v>4</v>
      </c>
      <c r="AG116" s="81">
        <v>9</v>
      </c>
      <c r="AH116" s="81">
        <v>0</v>
      </c>
      <c r="AI116" s="81">
        <v>0</v>
      </c>
      <c r="AJ116" s="81">
        <v>0</v>
      </c>
      <c r="AK116" s="81">
        <v>0</v>
      </c>
      <c r="AL116" s="81">
        <v>0</v>
      </c>
      <c r="AM116" s="81"/>
      <c r="AN116" s="81">
        <v>145</v>
      </c>
      <c r="AO116" s="83">
        <v>145</v>
      </c>
      <c r="AP116" s="81">
        <v>41</v>
      </c>
      <c r="AQ116" s="81">
        <v>1</v>
      </c>
      <c r="AR116" s="81">
        <v>1</v>
      </c>
      <c r="AS116" s="81">
        <v>25</v>
      </c>
      <c r="AT116" s="81">
        <v>4</v>
      </c>
      <c r="AU116" s="81">
        <v>8</v>
      </c>
      <c r="AV116" s="81">
        <v>3</v>
      </c>
      <c r="AW116" s="81">
        <v>6</v>
      </c>
      <c r="AX116" s="81">
        <v>0</v>
      </c>
      <c r="AY116" s="81">
        <v>2</v>
      </c>
      <c r="AZ116" s="81">
        <v>1</v>
      </c>
      <c r="BA116" s="81">
        <v>5</v>
      </c>
      <c r="BB116" s="81">
        <v>96</v>
      </c>
      <c r="BC116" s="83">
        <v>97</v>
      </c>
      <c r="BD116" s="81">
        <v>202</v>
      </c>
      <c r="BE116" s="81">
        <v>1</v>
      </c>
      <c r="BF116" s="81">
        <v>0</v>
      </c>
      <c r="BG116" s="81">
        <v>114</v>
      </c>
      <c r="BH116" s="81">
        <v>3</v>
      </c>
      <c r="BI116" s="81">
        <v>10</v>
      </c>
      <c r="BJ116" s="81">
        <v>71</v>
      </c>
      <c r="BK116" s="81"/>
      <c r="BL116" s="81">
        <v>0</v>
      </c>
      <c r="BM116" s="81">
        <v>29</v>
      </c>
      <c r="BN116" s="81">
        <v>432</v>
      </c>
      <c r="BO116" s="83">
        <v>430</v>
      </c>
      <c r="BP116" s="81">
        <v>128</v>
      </c>
      <c r="BQ116" s="81">
        <v>1</v>
      </c>
      <c r="BR116" s="81">
        <v>0</v>
      </c>
      <c r="BS116" s="81">
        <v>59</v>
      </c>
      <c r="BT116" s="81">
        <v>0</v>
      </c>
      <c r="BU116" s="81">
        <v>2</v>
      </c>
      <c r="BV116" s="81">
        <v>0</v>
      </c>
      <c r="BW116" s="81">
        <v>2</v>
      </c>
      <c r="BX116" s="81">
        <v>2</v>
      </c>
      <c r="BY116" s="81">
        <v>26</v>
      </c>
      <c r="BZ116" s="81"/>
      <c r="CA116" s="81">
        <v>220</v>
      </c>
      <c r="CB116" s="83">
        <v>220</v>
      </c>
      <c r="CC116" s="81">
        <v>63</v>
      </c>
      <c r="CD116" s="81">
        <v>45</v>
      </c>
      <c r="CE116" s="81">
        <v>108</v>
      </c>
      <c r="CF116" s="81">
        <v>108</v>
      </c>
    </row>
    <row r="117" spans="1:84">
      <c r="A117" s="82">
        <v>38534</v>
      </c>
      <c r="B117" s="81">
        <v>254</v>
      </c>
      <c r="C117" s="81">
        <v>3</v>
      </c>
      <c r="D117" s="81">
        <v>0</v>
      </c>
      <c r="E117" s="81"/>
      <c r="F117" s="81">
        <v>210</v>
      </c>
      <c r="G117" s="81">
        <v>8</v>
      </c>
      <c r="H117" s="81">
        <v>18</v>
      </c>
      <c r="I117" s="81"/>
      <c r="J117" s="81"/>
      <c r="K117" s="81">
        <v>2</v>
      </c>
      <c r="L117" s="81">
        <v>25</v>
      </c>
      <c r="M117" s="81">
        <v>520</v>
      </c>
      <c r="N117" s="83">
        <v>520</v>
      </c>
      <c r="O117" s="85">
        <v>302</v>
      </c>
      <c r="P117" s="85">
        <v>1</v>
      </c>
      <c r="Q117" s="85">
        <v>145</v>
      </c>
      <c r="R117" s="85">
        <v>20</v>
      </c>
      <c r="S117" s="85">
        <v>2</v>
      </c>
      <c r="T117" s="85"/>
      <c r="U117" s="85"/>
      <c r="V117" s="85">
        <v>1</v>
      </c>
      <c r="W117" s="85"/>
      <c r="X117" s="85">
        <v>1</v>
      </c>
      <c r="Y117" s="85">
        <v>473</v>
      </c>
      <c r="Z117" s="83">
        <v>472</v>
      </c>
      <c r="AA117" s="81">
        <v>48</v>
      </c>
      <c r="AB117" s="81">
        <v>1</v>
      </c>
      <c r="AC117" s="81">
        <v>0</v>
      </c>
      <c r="AD117" s="81">
        <v>0</v>
      </c>
      <c r="AE117" s="81">
        <v>87</v>
      </c>
      <c r="AF117" s="81">
        <v>4</v>
      </c>
      <c r="AG117" s="81">
        <v>9</v>
      </c>
      <c r="AH117" s="81">
        <v>0</v>
      </c>
      <c r="AI117" s="81">
        <v>0</v>
      </c>
      <c r="AJ117" s="81">
        <v>0</v>
      </c>
      <c r="AK117" s="81">
        <v>1</v>
      </c>
      <c r="AL117" s="81">
        <v>0</v>
      </c>
      <c r="AM117" s="81"/>
      <c r="AN117" s="81">
        <v>149</v>
      </c>
      <c r="AO117" s="83">
        <v>150</v>
      </c>
      <c r="AP117" s="81">
        <v>37</v>
      </c>
      <c r="AQ117" s="81">
        <v>1</v>
      </c>
      <c r="AR117" s="81">
        <v>1</v>
      </c>
      <c r="AS117" s="81">
        <v>30</v>
      </c>
      <c r="AT117" s="81">
        <v>4</v>
      </c>
      <c r="AU117" s="81">
        <v>9</v>
      </c>
      <c r="AV117" s="81">
        <v>3</v>
      </c>
      <c r="AW117" s="81">
        <v>7</v>
      </c>
      <c r="AX117" s="81">
        <v>0</v>
      </c>
      <c r="AY117" s="81">
        <v>1</v>
      </c>
      <c r="AZ117" s="81">
        <v>2</v>
      </c>
      <c r="BA117" s="81">
        <v>4</v>
      </c>
      <c r="BB117" s="81">
        <v>99</v>
      </c>
      <c r="BC117" s="83">
        <v>99</v>
      </c>
      <c r="BD117" s="81">
        <v>194</v>
      </c>
      <c r="BE117" s="81">
        <v>1</v>
      </c>
      <c r="BF117" s="81">
        <v>0</v>
      </c>
      <c r="BG117" s="81">
        <v>121</v>
      </c>
      <c r="BH117" s="81">
        <v>4</v>
      </c>
      <c r="BI117" s="81">
        <v>10</v>
      </c>
      <c r="BJ117" s="81">
        <v>70</v>
      </c>
      <c r="BK117" s="81"/>
      <c r="BL117" s="81">
        <v>1</v>
      </c>
      <c r="BM117" s="81">
        <v>29</v>
      </c>
      <c r="BN117" s="81">
        <v>431</v>
      </c>
      <c r="BO117" s="83">
        <v>430</v>
      </c>
      <c r="BP117" s="81">
        <v>140</v>
      </c>
      <c r="BQ117" s="81">
        <v>1</v>
      </c>
      <c r="BR117" s="81">
        <v>0</v>
      </c>
      <c r="BS117" s="81">
        <v>86</v>
      </c>
      <c r="BT117" s="81">
        <v>1</v>
      </c>
      <c r="BU117" s="81">
        <v>2</v>
      </c>
      <c r="BV117" s="81">
        <v>0</v>
      </c>
      <c r="BW117" s="81">
        <v>5</v>
      </c>
      <c r="BX117" s="81">
        <v>2</v>
      </c>
      <c r="BY117" s="81">
        <v>31</v>
      </c>
      <c r="BZ117" s="81"/>
      <c r="CA117" s="81">
        <v>269</v>
      </c>
      <c r="CB117" s="83">
        <v>268</v>
      </c>
      <c r="CC117" s="81">
        <v>75</v>
      </c>
      <c r="CD117" s="81">
        <v>72</v>
      </c>
      <c r="CE117" s="81">
        <v>147</v>
      </c>
      <c r="CF117" s="81">
        <v>147</v>
      </c>
    </row>
    <row r="118" spans="1:84">
      <c r="A118" s="82">
        <v>38565</v>
      </c>
      <c r="B118" s="81">
        <v>222</v>
      </c>
      <c r="C118" s="81">
        <v>3</v>
      </c>
      <c r="D118" s="81">
        <v>0</v>
      </c>
      <c r="E118" s="81"/>
      <c r="F118" s="81">
        <v>143</v>
      </c>
      <c r="G118" s="81">
        <v>8</v>
      </c>
      <c r="H118" s="81">
        <v>0</v>
      </c>
      <c r="I118" s="81"/>
      <c r="J118" s="81"/>
      <c r="K118" s="81">
        <v>0</v>
      </c>
      <c r="L118" s="81">
        <v>26</v>
      </c>
      <c r="M118" s="81">
        <v>402</v>
      </c>
      <c r="N118" s="83">
        <v>402</v>
      </c>
      <c r="O118" s="85">
        <v>300</v>
      </c>
      <c r="P118" s="85">
        <v>0</v>
      </c>
      <c r="Q118" s="85">
        <v>183</v>
      </c>
      <c r="R118" s="85">
        <v>20</v>
      </c>
      <c r="S118" s="85">
        <v>4</v>
      </c>
      <c r="T118" s="85"/>
      <c r="U118" s="85"/>
      <c r="V118" s="85">
        <v>4</v>
      </c>
      <c r="W118" s="85"/>
      <c r="X118" s="85">
        <v>2</v>
      </c>
      <c r="Y118" s="85">
        <v>513</v>
      </c>
      <c r="Z118" s="83">
        <v>513</v>
      </c>
      <c r="AA118" s="81">
        <v>42</v>
      </c>
      <c r="AB118" s="81">
        <v>1</v>
      </c>
      <c r="AC118" s="81">
        <v>0</v>
      </c>
      <c r="AD118" s="81">
        <v>0</v>
      </c>
      <c r="AE118" s="81">
        <v>59</v>
      </c>
      <c r="AF118" s="81">
        <v>4</v>
      </c>
      <c r="AG118" s="81">
        <v>8</v>
      </c>
      <c r="AH118" s="81">
        <v>0</v>
      </c>
      <c r="AI118" s="81">
        <v>0</v>
      </c>
      <c r="AJ118" s="81">
        <v>0</v>
      </c>
      <c r="AK118" s="81">
        <v>0</v>
      </c>
      <c r="AL118" s="81">
        <v>0</v>
      </c>
      <c r="AM118" s="81"/>
      <c r="AN118" s="81">
        <v>113</v>
      </c>
      <c r="AO118" s="83">
        <v>114</v>
      </c>
      <c r="AP118" s="81">
        <v>36</v>
      </c>
      <c r="AQ118" s="81">
        <v>1</v>
      </c>
      <c r="AR118" s="81">
        <v>1</v>
      </c>
      <c r="AS118" s="81">
        <v>24</v>
      </c>
      <c r="AT118" s="81">
        <v>4</v>
      </c>
      <c r="AU118" s="81">
        <v>10</v>
      </c>
      <c r="AV118" s="81">
        <v>3</v>
      </c>
      <c r="AW118" s="81">
        <v>8</v>
      </c>
      <c r="AX118" s="81">
        <v>0</v>
      </c>
      <c r="AY118" s="81">
        <v>1</v>
      </c>
      <c r="AZ118" s="81">
        <v>2</v>
      </c>
      <c r="BA118" s="81">
        <v>5</v>
      </c>
      <c r="BB118" s="81">
        <v>95</v>
      </c>
      <c r="BC118" s="83">
        <v>95</v>
      </c>
      <c r="BD118" s="81">
        <v>170</v>
      </c>
      <c r="BE118" s="81">
        <v>1</v>
      </c>
      <c r="BF118" s="81">
        <v>0</v>
      </c>
      <c r="BG118" s="81">
        <v>81</v>
      </c>
      <c r="BH118" s="81">
        <v>3</v>
      </c>
      <c r="BI118" s="81">
        <v>9</v>
      </c>
      <c r="BJ118" s="81">
        <v>65</v>
      </c>
      <c r="BK118" s="81"/>
      <c r="BL118" s="81">
        <v>0</v>
      </c>
      <c r="BM118" s="81">
        <v>30</v>
      </c>
      <c r="BN118" s="81">
        <v>360</v>
      </c>
      <c r="BO118" s="83">
        <v>359</v>
      </c>
      <c r="BP118" s="81">
        <v>139</v>
      </c>
      <c r="BQ118" s="81">
        <v>1</v>
      </c>
      <c r="BR118" s="81">
        <v>0</v>
      </c>
      <c r="BS118" s="81">
        <v>71</v>
      </c>
      <c r="BT118" s="81">
        <v>0</v>
      </c>
      <c r="BU118" s="81">
        <v>2</v>
      </c>
      <c r="BV118" s="81">
        <v>0</v>
      </c>
      <c r="BW118" s="81">
        <v>4</v>
      </c>
      <c r="BX118" s="81">
        <v>2</v>
      </c>
      <c r="BY118" s="81">
        <v>44</v>
      </c>
      <c r="BZ118" s="81"/>
      <c r="CA118" s="81">
        <v>263</v>
      </c>
      <c r="CB118" s="83">
        <v>263</v>
      </c>
      <c r="CC118" s="81">
        <v>77</v>
      </c>
      <c r="CD118" s="81">
        <v>57</v>
      </c>
      <c r="CE118" s="81">
        <v>134</v>
      </c>
      <c r="CF118" s="81">
        <v>134</v>
      </c>
    </row>
    <row r="119" spans="1:84">
      <c r="A119" s="82">
        <v>38596</v>
      </c>
      <c r="B119" s="81">
        <v>232</v>
      </c>
      <c r="C119" s="81">
        <v>3</v>
      </c>
      <c r="D119" s="81">
        <v>0</v>
      </c>
      <c r="E119" s="81"/>
      <c r="F119" s="81">
        <v>203</v>
      </c>
      <c r="G119" s="81">
        <v>8</v>
      </c>
      <c r="H119" s="81">
        <v>17</v>
      </c>
      <c r="I119" s="81"/>
      <c r="J119" s="81"/>
      <c r="K119" s="81">
        <v>2</v>
      </c>
      <c r="L119" s="81">
        <v>28</v>
      </c>
      <c r="M119" s="81">
        <v>493</v>
      </c>
      <c r="N119" s="83">
        <v>493</v>
      </c>
      <c r="O119" s="85">
        <v>321</v>
      </c>
      <c r="P119" s="85">
        <v>0</v>
      </c>
      <c r="Q119" s="85">
        <v>199</v>
      </c>
      <c r="R119" s="85">
        <v>26</v>
      </c>
      <c r="S119" s="85">
        <v>0</v>
      </c>
      <c r="T119" s="85"/>
      <c r="U119" s="85"/>
      <c r="V119" s="85"/>
      <c r="W119" s="85"/>
      <c r="X119" s="85">
        <v>6</v>
      </c>
      <c r="Y119" s="85">
        <v>552</v>
      </c>
      <c r="Z119" s="83">
        <v>552</v>
      </c>
      <c r="AA119" s="81">
        <v>44</v>
      </c>
      <c r="AB119" s="81">
        <v>1</v>
      </c>
      <c r="AC119" s="81">
        <v>0</v>
      </c>
      <c r="AD119" s="81">
        <v>0</v>
      </c>
      <c r="AE119" s="81">
        <v>84</v>
      </c>
      <c r="AF119" s="81">
        <v>4</v>
      </c>
      <c r="AG119" s="81">
        <v>8</v>
      </c>
      <c r="AH119" s="81">
        <v>0</v>
      </c>
      <c r="AI119" s="81">
        <v>0</v>
      </c>
      <c r="AJ119" s="81">
        <v>0</v>
      </c>
      <c r="AK119" s="81">
        <v>1</v>
      </c>
      <c r="AL119" s="81">
        <v>0</v>
      </c>
      <c r="AM119" s="81"/>
      <c r="AN119" s="81">
        <v>141</v>
      </c>
      <c r="AO119" s="83">
        <v>142</v>
      </c>
      <c r="AP119" s="81">
        <v>27</v>
      </c>
      <c r="AQ119" s="81">
        <v>1</v>
      </c>
      <c r="AR119" s="81">
        <v>1</v>
      </c>
      <c r="AS119" s="81">
        <v>30</v>
      </c>
      <c r="AT119" s="81">
        <v>4</v>
      </c>
      <c r="AU119" s="81">
        <v>10</v>
      </c>
      <c r="AV119" s="81">
        <v>2</v>
      </c>
      <c r="AW119" s="81">
        <v>8</v>
      </c>
      <c r="AX119" s="81">
        <v>0</v>
      </c>
      <c r="AY119" s="81">
        <v>1</v>
      </c>
      <c r="AZ119" s="81">
        <v>2</v>
      </c>
      <c r="BA119" s="81">
        <v>4</v>
      </c>
      <c r="BB119" s="81">
        <v>92</v>
      </c>
      <c r="BC119" s="83">
        <v>90</v>
      </c>
      <c r="BD119" s="81">
        <v>176</v>
      </c>
      <c r="BE119" s="81">
        <v>1</v>
      </c>
      <c r="BF119" s="81">
        <v>0</v>
      </c>
      <c r="BG119" s="81">
        <v>116</v>
      </c>
      <c r="BH119" s="81">
        <v>3</v>
      </c>
      <c r="BI119" s="81">
        <v>9</v>
      </c>
      <c r="BJ119" s="81">
        <v>66</v>
      </c>
      <c r="BK119" s="81"/>
      <c r="BL119" s="81">
        <v>1</v>
      </c>
      <c r="BM119" s="81">
        <v>31</v>
      </c>
      <c r="BN119" s="81">
        <v>404</v>
      </c>
      <c r="BO119" s="83">
        <v>403</v>
      </c>
      <c r="BP119" s="81">
        <v>124</v>
      </c>
      <c r="BQ119" s="81">
        <v>1</v>
      </c>
      <c r="BR119" s="81">
        <v>0</v>
      </c>
      <c r="BS119" s="81">
        <v>77</v>
      </c>
      <c r="BT119" s="81">
        <v>1</v>
      </c>
      <c r="BU119" s="81">
        <v>1</v>
      </c>
      <c r="BV119" s="81">
        <v>0</v>
      </c>
      <c r="BW119" s="81">
        <v>4</v>
      </c>
      <c r="BX119" s="81">
        <v>2</v>
      </c>
      <c r="BY119" s="81">
        <v>57</v>
      </c>
      <c r="BZ119" s="81"/>
      <c r="CA119" s="81">
        <v>268</v>
      </c>
      <c r="CB119" s="83">
        <v>267</v>
      </c>
      <c r="CC119" s="81">
        <v>62</v>
      </c>
      <c r="CD119" s="81">
        <v>62</v>
      </c>
      <c r="CE119" s="81">
        <v>125</v>
      </c>
      <c r="CF119" s="81">
        <v>124</v>
      </c>
    </row>
    <row r="120" spans="1:84">
      <c r="A120" s="82">
        <v>38626</v>
      </c>
      <c r="B120" s="81">
        <v>257</v>
      </c>
      <c r="C120" s="81">
        <v>3</v>
      </c>
      <c r="D120" s="81">
        <v>0</v>
      </c>
      <c r="E120" s="81"/>
      <c r="F120" s="81">
        <v>193</v>
      </c>
      <c r="G120" s="81">
        <v>8</v>
      </c>
      <c r="H120" s="81">
        <v>14</v>
      </c>
      <c r="I120" s="81"/>
      <c r="J120" s="81"/>
      <c r="K120" s="81">
        <v>2</v>
      </c>
      <c r="L120" s="81">
        <v>27</v>
      </c>
      <c r="M120" s="81">
        <v>505</v>
      </c>
      <c r="N120" s="83">
        <v>504</v>
      </c>
      <c r="O120" s="85">
        <v>231</v>
      </c>
      <c r="P120" s="85">
        <v>0</v>
      </c>
      <c r="Q120" s="85">
        <v>209</v>
      </c>
      <c r="R120" s="85">
        <v>25</v>
      </c>
      <c r="S120" s="85">
        <v>4</v>
      </c>
      <c r="T120" s="85"/>
      <c r="U120" s="85"/>
      <c r="V120" s="85">
        <v>1</v>
      </c>
      <c r="W120" s="85"/>
      <c r="X120" s="85">
        <v>2</v>
      </c>
      <c r="Y120" s="85">
        <v>472</v>
      </c>
      <c r="Z120" s="83">
        <v>472</v>
      </c>
      <c r="AA120" s="81">
        <v>49</v>
      </c>
      <c r="AB120" s="81">
        <v>1</v>
      </c>
      <c r="AC120" s="81">
        <v>0</v>
      </c>
      <c r="AD120" s="81">
        <v>0</v>
      </c>
      <c r="AE120" s="81">
        <v>79</v>
      </c>
      <c r="AF120" s="81">
        <v>4</v>
      </c>
      <c r="AG120" s="81">
        <v>7</v>
      </c>
      <c r="AH120" s="81">
        <v>0</v>
      </c>
      <c r="AI120" s="81">
        <v>0</v>
      </c>
      <c r="AJ120" s="81">
        <v>0</v>
      </c>
      <c r="AK120" s="81">
        <v>1</v>
      </c>
      <c r="AL120" s="81">
        <v>0</v>
      </c>
      <c r="AM120" s="81"/>
      <c r="AN120" s="81">
        <v>140</v>
      </c>
      <c r="AO120" s="83">
        <v>141</v>
      </c>
      <c r="AP120" s="81">
        <v>27</v>
      </c>
      <c r="AQ120" s="81">
        <v>1</v>
      </c>
      <c r="AR120" s="81">
        <v>1</v>
      </c>
      <c r="AS120" s="81">
        <v>30</v>
      </c>
      <c r="AT120" s="81">
        <v>4</v>
      </c>
      <c r="AU120" s="81">
        <v>8</v>
      </c>
      <c r="AV120" s="81">
        <v>3</v>
      </c>
      <c r="AW120" s="81">
        <v>8</v>
      </c>
      <c r="AX120" s="81">
        <v>0</v>
      </c>
      <c r="AY120" s="81">
        <v>2</v>
      </c>
      <c r="AZ120" s="81">
        <v>2</v>
      </c>
      <c r="BA120" s="81">
        <v>4</v>
      </c>
      <c r="BB120" s="81">
        <v>92</v>
      </c>
      <c r="BC120" s="83">
        <v>90</v>
      </c>
      <c r="BD120" s="81">
        <v>196</v>
      </c>
      <c r="BE120" s="81">
        <v>1</v>
      </c>
      <c r="BF120" s="81">
        <v>0</v>
      </c>
      <c r="BG120" s="81">
        <v>112</v>
      </c>
      <c r="BH120" s="81">
        <v>3</v>
      </c>
      <c r="BI120" s="81">
        <v>8</v>
      </c>
      <c r="BJ120" s="81">
        <v>55</v>
      </c>
      <c r="BK120" s="81"/>
      <c r="BL120" s="81">
        <v>1</v>
      </c>
      <c r="BM120" s="81">
        <v>31</v>
      </c>
      <c r="BN120" s="81">
        <v>407</v>
      </c>
      <c r="BO120" s="83">
        <v>407</v>
      </c>
      <c r="BP120" s="81">
        <v>127</v>
      </c>
      <c r="BQ120" s="81">
        <v>1</v>
      </c>
      <c r="BR120" s="81">
        <v>0</v>
      </c>
      <c r="BS120" s="81">
        <v>86</v>
      </c>
      <c r="BT120" s="81">
        <v>1</v>
      </c>
      <c r="BU120" s="81">
        <v>1</v>
      </c>
      <c r="BV120" s="81">
        <v>0</v>
      </c>
      <c r="BW120" s="81">
        <v>2</v>
      </c>
      <c r="BX120" s="81">
        <v>3</v>
      </c>
      <c r="BY120" s="81">
        <v>71</v>
      </c>
      <c r="BZ120" s="81"/>
      <c r="CA120" s="81">
        <v>292</v>
      </c>
      <c r="CB120" s="83">
        <v>292</v>
      </c>
      <c r="CC120" s="81">
        <v>63</v>
      </c>
      <c r="CD120" s="81">
        <v>72</v>
      </c>
      <c r="CE120" s="81">
        <v>135</v>
      </c>
      <c r="CF120" s="81">
        <v>135</v>
      </c>
    </row>
    <row r="121" spans="1:84">
      <c r="A121" s="82">
        <v>38657</v>
      </c>
      <c r="B121" s="81">
        <v>283</v>
      </c>
      <c r="C121" s="81">
        <v>3</v>
      </c>
      <c r="D121" s="81">
        <v>0</v>
      </c>
      <c r="E121" s="81"/>
      <c r="F121" s="81">
        <v>208</v>
      </c>
      <c r="G121" s="81">
        <v>8</v>
      </c>
      <c r="H121" s="81">
        <v>17</v>
      </c>
      <c r="I121" s="81"/>
      <c r="J121" s="81"/>
      <c r="K121" s="81">
        <v>1</v>
      </c>
      <c r="L121" s="81">
        <v>26</v>
      </c>
      <c r="M121" s="81">
        <v>545</v>
      </c>
      <c r="N121" s="83">
        <v>546</v>
      </c>
      <c r="O121" s="85">
        <v>213</v>
      </c>
      <c r="P121" s="85">
        <v>1</v>
      </c>
      <c r="Q121" s="85">
        <v>216</v>
      </c>
      <c r="R121" s="85">
        <v>23</v>
      </c>
      <c r="S121" s="85">
        <v>2</v>
      </c>
      <c r="T121" s="85"/>
      <c r="U121" s="85"/>
      <c r="V121" s="85">
        <v>0</v>
      </c>
      <c r="W121" s="85"/>
      <c r="X121" s="85">
        <v>1</v>
      </c>
      <c r="Y121" s="85">
        <v>456</v>
      </c>
      <c r="Z121" s="83">
        <v>456</v>
      </c>
      <c r="AA121" s="81">
        <v>53</v>
      </c>
      <c r="AB121" s="81">
        <v>1</v>
      </c>
      <c r="AC121" s="81">
        <v>0</v>
      </c>
      <c r="AD121" s="81">
        <v>0</v>
      </c>
      <c r="AE121" s="81">
        <v>87</v>
      </c>
      <c r="AF121" s="81">
        <v>4</v>
      </c>
      <c r="AG121" s="81">
        <v>8</v>
      </c>
      <c r="AH121" s="81">
        <v>0</v>
      </c>
      <c r="AI121" s="81">
        <v>0</v>
      </c>
      <c r="AJ121" s="81">
        <v>0</v>
      </c>
      <c r="AK121" s="81">
        <v>0</v>
      </c>
      <c r="AL121" s="81">
        <v>0</v>
      </c>
      <c r="AM121" s="81"/>
      <c r="AN121" s="81">
        <v>153</v>
      </c>
      <c r="AO121" s="83">
        <v>153</v>
      </c>
      <c r="AP121" s="81">
        <v>31</v>
      </c>
      <c r="AQ121" s="81">
        <v>0</v>
      </c>
      <c r="AR121" s="81">
        <v>0</v>
      </c>
      <c r="AS121" s="81">
        <v>30</v>
      </c>
      <c r="AT121" s="81">
        <v>4</v>
      </c>
      <c r="AU121" s="81">
        <v>8</v>
      </c>
      <c r="AV121" s="81">
        <v>2</v>
      </c>
      <c r="AW121" s="81">
        <v>8</v>
      </c>
      <c r="AX121" s="81">
        <v>0</v>
      </c>
      <c r="AY121" s="81">
        <v>2</v>
      </c>
      <c r="AZ121" s="81">
        <v>1</v>
      </c>
      <c r="BA121" s="81">
        <v>3</v>
      </c>
      <c r="BB121" s="81">
        <v>91</v>
      </c>
      <c r="BC121" s="83">
        <v>89</v>
      </c>
      <c r="BD121" s="81">
        <v>215</v>
      </c>
      <c r="BE121" s="81">
        <v>1</v>
      </c>
      <c r="BF121" s="81">
        <v>0</v>
      </c>
      <c r="BG121" s="81">
        <v>119</v>
      </c>
      <c r="BH121" s="81">
        <v>4</v>
      </c>
      <c r="BI121" s="81">
        <v>9</v>
      </c>
      <c r="BJ121" s="81">
        <v>65</v>
      </c>
      <c r="BK121" s="81"/>
      <c r="BL121" s="81">
        <v>0</v>
      </c>
      <c r="BM121" s="81">
        <v>28</v>
      </c>
      <c r="BN121" s="81">
        <v>442</v>
      </c>
      <c r="BO121" s="83">
        <v>441</v>
      </c>
      <c r="BP121" s="81">
        <v>130</v>
      </c>
      <c r="BQ121" s="81">
        <v>1</v>
      </c>
      <c r="BR121" s="81">
        <v>0</v>
      </c>
      <c r="BS121" s="81">
        <v>91</v>
      </c>
      <c r="BT121" s="81">
        <v>0</v>
      </c>
      <c r="BU121" s="81">
        <v>2</v>
      </c>
      <c r="BV121" s="81">
        <v>0</v>
      </c>
      <c r="BW121" s="81">
        <v>1</v>
      </c>
      <c r="BX121" s="81">
        <v>2</v>
      </c>
      <c r="BY121" s="81">
        <v>58</v>
      </c>
      <c r="BZ121" s="81"/>
      <c r="CA121" s="81">
        <v>286</v>
      </c>
      <c r="CB121" s="83">
        <v>285</v>
      </c>
      <c r="CC121" s="81">
        <v>62</v>
      </c>
      <c r="CD121" s="81">
        <v>76</v>
      </c>
      <c r="CE121" s="81">
        <v>138</v>
      </c>
      <c r="CF121" s="81">
        <v>138</v>
      </c>
    </row>
    <row r="122" spans="1:84">
      <c r="A122" s="82">
        <v>38687</v>
      </c>
      <c r="B122" s="81">
        <v>275</v>
      </c>
      <c r="C122" s="81">
        <v>2</v>
      </c>
      <c r="D122" s="81">
        <v>0</v>
      </c>
      <c r="E122" s="81"/>
      <c r="F122" s="81">
        <v>196</v>
      </c>
      <c r="G122" s="81">
        <v>8</v>
      </c>
      <c r="H122" s="81">
        <v>16</v>
      </c>
      <c r="I122" s="81"/>
      <c r="J122" s="81"/>
      <c r="K122" s="81">
        <v>2</v>
      </c>
      <c r="L122" s="81">
        <v>29</v>
      </c>
      <c r="M122" s="81">
        <v>528</v>
      </c>
      <c r="N122" s="83">
        <v>528</v>
      </c>
      <c r="O122" s="85">
        <v>227</v>
      </c>
      <c r="P122" s="85">
        <v>1</v>
      </c>
      <c r="Q122" s="85">
        <v>186</v>
      </c>
      <c r="R122" s="85">
        <v>19</v>
      </c>
      <c r="S122" s="85">
        <v>2</v>
      </c>
      <c r="T122" s="85"/>
      <c r="U122" s="85"/>
      <c r="V122" s="85">
        <v>1</v>
      </c>
      <c r="W122" s="85"/>
      <c r="X122" s="85">
        <v>2</v>
      </c>
      <c r="Y122" s="85">
        <v>438</v>
      </c>
      <c r="Z122" s="83">
        <v>438</v>
      </c>
      <c r="AA122" s="81">
        <v>52</v>
      </c>
      <c r="AB122" s="81">
        <v>0</v>
      </c>
      <c r="AC122" s="81">
        <v>0</v>
      </c>
      <c r="AD122" s="81">
        <v>0</v>
      </c>
      <c r="AE122" s="81">
        <v>82</v>
      </c>
      <c r="AF122" s="81">
        <v>4</v>
      </c>
      <c r="AG122" s="81">
        <v>8</v>
      </c>
      <c r="AH122" s="81">
        <v>0</v>
      </c>
      <c r="AI122" s="81">
        <v>0</v>
      </c>
      <c r="AJ122" s="81">
        <v>0</v>
      </c>
      <c r="AK122" s="81">
        <v>1</v>
      </c>
      <c r="AL122" s="81">
        <v>0</v>
      </c>
      <c r="AM122" s="81"/>
      <c r="AN122" s="81">
        <v>147</v>
      </c>
      <c r="AO122" s="83">
        <v>147</v>
      </c>
      <c r="AP122" s="81">
        <v>29</v>
      </c>
      <c r="AQ122" s="81">
        <v>1</v>
      </c>
      <c r="AR122" s="81">
        <v>1</v>
      </c>
      <c r="AS122" s="81">
        <v>26</v>
      </c>
      <c r="AT122" s="81">
        <v>4</v>
      </c>
      <c r="AU122" s="81">
        <v>8</v>
      </c>
      <c r="AV122" s="81">
        <v>4</v>
      </c>
      <c r="AW122" s="81">
        <v>7</v>
      </c>
      <c r="AX122" s="81">
        <v>0</v>
      </c>
      <c r="AY122" s="81">
        <v>2</v>
      </c>
      <c r="AZ122" s="81">
        <v>1</v>
      </c>
      <c r="BA122" s="81">
        <v>5</v>
      </c>
      <c r="BB122" s="81">
        <v>89</v>
      </c>
      <c r="BC122" s="83">
        <v>88</v>
      </c>
      <c r="BD122" s="81">
        <v>207</v>
      </c>
      <c r="BE122" s="81">
        <v>1</v>
      </c>
      <c r="BF122" s="81">
        <v>0</v>
      </c>
      <c r="BG122" s="81">
        <v>110</v>
      </c>
      <c r="BH122" s="81">
        <v>3</v>
      </c>
      <c r="BI122" s="81">
        <v>9</v>
      </c>
      <c r="BJ122" s="81">
        <v>62</v>
      </c>
      <c r="BK122" s="81"/>
      <c r="BL122" s="81">
        <v>1</v>
      </c>
      <c r="BM122" s="81">
        <v>26</v>
      </c>
      <c r="BN122" s="81">
        <v>419</v>
      </c>
      <c r="BO122" s="83">
        <v>419</v>
      </c>
      <c r="BP122" s="81">
        <v>103</v>
      </c>
      <c r="BQ122" s="81">
        <v>1</v>
      </c>
      <c r="BR122" s="81">
        <v>0</v>
      </c>
      <c r="BS122" s="81">
        <v>83</v>
      </c>
      <c r="BT122" s="81">
        <v>0</v>
      </c>
      <c r="BU122" s="81">
        <v>1</v>
      </c>
      <c r="BV122" s="81">
        <v>0</v>
      </c>
      <c r="BW122" s="81">
        <v>4</v>
      </c>
      <c r="BX122" s="81">
        <v>2</v>
      </c>
      <c r="BY122" s="81">
        <v>41</v>
      </c>
      <c r="BZ122" s="81"/>
      <c r="CA122" s="81">
        <v>236</v>
      </c>
      <c r="CB122" s="83">
        <v>235</v>
      </c>
      <c r="CC122" s="81">
        <v>45</v>
      </c>
      <c r="CD122" s="81">
        <v>57</v>
      </c>
      <c r="CE122" s="81">
        <v>102</v>
      </c>
      <c r="CF122" s="81">
        <v>102</v>
      </c>
    </row>
    <row r="123" spans="1:84">
      <c r="A123" s="82">
        <v>38718</v>
      </c>
      <c r="B123" s="81">
        <v>258</v>
      </c>
      <c r="C123" s="81">
        <v>2</v>
      </c>
      <c r="D123" s="81">
        <v>0</v>
      </c>
      <c r="E123" s="81"/>
      <c r="F123" s="81">
        <v>180</v>
      </c>
      <c r="G123" s="81">
        <v>7</v>
      </c>
      <c r="H123" s="81">
        <v>15</v>
      </c>
      <c r="I123" s="81"/>
      <c r="J123" s="81"/>
      <c r="K123" s="81">
        <v>2</v>
      </c>
      <c r="L123" s="81">
        <v>24</v>
      </c>
      <c r="M123" s="81">
        <v>488</v>
      </c>
      <c r="N123" s="83">
        <v>488</v>
      </c>
      <c r="O123" s="85">
        <v>168</v>
      </c>
      <c r="P123" s="85">
        <v>2</v>
      </c>
      <c r="Q123" s="85">
        <v>165</v>
      </c>
      <c r="R123" s="85">
        <v>19</v>
      </c>
      <c r="S123" s="85">
        <v>3</v>
      </c>
      <c r="T123" s="85"/>
      <c r="U123" s="85"/>
      <c r="V123" s="85">
        <v>0</v>
      </c>
      <c r="W123" s="85"/>
      <c r="X123" s="85">
        <v>1</v>
      </c>
      <c r="Y123" s="85">
        <v>358</v>
      </c>
      <c r="Z123" s="83">
        <v>358</v>
      </c>
      <c r="AA123" s="81">
        <v>49</v>
      </c>
      <c r="AB123" s="81">
        <v>0</v>
      </c>
      <c r="AC123" s="81">
        <v>0</v>
      </c>
      <c r="AD123" s="81">
        <v>0</v>
      </c>
      <c r="AE123" s="81">
        <v>76</v>
      </c>
      <c r="AF123" s="81">
        <v>3</v>
      </c>
      <c r="AG123" s="81">
        <v>7</v>
      </c>
      <c r="AH123" s="81">
        <v>0</v>
      </c>
      <c r="AI123" s="81">
        <v>0</v>
      </c>
      <c r="AJ123" s="81">
        <v>0</v>
      </c>
      <c r="AK123" s="81">
        <v>1</v>
      </c>
      <c r="AL123" s="81">
        <v>0</v>
      </c>
      <c r="AM123" s="81"/>
      <c r="AN123" s="81">
        <v>136</v>
      </c>
      <c r="AO123" s="83">
        <v>136</v>
      </c>
      <c r="AP123" s="81">
        <v>33</v>
      </c>
      <c r="AQ123" s="81">
        <v>1</v>
      </c>
      <c r="AR123" s="81">
        <v>1</v>
      </c>
      <c r="AS123" s="81">
        <v>27</v>
      </c>
      <c r="AT123" s="81">
        <v>4</v>
      </c>
      <c r="AU123" s="81">
        <v>6</v>
      </c>
      <c r="AV123" s="81">
        <v>3</v>
      </c>
      <c r="AW123" s="81">
        <v>8</v>
      </c>
      <c r="AX123" s="81">
        <v>0</v>
      </c>
      <c r="AY123" s="81">
        <v>2</v>
      </c>
      <c r="AZ123" s="81">
        <v>2</v>
      </c>
      <c r="BA123" s="81">
        <v>4</v>
      </c>
      <c r="BB123" s="81">
        <v>91</v>
      </c>
      <c r="BC123" s="83">
        <v>91</v>
      </c>
      <c r="BD123" s="81">
        <v>195</v>
      </c>
      <c r="BE123" s="81">
        <v>1</v>
      </c>
      <c r="BF123" s="81">
        <v>0</v>
      </c>
      <c r="BG123" s="81">
        <v>99</v>
      </c>
      <c r="BH123" s="81">
        <v>3</v>
      </c>
      <c r="BI123" s="81">
        <v>8</v>
      </c>
      <c r="BJ123" s="81">
        <v>59</v>
      </c>
      <c r="BK123" s="81"/>
      <c r="BL123" s="81">
        <v>1</v>
      </c>
      <c r="BM123" s="81">
        <v>18</v>
      </c>
      <c r="BN123" s="81">
        <v>385</v>
      </c>
      <c r="BO123" s="83">
        <v>384</v>
      </c>
      <c r="BP123" s="81">
        <v>131</v>
      </c>
      <c r="BQ123" s="81">
        <v>1</v>
      </c>
      <c r="BR123" s="81">
        <v>0</v>
      </c>
      <c r="BS123" s="81">
        <v>80</v>
      </c>
      <c r="BT123" s="81">
        <v>0</v>
      </c>
      <c r="BU123" s="81">
        <v>1</v>
      </c>
      <c r="BV123" s="81">
        <v>0</v>
      </c>
      <c r="BW123" s="81">
        <v>3</v>
      </c>
      <c r="BX123" s="81">
        <v>3</v>
      </c>
      <c r="BY123" s="81">
        <v>34</v>
      </c>
      <c r="BZ123" s="81"/>
      <c r="CA123" s="81">
        <v>253</v>
      </c>
      <c r="CB123" s="83">
        <v>253</v>
      </c>
      <c r="CC123" s="81">
        <v>70</v>
      </c>
      <c r="CD123" s="81">
        <v>56</v>
      </c>
      <c r="CE123" s="81">
        <v>126</v>
      </c>
      <c r="CF123" s="81">
        <v>126</v>
      </c>
    </row>
    <row r="124" spans="1:84">
      <c r="A124" s="82">
        <v>38749</v>
      </c>
      <c r="B124" s="81">
        <v>234</v>
      </c>
      <c r="C124" s="81">
        <v>2</v>
      </c>
      <c r="D124" s="81">
        <v>0</v>
      </c>
      <c r="E124" s="81"/>
      <c r="F124" s="81">
        <v>165</v>
      </c>
      <c r="G124" s="81">
        <v>6</v>
      </c>
      <c r="H124" s="81">
        <v>17</v>
      </c>
      <c r="I124" s="81"/>
      <c r="J124" s="81"/>
      <c r="K124" s="81">
        <v>0</v>
      </c>
      <c r="L124" s="81">
        <v>26</v>
      </c>
      <c r="M124" s="81">
        <v>450</v>
      </c>
      <c r="N124" s="83">
        <v>450</v>
      </c>
      <c r="O124" s="85">
        <v>215</v>
      </c>
      <c r="P124" s="85">
        <v>0</v>
      </c>
      <c r="Q124" s="85">
        <v>152</v>
      </c>
      <c r="R124" s="85">
        <v>19</v>
      </c>
      <c r="S124" s="85">
        <v>3</v>
      </c>
      <c r="T124" s="85"/>
      <c r="U124" s="85"/>
      <c r="V124" s="85">
        <v>0</v>
      </c>
      <c r="W124" s="85"/>
      <c r="X124" s="85">
        <v>1</v>
      </c>
      <c r="Y124" s="85">
        <v>391</v>
      </c>
      <c r="Z124" s="83">
        <v>390</v>
      </c>
      <c r="AA124" s="81">
        <v>45</v>
      </c>
      <c r="AB124" s="81">
        <v>0</v>
      </c>
      <c r="AC124" s="81">
        <v>0</v>
      </c>
      <c r="AD124" s="81">
        <v>0</v>
      </c>
      <c r="AE124" s="81">
        <v>70</v>
      </c>
      <c r="AF124" s="81">
        <v>3</v>
      </c>
      <c r="AG124" s="81">
        <v>8</v>
      </c>
      <c r="AH124" s="81">
        <v>0</v>
      </c>
      <c r="AI124" s="81">
        <v>0</v>
      </c>
      <c r="AJ124" s="81">
        <v>0</v>
      </c>
      <c r="AK124" s="81">
        <v>0</v>
      </c>
      <c r="AL124" s="81">
        <v>0</v>
      </c>
      <c r="AM124" s="81"/>
      <c r="AN124" s="81">
        <v>126</v>
      </c>
      <c r="AO124" s="83">
        <v>126</v>
      </c>
      <c r="AP124" s="81">
        <v>36</v>
      </c>
      <c r="AQ124" s="81">
        <v>1</v>
      </c>
      <c r="AR124" s="81">
        <v>0</v>
      </c>
      <c r="AS124" s="81">
        <v>31</v>
      </c>
      <c r="AT124" s="81">
        <v>4</v>
      </c>
      <c r="AU124" s="81">
        <v>7</v>
      </c>
      <c r="AV124" s="81">
        <v>3</v>
      </c>
      <c r="AW124" s="81">
        <v>7</v>
      </c>
      <c r="AX124" s="81">
        <v>0</v>
      </c>
      <c r="AY124" s="81">
        <v>2</v>
      </c>
      <c r="AZ124" s="81">
        <v>1</v>
      </c>
      <c r="BA124" s="81">
        <v>4</v>
      </c>
      <c r="BB124" s="81">
        <v>97</v>
      </c>
      <c r="BC124" s="83">
        <v>96</v>
      </c>
      <c r="BD124" s="81">
        <v>176</v>
      </c>
      <c r="BE124" s="81">
        <v>1</v>
      </c>
      <c r="BF124" s="81">
        <v>0</v>
      </c>
      <c r="BG124" s="81">
        <v>91</v>
      </c>
      <c r="BH124" s="81">
        <v>3</v>
      </c>
      <c r="BI124" s="81">
        <v>9</v>
      </c>
      <c r="BJ124" s="81">
        <v>64</v>
      </c>
      <c r="BK124" s="81"/>
      <c r="BL124" s="81">
        <v>0</v>
      </c>
      <c r="BM124" s="81">
        <v>17</v>
      </c>
      <c r="BN124" s="81">
        <v>361</v>
      </c>
      <c r="BO124" s="83">
        <v>361</v>
      </c>
      <c r="BP124" s="81">
        <v>137</v>
      </c>
      <c r="BQ124" s="81">
        <v>0</v>
      </c>
      <c r="BR124" s="81">
        <v>0</v>
      </c>
      <c r="BS124" s="81">
        <v>64</v>
      </c>
      <c r="BT124" s="81">
        <v>1</v>
      </c>
      <c r="BU124" s="81">
        <v>2</v>
      </c>
      <c r="BV124" s="81">
        <v>0</v>
      </c>
      <c r="BW124" s="81">
        <v>2</v>
      </c>
      <c r="BX124" s="81">
        <v>2</v>
      </c>
      <c r="BY124" s="81">
        <v>19</v>
      </c>
      <c r="BZ124" s="81"/>
      <c r="CA124" s="81">
        <v>227</v>
      </c>
      <c r="CB124" s="83">
        <v>227</v>
      </c>
      <c r="CC124" s="81">
        <v>81</v>
      </c>
      <c r="CD124" s="81">
        <v>43</v>
      </c>
      <c r="CE124" s="81">
        <v>124</v>
      </c>
      <c r="CF124" s="81">
        <v>124</v>
      </c>
    </row>
    <row r="125" spans="1:84">
      <c r="A125" s="82">
        <v>38777</v>
      </c>
      <c r="B125" s="81">
        <v>233</v>
      </c>
      <c r="C125" s="81">
        <v>2</v>
      </c>
      <c r="D125" s="81">
        <v>0</v>
      </c>
      <c r="E125" s="81"/>
      <c r="F125" s="81">
        <v>201</v>
      </c>
      <c r="G125" s="81">
        <v>8</v>
      </c>
      <c r="H125" s="81">
        <v>19</v>
      </c>
      <c r="I125" s="81"/>
      <c r="J125" s="81"/>
      <c r="K125" s="81">
        <v>2</v>
      </c>
      <c r="L125" s="81">
        <v>29</v>
      </c>
      <c r="M125" s="81">
        <v>496</v>
      </c>
      <c r="N125" s="83">
        <v>494</v>
      </c>
      <c r="O125" s="85">
        <v>217</v>
      </c>
      <c r="P125" s="85">
        <v>0</v>
      </c>
      <c r="Q125" s="85">
        <v>168</v>
      </c>
      <c r="R125" s="85">
        <v>18</v>
      </c>
      <c r="S125" s="85">
        <v>3</v>
      </c>
      <c r="T125" s="85"/>
      <c r="U125" s="85"/>
      <c r="V125" s="85">
        <v>1</v>
      </c>
      <c r="W125" s="85"/>
      <c r="X125" s="85">
        <v>1</v>
      </c>
      <c r="Y125" s="85">
        <v>409</v>
      </c>
      <c r="Z125" s="83">
        <v>408</v>
      </c>
      <c r="AA125" s="81">
        <v>45</v>
      </c>
      <c r="AB125" s="81">
        <v>0</v>
      </c>
      <c r="AC125" s="81">
        <v>0</v>
      </c>
      <c r="AD125" s="81">
        <v>0</v>
      </c>
      <c r="AE125" s="81">
        <v>86</v>
      </c>
      <c r="AF125" s="81">
        <v>4</v>
      </c>
      <c r="AG125" s="81">
        <v>9</v>
      </c>
      <c r="AH125" s="81">
        <v>0</v>
      </c>
      <c r="AI125" s="81">
        <v>0</v>
      </c>
      <c r="AJ125" s="81">
        <v>0</v>
      </c>
      <c r="AK125" s="81">
        <v>1</v>
      </c>
      <c r="AL125" s="81">
        <v>0</v>
      </c>
      <c r="AM125" s="81"/>
      <c r="AN125" s="81">
        <v>146</v>
      </c>
      <c r="AO125" s="83">
        <v>145</v>
      </c>
      <c r="AP125" s="81">
        <v>31</v>
      </c>
      <c r="AQ125" s="81">
        <v>1</v>
      </c>
      <c r="AR125" s="81">
        <v>1</v>
      </c>
      <c r="AS125" s="81">
        <v>28</v>
      </c>
      <c r="AT125" s="81">
        <v>4</v>
      </c>
      <c r="AU125" s="81">
        <v>7</v>
      </c>
      <c r="AV125" s="81">
        <v>3</v>
      </c>
      <c r="AW125" s="81">
        <v>6</v>
      </c>
      <c r="AX125" s="81">
        <v>0</v>
      </c>
      <c r="AY125" s="81">
        <v>2</v>
      </c>
      <c r="AZ125" s="81">
        <v>2</v>
      </c>
      <c r="BA125" s="81">
        <v>3</v>
      </c>
      <c r="BB125" s="81">
        <v>87</v>
      </c>
      <c r="BC125" s="83">
        <v>88</v>
      </c>
      <c r="BD125" s="81">
        <v>178</v>
      </c>
      <c r="BE125" s="81">
        <v>1</v>
      </c>
      <c r="BF125" s="81">
        <v>0</v>
      </c>
      <c r="BG125" s="81">
        <v>111</v>
      </c>
      <c r="BH125" s="81">
        <v>4</v>
      </c>
      <c r="BI125" s="81">
        <v>10</v>
      </c>
      <c r="BJ125" s="81">
        <v>74</v>
      </c>
      <c r="BK125" s="81"/>
      <c r="BL125" s="81">
        <v>1</v>
      </c>
      <c r="BM125" s="81">
        <v>24</v>
      </c>
      <c r="BN125" s="81">
        <v>403</v>
      </c>
      <c r="BO125" s="83">
        <v>403</v>
      </c>
      <c r="BP125" s="81">
        <v>117</v>
      </c>
      <c r="BQ125" s="81">
        <v>0</v>
      </c>
      <c r="BR125" s="81">
        <v>0</v>
      </c>
      <c r="BS125" s="81">
        <v>59</v>
      </c>
      <c r="BT125" s="81">
        <v>1</v>
      </c>
      <c r="BU125" s="81">
        <v>2</v>
      </c>
      <c r="BV125" s="81">
        <v>0</v>
      </c>
      <c r="BW125" s="81">
        <v>4</v>
      </c>
      <c r="BX125" s="81">
        <v>3</v>
      </c>
      <c r="BY125" s="81">
        <v>24</v>
      </c>
      <c r="BZ125" s="81"/>
      <c r="CA125" s="81">
        <v>211</v>
      </c>
      <c r="CB125" s="83">
        <v>210</v>
      </c>
      <c r="CC125" s="81">
        <v>61</v>
      </c>
      <c r="CD125" s="81">
        <v>38</v>
      </c>
      <c r="CE125" s="81">
        <v>99</v>
      </c>
      <c r="CF125" s="81">
        <v>99</v>
      </c>
    </row>
    <row r="126" spans="1:84">
      <c r="A126" s="82">
        <v>38808</v>
      </c>
      <c r="B126" s="81">
        <v>270</v>
      </c>
      <c r="C126" s="81">
        <v>3</v>
      </c>
      <c r="D126" s="81">
        <v>0</v>
      </c>
      <c r="E126" s="81"/>
      <c r="F126" s="81">
        <v>211</v>
      </c>
      <c r="G126" s="81">
        <v>8</v>
      </c>
      <c r="H126" s="81">
        <v>18</v>
      </c>
      <c r="I126" s="81"/>
      <c r="J126" s="81"/>
      <c r="K126" s="81">
        <v>1</v>
      </c>
      <c r="L126" s="81">
        <v>27</v>
      </c>
      <c r="M126" s="81">
        <v>537</v>
      </c>
      <c r="N126" s="83">
        <v>538</v>
      </c>
      <c r="O126" s="85">
        <v>178</v>
      </c>
      <c r="P126" s="85">
        <v>0</v>
      </c>
      <c r="Q126" s="85">
        <v>142</v>
      </c>
      <c r="R126" s="85">
        <v>18</v>
      </c>
      <c r="S126" s="85">
        <v>5</v>
      </c>
      <c r="T126" s="85"/>
      <c r="U126" s="85"/>
      <c r="V126" s="85">
        <v>0</v>
      </c>
      <c r="W126" s="85"/>
      <c r="X126" s="85">
        <v>2</v>
      </c>
      <c r="Y126" s="85">
        <v>345</v>
      </c>
      <c r="Z126" s="83">
        <v>345</v>
      </c>
      <c r="AA126" s="81">
        <v>52</v>
      </c>
      <c r="AB126" s="81">
        <v>1</v>
      </c>
      <c r="AC126" s="81">
        <v>0</v>
      </c>
      <c r="AD126" s="81">
        <v>0</v>
      </c>
      <c r="AE126" s="81">
        <v>90</v>
      </c>
      <c r="AF126" s="81">
        <v>4</v>
      </c>
      <c r="AG126" s="81">
        <v>8</v>
      </c>
      <c r="AH126" s="81">
        <v>0</v>
      </c>
      <c r="AI126" s="81">
        <v>0</v>
      </c>
      <c r="AJ126" s="81">
        <v>0</v>
      </c>
      <c r="AK126" s="81">
        <v>0</v>
      </c>
      <c r="AL126" s="81">
        <v>0</v>
      </c>
      <c r="AM126" s="81"/>
      <c r="AN126" s="81">
        <v>155</v>
      </c>
      <c r="AO126" s="83">
        <v>155</v>
      </c>
      <c r="AP126" s="81">
        <v>32</v>
      </c>
      <c r="AQ126" s="81">
        <v>0</v>
      </c>
      <c r="AR126" s="81">
        <v>0</v>
      </c>
      <c r="AS126" s="81">
        <v>29</v>
      </c>
      <c r="AT126" s="81">
        <v>4</v>
      </c>
      <c r="AU126" s="81">
        <v>5</v>
      </c>
      <c r="AV126" s="81">
        <v>4</v>
      </c>
      <c r="AW126" s="81">
        <v>5</v>
      </c>
      <c r="AX126" s="81">
        <v>0</v>
      </c>
      <c r="AY126" s="81">
        <v>2</v>
      </c>
      <c r="AZ126" s="81">
        <v>2</v>
      </c>
      <c r="BA126" s="81">
        <v>2</v>
      </c>
      <c r="BB126" s="81">
        <v>86</v>
      </c>
      <c r="BC126" s="83">
        <v>85</v>
      </c>
      <c r="BD126" s="81">
        <v>207</v>
      </c>
      <c r="BE126" s="81">
        <v>1</v>
      </c>
      <c r="BF126" s="81">
        <v>0</v>
      </c>
      <c r="BG126" s="81">
        <v>116</v>
      </c>
      <c r="BH126" s="81">
        <v>3</v>
      </c>
      <c r="BI126" s="81">
        <v>10</v>
      </c>
      <c r="BJ126" s="81">
        <v>68</v>
      </c>
      <c r="BK126" s="81"/>
      <c r="BL126" s="81">
        <v>0</v>
      </c>
      <c r="BM126" s="81">
        <v>28</v>
      </c>
      <c r="BN126" s="81">
        <v>435</v>
      </c>
      <c r="BO126" s="83">
        <v>433</v>
      </c>
      <c r="BP126" s="81">
        <v>137</v>
      </c>
      <c r="BQ126" s="81">
        <v>0</v>
      </c>
      <c r="BR126" s="81">
        <v>0</v>
      </c>
      <c r="BS126" s="81">
        <v>66</v>
      </c>
      <c r="BT126" s="81">
        <v>1</v>
      </c>
      <c r="BU126" s="81">
        <v>2</v>
      </c>
      <c r="BV126" s="81">
        <v>0</v>
      </c>
      <c r="BW126" s="81">
        <v>3</v>
      </c>
      <c r="BX126" s="81">
        <v>2</v>
      </c>
      <c r="BY126" s="81">
        <v>23</v>
      </c>
      <c r="BZ126" s="81"/>
      <c r="CA126" s="81">
        <v>235</v>
      </c>
      <c r="CB126" s="83">
        <v>234</v>
      </c>
      <c r="CC126" s="81">
        <v>78</v>
      </c>
      <c r="CD126" s="81">
        <v>46</v>
      </c>
      <c r="CE126" s="81">
        <v>123</v>
      </c>
      <c r="CF126" s="81">
        <v>124</v>
      </c>
    </row>
    <row r="127" spans="1:84">
      <c r="A127" s="82">
        <v>38838</v>
      </c>
      <c r="B127" s="81">
        <v>237</v>
      </c>
      <c r="C127" s="81">
        <v>2</v>
      </c>
      <c r="D127" s="81">
        <v>0</v>
      </c>
      <c r="E127" s="81"/>
      <c r="F127" s="81">
        <v>178</v>
      </c>
      <c r="G127" s="81">
        <v>8</v>
      </c>
      <c r="H127" s="81">
        <v>19</v>
      </c>
      <c r="I127" s="81"/>
      <c r="J127" s="81"/>
      <c r="K127" s="81">
        <v>1</v>
      </c>
      <c r="L127" s="81">
        <v>28</v>
      </c>
      <c r="M127" s="81">
        <v>474</v>
      </c>
      <c r="N127" s="83">
        <v>473</v>
      </c>
      <c r="O127" s="85">
        <v>260</v>
      </c>
      <c r="P127" s="85">
        <v>1</v>
      </c>
      <c r="Q127" s="85">
        <v>180</v>
      </c>
      <c r="R127" s="85">
        <v>18</v>
      </c>
      <c r="S127" s="85">
        <v>6</v>
      </c>
      <c r="T127" s="85"/>
      <c r="U127" s="85"/>
      <c r="V127" s="85">
        <v>1</v>
      </c>
      <c r="W127" s="85"/>
      <c r="X127" s="85">
        <v>2</v>
      </c>
      <c r="Y127" s="85">
        <v>466</v>
      </c>
      <c r="Z127" s="83">
        <v>468</v>
      </c>
      <c r="AA127" s="81">
        <v>46</v>
      </c>
      <c r="AB127" s="81">
        <v>0</v>
      </c>
      <c r="AC127" s="81">
        <v>0</v>
      </c>
      <c r="AD127" s="81">
        <v>0</v>
      </c>
      <c r="AE127" s="81">
        <v>76</v>
      </c>
      <c r="AF127" s="81">
        <v>4</v>
      </c>
      <c r="AG127" s="81">
        <v>9</v>
      </c>
      <c r="AH127" s="81">
        <v>0</v>
      </c>
      <c r="AI127" s="81">
        <v>0</v>
      </c>
      <c r="AJ127" s="81">
        <v>0</v>
      </c>
      <c r="AK127" s="81">
        <v>1</v>
      </c>
      <c r="AL127" s="81">
        <v>0</v>
      </c>
      <c r="AM127" s="81"/>
      <c r="AN127" s="81">
        <v>136</v>
      </c>
      <c r="AO127" s="83">
        <v>136</v>
      </c>
      <c r="AP127" s="81">
        <v>33</v>
      </c>
      <c r="AQ127" s="81">
        <v>1</v>
      </c>
      <c r="AR127" s="81">
        <v>0</v>
      </c>
      <c r="AS127" s="81">
        <v>24</v>
      </c>
      <c r="AT127" s="81">
        <v>4</v>
      </c>
      <c r="AU127" s="81">
        <v>7</v>
      </c>
      <c r="AV127" s="81">
        <v>3</v>
      </c>
      <c r="AW127" s="81">
        <v>6</v>
      </c>
      <c r="AX127" s="81">
        <v>0</v>
      </c>
      <c r="AY127" s="81">
        <v>2</v>
      </c>
      <c r="AZ127" s="81">
        <v>1</v>
      </c>
      <c r="BA127" s="81">
        <v>4</v>
      </c>
      <c r="BB127" s="81">
        <v>85</v>
      </c>
      <c r="BC127" s="83">
        <v>85</v>
      </c>
      <c r="BD127" s="81">
        <v>180</v>
      </c>
      <c r="BE127" s="81">
        <v>1</v>
      </c>
      <c r="BF127" s="81">
        <v>0</v>
      </c>
      <c r="BG127" s="81">
        <v>98</v>
      </c>
      <c r="BH127" s="81">
        <v>3</v>
      </c>
      <c r="BI127" s="81">
        <v>11</v>
      </c>
      <c r="BJ127" s="81">
        <v>74</v>
      </c>
      <c r="BK127" s="81"/>
      <c r="BL127" s="81">
        <v>1</v>
      </c>
      <c r="BM127" s="81">
        <v>29</v>
      </c>
      <c r="BN127" s="81">
        <v>396</v>
      </c>
      <c r="BO127" s="83">
        <v>397</v>
      </c>
      <c r="BP127" s="81">
        <v>127</v>
      </c>
      <c r="BQ127" s="81">
        <v>0</v>
      </c>
      <c r="BR127" s="81">
        <v>0</v>
      </c>
      <c r="BS127" s="81">
        <v>70</v>
      </c>
      <c r="BT127" s="81">
        <v>1</v>
      </c>
      <c r="BU127" s="81">
        <v>2</v>
      </c>
      <c r="BV127" s="81">
        <v>0</v>
      </c>
      <c r="BW127" s="81">
        <v>2</v>
      </c>
      <c r="BX127" s="81">
        <v>2</v>
      </c>
      <c r="BY127" s="81">
        <v>19</v>
      </c>
      <c r="BZ127" s="81"/>
      <c r="CA127" s="81">
        <v>224</v>
      </c>
      <c r="CB127" s="83">
        <v>223</v>
      </c>
      <c r="CC127" s="81">
        <v>67</v>
      </c>
      <c r="CD127" s="81">
        <v>48</v>
      </c>
      <c r="CE127" s="81">
        <v>115</v>
      </c>
      <c r="CF127" s="81">
        <v>115</v>
      </c>
    </row>
    <row r="128" spans="1:84">
      <c r="A128" s="82">
        <v>38869</v>
      </c>
      <c r="B128" s="81">
        <v>244</v>
      </c>
      <c r="C128" s="81">
        <v>3</v>
      </c>
      <c r="D128" s="81">
        <v>0</v>
      </c>
      <c r="E128" s="81"/>
      <c r="F128" s="81">
        <v>193</v>
      </c>
      <c r="G128" s="81">
        <v>8</v>
      </c>
      <c r="H128" s="81">
        <v>21</v>
      </c>
      <c r="I128" s="81"/>
      <c r="J128" s="81"/>
      <c r="K128" s="81">
        <v>1</v>
      </c>
      <c r="L128" s="81">
        <v>28</v>
      </c>
      <c r="M128" s="81">
        <v>497</v>
      </c>
      <c r="N128" s="83">
        <v>498</v>
      </c>
      <c r="O128" s="85">
        <v>262</v>
      </c>
      <c r="P128" s="85">
        <v>1</v>
      </c>
      <c r="Q128" s="85">
        <v>182</v>
      </c>
      <c r="R128" s="85">
        <v>16</v>
      </c>
      <c r="S128" s="85">
        <v>5</v>
      </c>
      <c r="T128" s="85"/>
      <c r="U128" s="85"/>
      <c r="V128" s="85">
        <v>1</v>
      </c>
      <c r="W128" s="85"/>
      <c r="X128" s="85">
        <v>1</v>
      </c>
      <c r="Y128" s="85">
        <v>468</v>
      </c>
      <c r="Z128" s="83">
        <v>468</v>
      </c>
      <c r="AA128" s="81">
        <v>48</v>
      </c>
      <c r="AB128" s="81">
        <v>1</v>
      </c>
      <c r="AC128" s="81">
        <v>0</v>
      </c>
      <c r="AD128" s="81">
        <v>0</v>
      </c>
      <c r="AE128" s="81">
        <v>82</v>
      </c>
      <c r="AF128" s="81">
        <v>4</v>
      </c>
      <c r="AG128" s="81">
        <v>10</v>
      </c>
      <c r="AH128" s="81">
        <v>0</v>
      </c>
      <c r="AI128" s="81">
        <v>0</v>
      </c>
      <c r="AJ128" s="81">
        <v>0</v>
      </c>
      <c r="AK128" s="81">
        <v>0</v>
      </c>
      <c r="AL128" s="81">
        <v>0</v>
      </c>
      <c r="AM128" s="81"/>
      <c r="AN128" s="81">
        <v>145</v>
      </c>
      <c r="AO128" s="83">
        <v>145</v>
      </c>
      <c r="AP128" s="81">
        <v>36</v>
      </c>
      <c r="AQ128" s="81">
        <v>1</v>
      </c>
      <c r="AR128" s="81">
        <v>1</v>
      </c>
      <c r="AS128" s="81">
        <v>25</v>
      </c>
      <c r="AT128" s="81">
        <v>5</v>
      </c>
      <c r="AU128" s="81">
        <v>7</v>
      </c>
      <c r="AV128" s="81">
        <v>3</v>
      </c>
      <c r="AW128" s="81">
        <v>6</v>
      </c>
      <c r="AX128" s="81">
        <v>0</v>
      </c>
      <c r="AY128" s="81">
        <v>2</v>
      </c>
      <c r="AZ128" s="81">
        <v>2</v>
      </c>
      <c r="BA128" s="81">
        <v>3</v>
      </c>
      <c r="BB128" s="81">
        <v>88</v>
      </c>
      <c r="BC128" s="83">
        <v>91</v>
      </c>
      <c r="BD128" s="81">
        <v>186</v>
      </c>
      <c r="BE128" s="81">
        <v>1</v>
      </c>
      <c r="BF128" s="81">
        <v>0</v>
      </c>
      <c r="BG128" s="81">
        <v>106</v>
      </c>
      <c r="BH128" s="81">
        <v>3</v>
      </c>
      <c r="BI128" s="81">
        <v>11</v>
      </c>
      <c r="BJ128" s="81">
        <v>79</v>
      </c>
      <c r="BK128" s="81"/>
      <c r="BL128" s="81">
        <v>0</v>
      </c>
      <c r="BM128" s="81">
        <v>29</v>
      </c>
      <c r="BN128" s="81">
        <v>416</v>
      </c>
      <c r="BO128" s="83">
        <v>415</v>
      </c>
      <c r="BP128" s="81">
        <v>128</v>
      </c>
      <c r="BQ128" s="81">
        <v>0</v>
      </c>
      <c r="BR128" s="81">
        <v>0</v>
      </c>
      <c r="BS128" s="81">
        <v>75</v>
      </c>
      <c r="BT128" s="81">
        <v>1</v>
      </c>
      <c r="BU128" s="81">
        <v>2</v>
      </c>
      <c r="BV128" s="81">
        <v>0</v>
      </c>
      <c r="BW128" s="81">
        <v>5</v>
      </c>
      <c r="BX128" s="81">
        <v>2</v>
      </c>
      <c r="BY128" s="81">
        <v>18</v>
      </c>
      <c r="BZ128" s="81"/>
      <c r="CA128" s="81">
        <v>231</v>
      </c>
      <c r="CB128" s="83">
        <v>231</v>
      </c>
      <c r="CC128" s="81">
        <v>68</v>
      </c>
      <c r="CD128" s="81">
        <v>49</v>
      </c>
      <c r="CE128" s="81">
        <v>117</v>
      </c>
      <c r="CF128" s="81">
        <v>117</v>
      </c>
    </row>
    <row r="129" spans="1:84">
      <c r="A129" s="82">
        <v>38899</v>
      </c>
      <c r="B129" s="81">
        <v>227</v>
      </c>
      <c r="C129" s="81">
        <v>3</v>
      </c>
      <c r="D129" s="81">
        <v>0</v>
      </c>
      <c r="E129" s="81"/>
      <c r="F129" s="81">
        <v>213</v>
      </c>
      <c r="G129" s="81">
        <v>8</v>
      </c>
      <c r="H129" s="81">
        <v>19</v>
      </c>
      <c r="I129" s="81"/>
      <c r="J129" s="81"/>
      <c r="K129" s="81">
        <v>1</v>
      </c>
      <c r="L129" s="81">
        <v>26</v>
      </c>
      <c r="M129" s="81">
        <v>497</v>
      </c>
      <c r="N129" s="83">
        <v>497</v>
      </c>
      <c r="O129" s="85">
        <v>274</v>
      </c>
      <c r="P129" s="85">
        <v>1</v>
      </c>
      <c r="Q129" s="85">
        <v>173</v>
      </c>
      <c r="R129" s="85">
        <v>16</v>
      </c>
      <c r="S129" s="85">
        <v>5</v>
      </c>
      <c r="T129" s="85"/>
      <c r="U129" s="85"/>
      <c r="V129" s="85">
        <v>1</v>
      </c>
      <c r="W129" s="85"/>
      <c r="X129" s="85">
        <v>2</v>
      </c>
      <c r="Y129" s="85">
        <v>471</v>
      </c>
      <c r="Z129" s="83">
        <v>472</v>
      </c>
      <c r="AA129" s="81">
        <v>44</v>
      </c>
      <c r="AB129" s="81">
        <v>0</v>
      </c>
      <c r="AC129" s="81">
        <v>0</v>
      </c>
      <c r="AD129" s="81">
        <v>0</v>
      </c>
      <c r="AE129" s="81">
        <v>91</v>
      </c>
      <c r="AF129" s="81">
        <v>4</v>
      </c>
      <c r="AG129" s="81">
        <v>9</v>
      </c>
      <c r="AH129" s="81">
        <v>0</v>
      </c>
      <c r="AI129" s="81">
        <v>0</v>
      </c>
      <c r="AJ129" s="81">
        <v>0</v>
      </c>
      <c r="AK129" s="81">
        <v>1</v>
      </c>
      <c r="AL129" s="81">
        <v>0</v>
      </c>
      <c r="AM129" s="81"/>
      <c r="AN129" s="81">
        <v>148</v>
      </c>
      <c r="AO129" s="83">
        <v>149</v>
      </c>
      <c r="AP129" s="81">
        <v>29</v>
      </c>
      <c r="AQ129" s="81">
        <v>1</v>
      </c>
      <c r="AR129" s="81">
        <v>1</v>
      </c>
      <c r="AS129" s="81">
        <v>30</v>
      </c>
      <c r="AT129" s="81">
        <v>4</v>
      </c>
      <c r="AU129" s="81">
        <v>7</v>
      </c>
      <c r="AV129" s="81">
        <v>3</v>
      </c>
      <c r="AW129" s="81">
        <v>8</v>
      </c>
      <c r="AX129" s="81">
        <v>0</v>
      </c>
      <c r="AY129" s="81">
        <v>1</v>
      </c>
      <c r="AZ129" s="81">
        <v>1</v>
      </c>
      <c r="BA129" s="81">
        <v>2</v>
      </c>
      <c r="BB129" s="81">
        <v>87</v>
      </c>
      <c r="BC129" s="83">
        <v>87</v>
      </c>
      <c r="BD129" s="81">
        <v>173</v>
      </c>
      <c r="BE129" s="81">
        <v>1</v>
      </c>
      <c r="BF129" s="81">
        <v>0</v>
      </c>
      <c r="BG129" s="81">
        <v>117</v>
      </c>
      <c r="BH129" s="81">
        <v>3</v>
      </c>
      <c r="BI129" s="81">
        <v>11</v>
      </c>
      <c r="BJ129" s="81">
        <v>72</v>
      </c>
      <c r="BK129" s="81"/>
      <c r="BL129" s="81">
        <v>1</v>
      </c>
      <c r="BM129" s="81">
        <v>28</v>
      </c>
      <c r="BN129" s="81">
        <v>407</v>
      </c>
      <c r="BO129" s="83">
        <v>406</v>
      </c>
      <c r="BP129" s="81">
        <v>138</v>
      </c>
      <c r="BQ129" s="81">
        <v>1</v>
      </c>
      <c r="BR129" s="81">
        <v>0</v>
      </c>
      <c r="BS129" s="81">
        <v>83</v>
      </c>
      <c r="BT129" s="81">
        <v>1</v>
      </c>
      <c r="BU129" s="81">
        <v>2</v>
      </c>
      <c r="BV129" s="81">
        <v>0</v>
      </c>
      <c r="BW129" s="81">
        <v>4</v>
      </c>
      <c r="BX129" s="81">
        <v>2</v>
      </c>
      <c r="BY129" s="81">
        <v>33</v>
      </c>
      <c r="BZ129" s="81"/>
      <c r="CA129" s="81">
        <v>263</v>
      </c>
      <c r="CB129" s="83">
        <v>264</v>
      </c>
      <c r="CC129" s="81">
        <v>63</v>
      </c>
      <c r="CD129" s="81">
        <v>69</v>
      </c>
      <c r="CE129" s="81">
        <v>131</v>
      </c>
      <c r="CF129" s="81">
        <v>132</v>
      </c>
    </row>
    <row r="130" spans="1:84">
      <c r="A130" s="82">
        <v>38930</v>
      </c>
      <c r="B130" s="81">
        <v>234</v>
      </c>
      <c r="C130" s="81">
        <v>2</v>
      </c>
      <c r="D130" s="81">
        <v>0</v>
      </c>
      <c r="E130" s="81"/>
      <c r="F130" s="81">
        <v>153</v>
      </c>
      <c r="G130" s="81">
        <v>7</v>
      </c>
      <c r="H130" s="81">
        <v>19</v>
      </c>
      <c r="I130" s="81"/>
      <c r="J130" s="81"/>
      <c r="K130" s="81">
        <v>0</v>
      </c>
      <c r="L130" s="81">
        <v>27</v>
      </c>
      <c r="M130" s="81">
        <v>443</v>
      </c>
      <c r="N130" s="83">
        <v>442</v>
      </c>
      <c r="O130" s="85">
        <v>207</v>
      </c>
      <c r="P130" s="85">
        <v>1</v>
      </c>
      <c r="Q130" s="85">
        <v>202</v>
      </c>
      <c r="R130" s="85">
        <v>21</v>
      </c>
      <c r="S130" s="85">
        <v>5</v>
      </c>
      <c r="T130" s="85"/>
      <c r="U130" s="85"/>
      <c r="V130" s="85">
        <v>2</v>
      </c>
      <c r="W130" s="85"/>
      <c r="X130" s="85">
        <v>1</v>
      </c>
      <c r="Y130" s="85">
        <v>439</v>
      </c>
      <c r="Z130" s="83">
        <v>439</v>
      </c>
      <c r="AA130" s="81">
        <v>46</v>
      </c>
      <c r="AB130" s="81">
        <v>0</v>
      </c>
      <c r="AC130" s="81">
        <v>0</v>
      </c>
      <c r="AD130" s="81">
        <v>0</v>
      </c>
      <c r="AE130" s="81">
        <v>66</v>
      </c>
      <c r="AF130" s="81">
        <v>3</v>
      </c>
      <c r="AG130" s="81">
        <v>9</v>
      </c>
      <c r="AH130" s="81">
        <v>0</v>
      </c>
      <c r="AI130" s="81">
        <v>0</v>
      </c>
      <c r="AJ130" s="81">
        <v>0</v>
      </c>
      <c r="AK130" s="81">
        <v>0</v>
      </c>
      <c r="AL130" s="81">
        <v>0</v>
      </c>
      <c r="AM130" s="81"/>
      <c r="AN130" s="81">
        <v>124</v>
      </c>
      <c r="AO130" s="83">
        <v>124</v>
      </c>
      <c r="AP130" s="81">
        <v>34</v>
      </c>
      <c r="AQ130" s="81">
        <v>1</v>
      </c>
      <c r="AR130" s="81">
        <v>1</v>
      </c>
      <c r="AS130" s="81">
        <v>26</v>
      </c>
      <c r="AT130" s="81">
        <v>4</v>
      </c>
      <c r="AU130" s="81">
        <v>8</v>
      </c>
      <c r="AV130" s="81">
        <v>2</v>
      </c>
      <c r="AW130" s="81">
        <v>7</v>
      </c>
      <c r="AX130" s="81">
        <v>0</v>
      </c>
      <c r="AY130" s="81">
        <v>1</v>
      </c>
      <c r="AZ130" s="81">
        <v>1</v>
      </c>
      <c r="BA130" s="81">
        <v>4</v>
      </c>
      <c r="BB130" s="81">
        <v>87</v>
      </c>
      <c r="BC130" s="83">
        <v>89</v>
      </c>
      <c r="BD130" s="81">
        <v>178</v>
      </c>
      <c r="BE130" s="81">
        <v>1</v>
      </c>
      <c r="BF130" s="81">
        <v>0</v>
      </c>
      <c r="BG130" s="81">
        <v>84</v>
      </c>
      <c r="BH130" s="81">
        <v>3</v>
      </c>
      <c r="BI130" s="81">
        <v>10</v>
      </c>
      <c r="BJ130" s="81">
        <v>73</v>
      </c>
      <c r="BK130" s="81"/>
      <c r="BL130" s="81">
        <v>0</v>
      </c>
      <c r="BM130" s="81">
        <v>30</v>
      </c>
      <c r="BN130" s="81">
        <v>380</v>
      </c>
      <c r="BO130" s="83">
        <v>379</v>
      </c>
      <c r="BP130" s="81">
        <v>138</v>
      </c>
      <c r="BQ130" s="81">
        <v>1</v>
      </c>
      <c r="BR130" s="81">
        <v>0</v>
      </c>
      <c r="BS130" s="81">
        <v>68</v>
      </c>
      <c r="BT130" s="81">
        <v>1</v>
      </c>
      <c r="BU130" s="81">
        <v>3</v>
      </c>
      <c r="BV130" s="81">
        <v>0</v>
      </c>
      <c r="BW130" s="81">
        <v>3</v>
      </c>
      <c r="BX130" s="81">
        <v>1</v>
      </c>
      <c r="BY130" s="81">
        <v>54</v>
      </c>
      <c r="BZ130" s="81"/>
      <c r="CA130" s="81">
        <v>269</v>
      </c>
      <c r="CB130" s="83">
        <v>269</v>
      </c>
      <c r="CC130" s="81">
        <v>65</v>
      </c>
      <c r="CD130" s="81">
        <v>54</v>
      </c>
      <c r="CE130" s="81">
        <v>118</v>
      </c>
      <c r="CF130" s="81">
        <v>119</v>
      </c>
    </row>
    <row r="131" spans="1:84">
      <c r="A131" s="82">
        <v>38961</v>
      </c>
      <c r="B131" s="81">
        <v>254</v>
      </c>
      <c r="C131" s="81">
        <v>3</v>
      </c>
      <c r="D131" s="81">
        <v>0</v>
      </c>
      <c r="E131" s="81"/>
      <c r="F131" s="81">
        <v>200</v>
      </c>
      <c r="G131" s="81">
        <v>8</v>
      </c>
      <c r="H131" s="81">
        <v>19</v>
      </c>
      <c r="I131" s="81"/>
      <c r="J131" s="81"/>
      <c r="K131" s="81">
        <v>2</v>
      </c>
      <c r="L131" s="81">
        <v>28</v>
      </c>
      <c r="M131" s="81">
        <v>514</v>
      </c>
      <c r="N131" s="83">
        <v>514</v>
      </c>
      <c r="O131" s="85">
        <v>184</v>
      </c>
      <c r="P131" s="85">
        <v>1</v>
      </c>
      <c r="Q131" s="85">
        <v>213</v>
      </c>
      <c r="R131" s="85">
        <v>23</v>
      </c>
      <c r="S131" s="85">
        <v>3</v>
      </c>
      <c r="T131" s="85"/>
      <c r="U131" s="85"/>
      <c r="V131" s="85">
        <v>2</v>
      </c>
      <c r="W131" s="85"/>
      <c r="X131" s="85">
        <v>1</v>
      </c>
      <c r="Y131" s="85">
        <v>427</v>
      </c>
      <c r="Z131" s="83">
        <v>427</v>
      </c>
      <c r="AA131" s="81">
        <v>49</v>
      </c>
      <c r="AB131" s="81">
        <v>1</v>
      </c>
      <c r="AC131" s="81">
        <v>0</v>
      </c>
      <c r="AD131" s="81">
        <v>0</v>
      </c>
      <c r="AE131" s="81">
        <v>86</v>
      </c>
      <c r="AF131" s="81">
        <v>4</v>
      </c>
      <c r="AG131" s="81">
        <v>9</v>
      </c>
      <c r="AH131" s="81">
        <v>0</v>
      </c>
      <c r="AI131" s="81">
        <v>0</v>
      </c>
      <c r="AJ131" s="81">
        <v>0</v>
      </c>
      <c r="AK131" s="81">
        <v>1</v>
      </c>
      <c r="AL131" s="81">
        <v>0</v>
      </c>
      <c r="AM131" s="81"/>
      <c r="AN131" s="81">
        <v>149</v>
      </c>
      <c r="AO131" s="83">
        <v>150</v>
      </c>
      <c r="AP131" s="81">
        <v>33</v>
      </c>
      <c r="AQ131" s="81">
        <v>0</v>
      </c>
      <c r="AR131" s="81">
        <v>1</v>
      </c>
      <c r="AS131" s="81">
        <v>27</v>
      </c>
      <c r="AT131" s="81">
        <v>4</v>
      </c>
      <c r="AU131" s="81">
        <v>9</v>
      </c>
      <c r="AV131" s="81">
        <v>2</v>
      </c>
      <c r="AW131" s="81">
        <v>7</v>
      </c>
      <c r="AX131" s="81">
        <v>0</v>
      </c>
      <c r="AY131" s="81">
        <v>1</v>
      </c>
      <c r="AZ131" s="81">
        <v>1</v>
      </c>
      <c r="BA131" s="81">
        <v>3</v>
      </c>
      <c r="BB131" s="81">
        <v>87</v>
      </c>
      <c r="BC131" s="83">
        <v>88</v>
      </c>
      <c r="BD131" s="81">
        <v>191</v>
      </c>
      <c r="BE131" s="81">
        <v>1</v>
      </c>
      <c r="BF131" s="81">
        <v>0</v>
      </c>
      <c r="BG131" s="81">
        <v>110</v>
      </c>
      <c r="BH131" s="81">
        <v>3</v>
      </c>
      <c r="BI131" s="81">
        <v>10</v>
      </c>
      <c r="BJ131" s="81">
        <v>66</v>
      </c>
      <c r="BK131" s="81"/>
      <c r="BL131" s="81">
        <v>1</v>
      </c>
      <c r="BM131" s="81">
        <v>31</v>
      </c>
      <c r="BN131" s="81">
        <v>415</v>
      </c>
      <c r="BO131" s="83">
        <v>413</v>
      </c>
      <c r="BP131" s="81">
        <v>116</v>
      </c>
      <c r="BQ131" s="81">
        <v>1</v>
      </c>
      <c r="BR131" s="81">
        <v>0</v>
      </c>
      <c r="BS131" s="81">
        <v>79</v>
      </c>
      <c r="BT131" s="81">
        <v>1</v>
      </c>
      <c r="BU131" s="81">
        <v>2</v>
      </c>
      <c r="BV131" s="81">
        <v>0</v>
      </c>
      <c r="BW131" s="81">
        <v>5</v>
      </c>
      <c r="BX131" s="81">
        <v>2</v>
      </c>
      <c r="BY131" s="81">
        <v>63</v>
      </c>
      <c r="BZ131" s="81"/>
      <c r="CA131" s="81">
        <v>268</v>
      </c>
      <c r="CB131" s="83">
        <v>269</v>
      </c>
      <c r="CC131" s="81">
        <v>58</v>
      </c>
      <c r="CD131" s="81">
        <v>66</v>
      </c>
      <c r="CE131" s="81">
        <v>124</v>
      </c>
      <c r="CF131" s="81">
        <v>124</v>
      </c>
    </row>
    <row r="132" spans="1:84">
      <c r="A132" s="82">
        <v>38991</v>
      </c>
      <c r="B132" s="81">
        <v>255</v>
      </c>
      <c r="C132" s="81">
        <v>3</v>
      </c>
      <c r="D132" s="81">
        <v>0</v>
      </c>
      <c r="E132" s="81"/>
      <c r="F132" s="81">
        <v>196</v>
      </c>
      <c r="G132" s="81">
        <v>7</v>
      </c>
      <c r="H132" s="81">
        <v>15</v>
      </c>
      <c r="I132" s="81"/>
      <c r="J132" s="81"/>
      <c r="K132" s="81">
        <v>2</v>
      </c>
      <c r="L132" s="81">
        <v>28</v>
      </c>
      <c r="M132" s="81">
        <v>506</v>
      </c>
      <c r="N132" s="83">
        <v>506</v>
      </c>
      <c r="O132" s="85">
        <v>214</v>
      </c>
      <c r="P132" s="85">
        <v>1</v>
      </c>
      <c r="Q132" s="85">
        <v>193</v>
      </c>
      <c r="R132" s="85">
        <v>26</v>
      </c>
      <c r="S132" s="85">
        <v>5</v>
      </c>
      <c r="T132" s="85"/>
      <c r="U132" s="85"/>
      <c r="V132" s="85">
        <v>2</v>
      </c>
      <c r="W132" s="85"/>
      <c r="X132" s="85">
        <v>1</v>
      </c>
      <c r="Y132" s="85">
        <v>443</v>
      </c>
      <c r="Z132" s="83">
        <v>442</v>
      </c>
      <c r="AA132" s="81">
        <v>50</v>
      </c>
      <c r="AB132" s="81">
        <v>1</v>
      </c>
      <c r="AC132" s="81">
        <v>0</v>
      </c>
      <c r="AD132" s="81">
        <v>0</v>
      </c>
      <c r="AE132" s="81">
        <v>85</v>
      </c>
      <c r="AF132" s="81">
        <v>4</v>
      </c>
      <c r="AG132" s="81">
        <v>7</v>
      </c>
      <c r="AH132" s="81">
        <v>0</v>
      </c>
      <c r="AI132" s="81">
        <v>0</v>
      </c>
      <c r="AJ132" s="81">
        <v>0</v>
      </c>
      <c r="AK132" s="81">
        <v>1</v>
      </c>
      <c r="AL132" s="81">
        <v>0</v>
      </c>
      <c r="AM132" s="81"/>
      <c r="AN132" s="81">
        <v>147</v>
      </c>
      <c r="AO132" s="83">
        <v>148</v>
      </c>
      <c r="AP132" s="81">
        <v>33</v>
      </c>
      <c r="AQ132" s="81">
        <v>1</v>
      </c>
      <c r="AR132" s="81">
        <v>0</v>
      </c>
      <c r="AS132" s="81">
        <v>29</v>
      </c>
      <c r="AT132" s="81">
        <v>4</v>
      </c>
      <c r="AU132" s="81">
        <v>8</v>
      </c>
      <c r="AV132" s="81">
        <v>2</v>
      </c>
      <c r="AW132" s="81">
        <v>8</v>
      </c>
      <c r="AX132" s="81">
        <v>0</v>
      </c>
      <c r="AY132" s="81">
        <v>1</v>
      </c>
      <c r="AZ132" s="81">
        <v>2</v>
      </c>
      <c r="BA132" s="81">
        <v>2</v>
      </c>
      <c r="BB132" s="81">
        <v>91</v>
      </c>
      <c r="BC132" s="83">
        <v>90</v>
      </c>
      <c r="BD132" s="81">
        <v>194</v>
      </c>
      <c r="BE132" s="81">
        <v>2</v>
      </c>
      <c r="BF132" s="81">
        <v>0</v>
      </c>
      <c r="BG132" s="81">
        <v>106</v>
      </c>
      <c r="BH132" s="81">
        <v>3</v>
      </c>
      <c r="BI132" s="81">
        <v>8</v>
      </c>
      <c r="BJ132" s="81">
        <v>57</v>
      </c>
      <c r="BK132" s="81"/>
      <c r="BL132" s="81">
        <v>1</v>
      </c>
      <c r="BM132" s="81">
        <v>32</v>
      </c>
      <c r="BN132" s="81">
        <v>403</v>
      </c>
      <c r="BO132" s="83">
        <v>403</v>
      </c>
      <c r="BP132" s="81">
        <v>127</v>
      </c>
      <c r="BQ132" s="81">
        <v>2</v>
      </c>
      <c r="BR132" s="81">
        <v>0</v>
      </c>
      <c r="BS132" s="81">
        <v>84</v>
      </c>
      <c r="BT132" s="81">
        <v>0</v>
      </c>
      <c r="BU132" s="81">
        <v>1</v>
      </c>
      <c r="BV132" s="81">
        <v>0</v>
      </c>
      <c r="BW132" s="81">
        <v>4</v>
      </c>
      <c r="BX132" s="81">
        <v>2</v>
      </c>
      <c r="BY132" s="81">
        <v>66</v>
      </c>
      <c r="BZ132" s="81"/>
      <c r="CA132" s="81">
        <v>287</v>
      </c>
      <c r="CB132" s="83">
        <v>286</v>
      </c>
      <c r="CC132" s="81">
        <v>60</v>
      </c>
      <c r="CD132" s="81">
        <v>70</v>
      </c>
      <c r="CE132" s="81">
        <v>130</v>
      </c>
      <c r="CF132" s="81">
        <v>130</v>
      </c>
    </row>
    <row r="133" spans="1:84">
      <c r="A133" s="82">
        <v>39022</v>
      </c>
      <c r="B133" s="81">
        <v>263</v>
      </c>
      <c r="C133" s="81">
        <v>3</v>
      </c>
      <c r="D133" s="81">
        <v>0</v>
      </c>
      <c r="E133" s="81"/>
      <c r="F133" s="81">
        <v>199</v>
      </c>
      <c r="G133" s="81">
        <v>8</v>
      </c>
      <c r="H133" s="81">
        <v>18</v>
      </c>
      <c r="I133" s="81"/>
      <c r="J133" s="81"/>
      <c r="K133" s="81">
        <v>2</v>
      </c>
      <c r="L133" s="81">
        <v>26</v>
      </c>
      <c r="M133" s="81">
        <v>519</v>
      </c>
      <c r="N133" s="83">
        <v>519</v>
      </c>
      <c r="O133" s="85">
        <v>227</v>
      </c>
      <c r="P133" s="85">
        <v>0</v>
      </c>
      <c r="Q133" s="85">
        <v>199</v>
      </c>
      <c r="R133" s="85">
        <v>24</v>
      </c>
      <c r="S133" s="85">
        <v>4</v>
      </c>
      <c r="T133" s="85"/>
      <c r="U133" s="85"/>
      <c r="V133" s="85">
        <v>1</v>
      </c>
      <c r="W133" s="85"/>
      <c r="X133" s="85">
        <v>1</v>
      </c>
      <c r="Y133" s="85">
        <v>456</v>
      </c>
      <c r="Z133" s="83">
        <v>456</v>
      </c>
      <c r="AA133" s="81">
        <v>51</v>
      </c>
      <c r="AB133" s="81">
        <v>1</v>
      </c>
      <c r="AC133" s="81">
        <v>0</v>
      </c>
      <c r="AD133" s="81">
        <v>0</v>
      </c>
      <c r="AE133" s="81">
        <v>86</v>
      </c>
      <c r="AF133" s="81">
        <v>4</v>
      </c>
      <c r="AG133" s="81">
        <v>9</v>
      </c>
      <c r="AH133" s="81">
        <v>0</v>
      </c>
      <c r="AI133" s="81">
        <v>0</v>
      </c>
      <c r="AJ133" s="81">
        <v>0</v>
      </c>
      <c r="AK133" s="81">
        <v>1</v>
      </c>
      <c r="AL133" s="81">
        <v>0</v>
      </c>
      <c r="AM133" s="81"/>
      <c r="AN133" s="81">
        <v>151</v>
      </c>
      <c r="AO133" s="83">
        <v>152</v>
      </c>
      <c r="AP133" s="81">
        <v>34</v>
      </c>
      <c r="AQ133" s="81">
        <v>1</v>
      </c>
      <c r="AR133" s="81">
        <v>1</v>
      </c>
      <c r="AS133" s="81">
        <v>33</v>
      </c>
      <c r="AT133" s="81">
        <v>4</v>
      </c>
      <c r="AU133" s="81">
        <v>6</v>
      </c>
      <c r="AV133" s="81">
        <v>3</v>
      </c>
      <c r="AW133" s="81">
        <v>8</v>
      </c>
      <c r="AX133" s="81">
        <v>0</v>
      </c>
      <c r="AY133" s="81">
        <v>1</v>
      </c>
      <c r="AZ133" s="81">
        <v>2</v>
      </c>
      <c r="BA133" s="81">
        <v>2</v>
      </c>
      <c r="BB133" s="81">
        <v>95</v>
      </c>
      <c r="BC133" s="83">
        <v>95</v>
      </c>
      <c r="BD133" s="81">
        <v>198</v>
      </c>
      <c r="BE133" s="81">
        <v>1</v>
      </c>
      <c r="BF133" s="81">
        <v>0</v>
      </c>
      <c r="BG133" s="81">
        <v>109</v>
      </c>
      <c r="BH133" s="81">
        <v>3</v>
      </c>
      <c r="BI133" s="81">
        <v>10</v>
      </c>
      <c r="BJ133" s="81">
        <v>69</v>
      </c>
      <c r="BK133" s="81"/>
      <c r="BL133" s="81">
        <v>1</v>
      </c>
      <c r="BM133" s="81">
        <v>27</v>
      </c>
      <c r="BN133" s="81">
        <v>419</v>
      </c>
      <c r="BO133" s="83">
        <v>418</v>
      </c>
      <c r="BP133" s="81">
        <v>122</v>
      </c>
      <c r="BQ133" s="81">
        <v>2</v>
      </c>
      <c r="BR133" s="81">
        <v>0</v>
      </c>
      <c r="BS133" s="81">
        <v>86</v>
      </c>
      <c r="BT133" s="81">
        <v>0</v>
      </c>
      <c r="BU133" s="81">
        <v>2</v>
      </c>
      <c r="BV133" s="81">
        <v>0</v>
      </c>
      <c r="BW133" s="81">
        <v>3</v>
      </c>
      <c r="BX133" s="81">
        <v>3</v>
      </c>
      <c r="BY133" s="81">
        <v>59</v>
      </c>
      <c r="BZ133" s="81"/>
      <c r="CA133" s="81">
        <v>276</v>
      </c>
      <c r="CB133" s="83">
        <v>277</v>
      </c>
      <c r="CC133" s="81">
        <v>51</v>
      </c>
      <c r="CD133" s="81">
        <v>69</v>
      </c>
      <c r="CE133" s="81">
        <v>120</v>
      </c>
      <c r="CF133" s="81">
        <v>120</v>
      </c>
    </row>
    <row r="134" spans="1:84">
      <c r="A134" s="82">
        <v>39052</v>
      </c>
      <c r="B134" s="81">
        <v>270</v>
      </c>
      <c r="C134" s="81">
        <v>2</v>
      </c>
      <c r="D134" s="81">
        <v>0</v>
      </c>
      <c r="E134" s="81"/>
      <c r="F134" s="81">
        <v>184</v>
      </c>
      <c r="G134" s="81">
        <v>7</v>
      </c>
      <c r="H134" s="81">
        <v>19</v>
      </c>
      <c r="I134" s="81"/>
      <c r="J134" s="81"/>
      <c r="K134" s="81">
        <v>1</v>
      </c>
      <c r="L134" s="81">
        <v>28</v>
      </c>
      <c r="M134" s="81">
        <v>511</v>
      </c>
      <c r="N134" s="83">
        <v>511</v>
      </c>
      <c r="O134" s="85">
        <v>222</v>
      </c>
      <c r="P134" s="85">
        <v>1</v>
      </c>
      <c r="Q134" s="85">
        <v>193</v>
      </c>
      <c r="R134" s="85">
        <v>21</v>
      </c>
      <c r="S134" s="85">
        <v>3</v>
      </c>
      <c r="T134" s="85"/>
      <c r="U134" s="85"/>
      <c r="V134" s="85">
        <v>1</v>
      </c>
      <c r="W134" s="85"/>
      <c r="X134" s="85">
        <v>1</v>
      </c>
      <c r="Y134" s="85">
        <v>442</v>
      </c>
      <c r="Z134" s="83">
        <v>442</v>
      </c>
      <c r="AA134" s="81">
        <v>52</v>
      </c>
      <c r="AB134" s="81">
        <v>0</v>
      </c>
      <c r="AC134" s="81">
        <v>0</v>
      </c>
      <c r="AD134" s="81">
        <v>0</v>
      </c>
      <c r="AE134" s="81">
        <v>80</v>
      </c>
      <c r="AF134" s="81">
        <v>3</v>
      </c>
      <c r="AG134" s="81">
        <v>9</v>
      </c>
      <c r="AH134" s="81">
        <v>0</v>
      </c>
      <c r="AI134" s="81">
        <v>0</v>
      </c>
      <c r="AJ134" s="81">
        <v>0</v>
      </c>
      <c r="AK134" s="81">
        <v>0</v>
      </c>
      <c r="AL134" s="81">
        <v>0</v>
      </c>
      <c r="AM134" s="81"/>
      <c r="AN134" s="81">
        <v>144</v>
      </c>
      <c r="AO134" s="83">
        <v>144</v>
      </c>
      <c r="AP134" s="81">
        <v>33</v>
      </c>
      <c r="AQ134" s="81">
        <v>1</v>
      </c>
      <c r="AR134" s="81">
        <v>1</v>
      </c>
      <c r="AS134" s="81">
        <v>28</v>
      </c>
      <c r="AT134" s="81">
        <v>4</v>
      </c>
      <c r="AU134" s="81">
        <v>6</v>
      </c>
      <c r="AV134" s="81">
        <v>3</v>
      </c>
      <c r="AW134" s="81">
        <v>8</v>
      </c>
      <c r="AX134" s="81">
        <v>0</v>
      </c>
      <c r="AY134" s="81">
        <v>2</v>
      </c>
      <c r="AZ134" s="81">
        <v>2</v>
      </c>
      <c r="BA134" s="81">
        <v>2</v>
      </c>
      <c r="BB134" s="81">
        <v>89</v>
      </c>
      <c r="BC134" s="83">
        <v>90</v>
      </c>
      <c r="BD134" s="81">
        <v>204</v>
      </c>
      <c r="BE134" s="81">
        <v>1</v>
      </c>
      <c r="BF134" s="81">
        <v>0</v>
      </c>
      <c r="BG134" s="81">
        <v>102</v>
      </c>
      <c r="BH134" s="81">
        <v>3</v>
      </c>
      <c r="BI134" s="81">
        <v>10</v>
      </c>
      <c r="BJ134" s="81">
        <v>61</v>
      </c>
      <c r="BK134" s="81"/>
      <c r="BL134" s="81">
        <v>0</v>
      </c>
      <c r="BM134" s="81">
        <v>25</v>
      </c>
      <c r="BN134" s="81">
        <v>407</v>
      </c>
      <c r="BO134" s="83">
        <v>406</v>
      </c>
      <c r="BP134" s="81">
        <v>119</v>
      </c>
      <c r="BQ134" s="81">
        <v>1</v>
      </c>
      <c r="BR134" s="81">
        <v>0</v>
      </c>
      <c r="BS134" s="81">
        <v>70</v>
      </c>
      <c r="BT134" s="81">
        <v>0</v>
      </c>
      <c r="BU134" s="81">
        <v>2</v>
      </c>
      <c r="BV134" s="81">
        <v>0</v>
      </c>
      <c r="BW134" s="81">
        <v>4</v>
      </c>
      <c r="BX134" s="81">
        <v>2</v>
      </c>
      <c r="BY134" s="81">
        <v>45</v>
      </c>
      <c r="BZ134" s="81"/>
      <c r="CA134" s="81">
        <v>243</v>
      </c>
      <c r="CB134" s="83">
        <v>243</v>
      </c>
      <c r="CC134" s="81">
        <v>42</v>
      </c>
      <c r="CD134" s="81">
        <v>48</v>
      </c>
      <c r="CE134" s="81">
        <v>100</v>
      </c>
      <c r="CF134" s="81">
        <v>90</v>
      </c>
    </row>
    <row r="135" spans="1:84">
      <c r="A135" s="82">
        <v>39083</v>
      </c>
      <c r="B135" s="81">
        <v>239</v>
      </c>
      <c r="C135" s="81">
        <v>2</v>
      </c>
      <c r="D135" s="81">
        <v>0</v>
      </c>
      <c r="E135" s="81"/>
      <c r="F135" s="81">
        <v>181</v>
      </c>
      <c r="G135" s="81">
        <v>8</v>
      </c>
      <c r="H135" s="81">
        <v>15</v>
      </c>
      <c r="I135" s="81"/>
      <c r="J135" s="81"/>
      <c r="K135" s="81">
        <v>2</v>
      </c>
      <c r="L135" s="81">
        <v>24</v>
      </c>
      <c r="M135" s="81">
        <v>472</v>
      </c>
      <c r="N135" s="83">
        <v>471</v>
      </c>
      <c r="O135" s="85">
        <v>219</v>
      </c>
      <c r="P135" s="85">
        <v>2</v>
      </c>
      <c r="Q135" s="85">
        <v>185</v>
      </c>
      <c r="R135" s="85">
        <v>20</v>
      </c>
      <c r="S135" s="85">
        <v>4</v>
      </c>
      <c r="T135" s="85"/>
      <c r="U135" s="85"/>
      <c r="V135" s="85">
        <v>0</v>
      </c>
      <c r="W135" s="85"/>
      <c r="X135" s="85">
        <v>1</v>
      </c>
      <c r="Y135" s="85">
        <v>430</v>
      </c>
      <c r="Z135" s="83">
        <v>431</v>
      </c>
      <c r="AA135" s="81">
        <v>44</v>
      </c>
      <c r="AB135" s="81">
        <v>0</v>
      </c>
      <c r="AC135" s="81">
        <v>0</v>
      </c>
      <c r="AD135" s="81">
        <v>0</v>
      </c>
      <c r="AE135" s="81">
        <v>79</v>
      </c>
      <c r="AF135" s="81">
        <v>4</v>
      </c>
      <c r="AG135" s="81">
        <v>7</v>
      </c>
      <c r="AH135" s="81">
        <v>0</v>
      </c>
      <c r="AI135" s="81">
        <v>0</v>
      </c>
      <c r="AJ135" s="81">
        <v>0</v>
      </c>
      <c r="AK135" s="81">
        <v>1</v>
      </c>
      <c r="AL135" s="81">
        <v>0</v>
      </c>
      <c r="AM135" s="81"/>
      <c r="AN135" s="81">
        <v>135</v>
      </c>
      <c r="AO135" s="83">
        <v>135</v>
      </c>
      <c r="AP135" s="81">
        <v>27</v>
      </c>
      <c r="AQ135" s="81">
        <v>1</v>
      </c>
      <c r="AR135" s="81">
        <v>0</v>
      </c>
      <c r="AS135" s="81">
        <v>35</v>
      </c>
      <c r="AT135" s="81">
        <v>4</v>
      </c>
      <c r="AU135" s="81">
        <v>5</v>
      </c>
      <c r="AV135" s="81">
        <v>3</v>
      </c>
      <c r="AW135" s="81">
        <v>9</v>
      </c>
      <c r="AX135" s="81">
        <v>0</v>
      </c>
      <c r="AY135" s="81">
        <v>2</v>
      </c>
      <c r="AZ135" s="81">
        <v>2</v>
      </c>
      <c r="BA135" s="81">
        <v>1</v>
      </c>
      <c r="BB135" s="81">
        <v>89</v>
      </c>
      <c r="BC135" s="83">
        <v>89</v>
      </c>
      <c r="BD135" s="81">
        <v>178</v>
      </c>
      <c r="BE135" s="81">
        <v>1</v>
      </c>
      <c r="BF135" s="81">
        <v>0</v>
      </c>
      <c r="BG135" s="81">
        <v>101</v>
      </c>
      <c r="BH135" s="81">
        <v>3</v>
      </c>
      <c r="BI135" s="81">
        <v>8</v>
      </c>
      <c r="BJ135" s="81">
        <v>58</v>
      </c>
      <c r="BK135" s="81"/>
      <c r="BL135" s="81">
        <v>1</v>
      </c>
      <c r="BM135" s="81">
        <v>19</v>
      </c>
      <c r="BN135" s="81">
        <v>370</v>
      </c>
      <c r="BO135" s="83">
        <v>369</v>
      </c>
      <c r="BP135" s="81">
        <v>128</v>
      </c>
      <c r="BQ135" s="81">
        <v>1</v>
      </c>
      <c r="BR135" s="81">
        <v>0</v>
      </c>
      <c r="BS135" s="81">
        <v>65</v>
      </c>
      <c r="BT135" s="81">
        <v>0</v>
      </c>
      <c r="BU135" s="81">
        <v>1</v>
      </c>
      <c r="BV135" s="81">
        <v>0</v>
      </c>
      <c r="BW135" s="81">
        <v>4</v>
      </c>
      <c r="BX135" s="81">
        <v>3</v>
      </c>
      <c r="BY135" s="81">
        <v>33</v>
      </c>
      <c r="BZ135" s="81"/>
      <c r="CA135" s="81">
        <v>236</v>
      </c>
      <c r="CB135" s="83">
        <v>235</v>
      </c>
      <c r="CC135" s="81">
        <v>53</v>
      </c>
      <c r="CD135" s="81">
        <v>49</v>
      </c>
      <c r="CE135" s="81">
        <v>103</v>
      </c>
      <c r="CF135" s="81">
        <v>102</v>
      </c>
    </row>
    <row r="136" spans="1:84">
      <c r="A136" s="82">
        <v>39114</v>
      </c>
      <c r="B136" s="81">
        <v>205</v>
      </c>
      <c r="C136" s="81">
        <v>2</v>
      </c>
      <c r="D136" s="81">
        <v>0</v>
      </c>
      <c r="E136" s="81"/>
      <c r="F136" s="81">
        <v>140</v>
      </c>
      <c r="G136" s="81">
        <v>8</v>
      </c>
      <c r="H136" s="81">
        <v>17</v>
      </c>
      <c r="I136" s="81"/>
      <c r="J136" s="81"/>
      <c r="K136" s="81">
        <v>0</v>
      </c>
      <c r="L136" s="81">
        <v>25</v>
      </c>
      <c r="M136" s="81">
        <v>397</v>
      </c>
      <c r="N136" s="83">
        <v>397</v>
      </c>
      <c r="O136" s="85">
        <v>169</v>
      </c>
      <c r="P136" s="85">
        <v>2</v>
      </c>
      <c r="Q136" s="85">
        <v>216</v>
      </c>
      <c r="R136" s="85">
        <v>20</v>
      </c>
      <c r="S136" s="85">
        <v>2</v>
      </c>
      <c r="T136" s="85"/>
      <c r="U136" s="85"/>
      <c r="V136" s="85">
        <v>2</v>
      </c>
      <c r="W136" s="85"/>
      <c r="X136" s="85">
        <v>1</v>
      </c>
      <c r="Y136" s="85">
        <v>412</v>
      </c>
      <c r="Z136" s="83">
        <v>412</v>
      </c>
      <c r="AA136" s="81">
        <v>38</v>
      </c>
      <c r="AB136" s="81">
        <v>0</v>
      </c>
      <c r="AC136" s="81">
        <v>0</v>
      </c>
      <c r="AD136" s="81">
        <v>0</v>
      </c>
      <c r="AE136" s="81">
        <v>61</v>
      </c>
      <c r="AF136" s="81">
        <v>4</v>
      </c>
      <c r="AG136" s="81">
        <v>8</v>
      </c>
      <c r="AH136" s="81">
        <v>0</v>
      </c>
      <c r="AI136" s="81">
        <v>0</v>
      </c>
      <c r="AJ136" s="81">
        <v>0</v>
      </c>
      <c r="AK136" s="81">
        <v>0</v>
      </c>
      <c r="AL136" s="81">
        <v>0</v>
      </c>
      <c r="AM136" s="81"/>
      <c r="AN136" s="81">
        <v>110</v>
      </c>
      <c r="AO136" s="83">
        <v>111</v>
      </c>
      <c r="AP136" s="81">
        <v>25</v>
      </c>
      <c r="AQ136" s="81">
        <v>1</v>
      </c>
      <c r="AR136" s="81">
        <v>0</v>
      </c>
      <c r="AS136" s="81">
        <v>33</v>
      </c>
      <c r="AT136" s="81">
        <v>4</v>
      </c>
      <c r="AU136" s="81">
        <v>5</v>
      </c>
      <c r="AV136" s="81">
        <v>4</v>
      </c>
      <c r="AW136" s="81">
        <v>14</v>
      </c>
      <c r="AX136" s="81">
        <v>0</v>
      </c>
      <c r="AY136" s="81">
        <v>3</v>
      </c>
      <c r="AZ136" s="81">
        <v>1</v>
      </c>
      <c r="BA136" s="81">
        <v>2</v>
      </c>
      <c r="BB136" s="81">
        <v>92</v>
      </c>
      <c r="BC136" s="83">
        <v>92</v>
      </c>
      <c r="BD136" s="81">
        <v>154</v>
      </c>
      <c r="BE136" s="81">
        <v>1</v>
      </c>
      <c r="BF136" s="81">
        <v>0</v>
      </c>
      <c r="BG136" s="81">
        <v>78</v>
      </c>
      <c r="BH136" s="81">
        <v>3</v>
      </c>
      <c r="BI136" s="81">
        <v>9</v>
      </c>
      <c r="BJ136" s="81">
        <v>64</v>
      </c>
      <c r="BK136" s="81"/>
      <c r="BL136" s="81">
        <v>0</v>
      </c>
      <c r="BM136" s="81">
        <v>17</v>
      </c>
      <c r="BN136" s="81">
        <v>326</v>
      </c>
      <c r="BO136" s="83">
        <v>326</v>
      </c>
      <c r="BP136" s="81">
        <v>121</v>
      </c>
      <c r="BQ136" s="81">
        <v>1</v>
      </c>
      <c r="BR136" s="81">
        <v>0</v>
      </c>
      <c r="BS136" s="81">
        <v>46</v>
      </c>
      <c r="BT136" s="81">
        <v>0</v>
      </c>
      <c r="BU136" s="81">
        <v>1</v>
      </c>
      <c r="BV136" s="81">
        <v>0</v>
      </c>
      <c r="BW136" s="81">
        <v>3</v>
      </c>
      <c r="BX136" s="81">
        <v>2</v>
      </c>
      <c r="BY136" s="81">
        <v>19</v>
      </c>
      <c r="BZ136" s="81"/>
      <c r="CA136" s="81">
        <v>194</v>
      </c>
      <c r="CB136" s="83">
        <v>193</v>
      </c>
      <c r="CC136" s="81">
        <v>52</v>
      </c>
      <c r="CD136" s="81">
        <v>32</v>
      </c>
      <c r="CE136" s="81">
        <v>84</v>
      </c>
      <c r="CF136" s="81">
        <v>84</v>
      </c>
    </row>
    <row r="137" spans="1:84">
      <c r="A137" s="82">
        <v>39142</v>
      </c>
      <c r="B137" s="81">
        <v>277</v>
      </c>
      <c r="C137" s="81">
        <v>3</v>
      </c>
      <c r="D137" s="81">
        <v>0</v>
      </c>
      <c r="E137" s="81"/>
      <c r="F137" s="81">
        <v>196</v>
      </c>
      <c r="G137" s="81">
        <v>9</v>
      </c>
      <c r="H137" s="81">
        <v>18</v>
      </c>
      <c r="I137" s="81"/>
      <c r="J137" s="81"/>
      <c r="K137" s="81">
        <v>2</v>
      </c>
      <c r="L137" s="81">
        <v>27</v>
      </c>
      <c r="M137" s="81">
        <v>532</v>
      </c>
      <c r="N137" s="83">
        <v>532</v>
      </c>
      <c r="O137" s="85">
        <v>214</v>
      </c>
      <c r="P137" s="85">
        <v>3</v>
      </c>
      <c r="Q137" s="85">
        <v>221</v>
      </c>
      <c r="R137" s="85">
        <v>19</v>
      </c>
      <c r="S137" s="85">
        <v>3</v>
      </c>
      <c r="T137" s="85"/>
      <c r="U137" s="85"/>
      <c r="V137" s="85">
        <v>0</v>
      </c>
      <c r="W137" s="85"/>
      <c r="X137" s="85">
        <v>1</v>
      </c>
      <c r="Y137" s="85">
        <v>461</v>
      </c>
      <c r="Z137" s="83">
        <v>461</v>
      </c>
      <c r="AA137" s="81">
        <v>52</v>
      </c>
      <c r="AB137" s="81">
        <v>1</v>
      </c>
      <c r="AC137" s="81">
        <v>0</v>
      </c>
      <c r="AD137" s="81">
        <v>0</v>
      </c>
      <c r="AE137" s="81">
        <v>85</v>
      </c>
      <c r="AF137" s="81">
        <v>4</v>
      </c>
      <c r="AG137" s="81">
        <v>9</v>
      </c>
      <c r="AH137" s="81">
        <v>0</v>
      </c>
      <c r="AI137" s="81">
        <v>0</v>
      </c>
      <c r="AJ137" s="81">
        <v>0</v>
      </c>
      <c r="AK137" s="81">
        <v>1</v>
      </c>
      <c r="AL137" s="81">
        <v>0</v>
      </c>
      <c r="AM137" s="81"/>
      <c r="AN137" s="81">
        <v>151</v>
      </c>
      <c r="AO137" s="83">
        <v>152</v>
      </c>
      <c r="AP137" s="81">
        <v>21</v>
      </c>
      <c r="AQ137" s="81">
        <v>1</v>
      </c>
      <c r="AR137" s="81">
        <v>0</v>
      </c>
      <c r="AS137" s="81">
        <v>34</v>
      </c>
      <c r="AT137" s="81">
        <v>4</v>
      </c>
      <c r="AU137" s="81">
        <v>4</v>
      </c>
      <c r="AV137" s="81">
        <v>2</v>
      </c>
      <c r="AW137" s="81">
        <v>14</v>
      </c>
      <c r="AX137" s="81">
        <v>0</v>
      </c>
      <c r="AY137" s="81">
        <v>3</v>
      </c>
      <c r="AZ137" s="81">
        <v>2</v>
      </c>
      <c r="BA137" s="81">
        <v>2</v>
      </c>
      <c r="BB137" s="81">
        <v>86</v>
      </c>
      <c r="BC137" s="83">
        <v>87</v>
      </c>
      <c r="BD137" s="81">
        <v>211</v>
      </c>
      <c r="BE137" s="81">
        <v>1</v>
      </c>
      <c r="BF137" s="81">
        <v>0</v>
      </c>
      <c r="BG137" s="81">
        <v>109</v>
      </c>
      <c r="BH137" s="81">
        <v>4</v>
      </c>
      <c r="BI137" s="81">
        <v>10</v>
      </c>
      <c r="BJ137" s="81">
        <v>71</v>
      </c>
      <c r="BK137" s="81"/>
      <c r="BL137" s="81">
        <v>1</v>
      </c>
      <c r="BM137" s="81">
        <v>25</v>
      </c>
      <c r="BN137" s="81">
        <v>431</v>
      </c>
      <c r="BO137" s="83">
        <v>432</v>
      </c>
      <c r="BP137" s="81">
        <v>130</v>
      </c>
      <c r="BQ137" s="81">
        <v>1</v>
      </c>
      <c r="BR137" s="81">
        <v>0</v>
      </c>
      <c r="BS137" s="81">
        <v>39</v>
      </c>
      <c r="BT137" s="81">
        <v>1</v>
      </c>
      <c r="BU137" s="81">
        <v>1</v>
      </c>
      <c r="BV137" s="81">
        <v>0</v>
      </c>
      <c r="BW137" s="81">
        <v>2</v>
      </c>
      <c r="BX137" s="81">
        <v>3</v>
      </c>
      <c r="BY137" s="81">
        <v>19</v>
      </c>
      <c r="BZ137" s="81"/>
      <c r="CA137" s="81">
        <v>195</v>
      </c>
      <c r="CB137" s="83">
        <v>196</v>
      </c>
      <c r="CC137" s="81">
        <v>65</v>
      </c>
      <c r="CD137" s="81">
        <v>24</v>
      </c>
      <c r="CE137" s="81">
        <v>88</v>
      </c>
      <c r="CF137" s="81">
        <v>89</v>
      </c>
    </row>
    <row r="138" spans="1:84">
      <c r="A138" s="82">
        <v>39173</v>
      </c>
      <c r="B138" s="81">
        <v>267</v>
      </c>
      <c r="C138" s="81">
        <v>3</v>
      </c>
      <c r="D138" s="81">
        <v>0</v>
      </c>
      <c r="E138" s="81"/>
      <c r="F138" s="81">
        <v>205</v>
      </c>
      <c r="G138" s="81">
        <v>8</v>
      </c>
      <c r="H138" s="81">
        <v>18</v>
      </c>
      <c r="I138" s="81"/>
      <c r="J138" s="81"/>
      <c r="K138" s="81">
        <v>0</v>
      </c>
      <c r="L138" s="81">
        <v>26</v>
      </c>
      <c r="M138" s="81">
        <v>526</v>
      </c>
      <c r="N138" s="83">
        <v>527</v>
      </c>
      <c r="O138" s="85">
        <v>217</v>
      </c>
      <c r="P138" s="85">
        <v>2</v>
      </c>
      <c r="Q138" s="85">
        <v>183</v>
      </c>
      <c r="R138" s="85">
        <v>20</v>
      </c>
      <c r="S138" s="85">
        <v>3</v>
      </c>
      <c r="T138" s="85"/>
      <c r="U138" s="85"/>
      <c r="V138" s="85">
        <v>2</v>
      </c>
      <c r="W138" s="85"/>
      <c r="X138" s="85">
        <v>1</v>
      </c>
      <c r="Y138" s="85">
        <v>429</v>
      </c>
      <c r="Z138" s="83">
        <v>428</v>
      </c>
      <c r="AA138" s="81">
        <v>50</v>
      </c>
      <c r="AB138" s="81">
        <v>0</v>
      </c>
      <c r="AC138" s="81">
        <v>0</v>
      </c>
      <c r="AD138" s="81">
        <v>0</v>
      </c>
      <c r="AE138" s="81">
        <v>90</v>
      </c>
      <c r="AF138" s="81">
        <v>4</v>
      </c>
      <c r="AG138" s="81">
        <v>8</v>
      </c>
      <c r="AH138" s="81">
        <v>0</v>
      </c>
      <c r="AI138" s="81">
        <v>0</v>
      </c>
      <c r="AJ138" s="81">
        <v>0</v>
      </c>
      <c r="AK138" s="81">
        <v>0</v>
      </c>
      <c r="AL138" s="81">
        <v>0</v>
      </c>
      <c r="AM138" s="81"/>
      <c r="AN138" s="81">
        <v>152</v>
      </c>
      <c r="AO138" s="83">
        <v>152</v>
      </c>
      <c r="AP138" s="81">
        <v>17</v>
      </c>
      <c r="AQ138" s="81">
        <v>1</v>
      </c>
      <c r="AR138" s="81">
        <v>0</v>
      </c>
      <c r="AS138" s="81">
        <v>37</v>
      </c>
      <c r="AT138" s="81">
        <v>4</v>
      </c>
      <c r="AU138" s="81">
        <v>3</v>
      </c>
      <c r="AV138" s="81">
        <v>3</v>
      </c>
      <c r="AW138" s="81">
        <v>12</v>
      </c>
      <c r="AX138" s="81">
        <v>0</v>
      </c>
      <c r="AY138" s="81">
        <v>3</v>
      </c>
      <c r="AZ138" s="81">
        <v>2</v>
      </c>
      <c r="BA138" s="81">
        <v>1</v>
      </c>
      <c r="BB138" s="81">
        <v>83</v>
      </c>
      <c r="BC138" s="83">
        <v>83</v>
      </c>
      <c r="BD138" s="81">
        <v>202</v>
      </c>
      <c r="BE138" s="81">
        <v>1</v>
      </c>
      <c r="BF138" s="81">
        <v>0</v>
      </c>
      <c r="BG138" s="81">
        <v>114</v>
      </c>
      <c r="BH138" s="81">
        <v>3</v>
      </c>
      <c r="BI138" s="81">
        <v>10</v>
      </c>
      <c r="BJ138" s="81">
        <v>68</v>
      </c>
      <c r="BK138" s="81"/>
      <c r="BL138" s="81">
        <v>0</v>
      </c>
      <c r="BM138" s="81">
        <v>25</v>
      </c>
      <c r="BN138" s="81">
        <v>423</v>
      </c>
      <c r="BO138" s="83">
        <v>423</v>
      </c>
      <c r="BP138" s="81">
        <v>168</v>
      </c>
      <c r="BQ138" s="81">
        <v>1</v>
      </c>
      <c r="BR138" s="81">
        <v>0</v>
      </c>
      <c r="BS138" s="81">
        <v>48</v>
      </c>
      <c r="BT138" s="81">
        <v>1</v>
      </c>
      <c r="BU138" s="81">
        <v>1</v>
      </c>
      <c r="BV138" s="81">
        <v>0</v>
      </c>
      <c r="BW138" s="81">
        <v>4</v>
      </c>
      <c r="BX138" s="81">
        <v>2</v>
      </c>
      <c r="BY138" s="81">
        <v>23</v>
      </c>
      <c r="BZ138" s="81"/>
      <c r="CA138" s="81">
        <v>249</v>
      </c>
      <c r="CB138" s="83">
        <v>248</v>
      </c>
      <c r="CC138" s="81">
        <v>92</v>
      </c>
      <c r="CD138" s="81">
        <v>34</v>
      </c>
      <c r="CE138" s="81">
        <v>126</v>
      </c>
      <c r="CF138" s="81">
        <v>126</v>
      </c>
    </row>
    <row r="139" spans="1:84">
      <c r="A139" s="82">
        <v>39203</v>
      </c>
      <c r="B139" s="81">
        <v>240</v>
      </c>
      <c r="C139" s="81">
        <v>3</v>
      </c>
      <c r="D139" s="81">
        <v>0</v>
      </c>
      <c r="E139" s="81"/>
      <c r="F139" s="81">
        <v>177</v>
      </c>
      <c r="G139" s="81">
        <v>8</v>
      </c>
      <c r="H139" s="81">
        <v>19</v>
      </c>
      <c r="I139" s="81"/>
      <c r="J139" s="81"/>
      <c r="K139" s="81">
        <v>1</v>
      </c>
      <c r="L139" s="81">
        <v>28</v>
      </c>
      <c r="M139" s="81">
        <v>475</v>
      </c>
      <c r="N139" s="83">
        <v>476</v>
      </c>
      <c r="O139" s="85">
        <v>237</v>
      </c>
      <c r="P139" s="85">
        <v>3</v>
      </c>
      <c r="Q139" s="85">
        <v>185</v>
      </c>
      <c r="R139" s="85">
        <v>22</v>
      </c>
      <c r="S139" s="85">
        <v>2</v>
      </c>
      <c r="T139" s="85"/>
      <c r="U139" s="85"/>
      <c r="V139" s="85">
        <v>1</v>
      </c>
      <c r="W139" s="85"/>
      <c r="X139" s="85">
        <v>1</v>
      </c>
      <c r="Y139" s="85">
        <v>451</v>
      </c>
      <c r="Z139" s="83">
        <v>451</v>
      </c>
      <c r="AA139" s="81">
        <v>45</v>
      </c>
      <c r="AB139" s="81">
        <v>1</v>
      </c>
      <c r="AC139" s="81">
        <v>0</v>
      </c>
      <c r="AD139" s="81">
        <v>0</v>
      </c>
      <c r="AE139" s="81">
        <v>78</v>
      </c>
      <c r="AF139" s="81">
        <v>4</v>
      </c>
      <c r="AG139" s="81">
        <v>9</v>
      </c>
      <c r="AH139" s="81">
        <v>0</v>
      </c>
      <c r="AI139" s="81">
        <v>0</v>
      </c>
      <c r="AJ139" s="81">
        <v>0</v>
      </c>
      <c r="AK139" s="81">
        <v>1</v>
      </c>
      <c r="AL139" s="81">
        <v>0</v>
      </c>
      <c r="AM139" s="81"/>
      <c r="AN139" s="81">
        <v>137</v>
      </c>
      <c r="AO139" s="83">
        <v>138</v>
      </c>
      <c r="AP139" s="81">
        <v>18</v>
      </c>
      <c r="AQ139" s="81">
        <v>1</v>
      </c>
      <c r="AR139" s="81">
        <v>0</v>
      </c>
      <c r="AS139" s="81">
        <v>39</v>
      </c>
      <c r="AT139" s="81">
        <v>4</v>
      </c>
      <c r="AU139" s="81">
        <v>3</v>
      </c>
      <c r="AV139" s="81">
        <v>3</v>
      </c>
      <c r="AW139" s="81">
        <v>13</v>
      </c>
      <c r="AX139" s="81">
        <v>0</v>
      </c>
      <c r="AY139" s="81">
        <v>2</v>
      </c>
      <c r="AZ139" s="81">
        <v>2</v>
      </c>
      <c r="BA139" s="81">
        <v>3</v>
      </c>
      <c r="BB139" s="81">
        <v>88</v>
      </c>
      <c r="BC139" s="83">
        <v>88</v>
      </c>
      <c r="BD139" s="81">
        <v>187</v>
      </c>
      <c r="BE139" s="81">
        <v>1</v>
      </c>
      <c r="BF139" s="81">
        <v>0</v>
      </c>
      <c r="BG139" s="81">
        <v>99</v>
      </c>
      <c r="BH139" s="81">
        <v>3</v>
      </c>
      <c r="BI139" s="81">
        <v>10</v>
      </c>
      <c r="BJ139" s="81">
        <v>72</v>
      </c>
      <c r="BK139" s="81"/>
      <c r="BL139" s="81">
        <v>1</v>
      </c>
      <c r="BM139" s="81">
        <v>26</v>
      </c>
      <c r="BN139" s="81">
        <v>400</v>
      </c>
      <c r="BO139" s="83">
        <v>399</v>
      </c>
      <c r="BP139" s="81">
        <v>154</v>
      </c>
      <c r="BQ139" s="81">
        <v>2</v>
      </c>
      <c r="BR139" s="81">
        <v>0</v>
      </c>
      <c r="BS139" s="81">
        <v>50</v>
      </c>
      <c r="BT139" s="81">
        <v>0</v>
      </c>
      <c r="BU139" s="81">
        <v>2</v>
      </c>
      <c r="BV139" s="81">
        <v>0</v>
      </c>
      <c r="BW139" s="81">
        <v>3</v>
      </c>
      <c r="BX139" s="81">
        <v>2</v>
      </c>
      <c r="BY139" s="81">
        <v>24</v>
      </c>
      <c r="BZ139" s="81"/>
      <c r="CA139" s="81">
        <v>237</v>
      </c>
      <c r="CB139" s="83">
        <v>237</v>
      </c>
      <c r="CC139" s="81">
        <v>86</v>
      </c>
      <c r="CD139" s="81">
        <v>36</v>
      </c>
      <c r="CE139" s="81">
        <v>122</v>
      </c>
      <c r="CF139" s="81">
        <v>122</v>
      </c>
    </row>
    <row r="140" spans="1:84">
      <c r="A140" s="82">
        <v>39234</v>
      </c>
      <c r="B140" s="81">
        <v>263</v>
      </c>
      <c r="C140" s="81">
        <v>3</v>
      </c>
      <c r="D140" s="81">
        <v>0</v>
      </c>
      <c r="E140" s="81"/>
      <c r="F140" s="81">
        <v>178</v>
      </c>
      <c r="G140" s="81">
        <v>8</v>
      </c>
      <c r="H140" s="81">
        <v>18</v>
      </c>
      <c r="I140" s="81"/>
      <c r="J140" s="81"/>
      <c r="K140" s="81">
        <v>2</v>
      </c>
      <c r="L140" s="81">
        <v>26</v>
      </c>
      <c r="M140" s="81">
        <v>498</v>
      </c>
      <c r="N140" s="83">
        <v>498</v>
      </c>
      <c r="O140" s="85">
        <v>216</v>
      </c>
      <c r="P140" s="85">
        <v>2</v>
      </c>
      <c r="Q140" s="85">
        <v>189</v>
      </c>
      <c r="R140" s="85">
        <v>20</v>
      </c>
      <c r="S140" s="85">
        <v>3</v>
      </c>
      <c r="T140" s="85"/>
      <c r="U140" s="85"/>
      <c r="V140" s="85">
        <v>1</v>
      </c>
      <c r="W140" s="85"/>
      <c r="X140" s="85">
        <v>1</v>
      </c>
      <c r="Y140" s="85">
        <v>432</v>
      </c>
      <c r="Z140" s="83">
        <v>432</v>
      </c>
      <c r="AA140" s="81">
        <v>50</v>
      </c>
      <c r="AB140" s="81">
        <v>0</v>
      </c>
      <c r="AC140" s="81">
        <v>0</v>
      </c>
      <c r="AD140" s="81">
        <v>0</v>
      </c>
      <c r="AE140" s="81">
        <v>78</v>
      </c>
      <c r="AF140" s="81">
        <v>4</v>
      </c>
      <c r="AG140" s="81">
        <v>8</v>
      </c>
      <c r="AH140" s="81">
        <v>0</v>
      </c>
      <c r="AI140" s="81">
        <v>0</v>
      </c>
      <c r="AJ140" s="81">
        <v>0</v>
      </c>
      <c r="AK140" s="81">
        <v>1</v>
      </c>
      <c r="AL140" s="81">
        <v>0</v>
      </c>
      <c r="AM140" s="81"/>
      <c r="AN140" s="81">
        <v>141</v>
      </c>
      <c r="AO140" s="83">
        <v>141</v>
      </c>
      <c r="AP140" s="81">
        <v>18</v>
      </c>
      <c r="AQ140" s="81">
        <v>1</v>
      </c>
      <c r="AR140" s="81">
        <v>0</v>
      </c>
      <c r="AS140" s="81">
        <v>39</v>
      </c>
      <c r="AT140" s="81">
        <v>4</v>
      </c>
      <c r="AU140" s="81">
        <v>3</v>
      </c>
      <c r="AV140" s="81">
        <v>2</v>
      </c>
      <c r="AW140" s="81">
        <v>15</v>
      </c>
      <c r="AX140" s="81">
        <v>0</v>
      </c>
      <c r="AY140" s="81">
        <v>3</v>
      </c>
      <c r="AZ140" s="81">
        <v>2</v>
      </c>
      <c r="BA140" s="81">
        <v>3</v>
      </c>
      <c r="BB140" s="81">
        <v>91</v>
      </c>
      <c r="BC140" s="83">
        <v>90</v>
      </c>
      <c r="BD140" s="81">
        <v>200</v>
      </c>
      <c r="BE140" s="81">
        <v>1</v>
      </c>
      <c r="BF140" s="81">
        <v>0</v>
      </c>
      <c r="BG140" s="81">
        <v>100</v>
      </c>
      <c r="BH140" s="81">
        <v>4</v>
      </c>
      <c r="BI140" s="81">
        <v>10</v>
      </c>
      <c r="BJ140" s="81">
        <v>69</v>
      </c>
      <c r="BK140" s="81"/>
      <c r="BL140" s="81">
        <v>1</v>
      </c>
      <c r="BM140" s="81">
        <v>26</v>
      </c>
      <c r="BN140" s="81">
        <v>411</v>
      </c>
      <c r="BO140" s="83">
        <v>411</v>
      </c>
      <c r="BP140" s="81">
        <v>152</v>
      </c>
      <c r="BQ140" s="81">
        <v>2</v>
      </c>
      <c r="BR140" s="81">
        <v>0</v>
      </c>
      <c r="BS140" s="81">
        <v>50</v>
      </c>
      <c r="BT140" s="81">
        <v>1</v>
      </c>
      <c r="BU140" s="81">
        <v>2</v>
      </c>
      <c r="BV140" s="81">
        <v>0</v>
      </c>
      <c r="BW140" s="81">
        <v>2</v>
      </c>
      <c r="BX140" s="81">
        <v>2</v>
      </c>
      <c r="BY140" s="81">
        <v>24</v>
      </c>
      <c r="BZ140" s="81"/>
      <c r="CA140" s="81">
        <v>234</v>
      </c>
      <c r="CB140" s="83">
        <v>235</v>
      </c>
      <c r="CC140" s="81">
        <v>87</v>
      </c>
      <c r="CD140" s="81">
        <v>35</v>
      </c>
      <c r="CE140" s="81">
        <v>122</v>
      </c>
      <c r="CF140" s="81">
        <v>122</v>
      </c>
    </row>
    <row r="141" spans="1:84">
      <c r="A141" s="82">
        <v>39264</v>
      </c>
      <c r="B141" s="81">
        <v>253</v>
      </c>
      <c r="C141" s="81">
        <v>3</v>
      </c>
      <c r="D141" s="81">
        <v>0</v>
      </c>
      <c r="E141" s="81"/>
      <c r="F141" s="81">
        <v>180</v>
      </c>
      <c r="G141" s="81">
        <v>8</v>
      </c>
      <c r="H141" s="81">
        <v>19</v>
      </c>
      <c r="I141" s="81"/>
      <c r="J141" s="81"/>
      <c r="K141" s="81">
        <v>1</v>
      </c>
      <c r="L141" s="81">
        <v>26</v>
      </c>
      <c r="M141" s="81">
        <v>489</v>
      </c>
      <c r="N141" s="83">
        <v>490</v>
      </c>
      <c r="O141" s="85">
        <v>224</v>
      </c>
      <c r="P141" s="85">
        <v>1</v>
      </c>
      <c r="Q141" s="85">
        <v>185</v>
      </c>
      <c r="R141" s="85">
        <v>20</v>
      </c>
      <c r="S141" s="85">
        <v>3</v>
      </c>
      <c r="T141" s="85"/>
      <c r="U141" s="85"/>
      <c r="V141" s="85">
        <v>2</v>
      </c>
      <c r="W141" s="85"/>
      <c r="X141" s="85">
        <v>1</v>
      </c>
      <c r="Y141" s="85">
        <v>436</v>
      </c>
      <c r="Z141" s="83">
        <v>436</v>
      </c>
      <c r="AA141" s="81">
        <v>49</v>
      </c>
      <c r="AB141" s="81">
        <v>1</v>
      </c>
      <c r="AC141" s="81">
        <v>0</v>
      </c>
      <c r="AD141" s="81">
        <v>0</v>
      </c>
      <c r="AE141" s="81">
        <v>77</v>
      </c>
      <c r="AF141" s="81">
        <v>4</v>
      </c>
      <c r="AG141" s="81">
        <v>9</v>
      </c>
      <c r="AH141" s="81">
        <v>0</v>
      </c>
      <c r="AI141" s="81">
        <v>0</v>
      </c>
      <c r="AJ141" s="81">
        <v>0</v>
      </c>
      <c r="AK141" s="81">
        <v>0</v>
      </c>
      <c r="AL141" s="81">
        <v>0</v>
      </c>
      <c r="AM141" s="81"/>
      <c r="AN141" s="81">
        <v>140</v>
      </c>
      <c r="AO141" s="83">
        <v>140</v>
      </c>
      <c r="AP141" s="81">
        <v>18</v>
      </c>
      <c r="AQ141" s="81">
        <v>1</v>
      </c>
      <c r="AR141" s="81">
        <v>1</v>
      </c>
      <c r="AS141" s="81">
        <v>36</v>
      </c>
      <c r="AT141" s="81">
        <v>4</v>
      </c>
      <c r="AU141" s="81">
        <v>4</v>
      </c>
      <c r="AV141" s="81">
        <v>3</v>
      </c>
      <c r="AW141" s="81">
        <v>14</v>
      </c>
      <c r="AX141" s="81">
        <v>0</v>
      </c>
      <c r="AY141" s="81">
        <v>2</v>
      </c>
      <c r="AZ141" s="81">
        <v>2</v>
      </c>
      <c r="BA141" s="81">
        <v>2</v>
      </c>
      <c r="BB141" s="81">
        <v>87</v>
      </c>
      <c r="BC141" s="83">
        <v>87</v>
      </c>
      <c r="BD141" s="81">
        <v>193</v>
      </c>
      <c r="BE141" s="81">
        <v>1</v>
      </c>
      <c r="BF141" s="81">
        <v>0</v>
      </c>
      <c r="BG141" s="81">
        <v>101</v>
      </c>
      <c r="BH141" s="81">
        <v>3</v>
      </c>
      <c r="BI141" s="81">
        <v>10</v>
      </c>
      <c r="BJ141" s="81">
        <v>73</v>
      </c>
      <c r="BK141" s="81"/>
      <c r="BL141" s="81">
        <v>0</v>
      </c>
      <c r="BM141" s="81">
        <v>27</v>
      </c>
      <c r="BN141" s="81">
        <v>410</v>
      </c>
      <c r="BO141" s="83">
        <v>408</v>
      </c>
      <c r="BP141" s="81">
        <v>166</v>
      </c>
      <c r="BQ141" s="81">
        <v>3</v>
      </c>
      <c r="BR141" s="81">
        <v>0</v>
      </c>
      <c r="BS141" s="81">
        <v>69</v>
      </c>
      <c r="BT141" s="81">
        <v>1</v>
      </c>
      <c r="BU141" s="81">
        <v>3</v>
      </c>
      <c r="BV141" s="81">
        <v>0</v>
      </c>
      <c r="BW141" s="81">
        <v>5</v>
      </c>
      <c r="BX141" s="81">
        <v>2</v>
      </c>
      <c r="BY141" s="81">
        <v>37</v>
      </c>
      <c r="BZ141" s="81"/>
      <c r="CA141" s="81">
        <v>284</v>
      </c>
      <c r="CB141" s="83">
        <v>286</v>
      </c>
      <c r="CC141" s="81">
        <v>101</v>
      </c>
      <c r="CD141" s="81">
        <v>54</v>
      </c>
      <c r="CE141" s="81">
        <v>155</v>
      </c>
      <c r="CF141" s="81">
        <v>155</v>
      </c>
    </row>
    <row r="142" spans="1:84">
      <c r="A142" s="82">
        <v>39295</v>
      </c>
      <c r="B142" s="81">
        <v>256</v>
      </c>
      <c r="C142" s="81">
        <v>2</v>
      </c>
      <c r="D142" s="81">
        <v>0</v>
      </c>
      <c r="E142" s="81"/>
      <c r="F142" s="81">
        <v>149</v>
      </c>
      <c r="G142" s="81">
        <v>7</v>
      </c>
      <c r="H142" s="81">
        <v>17</v>
      </c>
      <c r="I142" s="81"/>
      <c r="J142" s="81"/>
      <c r="K142" s="81">
        <v>1</v>
      </c>
      <c r="L142" s="81">
        <v>27</v>
      </c>
      <c r="M142" s="81">
        <v>461</v>
      </c>
      <c r="N142" s="83">
        <v>459</v>
      </c>
      <c r="O142" s="85">
        <v>245</v>
      </c>
      <c r="P142" s="85">
        <v>1</v>
      </c>
      <c r="Q142" s="85">
        <v>240</v>
      </c>
      <c r="R142" s="85">
        <v>22</v>
      </c>
      <c r="S142" s="85">
        <v>3</v>
      </c>
      <c r="T142" s="85"/>
      <c r="U142" s="85"/>
      <c r="V142" s="85">
        <v>2</v>
      </c>
      <c r="W142" s="85"/>
      <c r="X142" s="85">
        <v>1</v>
      </c>
      <c r="Y142" s="85">
        <v>514</v>
      </c>
      <c r="Z142" s="83">
        <v>514</v>
      </c>
      <c r="AA142" s="81">
        <v>49</v>
      </c>
      <c r="AB142" s="81">
        <v>0</v>
      </c>
      <c r="AC142" s="81">
        <v>0</v>
      </c>
      <c r="AD142" s="81">
        <v>0</v>
      </c>
      <c r="AE142" s="81">
        <v>65</v>
      </c>
      <c r="AF142" s="81">
        <v>4</v>
      </c>
      <c r="AG142" s="81">
        <v>8</v>
      </c>
      <c r="AH142" s="81">
        <v>0</v>
      </c>
      <c r="AI142" s="81">
        <v>0</v>
      </c>
      <c r="AJ142" s="81">
        <v>0</v>
      </c>
      <c r="AK142" s="81">
        <v>0</v>
      </c>
      <c r="AL142" s="81">
        <v>0</v>
      </c>
      <c r="AM142" s="81"/>
      <c r="AN142" s="81">
        <v>127</v>
      </c>
      <c r="AO142" s="83">
        <v>126</v>
      </c>
      <c r="AP142" s="81">
        <v>20</v>
      </c>
      <c r="AQ142" s="81">
        <v>1</v>
      </c>
      <c r="AR142" s="81">
        <v>1</v>
      </c>
      <c r="AS142" s="81">
        <v>33</v>
      </c>
      <c r="AT142" s="81">
        <v>4</v>
      </c>
      <c r="AU142" s="81">
        <v>3</v>
      </c>
      <c r="AV142" s="81">
        <v>2</v>
      </c>
      <c r="AW142" s="81">
        <v>15</v>
      </c>
      <c r="AX142" s="81">
        <v>0</v>
      </c>
      <c r="AY142" s="81">
        <v>2</v>
      </c>
      <c r="AZ142" s="81">
        <v>2</v>
      </c>
      <c r="BA142" s="81">
        <v>3</v>
      </c>
      <c r="BB142" s="81">
        <v>85</v>
      </c>
      <c r="BC142" s="83">
        <v>86</v>
      </c>
      <c r="BD142" s="81">
        <v>196</v>
      </c>
      <c r="BE142" s="81">
        <v>1</v>
      </c>
      <c r="BF142" s="81">
        <v>0</v>
      </c>
      <c r="BG142" s="81">
        <v>83</v>
      </c>
      <c r="BH142" s="81">
        <v>3</v>
      </c>
      <c r="BI142" s="81">
        <v>10</v>
      </c>
      <c r="BJ142" s="81">
        <v>67</v>
      </c>
      <c r="BK142" s="81"/>
      <c r="BL142" s="81">
        <v>1</v>
      </c>
      <c r="BM142" s="81">
        <v>29</v>
      </c>
      <c r="BN142" s="81">
        <v>390</v>
      </c>
      <c r="BO142" s="83">
        <v>390</v>
      </c>
      <c r="BP142" s="81">
        <v>165</v>
      </c>
      <c r="BQ142" s="81">
        <v>3</v>
      </c>
      <c r="BR142" s="81">
        <v>0</v>
      </c>
      <c r="BS142" s="81">
        <v>69</v>
      </c>
      <c r="BT142" s="81">
        <v>0</v>
      </c>
      <c r="BU142" s="81">
        <v>2</v>
      </c>
      <c r="BV142" s="81">
        <v>0</v>
      </c>
      <c r="BW142" s="81">
        <v>4</v>
      </c>
      <c r="BX142" s="81">
        <v>2</v>
      </c>
      <c r="BY142" s="81">
        <v>46</v>
      </c>
      <c r="BZ142" s="81"/>
      <c r="CA142" s="81">
        <v>291</v>
      </c>
      <c r="CB142" s="83">
        <v>291</v>
      </c>
      <c r="CC142" s="81">
        <v>94</v>
      </c>
      <c r="CD142" s="81">
        <v>54</v>
      </c>
      <c r="CE142" s="81">
        <v>148</v>
      </c>
      <c r="CF142" s="81">
        <v>148</v>
      </c>
    </row>
    <row r="143" spans="1:84">
      <c r="A143" s="82">
        <v>39326</v>
      </c>
      <c r="B143" s="81">
        <v>245</v>
      </c>
      <c r="C143" s="81">
        <v>2</v>
      </c>
      <c r="D143" s="81">
        <v>0</v>
      </c>
      <c r="E143" s="81"/>
      <c r="F143" s="81">
        <v>189</v>
      </c>
      <c r="G143" s="81">
        <v>8</v>
      </c>
      <c r="H143" s="81">
        <v>17</v>
      </c>
      <c r="I143" s="81"/>
      <c r="J143" s="81"/>
      <c r="K143" s="81">
        <v>2</v>
      </c>
      <c r="L143" s="81">
        <v>26</v>
      </c>
      <c r="M143" s="81">
        <v>488</v>
      </c>
      <c r="N143" s="83">
        <v>489</v>
      </c>
      <c r="O143" s="85">
        <v>270</v>
      </c>
      <c r="P143" s="85">
        <v>0</v>
      </c>
      <c r="Q143" s="85">
        <v>180</v>
      </c>
      <c r="R143" s="85">
        <v>25</v>
      </c>
      <c r="S143" s="85">
        <v>2</v>
      </c>
      <c r="T143" s="85"/>
      <c r="U143" s="85"/>
      <c r="V143" s="85">
        <v>0</v>
      </c>
      <c r="W143" s="85"/>
      <c r="X143" s="85">
        <v>1</v>
      </c>
      <c r="Y143" s="85">
        <v>478</v>
      </c>
      <c r="Z143" s="83">
        <v>478</v>
      </c>
      <c r="AA143" s="81">
        <v>46</v>
      </c>
      <c r="AB143" s="81">
        <v>0</v>
      </c>
      <c r="AC143" s="81">
        <v>0</v>
      </c>
      <c r="AD143" s="81">
        <v>0</v>
      </c>
      <c r="AE143" s="81">
        <v>83</v>
      </c>
      <c r="AF143" s="81">
        <v>4</v>
      </c>
      <c r="AG143" s="81">
        <v>8</v>
      </c>
      <c r="AH143" s="81">
        <v>0</v>
      </c>
      <c r="AI143" s="81">
        <v>0</v>
      </c>
      <c r="AJ143" s="81">
        <v>0</v>
      </c>
      <c r="AK143" s="81">
        <v>1</v>
      </c>
      <c r="AL143" s="81">
        <v>0</v>
      </c>
      <c r="AM143" s="81"/>
      <c r="AN143" s="81">
        <v>143</v>
      </c>
      <c r="AO143" s="83">
        <v>142</v>
      </c>
      <c r="AP143" s="81">
        <v>20</v>
      </c>
      <c r="AQ143" s="81">
        <v>1</v>
      </c>
      <c r="AR143" s="81">
        <v>1</v>
      </c>
      <c r="AS143" s="81">
        <v>32</v>
      </c>
      <c r="AT143" s="81">
        <v>4</v>
      </c>
      <c r="AU143" s="81">
        <v>4</v>
      </c>
      <c r="AV143" s="81">
        <v>2</v>
      </c>
      <c r="AW143" s="81">
        <v>14</v>
      </c>
      <c r="AX143" s="81">
        <v>0</v>
      </c>
      <c r="AY143" s="81">
        <v>1</v>
      </c>
      <c r="AZ143" s="81">
        <v>2</v>
      </c>
      <c r="BA143" s="81">
        <v>2</v>
      </c>
      <c r="BB143" s="81">
        <v>82</v>
      </c>
      <c r="BC143" s="83">
        <v>83</v>
      </c>
      <c r="BD143" s="81">
        <v>184</v>
      </c>
      <c r="BE143" s="81">
        <v>1</v>
      </c>
      <c r="BF143" s="81">
        <v>0</v>
      </c>
      <c r="BG143" s="81">
        <v>105</v>
      </c>
      <c r="BH143" s="81">
        <v>3</v>
      </c>
      <c r="BI143" s="81">
        <v>9</v>
      </c>
      <c r="BJ143" s="81">
        <v>64</v>
      </c>
      <c r="BK143" s="81"/>
      <c r="BL143" s="81">
        <v>1</v>
      </c>
      <c r="BM143" s="81">
        <v>30</v>
      </c>
      <c r="BN143" s="81">
        <v>398</v>
      </c>
      <c r="BO143" s="83">
        <v>397</v>
      </c>
      <c r="BP143" s="81">
        <v>146</v>
      </c>
      <c r="BQ143" s="81">
        <v>3</v>
      </c>
      <c r="BR143" s="81">
        <v>0</v>
      </c>
      <c r="BS143" s="81">
        <v>83</v>
      </c>
      <c r="BT143" s="81">
        <v>0</v>
      </c>
      <c r="BU143" s="81">
        <v>2</v>
      </c>
      <c r="BV143" s="81">
        <v>0</v>
      </c>
      <c r="BW143" s="81">
        <v>2</v>
      </c>
      <c r="BX143" s="81">
        <v>3</v>
      </c>
      <c r="BY143" s="81">
        <v>49</v>
      </c>
      <c r="BZ143" s="81"/>
      <c r="CA143" s="81">
        <v>289</v>
      </c>
      <c r="CB143" s="83">
        <v>288</v>
      </c>
      <c r="CC143" s="81">
        <v>80</v>
      </c>
      <c r="CD143" s="81">
        <v>70</v>
      </c>
      <c r="CE143" s="81">
        <v>151</v>
      </c>
      <c r="CF143" s="81">
        <v>150</v>
      </c>
    </row>
    <row r="144" spans="1:84">
      <c r="A144" s="82">
        <v>39356</v>
      </c>
      <c r="B144" s="81">
        <v>259</v>
      </c>
      <c r="C144" s="81">
        <v>3</v>
      </c>
      <c r="D144" s="81">
        <v>0</v>
      </c>
      <c r="E144" s="81"/>
      <c r="F144" s="81">
        <v>190</v>
      </c>
      <c r="G144" s="81">
        <v>8</v>
      </c>
      <c r="H144" s="81">
        <v>14</v>
      </c>
      <c r="I144" s="81"/>
      <c r="J144" s="81"/>
      <c r="K144" s="81">
        <v>0</v>
      </c>
      <c r="L144" s="81">
        <v>29</v>
      </c>
      <c r="M144" s="81">
        <v>505</v>
      </c>
      <c r="N144" s="83">
        <v>503</v>
      </c>
      <c r="O144" s="85">
        <v>244</v>
      </c>
      <c r="P144" s="85">
        <v>1</v>
      </c>
      <c r="Q144" s="85">
        <v>208</v>
      </c>
      <c r="R144" s="85">
        <v>24</v>
      </c>
      <c r="S144" s="85">
        <v>4</v>
      </c>
      <c r="T144" s="85"/>
      <c r="U144" s="85"/>
      <c r="V144" s="85">
        <v>2</v>
      </c>
      <c r="W144" s="85"/>
      <c r="X144" s="85">
        <v>1</v>
      </c>
      <c r="Y144" s="85">
        <v>483</v>
      </c>
      <c r="Z144" s="83">
        <v>484</v>
      </c>
      <c r="AA144" s="81">
        <v>50</v>
      </c>
      <c r="AB144" s="81">
        <v>1</v>
      </c>
      <c r="AC144" s="81">
        <v>0</v>
      </c>
      <c r="AD144" s="81">
        <v>0</v>
      </c>
      <c r="AE144" s="81">
        <v>82</v>
      </c>
      <c r="AF144" s="81">
        <v>4</v>
      </c>
      <c r="AG144" s="81">
        <v>7</v>
      </c>
      <c r="AH144" s="81">
        <v>0</v>
      </c>
      <c r="AI144" s="81">
        <v>0</v>
      </c>
      <c r="AJ144" s="81">
        <v>0</v>
      </c>
      <c r="AK144" s="81">
        <v>0</v>
      </c>
      <c r="AL144" s="81">
        <v>0</v>
      </c>
      <c r="AM144" s="81"/>
      <c r="AN144" s="81">
        <v>143</v>
      </c>
      <c r="AO144" s="83">
        <v>144</v>
      </c>
      <c r="AP144" s="81">
        <v>22</v>
      </c>
      <c r="AQ144" s="81">
        <v>1</v>
      </c>
      <c r="AR144" s="81">
        <v>1</v>
      </c>
      <c r="AS144" s="81">
        <v>33</v>
      </c>
      <c r="AT144" s="81">
        <v>4</v>
      </c>
      <c r="AU144" s="81">
        <v>3</v>
      </c>
      <c r="AV144" s="81">
        <v>2</v>
      </c>
      <c r="AW144" s="81">
        <v>14</v>
      </c>
      <c r="AX144" s="81">
        <v>0</v>
      </c>
      <c r="AY144" s="81">
        <v>2</v>
      </c>
      <c r="AZ144" s="81">
        <v>3</v>
      </c>
      <c r="BA144" s="81">
        <v>3</v>
      </c>
      <c r="BB144" s="81">
        <v>88</v>
      </c>
      <c r="BC144" s="83">
        <v>88</v>
      </c>
      <c r="BD144" s="81">
        <v>196</v>
      </c>
      <c r="BE144" s="81">
        <v>1</v>
      </c>
      <c r="BF144" s="81">
        <v>0</v>
      </c>
      <c r="BG144" s="81">
        <v>108</v>
      </c>
      <c r="BH144" s="81">
        <v>4</v>
      </c>
      <c r="BI144" s="81">
        <v>8</v>
      </c>
      <c r="BJ144" s="81">
        <v>55</v>
      </c>
      <c r="BK144" s="81"/>
      <c r="BL144" s="81">
        <v>0</v>
      </c>
      <c r="BM144" s="81">
        <v>31</v>
      </c>
      <c r="BN144" s="81">
        <v>403</v>
      </c>
      <c r="BO144" s="83">
        <v>403</v>
      </c>
      <c r="BP144" s="81">
        <v>137</v>
      </c>
      <c r="BQ144" s="81">
        <v>3</v>
      </c>
      <c r="BR144" s="81">
        <v>0</v>
      </c>
      <c r="BS144" s="81">
        <v>94</v>
      </c>
      <c r="BT144" s="81">
        <v>0</v>
      </c>
      <c r="BU144" s="81">
        <v>1</v>
      </c>
      <c r="BV144" s="81">
        <v>0</v>
      </c>
      <c r="BW144" s="81">
        <v>5</v>
      </c>
      <c r="BX144" s="81">
        <v>2</v>
      </c>
      <c r="BY144" s="81">
        <v>55</v>
      </c>
      <c r="BZ144" s="81"/>
      <c r="CA144" s="81">
        <v>297</v>
      </c>
      <c r="CB144" s="83">
        <v>297</v>
      </c>
      <c r="CC144" s="81">
        <v>72</v>
      </c>
      <c r="CD144" s="81">
        <v>79</v>
      </c>
      <c r="CE144" s="81">
        <v>150</v>
      </c>
      <c r="CF144" s="81">
        <v>151</v>
      </c>
    </row>
    <row r="145" spans="1:84">
      <c r="A145" s="82">
        <v>39387</v>
      </c>
      <c r="B145" s="81">
        <v>261</v>
      </c>
      <c r="C145" s="81">
        <v>2</v>
      </c>
      <c r="D145" s="81">
        <v>0</v>
      </c>
      <c r="E145" s="81"/>
      <c r="F145" s="81">
        <v>199</v>
      </c>
      <c r="G145" s="81">
        <v>8</v>
      </c>
      <c r="H145" s="81">
        <v>18</v>
      </c>
      <c r="I145" s="81"/>
      <c r="J145" s="81"/>
      <c r="K145" s="81">
        <v>2</v>
      </c>
      <c r="L145" s="81">
        <v>26</v>
      </c>
      <c r="M145" s="81">
        <v>515</v>
      </c>
      <c r="N145" s="83">
        <v>516</v>
      </c>
      <c r="O145" s="85">
        <v>290</v>
      </c>
      <c r="P145" s="85">
        <v>0</v>
      </c>
      <c r="Q145" s="85">
        <v>242</v>
      </c>
      <c r="R145" s="85">
        <v>22</v>
      </c>
      <c r="S145" s="85">
        <v>4</v>
      </c>
      <c r="T145" s="85"/>
      <c r="U145" s="85"/>
      <c r="V145" s="85">
        <v>1</v>
      </c>
      <c r="W145" s="85"/>
      <c r="X145" s="85">
        <v>1</v>
      </c>
      <c r="Y145" s="85">
        <v>560</v>
      </c>
      <c r="Z145" s="83">
        <v>560</v>
      </c>
      <c r="AA145" s="81">
        <v>50</v>
      </c>
      <c r="AB145" s="81">
        <v>0</v>
      </c>
      <c r="AC145" s="81">
        <v>0</v>
      </c>
      <c r="AD145" s="81">
        <v>0</v>
      </c>
      <c r="AE145" s="81">
        <v>84</v>
      </c>
      <c r="AF145" s="81">
        <v>4</v>
      </c>
      <c r="AG145" s="81">
        <v>8</v>
      </c>
      <c r="AH145" s="81">
        <v>0</v>
      </c>
      <c r="AI145" s="81">
        <v>0</v>
      </c>
      <c r="AJ145" s="81">
        <v>0</v>
      </c>
      <c r="AK145" s="81">
        <v>1</v>
      </c>
      <c r="AL145" s="81">
        <v>0</v>
      </c>
      <c r="AM145" s="81"/>
      <c r="AN145" s="81">
        <v>148</v>
      </c>
      <c r="AO145" s="83">
        <v>147</v>
      </c>
      <c r="AP145" s="81">
        <v>26</v>
      </c>
      <c r="AQ145" s="81">
        <v>1</v>
      </c>
      <c r="AR145" s="81">
        <v>0</v>
      </c>
      <c r="AS145" s="81">
        <v>31</v>
      </c>
      <c r="AT145" s="81">
        <v>5</v>
      </c>
      <c r="AU145" s="81">
        <v>3</v>
      </c>
      <c r="AV145" s="81">
        <v>2</v>
      </c>
      <c r="AW145" s="81">
        <v>10</v>
      </c>
      <c r="AX145" s="81">
        <v>0</v>
      </c>
      <c r="AY145" s="81">
        <v>1</v>
      </c>
      <c r="AZ145" s="81">
        <v>3</v>
      </c>
      <c r="BA145" s="81">
        <v>2</v>
      </c>
      <c r="BB145" s="81">
        <v>84</v>
      </c>
      <c r="BC145" s="83">
        <v>84</v>
      </c>
      <c r="BD145" s="81">
        <v>195</v>
      </c>
      <c r="BE145" s="81">
        <v>1</v>
      </c>
      <c r="BF145" s="81">
        <v>0</v>
      </c>
      <c r="BG145" s="81">
        <v>111</v>
      </c>
      <c r="BH145" s="81">
        <v>4</v>
      </c>
      <c r="BI145" s="81">
        <v>10</v>
      </c>
      <c r="BJ145" s="81">
        <v>69</v>
      </c>
      <c r="BK145" s="81"/>
      <c r="BL145" s="81">
        <v>1</v>
      </c>
      <c r="BM145" s="81">
        <v>26</v>
      </c>
      <c r="BN145" s="81">
        <v>417</v>
      </c>
      <c r="BO145" s="83">
        <v>417</v>
      </c>
      <c r="BP145" s="81">
        <v>128</v>
      </c>
      <c r="BQ145" s="81">
        <v>3</v>
      </c>
      <c r="BR145" s="81">
        <v>0</v>
      </c>
      <c r="BS145" s="81">
        <v>103</v>
      </c>
      <c r="BT145" s="81">
        <v>0</v>
      </c>
      <c r="BU145" s="81">
        <v>2</v>
      </c>
      <c r="BV145" s="81">
        <v>0</v>
      </c>
      <c r="BW145" s="81">
        <v>4</v>
      </c>
      <c r="BX145" s="81">
        <v>2</v>
      </c>
      <c r="BY145" s="81">
        <v>56</v>
      </c>
      <c r="BZ145" s="81"/>
      <c r="CA145" s="81">
        <v>297</v>
      </c>
      <c r="CB145" s="83">
        <v>298</v>
      </c>
      <c r="CC145" s="81">
        <v>59</v>
      </c>
      <c r="CD145" s="81">
        <v>85</v>
      </c>
      <c r="CE145" s="81">
        <v>144</v>
      </c>
      <c r="CF145" s="81">
        <v>144</v>
      </c>
    </row>
    <row r="146" spans="1:84">
      <c r="A146" s="82">
        <v>39417</v>
      </c>
      <c r="B146" s="81">
        <v>278</v>
      </c>
      <c r="C146" s="81">
        <v>2</v>
      </c>
      <c r="D146" s="81">
        <v>0</v>
      </c>
      <c r="E146" s="81"/>
      <c r="F146" s="81">
        <v>192</v>
      </c>
      <c r="G146" s="81">
        <v>7</v>
      </c>
      <c r="H146" s="81">
        <v>18</v>
      </c>
      <c r="I146" s="81"/>
      <c r="J146" s="81"/>
      <c r="K146" s="81">
        <v>1</v>
      </c>
      <c r="L146" s="81">
        <v>28</v>
      </c>
      <c r="M146" s="81">
        <v>526</v>
      </c>
      <c r="N146" s="83">
        <v>526</v>
      </c>
      <c r="O146" s="85">
        <v>250</v>
      </c>
      <c r="P146" s="85">
        <v>0</v>
      </c>
      <c r="Q146" s="85">
        <v>149</v>
      </c>
      <c r="R146" s="85">
        <v>21</v>
      </c>
      <c r="S146" s="85">
        <v>1</v>
      </c>
      <c r="T146" s="85"/>
      <c r="U146" s="85"/>
      <c r="V146" s="85">
        <v>0</v>
      </c>
      <c r="W146" s="85"/>
      <c r="X146" s="85">
        <v>1</v>
      </c>
      <c r="Y146" s="85">
        <v>423</v>
      </c>
      <c r="Z146" s="83">
        <v>422</v>
      </c>
      <c r="AA146" s="81">
        <v>53</v>
      </c>
      <c r="AB146" s="81">
        <v>0</v>
      </c>
      <c r="AC146" s="81">
        <v>0</v>
      </c>
      <c r="AD146" s="81">
        <v>0</v>
      </c>
      <c r="AE146" s="81">
        <v>81</v>
      </c>
      <c r="AF146" s="81">
        <v>3</v>
      </c>
      <c r="AG146" s="81">
        <v>8</v>
      </c>
      <c r="AH146" s="81">
        <v>0</v>
      </c>
      <c r="AI146" s="81">
        <v>0</v>
      </c>
      <c r="AJ146" s="81">
        <v>0</v>
      </c>
      <c r="AK146" s="81">
        <v>0</v>
      </c>
      <c r="AL146" s="81">
        <v>0</v>
      </c>
      <c r="AM146" s="81"/>
      <c r="AN146" s="81">
        <v>147</v>
      </c>
      <c r="AO146" s="83">
        <v>145</v>
      </c>
      <c r="AP146" s="81">
        <v>29</v>
      </c>
      <c r="AQ146" s="81">
        <v>1</v>
      </c>
      <c r="AR146" s="81">
        <v>1</v>
      </c>
      <c r="AS146" s="81">
        <v>20</v>
      </c>
      <c r="AT146" s="81">
        <v>5</v>
      </c>
      <c r="AU146" s="81">
        <v>4</v>
      </c>
      <c r="AV146" s="81">
        <v>3</v>
      </c>
      <c r="AW146" s="81">
        <v>11</v>
      </c>
      <c r="AX146" s="81">
        <v>0</v>
      </c>
      <c r="AY146" s="81">
        <v>1</v>
      </c>
      <c r="AZ146" s="81">
        <v>2</v>
      </c>
      <c r="BA146" s="81">
        <v>1</v>
      </c>
      <c r="BB146" s="81">
        <v>76</v>
      </c>
      <c r="BC146" s="83">
        <v>78</v>
      </c>
      <c r="BD146" s="81">
        <v>208</v>
      </c>
      <c r="BE146" s="81">
        <v>1</v>
      </c>
      <c r="BF146" s="81">
        <v>0</v>
      </c>
      <c r="BG146" s="81">
        <v>107</v>
      </c>
      <c r="BH146" s="81">
        <v>3</v>
      </c>
      <c r="BI146" s="81">
        <v>10</v>
      </c>
      <c r="BJ146" s="81">
        <v>67</v>
      </c>
      <c r="BK146" s="81"/>
      <c r="BL146" s="81">
        <v>0</v>
      </c>
      <c r="BM146" s="81">
        <v>24</v>
      </c>
      <c r="BN146" s="81">
        <v>421</v>
      </c>
      <c r="BO146" s="83">
        <v>420</v>
      </c>
      <c r="BP146" s="81">
        <v>118</v>
      </c>
      <c r="BQ146" s="81">
        <v>2</v>
      </c>
      <c r="BR146" s="81">
        <v>0</v>
      </c>
      <c r="BS146" s="81">
        <v>86</v>
      </c>
      <c r="BT146" s="81">
        <v>2</v>
      </c>
      <c r="BU146" s="81">
        <v>2</v>
      </c>
      <c r="BV146" s="81">
        <v>0</v>
      </c>
      <c r="BW146" s="81">
        <v>0</v>
      </c>
      <c r="BX146" s="81">
        <v>1</v>
      </c>
      <c r="BY146" s="81">
        <v>45</v>
      </c>
      <c r="BZ146" s="81"/>
      <c r="CA146" s="81">
        <v>257</v>
      </c>
      <c r="CB146" s="83">
        <v>256</v>
      </c>
      <c r="CC146" s="81">
        <v>48</v>
      </c>
      <c r="CD146" s="81">
        <v>71</v>
      </c>
      <c r="CE146" s="81">
        <v>119</v>
      </c>
      <c r="CF146" s="81">
        <v>119</v>
      </c>
    </row>
    <row r="147" spans="1:84">
      <c r="A147" s="82">
        <v>39448</v>
      </c>
      <c r="B147" s="81">
        <v>211</v>
      </c>
      <c r="C147" s="81">
        <v>2</v>
      </c>
      <c r="D147" s="81">
        <v>0</v>
      </c>
      <c r="E147" s="81"/>
      <c r="F147" s="81">
        <v>180</v>
      </c>
      <c r="G147" s="81">
        <v>7</v>
      </c>
      <c r="H147" s="81">
        <v>15</v>
      </c>
      <c r="I147" s="81"/>
      <c r="J147" s="81"/>
      <c r="K147" s="81">
        <v>2</v>
      </c>
      <c r="L147" s="81">
        <v>25</v>
      </c>
      <c r="M147" s="81">
        <v>444</v>
      </c>
      <c r="N147" s="83">
        <v>442</v>
      </c>
      <c r="O147" s="85">
        <v>188</v>
      </c>
      <c r="P147" s="85">
        <v>1</v>
      </c>
      <c r="Q147" s="85">
        <v>157</v>
      </c>
      <c r="R147" s="85">
        <v>23</v>
      </c>
      <c r="S147" s="85">
        <v>2</v>
      </c>
      <c r="T147" s="85"/>
      <c r="U147" s="85"/>
      <c r="V147" s="85">
        <v>0</v>
      </c>
      <c r="W147" s="85"/>
      <c r="X147" s="85">
        <v>1</v>
      </c>
      <c r="Y147" s="85">
        <v>373</v>
      </c>
      <c r="Z147" s="83">
        <v>372</v>
      </c>
      <c r="AA147" s="81">
        <v>40</v>
      </c>
      <c r="AB147" s="81">
        <v>0</v>
      </c>
      <c r="AC147" s="81">
        <v>0</v>
      </c>
      <c r="AD147" s="81">
        <v>0</v>
      </c>
      <c r="AE147" s="81">
        <v>77</v>
      </c>
      <c r="AF147" s="81">
        <v>3</v>
      </c>
      <c r="AG147" s="81">
        <v>7</v>
      </c>
      <c r="AH147" s="81">
        <v>0</v>
      </c>
      <c r="AI147" s="81">
        <v>0</v>
      </c>
      <c r="AJ147" s="81">
        <v>0</v>
      </c>
      <c r="AK147" s="81">
        <v>1</v>
      </c>
      <c r="AL147" s="81">
        <v>0</v>
      </c>
      <c r="AM147" s="81"/>
      <c r="AN147" s="81">
        <v>129</v>
      </c>
      <c r="AO147" s="83">
        <v>128</v>
      </c>
      <c r="AP147" s="81">
        <v>27</v>
      </c>
      <c r="AQ147" s="81">
        <v>1</v>
      </c>
      <c r="AR147" s="81">
        <v>0</v>
      </c>
      <c r="AS147" s="81">
        <v>25</v>
      </c>
      <c r="AT147" s="81">
        <v>5</v>
      </c>
      <c r="AU147" s="81">
        <v>4</v>
      </c>
      <c r="AV147" s="81">
        <v>4</v>
      </c>
      <c r="AW147" s="81">
        <v>12</v>
      </c>
      <c r="AX147" s="81">
        <v>0</v>
      </c>
      <c r="AY147" s="81">
        <v>2</v>
      </c>
      <c r="AZ147" s="81">
        <v>3</v>
      </c>
      <c r="BA147" s="81">
        <v>3</v>
      </c>
      <c r="BB147" s="81">
        <v>85</v>
      </c>
      <c r="BC147" s="83">
        <v>86</v>
      </c>
      <c r="BD147" s="81">
        <v>159</v>
      </c>
      <c r="BE147" s="81">
        <v>1</v>
      </c>
      <c r="BF147" s="81">
        <v>0</v>
      </c>
      <c r="BG147" s="81">
        <v>101</v>
      </c>
      <c r="BH147" s="81">
        <v>3</v>
      </c>
      <c r="BI147" s="81">
        <v>9</v>
      </c>
      <c r="BJ147" s="81">
        <v>59</v>
      </c>
      <c r="BK147" s="81"/>
      <c r="BL147" s="81">
        <v>1</v>
      </c>
      <c r="BM147" s="81">
        <v>19</v>
      </c>
      <c r="BN147" s="81">
        <v>351</v>
      </c>
      <c r="BO147" s="83">
        <v>352</v>
      </c>
      <c r="BP147" s="81">
        <v>120</v>
      </c>
      <c r="BQ147" s="81">
        <v>3</v>
      </c>
      <c r="BR147" s="81">
        <v>0</v>
      </c>
      <c r="BS147" s="81">
        <v>108</v>
      </c>
      <c r="BT147" s="81">
        <v>0</v>
      </c>
      <c r="BU147" s="81">
        <v>2</v>
      </c>
      <c r="BV147" s="81">
        <v>0</v>
      </c>
      <c r="BW147" s="81">
        <v>0</v>
      </c>
      <c r="BX147" s="81">
        <v>3</v>
      </c>
      <c r="BY147" s="81">
        <v>29</v>
      </c>
      <c r="BZ147" s="81"/>
      <c r="CA147" s="81">
        <v>267</v>
      </c>
      <c r="CB147" s="83">
        <v>265</v>
      </c>
      <c r="CC147" s="81">
        <v>48</v>
      </c>
      <c r="CD147" s="81">
        <v>92</v>
      </c>
      <c r="CE147" s="81">
        <v>140</v>
      </c>
      <c r="CF147" s="81">
        <v>140</v>
      </c>
    </row>
    <row r="148" spans="1:84">
      <c r="A148" s="82">
        <v>39479</v>
      </c>
      <c r="B148" s="81">
        <v>216</v>
      </c>
      <c r="C148" s="81">
        <v>2</v>
      </c>
      <c r="D148" s="81">
        <v>0</v>
      </c>
      <c r="E148" s="81"/>
      <c r="F148" s="81">
        <v>168</v>
      </c>
      <c r="G148" s="81">
        <v>7</v>
      </c>
      <c r="H148" s="81">
        <v>16</v>
      </c>
      <c r="I148" s="81"/>
      <c r="J148" s="81"/>
      <c r="K148" s="81">
        <v>0</v>
      </c>
      <c r="L148" s="81">
        <v>27</v>
      </c>
      <c r="M148" s="81">
        <v>437</v>
      </c>
      <c r="N148" s="83">
        <v>436</v>
      </c>
      <c r="O148" s="85">
        <v>198</v>
      </c>
      <c r="P148" s="85">
        <v>1</v>
      </c>
      <c r="Q148" s="85">
        <v>224</v>
      </c>
      <c r="R148" s="85">
        <v>28</v>
      </c>
      <c r="S148" s="85">
        <v>2</v>
      </c>
      <c r="T148" s="85"/>
      <c r="U148" s="85"/>
      <c r="V148" s="85">
        <v>0</v>
      </c>
      <c r="W148" s="85"/>
      <c r="X148" s="85">
        <v>1</v>
      </c>
      <c r="Y148" s="85">
        <v>454</v>
      </c>
      <c r="Z148" s="83">
        <v>454</v>
      </c>
      <c r="AA148" s="81">
        <v>41</v>
      </c>
      <c r="AB148" s="81">
        <v>0</v>
      </c>
      <c r="AC148" s="81">
        <v>0</v>
      </c>
      <c r="AD148" s="81">
        <v>0</v>
      </c>
      <c r="AE148" s="81">
        <v>70</v>
      </c>
      <c r="AF148" s="81">
        <v>4</v>
      </c>
      <c r="AG148" s="81">
        <v>8</v>
      </c>
      <c r="AH148" s="81">
        <v>0</v>
      </c>
      <c r="AI148" s="81">
        <v>0</v>
      </c>
      <c r="AJ148" s="81">
        <v>0</v>
      </c>
      <c r="AK148" s="81">
        <v>0</v>
      </c>
      <c r="AL148" s="81">
        <v>0</v>
      </c>
      <c r="AM148" s="81"/>
      <c r="AN148" s="81">
        <v>123</v>
      </c>
      <c r="AO148" s="83">
        <v>123</v>
      </c>
      <c r="AP148" s="81">
        <v>26</v>
      </c>
      <c r="AQ148" s="81">
        <v>0</v>
      </c>
      <c r="AR148" s="81">
        <v>1</v>
      </c>
      <c r="AS148" s="81">
        <v>21</v>
      </c>
      <c r="AT148" s="81">
        <v>5</v>
      </c>
      <c r="AU148" s="81">
        <v>4</v>
      </c>
      <c r="AV148" s="81">
        <v>4</v>
      </c>
      <c r="AW148" s="81">
        <v>14</v>
      </c>
      <c r="AX148" s="81">
        <v>0</v>
      </c>
      <c r="AY148" s="81">
        <v>3</v>
      </c>
      <c r="AZ148" s="81">
        <v>2</v>
      </c>
      <c r="BA148" s="81">
        <v>2</v>
      </c>
      <c r="BB148" s="81">
        <v>82</v>
      </c>
      <c r="BC148" s="83">
        <v>82</v>
      </c>
      <c r="BD148" s="81">
        <v>165</v>
      </c>
      <c r="BE148" s="81">
        <v>1</v>
      </c>
      <c r="BF148" s="81">
        <v>0</v>
      </c>
      <c r="BG148" s="81">
        <v>94</v>
      </c>
      <c r="BH148" s="81">
        <v>3</v>
      </c>
      <c r="BI148" s="81">
        <v>9</v>
      </c>
      <c r="BJ148" s="81">
        <v>62</v>
      </c>
      <c r="BK148" s="81"/>
      <c r="BL148" s="81">
        <v>0</v>
      </c>
      <c r="BM148" s="81">
        <v>18</v>
      </c>
      <c r="BN148" s="81">
        <v>352</v>
      </c>
      <c r="BO148" s="83">
        <v>352</v>
      </c>
      <c r="BP148" s="81">
        <v>126</v>
      </c>
      <c r="BQ148" s="81">
        <v>3</v>
      </c>
      <c r="BR148" s="81">
        <v>0</v>
      </c>
      <c r="BS148" s="81">
        <v>103</v>
      </c>
      <c r="BT148" s="81">
        <v>0</v>
      </c>
      <c r="BU148" s="81">
        <v>1</v>
      </c>
      <c r="BV148" s="81">
        <v>0</v>
      </c>
      <c r="BW148" s="81">
        <v>3</v>
      </c>
      <c r="BX148" s="81">
        <v>1</v>
      </c>
      <c r="BY148" s="81">
        <v>17</v>
      </c>
      <c r="BZ148" s="81"/>
      <c r="CA148" s="81">
        <v>254</v>
      </c>
      <c r="CB148" s="83">
        <v>254</v>
      </c>
      <c r="CC148" s="81">
        <v>53</v>
      </c>
      <c r="CD148" s="81">
        <v>87</v>
      </c>
      <c r="CE148" s="81">
        <v>141</v>
      </c>
      <c r="CF148" s="81">
        <v>140</v>
      </c>
    </row>
    <row r="149" spans="1:84">
      <c r="A149" s="82">
        <v>39508</v>
      </c>
      <c r="B149" s="81">
        <v>231</v>
      </c>
      <c r="C149" s="81">
        <v>2</v>
      </c>
      <c r="D149" s="81">
        <v>0</v>
      </c>
      <c r="E149" s="81"/>
      <c r="F149" s="81">
        <v>197</v>
      </c>
      <c r="G149" s="81">
        <v>8</v>
      </c>
      <c r="H149" s="81">
        <v>17</v>
      </c>
      <c r="I149" s="81"/>
      <c r="J149" s="81"/>
      <c r="K149" s="81">
        <v>2</v>
      </c>
      <c r="L149" s="81">
        <v>28</v>
      </c>
      <c r="M149" s="81">
        <v>486</v>
      </c>
      <c r="N149" s="83">
        <v>485</v>
      </c>
      <c r="O149" s="85">
        <v>228</v>
      </c>
      <c r="P149" s="85">
        <v>0</v>
      </c>
      <c r="Q149" s="85">
        <v>225</v>
      </c>
      <c r="R149" s="85">
        <v>31</v>
      </c>
      <c r="S149" s="85">
        <v>2</v>
      </c>
      <c r="T149" s="85"/>
      <c r="U149" s="85"/>
      <c r="V149" s="85">
        <v>0</v>
      </c>
      <c r="W149" s="85"/>
      <c r="X149" s="85">
        <v>2</v>
      </c>
      <c r="Y149" s="85">
        <v>487</v>
      </c>
      <c r="Z149" s="83">
        <v>488</v>
      </c>
      <c r="AA149" s="81">
        <v>44</v>
      </c>
      <c r="AB149" s="81">
        <v>0</v>
      </c>
      <c r="AC149" s="81">
        <v>0</v>
      </c>
      <c r="AD149" s="81">
        <v>0</v>
      </c>
      <c r="AE149" s="81">
        <v>83</v>
      </c>
      <c r="AF149" s="81">
        <v>4</v>
      </c>
      <c r="AG149" s="81">
        <v>8</v>
      </c>
      <c r="AH149" s="81">
        <v>0</v>
      </c>
      <c r="AI149" s="81">
        <v>0</v>
      </c>
      <c r="AJ149" s="81">
        <v>0</v>
      </c>
      <c r="AK149" s="81">
        <v>1</v>
      </c>
      <c r="AL149" s="81">
        <v>0</v>
      </c>
      <c r="AM149" s="81"/>
      <c r="AN149" s="81">
        <v>140</v>
      </c>
      <c r="AO149" s="83">
        <v>140</v>
      </c>
      <c r="AP149" s="81">
        <v>17</v>
      </c>
      <c r="AQ149" s="81">
        <v>0</v>
      </c>
      <c r="AR149" s="81">
        <v>0</v>
      </c>
      <c r="AS149" s="81">
        <v>18</v>
      </c>
      <c r="AT149" s="81">
        <v>5</v>
      </c>
      <c r="AU149" s="81">
        <v>4</v>
      </c>
      <c r="AV149" s="81">
        <v>3</v>
      </c>
      <c r="AW149" s="81">
        <v>12</v>
      </c>
      <c r="AX149" s="81">
        <v>0</v>
      </c>
      <c r="AY149" s="81">
        <v>2</v>
      </c>
      <c r="AZ149" s="81">
        <v>2</v>
      </c>
      <c r="BA149" s="81">
        <v>1</v>
      </c>
      <c r="BB149" s="81">
        <v>66</v>
      </c>
      <c r="BC149" s="83">
        <v>64</v>
      </c>
      <c r="BD149" s="81">
        <v>176</v>
      </c>
      <c r="BE149" s="81">
        <v>1</v>
      </c>
      <c r="BF149" s="81">
        <v>0</v>
      </c>
      <c r="BG149" s="81">
        <v>111</v>
      </c>
      <c r="BH149" s="81">
        <v>3</v>
      </c>
      <c r="BI149" s="81">
        <v>10</v>
      </c>
      <c r="BJ149" s="81">
        <v>67</v>
      </c>
      <c r="BK149" s="81"/>
      <c r="BL149" s="81">
        <v>1</v>
      </c>
      <c r="BM149" s="81">
        <v>24</v>
      </c>
      <c r="BN149" s="81">
        <v>393</v>
      </c>
      <c r="BO149" s="83">
        <v>393</v>
      </c>
      <c r="BP149" s="81">
        <v>137</v>
      </c>
      <c r="BQ149" s="81">
        <v>3</v>
      </c>
      <c r="BR149" s="81">
        <v>0</v>
      </c>
      <c r="BS149" s="81">
        <v>97</v>
      </c>
      <c r="BT149" s="81">
        <v>0</v>
      </c>
      <c r="BU149" s="81">
        <v>1</v>
      </c>
      <c r="BV149" s="81">
        <v>0</v>
      </c>
      <c r="BW149" s="81">
        <v>2</v>
      </c>
      <c r="BX149" s="81">
        <v>1</v>
      </c>
      <c r="BY149" s="81">
        <v>15</v>
      </c>
      <c r="BZ149" s="81"/>
      <c r="CA149" s="81">
        <v>255</v>
      </c>
      <c r="CB149" s="83">
        <v>256</v>
      </c>
      <c r="CC149" s="81">
        <v>63</v>
      </c>
      <c r="CD149" s="81">
        <v>81</v>
      </c>
      <c r="CE149" s="81">
        <v>144</v>
      </c>
      <c r="CF149" s="81">
        <v>144</v>
      </c>
    </row>
    <row r="150" spans="1:84">
      <c r="A150" s="82">
        <v>39539</v>
      </c>
      <c r="B150" s="81">
        <v>255</v>
      </c>
      <c r="C150" s="81">
        <v>2</v>
      </c>
      <c r="D150" s="81">
        <v>0</v>
      </c>
      <c r="E150" s="81"/>
      <c r="F150" s="81">
        <v>213</v>
      </c>
      <c r="G150" s="81">
        <v>8</v>
      </c>
      <c r="H150" s="81">
        <v>18</v>
      </c>
      <c r="I150" s="81"/>
      <c r="J150" s="81"/>
      <c r="K150" s="81">
        <v>0</v>
      </c>
      <c r="L150" s="81">
        <v>30</v>
      </c>
      <c r="M150" s="81">
        <v>525</v>
      </c>
      <c r="N150" s="83">
        <v>526</v>
      </c>
      <c r="O150" s="85">
        <v>208</v>
      </c>
      <c r="P150" s="85">
        <v>1</v>
      </c>
      <c r="Q150" s="85">
        <v>201</v>
      </c>
      <c r="R150" s="85">
        <v>37</v>
      </c>
      <c r="S150" s="85">
        <v>3</v>
      </c>
      <c r="T150" s="85"/>
      <c r="U150" s="85"/>
      <c r="V150" s="85">
        <v>2</v>
      </c>
      <c r="W150" s="85"/>
      <c r="X150" s="85">
        <v>2</v>
      </c>
      <c r="Y150" s="85">
        <v>453</v>
      </c>
      <c r="Z150" s="83">
        <v>454</v>
      </c>
      <c r="AA150" s="81">
        <v>49</v>
      </c>
      <c r="AB150" s="81">
        <v>1</v>
      </c>
      <c r="AC150" s="81">
        <v>0</v>
      </c>
      <c r="AD150" s="81">
        <v>0</v>
      </c>
      <c r="AE150" s="81">
        <v>90</v>
      </c>
      <c r="AF150" s="81">
        <v>4</v>
      </c>
      <c r="AG150" s="81">
        <v>8</v>
      </c>
      <c r="AH150" s="81">
        <v>0</v>
      </c>
      <c r="AI150" s="81">
        <v>0</v>
      </c>
      <c r="AJ150" s="81">
        <v>0</v>
      </c>
      <c r="AK150" s="81">
        <v>0</v>
      </c>
      <c r="AL150" s="81">
        <v>0</v>
      </c>
      <c r="AM150" s="81"/>
      <c r="AN150" s="81">
        <v>152</v>
      </c>
      <c r="AO150" s="83">
        <v>152</v>
      </c>
      <c r="AP150" s="81">
        <v>14</v>
      </c>
      <c r="AQ150" s="81">
        <v>0</v>
      </c>
      <c r="AR150" s="81">
        <v>1</v>
      </c>
      <c r="AS150" s="81">
        <v>21</v>
      </c>
      <c r="AT150" s="81">
        <v>5</v>
      </c>
      <c r="AU150" s="81">
        <v>4</v>
      </c>
      <c r="AV150" s="81">
        <v>4</v>
      </c>
      <c r="AW150" s="81">
        <v>14</v>
      </c>
      <c r="AX150" s="81">
        <v>0</v>
      </c>
      <c r="AY150" s="81">
        <v>3</v>
      </c>
      <c r="AZ150" s="81">
        <v>2</v>
      </c>
      <c r="BA150" s="81">
        <v>1</v>
      </c>
      <c r="BB150" s="81">
        <v>67</v>
      </c>
      <c r="BC150" s="83">
        <v>69</v>
      </c>
      <c r="BD150" s="81">
        <v>198</v>
      </c>
      <c r="BE150" s="81">
        <v>1</v>
      </c>
      <c r="BF150" s="81">
        <v>0</v>
      </c>
      <c r="BG150" s="81">
        <v>119</v>
      </c>
      <c r="BH150" s="81">
        <v>3</v>
      </c>
      <c r="BI150" s="81">
        <v>10</v>
      </c>
      <c r="BJ150" s="81">
        <v>69</v>
      </c>
      <c r="BK150" s="81"/>
      <c r="BL150" s="81">
        <v>0</v>
      </c>
      <c r="BM150" s="81">
        <v>24</v>
      </c>
      <c r="BN150" s="81">
        <v>425</v>
      </c>
      <c r="BO150" s="83">
        <v>424</v>
      </c>
      <c r="BP150" s="81">
        <v>171</v>
      </c>
      <c r="BQ150" s="81">
        <v>3</v>
      </c>
      <c r="BR150" s="81">
        <v>0</v>
      </c>
      <c r="BS150" s="81">
        <v>117</v>
      </c>
      <c r="BT150" s="81">
        <v>0</v>
      </c>
      <c r="BU150" s="81">
        <v>1</v>
      </c>
      <c r="BV150" s="81">
        <v>0</v>
      </c>
      <c r="BW150" s="81">
        <v>3</v>
      </c>
      <c r="BX150" s="81">
        <v>0</v>
      </c>
      <c r="BY150" s="81">
        <v>21</v>
      </c>
      <c r="BZ150" s="81"/>
      <c r="CA150" s="81">
        <v>317</v>
      </c>
      <c r="CB150" s="83">
        <v>316</v>
      </c>
      <c r="CC150" s="81">
        <v>93</v>
      </c>
      <c r="CD150" s="81">
        <v>100</v>
      </c>
      <c r="CE150" s="81">
        <v>193</v>
      </c>
      <c r="CF150" s="81">
        <v>193</v>
      </c>
    </row>
    <row r="151" spans="1:84">
      <c r="A151" s="82">
        <v>39569</v>
      </c>
      <c r="B151" s="81">
        <v>237</v>
      </c>
      <c r="C151" s="81">
        <v>2</v>
      </c>
      <c r="D151" s="81">
        <v>0</v>
      </c>
      <c r="E151" s="81"/>
      <c r="F151" s="81">
        <v>181</v>
      </c>
      <c r="G151" s="81">
        <v>8</v>
      </c>
      <c r="H151" s="81">
        <v>18</v>
      </c>
      <c r="I151" s="81"/>
      <c r="J151" s="81"/>
      <c r="K151" s="81">
        <v>2</v>
      </c>
      <c r="L151" s="81">
        <v>29</v>
      </c>
      <c r="M151" s="81">
        <v>478</v>
      </c>
      <c r="N151" s="83">
        <v>477</v>
      </c>
      <c r="O151" s="85">
        <v>181</v>
      </c>
      <c r="P151" s="85">
        <v>1</v>
      </c>
      <c r="Q151" s="85">
        <v>225</v>
      </c>
      <c r="R151" s="85">
        <v>39</v>
      </c>
      <c r="S151" s="85">
        <v>3</v>
      </c>
      <c r="T151" s="85"/>
      <c r="U151" s="85"/>
      <c r="V151" s="85">
        <v>0</v>
      </c>
      <c r="W151" s="85"/>
      <c r="X151" s="85">
        <v>1</v>
      </c>
      <c r="Y151" s="85">
        <v>449</v>
      </c>
      <c r="Z151" s="83">
        <v>450</v>
      </c>
      <c r="AA151" s="81">
        <v>46</v>
      </c>
      <c r="AB151" s="81">
        <v>0</v>
      </c>
      <c r="AC151" s="81">
        <v>0</v>
      </c>
      <c r="AD151" s="81">
        <v>0</v>
      </c>
      <c r="AE151" s="81">
        <v>77</v>
      </c>
      <c r="AF151" s="81">
        <v>4</v>
      </c>
      <c r="AG151" s="81">
        <v>9</v>
      </c>
      <c r="AH151" s="81">
        <v>0</v>
      </c>
      <c r="AI151" s="81">
        <v>0</v>
      </c>
      <c r="AJ151" s="81">
        <v>0</v>
      </c>
      <c r="AK151" s="81">
        <v>1</v>
      </c>
      <c r="AL151" s="81">
        <v>0</v>
      </c>
      <c r="AM151" s="81"/>
      <c r="AN151" s="81">
        <v>137</v>
      </c>
      <c r="AO151" s="83">
        <v>137</v>
      </c>
      <c r="AP151" s="81">
        <v>14</v>
      </c>
      <c r="AQ151" s="81">
        <v>1</v>
      </c>
      <c r="AR151" s="81">
        <v>1</v>
      </c>
      <c r="AS151" s="81">
        <v>26</v>
      </c>
      <c r="AT151" s="81">
        <v>5</v>
      </c>
      <c r="AU151" s="81">
        <v>5</v>
      </c>
      <c r="AV151" s="81">
        <v>3</v>
      </c>
      <c r="AW151" s="81">
        <v>12</v>
      </c>
      <c r="AX151" s="81">
        <v>0</v>
      </c>
      <c r="AY151" s="81">
        <v>2</v>
      </c>
      <c r="AZ151" s="81">
        <v>2</v>
      </c>
      <c r="BA151" s="81">
        <v>2</v>
      </c>
      <c r="BB151" s="81">
        <v>71</v>
      </c>
      <c r="BC151" s="83">
        <v>73</v>
      </c>
      <c r="BD151" s="81">
        <v>182</v>
      </c>
      <c r="BE151" s="81">
        <v>1</v>
      </c>
      <c r="BF151" s="81">
        <v>0</v>
      </c>
      <c r="BG151" s="81">
        <v>102</v>
      </c>
      <c r="BH151" s="81">
        <v>3</v>
      </c>
      <c r="BI151" s="81">
        <v>10</v>
      </c>
      <c r="BJ151" s="81">
        <v>69</v>
      </c>
      <c r="BK151" s="81"/>
      <c r="BL151" s="81">
        <v>1</v>
      </c>
      <c r="BM151" s="81">
        <v>26</v>
      </c>
      <c r="BN151" s="81">
        <v>394</v>
      </c>
      <c r="BO151" s="83">
        <v>394</v>
      </c>
      <c r="BP151" s="81">
        <v>175</v>
      </c>
      <c r="BQ151" s="81">
        <v>2</v>
      </c>
      <c r="BR151" s="81">
        <v>0</v>
      </c>
      <c r="BS151" s="81">
        <v>114</v>
      </c>
      <c r="BT151" s="81">
        <v>0</v>
      </c>
      <c r="BU151" s="81">
        <v>1</v>
      </c>
      <c r="BV151" s="81">
        <v>0</v>
      </c>
      <c r="BW151" s="81">
        <v>2</v>
      </c>
      <c r="BX151" s="81">
        <v>1</v>
      </c>
      <c r="BY151" s="81">
        <v>18</v>
      </c>
      <c r="BZ151" s="81"/>
      <c r="CA151" s="81">
        <v>314</v>
      </c>
      <c r="CB151" s="83">
        <v>313</v>
      </c>
      <c r="CC151" s="81">
        <v>103</v>
      </c>
      <c r="CD151" s="81">
        <v>98</v>
      </c>
      <c r="CE151" s="81">
        <v>201</v>
      </c>
      <c r="CF151" s="81">
        <v>201</v>
      </c>
    </row>
    <row r="152" spans="1:84">
      <c r="A152" s="82">
        <v>39600</v>
      </c>
      <c r="B152" s="81">
        <v>264</v>
      </c>
      <c r="C152" s="81">
        <v>3</v>
      </c>
      <c r="D152" s="81">
        <v>0</v>
      </c>
      <c r="E152" s="81"/>
      <c r="F152" s="81">
        <v>187</v>
      </c>
      <c r="G152" s="81">
        <v>9</v>
      </c>
      <c r="H152" s="81">
        <v>19</v>
      </c>
      <c r="I152" s="81"/>
      <c r="J152" s="81"/>
      <c r="K152" s="81">
        <v>0</v>
      </c>
      <c r="L152" s="81">
        <v>27</v>
      </c>
      <c r="M152" s="81">
        <v>408</v>
      </c>
      <c r="N152" s="83">
        <v>509</v>
      </c>
      <c r="O152" s="85">
        <v>240</v>
      </c>
      <c r="P152" s="85">
        <v>0</v>
      </c>
      <c r="Q152" s="85">
        <v>180</v>
      </c>
      <c r="R152" s="85">
        <v>40</v>
      </c>
      <c r="S152" s="85">
        <v>3</v>
      </c>
      <c r="T152" s="85"/>
      <c r="U152" s="85"/>
      <c r="V152" s="85">
        <v>1</v>
      </c>
      <c r="W152" s="85"/>
      <c r="X152" s="85">
        <v>1</v>
      </c>
      <c r="Y152" s="85">
        <v>466</v>
      </c>
      <c r="Z152" s="83">
        <v>465</v>
      </c>
      <c r="AA152" s="81">
        <v>51</v>
      </c>
      <c r="AB152" s="81">
        <v>1</v>
      </c>
      <c r="AC152" s="81">
        <v>0</v>
      </c>
      <c r="AD152" s="81">
        <v>0</v>
      </c>
      <c r="AE152" s="81">
        <v>79</v>
      </c>
      <c r="AF152" s="81">
        <v>4</v>
      </c>
      <c r="AG152" s="81">
        <v>9</v>
      </c>
      <c r="AH152" s="81">
        <v>0</v>
      </c>
      <c r="AI152" s="81">
        <v>0</v>
      </c>
      <c r="AJ152" s="81">
        <v>0</v>
      </c>
      <c r="AK152" s="81">
        <v>0</v>
      </c>
      <c r="AL152" s="81">
        <v>0</v>
      </c>
      <c r="AM152" s="81"/>
      <c r="AN152" s="81">
        <v>144</v>
      </c>
      <c r="AO152" s="83">
        <v>144</v>
      </c>
      <c r="AP152" s="81">
        <v>20</v>
      </c>
      <c r="AQ152" s="81">
        <v>0</v>
      </c>
      <c r="AR152" s="81">
        <v>0</v>
      </c>
      <c r="AS152" s="81">
        <v>28</v>
      </c>
      <c r="AT152" s="81">
        <v>5</v>
      </c>
      <c r="AU152" s="81">
        <v>5</v>
      </c>
      <c r="AV152" s="81">
        <v>2</v>
      </c>
      <c r="AW152" s="81">
        <v>12</v>
      </c>
      <c r="AX152" s="81">
        <v>0</v>
      </c>
      <c r="AY152" s="81">
        <v>2</v>
      </c>
      <c r="AZ152" s="81">
        <v>2</v>
      </c>
      <c r="BA152" s="81">
        <v>2</v>
      </c>
      <c r="BB152" s="81">
        <v>78</v>
      </c>
      <c r="BC152" s="83">
        <v>78</v>
      </c>
      <c r="BD152" s="81">
        <v>202</v>
      </c>
      <c r="BE152" s="81">
        <v>2</v>
      </c>
      <c r="BF152" s="81">
        <v>0</v>
      </c>
      <c r="BG152" s="81">
        <v>105</v>
      </c>
      <c r="BH152" s="81">
        <v>4</v>
      </c>
      <c r="BI152" s="81">
        <v>10</v>
      </c>
      <c r="BJ152" s="81">
        <v>71</v>
      </c>
      <c r="BK152" s="81"/>
      <c r="BL152" s="81">
        <v>0</v>
      </c>
      <c r="BM152" s="81">
        <v>26</v>
      </c>
      <c r="BN152" s="81">
        <v>421</v>
      </c>
      <c r="BO152" s="83">
        <v>420</v>
      </c>
      <c r="BP152" s="81">
        <v>179</v>
      </c>
      <c r="BQ152" s="81">
        <v>2</v>
      </c>
      <c r="BR152" s="81">
        <v>0</v>
      </c>
      <c r="BS152" s="81">
        <v>98</v>
      </c>
      <c r="BT152" s="81">
        <v>1</v>
      </c>
      <c r="BU152" s="81">
        <v>2</v>
      </c>
      <c r="BV152" s="81">
        <v>0</v>
      </c>
      <c r="BW152" s="81">
        <v>2</v>
      </c>
      <c r="BX152" s="81">
        <v>0</v>
      </c>
      <c r="BY152" s="81">
        <v>15</v>
      </c>
      <c r="BZ152" s="81"/>
      <c r="CA152" s="81">
        <v>299</v>
      </c>
      <c r="CB152" s="83">
        <v>299</v>
      </c>
      <c r="CC152" s="81">
        <v>109</v>
      </c>
      <c r="CD152" s="81">
        <v>84</v>
      </c>
      <c r="CE152" s="81">
        <v>192</v>
      </c>
      <c r="CF152" s="81">
        <v>193</v>
      </c>
    </row>
    <row r="153" spans="1:84">
      <c r="A153" s="82">
        <v>39630</v>
      </c>
      <c r="B153" s="81">
        <v>241</v>
      </c>
      <c r="C153" s="81">
        <v>2</v>
      </c>
      <c r="D153" s="81">
        <v>0</v>
      </c>
      <c r="E153" s="81"/>
      <c r="F153" s="81">
        <v>198</v>
      </c>
      <c r="G153" s="81">
        <v>9</v>
      </c>
      <c r="H153" s="81">
        <v>19</v>
      </c>
      <c r="I153" s="81"/>
      <c r="J153" s="81"/>
      <c r="K153" s="81">
        <v>2</v>
      </c>
      <c r="L153" s="81">
        <v>27</v>
      </c>
      <c r="M153" s="81">
        <v>497</v>
      </c>
      <c r="N153" s="83">
        <v>498</v>
      </c>
      <c r="O153" s="85">
        <v>303</v>
      </c>
      <c r="P153" s="85">
        <v>1</v>
      </c>
      <c r="Q153" s="85">
        <v>182</v>
      </c>
      <c r="R153" s="85">
        <v>42</v>
      </c>
      <c r="S153" s="85">
        <v>2</v>
      </c>
      <c r="T153" s="85"/>
      <c r="U153" s="85"/>
      <c r="V153" s="85">
        <v>1</v>
      </c>
      <c r="W153" s="85"/>
      <c r="X153" s="85">
        <v>1</v>
      </c>
      <c r="Y153" s="85">
        <v>532</v>
      </c>
      <c r="Z153" s="83">
        <v>532</v>
      </c>
      <c r="AA153" s="81">
        <v>47</v>
      </c>
      <c r="AB153" s="81">
        <v>0</v>
      </c>
      <c r="AC153" s="81">
        <v>0</v>
      </c>
      <c r="AD153" s="81">
        <v>0</v>
      </c>
      <c r="AE153" s="81">
        <v>85</v>
      </c>
      <c r="AF153" s="81">
        <v>4</v>
      </c>
      <c r="AG153" s="81">
        <v>9</v>
      </c>
      <c r="AH153" s="81">
        <v>0</v>
      </c>
      <c r="AI153" s="81">
        <v>0</v>
      </c>
      <c r="AJ153" s="81">
        <v>0</v>
      </c>
      <c r="AK153" s="81">
        <v>1</v>
      </c>
      <c r="AL153" s="81">
        <v>0</v>
      </c>
      <c r="AM153" s="81"/>
      <c r="AN153" s="81">
        <v>146</v>
      </c>
      <c r="AO153" s="83">
        <v>146</v>
      </c>
      <c r="AP153" s="81">
        <v>18</v>
      </c>
      <c r="AQ153" s="81">
        <v>1</v>
      </c>
      <c r="AR153" s="81">
        <v>1</v>
      </c>
      <c r="AS153" s="81">
        <v>35</v>
      </c>
      <c r="AT153" s="81">
        <v>4</v>
      </c>
      <c r="AU153" s="81">
        <v>7</v>
      </c>
      <c r="AV153" s="81">
        <v>2</v>
      </c>
      <c r="AW153" s="81">
        <v>11</v>
      </c>
      <c r="AX153" s="81">
        <v>0</v>
      </c>
      <c r="AY153" s="81">
        <v>2</v>
      </c>
      <c r="AZ153" s="81">
        <v>3</v>
      </c>
      <c r="BA153" s="81">
        <v>5</v>
      </c>
      <c r="BB153" s="81">
        <v>89</v>
      </c>
      <c r="BC153" s="83">
        <v>89</v>
      </c>
      <c r="BD153" s="81">
        <v>181</v>
      </c>
      <c r="BE153" s="81">
        <v>1</v>
      </c>
      <c r="BF153" s="81">
        <v>0</v>
      </c>
      <c r="BG153" s="81">
        <v>110</v>
      </c>
      <c r="BH153" s="81">
        <v>4</v>
      </c>
      <c r="BI153" s="81">
        <v>11</v>
      </c>
      <c r="BJ153" s="81">
        <v>74</v>
      </c>
      <c r="BK153" s="81"/>
      <c r="BL153" s="81">
        <v>0</v>
      </c>
      <c r="BM153" s="81">
        <v>26</v>
      </c>
      <c r="BN153" s="81">
        <v>408</v>
      </c>
      <c r="BO153" s="83">
        <v>407</v>
      </c>
      <c r="BP153" s="81">
        <v>206</v>
      </c>
      <c r="BQ153" s="81">
        <v>2</v>
      </c>
      <c r="BR153" s="81">
        <v>0</v>
      </c>
      <c r="BS153" s="81">
        <v>103</v>
      </c>
      <c r="BT153" s="81">
        <v>1</v>
      </c>
      <c r="BU153" s="81">
        <v>2</v>
      </c>
      <c r="BV153" s="81">
        <v>0</v>
      </c>
      <c r="BW153" s="81">
        <v>2</v>
      </c>
      <c r="BX153" s="81">
        <v>0</v>
      </c>
      <c r="BY153" s="81">
        <v>21</v>
      </c>
      <c r="BZ153" s="81"/>
      <c r="CA153" s="81">
        <v>337</v>
      </c>
      <c r="CB153" s="83">
        <v>337</v>
      </c>
      <c r="CC153" s="81">
        <v>128</v>
      </c>
      <c r="CD153" s="81">
        <v>86</v>
      </c>
      <c r="CE153" s="81">
        <v>214</v>
      </c>
      <c r="CF153" s="81">
        <v>214</v>
      </c>
    </row>
    <row r="154" spans="1:84">
      <c r="A154" s="82">
        <v>39661</v>
      </c>
      <c r="B154" s="81">
        <v>234</v>
      </c>
      <c r="C154" s="81">
        <v>2</v>
      </c>
      <c r="D154" s="81">
        <v>0</v>
      </c>
      <c r="E154" s="81"/>
      <c r="F154" s="81">
        <v>141</v>
      </c>
      <c r="G154" s="81">
        <v>7</v>
      </c>
      <c r="H154" s="81">
        <v>18</v>
      </c>
      <c r="I154" s="81"/>
      <c r="J154" s="81"/>
      <c r="K154" s="81">
        <v>1</v>
      </c>
      <c r="L154" s="81">
        <v>26</v>
      </c>
      <c r="M154" s="81">
        <v>428</v>
      </c>
      <c r="N154" s="83">
        <v>429</v>
      </c>
      <c r="O154" s="85">
        <v>243</v>
      </c>
      <c r="P154" s="85">
        <v>0</v>
      </c>
      <c r="Q154" s="85">
        <v>222</v>
      </c>
      <c r="R154" s="85">
        <v>45</v>
      </c>
      <c r="S154" s="85">
        <v>3</v>
      </c>
      <c r="T154" s="85"/>
      <c r="U154" s="85"/>
      <c r="V154" s="85">
        <v>0</v>
      </c>
      <c r="W154" s="85"/>
      <c r="X154" s="85">
        <v>1</v>
      </c>
      <c r="Y154" s="85">
        <v>514</v>
      </c>
      <c r="Z154" s="83">
        <v>514</v>
      </c>
      <c r="AA154" s="81">
        <v>46</v>
      </c>
      <c r="AB154" s="81">
        <v>0</v>
      </c>
      <c r="AC154" s="81">
        <v>0</v>
      </c>
      <c r="AD154" s="81">
        <v>0</v>
      </c>
      <c r="AE154" s="81">
        <v>60</v>
      </c>
      <c r="AF154" s="81">
        <v>3</v>
      </c>
      <c r="AG154" s="81">
        <v>8</v>
      </c>
      <c r="AH154" s="81">
        <v>0</v>
      </c>
      <c r="AI154" s="81">
        <v>0</v>
      </c>
      <c r="AJ154" s="81">
        <v>0</v>
      </c>
      <c r="AK154" s="81">
        <v>0</v>
      </c>
      <c r="AL154" s="81">
        <v>0</v>
      </c>
      <c r="AM154" s="81"/>
      <c r="AN154" s="81">
        <v>118</v>
      </c>
      <c r="AO154" s="83">
        <v>117</v>
      </c>
      <c r="AP154" s="81">
        <v>22</v>
      </c>
      <c r="AQ154" s="81">
        <v>1</v>
      </c>
      <c r="AR154" s="81">
        <v>1</v>
      </c>
      <c r="AS154" s="81">
        <v>31</v>
      </c>
      <c r="AT154" s="81">
        <v>4</v>
      </c>
      <c r="AU154" s="81">
        <v>9</v>
      </c>
      <c r="AV154" s="81">
        <v>3</v>
      </c>
      <c r="AW154" s="81">
        <v>14</v>
      </c>
      <c r="AX154" s="81">
        <v>0</v>
      </c>
      <c r="AY154" s="81">
        <v>2</v>
      </c>
      <c r="AZ154" s="81">
        <v>3</v>
      </c>
      <c r="BA154" s="81">
        <v>4</v>
      </c>
      <c r="BB154" s="81">
        <v>101</v>
      </c>
      <c r="BC154" s="83">
        <v>94</v>
      </c>
      <c r="BD154" s="81">
        <v>178</v>
      </c>
      <c r="BE154" s="81">
        <v>1</v>
      </c>
      <c r="BF154" s="81">
        <v>0</v>
      </c>
      <c r="BG154" s="81">
        <v>81</v>
      </c>
      <c r="BH154" s="81">
        <v>3</v>
      </c>
      <c r="BI154" s="81">
        <v>10</v>
      </c>
      <c r="BJ154" s="81">
        <v>68</v>
      </c>
      <c r="BK154" s="81"/>
      <c r="BL154" s="81">
        <v>0</v>
      </c>
      <c r="BM154" s="81">
        <v>28</v>
      </c>
      <c r="BN154" s="81">
        <v>369</v>
      </c>
      <c r="BO154" s="83">
        <v>369</v>
      </c>
      <c r="BP154" s="81">
        <v>206</v>
      </c>
      <c r="BQ154" s="81">
        <v>2</v>
      </c>
      <c r="BR154" s="81">
        <v>0</v>
      </c>
      <c r="BS154" s="81">
        <v>82</v>
      </c>
      <c r="BT154" s="81">
        <v>1</v>
      </c>
      <c r="BU154" s="81">
        <v>3</v>
      </c>
      <c r="BV154" s="81">
        <v>0</v>
      </c>
      <c r="BW154" s="81">
        <v>4</v>
      </c>
      <c r="BX154" s="81">
        <v>1</v>
      </c>
      <c r="BY154" s="81">
        <v>29</v>
      </c>
      <c r="BZ154" s="81"/>
      <c r="CA154" s="81">
        <v>326</v>
      </c>
      <c r="CB154" s="83">
        <v>328</v>
      </c>
      <c r="CC154" s="81">
        <v>127</v>
      </c>
      <c r="CD154" s="81">
        <v>66</v>
      </c>
      <c r="CE154" s="81">
        <v>193</v>
      </c>
      <c r="CF154" s="81">
        <v>193</v>
      </c>
    </row>
    <row r="155" spans="1:84">
      <c r="A155" s="82">
        <v>39692</v>
      </c>
      <c r="B155" s="81">
        <v>232</v>
      </c>
      <c r="C155" s="81">
        <v>2</v>
      </c>
      <c r="D155" s="81">
        <v>0</v>
      </c>
      <c r="E155" s="81"/>
      <c r="F155" s="81">
        <v>177</v>
      </c>
      <c r="G155" s="81">
        <v>8</v>
      </c>
      <c r="H155" s="81">
        <v>17</v>
      </c>
      <c r="I155" s="81"/>
      <c r="J155" s="81"/>
      <c r="K155" s="81">
        <v>1</v>
      </c>
      <c r="L155" s="81">
        <v>29</v>
      </c>
      <c r="M155" s="81">
        <v>466</v>
      </c>
      <c r="N155" s="83">
        <v>466</v>
      </c>
      <c r="O155" s="85">
        <v>229</v>
      </c>
      <c r="P155" s="85">
        <v>0</v>
      </c>
      <c r="Q155" s="85">
        <v>203</v>
      </c>
      <c r="R155" s="85">
        <v>42</v>
      </c>
      <c r="S155" s="85">
        <v>3</v>
      </c>
      <c r="T155" s="85"/>
      <c r="U155" s="85"/>
      <c r="V155" s="85">
        <v>2</v>
      </c>
      <c r="W155" s="85"/>
      <c r="X155" s="85">
        <v>2</v>
      </c>
      <c r="Y155" s="85">
        <v>480</v>
      </c>
      <c r="Z155" s="83">
        <v>481</v>
      </c>
      <c r="AA155" s="81">
        <v>46</v>
      </c>
      <c r="AB155" s="81">
        <v>0</v>
      </c>
      <c r="AC155" s="81">
        <v>0</v>
      </c>
      <c r="AD155" s="81">
        <v>0</v>
      </c>
      <c r="AE155" s="81">
        <v>76</v>
      </c>
      <c r="AF155" s="81">
        <v>4</v>
      </c>
      <c r="AG155" s="81">
        <v>8</v>
      </c>
      <c r="AH155" s="81">
        <v>0</v>
      </c>
      <c r="AI155" s="81">
        <v>0</v>
      </c>
      <c r="AJ155" s="81">
        <v>0</v>
      </c>
      <c r="AK155" s="81">
        <v>0</v>
      </c>
      <c r="AL155" s="81">
        <v>0</v>
      </c>
      <c r="AM155" s="81"/>
      <c r="AN155" s="81">
        <v>134</v>
      </c>
      <c r="AO155" s="83">
        <v>134</v>
      </c>
      <c r="AP155" s="81">
        <v>25</v>
      </c>
      <c r="AQ155" s="81">
        <v>1</v>
      </c>
      <c r="AR155" s="81">
        <v>1</v>
      </c>
      <c r="AS155" s="81">
        <v>32</v>
      </c>
      <c r="AT155" s="81">
        <v>5</v>
      </c>
      <c r="AU155" s="81">
        <v>8</v>
      </c>
      <c r="AV155" s="81">
        <v>2</v>
      </c>
      <c r="AW155" s="81">
        <v>15</v>
      </c>
      <c r="AX155" s="81">
        <v>0</v>
      </c>
      <c r="AY155" s="81">
        <v>2</v>
      </c>
      <c r="AZ155" s="81">
        <v>2</v>
      </c>
      <c r="BA155" s="81">
        <v>6</v>
      </c>
      <c r="BB155" s="81">
        <v>98</v>
      </c>
      <c r="BC155" s="83">
        <v>99</v>
      </c>
      <c r="BD155" s="81">
        <v>177</v>
      </c>
      <c r="BE155" s="81">
        <v>1</v>
      </c>
      <c r="BF155" s="81">
        <v>0</v>
      </c>
      <c r="BG155" s="81">
        <v>102</v>
      </c>
      <c r="BH155" s="81">
        <v>4</v>
      </c>
      <c r="BI155" s="81">
        <v>10</v>
      </c>
      <c r="BJ155" s="81">
        <v>66</v>
      </c>
      <c r="BK155" s="81"/>
      <c r="BL155" s="81">
        <v>0</v>
      </c>
      <c r="BM155" s="81">
        <v>21</v>
      </c>
      <c r="BN155" s="81">
        <v>381</v>
      </c>
      <c r="BO155" s="83">
        <v>381</v>
      </c>
      <c r="BP155" s="81">
        <v>162</v>
      </c>
      <c r="BQ155" s="81">
        <v>1</v>
      </c>
      <c r="BR155" s="81">
        <v>0</v>
      </c>
      <c r="BS155" s="81">
        <v>65</v>
      </c>
      <c r="BT155" s="81">
        <v>1</v>
      </c>
      <c r="BU155" s="81">
        <v>2</v>
      </c>
      <c r="BV155" s="81">
        <v>0</v>
      </c>
      <c r="BW155" s="81">
        <v>2</v>
      </c>
      <c r="BX155" s="81">
        <v>1</v>
      </c>
      <c r="BY155" s="81">
        <v>38</v>
      </c>
      <c r="BZ155" s="81"/>
      <c r="CA155" s="81">
        <v>272</v>
      </c>
      <c r="CB155" s="83">
        <v>272</v>
      </c>
      <c r="CC155" s="81">
        <v>93</v>
      </c>
      <c r="CD155" s="81">
        <v>49</v>
      </c>
      <c r="CE155" s="81">
        <v>142</v>
      </c>
      <c r="CF155" s="81">
        <v>142</v>
      </c>
    </row>
    <row r="156" spans="1:84">
      <c r="A156" s="82">
        <v>39722</v>
      </c>
      <c r="B156" s="81">
        <v>242</v>
      </c>
      <c r="C156" s="81">
        <v>2</v>
      </c>
      <c r="D156" s="81">
        <v>0</v>
      </c>
      <c r="E156" s="81"/>
      <c r="F156" s="81">
        <v>192</v>
      </c>
      <c r="G156" s="81">
        <v>7</v>
      </c>
      <c r="H156" s="81">
        <v>16</v>
      </c>
      <c r="I156" s="81"/>
      <c r="J156" s="81"/>
      <c r="K156" s="81">
        <v>1</v>
      </c>
      <c r="L156" s="81">
        <v>32</v>
      </c>
      <c r="M156" s="81">
        <v>492</v>
      </c>
      <c r="N156" s="83">
        <v>492</v>
      </c>
      <c r="O156" s="85">
        <v>264</v>
      </c>
      <c r="P156" s="85">
        <v>2</v>
      </c>
      <c r="Q156" s="85">
        <v>220</v>
      </c>
      <c r="R156" s="85">
        <v>47</v>
      </c>
      <c r="S156" s="85">
        <v>2</v>
      </c>
      <c r="T156" s="85"/>
      <c r="U156" s="85"/>
      <c r="V156" s="85">
        <v>1</v>
      </c>
      <c r="W156" s="85"/>
      <c r="X156" s="85">
        <v>1</v>
      </c>
      <c r="Y156" s="85">
        <v>537</v>
      </c>
      <c r="Z156" s="83">
        <v>537</v>
      </c>
      <c r="AA156" s="81">
        <v>48</v>
      </c>
      <c r="AB156" s="81">
        <v>0</v>
      </c>
      <c r="AC156" s="81">
        <v>0</v>
      </c>
      <c r="AD156" s="81">
        <v>0</v>
      </c>
      <c r="AE156" s="81">
        <v>82</v>
      </c>
      <c r="AF156" s="81">
        <v>3</v>
      </c>
      <c r="AG156" s="81">
        <v>7</v>
      </c>
      <c r="AH156" s="81">
        <v>0</v>
      </c>
      <c r="AI156" s="81">
        <v>0</v>
      </c>
      <c r="AJ156" s="81">
        <v>0</v>
      </c>
      <c r="AK156" s="81">
        <v>0</v>
      </c>
      <c r="AL156" s="81">
        <v>0</v>
      </c>
      <c r="AM156" s="81"/>
      <c r="AN156" s="81">
        <v>141</v>
      </c>
      <c r="AO156" s="83">
        <v>140</v>
      </c>
      <c r="AP156" s="81">
        <v>27</v>
      </c>
      <c r="AQ156" s="81">
        <v>1</v>
      </c>
      <c r="AR156" s="81">
        <v>3</v>
      </c>
      <c r="AS156" s="81">
        <v>35</v>
      </c>
      <c r="AT156" s="81">
        <v>5</v>
      </c>
      <c r="AU156" s="81">
        <v>9</v>
      </c>
      <c r="AV156" s="81">
        <v>4</v>
      </c>
      <c r="AW156" s="81">
        <v>12</v>
      </c>
      <c r="AX156" s="81">
        <v>1</v>
      </c>
      <c r="AY156" s="81">
        <v>2</v>
      </c>
      <c r="AZ156" s="81">
        <v>3</v>
      </c>
      <c r="BA156" s="81">
        <v>5</v>
      </c>
      <c r="BB156" s="81">
        <v>106</v>
      </c>
      <c r="BC156" s="83">
        <v>107</v>
      </c>
      <c r="BD156" s="81">
        <v>185</v>
      </c>
      <c r="BE156" s="81">
        <v>1</v>
      </c>
      <c r="BF156" s="81">
        <v>0</v>
      </c>
      <c r="BG156" s="81">
        <v>110</v>
      </c>
      <c r="BH156" s="81">
        <v>3</v>
      </c>
      <c r="BI156" s="81">
        <v>9</v>
      </c>
      <c r="BJ156" s="81">
        <v>59</v>
      </c>
      <c r="BK156" s="81"/>
      <c r="BL156" s="81">
        <v>1</v>
      </c>
      <c r="BM156" s="81">
        <v>17</v>
      </c>
      <c r="BN156" s="81">
        <v>385</v>
      </c>
      <c r="BO156" s="83">
        <v>385</v>
      </c>
      <c r="BP156" s="81">
        <v>157</v>
      </c>
      <c r="BQ156" s="81">
        <v>2</v>
      </c>
      <c r="BR156" s="81">
        <v>0</v>
      </c>
      <c r="BS156" s="81">
        <v>59</v>
      </c>
      <c r="BT156" s="81">
        <v>0</v>
      </c>
      <c r="BU156" s="81">
        <v>1</v>
      </c>
      <c r="BV156" s="81">
        <v>0</v>
      </c>
      <c r="BW156" s="81">
        <v>4</v>
      </c>
      <c r="BX156" s="81">
        <v>1</v>
      </c>
      <c r="BY156" s="81">
        <v>51</v>
      </c>
      <c r="BZ156" s="81"/>
      <c r="CA156" s="81">
        <v>275</v>
      </c>
      <c r="CB156" s="83">
        <v>275</v>
      </c>
      <c r="CC156" s="81">
        <v>89</v>
      </c>
      <c r="CD156" s="81">
        <v>43</v>
      </c>
      <c r="CE156" s="81">
        <v>131</v>
      </c>
      <c r="CF156" s="81">
        <v>132</v>
      </c>
    </row>
    <row r="157" spans="1:84">
      <c r="A157" s="82">
        <v>39753</v>
      </c>
      <c r="B157" s="81">
        <v>227</v>
      </c>
      <c r="C157" s="81">
        <v>2</v>
      </c>
      <c r="D157" s="81">
        <v>0</v>
      </c>
      <c r="E157" s="81"/>
      <c r="F157" s="81">
        <v>209</v>
      </c>
      <c r="G157" s="81">
        <v>7</v>
      </c>
      <c r="H157" s="81">
        <v>15</v>
      </c>
      <c r="I157" s="81"/>
      <c r="J157" s="81"/>
      <c r="K157" s="81">
        <v>1</v>
      </c>
      <c r="L157" s="81">
        <v>26</v>
      </c>
      <c r="M157" s="81">
        <v>487</v>
      </c>
      <c r="N157" s="83">
        <v>487</v>
      </c>
      <c r="O157" s="85">
        <v>246</v>
      </c>
      <c r="P157" s="85">
        <v>1</v>
      </c>
      <c r="Q157" s="85">
        <v>226</v>
      </c>
      <c r="R157" s="85">
        <v>44</v>
      </c>
      <c r="S157" s="85">
        <v>3</v>
      </c>
      <c r="T157" s="85"/>
      <c r="U157" s="85"/>
      <c r="V157" s="85">
        <v>1</v>
      </c>
      <c r="W157" s="85"/>
      <c r="X157" s="85">
        <v>1</v>
      </c>
      <c r="Y157" s="85">
        <v>521</v>
      </c>
      <c r="Z157" s="83">
        <v>522</v>
      </c>
      <c r="AA157" s="81">
        <v>44</v>
      </c>
      <c r="AB157" s="81">
        <v>0</v>
      </c>
      <c r="AC157" s="81">
        <v>0</v>
      </c>
      <c r="AD157" s="81">
        <v>0</v>
      </c>
      <c r="AE157" s="81">
        <v>89</v>
      </c>
      <c r="AF157" s="81">
        <v>3</v>
      </c>
      <c r="AG157" s="81">
        <v>7</v>
      </c>
      <c r="AH157" s="81">
        <v>0</v>
      </c>
      <c r="AI157" s="81">
        <v>0</v>
      </c>
      <c r="AJ157" s="81">
        <v>0</v>
      </c>
      <c r="AK157" s="81">
        <v>0</v>
      </c>
      <c r="AL157" s="81">
        <v>0</v>
      </c>
      <c r="AM157" s="81"/>
      <c r="AN157" s="81">
        <v>144</v>
      </c>
      <c r="AO157" s="83">
        <v>143</v>
      </c>
      <c r="AP157" s="81">
        <v>32</v>
      </c>
      <c r="AQ157" s="81">
        <v>1</v>
      </c>
      <c r="AR157" s="81">
        <v>2</v>
      </c>
      <c r="AS157" s="81">
        <v>39</v>
      </c>
      <c r="AT157" s="81">
        <v>5</v>
      </c>
      <c r="AU157" s="81">
        <v>8</v>
      </c>
      <c r="AV157" s="81">
        <v>4</v>
      </c>
      <c r="AW157" s="81">
        <v>11</v>
      </c>
      <c r="AX157" s="81">
        <v>1</v>
      </c>
      <c r="AY157" s="81">
        <v>2</v>
      </c>
      <c r="AZ157" s="81">
        <v>3</v>
      </c>
      <c r="BA157" s="81">
        <v>4</v>
      </c>
      <c r="BB157" s="81">
        <v>111</v>
      </c>
      <c r="BC157" s="83">
        <v>112</v>
      </c>
      <c r="BD157" s="81">
        <v>174</v>
      </c>
      <c r="BE157" s="81">
        <v>1</v>
      </c>
      <c r="BF157" s="81">
        <v>0</v>
      </c>
      <c r="BG157" s="81">
        <v>119</v>
      </c>
      <c r="BH157" s="81">
        <v>3</v>
      </c>
      <c r="BI157" s="81">
        <v>8</v>
      </c>
      <c r="BJ157" s="81">
        <v>56</v>
      </c>
      <c r="BK157" s="81"/>
      <c r="BL157" s="81">
        <v>0</v>
      </c>
      <c r="BM157" s="81">
        <v>17</v>
      </c>
      <c r="BN157" s="81">
        <v>378</v>
      </c>
      <c r="BO157" s="83">
        <v>378</v>
      </c>
      <c r="BP157" s="81">
        <v>149</v>
      </c>
      <c r="BQ157" s="81">
        <v>2</v>
      </c>
      <c r="BR157" s="81">
        <v>0</v>
      </c>
      <c r="BS157" s="81">
        <v>65</v>
      </c>
      <c r="BT157" s="81">
        <v>0</v>
      </c>
      <c r="BU157" s="81">
        <v>1</v>
      </c>
      <c r="BV157" s="81">
        <v>0</v>
      </c>
      <c r="BW157" s="81">
        <v>3</v>
      </c>
      <c r="BX157" s="81">
        <v>1</v>
      </c>
      <c r="BY157" s="81">
        <v>54</v>
      </c>
      <c r="BZ157" s="81"/>
      <c r="CA157" s="81">
        <v>275</v>
      </c>
      <c r="CB157" s="83">
        <v>275</v>
      </c>
      <c r="CC157" s="81">
        <v>82</v>
      </c>
      <c r="CD157" s="81">
        <v>49</v>
      </c>
      <c r="CE157" s="81">
        <v>131</v>
      </c>
      <c r="CF157" s="81">
        <v>131</v>
      </c>
    </row>
    <row r="158" spans="1:84">
      <c r="A158" s="82">
        <v>39783</v>
      </c>
      <c r="B158" s="81">
        <v>213</v>
      </c>
      <c r="C158" s="81">
        <v>2</v>
      </c>
      <c r="D158" s="81">
        <v>0</v>
      </c>
      <c r="E158" s="81"/>
      <c r="F158" s="81">
        <v>195</v>
      </c>
      <c r="G158" s="81">
        <v>7</v>
      </c>
      <c r="H158" s="81">
        <v>15</v>
      </c>
      <c r="I158" s="81"/>
      <c r="J158" s="81"/>
      <c r="K158" s="81">
        <v>1</v>
      </c>
      <c r="L158" s="81">
        <v>30</v>
      </c>
      <c r="M158" s="81">
        <v>464</v>
      </c>
      <c r="N158" s="83">
        <v>463</v>
      </c>
      <c r="O158" s="85">
        <v>179</v>
      </c>
      <c r="P158" s="85">
        <v>1</v>
      </c>
      <c r="Q158" s="85">
        <v>224</v>
      </c>
      <c r="R158" s="85">
        <v>42</v>
      </c>
      <c r="S158" s="85">
        <v>2</v>
      </c>
      <c r="T158" s="85"/>
      <c r="U158" s="85"/>
      <c r="V158" s="85">
        <v>0</v>
      </c>
      <c r="W158" s="85"/>
      <c r="X158" s="85">
        <v>2</v>
      </c>
      <c r="Y158" s="85">
        <v>451</v>
      </c>
      <c r="Z158" s="83">
        <v>450</v>
      </c>
      <c r="AA158" s="81">
        <v>41</v>
      </c>
      <c r="AB158" s="81">
        <v>0</v>
      </c>
      <c r="AC158" s="81">
        <v>0</v>
      </c>
      <c r="AD158" s="81">
        <v>0</v>
      </c>
      <c r="AE158" s="81">
        <v>82</v>
      </c>
      <c r="AF158" s="81">
        <v>3</v>
      </c>
      <c r="AG158" s="81">
        <v>7</v>
      </c>
      <c r="AH158" s="81">
        <v>0</v>
      </c>
      <c r="AI158" s="81">
        <v>0</v>
      </c>
      <c r="AJ158" s="81">
        <v>0</v>
      </c>
      <c r="AK158" s="81">
        <v>0</v>
      </c>
      <c r="AL158" s="81">
        <v>0</v>
      </c>
      <c r="AM158" s="81"/>
      <c r="AN158" s="81">
        <v>133</v>
      </c>
      <c r="AO158" s="83">
        <v>133</v>
      </c>
      <c r="AP158" s="81">
        <v>34</v>
      </c>
      <c r="AQ158" s="81">
        <v>2</v>
      </c>
      <c r="AR158" s="81">
        <v>1</v>
      </c>
      <c r="AS158" s="81">
        <v>39</v>
      </c>
      <c r="AT158" s="81">
        <v>5</v>
      </c>
      <c r="AU158" s="81">
        <v>8</v>
      </c>
      <c r="AV158" s="81">
        <v>3</v>
      </c>
      <c r="AW158" s="81">
        <v>8</v>
      </c>
      <c r="AX158" s="81">
        <v>1</v>
      </c>
      <c r="AY158" s="81">
        <v>2</v>
      </c>
      <c r="AZ158" s="81">
        <v>3</v>
      </c>
      <c r="BA158" s="81">
        <v>3</v>
      </c>
      <c r="BB158" s="81">
        <v>109</v>
      </c>
      <c r="BC158" s="83">
        <v>109</v>
      </c>
      <c r="BD158" s="83">
        <v>184</v>
      </c>
      <c r="BE158" s="81">
        <v>1</v>
      </c>
      <c r="BF158" s="81">
        <v>0</v>
      </c>
      <c r="BG158" s="81">
        <v>108</v>
      </c>
      <c r="BH158" s="81">
        <v>3</v>
      </c>
      <c r="BI158" s="81">
        <v>8</v>
      </c>
      <c r="BJ158" s="81">
        <v>59</v>
      </c>
      <c r="BK158" s="81"/>
      <c r="BL158" s="81">
        <v>0</v>
      </c>
      <c r="BM158" s="81">
        <v>18</v>
      </c>
      <c r="BN158" s="81">
        <v>358</v>
      </c>
      <c r="BO158" s="83">
        <v>381</v>
      </c>
      <c r="BP158" s="81">
        <v>131</v>
      </c>
      <c r="BQ158" s="81">
        <v>2</v>
      </c>
      <c r="BR158" s="81">
        <v>0</v>
      </c>
      <c r="BS158" s="81">
        <v>57</v>
      </c>
      <c r="BT158" s="81">
        <v>0</v>
      </c>
      <c r="BU158" s="81">
        <v>2</v>
      </c>
      <c r="BV158" s="81">
        <v>0</v>
      </c>
      <c r="BW158" s="81">
        <v>3</v>
      </c>
      <c r="BX158" s="81">
        <v>1</v>
      </c>
      <c r="BY158" s="81">
        <v>51</v>
      </c>
      <c r="BZ158" s="81"/>
      <c r="CA158" s="81">
        <v>247</v>
      </c>
      <c r="CB158" s="83">
        <v>247</v>
      </c>
      <c r="CC158" s="81">
        <v>64</v>
      </c>
      <c r="CD158" s="81">
        <v>40</v>
      </c>
      <c r="CE158" s="81">
        <v>104</v>
      </c>
      <c r="CF158" s="81">
        <v>104</v>
      </c>
    </row>
    <row r="159" spans="1:84">
      <c r="A159" s="82">
        <v>39814</v>
      </c>
      <c r="B159" s="81">
        <v>191</v>
      </c>
      <c r="C159" s="81">
        <v>2</v>
      </c>
      <c r="D159" s="81">
        <v>0</v>
      </c>
      <c r="E159" s="81"/>
      <c r="F159" s="81">
        <v>160</v>
      </c>
      <c r="G159" s="81">
        <v>6</v>
      </c>
      <c r="H159" s="81">
        <v>12</v>
      </c>
      <c r="I159" s="81"/>
      <c r="J159" s="81"/>
      <c r="K159" s="81">
        <v>0</v>
      </c>
      <c r="L159" s="81">
        <v>25</v>
      </c>
      <c r="M159" s="81">
        <v>396</v>
      </c>
      <c r="N159" s="83">
        <v>396</v>
      </c>
      <c r="O159" s="85">
        <v>202</v>
      </c>
      <c r="P159" s="85">
        <v>1</v>
      </c>
      <c r="Q159" s="85">
        <v>156</v>
      </c>
      <c r="R159" s="85">
        <v>41</v>
      </c>
      <c r="S159" s="85">
        <v>3</v>
      </c>
      <c r="T159" s="85"/>
      <c r="U159" s="85"/>
      <c r="V159" s="85">
        <v>0</v>
      </c>
      <c r="W159" s="85"/>
      <c r="X159" s="85">
        <v>1</v>
      </c>
      <c r="Y159" s="85">
        <v>405</v>
      </c>
      <c r="Z159" s="83">
        <v>404</v>
      </c>
      <c r="AA159" s="81">
        <v>36</v>
      </c>
      <c r="AB159" s="81">
        <v>0</v>
      </c>
      <c r="AC159" s="81">
        <v>0</v>
      </c>
      <c r="AD159" s="81">
        <v>0</v>
      </c>
      <c r="AE159" s="81">
        <v>68</v>
      </c>
      <c r="AF159" s="81">
        <v>3</v>
      </c>
      <c r="AG159" s="81">
        <v>6</v>
      </c>
      <c r="AH159" s="81">
        <v>0</v>
      </c>
      <c r="AI159" s="81">
        <v>0</v>
      </c>
      <c r="AJ159" s="81">
        <v>0</v>
      </c>
      <c r="AK159" s="81">
        <v>0</v>
      </c>
      <c r="AL159" s="81">
        <v>0</v>
      </c>
      <c r="AM159" s="81"/>
      <c r="AN159" s="81">
        <v>114</v>
      </c>
      <c r="AO159" s="83">
        <v>113</v>
      </c>
      <c r="AP159" s="81">
        <v>36</v>
      </c>
      <c r="AQ159" s="81">
        <v>2</v>
      </c>
      <c r="AR159" s="81">
        <v>1</v>
      </c>
      <c r="AS159" s="81">
        <v>43</v>
      </c>
      <c r="AT159" s="81">
        <v>5</v>
      </c>
      <c r="AU159" s="81">
        <v>8</v>
      </c>
      <c r="AV159" s="81">
        <v>4</v>
      </c>
      <c r="AW159" s="81">
        <v>11</v>
      </c>
      <c r="AX159" s="81">
        <v>1</v>
      </c>
      <c r="AY159" s="81">
        <v>1</v>
      </c>
      <c r="AZ159" s="81">
        <v>3</v>
      </c>
      <c r="BA159" s="81">
        <v>3</v>
      </c>
      <c r="BB159" s="81">
        <v>118</v>
      </c>
      <c r="BC159" s="83">
        <v>118</v>
      </c>
      <c r="BD159" s="81">
        <v>142</v>
      </c>
      <c r="BE159" s="81">
        <v>1</v>
      </c>
      <c r="BF159" s="81">
        <v>0</v>
      </c>
      <c r="BG159" s="81">
        <v>89</v>
      </c>
      <c r="BH159" s="81">
        <v>2</v>
      </c>
      <c r="BI159" s="81">
        <v>7</v>
      </c>
      <c r="BJ159" s="81">
        <v>47</v>
      </c>
      <c r="BK159" s="81"/>
      <c r="BL159" s="81">
        <v>0</v>
      </c>
      <c r="BM159" s="81">
        <v>10</v>
      </c>
      <c r="BN159" s="81">
        <v>299</v>
      </c>
      <c r="BO159" s="83">
        <v>298</v>
      </c>
      <c r="BP159" s="81">
        <v>125</v>
      </c>
      <c r="BQ159" s="81">
        <v>2</v>
      </c>
      <c r="BR159" s="81">
        <v>0</v>
      </c>
      <c r="BS159" s="81">
        <v>45</v>
      </c>
      <c r="BT159" s="81">
        <v>1</v>
      </c>
      <c r="BU159" s="81">
        <v>2</v>
      </c>
      <c r="BV159" s="81">
        <v>0</v>
      </c>
      <c r="BW159" s="81">
        <v>3</v>
      </c>
      <c r="BX159" s="81">
        <v>0</v>
      </c>
      <c r="BY159" s="81">
        <v>41</v>
      </c>
      <c r="BZ159" s="81"/>
      <c r="CA159" s="81">
        <v>218</v>
      </c>
      <c r="CB159" s="83">
        <v>219</v>
      </c>
      <c r="CC159" s="81">
        <v>59</v>
      </c>
      <c r="CD159" s="81">
        <v>29</v>
      </c>
      <c r="CE159" s="81">
        <v>88</v>
      </c>
      <c r="CF159" s="81">
        <v>88</v>
      </c>
    </row>
    <row r="160" spans="1:84">
      <c r="A160" s="82">
        <v>39845</v>
      </c>
      <c r="B160" s="81">
        <v>173</v>
      </c>
      <c r="C160" s="81">
        <v>2</v>
      </c>
      <c r="D160" s="81">
        <v>0</v>
      </c>
      <c r="E160" s="81"/>
      <c r="F160" s="81">
        <v>153</v>
      </c>
      <c r="G160" s="81">
        <v>6</v>
      </c>
      <c r="H160" s="81">
        <v>14</v>
      </c>
      <c r="I160" s="81"/>
      <c r="J160" s="81"/>
      <c r="K160" s="81">
        <v>0</v>
      </c>
      <c r="L160" s="81">
        <v>25</v>
      </c>
      <c r="M160" s="81">
        <v>374</v>
      </c>
      <c r="N160" s="83">
        <v>373</v>
      </c>
      <c r="O160" s="85">
        <v>243</v>
      </c>
      <c r="P160" s="85">
        <v>1</v>
      </c>
      <c r="Q160" s="85">
        <v>211</v>
      </c>
      <c r="R160" s="85">
        <v>39</v>
      </c>
      <c r="S160" s="85">
        <v>2</v>
      </c>
      <c r="T160" s="85"/>
      <c r="U160" s="85"/>
      <c r="V160" s="85">
        <v>2</v>
      </c>
      <c r="W160" s="85"/>
      <c r="X160" s="85">
        <v>1</v>
      </c>
      <c r="Y160" s="85">
        <v>499</v>
      </c>
      <c r="Z160" s="83">
        <v>499</v>
      </c>
      <c r="AA160" s="81">
        <v>32</v>
      </c>
      <c r="AB160" s="81">
        <v>0</v>
      </c>
      <c r="AC160" s="81">
        <v>0</v>
      </c>
      <c r="AD160" s="81">
        <v>0</v>
      </c>
      <c r="AE160" s="81">
        <v>65</v>
      </c>
      <c r="AF160" s="81">
        <v>3</v>
      </c>
      <c r="AG160" s="81">
        <v>7</v>
      </c>
      <c r="AH160" s="81">
        <v>0</v>
      </c>
      <c r="AI160" s="81">
        <v>0</v>
      </c>
      <c r="AJ160" s="81">
        <v>0</v>
      </c>
      <c r="AK160" s="81">
        <v>0</v>
      </c>
      <c r="AL160" s="81">
        <v>0</v>
      </c>
      <c r="AM160" s="81"/>
      <c r="AN160" s="81">
        <v>107</v>
      </c>
      <c r="AO160" s="83">
        <v>107</v>
      </c>
      <c r="AP160" s="81">
        <v>35</v>
      </c>
      <c r="AQ160" s="81">
        <v>1</v>
      </c>
      <c r="AR160" s="81">
        <v>1</v>
      </c>
      <c r="AS160" s="81">
        <v>38</v>
      </c>
      <c r="AT160" s="81">
        <v>5</v>
      </c>
      <c r="AU160" s="81">
        <v>9</v>
      </c>
      <c r="AV160" s="81">
        <v>4</v>
      </c>
      <c r="AW160" s="81">
        <v>14</v>
      </c>
      <c r="AX160" s="81">
        <v>1</v>
      </c>
      <c r="AY160" s="81">
        <v>3</v>
      </c>
      <c r="AZ160" s="81">
        <v>2</v>
      </c>
      <c r="BA160" s="81">
        <v>3</v>
      </c>
      <c r="BB160" s="81">
        <v>115</v>
      </c>
      <c r="BC160" s="83">
        <v>116</v>
      </c>
      <c r="BD160" s="81">
        <v>131</v>
      </c>
      <c r="BE160" s="81">
        <v>1</v>
      </c>
      <c r="BF160" s="81">
        <v>0</v>
      </c>
      <c r="BG160" s="81">
        <v>85</v>
      </c>
      <c r="BH160" s="81">
        <v>3</v>
      </c>
      <c r="BI160" s="81">
        <v>8</v>
      </c>
      <c r="BJ160" s="81">
        <v>55</v>
      </c>
      <c r="BK160" s="81"/>
      <c r="BL160" s="81">
        <v>0</v>
      </c>
      <c r="BM160" s="81">
        <v>10</v>
      </c>
      <c r="BN160" s="81">
        <v>292</v>
      </c>
      <c r="BO160" s="83">
        <v>293</v>
      </c>
      <c r="BP160" s="81">
        <v>113</v>
      </c>
      <c r="BQ160" s="81">
        <v>2</v>
      </c>
      <c r="BR160" s="81">
        <v>0</v>
      </c>
      <c r="BS160" s="81">
        <v>39</v>
      </c>
      <c r="BT160" s="81">
        <v>1</v>
      </c>
      <c r="BU160" s="81">
        <v>2</v>
      </c>
      <c r="BV160" s="81">
        <v>0</v>
      </c>
      <c r="BW160" s="81">
        <v>2</v>
      </c>
      <c r="BX160" s="81">
        <v>0</v>
      </c>
      <c r="BY160" s="81">
        <v>26</v>
      </c>
      <c r="BZ160" s="81"/>
      <c r="CA160" s="81">
        <v>185</v>
      </c>
      <c r="CB160" s="83">
        <v>185</v>
      </c>
      <c r="CC160" s="81">
        <v>47</v>
      </c>
      <c r="CD160" s="81">
        <v>23</v>
      </c>
      <c r="CE160" s="81">
        <v>71</v>
      </c>
      <c r="CF160" s="81">
        <v>70</v>
      </c>
    </row>
    <row r="161" spans="1:84">
      <c r="A161" s="82">
        <v>39873</v>
      </c>
      <c r="B161" s="81">
        <v>221</v>
      </c>
      <c r="C161" s="81">
        <v>1</v>
      </c>
      <c r="D161" s="81">
        <v>0</v>
      </c>
      <c r="E161" s="81"/>
      <c r="F161" s="81">
        <v>180</v>
      </c>
      <c r="G161" s="81">
        <v>6</v>
      </c>
      <c r="H161" s="81">
        <v>15</v>
      </c>
      <c r="I161" s="81"/>
      <c r="J161" s="81"/>
      <c r="K161" s="81">
        <v>2</v>
      </c>
      <c r="L161" s="81">
        <v>27</v>
      </c>
      <c r="M161" s="81">
        <v>451</v>
      </c>
      <c r="N161" s="83">
        <v>452</v>
      </c>
      <c r="O161" s="85">
        <v>151</v>
      </c>
      <c r="P161" s="85">
        <v>1</v>
      </c>
      <c r="Q161" s="85">
        <v>174</v>
      </c>
      <c r="R161" s="85">
        <v>35</v>
      </c>
      <c r="S161" s="85">
        <v>4</v>
      </c>
      <c r="T161" s="85"/>
      <c r="U161" s="85"/>
      <c r="V161" s="85">
        <v>0</v>
      </c>
      <c r="W161" s="85"/>
      <c r="X161" s="85">
        <v>2</v>
      </c>
      <c r="Y161" s="85">
        <v>367</v>
      </c>
      <c r="Z161" s="83">
        <v>367</v>
      </c>
      <c r="AA161" s="81">
        <v>42</v>
      </c>
      <c r="AB161" s="81">
        <v>0</v>
      </c>
      <c r="AC161" s="81">
        <v>0</v>
      </c>
      <c r="AD161" s="81">
        <v>0</v>
      </c>
      <c r="AE161" s="81">
        <v>77</v>
      </c>
      <c r="AF161" s="81">
        <v>3</v>
      </c>
      <c r="AG161" s="81">
        <v>7</v>
      </c>
      <c r="AH161" s="81">
        <v>0</v>
      </c>
      <c r="AI161" s="81">
        <v>0</v>
      </c>
      <c r="AJ161" s="81">
        <v>0</v>
      </c>
      <c r="AK161" s="81">
        <v>1</v>
      </c>
      <c r="AL161" s="81">
        <v>0</v>
      </c>
      <c r="AM161" s="81"/>
      <c r="AN161" s="81">
        <v>130</v>
      </c>
      <c r="AO161" s="83">
        <v>130</v>
      </c>
      <c r="AP161" s="81">
        <v>34</v>
      </c>
      <c r="AQ161" s="81">
        <v>1</v>
      </c>
      <c r="AR161" s="81">
        <v>3</v>
      </c>
      <c r="AS161" s="81">
        <v>36</v>
      </c>
      <c r="AT161" s="81">
        <v>5</v>
      </c>
      <c r="AU161" s="81">
        <v>8</v>
      </c>
      <c r="AV161" s="81">
        <v>3</v>
      </c>
      <c r="AW161" s="81">
        <v>13</v>
      </c>
      <c r="AX161" s="81">
        <v>1</v>
      </c>
      <c r="AY161" s="81">
        <v>2</v>
      </c>
      <c r="AZ161" s="81">
        <v>2</v>
      </c>
      <c r="BA161" s="81">
        <v>2</v>
      </c>
      <c r="BB161" s="81">
        <v>110</v>
      </c>
      <c r="BC161" s="83">
        <v>110</v>
      </c>
      <c r="BD161" s="81">
        <v>168</v>
      </c>
      <c r="BE161" s="81">
        <v>0</v>
      </c>
      <c r="BF161" s="81">
        <v>0</v>
      </c>
      <c r="BG161" s="81">
        <v>101</v>
      </c>
      <c r="BH161" s="81">
        <v>3</v>
      </c>
      <c r="BI161" s="81">
        <v>8</v>
      </c>
      <c r="BJ161" s="81">
        <v>57</v>
      </c>
      <c r="BK161" s="81"/>
      <c r="BL161" s="81">
        <v>1</v>
      </c>
      <c r="BM161" s="81">
        <v>15</v>
      </c>
      <c r="BN161" s="81">
        <v>352</v>
      </c>
      <c r="BO161" s="83">
        <v>353</v>
      </c>
      <c r="BP161" s="81">
        <v>114</v>
      </c>
      <c r="BQ161" s="81">
        <v>1</v>
      </c>
      <c r="BR161" s="81">
        <v>0</v>
      </c>
      <c r="BS161" s="81">
        <v>43</v>
      </c>
      <c r="BT161" s="81">
        <v>0</v>
      </c>
      <c r="BU161" s="81">
        <v>3</v>
      </c>
      <c r="BV161" s="81">
        <v>0</v>
      </c>
      <c r="BW161" s="81">
        <v>5</v>
      </c>
      <c r="BX161" s="81">
        <v>1</v>
      </c>
      <c r="BY161" s="81">
        <v>30</v>
      </c>
      <c r="BZ161" s="81"/>
      <c r="CA161" s="81">
        <v>197</v>
      </c>
      <c r="CB161" s="83">
        <v>197</v>
      </c>
      <c r="CC161" s="81">
        <v>51</v>
      </c>
      <c r="CD161" s="81">
        <v>25</v>
      </c>
      <c r="CE161" s="81">
        <v>76</v>
      </c>
      <c r="CF161" s="81">
        <v>76</v>
      </c>
    </row>
    <row r="162" spans="1:84">
      <c r="A162" s="82">
        <v>39904</v>
      </c>
      <c r="B162" s="81">
        <v>215</v>
      </c>
      <c r="C162" s="81">
        <v>2</v>
      </c>
      <c r="D162" s="81">
        <v>0</v>
      </c>
      <c r="E162" s="81"/>
      <c r="F162" s="81">
        <v>198</v>
      </c>
      <c r="G162" s="81">
        <v>8</v>
      </c>
      <c r="H162" s="81">
        <v>17</v>
      </c>
      <c r="I162" s="81"/>
      <c r="J162" s="81"/>
      <c r="K162" s="81">
        <v>0</v>
      </c>
      <c r="L162" s="81">
        <v>28</v>
      </c>
      <c r="M162" s="81">
        <v>468</v>
      </c>
      <c r="N162" s="83">
        <v>468</v>
      </c>
      <c r="O162" s="85">
        <v>187</v>
      </c>
      <c r="P162" s="85">
        <v>1</v>
      </c>
      <c r="Q162" s="85">
        <v>168</v>
      </c>
      <c r="R162" s="85">
        <v>31</v>
      </c>
      <c r="S162" s="85">
        <v>4</v>
      </c>
      <c r="T162" s="85"/>
      <c r="U162" s="85"/>
      <c r="V162" s="85">
        <v>0</v>
      </c>
      <c r="W162" s="85"/>
      <c r="X162" s="85">
        <v>1</v>
      </c>
      <c r="Y162" s="85">
        <v>393</v>
      </c>
      <c r="Z162" s="83">
        <v>392</v>
      </c>
      <c r="AA162" s="81">
        <v>41</v>
      </c>
      <c r="AB162" s="81">
        <v>0</v>
      </c>
      <c r="AC162" s="81">
        <v>0</v>
      </c>
      <c r="AD162" s="81">
        <v>0</v>
      </c>
      <c r="AE162" s="81">
        <v>86</v>
      </c>
      <c r="AF162" s="81">
        <v>4</v>
      </c>
      <c r="AG162" s="81">
        <v>8</v>
      </c>
      <c r="AH162" s="81">
        <v>0</v>
      </c>
      <c r="AI162" s="81">
        <v>0</v>
      </c>
      <c r="AJ162" s="81">
        <v>0</v>
      </c>
      <c r="AK162" s="81">
        <v>0</v>
      </c>
      <c r="AL162" s="81">
        <v>0</v>
      </c>
      <c r="AM162" s="81"/>
      <c r="AN162" s="81">
        <v>139</v>
      </c>
      <c r="AO162" s="83">
        <v>139</v>
      </c>
      <c r="AP162" s="81">
        <v>30</v>
      </c>
      <c r="AQ162" s="81">
        <v>1</v>
      </c>
      <c r="AR162" s="81">
        <v>3</v>
      </c>
      <c r="AS162" s="81">
        <v>39</v>
      </c>
      <c r="AT162" s="81">
        <v>5</v>
      </c>
      <c r="AU162" s="81">
        <v>8</v>
      </c>
      <c r="AV162" s="81">
        <v>3</v>
      </c>
      <c r="AW162" s="81">
        <v>9</v>
      </c>
      <c r="AX162" s="81">
        <v>1</v>
      </c>
      <c r="AY162" s="81">
        <v>1</v>
      </c>
      <c r="AZ162" s="81">
        <v>2</v>
      </c>
      <c r="BA162" s="81">
        <v>2</v>
      </c>
      <c r="BB162" s="81">
        <v>102</v>
      </c>
      <c r="BC162" s="83">
        <v>104</v>
      </c>
      <c r="BD162" s="81">
        <v>165</v>
      </c>
      <c r="BE162" s="81">
        <v>1</v>
      </c>
      <c r="BF162" s="81">
        <v>0</v>
      </c>
      <c r="BG162" s="81">
        <v>110</v>
      </c>
      <c r="BH162" s="81">
        <v>4</v>
      </c>
      <c r="BI162" s="81">
        <v>9</v>
      </c>
      <c r="BJ162" s="81">
        <v>66</v>
      </c>
      <c r="BK162" s="81"/>
      <c r="BL162" s="81">
        <v>0</v>
      </c>
      <c r="BM162" s="81">
        <v>18</v>
      </c>
      <c r="BN162" s="81">
        <v>372</v>
      </c>
      <c r="BO162" s="83">
        <v>373</v>
      </c>
      <c r="BP162" s="81">
        <v>106</v>
      </c>
      <c r="BQ162" s="81">
        <v>1</v>
      </c>
      <c r="BR162" s="81">
        <v>0</v>
      </c>
      <c r="BS162" s="81">
        <v>53</v>
      </c>
      <c r="BT162" s="81">
        <v>1</v>
      </c>
      <c r="BU162" s="81">
        <v>3</v>
      </c>
      <c r="BV162" s="81">
        <v>0</v>
      </c>
      <c r="BW162" s="81">
        <v>3</v>
      </c>
      <c r="BX162" s="81">
        <v>1</v>
      </c>
      <c r="BY162" s="81">
        <v>27</v>
      </c>
      <c r="BZ162" s="81"/>
      <c r="CA162" s="81">
        <v>194</v>
      </c>
      <c r="CB162" s="83">
        <v>195</v>
      </c>
      <c r="CC162" s="81">
        <v>42</v>
      </c>
      <c r="CD162" s="81">
        <v>34</v>
      </c>
      <c r="CE162" s="81">
        <v>76</v>
      </c>
      <c r="CF162" s="81">
        <v>76</v>
      </c>
    </row>
    <row r="163" spans="1:84">
      <c r="A163" s="82">
        <v>39934</v>
      </c>
      <c r="B163" s="81">
        <v>209</v>
      </c>
      <c r="C163" s="81">
        <v>2</v>
      </c>
      <c r="D163" s="81">
        <v>0</v>
      </c>
      <c r="E163" s="81"/>
      <c r="F163" s="81">
        <v>168</v>
      </c>
      <c r="G163" s="81">
        <v>7</v>
      </c>
      <c r="H163" s="81">
        <v>17</v>
      </c>
      <c r="I163" s="81"/>
      <c r="J163" s="81"/>
      <c r="K163" s="81">
        <v>0</v>
      </c>
      <c r="L163" s="81">
        <v>26</v>
      </c>
      <c r="M163" s="81">
        <v>430</v>
      </c>
      <c r="N163" s="83">
        <v>429</v>
      </c>
      <c r="O163" s="85">
        <v>221</v>
      </c>
      <c r="P163" s="85">
        <v>0</v>
      </c>
      <c r="Q163" s="85">
        <v>190</v>
      </c>
      <c r="R163" s="85">
        <v>30</v>
      </c>
      <c r="S163" s="85">
        <v>2</v>
      </c>
      <c r="T163" s="85"/>
      <c r="U163" s="85"/>
      <c r="V163" s="85">
        <v>1</v>
      </c>
      <c r="W163" s="85"/>
      <c r="X163" s="85">
        <v>1</v>
      </c>
      <c r="Y163" s="85">
        <v>445</v>
      </c>
      <c r="Z163" s="83">
        <v>445</v>
      </c>
      <c r="AA163" s="81">
        <v>40</v>
      </c>
      <c r="AB163" s="81">
        <v>0</v>
      </c>
      <c r="AC163" s="81">
        <v>0</v>
      </c>
      <c r="AD163" s="81">
        <v>0</v>
      </c>
      <c r="AE163" s="81">
        <v>73</v>
      </c>
      <c r="AF163" s="81">
        <v>3</v>
      </c>
      <c r="AG163" s="81">
        <v>8</v>
      </c>
      <c r="AH163" s="81">
        <v>0</v>
      </c>
      <c r="AI163" s="81">
        <v>0</v>
      </c>
      <c r="AJ163" s="81">
        <v>0</v>
      </c>
      <c r="AK163" s="81">
        <v>0</v>
      </c>
      <c r="AL163" s="81">
        <v>0</v>
      </c>
      <c r="AM163" s="81"/>
      <c r="AN163" s="81">
        <v>124</v>
      </c>
      <c r="AO163" s="83">
        <v>124</v>
      </c>
      <c r="AP163" s="81">
        <v>26</v>
      </c>
      <c r="AQ163" s="81">
        <v>1</v>
      </c>
      <c r="AR163" s="81">
        <v>3</v>
      </c>
      <c r="AS163" s="81">
        <v>35</v>
      </c>
      <c r="AT163" s="81">
        <v>5</v>
      </c>
      <c r="AU163" s="81">
        <v>7</v>
      </c>
      <c r="AV163" s="81">
        <v>4</v>
      </c>
      <c r="AW163" s="81">
        <v>13</v>
      </c>
      <c r="AX163" s="81">
        <v>1</v>
      </c>
      <c r="AY163" s="81">
        <v>2</v>
      </c>
      <c r="AZ163" s="81">
        <v>1</v>
      </c>
      <c r="BA163" s="81">
        <v>2</v>
      </c>
      <c r="BB163" s="81">
        <v>100</v>
      </c>
      <c r="BC163" s="83">
        <v>100</v>
      </c>
      <c r="BD163" s="81">
        <v>161</v>
      </c>
      <c r="BE163" s="81">
        <v>1</v>
      </c>
      <c r="BF163" s="81">
        <v>0</v>
      </c>
      <c r="BG163" s="81">
        <v>92</v>
      </c>
      <c r="BH163" s="81">
        <v>3</v>
      </c>
      <c r="BI163" s="81">
        <v>9</v>
      </c>
      <c r="BJ163" s="81">
        <v>64</v>
      </c>
      <c r="BK163" s="81"/>
      <c r="BL163" s="81">
        <v>0</v>
      </c>
      <c r="BM163" s="81">
        <v>18</v>
      </c>
      <c r="BN163" s="81">
        <v>349</v>
      </c>
      <c r="BO163" s="83">
        <v>348</v>
      </c>
      <c r="BP163" s="81">
        <v>112</v>
      </c>
      <c r="BQ163" s="81">
        <v>1</v>
      </c>
      <c r="BR163" s="81">
        <v>0</v>
      </c>
      <c r="BS163" s="81">
        <v>59</v>
      </c>
      <c r="BT163" s="81">
        <v>1</v>
      </c>
      <c r="BU163" s="81">
        <v>2</v>
      </c>
      <c r="BV163" s="81">
        <v>0</v>
      </c>
      <c r="BW163" s="81">
        <v>2</v>
      </c>
      <c r="BX163" s="81">
        <v>0</v>
      </c>
      <c r="BY163" s="81">
        <v>29</v>
      </c>
      <c r="BZ163" s="81"/>
      <c r="CA163" s="81">
        <v>207</v>
      </c>
      <c r="CB163" s="83">
        <v>206</v>
      </c>
      <c r="CC163" s="81">
        <v>42</v>
      </c>
      <c r="CD163" s="81">
        <v>43</v>
      </c>
      <c r="CE163" s="81">
        <v>84</v>
      </c>
      <c r="CF163" s="81">
        <v>85</v>
      </c>
    </row>
    <row r="164" spans="1:84">
      <c r="A164" s="82">
        <v>39965</v>
      </c>
      <c r="B164" s="81">
        <v>225</v>
      </c>
      <c r="C164" s="81">
        <v>1</v>
      </c>
      <c r="D164" s="81">
        <v>0</v>
      </c>
      <c r="E164" s="81"/>
      <c r="F164" s="81">
        <v>193</v>
      </c>
      <c r="G164" s="81">
        <v>8</v>
      </c>
      <c r="H164" s="81">
        <v>16</v>
      </c>
      <c r="I164" s="81"/>
      <c r="J164" s="81"/>
      <c r="K164" s="81">
        <v>2</v>
      </c>
      <c r="L164" s="81">
        <v>26</v>
      </c>
      <c r="M164" s="81">
        <v>471</v>
      </c>
      <c r="N164" s="83">
        <v>471</v>
      </c>
      <c r="O164" s="85">
        <v>210</v>
      </c>
      <c r="P164" s="85">
        <v>1</v>
      </c>
      <c r="Q164" s="85">
        <v>212</v>
      </c>
      <c r="R164" s="85">
        <v>29</v>
      </c>
      <c r="S164" s="85">
        <v>3</v>
      </c>
      <c r="T164" s="85"/>
      <c r="U164" s="85"/>
      <c r="V164" s="85">
        <v>0</v>
      </c>
      <c r="W164" s="85"/>
      <c r="X164" s="85">
        <v>1</v>
      </c>
      <c r="Y164" s="85">
        <v>456</v>
      </c>
      <c r="Z164" s="83">
        <v>456</v>
      </c>
      <c r="AA164" s="81">
        <v>43</v>
      </c>
      <c r="AB164" s="81">
        <v>0</v>
      </c>
      <c r="AC164" s="81">
        <v>0</v>
      </c>
      <c r="AD164" s="81">
        <v>0</v>
      </c>
      <c r="AE164" s="81">
        <v>83</v>
      </c>
      <c r="AF164" s="81">
        <v>4</v>
      </c>
      <c r="AG164" s="81">
        <v>8</v>
      </c>
      <c r="AH164" s="81">
        <v>0</v>
      </c>
      <c r="AI164" s="81">
        <v>0</v>
      </c>
      <c r="AJ164" s="81">
        <v>0</v>
      </c>
      <c r="AK164" s="81">
        <v>1</v>
      </c>
      <c r="AL164" s="81">
        <v>0</v>
      </c>
      <c r="AM164" s="81"/>
      <c r="AN164" s="81">
        <v>139</v>
      </c>
      <c r="AO164" s="83">
        <v>139</v>
      </c>
      <c r="AP164" s="81">
        <v>27</v>
      </c>
      <c r="AQ164" s="81">
        <v>1</v>
      </c>
      <c r="AR164" s="81">
        <v>3</v>
      </c>
      <c r="AS164" s="81">
        <v>37</v>
      </c>
      <c r="AT164" s="81">
        <v>5</v>
      </c>
      <c r="AU164" s="81">
        <v>6</v>
      </c>
      <c r="AV164" s="81">
        <v>4</v>
      </c>
      <c r="AW164" s="81">
        <v>13</v>
      </c>
      <c r="AX164" s="81">
        <v>1</v>
      </c>
      <c r="AY164" s="81">
        <v>2</v>
      </c>
      <c r="AZ164" s="81">
        <v>2</v>
      </c>
      <c r="BA164" s="81">
        <v>2</v>
      </c>
      <c r="BB164" s="81">
        <v>101</v>
      </c>
      <c r="BC164" s="83">
        <v>103</v>
      </c>
      <c r="BD164" s="81">
        <v>173</v>
      </c>
      <c r="BE164" s="81">
        <v>1</v>
      </c>
      <c r="BF164" s="81">
        <v>0</v>
      </c>
      <c r="BG164" s="81">
        <v>107</v>
      </c>
      <c r="BH164" s="81">
        <v>3</v>
      </c>
      <c r="BI164" s="81">
        <v>9</v>
      </c>
      <c r="BJ164" s="81">
        <v>63</v>
      </c>
      <c r="BK164" s="81"/>
      <c r="BL164" s="81">
        <v>1</v>
      </c>
      <c r="BM164" s="81">
        <v>18</v>
      </c>
      <c r="BN164" s="81">
        <v>375</v>
      </c>
      <c r="BO164" s="83">
        <v>375</v>
      </c>
      <c r="BP164" s="81">
        <v>117</v>
      </c>
      <c r="BQ164" s="81">
        <v>1</v>
      </c>
      <c r="BR164" s="81">
        <v>0</v>
      </c>
      <c r="BS164" s="81">
        <v>56</v>
      </c>
      <c r="BT164" s="81">
        <v>1</v>
      </c>
      <c r="BU164" s="81">
        <v>2</v>
      </c>
      <c r="BV164" s="81">
        <v>0</v>
      </c>
      <c r="BW164" s="81">
        <v>5</v>
      </c>
      <c r="BX164" s="81">
        <v>1</v>
      </c>
      <c r="BY164" s="81">
        <v>29</v>
      </c>
      <c r="BZ164" s="81"/>
      <c r="CA164" s="81">
        <v>212</v>
      </c>
      <c r="CB164" s="83">
        <v>212</v>
      </c>
      <c r="CC164" s="81">
        <v>54</v>
      </c>
      <c r="CD164" s="81">
        <v>38</v>
      </c>
      <c r="CE164" s="81">
        <v>92</v>
      </c>
      <c r="CF164" s="81">
        <v>92</v>
      </c>
    </row>
    <row r="165" spans="1:84">
      <c r="A165" s="82">
        <v>39995</v>
      </c>
      <c r="B165" s="81">
        <v>194</v>
      </c>
      <c r="C165" s="81">
        <v>2</v>
      </c>
      <c r="D165" s="81">
        <v>0</v>
      </c>
      <c r="E165" s="81"/>
      <c r="F165" s="81">
        <v>189</v>
      </c>
      <c r="G165" s="81">
        <v>7</v>
      </c>
      <c r="H165" s="81">
        <v>18</v>
      </c>
      <c r="I165" s="81"/>
      <c r="J165" s="81"/>
      <c r="K165" s="81">
        <v>0</v>
      </c>
      <c r="L165" s="81">
        <v>26</v>
      </c>
      <c r="M165" s="81">
        <v>435</v>
      </c>
      <c r="N165" s="83">
        <v>436</v>
      </c>
      <c r="O165" s="85">
        <v>218</v>
      </c>
      <c r="P165" s="85">
        <v>1</v>
      </c>
      <c r="Q165" s="85">
        <v>226</v>
      </c>
      <c r="R165" s="85">
        <v>26</v>
      </c>
      <c r="S165" s="85">
        <v>3</v>
      </c>
      <c r="T165" s="85"/>
      <c r="U165" s="85"/>
      <c r="V165" s="85">
        <v>1</v>
      </c>
      <c r="W165" s="85"/>
      <c r="X165" s="85">
        <v>1</v>
      </c>
      <c r="Y165" s="85">
        <v>477</v>
      </c>
      <c r="Z165" s="83">
        <v>476</v>
      </c>
      <c r="AA165" s="81">
        <v>37</v>
      </c>
      <c r="AB165" s="81">
        <v>0</v>
      </c>
      <c r="AC165" s="81">
        <v>0</v>
      </c>
      <c r="AD165" s="81">
        <v>0</v>
      </c>
      <c r="AE165" s="81">
        <v>80</v>
      </c>
      <c r="AF165" s="81">
        <v>4</v>
      </c>
      <c r="AG165" s="81">
        <v>8</v>
      </c>
      <c r="AH165" s="81">
        <v>0</v>
      </c>
      <c r="AI165" s="81">
        <v>0</v>
      </c>
      <c r="AJ165" s="81">
        <v>0</v>
      </c>
      <c r="AK165" s="81">
        <v>0</v>
      </c>
      <c r="AL165" s="81">
        <v>0</v>
      </c>
      <c r="AM165" s="81"/>
      <c r="AN165" s="81">
        <v>129</v>
      </c>
      <c r="AO165" s="83">
        <v>129</v>
      </c>
      <c r="AP165" s="81">
        <v>24</v>
      </c>
      <c r="AQ165" s="81">
        <v>1</v>
      </c>
      <c r="AR165" s="81">
        <v>4</v>
      </c>
      <c r="AS165" s="81">
        <v>36</v>
      </c>
      <c r="AT165" s="81">
        <v>4</v>
      </c>
      <c r="AU165" s="81">
        <v>6</v>
      </c>
      <c r="AV165" s="81">
        <v>3</v>
      </c>
      <c r="AW165" s="81">
        <v>15</v>
      </c>
      <c r="AX165" s="81">
        <v>1</v>
      </c>
      <c r="AY165" s="81">
        <v>2</v>
      </c>
      <c r="AZ165" s="81">
        <v>2</v>
      </c>
      <c r="BA165" s="81">
        <v>3</v>
      </c>
      <c r="BB165" s="81">
        <v>101</v>
      </c>
      <c r="BC165" s="83">
        <v>101</v>
      </c>
      <c r="BD165" s="81">
        <v>147</v>
      </c>
      <c r="BE165" s="81">
        <v>1</v>
      </c>
      <c r="BF165" s="81">
        <v>0</v>
      </c>
      <c r="BG165" s="81">
        <v>104</v>
      </c>
      <c r="BH165" s="81">
        <v>3</v>
      </c>
      <c r="BI165" s="81">
        <v>10</v>
      </c>
      <c r="BJ165" s="81">
        <v>68</v>
      </c>
      <c r="BK165" s="81"/>
      <c r="BL165" s="81">
        <v>0</v>
      </c>
      <c r="BM165" s="81">
        <v>19</v>
      </c>
      <c r="BN165" s="81">
        <v>351</v>
      </c>
      <c r="BO165" s="83">
        <v>352</v>
      </c>
      <c r="BP165" s="81">
        <v>126</v>
      </c>
      <c r="BQ165" s="81">
        <v>1</v>
      </c>
      <c r="BR165" s="81">
        <v>0</v>
      </c>
      <c r="BS165" s="81">
        <v>71</v>
      </c>
      <c r="BT165" s="81">
        <v>0</v>
      </c>
      <c r="BU165" s="81">
        <v>2</v>
      </c>
      <c r="BV165" s="81">
        <v>0</v>
      </c>
      <c r="BW165" s="81">
        <v>4</v>
      </c>
      <c r="BX165" s="81">
        <v>1</v>
      </c>
      <c r="BY165" s="81">
        <v>31</v>
      </c>
      <c r="BZ165" s="81"/>
      <c r="CA165" s="81">
        <v>237</v>
      </c>
      <c r="CB165" s="83">
        <v>236</v>
      </c>
      <c r="CC165" s="81">
        <v>64</v>
      </c>
      <c r="CD165" s="81">
        <v>54</v>
      </c>
      <c r="CE165" s="81">
        <v>118</v>
      </c>
      <c r="CF165" s="81">
        <v>118</v>
      </c>
    </row>
    <row r="166" spans="1:84">
      <c r="A166" s="82">
        <v>40026</v>
      </c>
      <c r="B166" s="81">
        <v>189</v>
      </c>
      <c r="C166" s="81">
        <v>2</v>
      </c>
      <c r="D166" s="81">
        <v>0</v>
      </c>
      <c r="E166" s="81"/>
      <c r="F166" s="81">
        <v>153</v>
      </c>
      <c r="G166" s="81">
        <v>6</v>
      </c>
      <c r="H166" s="81">
        <v>16</v>
      </c>
      <c r="I166" s="81"/>
      <c r="J166" s="81"/>
      <c r="K166" s="81">
        <v>1</v>
      </c>
      <c r="L166" s="81">
        <v>26</v>
      </c>
      <c r="M166" s="81">
        <v>393</v>
      </c>
      <c r="N166" s="83">
        <v>393</v>
      </c>
      <c r="O166" s="85">
        <v>253</v>
      </c>
      <c r="P166" s="85">
        <v>2</v>
      </c>
      <c r="Q166" s="85">
        <v>197</v>
      </c>
      <c r="R166" s="85">
        <v>27</v>
      </c>
      <c r="S166" s="85">
        <v>3</v>
      </c>
      <c r="T166" s="85"/>
      <c r="U166" s="85"/>
      <c r="V166" s="85">
        <v>1</v>
      </c>
      <c r="W166" s="85"/>
      <c r="X166" s="85">
        <v>1</v>
      </c>
      <c r="Y166" s="85">
        <v>483</v>
      </c>
      <c r="Z166" s="83">
        <v>484</v>
      </c>
      <c r="AA166" s="81">
        <v>36</v>
      </c>
      <c r="AB166" s="81">
        <v>0</v>
      </c>
      <c r="AC166" s="81">
        <v>0</v>
      </c>
      <c r="AD166" s="81">
        <v>0</v>
      </c>
      <c r="AE166" s="81">
        <v>65</v>
      </c>
      <c r="AF166" s="81">
        <v>3</v>
      </c>
      <c r="AG166" s="81">
        <v>7</v>
      </c>
      <c r="AH166" s="81">
        <v>0</v>
      </c>
      <c r="AI166" s="81">
        <v>0</v>
      </c>
      <c r="AJ166" s="81">
        <v>0</v>
      </c>
      <c r="AK166" s="81">
        <v>0</v>
      </c>
      <c r="AL166" s="81">
        <v>0</v>
      </c>
      <c r="AM166" s="81"/>
      <c r="AN166" s="81">
        <v>112</v>
      </c>
      <c r="AO166" s="83">
        <v>111</v>
      </c>
      <c r="AP166" s="81">
        <v>24</v>
      </c>
      <c r="AQ166" s="81">
        <v>2</v>
      </c>
      <c r="AR166" s="81">
        <v>3</v>
      </c>
      <c r="AS166" s="81">
        <v>31</v>
      </c>
      <c r="AT166" s="81">
        <v>4</v>
      </c>
      <c r="AU166" s="81">
        <v>7</v>
      </c>
      <c r="AV166" s="81">
        <v>3</v>
      </c>
      <c r="AW166" s="81">
        <v>14</v>
      </c>
      <c r="AX166" s="81">
        <v>2</v>
      </c>
      <c r="AY166" s="81">
        <v>2</v>
      </c>
      <c r="AZ166" s="81">
        <v>1</v>
      </c>
      <c r="BA166" s="81">
        <v>2</v>
      </c>
      <c r="BB166" s="81">
        <v>95</v>
      </c>
      <c r="BC166" s="83">
        <v>95</v>
      </c>
      <c r="BD166" s="81">
        <v>143</v>
      </c>
      <c r="BE166" s="81">
        <v>1</v>
      </c>
      <c r="BF166" s="81">
        <v>0</v>
      </c>
      <c r="BG166" s="81">
        <v>84</v>
      </c>
      <c r="BH166" s="81">
        <v>3</v>
      </c>
      <c r="BI166" s="81">
        <v>9</v>
      </c>
      <c r="BJ166" s="81">
        <v>61</v>
      </c>
      <c r="BK166" s="81"/>
      <c r="BL166" s="81">
        <v>1</v>
      </c>
      <c r="BM166" s="81">
        <v>19</v>
      </c>
      <c r="BN166" s="81">
        <v>319</v>
      </c>
      <c r="BO166" s="83">
        <v>321</v>
      </c>
      <c r="BP166" s="81">
        <v>135</v>
      </c>
      <c r="BQ166" s="81">
        <v>1</v>
      </c>
      <c r="BR166" s="81">
        <v>0</v>
      </c>
      <c r="BS166" s="81">
        <v>67</v>
      </c>
      <c r="BT166" s="81">
        <v>0</v>
      </c>
      <c r="BU166" s="81">
        <v>2</v>
      </c>
      <c r="BV166" s="81">
        <v>0</v>
      </c>
      <c r="BW166" s="81">
        <v>3</v>
      </c>
      <c r="BX166" s="81">
        <v>1</v>
      </c>
      <c r="BY166" s="81">
        <v>32</v>
      </c>
      <c r="BZ166" s="81"/>
      <c r="CA166" s="81">
        <v>241</v>
      </c>
      <c r="CB166" s="83">
        <v>241</v>
      </c>
      <c r="CC166" s="81">
        <v>74</v>
      </c>
      <c r="CD166" s="81">
        <v>51</v>
      </c>
      <c r="CE166" s="81">
        <v>125</v>
      </c>
      <c r="CF166" s="81">
        <v>125</v>
      </c>
    </row>
    <row r="167" spans="1:84">
      <c r="A167" s="82">
        <v>40057</v>
      </c>
      <c r="B167" s="81">
        <v>198</v>
      </c>
      <c r="C167" s="81">
        <v>2</v>
      </c>
      <c r="D167" s="81">
        <v>0</v>
      </c>
      <c r="E167" s="81"/>
      <c r="F167" s="81">
        <v>190</v>
      </c>
      <c r="G167" s="81">
        <v>8</v>
      </c>
      <c r="H167" s="81">
        <v>15</v>
      </c>
      <c r="I167" s="81"/>
      <c r="J167" s="81"/>
      <c r="K167" s="81">
        <v>0</v>
      </c>
      <c r="L167" s="81">
        <v>26</v>
      </c>
      <c r="M167" s="81">
        <v>439</v>
      </c>
      <c r="N167" s="83">
        <v>439</v>
      </c>
      <c r="O167" s="85">
        <v>256</v>
      </c>
      <c r="P167" s="85">
        <v>2</v>
      </c>
      <c r="Q167" s="85">
        <v>170</v>
      </c>
      <c r="R167" s="85">
        <v>27</v>
      </c>
      <c r="S167" s="85">
        <v>2</v>
      </c>
      <c r="T167" s="85"/>
      <c r="U167" s="85"/>
      <c r="V167" s="85">
        <v>1</v>
      </c>
      <c r="W167" s="85"/>
      <c r="X167" s="85">
        <v>1</v>
      </c>
      <c r="Y167" s="85">
        <v>460</v>
      </c>
      <c r="Z167" s="83">
        <v>459</v>
      </c>
      <c r="AA167" s="81">
        <v>39</v>
      </c>
      <c r="AB167" s="81">
        <v>0</v>
      </c>
      <c r="AC167" s="81">
        <v>0</v>
      </c>
      <c r="AD167" s="81">
        <v>0</v>
      </c>
      <c r="AE167" s="81">
        <v>82</v>
      </c>
      <c r="AF167" s="81">
        <v>4</v>
      </c>
      <c r="AG167" s="81">
        <v>7</v>
      </c>
      <c r="AH167" s="81">
        <v>0</v>
      </c>
      <c r="AI167" s="81">
        <v>0</v>
      </c>
      <c r="AJ167" s="81">
        <v>0</v>
      </c>
      <c r="AK167" s="81">
        <v>0</v>
      </c>
      <c r="AL167" s="81">
        <v>0</v>
      </c>
      <c r="AM167" s="81"/>
      <c r="AN167" s="81">
        <v>132</v>
      </c>
      <c r="AO167" s="83">
        <v>132</v>
      </c>
      <c r="AP167" s="81">
        <v>23</v>
      </c>
      <c r="AQ167" s="81">
        <v>2</v>
      </c>
      <c r="AR167" s="81">
        <v>4</v>
      </c>
      <c r="AS167" s="81">
        <v>35</v>
      </c>
      <c r="AT167" s="81">
        <v>5</v>
      </c>
      <c r="AU167" s="81">
        <v>6</v>
      </c>
      <c r="AV167" s="81">
        <v>2</v>
      </c>
      <c r="AW167" s="81">
        <v>9</v>
      </c>
      <c r="AX167" s="81">
        <v>1</v>
      </c>
      <c r="AY167" s="81">
        <v>2</v>
      </c>
      <c r="AZ167" s="81">
        <v>1</v>
      </c>
      <c r="BA167" s="81">
        <v>3</v>
      </c>
      <c r="BB167" s="81">
        <v>93</v>
      </c>
      <c r="BC167" s="83">
        <v>93</v>
      </c>
      <c r="BD167" s="81">
        <v>148</v>
      </c>
      <c r="BE167" s="81">
        <v>1</v>
      </c>
      <c r="BF167" s="81">
        <v>0</v>
      </c>
      <c r="BG167" s="81">
        <v>106</v>
      </c>
      <c r="BH167" s="81">
        <v>4</v>
      </c>
      <c r="BI167" s="81">
        <v>8</v>
      </c>
      <c r="BJ167" s="81">
        <v>57</v>
      </c>
      <c r="BK167" s="81"/>
      <c r="BL167" s="81">
        <v>0</v>
      </c>
      <c r="BM167" s="81">
        <v>20</v>
      </c>
      <c r="BN167" s="81">
        <v>343</v>
      </c>
      <c r="BO167" s="83">
        <v>344</v>
      </c>
      <c r="BP167" s="81">
        <v>126</v>
      </c>
      <c r="BQ167" s="81">
        <v>1</v>
      </c>
      <c r="BR167" s="81">
        <v>0</v>
      </c>
      <c r="BS167" s="81">
        <v>64</v>
      </c>
      <c r="BT167" s="81">
        <v>1</v>
      </c>
      <c r="BU167" s="81">
        <v>1</v>
      </c>
      <c r="BV167" s="81">
        <v>0</v>
      </c>
      <c r="BW167" s="81">
        <v>5</v>
      </c>
      <c r="BX167" s="81">
        <v>1</v>
      </c>
      <c r="BY167" s="81">
        <v>43</v>
      </c>
      <c r="BZ167" s="81"/>
      <c r="CA167" s="81">
        <v>242</v>
      </c>
      <c r="CB167" s="83">
        <v>242</v>
      </c>
      <c r="CC167" s="81">
        <v>68</v>
      </c>
      <c r="CD167" s="81">
        <v>50</v>
      </c>
      <c r="CE167" s="81">
        <v>118</v>
      </c>
      <c r="CF167" s="81">
        <v>118</v>
      </c>
    </row>
    <row r="168" spans="1:84">
      <c r="A168" s="82">
        <v>40087</v>
      </c>
      <c r="B168" s="81">
        <v>228</v>
      </c>
      <c r="C168" s="81">
        <v>2</v>
      </c>
      <c r="D168" s="81">
        <v>0</v>
      </c>
      <c r="E168" s="81"/>
      <c r="F168" s="81">
        <v>192</v>
      </c>
      <c r="G168" s="81">
        <v>8</v>
      </c>
      <c r="H168" s="81">
        <v>14</v>
      </c>
      <c r="I168" s="81"/>
      <c r="J168" s="81"/>
      <c r="K168" s="81">
        <v>0</v>
      </c>
      <c r="L168" s="81">
        <v>28</v>
      </c>
      <c r="M168" s="81">
        <v>471</v>
      </c>
      <c r="N168" s="83">
        <v>472</v>
      </c>
      <c r="O168" s="85">
        <v>247</v>
      </c>
      <c r="P168" s="85">
        <v>2</v>
      </c>
      <c r="Q168" s="85">
        <v>175</v>
      </c>
      <c r="R168" s="85">
        <v>32</v>
      </c>
      <c r="S168" s="85">
        <v>2</v>
      </c>
      <c r="T168" s="85"/>
      <c r="U168" s="85"/>
      <c r="V168" s="85">
        <v>1</v>
      </c>
      <c r="W168" s="85"/>
      <c r="X168" s="85">
        <v>1</v>
      </c>
      <c r="Y168" s="85">
        <v>459</v>
      </c>
      <c r="Z168" s="83">
        <v>460</v>
      </c>
      <c r="AA168" s="81">
        <v>44</v>
      </c>
      <c r="AB168" s="81">
        <v>1</v>
      </c>
      <c r="AC168" s="81">
        <v>0</v>
      </c>
      <c r="AD168" s="81">
        <v>0</v>
      </c>
      <c r="AE168" s="81">
        <v>83</v>
      </c>
      <c r="AF168" s="81">
        <v>4</v>
      </c>
      <c r="AG168" s="81">
        <v>7</v>
      </c>
      <c r="AH168" s="81">
        <v>0</v>
      </c>
      <c r="AI168" s="81">
        <v>0</v>
      </c>
      <c r="AJ168" s="81">
        <v>0</v>
      </c>
      <c r="AK168" s="81">
        <v>0</v>
      </c>
      <c r="AL168" s="81">
        <v>0</v>
      </c>
      <c r="AM168" s="81"/>
      <c r="AN168" s="81">
        <v>138</v>
      </c>
      <c r="AO168" s="83">
        <v>139</v>
      </c>
      <c r="AP168" s="81">
        <v>23</v>
      </c>
      <c r="AQ168" s="81">
        <v>1</v>
      </c>
      <c r="AR168" s="81">
        <v>4</v>
      </c>
      <c r="AS168" s="81">
        <v>34</v>
      </c>
      <c r="AT168" s="81">
        <v>5</v>
      </c>
      <c r="AU168" s="81">
        <v>4</v>
      </c>
      <c r="AV168" s="81">
        <v>3</v>
      </c>
      <c r="AW168" s="81">
        <v>11</v>
      </c>
      <c r="AX168" s="81">
        <v>1</v>
      </c>
      <c r="AY168" s="81">
        <v>3</v>
      </c>
      <c r="AZ168" s="81">
        <v>1</v>
      </c>
      <c r="BA168" s="81">
        <v>2</v>
      </c>
      <c r="BB168" s="81">
        <v>92</v>
      </c>
      <c r="BC168" s="83">
        <v>92</v>
      </c>
      <c r="BD168" s="81">
        <v>170</v>
      </c>
      <c r="BE168" s="81">
        <v>1</v>
      </c>
      <c r="BF168" s="81">
        <v>0</v>
      </c>
      <c r="BG168" s="81">
        <v>107</v>
      </c>
      <c r="BH168" s="81">
        <v>3</v>
      </c>
      <c r="BI168" s="81">
        <v>7</v>
      </c>
      <c r="BJ168" s="81">
        <v>53</v>
      </c>
      <c r="BK168" s="81"/>
      <c r="BL168" s="81">
        <v>0</v>
      </c>
      <c r="BM168" s="81">
        <v>15</v>
      </c>
      <c r="BN168" s="81">
        <v>357</v>
      </c>
      <c r="BO168" s="83">
        <v>356</v>
      </c>
      <c r="BP168" s="81">
        <v>148</v>
      </c>
      <c r="BQ168" s="81">
        <v>2</v>
      </c>
      <c r="BR168" s="81">
        <v>0</v>
      </c>
      <c r="BS168" s="81">
        <v>64</v>
      </c>
      <c r="BT168" s="81">
        <v>0</v>
      </c>
      <c r="BU168" s="81">
        <v>1</v>
      </c>
      <c r="BV168" s="81">
        <v>0</v>
      </c>
      <c r="BW168" s="81">
        <v>4</v>
      </c>
      <c r="BX168" s="81">
        <v>1</v>
      </c>
      <c r="BY168" s="81">
        <v>51</v>
      </c>
      <c r="BZ168" s="81"/>
      <c r="CA168" s="81">
        <v>270</v>
      </c>
      <c r="CB168" s="83">
        <v>271</v>
      </c>
      <c r="CC168" s="81">
        <v>70</v>
      </c>
      <c r="CD168" s="81">
        <v>49</v>
      </c>
      <c r="CE168" s="81">
        <v>119</v>
      </c>
      <c r="CF168" s="81">
        <v>119</v>
      </c>
    </row>
    <row r="169" spans="1:84">
      <c r="A169" s="82">
        <v>40118</v>
      </c>
      <c r="B169" s="81">
        <v>215</v>
      </c>
      <c r="C169" s="81">
        <v>2</v>
      </c>
      <c r="D169" s="81">
        <v>0</v>
      </c>
      <c r="E169" s="81"/>
      <c r="F169" s="81">
        <v>199</v>
      </c>
      <c r="G169" s="81">
        <v>8</v>
      </c>
      <c r="H169" s="81">
        <v>14</v>
      </c>
      <c r="I169" s="81"/>
      <c r="J169" s="81"/>
      <c r="K169" s="81">
        <v>0</v>
      </c>
      <c r="L169" s="81">
        <v>24</v>
      </c>
      <c r="M169" s="81">
        <v>461</v>
      </c>
      <c r="N169" s="83">
        <v>462</v>
      </c>
      <c r="O169" s="85">
        <v>181</v>
      </c>
      <c r="P169" s="85">
        <v>2</v>
      </c>
      <c r="Q169" s="85">
        <v>180</v>
      </c>
      <c r="R169" s="85">
        <v>32</v>
      </c>
      <c r="S169" s="85">
        <v>1</v>
      </c>
      <c r="T169" s="85"/>
      <c r="U169" s="85"/>
      <c r="V169" s="85">
        <v>1</v>
      </c>
      <c r="W169" s="85"/>
      <c r="X169" s="85">
        <v>1</v>
      </c>
      <c r="Y169" s="85">
        <v>398</v>
      </c>
      <c r="Z169" s="83">
        <v>398</v>
      </c>
      <c r="AA169" s="81">
        <v>41</v>
      </c>
      <c r="AB169" s="81">
        <v>0</v>
      </c>
      <c r="AC169" s="81">
        <v>0</v>
      </c>
      <c r="AD169" s="81">
        <v>0</v>
      </c>
      <c r="AE169" s="81">
        <v>86</v>
      </c>
      <c r="AF169" s="81">
        <v>4</v>
      </c>
      <c r="AG169" s="81">
        <v>7</v>
      </c>
      <c r="AH169" s="81">
        <v>0</v>
      </c>
      <c r="AI169" s="81">
        <v>0</v>
      </c>
      <c r="AJ169" s="81">
        <v>0</v>
      </c>
      <c r="AK169" s="81">
        <v>0</v>
      </c>
      <c r="AL169" s="81">
        <v>0</v>
      </c>
      <c r="AM169" s="81"/>
      <c r="AN169" s="81">
        <v>138</v>
      </c>
      <c r="AO169" s="83">
        <v>138</v>
      </c>
      <c r="AP169" s="81">
        <v>24</v>
      </c>
      <c r="AQ169" s="81">
        <v>1</v>
      </c>
      <c r="AR169" s="81">
        <v>3</v>
      </c>
      <c r="AS169" s="81">
        <v>34</v>
      </c>
      <c r="AT169" s="81">
        <v>5</v>
      </c>
      <c r="AU169" s="81">
        <v>4</v>
      </c>
      <c r="AV169" s="81">
        <v>2</v>
      </c>
      <c r="AW169" s="81">
        <v>7</v>
      </c>
      <c r="AX169" s="81">
        <v>1</v>
      </c>
      <c r="AY169" s="81">
        <v>2</v>
      </c>
      <c r="AZ169" s="81">
        <v>1</v>
      </c>
      <c r="BA169" s="81">
        <v>2</v>
      </c>
      <c r="BB169" s="81">
        <v>84</v>
      </c>
      <c r="BC169" s="83">
        <v>86</v>
      </c>
      <c r="BD169" s="81">
        <v>161</v>
      </c>
      <c r="BE169" s="81">
        <v>1</v>
      </c>
      <c r="BF169" s="81">
        <v>0</v>
      </c>
      <c r="BG169" s="81">
        <v>110</v>
      </c>
      <c r="BH169" s="81">
        <v>3</v>
      </c>
      <c r="BI169" s="81">
        <v>8</v>
      </c>
      <c r="BJ169" s="81">
        <v>54</v>
      </c>
      <c r="BK169" s="81"/>
      <c r="BL169" s="81">
        <v>0</v>
      </c>
      <c r="BM169" s="81">
        <v>15</v>
      </c>
      <c r="BN169" s="81">
        <v>352</v>
      </c>
      <c r="BO169" s="83">
        <v>352</v>
      </c>
      <c r="BP169" s="81">
        <v>125</v>
      </c>
      <c r="BQ169" s="81">
        <v>2</v>
      </c>
      <c r="BR169" s="81">
        <v>0</v>
      </c>
      <c r="BS169" s="81">
        <v>67</v>
      </c>
      <c r="BT169" s="81">
        <v>0</v>
      </c>
      <c r="BU169" s="81">
        <v>2</v>
      </c>
      <c r="BV169" s="81">
        <v>0</v>
      </c>
      <c r="BW169" s="81">
        <v>6</v>
      </c>
      <c r="BX169" s="81">
        <v>1</v>
      </c>
      <c r="BY169" s="81">
        <v>44</v>
      </c>
      <c r="BZ169" s="81"/>
      <c r="CA169" s="81">
        <v>246</v>
      </c>
      <c r="CB169" s="83">
        <v>247</v>
      </c>
      <c r="CC169" s="81">
        <v>59</v>
      </c>
      <c r="CD169" s="81">
        <v>52</v>
      </c>
      <c r="CE169" s="81">
        <v>111</v>
      </c>
      <c r="CF169" s="81">
        <v>111</v>
      </c>
    </row>
    <row r="170" spans="1:84">
      <c r="A170" s="82">
        <v>40148</v>
      </c>
      <c r="B170" s="81">
        <v>228</v>
      </c>
      <c r="C170" s="81">
        <v>2</v>
      </c>
      <c r="D170" s="81">
        <v>0</v>
      </c>
      <c r="E170" s="81"/>
      <c r="F170" s="81">
        <v>191</v>
      </c>
      <c r="G170" s="81">
        <v>8</v>
      </c>
      <c r="H170" s="81">
        <v>14</v>
      </c>
      <c r="I170" s="81"/>
      <c r="J170" s="81"/>
      <c r="K170" s="81">
        <v>1</v>
      </c>
      <c r="L170" s="81">
        <v>26</v>
      </c>
      <c r="M170" s="81">
        <v>469</v>
      </c>
      <c r="N170" s="83">
        <v>470</v>
      </c>
      <c r="O170" s="85">
        <v>223</v>
      </c>
      <c r="P170" s="85">
        <v>0</v>
      </c>
      <c r="Q170" s="85">
        <v>155</v>
      </c>
      <c r="R170" s="85">
        <v>28</v>
      </c>
      <c r="S170" s="85">
        <v>2</v>
      </c>
      <c r="T170" s="85"/>
      <c r="U170" s="85"/>
      <c r="V170" s="85">
        <v>0</v>
      </c>
      <c r="W170" s="85"/>
      <c r="X170" s="85">
        <v>2</v>
      </c>
      <c r="Y170" s="85">
        <v>409</v>
      </c>
      <c r="Z170" s="83">
        <v>410</v>
      </c>
      <c r="AA170" s="81">
        <v>45</v>
      </c>
      <c r="AB170" s="81">
        <v>0</v>
      </c>
      <c r="AC170" s="81"/>
      <c r="AD170" s="81"/>
      <c r="AE170" s="81">
        <v>81</v>
      </c>
      <c r="AF170" s="81">
        <v>4</v>
      </c>
      <c r="AG170" s="81">
        <v>7</v>
      </c>
      <c r="AH170" s="81"/>
      <c r="AI170" s="81"/>
      <c r="AJ170" s="81"/>
      <c r="AK170" s="81">
        <v>0</v>
      </c>
      <c r="AL170" s="81">
        <v>0</v>
      </c>
      <c r="AM170" s="81"/>
      <c r="AN170" s="81">
        <v>138</v>
      </c>
      <c r="AO170" s="83">
        <v>137</v>
      </c>
      <c r="AP170" s="81">
        <v>27</v>
      </c>
      <c r="AQ170" s="81">
        <v>1</v>
      </c>
      <c r="AR170" s="81">
        <v>2</v>
      </c>
      <c r="AS170" s="81">
        <v>30</v>
      </c>
      <c r="AT170" s="81">
        <v>5</v>
      </c>
      <c r="AU170" s="81">
        <v>3</v>
      </c>
      <c r="AV170" s="81">
        <v>2</v>
      </c>
      <c r="AW170" s="81">
        <v>10</v>
      </c>
      <c r="AX170" s="81">
        <v>1</v>
      </c>
      <c r="AY170" s="81">
        <v>2</v>
      </c>
      <c r="AZ170" s="81">
        <v>1</v>
      </c>
      <c r="BA170" s="81">
        <v>2</v>
      </c>
      <c r="BB170" s="81">
        <v>87</v>
      </c>
      <c r="BC170" s="83">
        <v>86</v>
      </c>
      <c r="BD170" s="81">
        <v>172</v>
      </c>
      <c r="BE170" s="81">
        <v>1</v>
      </c>
      <c r="BF170" s="81">
        <v>0</v>
      </c>
      <c r="BG170" s="81">
        <v>105</v>
      </c>
      <c r="BH170" s="81">
        <v>3</v>
      </c>
      <c r="BI170" s="81">
        <v>8</v>
      </c>
      <c r="BJ170" s="81">
        <v>55</v>
      </c>
      <c r="BK170" s="81"/>
      <c r="BL170" s="81">
        <v>0</v>
      </c>
      <c r="BM170" s="81">
        <v>15</v>
      </c>
      <c r="BN170" s="81">
        <v>359</v>
      </c>
      <c r="BO170" s="83">
        <v>359</v>
      </c>
      <c r="BP170" s="81">
        <v>110</v>
      </c>
      <c r="BQ170" s="81">
        <v>1</v>
      </c>
      <c r="BR170" s="81">
        <v>0</v>
      </c>
      <c r="BS170" s="81">
        <v>52</v>
      </c>
      <c r="BT170" s="81">
        <v>0</v>
      </c>
      <c r="BU170" s="81">
        <v>3</v>
      </c>
      <c r="BV170" s="81">
        <v>0</v>
      </c>
      <c r="BW170" s="81">
        <v>5</v>
      </c>
      <c r="BX170" s="81">
        <v>1</v>
      </c>
      <c r="BY170" s="81">
        <v>31</v>
      </c>
      <c r="BZ170" s="81"/>
      <c r="CA170" s="81">
        <v>203</v>
      </c>
      <c r="CB170" s="83">
        <v>203</v>
      </c>
      <c r="CC170" s="81">
        <v>46</v>
      </c>
      <c r="CD170" s="81">
        <v>35</v>
      </c>
      <c r="CE170" s="81">
        <v>81</v>
      </c>
      <c r="CF170" s="81">
        <v>81</v>
      </c>
    </row>
    <row r="171" spans="1:84">
      <c r="A171" s="82">
        <v>40179</v>
      </c>
      <c r="B171" s="81">
        <v>223</v>
      </c>
      <c r="C171" s="81">
        <v>1</v>
      </c>
      <c r="D171" s="81">
        <v>0</v>
      </c>
      <c r="E171" s="81"/>
      <c r="F171" s="81">
        <v>185</v>
      </c>
      <c r="G171" s="81">
        <v>7</v>
      </c>
      <c r="H171" s="81">
        <v>13</v>
      </c>
      <c r="I171" s="81"/>
      <c r="J171" s="81"/>
      <c r="K171" s="81">
        <v>0</v>
      </c>
      <c r="L171" s="81">
        <v>22</v>
      </c>
      <c r="M171" s="81">
        <v>453</v>
      </c>
      <c r="N171" s="83">
        <v>451</v>
      </c>
      <c r="O171" s="85">
        <v>172</v>
      </c>
      <c r="P171" s="85">
        <v>1</v>
      </c>
      <c r="Q171" s="85">
        <v>176</v>
      </c>
      <c r="R171" s="85">
        <v>25</v>
      </c>
      <c r="S171" s="85">
        <v>2</v>
      </c>
      <c r="T171" s="85"/>
      <c r="U171" s="85"/>
      <c r="V171" s="85">
        <v>0</v>
      </c>
      <c r="W171" s="85"/>
      <c r="X171" s="85">
        <v>1</v>
      </c>
      <c r="Y171" s="85">
        <v>377</v>
      </c>
      <c r="Z171" s="83">
        <v>377</v>
      </c>
      <c r="AA171" s="85">
        <v>41</v>
      </c>
      <c r="AB171" s="85">
        <v>0</v>
      </c>
      <c r="AC171" s="81"/>
      <c r="AD171" s="81"/>
      <c r="AE171" s="81">
        <v>80</v>
      </c>
      <c r="AF171" s="81">
        <v>3</v>
      </c>
      <c r="AG171" s="81">
        <v>6</v>
      </c>
      <c r="AH171" s="81"/>
      <c r="AI171" s="81"/>
      <c r="AJ171" s="81"/>
      <c r="AK171" s="81">
        <v>0</v>
      </c>
      <c r="AL171" s="81">
        <v>0</v>
      </c>
      <c r="AM171" s="81"/>
      <c r="AN171" s="81">
        <v>131</v>
      </c>
      <c r="AO171" s="83">
        <v>130</v>
      </c>
      <c r="AP171" s="81">
        <v>27</v>
      </c>
      <c r="AQ171" s="81">
        <v>0</v>
      </c>
      <c r="AR171" s="81">
        <v>2</v>
      </c>
      <c r="AS171" s="81">
        <v>39</v>
      </c>
      <c r="AT171" s="81">
        <v>5</v>
      </c>
      <c r="AU171" s="81">
        <v>3</v>
      </c>
      <c r="AV171" s="81">
        <v>3</v>
      </c>
      <c r="AW171" s="81">
        <v>11</v>
      </c>
      <c r="AX171" s="81">
        <v>1</v>
      </c>
      <c r="AY171" s="81">
        <v>2</v>
      </c>
      <c r="AZ171" s="81">
        <v>1</v>
      </c>
      <c r="BA171" s="81">
        <v>2</v>
      </c>
      <c r="BB171" s="81">
        <v>97</v>
      </c>
      <c r="BC171" s="83">
        <v>96</v>
      </c>
      <c r="BD171" s="81">
        <v>166</v>
      </c>
      <c r="BE171" s="81">
        <v>1</v>
      </c>
      <c r="BF171" s="81">
        <v>0</v>
      </c>
      <c r="BG171" s="81">
        <v>101</v>
      </c>
      <c r="BH171" s="81">
        <v>3</v>
      </c>
      <c r="BI171" s="81">
        <v>7</v>
      </c>
      <c r="BJ171" s="81">
        <v>54</v>
      </c>
      <c r="BK171" s="81"/>
      <c r="BL171" s="81">
        <v>0</v>
      </c>
      <c r="BM171" s="81">
        <v>11</v>
      </c>
      <c r="BN171" s="81">
        <v>343</v>
      </c>
      <c r="BO171" s="83">
        <v>343</v>
      </c>
      <c r="BP171" s="81">
        <v>125</v>
      </c>
      <c r="BQ171" s="81">
        <v>1</v>
      </c>
      <c r="BR171" s="81">
        <v>0</v>
      </c>
      <c r="BS171" s="81">
        <v>50</v>
      </c>
      <c r="BT171" s="81">
        <v>0</v>
      </c>
      <c r="BU171" s="81">
        <v>3</v>
      </c>
      <c r="BV171" s="81">
        <v>0</v>
      </c>
      <c r="BW171" s="81">
        <v>4</v>
      </c>
      <c r="BX171" s="81">
        <v>1</v>
      </c>
      <c r="BY171" s="81">
        <v>26</v>
      </c>
      <c r="BZ171" s="81"/>
      <c r="CA171" s="81">
        <v>210</v>
      </c>
      <c r="CB171" s="83">
        <v>210</v>
      </c>
      <c r="CC171" s="81">
        <v>61</v>
      </c>
      <c r="CD171" s="81">
        <v>38</v>
      </c>
      <c r="CE171" s="81">
        <v>99</v>
      </c>
      <c r="CF171" s="81">
        <v>99</v>
      </c>
    </row>
    <row r="172" spans="1:84">
      <c r="A172" s="82">
        <v>40210</v>
      </c>
      <c r="B172" s="81">
        <v>194</v>
      </c>
      <c r="C172" s="81">
        <v>2</v>
      </c>
      <c r="D172" s="81">
        <v>0</v>
      </c>
      <c r="E172" s="81"/>
      <c r="F172" s="81">
        <v>150</v>
      </c>
      <c r="G172" s="81">
        <v>7</v>
      </c>
      <c r="H172" s="81">
        <v>13</v>
      </c>
      <c r="I172" s="81"/>
      <c r="J172" s="81"/>
      <c r="K172" s="81">
        <v>0</v>
      </c>
      <c r="L172" s="81">
        <v>23</v>
      </c>
      <c r="M172" s="81">
        <v>390</v>
      </c>
      <c r="N172" s="83">
        <v>389</v>
      </c>
      <c r="O172" s="85">
        <v>183</v>
      </c>
      <c r="P172" s="85">
        <v>1</v>
      </c>
      <c r="Q172" s="85">
        <v>126</v>
      </c>
      <c r="R172" s="85">
        <v>20</v>
      </c>
      <c r="S172" s="85">
        <v>2</v>
      </c>
      <c r="T172" s="85"/>
      <c r="U172" s="85"/>
      <c r="V172" s="85">
        <v>0</v>
      </c>
      <c r="W172" s="85"/>
      <c r="X172" s="85">
        <v>1</v>
      </c>
      <c r="Y172" s="85">
        <v>334</v>
      </c>
      <c r="Z172" s="83">
        <v>334</v>
      </c>
      <c r="AA172" s="81">
        <v>36</v>
      </c>
      <c r="AB172" s="85">
        <v>0</v>
      </c>
      <c r="AC172" s="81"/>
      <c r="AD172" s="81"/>
      <c r="AE172" s="81">
        <v>64</v>
      </c>
      <c r="AF172" s="81">
        <v>3</v>
      </c>
      <c r="AG172" s="81">
        <v>6</v>
      </c>
      <c r="AH172" s="81"/>
      <c r="AI172" s="81"/>
      <c r="AJ172" s="81"/>
      <c r="AK172" s="81">
        <v>0</v>
      </c>
      <c r="AL172" s="81"/>
      <c r="AM172" s="81"/>
      <c r="AN172" s="81">
        <v>110</v>
      </c>
      <c r="AO172" s="83">
        <v>109</v>
      </c>
      <c r="AP172" s="81">
        <v>28</v>
      </c>
      <c r="AQ172" s="81">
        <v>0</v>
      </c>
      <c r="AR172" s="81">
        <v>2</v>
      </c>
      <c r="AS172" s="81">
        <v>31</v>
      </c>
      <c r="AT172" s="81">
        <v>5</v>
      </c>
      <c r="AU172" s="81">
        <v>3</v>
      </c>
      <c r="AV172" s="81">
        <v>3</v>
      </c>
      <c r="AW172" s="81">
        <v>17</v>
      </c>
      <c r="AX172" s="81">
        <v>1</v>
      </c>
      <c r="AY172" s="81">
        <v>3</v>
      </c>
      <c r="AZ172" s="81">
        <v>1</v>
      </c>
      <c r="BA172" s="81">
        <v>2</v>
      </c>
      <c r="BB172" s="81">
        <v>95</v>
      </c>
      <c r="BC172" s="83">
        <v>96</v>
      </c>
      <c r="BD172" s="81">
        <v>146</v>
      </c>
      <c r="BE172" s="81">
        <v>1</v>
      </c>
      <c r="BF172" s="81"/>
      <c r="BG172" s="81">
        <v>83</v>
      </c>
      <c r="BH172" s="81">
        <v>3</v>
      </c>
      <c r="BI172" s="81">
        <v>7</v>
      </c>
      <c r="BJ172" s="81">
        <v>51</v>
      </c>
      <c r="BK172" s="81"/>
      <c r="BL172" s="81">
        <v>0</v>
      </c>
      <c r="BM172" s="81">
        <v>12</v>
      </c>
      <c r="BN172" s="81">
        <v>303</v>
      </c>
      <c r="BO172" s="83">
        <v>303</v>
      </c>
      <c r="BP172" s="81">
        <v>114</v>
      </c>
      <c r="BQ172" s="81">
        <v>1</v>
      </c>
      <c r="BR172" s="81">
        <v>0</v>
      </c>
      <c r="BS172" s="81">
        <v>43</v>
      </c>
      <c r="BT172" s="81">
        <v>0</v>
      </c>
      <c r="BU172" s="81">
        <v>2</v>
      </c>
      <c r="BV172" s="81">
        <v>0</v>
      </c>
      <c r="BW172" s="81">
        <v>2</v>
      </c>
      <c r="BX172" s="81">
        <v>1</v>
      </c>
      <c r="BY172" s="81">
        <v>23</v>
      </c>
      <c r="BZ172" s="81"/>
      <c r="CA172" s="81">
        <v>186</v>
      </c>
      <c r="CB172" s="83">
        <v>186</v>
      </c>
      <c r="CC172" s="81">
        <v>55</v>
      </c>
      <c r="CD172" s="81">
        <v>30</v>
      </c>
      <c r="CE172" s="81">
        <v>85</v>
      </c>
      <c r="CF172" s="81">
        <v>85</v>
      </c>
    </row>
    <row r="173" spans="1:84">
      <c r="A173" s="82">
        <v>40238</v>
      </c>
      <c r="B173" s="81">
        <v>221</v>
      </c>
      <c r="C173" s="81">
        <v>2</v>
      </c>
      <c r="D173" s="81">
        <v>0</v>
      </c>
      <c r="E173" s="81"/>
      <c r="F173" s="81">
        <v>206</v>
      </c>
      <c r="G173" s="81">
        <v>8</v>
      </c>
      <c r="H173" s="81">
        <v>16</v>
      </c>
      <c r="I173" s="81"/>
      <c r="J173" s="81"/>
      <c r="K173" s="81">
        <v>0</v>
      </c>
      <c r="L173" s="81">
        <v>27</v>
      </c>
      <c r="M173" s="81">
        <v>480</v>
      </c>
      <c r="N173" s="83">
        <v>480</v>
      </c>
      <c r="O173" s="85">
        <v>135</v>
      </c>
      <c r="P173" s="85">
        <v>1</v>
      </c>
      <c r="Q173" s="85">
        <v>179</v>
      </c>
      <c r="R173" s="85">
        <v>17</v>
      </c>
      <c r="S173" s="85">
        <v>2</v>
      </c>
      <c r="T173" s="85"/>
      <c r="U173" s="85"/>
      <c r="V173" s="85">
        <v>0</v>
      </c>
      <c r="W173" s="85"/>
      <c r="X173" s="85">
        <v>1</v>
      </c>
      <c r="Y173" s="85">
        <v>335</v>
      </c>
      <c r="Z173" s="83">
        <v>335</v>
      </c>
      <c r="AA173" s="81">
        <v>41</v>
      </c>
      <c r="AB173" s="85">
        <v>0</v>
      </c>
      <c r="AC173" s="85">
        <v>0</v>
      </c>
      <c r="AD173" s="81"/>
      <c r="AE173" s="81">
        <v>89</v>
      </c>
      <c r="AF173" s="81">
        <v>4</v>
      </c>
      <c r="AG173" s="81">
        <v>7</v>
      </c>
      <c r="AH173" s="81"/>
      <c r="AI173" s="81"/>
      <c r="AJ173" s="81"/>
      <c r="AK173" s="81">
        <v>0</v>
      </c>
      <c r="AL173" s="81"/>
      <c r="AM173" s="81"/>
      <c r="AN173" s="81">
        <v>142</v>
      </c>
      <c r="AO173" s="83">
        <v>141</v>
      </c>
      <c r="AP173" s="81">
        <v>22</v>
      </c>
      <c r="AQ173" s="81">
        <v>0</v>
      </c>
      <c r="AR173" s="81">
        <v>2</v>
      </c>
      <c r="AS173" s="81">
        <v>33</v>
      </c>
      <c r="AT173" s="81">
        <v>6</v>
      </c>
      <c r="AU173" s="81">
        <v>5</v>
      </c>
      <c r="AV173" s="81">
        <v>4</v>
      </c>
      <c r="AW173" s="81">
        <v>13</v>
      </c>
      <c r="AX173" s="81">
        <v>1</v>
      </c>
      <c r="AY173" s="81">
        <v>2</v>
      </c>
      <c r="AZ173" s="81">
        <v>1</v>
      </c>
      <c r="BA173" s="81">
        <v>2</v>
      </c>
      <c r="BB173" s="81">
        <v>91</v>
      </c>
      <c r="BC173" s="83">
        <v>91</v>
      </c>
      <c r="BD173" s="81">
        <v>166</v>
      </c>
      <c r="BE173" s="81">
        <v>1</v>
      </c>
      <c r="BF173" s="81"/>
      <c r="BG173" s="81">
        <v>115</v>
      </c>
      <c r="BH173" s="81">
        <v>4</v>
      </c>
      <c r="BI173" s="81">
        <v>9</v>
      </c>
      <c r="BJ173" s="81">
        <v>61</v>
      </c>
      <c r="BK173" s="81"/>
      <c r="BL173" s="81">
        <v>0</v>
      </c>
      <c r="BM173" s="81">
        <v>18</v>
      </c>
      <c r="BN173" s="81">
        <v>374</v>
      </c>
      <c r="BO173" s="83">
        <v>374</v>
      </c>
      <c r="BP173" s="81">
        <v>111</v>
      </c>
      <c r="BQ173" s="81">
        <v>1</v>
      </c>
      <c r="BR173" s="81">
        <v>0</v>
      </c>
      <c r="BS173" s="81">
        <v>49</v>
      </c>
      <c r="BT173" s="81">
        <v>0</v>
      </c>
      <c r="BU173" s="81">
        <v>2</v>
      </c>
      <c r="BV173" s="81">
        <v>0</v>
      </c>
      <c r="BW173" s="81">
        <v>5</v>
      </c>
      <c r="BX173" s="81">
        <v>1</v>
      </c>
      <c r="BY173" s="81">
        <v>25</v>
      </c>
      <c r="BZ173" s="81"/>
      <c r="CA173" s="81">
        <v>194</v>
      </c>
      <c r="CB173" s="83">
        <v>194</v>
      </c>
      <c r="CC173" s="81">
        <v>53</v>
      </c>
      <c r="CD173" s="81">
        <v>33</v>
      </c>
      <c r="CE173" s="81">
        <v>86</v>
      </c>
      <c r="CF173" s="81">
        <v>86</v>
      </c>
    </row>
    <row r="174" spans="1:84">
      <c r="A174" s="82">
        <v>40269</v>
      </c>
      <c r="B174" s="81">
        <v>230</v>
      </c>
      <c r="C174" s="81">
        <v>2</v>
      </c>
      <c r="D174" s="81">
        <v>0</v>
      </c>
      <c r="E174" s="81"/>
      <c r="F174" s="81">
        <v>201</v>
      </c>
      <c r="G174" s="81">
        <v>8</v>
      </c>
      <c r="H174" s="81">
        <v>16</v>
      </c>
      <c r="I174" s="81"/>
      <c r="J174" s="81"/>
      <c r="K174" s="81">
        <v>2</v>
      </c>
      <c r="L174" s="81">
        <v>26</v>
      </c>
      <c r="M174" s="81">
        <v>486</v>
      </c>
      <c r="N174" s="83">
        <v>485</v>
      </c>
      <c r="O174" s="85">
        <v>196</v>
      </c>
      <c r="P174" s="85">
        <v>1</v>
      </c>
      <c r="Q174" s="85">
        <v>164</v>
      </c>
      <c r="R174" s="85">
        <v>19</v>
      </c>
      <c r="S174" s="85">
        <v>2</v>
      </c>
      <c r="T174" s="85"/>
      <c r="U174" s="85"/>
      <c r="V174" s="85"/>
      <c r="W174" s="85"/>
      <c r="X174" s="85">
        <v>1</v>
      </c>
      <c r="Y174" s="85">
        <v>383</v>
      </c>
      <c r="Z174" s="83">
        <v>383</v>
      </c>
      <c r="AA174" s="81">
        <v>42</v>
      </c>
      <c r="AB174" s="81"/>
      <c r="AC174" s="81"/>
      <c r="AD174" s="81"/>
      <c r="AE174" s="81">
        <v>87</v>
      </c>
      <c r="AF174" s="81">
        <v>4</v>
      </c>
      <c r="AG174" s="81">
        <v>8</v>
      </c>
      <c r="AH174" s="81"/>
      <c r="AI174" s="81"/>
      <c r="AJ174" s="81"/>
      <c r="AK174" s="81">
        <v>1</v>
      </c>
      <c r="AL174" s="81"/>
      <c r="AM174" s="81"/>
      <c r="AN174" s="81">
        <v>142</v>
      </c>
      <c r="AO174" s="83">
        <v>142</v>
      </c>
      <c r="AP174" s="81">
        <v>25</v>
      </c>
      <c r="AQ174" s="81">
        <v>1</v>
      </c>
      <c r="AR174" s="81">
        <v>4</v>
      </c>
      <c r="AS174" s="81">
        <v>31</v>
      </c>
      <c r="AT174" s="81">
        <v>5</v>
      </c>
      <c r="AU174" s="81">
        <v>5</v>
      </c>
      <c r="AV174" s="81">
        <v>4</v>
      </c>
      <c r="AW174" s="81">
        <v>12</v>
      </c>
      <c r="AX174" s="81">
        <v>1</v>
      </c>
      <c r="AY174" s="81">
        <v>3</v>
      </c>
      <c r="AZ174" s="81">
        <v>2</v>
      </c>
      <c r="BA174" s="81">
        <v>2</v>
      </c>
      <c r="BB174" s="81">
        <v>95</v>
      </c>
      <c r="BC174" s="83">
        <v>95</v>
      </c>
      <c r="BD174" s="81">
        <v>173</v>
      </c>
      <c r="BE174" s="81">
        <v>1</v>
      </c>
      <c r="BF174" s="81"/>
      <c r="BG174" s="81">
        <v>112</v>
      </c>
      <c r="BH174" s="81">
        <v>4</v>
      </c>
      <c r="BI174" s="81">
        <v>9</v>
      </c>
      <c r="BJ174" s="81">
        <v>62</v>
      </c>
      <c r="BK174" s="81"/>
      <c r="BL174" s="81">
        <v>1</v>
      </c>
      <c r="BM174" s="81">
        <v>18</v>
      </c>
      <c r="BN174" s="81">
        <v>380</v>
      </c>
      <c r="BO174" s="83">
        <v>380</v>
      </c>
      <c r="BP174" s="81">
        <v>112</v>
      </c>
      <c r="BQ174" s="81">
        <v>1</v>
      </c>
      <c r="BR174" s="81">
        <v>0</v>
      </c>
      <c r="BS174" s="81">
        <v>56</v>
      </c>
      <c r="BT174" s="81">
        <v>0</v>
      </c>
      <c r="BU174" s="81">
        <v>2</v>
      </c>
      <c r="BV174" s="81">
        <v>0</v>
      </c>
      <c r="BW174" s="81">
        <v>4</v>
      </c>
      <c r="BX174" s="81">
        <v>2</v>
      </c>
      <c r="BY174" s="81">
        <v>24</v>
      </c>
      <c r="BZ174" s="81"/>
      <c r="CA174" s="81">
        <v>201</v>
      </c>
      <c r="CB174" s="83">
        <v>201</v>
      </c>
      <c r="CC174" s="81">
        <v>46</v>
      </c>
      <c r="CD174" s="81">
        <v>36</v>
      </c>
      <c r="CE174" s="81">
        <v>82</v>
      </c>
      <c r="CF174" s="81">
        <v>82</v>
      </c>
    </row>
    <row r="175" spans="1:84">
      <c r="A175" s="82">
        <v>40299</v>
      </c>
      <c r="B175" s="81">
        <v>223</v>
      </c>
      <c r="C175" s="81">
        <v>1</v>
      </c>
      <c r="D175" s="81">
        <v>0</v>
      </c>
      <c r="E175" s="81"/>
      <c r="F175" s="81">
        <v>182</v>
      </c>
      <c r="G175" s="81">
        <v>7</v>
      </c>
      <c r="H175" s="81">
        <v>16</v>
      </c>
      <c r="I175" s="81"/>
      <c r="J175" s="81"/>
      <c r="K175" s="81">
        <v>0</v>
      </c>
      <c r="L175" s="81">
        <v>25</v>
      </c>
      <c r="M175" s="81">
        <v>453</v>
      </c>
      <c r="N175" s="83">
        <v>454</v>
      </c>
      <c r="O175" s="85">
        <v>187</v>
      </c>
      <c r="P175" s="85">
        <v>1</v>
      </c>
      <c r="Q175" s="85">
        <v>241</v>
      </c>
      <c r="R175" s="85">
        <v>21</v>
      </c>
      <c r="S175" s="85">
        <v>2</v>
      </c>
      <c r="T175" s="85"/>
      <c r="U175" s="85"/>
      <c r="V175" s="85"/>
      <c r="W175" s="85"/>
      <c r="X175" s="85">
        <v>1</v>
      </c>
      <c r="Y175" s="85">
        <v>455</v>
      </c>
      <c r="Z175" s="83">
        <v>453</v>
      </c>
      <c r="AA175" s="81">
        <v>41</v>
      </c>
      <c r="AB175" s="81"/>
      <c r="AC175" s="81"/>
      <c r="AD175" s="81"/>
      <c r="AE175" s="81">
        <v>79</v>
      </c>
      <c r="AF175" s="81">
        <v>3</v>
      </c>
      <c r="AG175" s="81">
        <v>8</v>
      </c>
      <c r="AH175" s="81"/>
      <c r="AI175" s="81"/>
      <c r="AJ175" s="81"/>
      <c r="AK175" s="81"/>
      <c r="AL175" s="81"/>
      <c r="AM175" s="81"/>
      <c r="AN175" s="81">
        <v>132</v>
      </c>
      <c r="AO175" s="83">
        <v>131</v>
      </c>
      <c r="AP175" s="81">
        <v>26</v>
      </c>
      <c r="AQ175" s="81">
        <v>1</v>
      </c>
      <c r="AR175" s="81">
        <v>3</v>
      </c>
      <c r="AS175" s="81">
        <v>30</v>
      </c>
      <c r="AT175" s="81">
        <v>5</v>
      </c>
      <c r="AU175" s="81">
        <v>5</v>
      </c>
      <c r="AV175" s="81">
        <v>3</v>
      </c>
      <c r="AW175" s="81">
        <v>13</v>
      </c>
      <c r="AX175" s="81">
        <v>1</v>
      </c>
      <c r="AY175" s="81">
        <v>2</v>
      </c>
      <c r="AZ175" s="81">
        <v>1</v>
      </c>
      <c r="BA175" s="81">
        <v>2</v>
      </c>
      <c r="BB175" s="81">
        <v>93</v>
      </c>
      <c r="BC175" s="83">
        <v>92</v>
      </c>
      <c r="BD175" s="81">
        <v>170</v>
      </c>
      <c r="BE175" s="81">
        <v>1</v>
      </c>
      <c r="BF175" s="81"/>
      <c r="BG175" s="81">
        <v>100</v>
      </c>
      <c r="BH175" s="81">
        <v>3</v>
      </c>
      <c r="BI175" s="81">
        <v>9</v>
      </c>
      <c r="BJ175" s="81">
        <v>61</v>
      </c>
      <c r="BK175" s="81"/>
      <c r="BL175" s="81">
        <v>0</v>
      </c>
      <c r="BM175" s="81">
        <v>16</v>
      </c>
      <c r="BN175" s="81">
        <v>360</v>
      </c>
      <c r="BO175" s="83">
        <v>360</v>
      </c>
      <c r="BP175" s="81">
        <v>115</v>
      </c>
      <c r="BQ175" s="81">
        <v>1</v>
      </c>
      <c r="BR175" s="81">
        <v>0</v>
      </c>
      <c r="BS175" s="81">
        <v>58</v>
      </c>
      <c r="BT175" s="81">
        <v>0</v>
      </c>
      <c r="BU175" s="81">
        <v>2</v>
      </c>
      <c r="BV175" s="81">
        <v>0</v>
      </c>
      <c r="BW175" s="81">
        <v>3</v>
      </c>
      <c r="BX175" s="81">
        <v>2</v>
      </c>
      <c r="BY175" s="81">
        <v>23</v>
      </c>
      <c r="BZ175" s="81"/>
      <c r="CA175" s="81">
        <v>204</v>
      </c>
      <c r="CB175" s="83">
        <v>204</v>
      </c>
      <c r="CC175" s="81">
        <v>48</v>
      </c>
      <c r="CD175" s="81">
        <v>41</v>
      </c>
      <c r="CE175" s="81">
        <v>89</v>
      </c>
      <c r="CF175" s="81">
        <v>89</v>
      </c>
    </row>
    <row r="176" spans="1:84">
      <c r="A176" s="82">
        <v>40330</v>
      </c>
      <c r="B176" s="81">
        <v>218</v>
      </c>
      <c r="C176" s="81">
        <v>3</v>
      </c>
      <c r="D176" s="81">
        <v>0</v>
      </c>
      <c r="E176" s="81"/>
      <c r="F176" s="81">
        <v>195</v>
      </c>
      <c r="G176" s="81">
        <v>8</v>
      </c>
      <c r="H176" s="81">
        <v>17</v>
      </c>
      <c r="I176" s="81"/>
      <c r="J176" s="81"/>
      <c r="K176" s="81">
        <v>0</v>
      </c>
      <c r="L176" s="81">
        <v>26</v>
      </c>
      <c r="M176" s="81">
        <v>467</v>
      </c>
      <c r="N176" s="83">
        <v>467</v>
      </c>
      <c r="O176" s="85">
        <v>187</v>
      </c>
      <c r="P176" s="85">
        <v>1</v>
      </c>
      <c r="Q176" s="85">
        <v>164</v>
      </c>
      <c r="R176" s="85">
        <v>22</v>
      </c>
      <c r="S176" s="85">
        <v>2</v>
      </c>
      <c r="T176" s="85"/>
      <c r="U176" s="85"/>
      <c r="V176" s="85"/>
      <c r="W176" s="85"/>
      <c r="X176" s="85">
        <v>1</v>
      </c>
      <c r="Y176" s="85">
        <v>377</v>
      </c>
      <c r="Z176" s="83">
        <v>377</v>
      </c>
      <c r="AA176" s="81">
        <v>40</v>
      </c>
      <c r="AB176" s="85">
        <v>1</v>
      </c>
      <c r="AC176" s="81"/>
      <c r="AD176" s="81"/>
      <c r="AE176" s="81">
        <v>84</v>
      </c>
      <c r="AF176" s="81">
        <v>4</v>
      </c>
      <c r="AG176" s="81">
        <v>8</v>
      </c>
      <c r="AH176" s="81"/>
      <c r="AI176" s="81"/>
      <c r="AJ176" s="81"/>
      <c r="AK176" s="81"/>
      <c r="AL176" s="81"/>
      <c r="AM176" s="81"/>
      <c r="AN176" s="81">
        <v>137</v>
      </c>
      <c r="AO176" s="83">
        <v>137</v>
      </c>
      <c r="AP176" s="81">
        <v>30</v>
      </c>
      <c r="AQ176" s="81">
        <v>1</v>
      </c>
      <c r="AR176" s="81">
        <v>3</v>
      </c>
      <c r="AS176" s="81">
        <v>31</v>
      </c>
      <c r="AT176" s="81">
        <v>5</v>
      </c>
      <c r="AU176" s="81">
        <v>6</v>
      </c>
      <c r="AV176" s="81">
        <v>2</v>
      </c>
      <c r="AW176" s="81">
        <v>17</v>
      </c>
      <c r="AX176" s="81">
        <v>1</v>
      </c>
      <c r="AY176" s="81">
        <v>3</v>
      </c>
      <c r="AZ176" s="81">
        <v>1</v>
      </c>
      <c r="BA176" s="81">
        <v>3</v>
      </c>
      <c r="BB176" s="81">
        <v>103</v>
      </c>
      <c r="BC176" s="83">
        <v>103</v>
      </c>
      <c r="BD176" s="81">
        <v>167</v>
      </c>
      <c r="BE176" s="81">
        <v>1</v>
      </c>
      <c r="BF176" s="81"/>
      <c r="BG176" s="81">
        <v>109</v>
      </c>
      <c r="BH176" s="81">
        <v>4</v>
      </c>
      <c r="BI176" s="81">
        <v>9</v>
      </c>
      <c r="BJ176" s="81">
        <v>64</v>
      </c>
      <c r="BK176" s="81"/>
      <c r="BL176" s="81">
        <v>0</v>
      </c>
      <c r="BM176" s="81">
        <v>18</v>
      </c>
      <c r="BN176" s="81">
        <v>372</v>
      </c>
      <c r="BO176" s="83">
        <v>372</v>
      </c>
      <c r="BP176" s="81">
        <v>127</v>
      </c>
      <c r="BQ176" s="81">
        <v>2</v>
      </c>
      <c r="BR176" s="81">
        <v>0</v>
      </c>
      <c r="BS176" s="81">
        <v>60</v>
      </c>
      <c r="BT176" s="81">
        <v>0</v>
      </c>
      <c r="BU176" s="81">
        <v>2</v>
      </c>
      <c r="BV176" s="81">
        <v>0</v>
      </c>
      <c r="BW176" s="81">
        <v>6</v>
      </c>
      <c r="BX176" s="81">
        <v>2</v>
      </c>
      <c r="BY176" s="81">
        <v>29</v>
      </c>
      <c r="BZ176" s="81"/>
      <c r="CA176" s="81">
        <v>228</v>
      </c>
      <c r="CB176" s="83">
        <v>228</v>
      </c>
      <c r="CC176" s="81">
        <v>59</v>
      </c>
      <c r="CD176" s="81">
        <v>43</v>
      </c>
      <c r="CE176" s="81">
        <v>102</v>
      </c>
      <c r="CF176" s="81">
        <v>102</v>
      </c>
    </row>
    <row r="177" spans="1:84">
      <c r="A177" s="82">
        <v>40360</v>
      </c>
      <c r="B177" s="81">
        <v>197</v>
      </c>
      <c r="C177" s="81">
        <v>3</v>
      </c>
      <c r="D177" s="81">
        <v>0</v>
      </c>
      <c r="E177" s="81"/>
      <c r="F177" s="81">
        <v>220</v>
      </c>
      <c r="G177" s="81">
        <v>9</v>
      </c>
      <c r="H177" s="81">
        <v>16</v>
      </c>
      <c r="I177" s="81"/>
      <c r="J177" s="81"/>
      <c r="K177" s="81">
        <v>2</v>
      </c>
      <c r="L177" s="81">
        <v>25</v>
      </c>
      <c r="M177" s="81">
        <v>472</v>
      </c>
      <c r="N177" s="83">
        <v>472</v>
      </c>
      <c r="O177" s="85">
        <v>258</v>
      </c>
      <c r="P177" s="85">
        <v>1</v>
      </c>
      <c r="Q177" s="85">
        <v>145</v>
      </c>
      <c r="R177" s="85">
        <v>25</v>
      </c>
      <c r="S177" s="85">
        <v>3</v>
      </c>
      <c r="T177" s="85"/>
      <c r="U177" s="85"/>
      <c r="V177" s="85">
        <v>0</v>
      </c>
      <c r="W177" s="85"/>
      <c r="X177" s="85">
        <v>1</v>
      </c>
      <c r="Y177" s="85">
        <v>432</v>
      </c>
      <c r="Z177" s="83">
        <v>433</v>
      </c>
      <c r="AA177" s="85">
        <v>38</v>
      </c>
      <c r="AB177" s="81"/>
      <c r="AC177" s="81"/>
      <c r="AD177" s="81"/>
      <c r="AE177" s="81">
        <v>96</v>
      </c>
      <c r="AF177" s="81">
        <v>4</v>
      </c>
      <c r="AG177" s="81">
        <v>7</v>
      </c>
      <c r="AH177" s="81"/>
      <c r="AI177" s="81"/>
      <c r="AJ177" s="81"/>
      <c r="AK177" s="81">
        <v>1</v>
      </c>
      <c r="AL177" s="81"/>
      <c r="AM177" s="81"/>
      <c r="AN177" s="81">
        <v>147</v>
      </c>
      <c r="AO177" s="83">
        <v>146</v>
      </c>
      <c r="AP177" s="81">
        <v>31</v>
      </c>
      <c r="AQ177" s="81">
        <v>0</v>
      </c>
      <c r="AR177" s="81">
        <v>2</v>
      </c>
      <c r="AS177" s="81">
        <v>37</v>
      </c>
      <c r="AT177" s="81">
        <v>5</v>
      </c>
      <c r="AU177" s="81">
        <v>7</v>
      </c>
      <c r="AV177" s="81">
        <v>4</v>
      </c>
      <c r="AW177" s="81">
        <v>17</v>
      </c>
      <c r="AX177" s="81">
        <v>1</v>
      </c>
      <c r="AY177" s="81">
        <v>2</v>
      </c>
      <c r="AZ177" s="81">
        <v>1</v>
      </c>
      <c r="BA177" s="81">
        <v>2</v>
      </c>
      <c r="BB177" s="81">
        <v>110</v>
      </c>
      <c r="BC177" s="83">
        <v>109</v>
      </c>
      <c r="BD177" s="81">
        <v>146</v>
      </c>
      <c r="BE177" s="81">
        <v>1</v>
      </c>
      <c r="BF177" s="81"/>
      <c r="BG177" s="81">
        <v>121</v>
      </c>
      <c r="BH177" s="81">
        <v>4</v>
      </c>
      <c r="BI177" s="81">
        <v>9</v>
      </c>
      <c r="BJ177" s="81">
        <v>61</v>
      </c>
      <c r="BK177" s="81"/>
      <c r="BL177" s="81">
        <v>1</v>
      </c>
      <c r="BM177" s="81">
        <v>18</v>
      </c>
      <c r="BN177" s="81">
        <v>362</v>
      </c>
      <c r="BO177" s="83">
        <v>361</v>
      </c>
      <c r="BP177" s="81">
        <v>154</v>
      </c>
      <c r="BQ177" s="81">
        <v>2</v>
      </c>
      <c r="BR177" s="81">
        <v>0</v>
      </c>
      <c r="BS177" s="81">
        <v>78</v>
      </c>
      <c r="BT177" s="81">
        <v>0</v>
      </c>
      <c r="BU177" s="81">
        <v>2</v>
      </c>
      <c r="BV177" s="81">
        <v>0</v>
      </c>
      <c r="BW177" s="81">
        <v>4</v>
      </c>
      <c r="BX177" s="81">
        <v>2</v>
      </c>
      <c r="BY177" s="81">
        <v>33</v>
      </c>
      <c r="BZ177" s="81"/>
      <c r="CA177" s="81">
        <v>276</v>
      </c>
      <c r="CB177" s="83">
        <v>275</v>
      </c>
      <c r="CC177" s="81">
        <v>58</v>
      </c>
      <c r="CD177" s="81">
        <v>59</v>
      </c>
      <c r="CE177" s="81">
        <v>118</v>
      </c>
      <c r="CF177" s="81">
        <v>117</v>
      </c>
    </row>
    <row r="178" spans="1:84">
      <c r="A178" s="82">
        <v>40391</v>
      </c>
      <c r="B178" s="81">
        <v>178</v>
      </c>
      <c r="C178" s="81">
        <v>2</v>
      </c>
      <c r="D178" s="81">
        <v>0</v>
      </c>
      <c r="E178" s="81"/>
      <c r="F178" s="81">
        <v>147</v>
      </c>
      <c r="G178" s="81">
        <v>8</v>
      </c>
      <c r="H178" s="81">
        <v>16</v>
      </c>
      <c r="I178" s="81"/>
      <c r="J178" s="81"/>
      <c r="K178" s="81">
        <v>0</v>
      </c>
      <c r="L178" s="81">
        <v>25</v>
      </c>
      <c r="M178" s="81">
        <v>375</v>
      </c>
      <c r="N178" s="83">
        <v>376</v>
      </c>
      <c r="O178" s="85">
        <v>194</v>
      </c>
      <c r="P178" s="85">
        <v>0</v>
      </c>
      <c r="Q178" s="85">
        <v>200</v>
      </c>
      <c r="R178" s="85">
        <v>28</v>
      </c>
      <c r="S178" s="85">
        <v>3</v>
      </c>
      <c r="T178" s="85"/>
      <c r="U178" s="85"/>
      <c r="V178" s="85">
        <v>0</v>
      </c>
      <c r="W178" s="85"/>
      <c r="X178" s="85">
        <v>1</v>
      </c>
      <c r="Y178" s="85">
        <v>426</v>
      </c>
      <c r="Z178" s="83">
        <v>426</v>
      </c>
      <c r="AA178" s="85">
        <v>34</v>
      </c>
      <c r="AB178" s="81"/>
      <c r="AC178" s="81"/>
      <c r="AD178" s="81"/>
      <c r="AE178" s="81">
        <v>65</v>
      </c>
      <c r="AF178" s="81">
        <v>4</v>
      </c>
      <c r="AG178" s="81">
        <v>7</v>
      </c>
      <c r="AH178" s="81"/>
      <c r="AI178" s="81"/>
      <c r="AJ178" s="81"/>
      <c r="AK178" s="81"/>
      <c r="AL178" s="81"/>
      <c r="AM178" s="81"/>
      <c r="AN178" s="81">
        <v>110</v>
      </c>
      <c r="AO178" s="83">
        <v>110</v>
      </c>
      <c r="AP178" s="81">
        <v>29</v>
      </c>
      <c r="AQ178" s="81">
        <v>0</v>
      </c>
      <c r="AR178" s="81">
        <v>3</v>
      </c>
      <c r="AS178" s="81">
        <v>30</v>
      </c>
      <c r="AT178" s="81">
        <v>5</v>
      </c>
      <c r="AU178" s="81">
        <v>7</v>
      </c>
      <c r="AV178" s="81">
        <v>3</v>
      </c>
      <c r="AW178" s="81">
        <v>18</v>
      </c>
      <c r="AX178" s="81">
        <v>1</v>
      </c>
      <c r="AY178" s="81">
        <v>2</v>
      </c>
      <c r="AZ178" s="81">
        <v>2</v>
      </c>
      <c r="BA178" s="81">
        <v>2</v>
      </c>
      <c r="BB178" s="81">
        <v>101</v>
      </c>
      <c r="BC178" s="83">
        <v>102</v>
      </c>
      <c r="BD178" s="81">
        <v>133</v>
      </c>
      <c r="BE178" s="81">
        <v>1</v>
      </c>
      <c r="BF178" s="81"/>
      <c r="BG178" s="81">
        <v>82</v>
      </c>
      <c r="BH178" s="81">
        <v>3</v>
      </c>
      <c r="BI178" s="81">
        <v>9</v>
      </c>
      <c r="BJ178" s="81">
        <v>62</v>
      </c>
      <c r="BK178" s="81"/>
      <c r="BL178" s="81">
        <v>0</v>
      </c>
      <c r="BM178" s="81">
        <v>19</v>
      </c>
      <c r="BN178" s="81">
        <v>309</v>
      </c>
      <c r="BO178" s="83">
        <v>309</v>
      </c>
      <c r="BP178" s="81">
        <v>120</v>
      </c>
      <c r="BQ178" s="81">
        <v>2</v>
      </c>
      <c r="BR178" s="81">
        <v>0</v>
      </c>
      <c r="BS178" s="81">
        <v>60</v>
      </c>
      <c r="BT178" s="81">
        <v>0</v>
      </c>
      <c r="BU178" s="81">
        <v>2</v>
      </c>
      <c r="BV178" s="81">
        <v>0</v>
      </c>
      <c r="BW178" s="81">
        <v>3</v>
      </c>
      <c r="BX178" s="81">
        <v>2</v>
      </c>
      <c r="BY178" s="81">
        <v>42</v>
      </c>
      <c r="BZ178" s="81"/>
      <c r="CA178" s="81">
        <v>232</v>
      </c>
      <c r="CB178" s="83">
        <v>231</v>
      </c>
      <c r="CC178" s="81">
        <v>60</v>
      </c>
      <c r="CD178" s="81">
        <v>47</v>
      </c>
      <c r="CE178" s="81">
        <v>107</v>
      </c>
      <c r="CF178" s="81">
        <v>107</v>
      </c>
    </row>
    <row r="179" spans="1:84">
      <c r="A179" s="82">
        <v>40422</v>
      </c>
      <c r="B179" s="81">
        <v>181</v>
      </c>
      <c r="C179" s="81">
        <v>1</v>
      </c>
      <c r="D179" s="81">
        <v>0</v>
      </c>
      <c r="E179" s="81"/>
      <c r="F179" s="81">
        <v>209</v>
      </c>
      <c r="G179" s="81">
        <v>8</v>
      </c>
      <c r="H179" s="81">
        <v>16</v>
      </c>
      <c r="I179" s="81"/>
      <c r="J179" s="81"/>
      <c r="K179" s="81">
        <v>0</v>
      </c>
      <c r="L179" s="81">
        <v>26</v>
      </c>
      <c r="M179" s="81">
        <v>443</v>
      </c>
      <c r="N179" s="83">
        <v>441</v>
      </c>
      <c r="O179" s="85">
        <v>225</v>
      </c>
      <c r="P179" s="85">
        <v>1</v>
      </c>
      <c r="Q179" s="85">
        <v>178</v>
      </c>
      <c r="R179" s="85">
        <v>29</v>
      </c>
      <c r="S179" s="85">
        <v>2</v>
      </c>
      <c r="T179" s="85"/>
      <c r="U179" s="85"/>
      <c r="V179" s="85"/>
      <c r="W179" s="85"/>
      <c r="X179" s="85">
        <v>1</v>
      </c>
      <c r="Y179" s="85">
        <v>436</v>
      </c>
      <c r="Z179" s="83">
        <v>436</v>
      </c>
      <c r="AA179" s="81">
        <v>35</v>
      </c>
      <c r="AB179" s="81"/>
      <c r="AC179" s="81"/>
      <c r="AD179" s="81"/>
      <c r="AE179" s="81">
        <v>91</v>
      </c>
      <c r="AF179" s="81">
        <v>4</v>
      </c>
      <c r="AG179" s="81">
        <v>8</v>
      </c>
      <c r="AH179" s="81"/>
      <c r="AI179" s="81"/>
      <c r="AJ179" s="81"/>
      <c r="AK179" s="81"/>
      <c r="AL179" s="81"/>
      <c r="AM179" s="81"/>
      <c r="AN179" s="81">
        <v>137</v>
      </c>
      <c r="AO179" s="83">
        <v>138</v>
      </c>
      <c r="AP179" s="81">
        <v>24</v>
      </c>
      <c r="AQ179" s="81">
        <v>2</v>
      </c>
      <c r="AR179" s="81">
        <v>2</v>
      </c>
      <c r="AS179" s="81">
        <v>36</v>
      </c>
      <c r="AT179" s="81">
        <v>5</v>
      </c>
      <c r="AU179" s="81">
        <v>6</v>
      </c>
      <c r="AV179" s="81">
        <v>3</v>
      </c>
      <c r="AW179" s="81">
        <v>17</v>
      </c>
      <c r="AX179" s="81">
        <v>1</v>
      </c>
      <c r="AY179" s="81">
        <v>2</v>
      </c>
      <c r="AZ179" s="81">
        <v>2</v>
      </c>
      <c r="BA179" s="81">
        <v>2</v>
      </c>
      <c r="BB179" s="81">
        <v>101</v>
      </c>
      <c r="BC179" s="83">
        <v>102</v>
      </c>
      <c r="BD179" s="81">
        <v>137</v>
      </c>
      <c r="BE179" s="81">
        <v>1</v>
      </c>
      <c r="BF179" s="81"/>
      <c r="BG179" s="81">
        <v>115</v>
      </c>
      <c r="BH179" s="81">
        <v>4</v>
      </c>
      <c r="BI179" s="81">
        <v>9</v>
      </c>
      <c r="BJ179" s="81">
        <v>63</v>
      </c>
      <c r="BK179" s="81"/>
      <c r="BL179" s="81">
        <v>0</v>
      </c>
      <c r="BM179" s="81">
        <v>20</v>
      </c>
      <c r="BN179" s="81">
        <v>348</v>
      </c>
      <c r="BO179" s="83">
        <v>349</v>
      </c>
      <c r="BP179" s="81">
        <v>123</v>
      </c>
      <c r="BQ179" s="81">
        <v>2</v>
      </c>
      <c r="BR179" s="81">
        <v>0</v>
      </c>
      <c r="BS179" s="81">
        <v>67</v>
      </c>
      <c r="BT179" s="81">
        <v>1</v>
      </c>
      <c r="BU179" s="81">
        <v>2</v>
      </c>
      <c r="BV179" s="81">
        <v>0</v>
      </c>
      <c r="BW179" s="81">
        <v>6</v>
      </c>
      <c r="BX179" s="81">
        <v>2</v>
      </c>
      <c r="BY179" s="81">
        <v>50</v>
      </c>
      <c r="BZ179" s="81"/>
      <c r="CA179" s="81">
        <v>252</v>
      </c>
      <c r="CB179" s="83">
        <v>253</v>
      </c>
      <c r="CC179" s="81">
        <v>51</v>
      </c>
      <c r="CD179" s="81">
        <v>52</v>
      </c>
      <c r="CE179" s="81">
        <v>103</v>
      </c>
      <c r="CF179" s="81">
        <v>103</v>
      </c>
    </row>
    <row r="180" spans="1:84">
      <c r="A180" s="82">
        <v>40452</v>
      </c>
      <c r="B180" s="81">
        <v>207</v>
      </c>
      <c r="C180" s="81">
        <v>1</v>
      </c>
      <c r="D180" s="81">
        <v>0</v>
      </c>
      <c r="E180" s="81"/>
      <c r="F180" s="81">
        <v>195</v>
      </c>
      <c r="G180" s="81">
        <v>8</v>
      </c>
      <c r="H180" s="81">
        <v>14</v>
      </c>
      <c r="I180" s="81"/>
      <c r="J180" s="81"/>
      <c r="K180" s="81">
        <v>0</v>
      </c>
      <c r="L180" s="81">
        <v>28</v>
      </c>
      <c r="M180" s="81">
        <v>454</v>
      </c>
      <c r="N180" s="83">
        <v>453</v>
      </c>
      <c r="O180" s="85">
        <v>215</v>
      </c>
      <c r="P180" s="85">
        <v>2</v>
      </c>
      <c r="Q180" s="85">
        <v>209</v>
      </c>
      <c r="R180" s="85">
        <v>38</v>
      </c>
      <c r="S180" s="85">
        <v>3</v>
      </c>
      <c r="T180" s="85"/>
      <c r="U180" s="85"/>
      <c r="V180" s="85">
        <v>1</v>
      </c>
      <c r="W180" s="85"/>
      <c r="X180" s="85">
        <v>2</v>
      </c>
      <c r="Y180" s="85">
        <v>469</v>
      </c>
      <c r="Z180" s="83">
        <v>470</v>
      </c>
      <c r="AA180" s="85">
        <v>40</v>
      </c>
      <c r="AB180" s="85">
        <v>0</v>
      </c>
      <c r="AC180" s="85">
        <v>0</v>
      </c>
      <c r="AD180" s="81"/>
      <c r="AE180" s="85">
        <v>84</v>
      </c>
      <c r="AF180" s="85">
        <v>4</v>
      </c>
      <c r="AG180" s="85">
        <v>6</v>
      </c>
      <c r="AH180" s="81"/>
      <c r="AI180" s="81"/>
      <c r="AJ180" s="81"/>
      <c r="AK180" s="81"/>
      <c r="AL180" s="81"/>
      <c r="AM180" s="81"/>
      <c r="AN180" s="81">
        <v>134</v>
      </c>
      <c r="AO180" s="83">
        <v>134</v>
      </c>
      <c r="AP180" s="81">
        <v>22</v>
      </c>
      <c r="AQ180" s="81">
        <v>1</v>
      </c>
      <c r="AR180" s="81">
        <v>4</v>
      </c>
      <c r="AS180" s="81">
        <v>37</v>
      </c>
      <c r="AT180" s="81">
        <v>5</v>
      </c>
      <c r="AU180" s="81">
        <v>6</v>
      </c>
      <c r="AV180" s="81">
        <v>3</v>
      </c>
      <c r="AW180" s="81">
        <v>16</v>
      </c>
      <c r="AX180" s="81">
        <v>1</v>
      </c>
      <c r="AY180" s="81">
        <v>2</v>
      </c>
      <c r="AZ180" s="81">
        <v>1</v>
      </c>
      <c r="BA180" s="81">
        <v>2</v>
      </c>
      <c r="BB180" s="81">
        <v>99</v>
      </c>
      <c r="BC180" s="83">
        <v>100</v>
      </c>
      <c r="BD180" s="81">
        <v>156</v>
      </c>
      <c r="BE180" s="81">
        <v>1</v>
      </c>
      <c r="BF180" s="81"/>
      <c r="BG180" s="81">
        <v>106</v>
      </c>
      <c r="BH180" s="81">
        <v>3</v>
      </c>
      <c r="BI180" s="81">
        <v>8</v>
      </c>
      <c r="BJ180" s="81">
        <v>55</v>
      </c>
      <c r="BK180" s="81"/>
      <c r="BL180" s="81">
        <v>0</v>
      </c>
      <c r="BM180" s="81">
        <v>16</v>
      </c>
      <c r="BN180" s="81">
        <v>345</v>
      </c>
      <c r="BO180" s="83">
        <v>345</v>
      </c>
      <c r="BP180" s="81">
        <v>136</v>
      </c>
      <c r="BQ180" s="81">
        <v>1</v>
      </c>
      <c r="BR180" s="81">
        <v>0</v>
      </c>
      <c r="BS180" s="81">
        <v>74</v>
      </c>
      <c r="BT180" s="81">
        <v>0</v>
      </c>
      <c r="BU180" s="81">
        <v>1</v>
      </c>
      <c r="BV180" s="81">
        <v>0</v>
      </c>
      <c r="BW180" s="81">
        <v>4</v>
      </c>
      <c r="BX180" s="81">
        <v>2</v>
      </c>
      <c r="BY180" s="81">
        <v>58</v>
      </c>
      <c r="BZ180" s="81"/>
      <c r="CA180" s="81">
        <v>278</v>
      </c>
      <c r="CB180" s="83">
        <v>276</v>
      </c>
      <c r="CC180" s="81">
        <v>64</v>
      </c>
      <c r="CD180" s="81">
        <v>60</v>
      </c>
      <c r="CE180" s="81">
        <v>124</v>
      </c>
      <c r="CF180" s="81">
        <v>124</v>
      </c>
    </row>
    <row r="181" spans="1:84">
      <c r="A181" s="82">
        <v>40483</v>
      </c>
      <c r="B181" s="81">
        <v>205</v>
      </c>
      <c r="C181" s="81">
        <v>2</v>
      </c>
      <c r="D181" s="81">
        <v>0</v>
      </c>
      <c r="E181" s="81"/>
      <c r="F181" s="81">
        <v>214</v>
      </c>
      <c r="G181" s="81">
        <v>9</v>
      </c>
      <c r="H181" s="81">
        <v>15</v>
      </c>
      <c r="I181" s="81"/>
      <c r="J181" s="81"/>
      <c r="K181" s="81">
        <v>1</v>
      </c>
      <c r="L181" s="81">
        <v>27</v>
      </c>
      <c r="M181" s="81">
        <v>472</v>
      </c>
      <c r="N181" s="83">
        <v>473</v>
      </c>
      <c r="O181" s="85">
        <v>203</v>
      </c>
      <c r="P181" s="85">
        <v>3</v>
      </c>
      <c r="Q181" s="85">
        <v>238</v>
      </c>
      <c r="R181" s="85">
        <v>42</v>
      </c>
      <c r="S181" s="85">
        <v>2</v>
      </c>
      <c r="T181" s="85"/>
      <c r="U181" s="85"/>
      <c r="V181" s="85">
        <v>1</v>
      </c>
      <c r="W181" s="85"/>
      <c r="X181" s="85">
        <v>2</v>
      </c>
      <c r="Y181" s="85">
        <v>490</v>
      </c>
      <c r="Z181" s="83">
        <v>491</v>
      </c>
      <c r="AA181" s="85">
        <v>40</v>
      </c>
      <c r="AB181" s="85">
        <v>0</v>
      </c>
      <c r="AC181" s="85">
        <v>0</v>
      </c>
      <c r="AD181" s="81"/>
      <c r="AE181" s="85">
        <v>91</v>
      </c>
      <c r="AF181" s="85">
        <v>4</v>
      </c>
      <c r="AG181" s="85">
        <v>7</v>
      </c>
      <c r="AH181" s="81"/>
      <c r="AI181" s="81"/>
      <c r="AJ181" s="81"/>
      <c r="AK181" s="81">
        <v>0</v>
      </c>
      <c r="AL181" s="81">
        <v>0</v>
      </c>
      <c r="AM181" s="81"/>
      <c r="AN181" s="81">
        <v>142</v>
      </c>
      <c r="AO181" s="83">
        <v>142</v>
      </c>
      <c r="AP181" s="81">
        <v>24</v>
      </c>
      <c r="AQ181" s="81">
        <v>1</v>
      </c>
      <c r="AR181" s="81">
        <v>4</v>
      </c>
      <c r="AS181" s="81">
        <v>38</v>
      </c>
      <c r="AT181" s="81">
        <v>5</v>
      </c>
      <c r="AU181" s="81">
        <v>5</v>
      </c>
      <c r="AV181" s="81">
        <v>2</v>
      </c>
      <c r="AW181" s="81">
        <v>10</v>
      </c>
      <c r="AX181" s="81">
        <v>1</v>
      </c>
      <c r="AY181" s="81">
        <v>2</v>
      </c>
      <c r="AZ181" s="81">
        <v>1</v>
      </c>
      <c r="BA181" s="81">
        <v>2</v>
      </c>
      <c r="BB181" s="81">
        <v>95</v>
      </c>
      <c r="BC181" s="83">
        <v>95</v>
      </c>
      <c r="BD181" s="81">
        <v>155</v>
      </c>
      <c r="BE181" s="81">
        <v>1</v>
      </c>
      <c r="BF181" s="81"/>
      <c r="BG181" s="81">
        <v>117</v>
      </c>
      <c r="BH181" s="81">
        <v>4</v>
      </c>
      <c r="BI181" s="81">
        <v>9</v>
      </c>
      <c r="BJ181" s="81">
        <v>58</v>
      </c>
      <c r="BK181" s="81"/>
      <c r="BL181" s="81">
        <v>0</v>
      </c>
      <c r="BM181" s="81">
        <v>16</v>
      </c>
      <c r="BN181" s="81">
        <v>360</v>
      </c>
      <c r="BO181" s="83">
        <v>360</v>
      </c>
      <c r="BP181" s="81">
        <v>137</v>
      </c>
      <c r="BQ181" s="81">
        <v>1</v>
      </c>
      <c r="BR181" s="81">
        <v>0</v>
      </c>
      <c r="BS181" s="81">
        <v>79</v>
      </c>
      <c r="BT181" s="81">
        <v>0</v>
      </c>
      <c r="BU181" s="81">
        <v>2</v>
      </c>
      <c r="BV181" s="81">
        <v>0</v>
      </c>
      <c r="BW181" s="81">
        <v>3</v>
      </c>
      <c r="BX181" s="81">
        <v>2</v>
      </c>
      <c r="BY181" s="81">
        <v>55</v>
      </c>
      <c r="BZ181" s="81"/>
      <c r="CA181" s="81">
        <v>279</v>
      </c>
      <c r="CB181" s="83">
        <v>279</v>
      </c>
      <c r="CC181" s="81">
        <v>66</v>
      </c>
      <c r="CD181" s="81">
        <v>63</v>
      </c>
      <c r="CE181" s="81">
        <v>130</v>
      </c>
      <c r="CF181" s="81">
        <v>129</v>
      </c>
    </row>
    <row r="182" spans="1:84">
      <c r="A182" s="82">
        <v>40513</v>
      </c>
      <c r="B182" s="81">
        <v>196</v>
      </c>
      <c r="C182" s="81">
        <v>2</v>
      </c>
      <c r="D182" s="81">
        <v>0</v>
      </c>
      <c r="E182" s="81"/>
      <c r="F182" s="81">
        <v>192</v>
      </c>
      <c r="G182" s="81">
        <v>7</v>
      </c>
      <c r="H182" s="81">
        <v>14</v>
      </c>
      <c r="I182" s="81"/>
      <c r="J182" s="81"/>
      <c r="K182" s="81">
        <v>1</v>
      </c>
      <c r="L182" s="81">
        <v>31</v>
      </c>
      <c r="M182" s="81">
        <v>444</v>
      </c>
      <c r="N182" s="83">
        <v>443</v>
      </c>
      <c r="O182" s="85">
        <v>235</v>
      </c>
      <c r="P182" s="85">
        <v>1</v>
      </c>
      <c r="Q182" s="85">
        <v>193</v>
      </c>
      <c r="R182" s="85">
        <v>39</v>
      </c>
      <c r="S182" s="85">
        <v>3</v>
      </c>
      <c r="T182" s="85"/>
      <c r="U182" s="85"/>
      <c r="V182" s="85">
        <v>0</v>
      </c>
      <c r="W182" s="85"/>
      <c r="X182" s="85">
        <v>3</v>
      </c>
      <c r="Y182" s="85">
        <v>473</v>
      </c>
      <c r="Z182" s="83">
        <v>474</v>
      </c>
      <c r="AA182" s="85">
        <v>38</v>
      </c>
      <c r="AB182" s="85">
        <v>1</v>
      </c>
      <c r="AC182" s="85">
        <v>0</v>
      </c>
      <c r="AD182" s="81"/>
      <c r="AE182" s="85">
        <v>82</v>
      </c>
      <c r="AF182" s="85">
        <v>4</v>
      </c>
      <c r="AG182" s="85">
        <v>6</v>
      </c>
      <c r="AH182" s="81"/>
      <c r="AI182" s="81"/>
      <c r="AJ182" s="81"/>
      <c r="AK182" s="81">
        <v>0</v>
      </c>
      <c r="AL182" s="81">
        <v>0</v>
      </c>
      <c r="AM182" s="81"/>
      <c r="AN182" s="81">
        <v>131</v>
      </c>
      <c r="AO182" s="83">
        <v>131</v>
      </c>
      <c r="AP182" s="81">
        <v>23</v>
      </c>
      <c r="AQ182" s="81">
        <v>1</v>
      </c>
      <c r="AR182" s="81">
        <v>4</v>
      </c>
      <c r="AS182" s="81">
        <v>25</v>
      </c>
      <c r="AT182" s="81">
        <v>5</v>
      </c>
      <c r="AU182" s="81">
        <v>4</v>
      </c>
      <c r="AV182" s="81">
        <v>3</v>
      </c>
      <c r="AW182" s="81">
        <v>15</v>
      </c>
      <c r="AX182" s="81">
        <v>1</v>
      </c>
      <c r="AY182" s="81">
        <v>2</v>
      </c>
      <c r="AZ182" s="81">
        <v>1</v>
      </c>
      <c r="BA182" s="81">
        <v>2</v>
      </c>
      <c r="BB182" s="81">
        <v>85</v>
      </c>
      <c r="BC182" s="83">
        <v>86</v>
      </c>
      <c r="BD182" s="81">
        <v>152</v>
      </c>
      <c r="BE182" s="81">
        <v>1</v>
      </c>
      <c r="BF182" s="81"/>
      <c r="BG182" s="81">
        <v>106</v>
      </c>
      <c r="BH182" s="81">
        <v>3</v>
      </c>
      <c r="BI182" s="81">
        <v>8</v>
      </c>
      <c r="BJ182" s="81">
        <v>54</v>
      </c>
      <c r="BK182" s="81"/>
      <c r="BL182" s="81">
        <v>0</v>
      </c>
      <c r="BM182" s="81">
        <v>17</v>
      </c>
      <c r="BN182" s="81">
        <v>341</v>
      </c>
      <c r="BO182" s="83">
        <v>341</v>
      </c>
      <c r="BP182" s="81">
        <v>118</v>
      </c>
      <c r="BQ182" s="81">
        <v>1</v>
      </c>
      <c r="BR182" s="81">
        <v>0</v>
      </c>
      <c r="BS182" s="81">
        <v>60</v>
      </c>
      <c r="BT182" s="81">
        <v>0</v>
      </c>
      <c r="BU182" s="81">
        <v>2</v>
      </c>
      <c r="BV182" s="81">
        <v>0</v>
      </c>
      <c r="BW182" s="81">
        <v>3</v>
      </c>
      <c r="BX182" s="81">
        <v>2</v>
      </c>
      <c r="BY182" s="81">
        <v>44</v>
      </c>
      <c r="BZ182" s="81"/>
      <c r="CA182" s="81">
        <v>230</v>
      </c>
      <c r="CB182" s="83">
        <v>230</v>
      </c>
      <c r="CC182" s="81">
        <v>50</v>
      </c>
      <c r="CD182" s="81">
        <v>43</v>
      </c>
      <c r="CE182" s="81">
        <v>93</v>
      </c>
      <c r="CF182" s="81">
        <v>93</v>
      </c>
    </row>
    <row r="183" spans="1:84">
      <c r="A183" s="82">
        <v>40544</v>
      </c>
      <c r="B183" s="81">
        <v>192</v>
      </c>
      <c r="C183" s="81">
        <v>2</v>
      </c>
      <c r="D183" s="81">
        <v>0</v>
      </c>
      <c r="E183" s="81"/>
      <c r="F183" s="81">
        <v>186</v>
      </c>
      <c r="G183" s="81">
        <v>8</v>
      </c>
      <c r="H183" s="81">
        <v>15</v>
      </c>
      <c r="I183" s="81"/>
      <c r="J183" s="81"/>
      <c r="K183" s="81">
        <v>0</v>
      </c>
      <c r="L183" s="81">
        <v>27</v>
      </c>
      <c r="M183" s="81">
        <v>429</v>
      </c>
      <c r="N183" s="83">
        <v>430</v>
      </c>
      <c r="O183" s="85">
        <v>226</v>
      </c>
      <c r="P183" s="85">
        <v>1</v>
      </c>
      <c r="Q183" s="85">
        <v>140</v>
      </c>
      <c r="R183" s="85">
        <v>33</v>
      </c>
      <c r="S183" s="85">
        <v>4</v>
      </c>
      <c r="T183" s="85"/>
      <c r="U183" s="85"/>
      <c r="V183" s="85">
        <v>1</v>
      </c>
      <c r="W183" s="85"/>
      <c r="X183" s="85">
        <v>2</v>
      </c>
      <c r="Y183" s="85">
        <v>407</v>
      </c>
      <c r="Z183" s="83">
        <v>407</v>
      </c>
      <c r="AA183" s="85">
        <v>37</v>
      </c>
      <c r="AB183" s="85">
        <v>0</v>
      </c>
      <c r="AC183" s="85">
        <v>0</v>
      </c>
      <c r="AD183" s="81"/>
      <c r="AE183" s="85">
        <v>80</v>
      </c>
      <c r="AF183" s="85">
        <v>4</v>
      </c>
      <c r="AG183" s="85">
        <v>7</v>
      </c>
      <c r="AH183" s="81"/>
      <c r="AI183" s="81"/>
      <c r="AJ183" s="81"/>
      <c r="AK183" s="81">
        <v>0</v>
      </c>
      <c r="AL183" s="81">
        <v>0</v>
      </c>
      <c r="AM183" s="81"/>
      <c r="AN183" s="81">
        <v>127</v>
      </c>
      <c r="AO183" s="83">
        <v>128</v>
      </c>
      <c r="AP183" s="81">
        <v>23</v>
      </c>
      <c r="AQ183" s="81">
        <v>1</v>
      </c>
      <c r="AR183" s="81">
        <v>4</v>
      </c>
      <c r="AS183" s="81">
        <v>28</v>
      </c>
      <c r="AT183" s="81">
        <v>5</v>
      </c>
      <c r="AU183" s="81">
        <v>4</v>
      </c>
      <c r="AV183" s="81">
        <v>3</v>
      </c>
      <c r="AW183" s="81">
        <v>14</v>
      </c>
      <c r="AX183" s="81">
        <v>1</v>
      </c>
      <c r="AY183" s="81">
        <v>2</v>
      </c>
      <c r="AZ183" s="81">
        <v>1</v>
      </c>
      <c r="BA183" s="81">
        <v>2</v>
      </c>
      <c r="BB183" s="81">
        <v>88</v>
      </c>
      <c r="BC183" s="83">
        <v>88</v>
      </c>
      <c r="BD183" s="81">
        <v>148</v>
      </c>
      <c r="BE183" s="81">
        <v>1</v>
      </c>
      <c r="BF183" s="81"/>
      <c r="BG183" s="81">
        <v>102</v>
      </c>
      <c r="BH183" s="81">
        <v>3</v>
      </c>
      <c r="BI183" s="81">
        <v>8</v>
      </c>
      <c r="BJ183" s="81">
        <v>56</v>
      </c>
      <c r="BK183" s="81"/>
      <c r="BL183" s="81">
        <v>0</v>
      </c>
      <c r="BM183" s="81">
        <v>13</v>
      </c>
      <c r="BN183" s="81">
        <v>332</v>
      </c>
      <c r="BO183" s="83">
        <v>331</v>
      </c>
      <c r="BP183" s="81">
        <v>140</v>
      </c>
      <c r="BQ183" s="81">
        <v>1</v>
      </c>
      <c r="BR183" s="81"/>
      <c r="BS183" s="81">
        <v>61</v>
      </c>
      <c r="BT183" s="81">
        <v>0</v>
      </c>
      <c r="BU183" s="81">
        <v>3</v>
      </c>
      <c r="BV183" s="81"/>
      <c r="BW183" s="81">
        <v>3</v>
      </c>
      <c r="BX183" s="81">
        <v>2</v>
      </c>
      <c r="BY183" s="81">
        <v>32</v>
      </c>
      <c r="BZ183" s="81"/>
      <c r="CA183" s="81">
        <v>241</v>
      </c>
      <c r="CB183" s="83">
        <v>242</v>
      </c>
      <c r="CC183" s="81">
        <v>73</v>
      </c>
      <c r="CD183" s="81">
        <v>47</v>
      </c>
      <c r="CE183" s="81">
        <v>120</v>
      </c>
      <c r="CF183" s="81">
        <v>120</v>
      </c>
    </row>
    <row r="184" spans="1:84">
      <c r="A184" s="82">
        <v>40575</v>
      </c>
      <c r="B184" s="81">
        <v>146</v>
      </c>
      <c r="C184" s="81">
        <v>2</v>
      </c>
      <c r="D184" s="81">
        <v>0</v>
      </c>
      <c r="E184" s="81"/>
      <c r="F184" s="81">
        <v>180</v>
      </c>
      <c r="G184" s="81">
        <v>8</v>
      </c>
      <c r="H184" s="81">
        <v>15</v>
      </c>
      <c r="I184" s="81"/>
      <c r="J184" s="81"/>
      <c r="K184" s="81">
        <v>0</v>
      </c>
      <c r="L184" s="81">
        <v>28</v>
      </c>
      <c r="M184" s="81">
        <v>379</v>
      </c>
      <c r="N184" s="83">
        <v>379</v>
      </c>
      <c r="O184" s="85">
        <v>193</v>
      </c>
      <c r="P184" s="85">
        <v>0</v>
      </c>
      <c r="Q184" s="85">
        <v>180</v>
      </c>
      <c r="R184" s="85">
        <v>33</v>
      </c>
      <c r="S184" s="85">
        <v>3</v>
      </c>
      <c r="T184" s="85"/>
      <c r="U184" s="85"/>
      <c r="V184" s="85"/>
      <c r="W184" s="85"/>
      <c r="X184" s="85">
        <v>2</v>
      </c>
      <c r="Y184" s="85">
        <v>412</v>
      </c>
      <c r="Z184" s="83">
        <v>412</v>
      </c>
      <c r="AA184" s="85">
        <v>28</v>
      </c>
      <c r="AB184" s="85">
        <v>0</v>
      </c>
      <c r="AC184" s="85">
        <v>0</v>
      </c>
      <c r="AD184" s="81"/>
      <c r="AE184" s="85">
        <v>78</v>
      </c>
      <c r="AF184" s="85">
        <v>4</v>
      </c>
      <c r="AG184" s="85">
        <v>7</v>
      </c>
      <c r="AH184" s="81"/>
      <c r="AI184" s="81"/>
      <c r="AJ184" s="81"/>
      <c r="AK184" s="81"/>
      <c r="AL184" s="81"/>
      <c r="AM184" s="81"/>
      <c r="AN184" s="81">
        <v>117</v>
      </c>
      <c r="AO184" s="83">
        <v>117</v>
      </c>
      <c r="AP184" s="81">
        <v>21</v>
      </c>
      <c r="AQ184" s="81">
        <v>1</v>
      </c>
      <c r="AR184" s="81">
        <v>4</v>
      </c>
      <c r="AS184" s="81">
        <v>29</v>
      </c>
      <c r="AT184" s="81">
        <v>6</v>
      </c>
      <c r="AU184" s="81">
        <v>3</v>
      </c>
      <c r="AV184" s="81">
        <v>2</v>
      </c>
      <c r="AW184" s="81">
        <v>15</v>
      </c>
      <c r="AX184" s="81">
        <v>1</v>
      </c>
      <c r="AY184" s="81">
        <v>3</v>
      </c>
      <c r="AZ184" s="81">
        <v>1</v>
      </c>
      <c r="BA184" s="81">
        <v>1</v>
      </c>
      <c r="BB184" s="81">
        <v>88</v>
      </c>
      <c r="BC184" s="83">
        <v>87</v>
      </c>
      <c r="BD184" s="81">
        <v>113</v>
      </c>
      <c r="BE184" s="81">
        <v>1</v>
      </c>
      <c r="BF184" s="81"/>
      <c r="BG184" s="81">
        <v>99</v>
      </c>
      <c r="BH184" s="81">
        <v>3</v>
      </c>
      <c r="BI184" s="81">
        <v>9</v>
      </c>
      <c r="BJ184" s="81">
        <v>58</v>
      </c>
      <c r="BK184" s="81"/>
      <c r="BL184" s="81"/>
      <c r="BM184" s="81">
        <v>13</v>
      </c>
      <c r="BN184" s="81">
        <v>296</v>
      </c>
      <c r="BO184" s="83">
        <v>296</v>
      </c>
      <c r="BP184" s="81">
        <v>145</v>
      </c>
      <c r="BQ184" s="81">
        <v>1</v>
      </c>
      <c r="BR184" s="81"/>
      <c r="BS184" s="81">
        <v>62</v>
      </c>
      <c r="BT184" s="81">
        <v>0</v>
      </c>
      <c r="BU184" s="81">
        <v>3</v>
      </c>
      <c r="BV184" s="81"/>
      <c r="BW184" s="81">
        <v>6</v>
      </c>
      <c r="BX184" s="81">
        <v>2</v>
      </c>
      <c r="BY184" s="81">
        <v>21</v>
      </c>
      <c r="BZ184" s="81"/>
      <c r="CA184" s="81">
        <v>240</v>
      </c>
      <c r="CB184" s="83">
        <v>240</v>
      </c>
      <c r="CC184" s="81">
        <v>74</v>
      </c>
      <c r="CD184" s="81">
        <v>47</v>
      </c>
      <c r="CE184" s="81">
        <v>122</v>
      </c>
      <c r="CF184" s="81">
        <v>121</v>
      </c>
    </row>
    <row r="185" spans="1:84">
      <c r="A185" s="82">
        <v>40603</v>
      </c>
      <c r="B185" s="81">
        <v>185</v>
      </c>
      <c r="C185" s="81">
        <v>2</v>
      </c>
      <c r="D185" s="81">
        <v>0</v>
      </c>
      <c r="E185" s="81"/>
      <c r="F185" s="81">
        <v>181</v>
      </c>
      <c r="G185" s="81">
        <v>8</v>
      </c>
      <c r="H185" s="81">
        <v>17</v>
      </c>
      <c r="I185" s="81"/>
      <c r="J185" s="81"/>
      <c r="K185" s="81">
        <v>0</v>
      </c>
      <c r="L185" s="81">
        <v>33</v>
      </c>
      <c r="M185" s="81">
        <v>427</v>
      </c>
      <c r="N185" s="83">
        <v>426</v>
      </c>
      <c r="O185" s="85">
        <v>177</v>
      </c>
      <c r="P185" s="85">
        <v>2</v>
      </c>
      <c r="Q185" s="85">
        <v>176</v>
      </c>
      <c r="R185" s="85">
        <v>32</v>
      </c>
      <c r="S185" s="85">
        <v>2</v>
      </c>
      <c r="T185" s="85"/>
      <c r="U185" s="85"/>
      <c r="V185" s="85">
        <v>2</v>
      </c>
      <c r="W185" s="85"/>
      <c r="X185" s="85">
        <v>3</v>
      </c>
      <c r="Y185" s="85">
        <v>394</v>
      </c>
      <c r="Z185" s="83">
        <v>394</v>
      </c>
      <c r="AA185" s="85">
        <v>35</v>
      </c>
      <c r="AB185" s="85">
        <v>0</v>
      </c>
      <c r="AC185" s="85">
        <v>0</v>
      </c>
      <c r="AD185" s="81"/>
      <c r="AE185" s="85">
        <v>79</v>
      </c>
      <c r="AF185" s="85">
        <v>4</v>
      </c>
      <c r="AG185" s="85">
        <v>8</v>
      </c>
      <c r="AH185" s="81"/>
      <c r="AI185" s="81"/>
      <c r="AJ185" s="81"/>
      <c r="AK185" s="81"/>
      <c r="AL185" s="81"/>
      <c r="AM185" s="81"/>
      <c r="AN185" s="81">
        <v>126</v>
      </c>
      <c r="AO185" s="83">
        <v>126</v>
      </c>
      <c r="AP185" s="81">
        <v>20</v>
      </c>
      <c r="AQ185" s="81">
        <v>1</v>
      </c>
      <c r="AR185" s="81">
        <v>3</v>
      </c>
      <c r="AS185" s="81">
        <v>23</v>
      </c>
      <c r="AT185" s="81">
        <v>6</v>
      </c>
      <c r="AU185" s="81">
        <v>4</v>
      </c>
      <c r="AV185" s="81">
        <v>3</v>
      </c>
      <c r="AW185" s="81">
        <v>16</v>
      </c>
      <c r="AX185" s="81">
        <v>1</v>
      </c>
      <c r="AY185" s="81">
        <v>2</v>
      </c>
      <c r="AZ185" s="81">
        <v>1</v>
      </c>
      <c r="BA185" s="81">
        <v>1</v>
      </c>
      <c r="BB185" s="81">
        <v>79</v>
      </c>
      <c r="BC185" s="83">
        <v>81</v>
      </c>
      <c r="BD185" s="81">
        <v>143</v>
      </c>
      <c r="BE185" s="81">
        <v>1</v>
      </c>
      <c r="BF185" s="81"/>
      <c r="BG185" s="81">
        <v>100</v>
      </c>
      <c r="BH185" s="81">
        <v>3</v>
      </c>
      <c r="BI185" s="81">
        <v>10</v>
      </c>
      <c r="BJ185" s="81">
        <v>67</v>
      </c>
      <c r="BK185" s="81"/>
      <c r="BL185" s="81"/>
      <c r="BM185" s="81">
        <v>16</v>
      </c>
      <c r="BN185" s="81">
        <v>340</v>
      </c>
      <c r="BO185" s="83">
        <v>340</v>
      </c>
      <c r="BP185" s="81">
        <v>131</v>
      </c>
      <c r="BQ185" s="81">
        <v>1</v>
      </c>
      <c r="BR185" s="81"/>
      <c r="BS185" s="81">
        <v>55</v>
      </c>
      <c r="BT185" s="81">
        <v>1</v>
      </c>
      <c r="BU185" s="81">
        <v>2</v>
      </c>
      <c r="BV185" s="81"/>
      <c r="BW185" s="81">
        <v>5</v>
      </c>
      <c r="BX185" s="81">
        <v>2</v>
      </c>
      <c r="BY185" s="81">
        <v>22</v>
      </c>
      <c r="BZ185" s="81"/>
      <c r="CA185" s="81">
        <v>219</v>
      </c>
      <c r="CB185" s="83">
        <v>219</v>
      </c>
      <c r="CC185" s="81">
        <v>69</v>
      </c>
      <c r="CD185" s="81">
        <v>35</v>
      </c>
      <c r="CE185" s="81">
        <v>104</v>
      </c>
      <c r="CF185" s="81">
        <v>104</v>
      </c>
    </row>
    <row r="186" spans="1:84">
      <c r="A186" s="82">
        <v>40634</v>
      </c>
      <c r="B186" s="81">
        <v>183</v>
      </c>
      <c r="C186" s="81">
        <v>2</v>
      </c>
      <c r="D186" s="81">
        <v>0</v>
      </c>
      <c r="E186" s="81"/>
      <c r="F186" s="81">
        <v>227</v>
      </c>
      <c r="G186" s="81">
        <v>9</v>
      </c>
      <c r="H186" s="81">
        <v>17</v>
      </c>
      <c r="I186" s="81"/>
      <c r="J186" s="81"/>
      <c r="K186" s="81">
        <v>0</v>
      </c>
      <c r="L186" s="81">
        <v>30</v>
      </c>
      <c r="M186" s="81">
        <v>469</v>
      </c>
      <c r="N186" s="83">
        <v>468</v>
      </c>
      <c r="O186" s="85">
        <v>162</v>
      </c>
      <c r="P186" s="85">
        <v>1</v>
      </c>
      <c r="Q186" s="85">
        <v>99</v>
      </c>
      <c r="R186" s="85">
        <v>34</v>
      </c>
      <c r="S186" s="85">
        <v>3</v>
      </c>
      <c r="T186" s="85"/>
      <c r="U186" s="85"/>
      <c r="V186" s="85">
        <v>2</v>
      </c>
      <c r="W186" s="85"/>
      <c r="X186" s="85">
        <v>3</v>
      </c>
      <c r="Y186" s="85">
        <v>303</v>
      </c>
      <c r="Z186" s="83">
        <v>304</v>
      </c>
      <c r="AA186" s="85">
        <v>35</v>
      </c>
      <c r="AB186" s="85">
        <v>0</v>
      </c>
      <c r="AC186" s="85">
        <v>0</v>
      </c>
      <c r="AD186" s="81"/>
      <c r="AE186" s="85">
        <v>99</v>
      </c>
      <c r="AF186" s="85">
        <v>4</v>
      </c>
      <c r="AG186" s="85">
        <v>8</v>
      </c>
      <c r="AH186" s="81"/>
      <c r="AI186" s="81"/>
      <c r="AJ186" s="81"/>
      <c r="AK186" s="81"/>
      <c r="AL186" s="81"/>
      <c r="AM186" s="81"/>
      <c r="AN186" s="81">
        <v>146</v>
      </c>
      <c r="AO186" s="83">
        <v>146</v>
      </c>
      <c r="AP186" s="81">
        <v>17</v>
      </c>
      <c r="AQ186" s="81">
        <v>0</v>
      </c>
      <c r="AR186" s="81">
        <v>3</v>
      </c>
      <c r="AS186" s="81">
        <v>25</v>
      </c>
      <c r="AT186" s="81">
        <v>6</v>
      </c>
      <c r="AU186" s="81">
        <v>4</v>
      </c>
      <c r="AV186" s="81">
        <v>3</v>
      </c>
      <c r="AW186" s="81">
        <v>17</v>
      </c>
      <c r="AX186" s="81">
        <v>1</v>
      </c>
      <c r="AY186" s="81">
        <v>2</v>
      </c>
      <c r="AZ186" s="81">
        <v>1</v>
      </c>
      <c r="BA186" s="81">
        <v>1</v>
      </c>
      <c r="BB186" s="81">
        <v>81</v>
      </c>
      <c r="BC186" s="83">
        <v>80</v>
      </c>
      <c r="BD186" s="81">
        <v>141</v>
      </c>
      <c r="BE186" s="81">
        <v>1</v>
      </c>
      <c r="BF186" s="81"/>
      <c r="BG186" s="81">
        <v>125</v>
      </c>
      <c r="BH186" s="81">
        <v>4</v>
      </c>
      <c r="BI186" s="81">
        <v>10</v>
      </c>
      <c r="BJ186" s="81">
        <v>67</v>
      </c>
      <c r="BK186" s="81"/>
      <c r="BL186" s="81">
        <v>0</v>
      </c>
      <c r="BM186" s="81">
        <v>14</v>
      </c>
      <c r="BN186" s="81">
        <v>361</v>
      </c>
      <c r="BO186" s="83">
        <v>362</v>
      </c>
      <c r="BP186" s="81">
        <v>146</v>
      </c>
      <c r="BQ186" s="81">
        <v>1</v>
      </c>
      <c r="BR186" s="81">
        <v>0</v>
      </c>
      <c r="BS186" s="81">
        <v>71</v>
      </c>
      <c r="BT186" s="81">
        <v>1</v>
      </c>
      <c r="BU186" s="81">
        <v>2</v>
      </c>
      <c r="BV186" s="81"/>
      <c r="BW186" s="81">
        <v>3</v>
      </c>
      <c r="BX186" s="81">
        <v>2</v>
      </c>
      <c r="BY186" s="81">
        <v>24</v>
      </c>
      <c r="BZ186" s="81"/>
      <c r="CA186" s="81">
        <v>248</v>
      </c>
      <c r="CB186" s="83">
        <v>250</v>
      </c>
      <c r="CC186" s="81">
        <v>79</v>
      </c>
      <c r="CD186" s="81">
        <v>53</v>
      </c>
      <c r="CE186" s="81">
        <v>132</v>
      </c>
      <c r="CF186" s="81">
        <v>132</v>
      </c>
    </row>
    <row r="187" spans="1:84">
      <c r="A187" s="82">
        <v>40664</v>
      </c>
      <c r="B187" s="81">
        <v>181</v>
      </c>
      <c r="C187" s="81">
        <v>2</v>
      </c>
      <c r="D187" s="81">
        <v>0</v>
      </c>
      <c r="E187" s="81"/>
      <c r="F187" s="81">
        <v>197</v>
      </c>
      <c r="G187" s="81">
        <v>7</v>
      </c>
      <c r="H187" s="81">
        <v>19</v>
      </c>
      <c r="I187" s="81"/>
      <c r="J187" s="81"/>
      <c r="K187" s="81">
        <v>1</v>
      </c>
      <c r="L187" s="81">
        <v>30</v>
      </c>
      <c r="M187" s="81">
        <v>436</v>
      </c>
      <c r="N187" s="83">
        <v>437</v>
      </c>
      <c r="O187" s="85">
        <v>158</v>
      </c>
      <c r="P187" s="85">
        <v>1</v>
      </c>
      <c r="Q187" s="85">
        <v>188</v>
      </c>
      <c r="R187" s="85">
        <v>33</v>
      </c>
      <c r="S187" s="85">
        <v>3</v>
      </c>
      <c r="T187" s="85"/>
      <c r="U187" s="85"/>
      <c r="V187" s="85">
        <v>1</v>
      </c>
      <c r="W187" s="85"/>
      <c r="X187" s="85">
        <v>2</v>
      </c>
      <c r="Y187" s="85">
        <v>387</v>
      </c>
      <c r="Z187" s="83">
        <v>386</v>
      </c>
      <c r="AA187" s="85">
        <v>36</v>
      </c>
      <c r="AB187" s="85">
        <v>0</v>
      </c>
      <c r="AC187" s="85">
        <v>0</v>
      </c>
      <c r="AD187" s="85"/>
      <c r="AE187" s="85">
        <v>86</v>
      </c>
      <c r="AF187" s="85">
        <v>3</v>
      </c>
      <c r="AG187" s="85">
        <v>9</v>
      </c>
      <c r="AH187" s="85"/>
      <c r="AI187" s="81"/>
      <c r="AJ187" s="81"/>
      <c r="AK187" s="81"/>
      <c r="AL187" s="81"/>
      <c r="AM187" s="81"/>
      <c r="AN187" s="81">
        <v>134</v>
      </c>
      <c r="AO187" s="83">
        <v>134</v>
      </c>
      <c r="AP187" s="81">
        <v>18</v>
      </c>
      <c r="AQ187" s="81">
        <v>0</v>
      </c>
      <c r="AR187" s="81">
        <v>2</v>
      </c>
      <c r="AS187" s="81">
        <v>28</v>
      </c>
      <c r="AT187" s="81">
        <v>5</v>
      </c>
      <c r="AU187" s="81">
        <v>5</v>
      </c>
      <c r="AV187" s="81">
        <v>3</v>
      </c>
      <c r="AW187" s="81">
        <v>11</v>
      </c>
      <c r="AX187" s="81">
        <v>1</v>
      </c>
      <c r="AY187" s="81">
        <v>1</v>
      </c>
      <c r="AZ187" s="81">
        <v>2</v>
      </c>
      <c r="BA187" s="81">
        <v>1</v>
      </c>
      <c r="BB187" s="81">
        <v>79</v>
      </c>
      <c r="BC187" s="83">
        <v>77</v>
      </c>
      <c r="BD187" s="81">
        <v>140</v>
      </c>
      <c r="BE187" s="81">
        <v>1</v>
      </c>
      <c r="BF187" s="81"/>
      <c r="BG187" s="81">
        <v>109</v>
      </c>
      <c r="BH187" s="81">
        <v>3</v>
      </c>
      <c r="BI187" s="81">
        <v>11</v>
      </c>
      <c r="BJ187" s="81">
        <v>73</v>
      </c>
      <c r="BK187" s="81"/>
      <c r="BL187" s="81">
        <v>0</v>
      </c>
      <c r="BM187" s="81">
        <v>14</v>
      </c>
      <c r="BN187" s="81">
        <v>351</v>
      </c>
      <c r="BO187" s="83">
        <v>351</v>
      </c>
      <c r="BP187" s="81">
        <v>168</v>
      </c>
      <c r="BQ187" s="81">
        <v>1</v>
      </c>
      <c r="BR187" s="81">
        <v>0</v>
      </c>
      <c r="BS187" s="81">
        <v>76</v>
      </c>
      <c r="BT187" s="81">
        <v>1</v>
      </c>
      <c r="BU187" s="81">
        <v>3</v>
      </c>
      <c r="BV187" s="81"/>
      <c r="BW187" s="81">
        <v>2</v>
      </c>
      <c r="BX187" s="81">
        <v>2</v>
      </c>
      <c r="BY187" s="81">
        <v>20</v>
      </c>
      <c r="BZ187" s="81"/>
      <c r="CA187" s="81">
        <v>272</v>
      </c>
      <c r="CB187" s="83">
        <v>273</v>
      </c>
      <c r="CC187" s="81">
        <v>106</v>
      </c>
      <c r="CD187" s="81">
        <v>59</v>
      </c>
      <c r="CE187" s="81">
        <v>165</v>
      </c>
      <c r="CF187" s="81">
        <v>165</v>
      </c>
    </row>
    <row r="188" spans="1:84">
      <c r="A188" s="82">
        <v>40695</v>
      </c>
      <c r="B188" s="81">
        <v>182</v>
      </c>
      <c r="C188" s="81">
        <v>2</v>
      </c>
      <c r="D188" s="81">
        <v>0</v>
      </c>
      <c r="E188" s="81"/>
      <c r="F188" s="81">
        <v>220</v>
      </c>
      <c r="G188" s="81">
        <v>8</v>
      </c>
      <c r="H188" s="81">
        <v>19</v>
      </c>
      <c r="I188" s="81"/>
      <c r="J188" s="81"/>
      <c r="K188" s="81">
        <v>1</v>
      </c>
      <c r="L188" s="81">
        <v>31</v>
      </c>
      <c r="M188" s="81">
        <v>463</v>
      </c>
      <c r="N188" s="83">
        <v>463</v>
      </c>
      <c r="O188" s="85">
        <v>205</v>
      </c>
      <c r="P188" s="85">
        <v>1</v>
      </c>
      <c r="Q188" s="85">
        <v>212</v>
      </c>
      <c r="R188" s="85">
        <v>33</v>
      </c>
      <c r="S188" s="85">
        <v>2</v>
      </c>
      <c r="T188" s="85"/>
      <c r="U188" s="85"/>
      <c r="V188" s="85">
        <v>1</v>
      </c>
      <c r="W188" s="85"/>
      <c r="X188" s="85">
        <v>2</v>
      </c>
      <c r="Y188" s="85">
        <v>455</v>
      </c>
      <c r="Z188" s="83">
        <v>456</v>
      </c>
      <c r="AA188" s="85">
        <v>35</v>
      </c>
      <c r="AB188" s="85">
        <v>0</v>
      </c>
      <c r="AC188" s="85">
        <v>0</v>
      </c>
      <c r="AD188" s="81"/>
      <c r="AE188" s="85">
        <v>96</v>
      </c>
      <c r="AF188" s="85">
        <v>4</v>
      </c>
      <c r="AG188" s="85">
        <v>8</v>
      </c>
      <c r="AH188" s="81"/>
      <c r="AI188" s="81"/>
      <c r="AJ188" s="81"/>
      <c r="AK188" s="81">
        <v>0</v>
      </c>
      <c r="AL188" s="81">
        <v>0</v>
      </c>
      <c r="AM188" s="81">
        <v>1</v>
      </c>
      <c r="AN188" s="81">
        <v>144</v>
      </c>
      <c r="AO188" s="83">
        <v>143</v>
      </c>
      <c r="AP188" s="81">
        <v>22</v>
      </c>
      <c r="AQ188" s="81">
        <v>0</v>
      </c>
      <c r="AR188" s="81">
        <v>2</v>
      </c>
      <c r="AS188" s="81">
        <v>36</v>
      </c>
      <c r="AT188" s="81">
        <v>5</v>
      </c>
      <c r="AU188" s="81">
        <v>7</v>
      </c>
      <c r="AV188" s="81">
        <v>2</v>
      </c>
      <c r="AW188" s="81">
        <v>15</v>
      </c>
      <c r="AX188" s="81">
        <v>1</v>
      </c>
      <c r="AY188" s="81">
        <v>3</v>
      </c>
      <c r="AZ188" s="81">
        <v>2</v>
      </c>
      <c r="BA188" s="81">
        <v>2</v>
      </c>
      <c r="BB188" s="81">
        <v>98</v>
      </c>
      <c r="BC188" s="83">
        <v>97</v>
      </c>
      <c r="BD188" s="81">
        <v>141</v>
      </c>
      <c r="BE188" s="81">
        <v>1</v>
      </c>
      <c r="BF188" s="81"/>
      <c r="BG188" s="81">
        <v>122</v>
      </c>
      <c r="BH188" s="81">
        <v>3</v>
      </c>
      <c r="BI188" s="81">
        <v>11</v>
      </c>
      <c r="BJ188" s="81">
        <v>72</v>
      </c>
      <c r="BK188" s="81"/>
      <c r="BL188" s="81">
        <v>0</v>
      </c>
      <c r="BM188" s="81">
        <v>15</v>
      </c>
      <c r="BN188" s="81">
        <v>365</v>
      </c>
      <c r="BO188" s="83">
        <v>365</v>
      </c>
      <c r="BP188" s="81">
        <v>167</v>
      </c>
      <c r="BQ188" s="81">
        <v>2</v>
      </c>
      <c r="BR188" s="81">
        <v>0</v>
      </c>
      <c r="BS188" s="81">
        <v>90</v>
      </c>
      <c r="BT188" s="81">
        <v>1</v>
      </c>
      <c r="BU188" s="81">
        <v>3</v>
      </c>
      <c r="BV188" s="81"/>
      <c r="BW188" s="81">
        <v>4</v>
      </c>
      <c r="BX188" s="81">
        <v>2</v>
      </c>
      <c r="BY188" s="81">
        <v>20</v>
      </c>
      <c r="BZ188" s="81"/>
      <c r="CA188" s="81">
        <v>289</v>
      </c>
      <c r="CB188" s="83">
        <v>289</v>
      </c>
      <c r="CC188" s="81">
        <v>102</v>
      </c>
      <c r="CD188" s="81">
        <v>67</v>
      </c>
      <c r="CE188" s="81">
        <v>168</v>
      </c>
      <c r="CF188" s="81">
        <v>169</v>
      </c>
    </row>
    <row r="189" spans="1:84">
      <c r="A189" s="82">
        <v>40725</v>
      </c>
      <c r="B189" s="81">
        <v>154</v>
      </c>
      <c r="C189" s="81">
        <v>2</v>
      </c>
      <c r="D189" s="81">
        <v>0</v>
      </c>
      <c r="E189" s="81"/>
      <c r="F189" s="81">
        <v>199</v>
      </c>
      <c r="G189" s="81">
        <v>9</v>
      </c>
      <c r="H189" s="81">
        <v>17</v>
      </c>
      <c r="I189" s="81"/>
      <c r="J189" s="81"/>
      <c r="K189" s="81">
        <v>1</v>
      </c>
      <c r="L189" s="81">
        <v>28</v>
      </c>
      <c r="M189" s="81">
        <v>411</v>
      </c>
      <c r="N189" s="83">
        <v>410</v>
      </c>
      <c r="O189" s="85">
        <v>229</v>
      </c>
      <c r="P189" s="85">
        <v>0</v>
      </c>
      <c r="Q189" s="85">
        <v>177</v>
      </c>
      <c r="R189" s="85">
        <v>30</v>
      </c>
      <c r="S189" s="85">
        <v>3</v>
      </c>
      <c r="T189" s="85"/>
      <c r="U189" s="85"/>
      <c r="V189" s="85">
        <v>0</v>
      </c>
      <c r="W189" s="85"/>
      <c r="X189" s="85">
        <v>2</v>
      </c>
      <c r="Y189" s="85">
        <v>441</v>
      </c>
      <c r="Z189" s="83">
        <v>441</v>
      </c>
      <c r="AA189" s="85">
        <v>30</v>
      </c>
      <c r="AB189" s="85">
        <v>0</v>
      </c>
      <c r="AC189" s="85">
        <v>0</v>
      </c>
      <c r="AD189" s="81"/>
      <c r="AE189" s="85">
        <v>87</v>
      </c>
      <c r="AF189" s="85">
        <v>4</v>
      </c>
      <c r="AG189" s="85">
        <v>8</v>
      </c>
      <c r="AH189" s="81"/>
      <c r="AI189" s="81"/>
      <c r="AJ189" s="81"/>
      <c r="AK189" s="81">
        <v>0</v>
      </c>
      <c r="AL189" s="81">
        <v>0</v>
      </c>
      <c r="AM189" s="81">
        <v>0</v>
      </c>
      <c r="AN189" s="81">
        <v>130</v>
      </c>
      <c r="AO189" s="83">
        <v>129</v>
      </c>
      <c r="AP189" s="81">
        <v>19</v>
      </c>
      <c r="AQ189" s="81">
        <v>0</v>
      </c>
      <c r="AR189" s="81">
        <v>2</v>
      </c>
      <c r="AS189" s="81">
        <v>38</v>
      </c>
      <c r="AT189" s="81">
        <v>6</v>
      </c>
      <c r="AU189" s="81">
        <v>8</v>
      </c>
      <c r="AV189" s="81">
        <v>2</v>
      </c>
      <c r="AW189" s="81">
        <v>13</v>
      </c>
      <c r="AX189" s="81">
        <v>1</v>
      </c>
      <c r="AY189" s="81">
        <v>2</v>
      </c>
      <c r="AZ189" s="81">
        <v>2</v>
      </c>
      <c r="BA189" s="81">
        <v>3</v>
      </c>
      <c r="BB189" s="81">
        <v>97</v>
      </c>
      <c r="BC189" s="83">
        <v>96</v>
      </c>
      <c r="BD189" s="81">
        <v>118</v>
      </c>
      <c r="BE189" s="81">
        <v>1</v>
      </c>
      <c r="BF189" s="81">
        <v>0</v>
      </c>
      <c r="BG189" s="81">
        <v>110</v>
      </c>
      <c r="BH189" s="81">
        <v>4</v>
      </c>
      <c r="BI189" s="81">
        <v>10</v>
      </c>
      <c r="BJ189" s="81">
        <v>67</v>
      </c>
      <c r="BK189" s="81"/>
      <c r="BL189" s="81">
        <v>0</v>
      </c>
      <c r="BM189" s="81">
        <v>17</v>
      </c>
      <c r="BN189" s="81">
        <v>325</v>
      </c>
      <c r="BO189" s="83">
        <v>327</v>
      </c>
      <c r="BP189" s="81">
        <v>160</v>
      </c>
      <c r="BQ189" s="81">
        <v>2</v>
      </c>
      <c r="BR189" s="81">
        <v>0</v>
      </c>
      <c r="BS189" s="81">
        <v>104</v>
      </c>
      <c r="BT189" s="81">
        <v>1</v>
      </c>
      <c r="BU189" s="81">
        <v>3</v>
      </c>
      <c r="BV189" s="81"/>
      <c r="BW189" s="81">
        <v>3</v>
      </c>
      <c r="BX189" s="81">
        <v>2</v>
      </c>
      <c r="BY189" s="81">
        <v>22</v>
      </c>
      <c r="BZ189" s="81"/>
      <c r="CA189" s="81">
        <v>296</v>
      </c>
      <c r="CB189" s="83">
        <v>297</v>
      </c>
      <c r="CC189" s="81">
        <v>118</v>
      </c>
      <c r="CD189" s="81">
        <v>92</v>
      </c>
      <c r="CE189" s="81">
        <v>210</v>
      </c>
      <c r="CF189" s="81">
        <v>210</v>
      </c>
    </row>
    <row r="190" spans="1:84">
      <c r="A190" s="82">
        <v>40756</v>
      </c>
      <c r="B190" s="81">
        <v>163</v>
      </c>
      <c r="C190" s="81">
        <v>2</v>
      </c>
      <c r="D190" s="81">
        <v>0</v>
      </c>
      <c r="E190" s="81"/>
      <c r="F190" s="81">
        <v>155</v>
      </c>
      <c r="G190" s="81">
        <v>7</v>
      </c>
      <c r="H190" s="81">
        <v>17</v>
      </c>
      <c r="I190" s="81"/>
      <c r="J190" s="81"/>
      <c r="K190" s="81">
        <v>0</v>
      </c>
      <c r="L190" s="81">
        <v>31</v>
      </c>
      <c r="M190" s="81">
        <v>375</v>
      </c>
      <c r="N190" s="83">
        <v>375</v>
      </c>
      <c r="O190" s="85">
        <v>233</v>
      </c>
      <c r="P190" s="85">
        <v>1</v>
      </c>
      <c r="Q190" s="85">
        <v>195</v>
      </c>
      <c r="R190" s="85">
        <v>32</v>
      </c>
      <c r="S190" s="85">
        <v>3</v>
      </c>
      <c r="T190" s="85"/>
      <c r="U190" s="85"/>
      <c r="V190" s="85">
        <v>1</v>
      </c>
      <c r="W190" s="85"/>
      <c r="X190" s="85">
        <v>1</v>
      </c>
      <c r="Y190" s="85">
        <v>468</v>
      </c>
      <c r="Z190" s="83">
        <v>466</v>
      </c>
      <c r="AA190" s="85">
        <v>32</v>
      </c>
      <c r="AB190" s="85">
        <v>0</v>
      </c>
      <c r="AC190" s="85">
        <v>0</v>
      </c>
      <c r="AD190" s="81"/>
      <c r="AE190" s="85">
        <v>68</v>
      </c>
      <c r="AF190" s="85">
        <v>3</v>
      </c>
      <c r="AG190" s="85">
        <v>8</v>
      </c>
      <c r="AH190" s="81"/>
      <c r="AI190" s="81"/>
      <c r="AJ190" s="81"/>
      <c r="AK190" s="81">
        <v>0</v>
      </c>
      <c r="AL190" s="81">
        <v>0</v>
      </c>
      <c r="AM190" s="81">
        <v>0</v>
      </c>
      <c r="AN190" s="81">
        <v>111</v>
      </c>
      <c r="AO190" s="83">
        <v>111</v>
      </c>
      <c r="AP190" s="81">
        <v>27</v>
      </c>
      <c r="AQ190" s="81">
        <v>1</v>
      </c>
      <c r="AR190" s="81">
        <v>3</v>
      </c>
      <c r="AS190" s="81">
        <v>31</v>
      </c>
      <c r="AT190" s="81">
        <v>6</v>
      </c>
      <c r="AU190" s="81">
        <v>9</v>
      </c>
      <c r="AV190" s="81">
        <v>3</v>
      </c>
      <c r="AW190" s="81">
        <v>23</v>
      </c>
      <c r="AX190" s="81">
        <v>1</v>
      </c>
      <c r="AY190" s="81">
        <v>3</v>
      </c>
      <c r="AZ190" s="81">
        <v>2</v>
      </c>
      <c r="BA190" s="81">
        <v>3</v>
      </c>
      <c r="BB190" s="81">
        <v>110</v>
      </c>
      <c r="BC190" s="83">
        <v>112</v>
      </c>
      <c r="BD190" s="81">
        <v>123</v>
      </c>
      <c r="BE190" s="81">
        <v>1</v>
      </c>
      <c r="BF190" s="81">
        <v>0</v>
      </c>
      <c r="BG190" s="81">
        <v>86</v>
      </c>
      <c r="BH190" s="81">
        <v>3</v>
      </c>
      <c r="BI190" s="81">
        <v>9</v>
      </c>
      <c r="BJ190" s="81">
        <v>64</v>
      </c>
      <c r="BK190" s="81"/>
      <c r="BL190" s="81">
        <v>0</v>
      </c>
      <c r="BM190" s="81">
        <v>17</v>
      </c>
      <c r="BN190" s="81">
        <v>303</v>
      </c>
      <c r="BO190" s="83">
        <v>303</v>
      </c>
      <c r="BP190" s="81">
        <v>150</v>
      </c>
      <c r="BQ190" s="81">
        <v>2</v>
      </c>
      <c r="BR190" s="81">
        <v>0</v>
      </c>
      <c r="BS190" s="81">
        <v>92</v>
      </c>
      <c r="BT190" s="81">
        <v>0</v>
      </c>
      <c r="BU190" s="81">
        <v>2</v>
      </c>
      <c r="BV190" s="81"/>
      <c r="BW190" s="81">
        <v>3</v>
      </c>
      <c r="BX190" s="81">
        <v>2</v>
      </c>
      <c r="BY190" s="81">
        <v>36</v>
      </c>
      <c r="BZ190" s="81"/>
      <c r="CA190" s="81">
        <v>287</v>
      </c>
      <c r="CB190" s="83">
        <v>287</v>
      </c>
      <c r="CC190" s="81">
        <v>100</v>
      </c>
      <c r="CD190" s="81">
        <v>79</v>
      </c>
      <c r="CE190" s="81">
        <v>180</v>
      </c>
      <c r="CF190" s="81">
        <v>179</v>
      </c>
    </row>
    <row r="191" spans="1:84">
      <c r="A191" s="82">
        <v>40787</v>
      </c>
      <c r="B191" s="81">
        <v>154</v>
      </c>
      <c r="C191" s="81">
        <v>2</v>
      </c>
      <c r="D191" s="81">
        <v>0</v>
      </c>
      <c r="E191" s="81"/>
      <c r="F191" s="81">
        <v>196</v>
      </c>
      <c r="G191" s="81">
        <v>8</v>
      </c>
      <c r="H191" s="81">
        <v>15</v>
      </c>
      <c r="I191" s="81"/>
      <c r="J191" s="81"/>
      <c r="K191" s="81">
        <v>0</v>
      </c>
      <c r="L191" s="81">
        <v>30</v>
      </c>
      <c r="M191" s="81">
        <v>406</v>
      </c>
      <c r="N191" s="83">
        <v>405</v>
      </c>
      <c r="O191" s="85">
        <v>164</v>
      </c>
      <c r="P191" s="85">
        <v>2</v>
      </c>
      <c r="Q191" s="85">
        <v>177</v>
      </c>
      <c r="R191" s="85">
        <v>30</v>
      </c>
      <c r="S191" s="85">
        <v>3</v>
      </c>
      <c r="T191" s="85"/>
      <c r="U191" s="85"/>
      <c r="V191" s="85">
        <v>0</v>
      </c>
      <c r="W191" s="85"/>
      <c r="X191" s="85">
        <v>2</v>
      </c>
      <c r="Y191" s="85">
        <v>378</v>
      </c>
      <c r="Z191" s="83">
        <v>378</v>
      </c>
      <c r="AA191" s="85">
        <v>30</v>
      </c>
      <c r="AB191" s="85">
        <v>0</v>
      </c>
      <c r="AC191" s="85">
        <v>0</v>
      </c>
      <c r="AD191" s="81"/>
      <c r="AE191" s="85">
        <v>85</v>
      </c>
      <c r="AF191" s="85">
        <v>4</v>
      </c>
      <c r="AG191" s="85">
        <v>7</v>
      </c>
      <c r="AH191" s="81"/>
      <c r="AI191" s="81"/>
      <c r="AJ191" s="81"/>
      <c r="AK191" s="81">
        <v>0</v>
      </c>
      <c r="AL191" s="81">
        <v>0</v>
      </c>
      <c r="AM191" s="81">
        <v>1</v>
      </c>
      <c r="AN191" s="81">
        <v>127</v>
      </c>
      <c r="AO191" s="83">
        <v>126</v>
      </c>
      <c r="AP191" s="81">
        <v>28</v>
      </c>
      <c r="AQ191" s="81">
        <v>1</v>
      </c>
      <c r="AR191" s="81">
        <v>2</v>
      </c>
      <c r="AS191" s="81">
        <v>30</v>
      </c>
      <c r="AT191" s="81">
        <v>6</v>
      </c>
      <c r="AU191" s="81">
        <v>8</v>
      </c>
      <c r="AV191" s="81">
        <v>3</v>
      </c>
      <c r="AW191" s="81">
        <v>15</v>
      </c>
      <c r="AX191" s="81">
        <v>1</v>
      </c>
      <c r="AY191" s="81">
        <v>2</v>
      </c>
      <c r="AZ191" s="81">
        <v>1</v>
      </c>
      <c r="BA191" s="81">
        <v>2</v>
      </c>
      <c r="BB191" s="81">
        <v>100</v>
      </c>
      <c r="BC191" s="83">
        <v>99</v>
      </c>
      <c r="BD191" s="81">
        <v>118</v>
      </c>
      <c r="BE191" s="81">
        <v>1</v>
      </c>
      <c r="BF191" s="81">
        <v>0</v>
      </c>
      <c r="BG191" s="81">
        <v>108</v>
      </c>
      <c r="BH191" s="81">
        <v>3</v>
      </c>
      <c r="BI191" s="81">
        <v>8</v>
      </c>
      <c r="BJ191" s="81">
        <v>58</v>
      </c>
      <c r="BK191" s="81"/>
      <c r="BL191" s="81">
        <v>0</v>
      </c>
      <c r="BM191" s="81">
        <v>18</v>
      </c>
      <c r="BN191" s="81">
        <v>314</v>
      </c>
      <c r="BO191" s="83">
        <v>314</v>
      </c>
      <c r="BP191" s="81">
        <v>115</v>
      </c>
      <c r="BQ191" s="81">
        <v>2</v>
      </c>
      <c r="BR191" s="81">
        <v>0</v>
      </c>
      <c r="BS191" s="81">
        <v>76</v>
      </c>
      <c r="BT191" s="81">
        <v>1</v>
      </c>
      <c r="BU191" s="81">
        <v>1</v>
      </c>
      <c r="BV191" s="81"/>
      <c r="BW191" s="81">
        <v>4</v>
      </c>
      <c r="BX191" s="81">
        <v>2</v>
      </c>
      <c r="BY191" s="81">
        <v>40</v>
      </c>
      <c r="BZ191" s="81"/>
      <c r="CA191" s="81">
        <v>240</v>
      </c>
      <c r="CB191" s="83">
        <v>241</v>
      </c>
      <c r="CC191" s="81">
        <v>68</v>
      </c>
      <c r="CD191" s="81">
        <v>65</v>
      </c>
      <c r="CE191" s="81">
        <v>134</v>
      </c>
      <c r="CF191" s="81">
        <v>133</v>
      </c>
    </row>
    <row r="192" spans="1:84">
      <c r="A192" s="82">
        <v>40817</v>
      </c>
      <c r="B192" s="81">
        <v>181</v>
      </c>
      <c r="C192" s="81">
        <v>2</v>
      </c>
      <c r="D192" s="81">
        <v>0</v>
      </c>
      <c r="E192" s="81"/>
      <c r="F192" s="81">
        <v>201</v>
      </c>
      <c r="G192" s="81">
        <v>7</v>
      </c>
      <c r="H192" s="81">
        <v>14</v>
      </c>
      <c r="I192" s="81"/>
      <c r="J192" s="81"/>
      <c r="K192" s="81">
        <v>2</v>
      </c>
      <c r="L192" s="81">
        <v>30</v>
      </c>
      <c r="M192" s="81">
        <v>437</v>
      </c>
      <c r="N192" s="83">
        <v>437</v>
      </c>
      <c r="O192" s="85">
        <v>211</v>
      </c>
      <c r="P192" s="85">
        <v>2</v>
      </c>
      <c r="Q192" s="85">
        <v>199</v>
      </c>
      <c r="R192" s="85">
        <v>36</v>
      </c>
      <c r="S192" s="85">
        <v>3</v>
      </c>
      <c r="T192" s="85"/>
      <c r="U192" s="85"/>
      <c r="V192" s="85">
        <v>0</v>
      </c>
      <c r="W192" s="85"/>
      <c r="X192" s="85">
        <v>2</v>
      </c>
      <c r="Y192" s="85">
        <v>453</v>
      </c>
      <c r="Z192" s="83">
        <v>453</v>
      </c>
      <c r="AA192" s="85">
        <v>36</v>
      </c>
      <c r="AB192" s="85">
        <v>0</v>
      </c>
      <c r="AC192" s="85">
        <v>0</v>
      </c>
      <c r="AD192" s="81"/>
      <c r="AE192" s="85">
        <v>88</v>
      </c>
      <c r="AF192" s="85">
        <v>4</v>
      </c>
      <c r="AG192" s="85">
        <v>6</v>
      </c>
      <c r="AH192" s="81"/>
      <c r="AI192" s="81"/>
      <c r="AJ192" s="81"/>
      <c r="AK192" s="81">
        <v>1</v>
      </c>
      <c r="AL192" s="81">
        <v>0</v>
      </c>
      <c r="AM192" s="81">
        <v>0</v>
      </c>
      <c r="AN192" s="81">
        <v>135</v>
      </c>
      <c r="AO192" s="83">
        <v>135</v>
      </c>
      <c r="AP192" s="81">
        <v>33</v>
      </c>
      <c r="AQ192" s="81">
        <v>1</v>
      </c>
      <c r="AR192" s="81">
        <v>3</v>
      </c>
      <c r="AS192" s="81">
        <v>32</v>
      </c>
      <c r="AT192" s="81">
        <v>6</v>
      </c>
      <c r="AU192" s="81">
        <v>7</v>
      </c>
      <c r="AV192" s="81">
        <v>1</v>
      </c>
      <c r="AW192" s="81">
        <v>21</v>
      </c>
      <c r="AX192" s="81">
        <v>1</v>
      </c>
      <c r="AY192" s="81">
        <v>3</v>
      </c>
      <c r="AZ192" s="81">
        <v>1</v>
      </c>
      <c r="BA192" s="81">
        <v>1</v>
      </c>
      <c r="BB192" s="81">
        <v>110</v>
      </c>
      <c r="BC192" s="83">
        <v>110</v>
      </c>
      <c r="BD192" s="81">
        <v>137</v>
      </c>
      <c r="BE192" s="81">
        <v>1</v>
      </c>
      <c r="BF192" s="81">
        <v>0</v>
      </c>
      <c r="BG192" s="81">
        <v>111</v>
      </c>
      <c r="BH192" s="81">
        <v>3</v>
      </c>
      <c r="BI192" s="81">
        <v>8</v>
      </c>
      <c r="BJ192" s="81">
        <v>54</v>
      </c>
      <c r="BK192" s="81"/>
      <c r="BL192" s="81">
        <v>1</v>
      </c>
      <c r="BM192" s="81">
        <v>15</v>
      </c>
      <c r="BN192" s="81">
        <v>330</v>
      </c>
      <c r="BO192" s="83">
        <v>330</v>
      </c>
      <c r="BP192" s="81">
        <v>135</v>
      </c>
      <c r="BQ192" s="81">
        <v>2</v>
      </c>
      <c r="BR192" s="81">
        <v>0</v>
      </c>
      <c r="BS192" s="81">
        <v>95</v>
      </c>
      <c r="BT192" s="81">
        <v>0</v>
      </c>
      <c r="BU192" s="81">
        <v>1</v>
      </c>
      <c r="BV192" s="81"/>
      <c r="BW192" s="81">
        <v>2</v>
      </c>
      <c r="BX192" s="81">
        <v>2</v>
      </c>
      <c r="BY192" s="81">
        <v>39</v>
      </c>
      <c r="BZ192" s="81"/>
      <c r="CA192" s="81">
        <v>278</v>
      </c>
      <c r="CB192" s="83">
        <v>276</v>
      </c>
      <c r="CC192" s="81">
        <v>66</v>
      </c>
      <c r="CD192" s="81">
        <v>83</v>
      </c>
      <c r="CE192" s="81">
        <v>149</v>
      </c>
      <c r="CF192" s="81">
        <v>149</v>
      </c>
    </row>
    <row r="193" spans="1:84">
      <c r="A193" s="82">
        <v>40848</v>
      </c>
      <c r="B193" s="81">
        <v>181</v>
      </c>
      <c r="C193" s="81">
        <v>2</v>
      </c>
      <c r="D193" s="81">
        <v>0</v>
      </c>
      <c r="E193" s="81"/>
      <c r="F193" s="81">
        <v>217</v>
      </c>
      <c r="G193" s="81">
        <v>8</v>
      </c>
      <c r="H193" s="81">
        <v>14</v>
      </c>
      <c r="I193" s="81"/>
      <c r="J193" s="81"/>
      <c r="K193" s="81">
        <v>0</v>
      </c>
      <c r="L193" s="81">
        <v>27</v>
      </c>
      <c r="M193" s="81">
        <v>450</v>
      </c>
      <c r="N193" s="83">
        <v>449</v>
      </c>
      <c r="O193" s="85">
        <v>159</v>
      </c>
      <c r="P193" s="85">
        <v>1</v>
      </c>
      <c r="Q193" s="85">
        <v>153</v>
      </c>
      <c r="R193" s="85">
        <v>39</v>
      </c>
      <c r="S193" s="85">
        <v>3</v>
      </c>
      <c r="T193" s="85"/>
      <c r="U193" s="85"/>
      <c r="V193" s="85">
        <v>0</v>
      </c>
      <c r="W193" s="85"/>
      <c r="X193" s="85">
        <v>1</v>
      </c>
      <c r="Y193" s="85">
        <v>356</v>
      </c>
      <c r="Z193" s="83">
        <v>356</v>
      </c>
      <c r="AA193" s="85">
        <v>35</v>
      </c>
      <c r="AB193" s="85">
        <v>0</v>
      </c>
      <c r="AC193" s="85">
        <v>0</v>
      </c>
      <c r="AD193" s="81"/>
      <c r="AE193" s="85">
        <v>97</v>
      </c>
      <c r="AF193" s="85">
        <v>4</v>
      </c>
      <c r="AG193" s="85">
        <v>7</v>
      </c>
      <c r="AH193" s="81"/>
      <c r="AI193" s="81"/>
      <c r="AJ193" s="81"/>
      <c r="AK193" s="81">
        <v>0</v>
      </c>
      <c r="AL193" s="81">
        <v>0</v>
      </c>
      <c r="AM193" s="81">
        <v>0</v>
      </c>
      <c r="AN193" s="81">
        <v>143</v>
      </c>
      <c r="AO193" s="83">
        <v>143</v>
      </c>
      <c r="AP193" s="81">
        <v>33</v>
      </c>
      <c r="AQ193" s="81">
        <v>2</v>
      </c>
      <c r="AR193" s="81">
        <v>2</v>
      </c>
      <c r="AS193" s="81">
        <v>35</v>
      </c>
      <c r="AT193" s="81">
        <v>6</v>
      </c>
      <c r="AU193" s="81">
        <v>7</v>
      </c>
      <c r="AV193" s="81">
        <v>2</v>
      </c>
      <c r="AW193" s="81">
        <v>18</v>
      </c>
      <c r="AX193" s="81">
        <v>1</v>
      </c>
      <c r="AY193" s="81">
        <v>2</v>
      </c>
      <c r="AZ193" s="81">
        <v>1</v>
      </c>
      <c r="BA193" s="81">
        <v>1</v>
      </c>
      <c r="BB193" s="81">
        <v>108</v>
      </c>
      <c r="BC193" s="83">
        <v>110</v>
      </c>
      <c r="BD193" s="81">
        <v>137</v>
      </c>
      <c r="BE193" s="81">
        <v>1</v>
      </c>
      <c r="BF193" s="81">
        <v>0</v>
      </c>
      <c r="BG193" s="81">
        <v>120</v>
      </c>
      <c r="BH193" s="81">
        <v>4</v>
      </c>
      <c r="BI193" s="81">
        <v>8</v>
      </c>
      <c r="BJ193" s="81">
        <v>55</v>
      </c>
      <c r="BK193" s="81"/>
      <c r="BL193" s="81">
        <v>0</v>
      </c>
      <c r="BM193" s="81">
        <v>16</v>
      </c>
      <c r="BN193" s="81">
        <v>340</v>
      </c>
      <c r="BO193" s="83">
        <v>341</v>
      </c>
      <c r="BP193" s="81">
        <v>152</v>
      </c>
      <c r="BQ193" s="81">
        <v>2</v>
      </c>
      <c r="BR193" s="81">
        <v>0</v>
      </c>
      <c r="BS193" s="81">
        <v>108</v>
      </c>
      <c r="BT193" s="81">
        <v>1</v>
      </c>
      <c r="BU193" s="81">
        <v>1</v>
      </c>
      <c r="BV193" s="81"/>
      <c r="BW193" s="81">
        <v>1</v>
      </c>
      <c r="BX193" s="81">
        <v>2</v>
      </c>
      <c r="BY193" s="81">
        <v>43</v>
      </c>
      <c r="BZ193" s="81"/>
      <c r="CA193" s="81">
        <v>310</v>
      </c>
      <c r="CB193" s="83">
        <v>310</v>
      </c>
      <c r="CC193" s="81">
        <v>66</v>
      </c>
      <c r="CD193" s="81">
        <v>95</v>
      </c>
      <c r="CE193" s="81">
        <v>161</v>
      </c>
      <c r="CF193" s="81">
        <v>161</v>
      </c>
    </row>
    <row r="194" spans="1:84">
      <c r="A194" s="82">
        <v>40878</v>
      </c>
      <c r="B194" s="81">
        <v>164</v>
      </c>
      <c r="C194" s="81">
        <v>2</v>
      </c>
      <c r="D194" s="81">
        <v>0</v>
      </c>
      <c r="E194" s="81"/>
      <c r="F194" s="81">
        <v>188</v>
      </c>
      <c r="G194" s="81">
        <v>7</v>
      </c>
      <c r="H194" s="81">
        <v>14</v>
      </c>
      <c r="I194" s="81"/>
      <c r="J194" s="81"/>
      <c r="K194" s="81">
        <v>0</v>
      </c>
      <c r="L194" s="81">
        <v>30</v>
      </c>
      <c r="M194" s="81">
        <v>406</v>
      </c>
      <c r="N194" s="83">
        <v>405</v>
      </c>
      <c r="O194" s="85">
        <v>166</v>
      </c>
      <c r="P194" s="85">
        <v>1</v>
      </c>
      <c r="Q194" s="85">
        <v>193</v>
      </c>
      <c r="R194" s="85">
        <v>36</v>
      </c>
      <c r="S194" s="85">
        <v>3</v>
      </c>
      <c r="T194" s="85"/>
      <c r="U194" s="85"/>
      <c r="V194" s="85">
        <v>0</v>
      </c>
      <c r="W194" s="85"/>
      <c r="X194" s="85">
        <v>2</v>
      </c>
      <c r="Y194" s="85">
        <v>401</v>
      </c>
      <c r="Z194" s="83">
        <v>401</v>
      </c>
      <c r="AA194" s="85">
        <v>32</v>
      </c>
      <c r="AB194" s="85">
        <v>0</v>
      </c>
      <c r="AC194" s="85">
        <v>0</v>
      </c>
      <c r="AD194" s="81"/>
      <c r="AE194" s="85">
        <v>83</v>
      </c>
      <c r="AF194" s="85">
        <v>3</v>
      </c>
      <c r="AG194" s="85">
        <v>6</v>
      </c>
      <c r="AH194" s="81"/>
      <c r="AI194" s="81"/>
      <c r="AJ194" s="81"/>
      <c r="AK194" s="81">
        <v>0</v>
      </c>
      <c r="AL194" s="81">
        <v>0</v>
      </c>
      <c r="AM194" s="81">
        <v>1</v>
      </c>
      <c r="AN194" s="81">
        <v>126</v>
      </c>
      <c r="AO194" s="83">
        <v>124</v>
      </c>
      <c r="AP194" s="81">
        <v>28</v>
      </c>
      <c r="AQ194" s="81">
        <v>1</v>
      </c>
      <c r="AR194" s="81">
        <v>3</v>
      </c>
      <c r="AS194" s="81">
        <v>24</v>
      </c>
      <c r="AT194" s="81">
        <v>6</v>
      </c>
      <c r="AU194" s="81">
        <v>7</v>
      </c>
      <c r="AV194" s="81">
        <v>2</v>
      </c>
      <c r="AW194" s="81">
        <v>15</v>
      </c>
      <c r="AX194" s="81">
        <v>1</v>
      </c>
      <c r="AY194" s="81">
        <v>1</v>
      </c>
      <c r="AZ194" s="81">
        <v>1</v>
      </c>
      <c r="BA194" s="81">
        <v>1</v>
      </c>
      <c r="BB194" s="81">
        <v>91</v>
      </c>
      <c r="BC194" s="83">
        <v>90</v>
      </c>
      <c r="BD194" s="81">
        <v>125</v>
      </c>
      <c r="BE194" s="81">
        <v>1</v>
      </c>
      <c r="BF194" s="81">
        <v>0</v>
      </c>
      <c r="BG194" s="81">
        <v>103</v>
      </c>
      <c r="BH194" s="81">
        <v>3</v>
      </c>
      <c r="BI194" s="81">
        <v>8</v>
      </c>
      <c r="BJ194" s="81">
        <v>52</v>
      </c>
      <c r="BK194" s="81"/>
      <c r="BL194" s="81">
        <v>0</v>
      </c>
      <c r="BM194" s="81">
        <v>16</v>
      </c>
      <c r="BN194" s="81">
        <v>308</v>
      </c>
      <c r="BO194" s="83">
        <v>308</v>
      </c>
      <c r="BP194" s="81">
        <v>110</v>
      </c>
      <c r="BQ194" s="81">
        <v>2</v>
      </c>
      <c r="BR194" s="81">
        <v>0</v>
      </c>
      <c r="BS194" s="81">
        <v>89</v>
      </c>
      <c r="BT194" s="81">
        <v>1</v>
      </c>
      <c r="BU194" s="81">
        <v>2</v>
      </c>
      <c r="BV194" s="81"/>
      <c r="BW194" s="81">
        <v>3</v>
      </c>
      <c r="BX194" s="81">
        <v>2</v>
      </c>
      <c r="BY194" s="81">
        <v>37</v>
      </c>
      <c r="BZ194" s="81"/>
      <c r="CA194" s="81">
        <v>246</v>
      </c>
      <c r="CB194" s="83">
        <v>246</v>
      </c>
      <c r="CC194" s="81">
        <v>43</v>
      </c>
      <c r="CD194" s="81">
        <v>69</v>
      </c>
      <c r="CE194" s="81">
        <v>112</v>
      </c>
      <c r="CF194" s="81">
        <v>112</v>
      </c>
    </row>
    <row r="195" spans="1:84">
      <c r="A195" s="82">
        <v>40909</v>
      </c>
      <c r="B195" s="81">
        <v>182</v>
      </c>
      <c r="C195" s="81">
        <v>2</v>
      </c>
      <c r="D195" s="81">
        <v>0</v>
      </c>
      <c r="E195" s="81"/>
      <c r="F195" s="81">
        <v>186</v>
      </c>
      <c r="G195" s="81">
        <v>7</v>
      </c>
      <c r="H195" s="81">
        <v>13</v>
      </c>
      <c r="I195" s="81"/>
      <c r="J195" s="81"/>
      <c r="K195" s="81">
        <v>1</v>
      </c>
      <c r="L195" s="81">
        <v>25</v>
      </c>
      <c r="M195" s="81">
        <v>416</v>
      </c>
      <c r="N195" s="83">
        <v>416</v>
      </c>
      <c r="O195" s="85">
        <v>111</v>
      </c>
      <c r="P195" s="85">
        <v>1</v>
      </c>
      <c r="Q195" s="85">
        <v>180</v>
      </c>
      <c r="R195" s="85">
        <v>39</v>
      </c>
      <c r="S195" s="85">
        <v>3</v>
      </c>
      <c r="T195" s="85"/>
      <c r="U195" s="85"/>
      <c r="V195" s="85">
        <v>0</v>
      </c>
      <c r="W195" s="85"/>
      <c r="X195" s="85">
        <v>2</v>
      </c>
      <c r="Y195" s="85">
        <v>335</v>
      </c>
      <c r="Z195" s="83">
        <v>336</v>
      </c>
      <c r="AA195" s="85">
        <v>34</v>
      </c>
      <c r="AB195" s="85">
        <v>0</v>
      </c>
      <c r="AC195" s="85">
        <v>0</v>
      </c>
      <c r="AD195" s="81"/>
      <c r="AE195" s="85">
        <v>83</v>
      </c>
      <c r="AF195" s="85">
        <v>4</v>
      </c>
      <c r="AG195" s="85">
        <v>6</v>
      </c>
      <c r="AH195" s="81"/>
      <c r="AI195" s="81"/>
      <c r="AJ195" s="81"/>
      <c r="AK195" s="81">
        <v>0</v>
      </c>
      <c r="AL195" s="81">
        <v>0</v>
      </c>
      <c r="AM195" s="81">
        <v>0</v>
      </c>
      <c r="AN195" s="81">
        <v>127</v>
      </c>
      <c r="AO195" s="83">
        <v>127</v>
      </c>
      <c r="AP195" s="81">
        <v>33</v>
      </c>
      <c r="AQ195" s="81">
        <v>1</v>
      </c>
      <c r="AR195" s="81">
        <v>2</v>
      </c>
      <c r="AS195" s="81">
        <v>30</v>
      </c>
      <c r="AT195" s="81">
        <v>6</v>
      </c>
      <c r="AU195" s="81">
        <v>7</v>
      </c>
      <c r="AV195" s="81">
        <v>2</v>
      </c>
      <c r="AW195" s="81">
        <v>19</v>
      </c>
      <c r="AX195" s="81">
        <v>1</v>
      </c>
      <c r="AY195" s="81">
        <v>2</v>
      </c>
      <c r="AZ195" s="81">
        <v>1</v>
      </c>
      <c r="BA195" s="81">
        <v>1</v>
      </c>
      <c r="BB195" s="81">
        <v>105</v>
      </c>
      <c r="BC195" s="83">
        <v>105</v>
      </c>
      <c r="BD195" s="81">
        <v>136</v>
      </c>
      <c r="BE195" s="81">
        <v>1</v>
      </c>
      <c r="BF195" s="81">
        <v>0</v>
      </c>
      <c r="BG195" s="81">
        <v>102</v>
      </c>
      <c r="BH195" s="81">
        <v>0</v>
      </c>
      <c r="BI195" s="81">
        <v>7</v>
      </c>
      <c r="BJ195" s="81">
        <v>51</v>
      </c>
      <c r="BK195" s="81"/>
      <c r="BL195" s="81">
        <v>0</v>
      </c>
      <c r="BM195" s="81">
        <v>13</v>
      </c>
      <c r="BN195" s="81">
        <v>311</v>
      </c>
      <c r="BO195" s="83">
        <v>310</v>
      </c>
      <c r="BP195" s="81">
        <v>144</v>
      </c>
      <c r="BQ195" s="81">
        <v>2</v>
      </c>
      <c r="BR195" s="81">
        <v>0</v>
      </c>
      <c r="BS195" s="81">
        <v>85</v>
      </c>
      <c r="BT195" s="81">
        <v>0</v>
      </c>
      <c r="BU195" s="81">
        <v>2</v>
      </c>
      <c r="BV195" s="81"/>
      <c r="BW195" s="81">
        <v>2</v>
      </c>
      <c r="BX195" s="81">
        <v>2</v>
      </c>
      <c r="BY195" s="81">
        <v>33</v>
      </c>
      <c r="BZ195" s="81"/>
      <c r="CA195" s="81">
        <v>270</v>
      </c>
      <c r="CB195" s="83">
        <v>270</v>
      </c>
      <c r="CC195" s="81">
        <v>62</v>
      </c>
      <c r="CD195" s="81">
        <v>73</v>
      </c>
      <c r="CE195" s="81">
        <v>136</v>
      </c>
      <c r="CF195" s="81">
        <v>135</v>
      </c>
    </row>
    <row r="196" spans="1:84">
      <c r="A196" s="82">
        <v>40940</v>
      </c>
      <c r="B196" s="81">
        <v>136</v>
      </c>
      <c r="C196" s="81">
        <v>2</v>
      </c>
      <c r="D196" s="81">
        <v>0</v>
      </c>
      <c r="E196" s="81"/>
      <c r="F196" s="81">
        <v>174</v>
      </c>
      <c r="G196" s="81">
        <v>8</v>
      </c>
      <c r="H196" s="81">
        <v>15</v>
      </c>
      <c r="I196" s="81"/>
      <c r="J196" s="81"/>
      <c r="K196" s="81">
        <v>0</v>
      </c>
      <c r="L196" s="81">
        <v>27</v>
      </c>
      <c r="M196" s="81">
        <v>362</v>
      </c>
      <c r="N196" s="83">
        <v>362</v>
      </c>
      <c r="O196" s="85">
        <v>153</v>
      </c>
      <c r="P196" s="85">
        <v>1</v>
      </c>
      <c r="Q196" s="85">
        <v>201</v>
      </c>
      <c r="R196" s="85">
        <v>40</v>
      </c>
      <c r="S196" s="85">
        <v>3</v>
      </c>
      <c r="T196" s="85"/>
      <c r="U196" s="85"/>
      <c r="V196" s="85">
        <v>0</v>
      </c>
      <c r="W196" s="85"/>
      <c r="X196" s="85">
        <v>2</v>
      </c>
      <c r="Y196" s="85">
        <v>399</v>
      </c>
      <c r="Z196" s="83">
        <v>400</v>
      </c>
      <c r="AA196" s="85">
        <v>25</v>
      </c>
      <c r="AB196" s="85">
        <v>0</v>
      </c>
      <c r="AC196" s="85">
        <v>0</v>
      </c>
      <c r="AD196" s="81"/>
      <c r="AE196" s="85">
        <v>77</v>
      </c>
      <c r="AF196" s="85">
        <v>4</v>
      </c>
      <c r="AG196" s="85">
        <v>7</v>
      </c>
      <c r="AH196" s="81"/>
      <c r="AI196" s="81"/>
      <c r="AJ196" s="81"/>
      <c r="AK196" s="81">
        <v>0</v>
      </c>
      <c r="AL196" s="81">
        <v>0</v>
      </c>
      <c r="AM196" s="81">
        <v>0</v>
      </c>
      <c r="AN196" s="81">
        <v>113</v>
      </c>
      <c r="AO196" s="83">
        <v>113</v>
      </c>
      <c r="AP196" s="81">
        <v>30</v>
      </c>
      <c r="AQ196" s="81">
        <v>1</v>
      </c>
      <c r="AR196" s="81">
        <v>2</v>
      </c>
      <c r="AS196" s="81">
        <v>31</v>
      </c>
      <c r="AT196" s="81">
        <v>6</v>
      </c>
      <c r="AU196" s="81">
        <v>7</v>
      </c>
      <c r="AV196" s="81">
        <v>2</v>
      </c>
      <c r="AW196" s="81">
        <v>21</v>
      </c>
      <c r="AX196" s="81">
        <v>1</v>
      </c>
      <c r="AY196" s="81">
        <v>3</v>
      </c>
      <c r="AZ196" s="81">
        <v>1</v>
      </c>
      <c r="BA196" s="81">
        <v>2</v>
      </c>
      <c r="BB196" s="81">
        <v>107</v>
      </c>
      <c r="BC196" s="83">
        <v>107</v>
      </c>
      <c r="BD196" s="81">
        <v>102</v>
      </c>
      <c r="BE196" s="81">
        <v>1</v>
      </c>
      <c r="BF196" s="81">
        <v>0</v>
      </c>
      <c r="BG196" s="81">
        <v>95</v>
      </c>
      <c r="BH196" s="81">
        <v>3</v>
      </c>
      <c r="BI196" s="81">
        <v>9</v>
      </c>
      <c r="BJ196" s="81">
        <v>57</v>
      </c>
      <c r="BK196" s="81"/>
      <c r="BL196" s="81">
        <v>0</v>
      </c>
      <c r="BM196" s="81">
        <v>12</v>
      </c>
      <c r="BN196" s="81">
        <v>279</v>
      </c>
      <c r="BO196" s="83">
        <v>279</v>
      </c>
      <c r="BP196" s="81">
        <v>130</v>
      </c>
      <c r="BQ196" s="81">
        <v>1</v>
      </c>
      <c r="BR196" s="81">
        <v>0</v>
      </c>
      <c r="BS196" s="81">
        <v>72</v>
      </c>
      <c r="BT196" s="81">
        <v>1</v>
      </c>
      <c r="BU196" s="81">
        <v>2</v>
      </c>
      <c r="BV196" s="81"/>
      <c r="BW196" s="81">
        <v>2</v>
      </c>
      <c r="BX196" s="81">
        <v>2</v>
      </c>
      <c r="BY196" s="81">
        <v>29</v>
      </c>
      <c r="BZ196" s="81"/>
      <c r="CA196" s="81">
        <v>240</v>
      </c>
      <c r="CB196" s="83">
        <v>239</v>
      </c>
      <c r="CC196" s="81">
        <v>53</v>
      </c>
      <c r="CD196" s="81">
        <v>60</v>
      </c>
      <c r="CE196" s="81">
        <v>113</v>
      </c>
      <c r="CF196" s="81">
        <v>113</v>
      </c>
    </row>
    <row r="197" spans="1:84">
      <c r="A197" s="82">
        <v>40969</v>
      </c>
      <c r="B197" s="81">
        <v>163</v>
      </c>
      <c r="C197" s="81">
        <v>2</v>
      </c>
      <c r="D197" s="81">
        <v>0</v>
      </c>
      <c r="E197" s="81"/>
      <c r="F197" s="81">
        <v>200</v>
      </c>
      <c r="G197" s="81">
        <v>7</v>
      </c>
      <c r="H197" s="81">
        <v>15</v>
      </c>
      <c r="I197" s="81"/>
      <c r="J197" s="81"/>
      <c r="K197" s="81">
        <v>0</v>
      </c>
      <c r="L197" s="81">
        <v>30</v>
      </c>
      <c r="M197" s="81">
        <v>417</v>
      </c>
      <c r="N197" s="83">
        <v>417</v>
      </c>
      <c r="O197" s="85">
        <v>133</v>
      </c>
      <c r="P197" s="85">
        <v>2</v>
      </c>
      <c r="Q197" s="85">
        <v>193</v>
      </c>
      <c r="R197" s="85">
        <v>38</v>
      </c>
      <c r="S197" s="85">
        <v>4</v>
      </c>
      <c r="T197" s="85"/>
      <c r="U197" s="85"/>
      <c r="V197" s="85">
        <v>0</v>
      </c>
      <c r="W197" s="85"/>
      <c r="X197" s="85">
        <v>2</v>
      </c>
      <c r="Y197" s="85">
        <v>371</v>
      </c>
      <c r="Z197" s="83">
        <v>372</v>
      </c>
      <c r="AA197" s="85">
        <v>31</v>
      </c>
      <c r="AB197" s="85">
        <v>0</v>
      </c>
      <c r="AC197" s="85">
        <v>0</v>
      </c>
      <c r="AD197" s="81"/>
      <c r="AE197" s="85">
        <v>89</v>
      </c>
      <c r="AF197" s="85">
        <v>3</v>
      </c>
      <c r="AG197" s="85">
        <v>7</v>
      </c>
      <c r="AH197" s="81"/>
      <c r="AI197" s="81"/>
      <c r="AJ197" s="81"/>
      <c r="AK197" s="81">
        <v>0</v>
      </c>
      <c r="AL197" s="81">
        <v>0</v>
      </c>
      <c r="AM197" s="81">
        <v>1</v>
      </c>
      <c r="AN197" s="81">
        <v>131</v>
      </c>
      <c r="AO197" s="83">
        <v>130</v>
      </c>
      <c r="AP197" s="81">
        <v>27</v>
      </c>
      <c r="AQ197" s="81">
        <v>1</v>
      </c>
      <c r="AR197" s="81">
        <v>3</v>
      </c>
      <c r="AS197" s="81">
        <v>29</v>
      </c>
      <c r="AT197" s="81">
        <v>6</v>
      </c>
      <c r="AU197" s="81">
        <v>7</v>
      </c>
      <c r="AV197" s="81">
        <v>3</v>
      </c>
      <c r="AW197" s="81">
        <v>20</v>
      </c>
      <c r="AX197" s="81">
        <v>1</v>
      </c>
      <c r="AY197" s="81">
        <v>2</v>
      </c>
      <c r="AZ197" s="81">
        <v>1</v>
      </c>
      <c r="BA197" s="81">
        <v>1</v>
      </c>
      <c r="BB197" s="81">
        <v>100</v>
      </c>
      <c r="BC197" s="83">
        <v>101</v>
      </c>
      <c r="BD197" s="81">
        <v>123</v>
      </c>
      <c r="BE197" s="81">
        <v>1</v>
      </c>
      <c r="BF197" s="81">
        <v>0</v>
      </c>
      <c r="BG197" s="81">
        <v>110</v>
      </c>
      <c r="BH197" s="81">
        <v>3</v>
      </c>
      <c r="BI197" s="81">
        <v>9</v>
      </c>
      <c r="BJ197" s="81">
        <v>59</v>
      </c>
      <c r="BK197" s="81"/>
      <c r="BL197" s="81">
        <v>0</v>
      </c>
      <c r="BM197" s="81">
        <v>16</v>
      </c>
      <c r="BN197" s="81">
        <v>321</v>
      </c>
      <c r="BO197" s="83">
        <v>321</v>
      </c>
      <c r="BP197" s="81">
        <v>100</v>
      </c>
      <c r="BQ197" s="81">
        <v>0</v>
      </c>
      <c r="BR197" s="81">
        <v>0</v>
      </c>
      <c r="BS197" s="81">
        <v>60</v>
      </c>
      <c r="BT197" s="81">
        <v>0</v>
      </c>
      <c r="BU197" s="81">
        <v>0</v>
      </c>
      <c r="BV197" s="81"/>
      <c r="BW197" s="81">
        <v>0</v>
      </c>
      <c r="BX197" s="81">
        <v>0</v>
      </c>
      <c r="BY197" s="81">
        <v>29</v>
      </c>
      <c r="BZ197" s="81">
        <v>7</v>
      </c>
      <c r="CA197" s="81">
        <v>196</v>
      </c>
      <c r="CB197" s="83">
        <v>196</v>
      </c>
      <c r="CC197" s="81">
        <v>40</v>
      </c>
      <c r="CD197" s="81">
        <v>32</v>
      </c>
      <c r="CE197" s="81">
        <v>72</v>
      </c>
      <c r="CF197" s="81">
        <v>72</v>
      </c>
    </row>
    <row r="198" spans="1:84">
      <c r="A198" s="82">
        <v>41000</v>
      </c>
      <c r="B198" s="81">
        <v>162</v>
      </c>
      <c r="C198" s="81">
        <v>2</v>
      </c>
      <c r="D198" s="81">
        <v>0</v>
      </c>
      <c r="E198" s="81"/>
      <c r="F198" s="81">
        <v>214</v>
      </c>
      <c r="G198" s="81">
        <v>8</v>
      </c>
      <c r="H198" s="81">
        <v>17</v>
      </c>
      <c r="I198" s="81"/>
      <c r="J198" s="81"/>
      <c r="K198" s="81">
        <v>0</v>
      </c>
      <c r="L198" s="81">
        <v>28</v>
      </c>
      <c r="M198" s="81">
        <v>430</v>
      </c>
      <c r="N198" s="83">
        <v>431</v>
      </c>
      <c r="O198" s="85">
        <v>109</v>
      </c>
      <c r="P198" s="85">
        <v>1</v>
      </c>
      <c r="Q198" s="85">
        <v>197</v>
      </c>
      <c r="R198" s="85">
        <v>40</v>
      </c>
      <c r="S198" s="85">
        <v>4</v>
      </c>
      <c r="T198" s="85"/>
      <c r="U198" s="85"/>
      <c r="V198" s="85">
        <v>0</v>
      </c>
      <c r="W198" s="85"/>
      <c r="X198" s="85">
        <v>3</v>
      </c>
      <c r="Y198" s="85">
        <v>353</v>
      </c>
      <c r="Z198" s="83">
        <v>354</v>
      </c>
      <c r="AA198" s="85">
        <v>31</v>
      </c>
      <c r="AB198" s="85">
        <v>0</v>
      </c>
      <c r="AC198" s="85">
        <v>0</v>
      </c>
      <c r="AD198" s="81"/>
      <c r="AE198" s="85">
        <v>96</v>
      </c>
      <c r="AF198" s="85">
        <v>4</v>
      </c>
      <c r="AG198" s="85">
        <v>7</v>
      </c>
      <c r="AH198" s="81"/>
      <c r="AI198" s="81"/>
      <c r="AJ198" s="81"/>
      <c r="AK198" s="81">
        <v>0</v>
      </c>
      <c r="AL198" s="81">
        <v>0</v>
      </c>
      <c r="AM198" s="81">
        <v>1</v>
      </c>
      <c r="AN198" s="81">
        <v>139</v>
      </c>
      <c r="AO198" s="83">
        <v>138</v>
      </c>
      <c r="AP198" s="81">
        <v>22</v>
      </c>
      <c r="AQ198" s="81">
        <v>0</v>
      </c>
      <c r="AR198" s="81">
        <v>2</v>
      </c>
      <c r="AS198" s="81">
        <v>25</v>
      </c>
      <c r="AT198" s="81">
        <v>6</v>
      </c>
      <c r="AU198" s="81">
        <v>7</v>
      </c>
      <c r="AV198" s="81">
        <v>2</v>
      </c>
      <c r="AW198" s="81">
        <v>19</v>
      </c>
      <c r="AX198" s="81">
        <v>1</v>
      </c>
      <c r="AY198" s="81">
        <v>3</v>
      </c>
      <c r="AZ198" s="81">
        <v>1</v>
      </c>
      <c r="BA198" s="81">
        <v>1</v>
      </c>
      <c r="BB198" s="81">
        <v>89</v>
      </c>
      <c r="BC198" s="83">
        <v>89</v>
      </c>
      <c r="BD198" s="81">
        <v>123</v>
      </c>
      <c r="BE198" s="81">
        <v>1</v>
      </c>
      <c r="BF198" s="81">
        <v>0</v>
      </c>
      <c r="BG198" s="81">
        <v>118</v>
      </c>
      <c r="BH198" s="81">
        <v>3</v>
      </c>
      <c r="BI198" s="81">
        <v>9</v>
      </c>
      <c r="BJ198" s="81">
        <v>63</v>
      </c>
      <c r="BK198" s="81"/>
      <c r="BL198" s="81">
        <v>0</v>
      </c>
      <c r="BM198" s="81">
        <v>15</v>
      </c>
      <c r="BN198" s="81">
        <v>341</v>
      </c>
      <c r="BO198" s="83">
        <v>332</v>
      </c>
      <c r="BP198" s="81">
        <v>117</v>
      </c>
      <c r="BQ198" s="81">
        <v>1</v>
      </c>
      <c r="BR198" s="81">
        <v>0</v>
      </c>
      <c r="BS198" s="81">
        <v>69</v>
      </c>
      <c r="BT198" s="81">
        <v>1</v>
      </c>
      <c r="BU198" s="81">
        <v>1</v>
      </c>
      <c r="BV198" s="81"/>
      <c r="BW198" s="81">
        <v>4</v>
      </c>
      <c r="BX198" s="81">
        <v>1</v>
      </c>
      <c r="BY198" s="81">
        <v>30</v>
      </c>
      <c r="BZ198" s="81">
        <v>3</v>
      </c>
      <c r="CA198" s="81">
        <v>223</v>
      </c>
      <c r="CB198" s="83">
        <v>227</v>
      </c>
      <c r="CC198" s="81">
        <v>54</v>
      </c>
      <c r="CD198" s="81">
        <v>49</v>
      </c>
      <c r="CE198" s="81">
        <v>103</v>
      </c>
      <c r="CF198" s="81">
        <v>103</v>
      </c>
    </row>
    <row r="199" spans="1:84">
      <c r="A199" s="82">
        <v>41030</v>
      </c>
      <c r="B199" s="81">
        <v>159</v>
      </c>
      <c r="C199" s="81">
        <v>2</v>
      </c>
      <c r="D199" s="81">
        <v>0</v>
      </c>
      <c r="E199" s="81"/>
      <c r="F199" s="81">
        <v>197</v>
      </c>
      <c r="G199" s="81">
        <v>8</v>
      </c>
      <c r="H199" s="81">
        <v>17</v>
      </c>
      <c r="I199" s="81"/>
      <c r="J199" s="81"/>
      <c r="K199" s="81">
        <v>0</v>
      </c>
      <c r="L199" s="81">
        <v>28</v>
      </c>
      <c r="M199" s="81">
        <v>411</v>
      </c>
      <c r="N199" s="83">
        <v>411</v>
      </c>
      <c r="O199" s="85">
        <v>176</v>
      </c>
      <c r="P199" s="85">
        <v>1</v>
      </c>
      <c r="Q199" s="85">
        <v>165</v>
      </c>
      <c r="R199" s="85">
        <v>42</v>
      </c>
      <c r="S199" s="85">
        <v>5</v>
      </c>
      <c r="T199" s="85"/>
      <c r="U199" s="85"/>
      <c r="V199" s="85">
        <v>0</v>
      </c>
      <c r="W199" s="85"/>
      <c r="X199" s="85">
        <v>1</v>
      </c>
      <c r="Y199" s="85">
        <v>391</v>
      </c>
      <c r="Z199" s="83">
        <v>390</v>
      </c>
      <c r="AA199" s="85">
        <v>30</v>
      </c>
      <c r="AB199" s="85">
        <v>0</v>
      </c>
      <c r="AC199" s="85">
        <v>0</v>
      </c>
      <c r="AD199" s="81"/>
      <c r="AE199" s="85">
        <v>88</v>
      </c>
      <c r="AF199" s="85">
        <v>4</v>
      </c>
      <c r="AG199" s="85">
        <v>8</v>
      </c>
      <c r="AH199" s="81"/>
      <c r="AI199" s="81"/>
      <c r="AJ199" s="81"/>
      <c r="AK199" s="81">
        <v>0</v>
      </c>
      <c r="AL199" s="81">
        <v>0</v>
      </c>
      <c r="AM199" s="81">
        <v>0</v>
      </c>
      <c r="AN199" s="81">
        <v>130</v>
      </c>
      <c r="AO199" s="83">
        <v>130</v>
      </c>
      <c r="AP199" s="81">
        <v>20</v>
      </c>
      <c r="AQ199" s="81">
        <v>0</v>
      </c>
      <c r="AR199" s="81">
        <v>3</v>
      </c>
      <c r="AS199" s="81">
        <v>26</v>
      </c>
      <c r="AT199" s="81">
        <v>5</v>
      </c>
      <c r="AU199" s="81">
        <v>8</v>
      </c>
      <c r="AV199" s="81">
        <v>3</v>
      </c>
      <c r="AW199" s="81">
        <v>19</v>
      </c>
      <c r="AX199" s="81">
        <v>1</v>
      </c>
      <c r="AY199" s="81">
        <v>2</v>
      </c>
      <c r="AZ199" s="81">
        <v>1</v>
      </c>
      <c r="BA199" s="81">
        <v>1</v>
      </c>
      <c r="BB199" s="81">
        <v>89</v>
      </c>
      <c r="BC199" s="83">
        <v>89</v>
      </c>
      <c r="BD199" s="81">
        <v>121</v>
      </c>
      <c r="BE199" s="81">
        <v>0</v>
      </c>
      <c r="BF199" s="81">
        <v>0</v>
      </c>
      <c r="BG199" s="81">
        <v>107</v>
      </c>
      <c r="BH199" s="81">
        <v>3</v>
      </c>
      <c r="BI199" s="81">
        <v>9</v>
      </c>
      <c r="BJ199" s="81">
        <v>64</v>
      </c>
      <c r="BK199" s="81"/>
      <c r="BL199" s="81">
        <v>0</v>
      </c>
      <c r="BM199" s="81">
        <v>14</v>
      </c>
      <c r="BN199" s="81">
        <v>318</v>
      </c>
      <c r="BO199" s="83">
        <v>318</v>
      </c>
      <c r="BP199" s="81">
        <v>127</v>
      </c>
      <c r="BQ199" s="81">
        <v>1</v>
      </c>
      <c r="BR199" s="81">
        <v>0</v>
      </c>
      <c r="BS199" s="81">
        <v>67</v>
      </c>
      <c r="BT199" s="81">
        <v>1</v>
      </c>
      <c r="BU199" s="81">
        <v>1</v>
      </c>
      <c r="BV199" s="81"/>
      <c r="BW199" s="81">
        <v>3</v>
      </c>
      <c r="BX199" s="81">
        <v>1</v>
      </c>
      <c r="BY199" s="81">
        <v>25</v>
      </c>
      <c r="BZ199" s="81">
        <v>4</v>
      </c>
      <c r="CA199" s="81">
        <v>226</v>
      </c>
      <c r="CB199" s="83">
        <v>230</v>
      </c>
      <c r="CC199" s="81">
        <v>59</v>
      </c>
      <c r="CD199" s="81">
        <v>47</v>
      </c>
      <c r="CE199" s="81">
        <v>106</v>
      </c>
      <c r="CF199" s="81">
        <v>106</v>
      </c>
    </row>
    <row r="200" spans="1:84">
      <c r="A200" s="82">
        <v>41061</v>
      </c>
      <c r="B200" s="81">
        <v>172</v>
      </c>
      <c r="C200" s="81">
        <v>2</v>
      </c>
      <c r="D200" s="81">
        <v>0</v>
      </c>
      <c r="E200" s="81"/>
      <c r="F200" s="81">
        <v>216</v>
      </c>
      <c r="G200" s="81">
        <v>9</v>
      </c>
      <c r="H200" s="81">
        <v>18</v>
      </c>
      <c r="I200" s="81"/>
      <c r="J200" s="81"/>
      <c r="K200" s="81">
        <v>0</v>
      </c>
      <c r="L200" s="81">
        <v>27</v>
      </c>
      <c r="M200" s="81">
        <v>444</v>
      </c>
      <c r="N200" s="83">
        <v>444</v>
      </c>
      <c r="O200" s="85">
        <v>179</v>
      </c>
      <c r="P200" s="85">
        <v>1</v>
      </c>
      <c r="Q200" s="85">
        <v>157</v>
      </c>
      <c r="R200" s="85">
        <v>40</v>
      </c>
      <c r="S200" s="85">
        <v>4</v>
      </c>
      <c r="T200" s="85"/>
      <c r="U200" s="85"/>
      <c r="V200" s="85">
        <v>1</v>
      </c>
      <c r="W200" s="85"/>
      <c r="X200" s="85">
        <v>1</v>
      </c>
      <c r="Y200" s="85">
        <v>382</v>
      </c>
      <c r="Z200" s="83">
        <v>383</v>
      </c>
      <c r="AA200" s="85">
        <v>34</v>
      </c>
      <c r="AB200" s="85">
        <v>0</v>
      </c>
      <c r="AC200" s="85">
        <v>0</v>
      </c>
      <c r="AD200" s="81"/>
      <c r="AE200" s="85">
        <v>97</v>
      </c>
      <c r="AF200" s="85">
        <v>4</v>
      </c>
      <c r="AG200" s="85">
        <v>8</v>
      </c>
      <c r="AH200" s="81"/>
      <c r="AI200" s="81"/>
      <c r="AJ200" s="81"/>
      <c r="AK200" s="81">
        <v>0</v>
      </c>
      <c r="AL200" s="81">
        <v>0</v>
      </c>
      <c r="AM200" s="81">
        <v>0</v>
      </c>
      <c r="AN200" s="81">
        <v>143</v>
      </c>
      <c r="AO200" s="83">
        <v>143</v>
      </c>
      <c r="AP200" s="81">
        <v>27</v>
      </c>
      <c r="AQ200" s="81">
        <v>1</v>
      </c>
      <c r="AR200" s="81">
        <v>2</v>
      </c>
      <c r="AS200" s="81">
        <v>34</v>
      </c>
      <c r="AT200" s="81">
        <v>6</v>
      </c>
      <c r="AU200" s="81">
        <v>8</v>
      </c>
      <c r="AV200" s="81">
        <v>2</v>
      </c>
      <c r="AW200" s="81">
        <v>22</v>
      </c>
      <c r="AX200" s="81">
        <v>0</v>
      </c>
      <c r="AY200" s="81">
        <v>3</v>
      </c>
      <c r="AZ200" s="81">
        <v>0</v>
      </c>
      <c r="BA200" s="81">
        <v>1</v>
      </c>
      <c r="BB200" s="81">
        <v>108</v>
      </c>
      <c r="BC200" s="83">
        <v>106</v>
      </c>
      <c r="BD200" s="81">
        <v>129</v>
      </c>
      <c r="BE200" s="81">
        <v>0</v>
      </c>
      <c r="BF200" s="81">
        <v>0</v>
      </c>
      <c r="BG200" s="81">
        <v>118</v>
      </c>
      <c r="BH200" s="81">
        <v>4</v>
      </c>
      <c r="BI200" s="81">
        <v>10</v>
      </c>
      <c r="BJ200" s="81">
        <v>67</v>
      </c>
      <c r="BK200" s="81"/>
      <c r="BL200" s="81">
        <v>0</v>
      </c>
      <c r="BM200" s="81">
        <v>16</v>
      </c>
      <c r="BN200" s="81">
        <v>344</v>
      </c>
      <c r="BO200" s="83">
        <v>344</v>
      </c>
      <c r="BP200" s="81">
        <v>130</v>
      </c>
      <c r="BQ200" s="81">
        <v>1</v>
      </c>
      <c r="BR200" s="81">
        <v>0</v>
      </c>
      <c r="BS200" s="81">
        <v>61</v>
      </c>
      <c r="BT200" s="81">
        <v>1</v>
      </c>
      <c r="BU200" s="81">
        <v>1</v>
      </c>
      <c r="BV200" s="81"/>
      <c r="BW200" s="81">
        <v>1</v>
      </c>
      <c r="BX200" s="81">
        <v>1</v>
      </c>
      <c r="BY200" s="81">
        <v>24</v>
      </c>
      <c r="BZ200" s="81"/>
      <c r="CA200" s="81">
        <v>221</v>
      </c>
      <c r="CB200" s="83">
        <v>220</v>
      </c>
      <c r="CC200" s="81">
        <v>68</v>
      </c>
      <c r="CD200" s="81">
        <v>40</v>
      </c>
      <c r="CE200" s="81">
        <v>108</v>
      </c>
      <c r="CF200" s="81">
        <v>108</v>
      </c>
    </row>
    <row r="201" spans="1:84">
      <c r="A201" s="82">
        <v>41091</v>
      </c>
      <c r="B201" s="81">
        <v>148</v>
      </c>
      <c r="C201" s="81">
        <v>2</v>
      </c>
      <c r="D201" s="81">
        <v>0</v>
      </c>
      <c r="E201" s="81"/>
      <c r="F201" s="81">
        <v>207</v>
      </c>
      <c r="G201" s="81">
        <v>7</v>
      </c>
      <c r="H201" s="81">
        <v>18</v>
      </c>
      <c r="I201" s="81"/>
      <c r="J201" s="81"/>
      <c r="K201" s="81">
        <v>1</v>
      </c>
      <c r="L201" s="81">
        <v>26</v>
      </c>
      <c r="M201" s="81">
        <v>409</v>
      </c>
      <c r="N201" s="83">
        <v>409</v>
      </c>
      <c r="O201" s="85">
        <v>215</v>
      </c>
      <c r="P201" s="85">
        <v>2</v>
      </c>
      <c r="Q201" s="85">
        <v>199</v>
      </c>
      <c r="R201" s="85">
        <v>40</v>
      </c>
      <c r="S201" s="85">
        <v>4</v>
      </c>
      <c r="T201" s="85"/>
      <c r="U201" s="85"/>
      <c r="V201" s="85">
        <v>0</v>
      </c>
      <c r="W201" s="85"/>
      <c r="X201" s="85">
        <v>1</v>
      </c>
      <c r="Y201" s="85">
        <v>462</v>
      </c>
      <c r="Z201" s="83">
        <v>461</v>
      </c>
      <c r="AA201" s="85">
        <v>29</v>
      </c>
      <c r="AB201" s="85">
        <v>0</v>
      </c>
      <c r="AC201" s="85">
        <v>0</v>
      </c>
      <c r="AD201" s="81"/>
      <c r="AE201" s="85">
        <v>92</v>
      </c>
      <c r="AF201" s="85">
        <v>4</v>
      </c>
      <c r="AG201" s="85">
        <v>8</v>
      </c>
      <c r="AH201" s="81"/>
      <c r="AI201" s="81"/>
      <c r="AJ201" s="81"/>
      <c r="AK201" s="81">
        <v>0</v>
      </c>
      <c r="AL201" s="81">
        <v>0</v>
      </c>
      <c r="AM201" s="81">
        <v>0</v>
      </c>
      <c r="AN201" s="81">
        <v>133</v>
      </c>
      <c r="AO201" s="83">
        <v>133</v>
      </c>
      <c r="AP201" s="81">
        <v>23</v>
      </c>
      <c r="AQ201" s="81">
        <v>1</v>
      </c>
      <c r="AR201" s="81">
        <v>1</v>
      </c>
      <c r="AS201" s="81">
        <v>40</v>
      </c>
      <c r="AT201" s="81">
        <v>6</v>
      </c>
      <c r="AU201" s="81">
        <v>8</v>
      </c>
      <c r="AV201" s="81">
        <v>3</v>
      </c>
      <c r="AW201" s="81">
        <v>13</v>
      </c>
      <c r="AX201" s="81">
        <v>1</v>
      </c>
      <c r="AY201" s="81">
        <v>1</v>
      </c>
      <c r="AZ201" s="81">
        <v>1</v>
      </c>
      <c r="BA201" s="81">
        <v>2</v>
      </c>
      <c r="BB201" s="81">
        <v>101</v>
      </c>
      <c r="BC201" s="83">
        <v>100</v>
      </c>
      <c r="BD201" s="81">
        <v>112</v>
      </c>
      <c r="BE201" s="81">
        <v>0</v>
      </c>
      <c r="BF201" s="81">
        <v>0</v>
      </c>
      <c r="BG201" s="81">
        <v>113</v>
      </c>
      <c r="BH201" s="81">
        <v>3</v>
      </c>
      <c r="BI201" s="81">
        <v>10</v>
      </c>
      <c r="BJ201" s="81">
        <v>69</v>
      </c>
      <c r="BK201" s="81"/>
      <c r="BL201" s="81">
        <v>0</v>
      </c>
      <c r="BM201" s="81">
        <v>18</v>
      </c>
      <c r="BN201" s="81">
        <v>326</v>
      </c>
      <c r="BO201" s="83">
        <v>325</v>
      </c>
      <c r="BP201" s="81">
        <v>144</v>
      </c>
      <c r="BQ201" s="81">
        <v>1</v>
      </c>
      <c r="BR201" s="81">
        <v>0</v>
      </c>
      <c r="BS201" s="81">
        <v>70</v>
      </c>
      <c r="BT201" s="81">
        <v>1</v>
      </c>
      <c r="BU201" s="81">
        <v>2</v>
      </c>
      <c r="BV201" s="81"/>
      <c r="BW201" s="81">
        <v>4</v>
      </c>
      <c r="BX201" s="81">
        <v>1</v>
      </c>
      <c r="BY201" s="81">
        <v>28</v>
      </c>
      <c r="BZ201" s="81"/>
      <c r="CA201" s="81">
        <v>250</v>
      </c>
      <c r="CB201" s="83">
        <v>251</v>
      </c>
      <c r="CC201" s="81">
        <v>85</v>
      </c>
      <c r="CD201" s="81">
        <v>56</v>
      </c>
      <c r="CE201" s="81">
        <v>141</v>
      </c>
      <c r="CF201" s="81">
        <v>141</v>
      </c>
    </row>
    <row r="202" spans="1:84">
      <c r="A202" s="82">
        <v>41122</v>
      </c>
      <c r="B202" s="81">
        <v>151</v>
      </c>
      <c r="C202" s="81">
        <v>1</v>
      </c>
      <c r="D202" s="81">
        <v>0</v>
      </c>
      <c r="E202" s="81"/>
      <c r="F202" s="81">
        <v>164</v>
      </c>
      <c r="G202" s="81">
        <v>7</v>
      </c>
      <c r="H202" s="81">
        <v>16</v>
      </c>
      <c r="I202" s="81"/>
      <c r="J202" s="81"/>
      <c r="K202" s="81">
        <v>1</v>
      </c>
      <c r="L202" s="81">
        <v>26</v>
      </c>
      <c r="M202" s="81">
        <v>368</v>
      </c>
      <c r="N202" s="83">
        <v>366</v>
      </c>
      <c r="O202" s="85">
        <v>243</v>
      </c>
      <c r="P202" s="85">
        <v>2</v>
      </c>
      <c r="Q202" s="85">
        <v>208</v>
      </c>
      <c r="R202" s="85">
        <v>41</v>
      </c>
      <c r="S202" s="85">
        <v>4</v>
      </c>
      <c r="T202" s="85"/>
      <c r="U202" s="85"/>
      <c r="V202" s="85">
        <v>0</v>
      </c>
      <c r="W202" s="85"/>
      <c r="X202" s="85">
        <v>1</v>
      </c>
      <c r="Y202" s="85">
        <v>500</v>
      </c>
      <c r="Z202" s="83">
        <v>499</v>
      </c>
      <c r="AA202" s="85">
        <v>30</v>
      </c>
      <c r="AB202" s="85">
        <v>0</v>
      </c>
      <c r="AC202" s="85">
        <v>0</v>
      </c>
      <c r="AD202" s="81"/>
      <c r="AE202" s="85">
        <v>74</v>
      </c>
      <c r="AF202" s="85">
        <v>4</v>
      </c>
      <c r="AG202" s="85">
        <v>7</v>
      </c>
      <c r="AH202" s="81"/>
      <c r="AI202" s="81"/>
      <c r="AJ202" s="81"/>
      <c r="AK202" s="81">
        <v>0</v>
      </c>
      <c r="AL202" s="81">
        <v>0</v>
      </c>
      <c r="AM202" s="81">
        <v>0</v>
      </c>
      <c r="AN202" s="81">
        <v>115</v>
      </c>
      <c r="AO202" s="83">
        <v>115</v>
      </c>
      <c r="AP202" s="81">
        <v>26</v>
      </c>
      <c r="AQ202" s="81">
        <v>2</v>
      </c>
      <c r="AR202" s="81">
        <v>2</v>
      </c>
      <c r="AS202" s="81">
        <v>33</v>
      </c>
      <c r="AT202" s="81">
        <v>5</v>
      </c>
      <c r="AU202" s="81">
        <v>9</v>
      </c>
      <c r="AV202" s="81">
        <v>2</v>
      </c>
      <c r="AW202" s="81">
        <v>18</v>
      </c>
      <c r="AX202" s="81">
        <v>1</v>
      </c>
      <c r="AY202" s="81">
        <v>2</v>
      </c>
      <c r="AZ202" s="81">
        <v>1</v>
      </c>
      <c r="BA202" s="81">
        <v>2</v>
      </c>
      <c r="BB202" s="81">
        <v>103</v>
      </c>
      <c r="BC202" s="83">
        <v>103</v>
      </c>
      <c r="BD202" s="81">
        <v>115</v>
      </c>
      <c r="BE202" s="81">
        <v>0</v>
      </c>
      <c r="BF202" s="81">
        <v>0</v>
      </c>
      <c r="BG202" s="81">
        <v>89</v>
      </c>
      <c r="BH202" s="81">
        <v>3</v>
      </c>
      <c r="BI202" s="81">
        <v>9</v>
      </c>
      <c r="BJ202" s="81">
        <v>62</v>
      </c>
      <c r="BK202" s="81"/>
      <c r="BL202" s="81">
        <v>1</v>
      </c>
      <c r="BM202" s="81">
        <v>18</v>
      </c>
      <c r="BN202" s="81">
        <v>297</v>
      </c>
      <c r="BO202" s="83">
        <v>297</v>
      </c>
      <c r="BP202" s="81">
        <v>134</v>
      </c>
      <c r="BQ202" s="81">
        <v>2</v>
      </c>
      <c r="BR202" s="81">
        <v>0</v>
      </c>
      <c r="BS202" s="81">
        <v>57</v>
      </c>
      <c r="BT202" s="81">
        <v>1</v>
      </c>
      <c r="BU202" s="81">
        <v>1</v>
      </c>
      <c r="BV202" s="81"/>
      <c r="BW202" s="81">
        <v>3</v>
      </c>
      <c r="BX202" s="81">
        <v>1</v>
      </c>
      <c r="BY202" s="81">
        <v>36</v>
      </c>
      <c r="BZ202" s="81"/>
      <c r="CA202" s="81">
        <v>234</v>
      </c>
      <c r="CB202" s="83">
        <v>235</v>
      </c>
      <c r="CC202" s="81">
        <v>79</v>
      </c>
      <c r="CD202" s="81">
        <v>38</v>
      </c>
      <c r="CE202" s="81">
        <v>117</v>
      </c>
      <c r="CF202" s="81">
        <v>117</v>
      </c>
    </row>
    <row r="203" spans="1:84">
      <c r="A203" s="82">
        <v>41153</v>
      </c>
      <c r="B203" s="81">
        <v>161</v>
      </c>
      <c r="C203" s="81">
        <v>1</v>
      </c>
      <c r="D203" s="81">
        <v>0</v>
      </c>
      <c r="E203" s="81"/>
      <c r="F203" s="81">
        <v>202</v>
      </c>
      <c r="G203" s="81">
        <v>7</v>
      </c>
      <c r="H203" s="81">
        <v>16</v>
      </c>
      <c r="I203" s="81"/>
      <c r="J203" s="81"/>
      <c r="K203" s="81">
        <v>0</v>
      </c>
      <c r="L203" s="81">
        <v>25</v>
      </c>
      <c r="M203" s="81">
        <v>412</v>
      </c>
      <c r="N203" s="83">
        <v>412</v>
      </c>
      <c r="O203" s="85">
        <v>150</v>
      </c>
      <c r="P203" s="85">
        <v>2</v>
      </c>
      <c r="Q203" s="85">
        <v>126</v>
      </c>
      <c r="R203" s="85">
        <v>43</v>
      </c>
      <c r="S203" s="85">
        <v>4</v>
      </c>
      <c r="T203" s="85"/>
      <c r="U203" s="85"/>
      <c r="V203" s="85">
        <v>0</v>
      </c>
      <c r="W203" s="85"/>
      <c r="X203" s="85">
        <v>1</v>
      </c>
      <c r="Y203" s="85">
        <v>326</v>
      </c>
      <c r="Z203" s="83">
        <v>326</v>
      </c>
      <c r="AA203" s="85">
        <v>32</v>
      </c>
      <c r="AB203" s="85">
        <v>0</v>
      </c>
      <c r="AC203" s="85">
        <v>0</v>
      </c>
      <c r="AD203" s="81"/>
      <c r="AE203" s="85">
        <v>90</v>
      </c>
      <c r="AF203" s="85">
        <v>4</v>
      </c>
      <c r="AG203" s="85">
        <v>7</v>
      </c>
      <c r="AH203" s="81"/>
      <c r="AI203" s="81"/>
      <c r="AJ203" s="81"/>
      <c r="AK203" s="81">
        <v>0</v>
      </c>
      <c r="AL203" s="81">
        <v>0</v>
      </c>
      <c r="AM203" s="81">
        <v>0</v>
      </c>
      <c r="AN203" s="81">
        <v>133</v>
      </c>
      <c r="AO203" s="83">
        <v>133</v>
      </c>
      <c r="AP203" s="81">
        <v>22</v>
      </c>
      <c r="AQ203" s="81">
        <v>1</v>
      </c>
      <c r="AR203" s="81">
        <v>1</v>
      </c>
      <c r="AS203" s="81">
        <v>30</v>
      </c>
      <c r="AT203" s="81">
        <v>5</v>
      </c>
      <c r="AU203" s="81">
        <v>8</v>
      </c>
      <c r="AV203" s="81">
        <v>2</v>
      </c>
      <c r="AW203" s="81">
        <v>12</v>
      </c>
      <c r="AX203" s="81">
        <v>1</v>
      </c>
      <c r="AY203" s="81">
        <v>2</v>
      </c>
      <c r="AZ203" s="81">
        <v>0</v>
      </c>
      <c r="BA203" s="81">
        <v>2</v>
      </c>
      <c r="BB203" s="81">
        <v>86</v>
      </c>
      <c r="BC203" s="83">
        <v>86</v>
      </c>
      <c r="BD203" s="81">
        <v>123</v>
      </c>
      <c r="BE203" s="81">
        <v>1</v>
      </c>
      <c r="BF203" s="81">
        <v>0</v>
      </c>
      <c r="BG203" s="81">
        <v>111</v>
      </c>
      <c r="BH203" s="81">
        <v>3</v>
      </c>
      <c r="BI203" s="81">
        <v>9</v>
      </c>
      <c r="BJ203" s="81">
        <v>60</v>
      </c>
      <c r="BK203" s="81"/>
      <c r="BL203" s="81">
        <v>0</v>
      </c>
      <c r="BM203" s="81">
        <v>19</v>
      </c>
      <c r="BN203" s="81">
        <v>325</v>
      </c>
      <c r="BO203" s="83">
        <v>326</v>
      </c>
      <c r="BP203" s="81">
        <v>125</v>
      </c>
      <c r="BQ203" s="81">
        <v>1</v>
      </c>
      <c r="BR203" s="81">
        <v>0</v>
      </c>
      <c r="BS203" s="81">
        <v>52</v>
      </c>
      <c r="BT203" s="81">
        <v>0</v>
      </c>
      <c r="BU203" s="81">
        <v>1</v>
      </c>
      <c r="BV203" s="81"/>
      <c r="BW203" s="81">
        <v>3</v>
      </c>
      <c r="BX203" s="81">
        <v>1</v>
      </c>
      <c r="BY203" s="81">
        <v>42</v>
      </c>
      <c r="BZ203" s="81"/>
      <c r="CA203" s="81">
        <v>225</v>
      </c>
      <c r="CB203" s="83">
        <v>225</v>
      </c>
      <c r="CC203" s="81">
        <v>61</v>
      </c>
      <c r="CD203" s="81">
        <v>34</v>
      </c>
      <c r="CE203" s="81">
        <v>95</v>
      </c>
      <c r="CF203" s="81">
        <v>95</v>
      </c>
    </row>
    <row r="204" spans="1:84">
      <c r="A204" s="82">
        <v>41183</v>
      </c>
      <c r="B204" s="81">
        <v>164</v>
      </c>
      <c r="C204" s="81">
        <v>3</v>
      </c>
      <c r="D204" s="81">
        <v>0</v>
      </c>
      <c r="E204" s="81"/>
      <c r="F204" s="81">
        <v>204</v>
      </c>
      <c r="G204" s="81">
        <v>8</v>
      </c>
      <c r="H204" s="81">
        <v>15</v>
      </c>
      <c r="I204" s="81"/>
      <c r="J204" s="81"/>
      <c r="K204" s="81">
        <v>0</v>
      </c>
      <c r="L204" s="81">
        <v>29</v>
      </c>
      <c r="M204" s="81">
        <v>424</v>
      </c>
      <c r="N204" s="83">
        <v>423</v>
      </c>
      <c r="O204" s="85">
        <v>178</v>
      </c>
      <c r="P204" s="85">
        <v>1</v>
      </c>
      <c r="Q204" s="85">
        <v>203</v>
      </c>
      <c r="R204" s="85">
        <v>47</v>
      </c>
      <c r="S204" s="85">
        <v>3</v>
      </c>
      <c r="T204" s="85"/>
      <c r="U204" s="85"/>
      <c r="V204" s="85">
        <v>0</v>
      </c>
      <c r="W204" s="85"/>
      <c r="X204" s="85">
        <v>1</v>
      </c>
      <c r="Y204" s="85">
        <v>434</v>
      </c>
      <c r="Z204" s="83">
        <v>433</v>
      </c>
      <c r="AA204" s="85">
        <v>32</v>
      </c>
      <c r="AB204" s="85">
        <v>1</v>
      </c>
      <c r="AC204" s="85">
        <v>0</v>
      </c>
      <c r="AD204" s="81"/>
      <c r="AE204" s="85">
        <v>88</v>
      </c>
      <c r="AF204" s="85">
        <v>4</v>
      </c>
      <c r="AG204" s="85">
        <v>7</v>
      </c>
      <c r="AH204" s="81"/>
      <c r="AI204" s="81"/>
      <c r="AJ204" s="81"/>
      <c r="AK204" s="81">
        <v>0</v>
      </c>
      <c r="AL204" s="81">
        <v>0</v>
      </c>
      <c r="AM204" s="81">
        <v>0</v>
      </c>
      <c r="AN204" s="81">
        <v>131</v>
      </c>
      <c r="AO204" s="83">
        <v>132</v>
      </c>
      <c r="AP204" s="81">
        <v>23</v>
      </c>
      <c r="AQ204" s="81">
        <v>1</v>
      </c>
      <c r="AR204" s="81">
        <v>1</v>
      </c>
      <c r="AS204" s="81">
        <v>31</v>
      </c>
      <c r="AT204" s="81">
        <v>6</v>
      </c>
      <c r="AU204" s="81">
        <v>8</v>
      </c>
      <c r="AV204" s="81">
        <v>2</v>
      </c>
      <c r="AW204" s="81">
        <v>18</v>
      </c>
      <c r="AX204" s="81">
        <v>0</v>
      </c>
      <c r="AY204" s="81">
        <v>2</v>
      </c>
      <c r="AZ204" s="81">
        <v>1</v>
      </c>
      <c r="BA204" s="81">
        <v>2</v>
      </c>
      <c r="BB204" s="81">
        <v>96</v>
      </c>
      <c r="BC204" s="83">
        <v>95</v>
      </c>
      <c r="BD204" s="81">
        <v>124</v>
      </c>
      <c r="BE204" s="81">
        <v>1</v>
      </c>
      <c r="BF204" s="81">
        <v>0</v>
      </c>
      <c r="BG204" s="81">
        <v>113</v>
      </c>
      <c r="BH204" s="81">
        <v>3</v>
      </c>
      <c r="BI204" s="81">
        <v>9</v>
      </c>
      <c r="BJ204" s="81">
        <v>59</v>
      </c>
      <c r="BK204" s="81"/>
      <c r="BL204" s="81">
        <v>0</v>
      </c>
      <c r="BM204" s="81">
        <v>17</v>
      </c>
      <c r="BN204" s="81">
        <v>327</v>
      </c>
      <c r="BO204" s="83">
        <v>326</v>
      </c>
      <c r="BP204" s="81">
        <v>132</v>
      </c>
      <c r="BQ204" s="81">
        <v>1</v>
      </c>
      <c r="BR204" s="81">
        <v>0</v>
      </c>
      <c r="BS204" s="81">
        <v>47</v>
      </c>
      <c r="BT204" s="81">
        <v>1</v>
      </c>
      <c r="BU204" s="81">
        <v>1</v>
      </c>
      <c r="BV204" s="81"/>
      <c r="BW204" s="81">
        <v>4</v>
      </c>
      <c r="BX204" s="81">
        <v>1</v>
      </c>
      <c r="BY204" s="81">
        <v>50</v>
      </c>
      <c r="BZ204" s="81"/>
      <c r="CA204" s="81">
        <v>238</v>
      </c>
      <c r="CB204" s="83">
        <v>237</v>
      </c>
      <c r="CC204" s="81">
        <v>73</v>
      </c>
      <c r="CD204" s="81">
        <v>32</v>
      </c>
      <c r="CE204" s="81">
        <v>105</v>
      </c>
      <c r="CF204" s="81">
        <v>105</v>
      </c>
    </row>
    <row r="205" spans="1:84">
      <c r="A205" s="82">
        <v>41214</v>
      </c>
      <c r="B205" s="81">
        <v>163</v>
      </c>
      <c r="C205" s="81">
        <v>2</v>
      </c>
      <c r="D205" s="81">
        <v>0</v>
      </c>
      <c r="E205" s="81"/>
      <c r="F205" s="81">
        <v>231</v>
      </c>
      <c r="G205" s="81">
        <v>8</v>
      </c>
      <c r="H205" s="81">
        <v>17</v>
      </c>
      <c r="I205" s="81"/>
      <c r="J205" s="81"/>
      <c r="K205" s="81">
        <v>0</v>
      </c>
      <c r="L205" s="81">
        <v>27</v>
      </c>
      <c r="M205" s="81">
        <v>448</v>
      </c>
      <c r="N205" s="83">
        <v>448</v>
      </c>
      <c r="O205" s="85">
        <v>202</v>
      </c>
      <c r="P205" s="85">
        <v>1</v>
      </c>
      <c r="Q205" s="85">
        <v>160</v>
      </c>
      <c r="R205" s="85">
        <v>45</v>
      </c>
      <c r="S205" s="85">
        <v>2</v>
      </c>
      <c r="T205" s="85"/>
      <c r="U205" s="85"/>
      <c r="V205" s="85">
        <v>0</v>
      </c>
      <c r="W205" s="85"/>
      <c r="X205" s="85">
        <v>1</v>
      </c>
      <c r="Y205" s="85">
        <v>412</v>
      </c>
      <c r="Z205" s="83">
        <v>411</v>
      </c>
      <c r="AA205" s="85">
        <v>33</v>
      </c>
      <c r="AB205" s="85">
        <v>0</v>
      </c>
      <c r="AC205" s="85">
        <v>0</v>
      </c>
      <c r="AD205" s="81"/>
      <c r="AE205" s="85">
        <v>100</v>
      </c>
      <c r="AF205" s="85">
        <v>4</v>
      </c>
      <c r="AG205" s="85">
        <v>7</v>
      </c>
      <c r="AH205" s="81"/>
      <c r="AI205" s="81"/>
      <c r="AJ205" s="81"/>
      <c r="AK205" s="81">
        <v>0</v>
      </c>
      <c r="AL205" s="81">
        <v>0</v>
      </c>
      <c r="AM205" s="81">
        <v>0</v>
      </c>
      <c r="AN205" s="81">
        <v>144</v>
      </c>
      <c r="AO205" s="83">
        <v>144</v>
      </c>
      <c r="AP205" s="81">
        <v>23</v>
      </c>
      <c r="AQ205" s="81">
        <v>1</v>
      </c>
      <c r="AR205" s="81">
        <v>4</v>
      </c>
      <c r="AS205" s="81">
        <v>35</v>
      </c>
      <c r="AT205" s="81">
        <v>6</v>
      </c>
      <c r="AU205" s="81">
        <v>8</v>
      </c>
      <c r="AV205" s="81">
        <v>3</v>
      </c>
      <c r="AW205" s="81">
        <v>19</v>
      </c>
      <c r="AX205" s="81">
        <v>2</v>
      </c>
      <c r="AY205" s="81">
        <v>2</v>
      </c>
      <c r="AZ205" s="81">
        <v>1</v>
      </c>
      <c r="BA205" s="81">
        <v>2</v>
      </c>
      <c r="BB205" s="81">
        <v>104</v>
      </c>
      <c r="BC205" s="83">
        <v>106</v>
      </c>
      <c r="BD205" s="81">
        <v>123</v>
      </c>
      <c r="BE205" s="81">
        <v>1</v>
      </c>
      <c r="BF205" s="81">
        <v>0</v>
      </c>
      <c r="BG205" s="81">
        <v>130</v>
      </c>
      <c r="BH205" s="81">
        <v>4</v>
      </c>
      <c r="BI205" s="81">
        <v>8</v>
      </c>
      <c r="BJ205" s="81">
        <v>63</v>
      </c>
      <c r="BK205" s="81"/>
      <c r="BL205" s="81">
        <v>0</v>
      </c>
      <c r="BM205" s="81">
        <v>17</v>
      </c>
      <c r="BN205" s="81">
        <v>346</v>
      </c>
      <c r="BO205" s="83">
        <v>346</v>
      </c>
      <c r="BP205" s="81">
        <v>110</v>
      </c>
      <c r="BQ205" s="81">
        <v>2</v>
      </c>
      <c r="BR205" s="81">
        <v>0</v>
      </c>
      <c r="BS205" s="81">
        <v>58</v>
      </c>
      <c r="BT205" s="81">
        <v>1</v>
      </c>
      <c r="BU205" s="81">
        <v>2</v>
      </c>
      <c r="BV205" s="81"/>
      <c r="BW205" s="81">
        <v>7</v>
      </c>
      <c r="BX205" s="81">
        <v>1</v>
      </c>
      <c r="BY205" s="81">
        <v>46</v>
      </c>
      <c r="BZ205" s="81"/>
      <c r="CA205" s="81">
        <v>226</v>
      </c>
      <c r="CB205" s="83">
        <v>227</v>
      </c>
      <c r="CC205" s="81">
        <v>70</v>
      </c>
      <c r="CD205" s="81">
        <v>43</v>
      </c>
      <c r="CE205" s="81">
        <v>113</v>
      </c>
      <c r="CF205" s="81">
        <v>113</v>
      </c>
    </row>
    <row r="206" spans="1:84">
      <c r="A206" s="82">
        <v>41244</v>
      </c>
      <c r="B206" s="81">
        <v>174</v>
      </c>
      <c r="C206" s="81">
        <v>2</v>
      </c>
      <c r="D206" s="81">
        <v>0</v>
      </c>
      <c r="E206" s="81"/>
      <c r="F206" s="81">
        <v>211</v>
      </c>
      <c r="G206" s="81">
        <v>8</v>
      </c>
      <c r="H206" s="81">
        <v>13</v>
      </c>
      <c r="I206" s="81"/>
      <c r="J206" s="81"/>
      <c r="K206" s="81">
        <v>0</v>
      </c>
      <c r="L206" s="81">
        <v>28</v>
      </c>
      <c r="M206" s="81">
        <v>436</v>
      </c>
      <c r="N206" s="83">
        <v>436</v>
      </c>
      <c r="O206" s="85">
        <v>182</v>
      </c>
      <c r="P206" s="85">
        <v>1</v>
      </c>
      <c r="Q206" s="85">
        <v>172</v>
      </c>
      <c r="R206" s="85">
        <v>44</v>
      </c>
      <c r="S206" s="85">
        <v>3</v>
      </c>
      <c r="T206" s="85"/>
      <c r="U206" s="85"/>
      <c r="V206" s="85">
        <v>0</v>
      </c>
      <c r="W206" s="85"/>
      <c r="X206" s="85">
        <v>2</v>
      </c>
      <c r="Y206" s="85">
        <v>404</v>
      </c>
      <c r="Z206" s="83">
        <v>404</v>
      </c>
      <c r="AA206" s="85">
        <v>35</v>
      </c>
      <c r="AB206" s="85">
        <v>0</v>
      </c>
      <c r="AC206" s="85">
        <v>0</v>
      </c>
      <c r="AD206" s="81"/>
      <c r="AE206" s="85">
        <v>92</v>
      </c>
      <c r="AF206" s="85">
        <v>4</v>
      </c>
      <c r="AG206" s="85">
        <v>6</v>
      </c>
      <c r="AH206" s="81"/>
      <c r="AI206" s="81"/>
      <c r="AJ206" s="81"/>
      <c r="AK206" s="81">
        <v>0</v>
      </c>
      <c r="AL206" s="81">
        <v>0</v>
      </c>
      <c r="AM206" s="81">
        <v>0</v>
      </c>
      <c r="AN206" s="81">
        <v>137</v>
      </c>
      <c r="AO206" s="83">
        <v>137</v>
      </c>
      <c r="AP206" s="81">
        <v>25</v>
      </c>
      <c r="AQ206" s="81">
        <v>0</v>
      </c>
      <c r="AR206" s="81">
        <v>4</v>
      </c>
      <c r="AS206" s="81">
        <v>28</v>
      </c>
      <c r="AT206" s="81">
        <v>6</v>
      </c>
      <c r="AU206" s="81">
        <v>6</v>
      </c>
      <c r="AV206" s="81">
        <v>2</v>
      </c>
      <c r="AW206" s="81">
        <v>12</v>
      </c>
      <c r="AX206" s="81">
        <v>1</v>
      </c>
      <c r="AY206" s="81">
        <v>2</v>
      </c>
      <c r="AZ206" s="81">
        <v>1</v>
      </c>
      <c r="BA206" s="81">
        <v>2</v>
      </c>
      <c r="BB206" s="81">
        <v>90</v>
      </c>
      <c r="BC206" s="83">
        <v>89</v>
      </c>
      <c r="BD206" s="81">
        <v>132</v>
      </c>
      <c r="BE206" s="81">
        <v>1</v>
      </c>
      <c r="BF206" s="81">
        <v>0</v>
      </c>
      <c r="BG206" s="81">
        <v>120</v>
      </c>
      <c r="BH206" s="81">
        <v>3</v>
      </c>
      <c r="BI206" s="81">
        <v>7</v>
      </c>
      <c r="BJ206" s="81">
        <v>50</v>
      </c>
      <c r="BK206" s="81"/>
      <c r="BL206" s="81">
        <v>0</v>
      </c>
      <c r="BM206" s="81">
        <v>17</v>
      </c>
      <c r="BN206" s="81">
        <v>330</v>
      </c>
      <c r="BO206" s="83">
        <v>330</v>
      </c>
      <c r="BP206" s="81">
        <v>110</v>
      </c>
      <c r="BQ206" s="81">
        <v>2</v>
      </c>
      <c r="BR206" s="81">
        <v>0</v>
      </c>
      <c r="BS206" s="81">
        <v>60</v>
      </c>
      <c r="BT206" s="81">
        <v>0</v>
      </c>
      <c r="BU206" s="81">
        <v>1</v>
      </c>
      <c r="BV206" s="81"/>
      <c r="BW206" s="81">
        <v>5</v>
      </c>
      <c r="BX206" s="81">
        <v>1</v>
      </c>
      <c r="BY206" s="81">
        <v>43</v>
      </c>
      <c r="BZ206" s="81"/>
      <c r="CA206" s="81">
        <v>223</v>
      </c>
      <c r="CB206" s="83">
        <v>222</v>
      </c>
      <c r="CC206" s="81">
        <v>50</v>
      </c>
      <c r="CD206" s="81">
        <v>40</v>
      </c>
      <c r="CE206" s="81">
        <v>90</v>
      </c>
      <c r="CF206" s="81">
        <v>90</v>
      </c>
    </row>
    <row r="207" spans="1:84">
      <c r="A207" s="82">
        <v>41275</v>
      </c>
      <c r="B207" s="81">
        <v>162</v>
      </c>
      <c r="C207" s="81">
        <v>2</v>
      </c>
      <c r="D207" s="81">
        <v>0</v>
      </c>
      <c r="E207" s="81"/>
      <c r="F207" s="81">
        <v>186</v>
      </c>
      <c r="G207" s="81">
        <v>7</v>
      </c>
      <c r="H207" s="81">
        <v>14</v>
      </c>
      <c r="I207" s="81"/>
      <c r="J207" s="81"/>
      <c r="K207" s="81">
        <v>1</v>
      </c>
      <c r="L207" s="81">
        <v>25</v>
      </c>
      <c r="M207" s="81">
        <v>396</v>
      </c>
      <c r="N207" s="83">
        <v>397</v>
      </c>
      <c r="O207" s="85">
        <v>176</v>
      </c>
      <c r="P207" s="85">
        <v>3</v>
      </c>
      <c r="Q207" s="85">
        <v>171</v>
      </c>
      <c r="R207" s="85">
        <v>44</v>
      </c>
      <c r="S207" s="85">
        <v>2</v>
      </c>
      <c r="T207" s="85"/>
      <c r="U207" s="85"/>
      <c r="V207" s="85">
        <v>0</v>
      </c>
      <c r="W207" s="85"/>
      <c r="X207" s="85">
        <v>1</v>
      </c>
      <c r="Y207" s="85">
        <v>398</v>
      </c>
      <c r="Z207" s="83">
        <v>397</v>
      </c>
      <c r="AA207" s="85">
        <v>32</v>
      </c>
      <c r="AB207" s="85">
        <v>0</v>
      </c>
      <c r="AC207" s="85">
        <v>0</v>
      </c>
      <c r="AD207" s="81"/>
      <c r="AE207" s="85">
        <v>81</v>
      </c>
      <c r="AF207" s="85">
        <v>3</v>
      </c>
      <c r="AG207" s="85">
        <v>6</v>
      </c>
      <c r="AH207" s="81"/>
      <c r="AI207" s="81"/>
      <c r="AJ207" s="81"/>
      <c r="AK207" s="81">
        <v>0</v>
      </c>
      <c r="AL207" s="81">
        <v>0</v>
      </c>
      <c r="AM207" s="81">
        <v>0</v>
      </c>
      <c r="AN207" s="81">
        <v>123</v>
      </c>
      <c r="AO207" s="83">
        <v>122</v>
      </c>
      <c r="AP207" s="81">
        <v>30</v>
      </c>
      <c r="AQ207" s="81">
        <v>0</v>
      </c>
      <c r="AR207" s="81">
        <v>3</v>
      </c>
      <c r="AS207" s="81">
        <v>37</v>
      </c>
      <c r="AT207" s="81">
        <v>6</v>
      </c>
      <c r="AU207" s="81">
        <v>6</v>
      </c>
      <c r="AV207" s="81">
        <v>3</v>
      </c>
      <c r="AW207" s="81">
        <v>16</v>
      </c>
      <c r="AX207" s="81">
        <v>2</v>
      </c>
      <c r="AY207" s="81">
        <v>2</v>
      </c>
      <c r="AZ207" s="81">
        <v>2</v>
      </c>
      <c r="BA207" s="81">
        <v>2</v>
      </c>
      <c r="BB207" s="81">
        <v>109</v>
      </c>
      <c r="BC207" s="83">
        <v>109</v>
      </c>
      <c r="BD207" s="81">
        <v>122</v>
      </c>
      <c r="BE207" s="81">
        <v>1</v>
      </c>
      <c r="BF207" s="81">
        <v>0</v>
      </c>
      <c r="BG207" s="81">
        <v>104</v>
      </c>
      <c r="BH207" s="81">
        <v>3</v>
      </c>
      <c r="BI207" s="81">
        <v>8</v>
      </c>
      <c r="BJ207" s="81">
        <v>52</v>
      </c>
      <c r="BK207" s="81"/>
      <c r="BL207" s="81">
        <v>0</v>
      </c>
      <c r="BM207" s="81">
        <v>14</v>
      </c>
      <c r="BN207" s="81">
        <v>305</v>
      </c>
      <c r="BO207" s="83">
        <v>304</v>
      </c>
      <c r="BP207" s="81">
        <v>127</v>
      </c>
      <c r="BQ207" s="81">
        <v>2</v>
      </c>
      <c r="BR207" s="81">
        <v>0</v>
      </c>
      <c r="BS207" s="81">
        <v>64</v>
      </c>
      <c r="BT207" s="81">
        <v>0</v>
      </c>
      <c r="BU207" s="81">
        <v>2</v>
      </c>
      <c r="BV207" s="81"/>
      <c r="BW207" s="81">
        <v>4</v>
      </c>
      <c r="BX207" s="81">
        <v>1</v>
      </c>
      <c r="BY207" s="81">
        <v>36</v>
      </c>
      <c r="BZ207" s="81"/>
      <c r="CA207" s="81">
        <v>236</v>
      </c>
      <c r="CB207" s="83">
        <v>236</v>
      </c>
      <c r="CC207" s="81">
        <v>67</v>
      </c>
      <c r="CD207" s="81">
        <v>47</v>
      </c>
      <c r="CE207" s="81">
        <v>114</v>
      </c>
      <c r="CF207" s="81">
        <v>114</v>
      </c>
    </row>
    <row r="208" spans="1:84">
      <c r="A208" s="82">
        <v>41306</v>
      </c>
      <c r="B208" s="81">
        <v>129</v>
      </c>
      <c r="C208" s="81">
        <v>2</v>
      </c>
      <c r="D208" s="81">
        <v>0</v>
      </c>
      <c r="E208" s="81"/>
      <c r="F208" s="81">
        <v>180</v>
      </c>
      <c r="G208" s="81">
        <v>7</v>
      </c>
      <c r="H208" s="81">
        <v>13</v>
      </c>
      <c r="I208" s="81"/>
      <c r="J208" s="81"/>
      <c r="K208" s="81">
        <v>1</v>
      </c>
      <c r="L208" s="81">
        <v>25</v>
      </c>
      <c r="M208" s="81">
        <v>357</v>
      </c>
      <c r="N208" s="83">
        <v>357</v>
      </c>
      <c r="O208" s="85">
        <v>194</v>
      </c>
      <c r="P208" s="85">
        <v>3</v>
      </c>
      <c r="Q208" s="85">
        <v>181</v>
      </c>
      <c r="R208" s="85">
        <v>44</v>
      </c>
      <c r="S208" s="85">
        <v>2</v>
      </c>
      <c r="T208" s="85"/>
      <c r="U208" s="85"/>
      <c r="V208" s="85">
        <v>0</v>
      </c>
      <c r="W208" s="85"/>
      <c r="X208" s="85">
        <v>1</v>
      </c>
      <c r="Y208" s="85">
        <v>425</v>
      </c>
      <c r="Z208" s="83">
        <v>425</v>
      </c>
      <c r="AA208" s="85">
        <v>25</v>
      </c>
      <c r="AB208" s="85">
        <v>0</v>
      </c>
      <c r="AC208" s="85">
        <v>0</v>
      </c>
      <c r="AD208" s="81"/>
      <c r="AE208" s="85">
        <v>77</v>
      </c>
      <c r="AF208" s="85">
        <v>3</v>
      </c>
      <c r="AG208" s="85">
        <v>6</v>
      </c>
      <c r="AH208" s="81"/>
      <c r="AI208" s="81"/>
      <c r="AJ208" s="81"/>
      <c r="AK208" s="81">
        <v>0</v>
      </c>
      <c r="AL208" s="81">
        <v>0</v>
      </c>
      <c r="AM208" s="81">
        <v>1</v>
      </c>
      <c r="AN208" s="81">
        <v>112</v>
      </c>
      <c r="AO208" s="83">
        <v>111</v>
      </c>
      <c r="AP208" s="81">
        <v>28</v>
      </c>
      <c r="AQ208" s="81">
        <v>2</v>
      </c>
      <c r="AR208" s="81">
        <v>3</v>
      </c>
      <c r="AS208" s="81">
        <v>34</v>
      </c>
      <c r="AT208" s="81">
        <v>6</v>
      </c>
      <c r="AU208" s="81">
        <v>5</v>
      </c>
      <c r="AV208" s="81">
        <v>2</v>
      </c>
      <c r="AW208" s="81">
        <v>19</v>
      </c>
      <c r="AX208" s="81">
        <v>2</v>
      </c>
      <c r="AY208" s="81">
        <v>2</v>
      </c>
      <c r="AZ208" s="81">
        <v>2</v>
      </c>
      <c r="BA208" s="81">
        <v>2</v>
      </c>
      <c r="BB208" s="81">
        <v>109</v>
      </c>
      <c r="BC208" s="83">
        <v>107</v>
      </c>
      <c r="BD208" s="81">
        <v>99</v>
      </c>
      <c r="BE208" s="81">
        <v>1</v>
      </c>
      <c r="BF208" s="81">
        <v>0</v>
      </c>
      <c r="BG208" s="81">
        <v>100</v>
      </c>
      <c r="BH208" s="81">
        <v>3</v>
      </c>
      <c r="BI208" s="81">
        <v>7</v>
      </c>
      <c r="BJ208" s="81">
        <v>51</v>
      </c>
      <c r="BK208" s="81"/>
      <c r="BL208" s="81">
        <v>1</v>
      </c>
      <c r="BM208" s="81">
        <v>13</v>
      </c>
      <c r="BN208" s="81">
        <v>274</v>
      </c>
      <c r="BO208" s="83">
        <v>275</v>
      </c>
      <c r="BP208" s="81">
        <v>110</v>
      </c>
      <c r="BQ208" s="81">
        <v>0</v>
      </c>
      <c r="BR208" s="81">
        <v>0</v>
      </c>
      <c r="BS208" s="81">
        <v>56</v>
      </c>
      <c r="BT208" s="81">
        <v>0</v>
      </c>
      <c r="BU208" s="81">
        <v>0</v>
      </c>
      <c r="BV208" s="81"/>
      <c r="BW208" s="81">
        <v>0</v>
      </c>
      <c r="BX208" s="81">
        <v>0</v>
      </c>
      <c r="BY208" s="81">
        <v>30</v>
      </c>
      <c r="BZ208" s="81">
        <v>8</v>
      </c>
      <c r="CA208" s="81">
        <v>203</v>
      </c>
      <c r="CB208" s="83">
        <v>204</v>
      </c>
      <c r="CC208" s="81">
        <v>54</v>
      </c>
      <c r="CD208" s="81">
        <v>41</v>
      </c>
      <c r="CE208" s="81">
        <v>94</v>
      </c>
      <c r="CF208" s="81">
        <v>95</v>
      </c>
    </row>
    <row r="209" spans="1:84">
      <c r="A209" s="82">
        <v>41334</v>
      </c>
      <c r="B209" s="81">
        <v>151</v>
      </c>
      <c r="C209" s="81">
        <v>2</v>
      </c>
      <c r="D209" s="81">
        <v>0</v>
      </c>
      <c r="E209" s="81"/>
      <c r="F209" s="81">
        <v>210</v>
      </c>
      <c r="G209" s="81">
        <v>8</v>
      </c>
      <c r="H209" s="81">
        <v>16</v>
      </c>
      <c r="I209" s="81"/>
      <c r="J209" s="81"/>
      <c r="K209" s="81">
        <v>0</v>
      </c>
      <c r="L209" s="81">
        <v>28</v>
      </c>
      <c r="M209" s="81">
        <v>414</v>
      </c>
      <c r="N209" s="83">
        <v>415</v>
      </c>
      <c r="O209" s="85">
        <v>182</v>
      </c>
      <c r="P209" s="85">
        <v>2</v>
      </c>
      <c r="Q209" s="85">
        <v>181</v>
      </c>
      <c r="R209" s="85">
        <v>42</v>
      </c>
      <c r="S209" s="85">
        <v>3</v>
      </c>
      <c r="T209" s="85"/>
      <c r="U209" s="85"/>
      <c r="V209" s="85">
        <v>0</v>
      </c>
      <c r="W209" s="85"/>
      <c r="X209" s="85">
        <v>1</v>
      </c>
      <c r="Y209" s="85">
        <v>411</v>
      </c>
      <c r="Z209" s="83">
        <v>411</v>
      </c>
      <c r="AA209" s="85">
        <v>30</v>
      </c>
      <c r="AB209" s="85">
        <v>0</v>
      </c>
      <c r="AC209" s="85">
        <v>0</v>
      </c>
      <c r="AD209" s="81"/>
      <c r="AE209" s="85">
        <v>91</v>
      </c>
      <c r="AF209" s="85">
        <v>4</v>
      </c>
      <c r="AG209" s="85">
        <v>7</v>
      </c>
      <c r="AH209" s="81"/>
      <c r="AI209" s="81"/>
      <c r="AJ209" s="81"/>
      <c r="AK209" s="81">
        <v>0</v>
      </c>
      <c r="AL209" s="81">
        <v>0</v>
      </c>
      <c r="AM209" s="81">
        <v>0</v>
      </c>
      <c r="AN209" s="81">
        <v>132</v>
      </c>
      <c r="AO209" s="83">
        <v>132</v>
      </c>
      <c r="AP209" s="81">
        <v>21</v>
      </c>
      <c r="AQ209" s="81">
        <v>1</v>
      </c>
      <c r="AR209" s="81">
        <v>5</v>
      </c>
      <c r="AS209" s="81">
        <v>27</v>
      </c>
      <c r="AT209" s="81">
        <v>6</v>
      </c>
      <c r="AU209" s="81">
        <v>5</v>
      </c>
      <c r="AV209" s="81">
        <v>3</v>
      </c>
      <c r="AW209" s="81">
        <v>17</v>
      </c>
      <c r="AX209" s="81">
        <v>2</v>
      </c>
      <c r="AY209" s="81">
        <v>2</v>
      </c>
      <c r="AZ209" s="81">
        <v>1</v>
      </c>
      <c r="BA209" s="81">
        <v>2</v>
      </c>
      <c r="BB209" s="81">
        <v>92</v>
      </c>
      <c r="BC209" s="83">
        <v>92</v>
      </c>
      <c r="BD209" s="81">
        <v>114</v>
      </c>
      <c r="BE209" s="81">
        <v>1</v>
      </c>
      <c r="BF209" s="81">
        <v>0</v>
      </c>
      <c r="BG209" s="81">
        <v>118</v>
      </c>
      <c r="BH209" s="81">
        <v>3</v>
      </c>
      <c r="BI209" s="81">
        <v>9</v>
      </c>
      <c r="BJ209" s="81">
        <v>60</v>
      </c>
      <c r="BK209" s="81"/>
      <c r="BL209" s="81">
        <v>0</v>
      </c>
      <c r="BM209" s="81">
        <v>19</v>
      </c>
      <c r="BN209" s="81">
        <v>324</v>
      </c>
      <c r="BO209" s="83">
        <v>324</v>
      </c>
      <c r="BP209" s="81">
        <v>100</v>
      </c>
      <c r="BQ209" s="81">
        <v>0</v>
      </c>
      <c r="BR209" s="81">
        <v>0</v>
      </c>
      <c r="BS209" s="81">
        <v>48</v>
      </c>
      <c r="BT209" s="81">
        <v>0</v>
      </c>
      <c r="BU209" s="81">
        <v>0</v>
      </c>
      <c r="BV209" s="81"/>
      <c r="BW209" s="81">
        <v>6</v>
      </c>
      <c r="BX209" s="81">
        <v>0</v>
      </c>
      <c r="BY209" s="81">
        <v>26</v>
      </c>
      <c r="BZ209" s="81">
        <v>3</v>
      </c>
      <c r="CA209" s="81">
        <v>183</v>
      </c>
      <c r="CB209" s="83">
        <v>183</v>
      </c>
      <c r="CC209" s="81">
        <v>46</v>
      </c>
      <c r="CD209" s="81">
        <v>31</v>
      </c>
      <c r="CE209" s="81">
        <v>77</v>
      </c>
      <c r="CF209" s="81">
        <v>77</v>
      </c>
    </row>
    <row r="210" spans="1:84">
      <c r="A210" s="82">
        <v>41365</v>
      </c>
      <c r="B210" s="81">
        <v>163</v>
      </c>
      <c r="C210" s="81">
        <v>2</v>
      </c>
      <c r="D210" s="81">
        <v>0</v>
      </c>
      <c r="E210" s="81"/>
      <c r="F210" s="81">
        <v>227</v>
      </c>
      <c r="G210" s="81">
        <v>8</v>
      </c>
      <c r="H210" s="81">
        <v>16</v>
      </c>
      <c r="I210" s="81"/>
      <c r="J210" s="81"/>
      <c r="K210" s="81">
        <v>0</v>
      </c>
      <c r="L210" s="81">
        <v>29</v>
      </c>
      <c r="M210" s="81">
        <v>446</v>
      </c>
      <c r="N210" s="83">
        <v>445</v>
      </c>
      <c r="O210" s="85">
        <v>142</v>
      </c>
      <c r="P210" s="85">
        <v>2</v>
      </c>
      <c r="Q210" s="85">
        <v>207</v>
      </c>
      <c r="R210" s="85">
        <v>44</v>
      </c>
      <c r="S210" s="85">
        <v>3</v>
      </c>
      <c r="T210" s="85"/>
      <c r="U210" s="85"/>
      <c r="V210" s="85">
        <v>1</v>
      </c>
      <c r="W210" s="85"/>
      <c r="X210" s="85">
        <v>2</v>
      </c>
      <c r="Y210" s="85">
        <v>400</v>
      </c>
      <c r="Z210" s="83">
        <v>401</v>
      </c>
      <c r="AA210" s="85">
        <v>32</v>
      </c>
      <c r="AB210" s="85">
        <v>0</v>
      </c>
      <c r="AC210" s="85">
        <v>0</v>
      </c>
      <c r="AD210" s="81"/>
      <c r="AE210" s="85">
        <v>98</v>
      </c>
      <c r="AF210" s="85">
        <v>4</v>
      </c>
      <c r="AG210" s="85">
        <v>8</v>
      </c>
      <c r="AH210" s="81"/>
      <c r="AI210" s="81"/>
      <c r="AJ210" s="81"/>
      <c r="AK210" s="81">
        <v>0</v>
      </c>
      <c r="AL210" s="81"/>
      <c r="AM210" s="81"/>
      <c r="AN210" s="81">
        <v>142</v>
      </c>
      <c r="AO210" s="83">
        <v>142</v>
      </c>
      <c r="AP210" s="81">
        <v>16</v>
      </c>
      <c r="AQ210" s="81">
        <v>1</v>
      </c>
      <c r="AR210" s="81">
        <v>4</v>
      </c>
      <c r="AS210" s="81">
        <v>30</v>
      </c>
      <c r="AT210" s="81">
        <v>6</v>
      </c>
      <c r="AU210" s="81">
        <v>5</v>
      </c>
      <c r="AV210" s="81">
        <v>2</v>
      </c>
      <c r="AW210" s="81">
        <v>21</v>
      </c>
      <c r="AX210" s="81">
        <v>2</v>
      </c>
      <c r="AY210" s="81">
        <v>3</v>
      </c>
      <c r="AZ210" s="81">
        <v>1</v>
      </c>
      <c r="BA210" s="81">
        <v>2</v>
      </c>
      <c r="BB210" s="81">
        <v>92</v>
      </c>
      <c r="BC210" s="83">
        <v>93</v>
      </c>
      <c r="BD210" s="81">
        <v>122</v>
      </c>
      <c r="BE210" s="81">
        <v>1</v>
      </c>
      <c r="BF210" s="81">
        <v>0</v>
      </c>
      <c r="BG210" s="81">
        <v>128</v>
      </c>
      <c r="BH210" s="81">
        <v>3</v>
      </c>
      <c r="BI210" s="81">
        <v>9</v>
      </c>
      <c r="BJ210" s="81">
        <v>63</v>
      </c>
      <c r="BK210" s="81"/>
      <c r="BL210" s="81">
        <v>0</v>
      </c>
      <c r="BM210" s="81">
        <v>17</v>
      </c>
      <c r="BN210" s="81">
        <v>343</v>
      </c>
      <c r="BO210" s="83">
        <v>343</v>
      </c>
      <c r="BP210" s="81">
        <v>102</v>
      </c>
      <c r="BQ210" s="81"/>
      <c r="BR210" s="81"/>
      <c r="BS210" s="81">
        <v>60</v>
      </c>
      <c r="BT210" s="81"/>
      <c r="BU210" s="81"/>
      <c r="BV210" s="81"/>
      <c r="BW210" s="81">
        <v>5</v>
      </c>
      <c r="BX210" s="81"/>
      <c r="BY210" s="81">
        <v>23</v>
      </c>
      <c r="BZ210" s="81">
        <v>3</v>
      </c>
      <c r="CA210" s="81">
        <v>193</v>
      </c>
      <c r="CB210" s="83">
        <v>193</v>
      </c>
      <c r="CC210" s="81">
        <v>46</v>
      </c>
      <c r="CD210" s="81">
        <v>44</v>
      </c>
      <c r="CE210" s="81">
        <v>90</v>
      </c>
      <c r="CF210" s="81">
        <v>90</v>
      </c>
    </row>
    <row r="211" spans="1:84">
      <c r="A211" s="82">
        <v>41395</v>
      </c>
      <c r="B211" s="81">
        <v>174</v>
      </c>
      <c r="C211" s="81">
        <v>1</v>
      </c>
      <c r="D211" s="81">
        <v>0</v>
      </c>
      <c r="E211" s="81"/>
      <c r="F211" s="81">
        <v>200</v>
      </c>
      <c r="G211" s="81">
        <v>9</v>
      </c>
      <c r="H211" s="81">
        <v>17</v>
      </c>
      <c r="I211" s="81"/>
      <c r="J211" s="81"/>
      <c r="K211" s="81">
        <v>1</v>
      </c>
      <c r="L211" s="81">
        <v>30</v>
      </c>
      <c r="M211" s="81">
        <v>432</v>
      </c>
      <c r="N211" s="83">
        <v>432</v>
      </c>
      <c r="O211" s="85">
        <v>206</v>
      </c>
      <c r="P211" s="85">
        <v>2</v>
      </c>
      <c r="Q211" s="85">
        <v>239</v>
      </c>
      <c r="R211" s="85">
        <v>44</v>
      </c>
      <c r="S211" s="85">
        <v>3</v>
      </c>
      <c r="T211" s="85"/>
      <c r="U211" s="85"/>
      <c r="V211" s="85">
        <v>1</v>
      </c>
      <c r="W211" s="85"/>
      <c r="X211" s="85">
        <v>1</v>
      </c>
      <c r="Y211" s="85">
        <v>496</v>
      </c>
      <c r="Z211" s="83">
        <v>496</v>
      </c>
      <c r="AA211" s="85">
        <v>34</v>
      </c>
      <c r="AB211" s="85">
        <v>0</v>
      </c>
      <c r="AC211" s="85">
        <v>0</v>
      </c>
      <c r="AD211" s="81"/>
      <c r="AE211" s="85">
        <v>87</v>
      </c>
      <c r="AF211" s="85">
        <v>4</v>
      </c>
      <c r="AG211" s="85">
        <v>8</v>
      </c>
      <c r="AH211" s="81"/>
      <c r="AI211" s="81"/>
      <c r="AJ211" s="81"/>
      <c r="AK211" s="81">
        <v>0</v>
      </c>
      <c r="AL211" s="81"/>
      <c r="AM211" s="81">
        <v>1</v>
      </c>
      <c r="AN211" s="81">
        <v>134</v>
      </c>
      <c r="AO211" s="83">
        <v>133</v>
      </c>
      <c r="AP211" s="81">
        <v>17</v>
      </c>
      <c r="AQ211" s="81">
        <v>1</v>
      </c>
      <c r="AR211" s="81">
        <v>4</v>
      </c>
      <c r="AS211" s="81">
        <v>33</v>
      </c>
      <c r="AT211" s="81">
        <v>5</v>
      </c>
      <c r="AU211" s="81">
        <v>5</v>
      </c>
      <c r="AV211" s="81">
        <v>4</v>
      </c>
      <c r="AW211" s="81">
        <v>20</v>
      </c>
      <c r="AX211" s="81">
        <v>2</v>
      </c>
      <c r="AY211" s="81">
        <v>1</v>
      </c>
      <c r="AZ211" s="81">
        <v>1</v>
      </c>
      <c r="BA211" s="81">
        <v>2</v>
      </c>
      <c r="BB211" s="81">
        <v>95</v>
      </c>
      <c r="BC211" s="83">
        <v>95</v>
      </c>
      <c r="BD211" s="81">
        <v>131</v>
      </c>
      <c r="BE211" s="81">
        <v>1</v>
      </c>
      <c r="BF211" s="81">
        <v>0</v>
      </c>
      <c r="BG211" s="81">
        <v>113</v>
      </c>
      <c r="BH211" s="81">
        <v>4</v>
      </c>
      <c r="BI211" s="81">
        <v>10</v>
      </c>
      <c r="BJ211" s="81">
        <v>66</v>
      </c>
      <c r="BK211" s="81"/>
      <c r="BL211" s="81">
        <v>0</v>
      </c>
      <c r="BM211" s="81">
        <v>18</v>
      </c>
      <c r="BN211" s="81">
        <v>342</v>
      </c>
      <c r="BO211" s="83">
        <v>343</v>
      </c>
      <c r="BP211" s="81">
        <v>108</v>
      </c>
      <c r="BQ211" s="81">
        <v>1</v>
      </c>
      <c r="BR211" s="81">
        <v>0</v>
      </c>
      <c r="BS211" s="81">
        <v>58</v>
      </c>
      <c r="BT211" s="81">
        <v>1</v>
      </c>
      <c r="BU211" s="81">
        <v>2</v>
      </c>
      <c r="BV211" s="81"/>
      <c r="BW211" s="81">
        <v>4</v>
      </c>
      <c r="BX211" s="81">
        <v>1</v>
      </c>
      <c r="BY211" s="81">
        <v>20</v>
      </c>
      <c r="BZ211" s="81">
        <v>3</v>
      </c>
      <c r="CA211" s="81">
        <v>194</v>
      </c>
      <c r="CB211" s="83">
        <v>198</v>
      </c>
      <c r="CC211" s="81">
        <v>51</v>
      </c>
      <c r="CD211" s="81">
        <v>40</v>
      </c>
      <c r="CE211" s="81">
        <v>91</v>
      </c>
      <c r="CF211" s="81">
        <v>91</v>
      </c>
    </row>
    <row r="212" spans="1:84">
      <c r="A212" s="82">
        <v>41426</v>
      </c>
      <c r="B212" s="81">
        <v>172</v>
      </c>
      <c r="C212" s="81">
        <v>2</v>
      </c>
      <c r="D212" s="81">
        <v>0</v>
      </c>
      <c r="E212" s="81"/>
      <c r="F212" s="81">
        <v>222</v>
      </c>
      <c r="G212" s="81">
        <v>8</v>
      </c>
      <c r="H212" s="81">
        <v>16</v>
      </c>
      <c r="I212" s="81"/>
      <c r="J212" s="81"/>
      <c r="K212" s="81">
        <v>0</v>
      </c>
      <c r="L212" s="81">
        <v>26</v>
      </c>
      <c r="M212" s="81">
        <v>446</v>
      </c>
      <c r="N212" s="83">
        <v>446</v>
      </c>
      <c r="O212" s="85">
        <v>156</v>
      </c>
      <c r="P212" s="85">
        <v>1</v>
      </c>
      <c r="Q212" s="85">
        <v>198</v>
      </c>
      <c r="R212" s="85">
        <v>44</v>
      </c>
      <c r="S212" s="85">
        <v>4</v>
      </c>
      <c r="T212" s="85"/>
      <c r="U212" s="85"/>
      <c r="V212" s="85">
        <v>1</v>
      </c>
      <c r="W212" s="85"/>
      <c r="X212" s="85">
        <v>1</v>
      </c>
      <c r="Y212" s="85">
        <v>404</v>
      </c>
      <c r="Z212" s="83">
        <v>405</v>
      </c>
      <c r="AA212" s="85">
        <v>34</v>
      </c>
      <c r="AB212" s="85">
        <v>0</v>
      </c>
      <c r="AC212" s="85">
        <v>0</v>
      </c>
      <c r="AD212" s="81"/>
      <c r="AE212" s="85">
        <v>97</v>
      </c>
      <c r="AF212" s="85">
        <v>4</v>
      </c>
      <c r="AG212" s="85">
        <v>7</v>
      </c>
      <c r="AH212" s="81"/>
      <c r="AI212" s="81"/>
      <c r="AJ212" s="81"/>
      <c r="AK212" s="81">
        <v>0</v>
      </c>
      <c r="AL212" s="81"/>
      <c r="AM212" s="81">
        <v>0</v>
      </c>
      <c r="AN212" s="81">
        <v>142</v>
      </c>
      <c r="AO212" s="83">
        <v>142</v>
      </c>
      <c r="AP212" s="81">
        <v>20</v>
      </c>
      <c r="AQ212" s="81">
        <v>1</v>
      </c>
      <c r="AR212" s="81">
        <v>3</v>
      </c>
      <c r="AS212" s="81">
        <v>40</v>
      </c>
      <c r="AT212" s="81">
        <v>6</v>
      </c>
      <c r="AU212" s="81">
        <v>6</v>
      </c>
      <c r="AV212" s="81">
        <v>3</v>
      </c>
      <c r="AW212" s="81">
        <v>17</v>
      </c>
      <c r="AX212" s="81"/>
      <c r="AY212" s="81"/>
      <c r="AZ212" s="81"/>
      <c r="BA212" s="81"/>
      <c r="BB212" s="81">
        <v>100</v>
      </c>
      <c r="BC212" s="83">
        <v>96</v>
      </c>
      <c r="BD212" s="81">
        <v>131</v>
      </c>
      <c r="BE212" s="81">
        <v>1</v>
      </c>
      <c r="BF212" s="81">
        <v>0</v>
      </c>
      <c r="BG212" s="81">
        <v>125</v>
      </c>
      <c r="BH212" s="81">
        <v>3</v>
      </c>
      <c r="BI212" s="81">
        <v>9</v>
      </c>
      <c r="BJ212" s="81">
        <v>62</v>
      </c>
      <c r="BK212" s="81"/>
      <c r="BL212" s="81">
        <v>0</v>
      </c>
      <c r="BM212" s="81">
        <v>19</v>
      </c>
      <c r="BN212" s="81">
        <v>350</v>
      </c>
      <c r="BO212" s="83">
        <v>350</v>
      </c>
      <c r="BP212" s="81">
        <v>117</v>
      </c>
      <c r="BQ212" s="81">
        <v>1</v>
      </c>
      <c r="BR212" s="81">
        <v>0</v>
      </c>
      <c r="BS212" s="81">
        <v>62</v>
      </c>
      <c r="BT212" s="81">
        <v>1</v>
      </c>
      <c r="BU212" s="81">
        <v>2</v>
      </c>
      <c r="BV212" s="81"/>
      <c r="BW212" s="81">
        <v>7</v>
      </c>
      <c r="BX212" s="81">
        <v>1</v>
      </c>
      <c r="BY212" s="81">
        <v>19</v>
      </c>
      <c r="BZ212" s="81"/>
      <c r="CA212" s="81">
        <v>209</v>
      </c>
      <c r="CB212" s="83">
        <v>210</v>
      </c>
      <c r="CC212" s="81">
        <v>57</v>
      </c>
      <c r="CD212" s="81">
        <v>43</v>
      </c>
      <c r="CE212" s="81">
        <v>99</v>
      </c>
      <c r="CF212" s="81">
        <v>100</v>
      </c>
    </row>
    <row r="213" spans="1:84">
      <c r="A213" s="82">
        <v>41456</v>
      </c>
      <c r="B213" s="81">
        <v>165</v>
      </c>
      <c r="C213" s="81">
        <v>2</v>
      </c>
      <c r="D213" s="81">
        <v>0</v>
      </c>
      <c r="E213" s="81"/>
      <c r="F213" s="81">
        <v>200</v>
      </c>
      <c r="G213" s="81">
        <v>8</v>
      </c>
      <c r="H213" s="81">
        <v>18</v>
      </c>
      <c r="I213" s="81"/>
      <c r="J213" s="81"/>
      <c r="K213" s="81">
        <v>1</v>
      </c>
      <c r="L213" s="81">
        <v>27</v>
      </c>
      <c r="M213" s="81">
        <v>422</v>
      </c>
      <c r="N213" s="83">
        <v>421</v>
      </c>
      <c r="O213" s="85">
        <v>193</v>
      </c>
      <c r="P213" s="85">
        <v>1</v>
      </c>
      <c r="Q213" s="85">
        <v>167</v>
      </c>
      <c r="R213" s="85">
        <v>42</v>
      </c>
      <c r="S213" s="85">
        <v>3</v>
      </c>
      <c r="T213" s="85"/>
      <c r="U213" s="85"/>
      <c r="V213" s="85"/>
      <c r="W213" s="85"/>
      <c r="X213" s="85">
        <v>1</v>
      </c>
      <c r="Y213" s="85">
        <v>407</v>
      </c>
      <c r="Z213" s="83">
        <v>407</v>
      </c>
      <c r="AA213" s="85">
        <v>33</v>
      </c>
      <c r="AB213" s="85">
        <v>0</v>
      </c>
      <c r="AC213" s="85">
        <v>0</v>
      </c>
      <c r="AD213" s="81"/>
      <c r="AE213" s="85">
        <v>87</v>
      </c>
      <c r="AF213" s="85">
        <v>4</v>
      </c>
      <c r="AG213" s="85">
        <v>8</v>
      </c>
      <c r="AH213" s="81"/>
      <c r="AI213" s="81"/>
      <c r="AJ213" s="81"/>
      <c r="AK213" s="81">
        <v>0</v>
      </c>
      <c r="AL213" s="81"/>
      <c r="AM213" s="81"/>
      <c r="AN213" s="81">
        <v>133</v>
      </c>
      <c r="AO213" s="83">
        <v>132</v>
      </c>
      <c r="AP213" s="81">
        <v>24</v>
      </c>
      <c r="AQ213" s="81">
        <v>1</v>
      </c>
      <c r="AR213" s="81">
        <v>3</v>
      </c>
      <c r="AS213" s="81">
        <v>41</v>
      </c>
      <c r="AT213" s="81">
        <v>5</v>
      </c>
      <c r="AU213" s="81">
        <v>6</v>
      </c>
      <c r="AV213" s="81">
        <v>5</v>
      </c>
      <c r="AW213" s="81">
        <v>26</v>
      </c>
      <c r="AX213" s="81">
        <v>2</v>
      </c>
      <c r="AY213" s="81">
        <v>3</v>
      </c>
      <c r="AZ213" s="81">
        <v>1</v>
      </c>
      <c r="BA213" s="81">
        <v>2</v>
      </c>
      <c r="BB213" s="81">
        <v>119</v>
      </c>
      <c r="BC213" s="83">
        <v>119</v>
      </c>
      <c r="BD213" s="81">
        <v>125</v>
      </c>
      <c r="BE213" s="81">
        <v>1</v>
      </c>
      <c r="BF213" s="81">
        <v>0</v>
      </c>
      <c r="BG213" s="81">
        <v>112</v>
      </c>
      <c r="BH213" s="81">
        <v>4</v>
      </c>
      <c r="BI213" s="81">
        <v>10</v>
      </c>
      <c r="BJ213" s="81">
        <v>70</v>
      </c>
      <c r="BK213" s="81"/>
      <c r="BL213" s="81">
        <v>0</v>
      </c>
      <c r="BM213" s="81">
        <v>18</v>
      </c>
      <c r="BN213" s="81">
        <v>341</v>
      </c>
      <c r="BO213" s="83">
        <v>340</v>
      </c>
      <c r="BP213" s="81">
        <v>128</v>
      </c>
      <c r="BQ213" s="81">
        <v>2</v>
      </c>
      <c r="BR213" s="81">
        <v>0</v>
      </c>
      <c r="BS213" s="81">
        <v>73</v>
      </c>
      <c r="BT213" s="81">
        <v>1</v>
      </c>
      <c r="BU213" s="81">
        <v>2</v>
      </c>
      <c r="BV213" s="81">
        <v>0</v>
      </c>
      <c r="BW213" s="81">
        <v>5</v>
      </c>
      <c r="BX213" s="81">
        <v>1</v>
      </c>
      <c r="BY213" s="81">
        <v>21</v>
      </c>
      <c r="BZ213" s="81">
        <v>10</v>
      </c>
      <c r="CA213" s="81">
        <v>232</v>
      </c>
      <c r="CB213" s="83">
        <v>243</v>
      </c>
      <c r="CC213" s="81">
        <v>74</v>
      </c>
      <c r="CD213" s="81">
        <v>59</v>
      </c>
      <c r="CE213" s="81">
        <v>133</v>
      </c>
      <c r="CF213" s="81">
        <v>133</v>
      </c>
    </row>
    <row r="214" spans="1:84">
      <c r="A214" s="82">
        <v>41487</v>
      </c>
      <c r="B214" s="81">
        <v>146</v>
      </c>
      <c r="C214" s="81">
        <v>1</v>
      </c>
      <c r="D214" s="81">
        <v>0</v>
      </c>
      <c r="E214" s="81"/>
      <c r="F214" s="81">
        <v>164</v>
      </c>
      <c r="G214" s="81">
        <v>7</v>
      </c>
      <c r="H214" s="81">
        <v>17</v>
      </c>
      <c r="I214" s="81"/>
      <c r="J214" s="81"/>
      <c r="K214" s="81">
        <v>1</v>
      </c>
      <c r="L214" s="81">
        <v>27</v>
      </c>
      <c r="M214" s="81">
        <v>364</v>
      </c>
      <c r="N214" s="83">
        <v>363</v>
      </c>
      <c r="O214" s="85">
        <v>200</v>
      </c>
      <c r="P214" s="85">
        <v>1</v>
      </c>
      <c r="Q214" s="85">
        <v>233</v>
      </c>
      <c r="R214" s="85">
        <v>41</v>
      </c>
      <c r="S214" s="85">
        <v>3</v>
      </c>
      <c r="T214" s="85"/>
      <c r="U214" s="85"/>
      <c r="V214" s="85"/>
      <c r="W214" s="85"/>
      <c r="X214" s="85">
        <v>1</v>
      </c>
      <c r="Y214" s="85">
        <v>478</v>
      </c>
      <c r="Z214" s="83">
        <v>479</v>
      </c>
      <c r="AA214" s="85">
        <v>29</v>
      </c>
      <c r="AB214" s="85">
        <v>0</v>
      </c>
      <c r="AC214" s="85">
        <v>0</v>
      </c>
      <c r="AD214" s="81"/>
      <c r="AE214" s="85">
        <v>72</v>
      </c>
      <c r="AF214" s="85">
        <v>3</v>
      </c>
      <c r="AG214" s="85">
        <v>8</v>
      </c>
      <c r="AH214" s="81"/>
      <c r="AI214" s="81"/>
      <c r="AJ214" s="81"/>
      <c r="AK214" s="81">
        <v>0</v>
      </c>
      <c r="AL214" s="81"/>
      <c r="AM214" s="81"/>
      <c r="AN214" s="81">
        <v>112</v>
      </c>
      <c r="AO214" s="83">
        <v>112</v>
      </c>
      <c r="AP214" s="81">
        <v>28</v>
      </c>
      <c r="AQ214" s="81"/>
      <c r="AR214" s="81">
        <v>3</v>
      </c>
      <c r="AS214" s="81">
        <v>42</v>
      </c>
      <c r="AT214" s="81">
        <v>5</v>
      </c>
      <c r="AU214" s="81">
        <v>6</v>
      </c>
      <c r="AV214" s="81">
        <v>5</v>
      </c>
      <c r="AW214" s="81">
        <v>17</v>
      </c>
      <c r="AX214" s="81">
        <v>1</v>
      </c>
      <c r="AY214" s="81">
        <v>1</v>
      </c>
      <c r="AZ214" s="81">
        <v>2</v>
      </c>
      <c r="BA214" s="81">
        <v>2</v>
      </c>
      <c r="BB214" s="81">
        <v>112</v>
      </c>
      <c r="BC214" s="83">
        <v>112</v>
      </c>
      <c r="BD214" s="81">
        <v>110</v>
      </c>
      <c r="BE214" s="81">
        <v>0</v>
      </c>
      <c r="BF214" s="81">
        <v>0</v>
      </c>
      <c r="BG214" s="81">
        <v>92</v>
      </c>
      <c r="BH214" s="81">
        <v>3</v>
      </c>
      <c r="BI214" s="81">
        <v>9</v>
      </c>
      <c r="BJ214" s="81">
        <v>64</v>
      </c>
      <c r="BK214" s="81"/>
      <c r="BL214" s="81">
        <v>1</v>
      </c>
      <c r="BM214" s="81">
        <v>18</v>
      </c>
      <c r="BN214" s="81">
        <v>298</v>
      </c>
      <c r="BO214" s="83">
        <v>297</v>
      </c>
      <c r="BP214" s="81">
        <v>133</v>
      </c>
      <c r="BQ214" s="81">
        <v>2</v>
      </c>
      <c r="BR214" s="81">
        <v>0</v>
      </c>
      <c r="BS214" s="81">
        <v>61</v>
      </c>
      <c r="BT214" s="81">
        <v>1</v>
      </c>
      <c r="BU214" s="81">
        <v>1</v>
      </c>
      <c r="BV214" s="81"/>
      <c r="BW214" s="81">
        <v>4</v>
      </c>
      <c r="BX214" s="81">
        <v>1</v>
      </c>
      <c r="BY214" s="81">
        <v>25</v>
      </c>
      <c r="BZ214" s="81">
        <v>9</v>
      </c>
      <c r="CA214" s="81">
        <v>228</v>
      </c>
      <c r="CB214" s="83">
        <v>237</v>
      </c>
      <c r="CC214" s="81">
        <v>76</v>
      </c>
      <c r="CD214" s="81">
        <v>47</v>
      </c>
      <c r="CE214" s="81">
        <v>122</v>
      </c>
      <c r="CF214" s="81">
        <v>123</v>
      </c>
    </row>
    <row r="215" spans="1:84">
      <c r="A215" s="82">
        <v>41518</v>
      </c>
      <c r="B215" s="81">
        <v>151</v>
      </c>
      <c r="C215" s="81">
        <v>1</v>
      </c>
      <c r="D215" s="81">
        <v>0</v>
      </c>
      <c r="E215" s="81"/>
      <c r="F215" s="81">
        <v>204</v>
      </c>
      <c r="G215" s="81">
        <v>8</v>
      </c>
      <c r="H215" s="81">
        <v>15</v>
      </c>
      <c r="I215" s="81"/>
      <c r="J215" s="81"/>
      <c r="K215" s="81">
        <v>0</v>
      </c>
      <c r="L215" s="81">
        <v>27</v>
      </c>
      <c r="M215" s="81">
        <v>405</v>
      </c>
      <c r="N215" s="83">
        <v>406</v>
      </c>
      <c r="O215" s="85">
        <v>218</v>
      </c>
      <c r="P215" s="85">
        <v>2</v>
      </c>
      <c r="Q215" s="85">
        <v>186</v>
      </c>
      <c r="R215" s="85">
        <v>38</v>
      </c>
      <c r="S215" s="85">
        <v>3</v>
      </c>
      <c r="T215" s="85"/>
      <c r="U215" s="85"/>
      <c r="V215" s="85"/>
      <c r="W215" s="85"/>
      <c r="X215" s="85">
        <v>0</v>
      </c>
      <c r="Y215" s="85">
        <v>447</v>
      </c>
      <c r="Z215" s="83">
        <v>447</v>
      </c>
      <c r="AA215" s="85">
        <v>31</v>
      </c>
      <c r="AB215" s="85">
        <v>0</v>
      </c>
      <c r="AC215" s="85">
        <v>0</v>
      </c>
      <c r="AD215" s="81"/>
      <c r="AE215" s="85">
        <v>89</v>
      </c>
      <c r="AF215" s="85">
        <v>4</v>
      </c>
      <c r="AG215" s="85">
        <v>7</v>
      </c>
      <c r="AH215" s="81"/>
      <c r="AI215" s="81"/>
      <c r="AJ215" s="81"/>
      <c r="AK215" s="81">
        <v>0</v>
      </c>
      <c r="AL215" s="81"/>
      <c r="AM215" s="81"/>
      <c r="AN215" s="81">
        <v>131</v>
      </c>
      <c r="AO215" s="83">
        <v>131</v>
      </c>
      <c r="AP215" s="81">
        <v>23</v>
      </c>
      <c r="AQ215" s="81">
        <v>2</v>
      </c>
      <c r="AR215" s="81">
        <v>3</v>
      </c>
      <c r="AS215" s="81">
        <v>39</v>
      </c>
      <c r="AT215" s="81">
        <v>5</v>
      </c>
      <c r="AU215" s="81">
        <v>6</v>
      </c>
      <c r="AV215" s="81">
        <v>4</v>
      </c>
      <c r="AW215" s="81">
        <v>17</v>
      </c>
      <c r="AX215" s="81">
        <v>1</v>
      </c>
      <c r="AY215" s="81">
        <v>3</v>
      </c>
      <c r="AZ215" s="81">
        <v>1</v>
      </c>
      <c r="BA215" s="81">
        <v>4</v>
      </c>
      <c r="BB215" s="81">
        <v>108</v>
      </c>
      <c r="BC215" s="83">
        <v>108</v>
      </c>
      <c r="BD215" s="81">
        <v>115</v>
      </c>
      <c r="BE215" s="81">
        <v>0</v>
      </c>
      <c r="BF215" s="81">
        <v>0</v>
      </c>
      <c r="BG215" s="81">
        <v>115</v>
      </c>
      <c r="BH215" s="81">
        <v>3</v>
      </c>
      <c r="BI215" s="81">
        <v>8</v>
      </c>
      <c r="BJ215" s="81">
        <v>57</v>
      </c>
      <c r="BK215" s="81"/>
      <c r="BL215" s="81">
        <v>0</v>
      </c>
      <c r="BM215" s="81">
        <v>19</v>
      </c>
      <c r="BN215" s="81">
        <v>318</v>
      </c>
      <c r="BO215" s="83">
        <v>317</v>
      </c>
      <c r="BP215" s="81">
        <v>102</v>
      </c>
      <c r="BQ215" s="81"/>
      <c r="BR215" s="81"/>
      <c r="BS215" s="81">
        <v>56</v>
      </c>
      <c r="BT215" s="81"/>
      <c r="BU215" s="81"/>
      <c r="BV215" s="81"/>
      <c r="BW215" s="81"/>
      <c r="BX215" s="81"/>
      <c r="BY215" s="81">
        <v>33</v>
      </c>
      <c r="BZ215" s="81">
        <v>7</v>
      </c>
      <c r="CA215" s="81">
        <v>198</v>
      </c>
      <c r="CB215" s="83">
        <v>198</v>
      </c>
      <c r="CC215" s="81">
        <v>62</v>
      </c>
      <c r="CD215" s="81">
        <v>42</v>
      </c>
      <c r="CE215" s="81">
        <v>103</v>
      </c>
      <c r="CF215" s="81">
        <v>104</v>
      </c>
    </row>
    <row r="216" spans="1:84">
      <c r="A216" s="82">
        <v>41548</v>
      </c>
      <c r="B216" s="81">
        <v>178</v>
      </c>
      <c r="C216" s="81">
        <v>3</v>
      </c>
      <c r="D216" s="81">
        <v>0</v>
      </c>
      <c r="E216" s="81"/>
      <c r="F216" s="81">
        <v>183</v>
      </c>
      <c r="G216" s="81">
        <v>9</v>
      </c>
      <c r="H216" s="81">
        <v>14</v>
      </c>
      <c r="I216" s="81"/>
      <c r="J216" s="81"/>
      <c r="K216" s="81">
        <v>0</v>
      </c>
      <c r="L216" s="81">
        <v>29</v>
      </c>
      <c r="M216" s="81">
        <v>415</v>
      </c>
      <c r="N216" s="83">
        <v>416</v>
      </c>
      <c r="O216" s="85">
        <v>180</v>
      </c>
      <c r="P216" s="85">
        <v>1</v>
      </c>
      <c r="Q216" s="85">
        <v>220</v>
      </c>
      <c r="R216" s="85">
        <v>36</v>
      </c>
      <c r="S216" s="85">
        <v>3</v>
      </c>
      <c r="T216" s="85"/>
      <c r="U216" s="85"/>
      <c r="V216" s="85"/>
      <c r="W216" s="85"/>
      <c r="X216" s="85">
        <v>1</v>
      </c>
      <c r="Y216" s="85">
        <v>441</v>
      </c>
      <c r="Z216" s="83">
        <v>441</v>
      </c>
      <c r="AA216" s="85">
        <v>36</v>
      </c>
      <c r="AB216" s="85">
        <v>0</v>
      </c>
      <c r="AC216" s="81"/>
      <c r="AD216" s="81"/>
      <c r="AE216" s="85">
        <v>80</v>
      </c>
      <c r="AF216" s="85">
        <v>4</v>
      </c>
      <c r="AG216" s="85">
        <v>6</v>
      </c>
      <c r="AH216" s="81"/>
      <c r="AI216" s="81"/>
      <c r="AJ216" s="81"/>
      <c r="AK216" s="81">
        <v>0</v>
      </c>
      <c r="AL216" s="81"/>
      <c r="AM216" s="81">
        <v>1</v>
      </c>
      <c r="AN216" s="81">
        <v>127</v>
      </c>
      <c r="AO216" s="83">
        <v>127</v>
      </c>
      <c r="AP216" s="81">
        <v>25</v>
      </c>
      <c r="AQ216" s="81">
        <v>1</v>
      </c>
      <c r="AR216" s="81">
        <v>3</v>
      </c>
      <c r="AS216" s="81">
        <v>36</v>
      </c>
      <c r="AT216" s="81">
        <v>6</v>
      </c>
      <c r="AU216" s="81">
        <v>5</v>
      </c>
      <c r="AV216" s="81">
        <v>4</v>
      </c>
      <c r="AW216" s="81">
        <v>16</v>
      </c>
      <c r="AX216" s="81">
        <v>2</v>
      </c>
      <c r="AY216" s="81">
        <v>3</v>
      </c>
      <c r="AZ216" s="81">
        <v>1</v>
      </c>
      <c r="BA216" s="81">
        <v>4</v>
      </c>
      <c r="BB216" s="81">
        <v>106</v>
      </c>
      <c r="BC216" s="83">
        <v>106</v>
      </c>
      <c r="BD216" s="81">
        <v>133</v>
      </c>
      <c r="BE216" s="81">
        <v>1</v>
      </c>
      <c r="BF216" s="81"/>
      <c r="BG216" s="81">
        <v>102</v>
      </c>
      <c r="BH216" s="81">
        <v>4</v>
      </c>
      <c r="BI216" s="81">
        <v>8</v>
      </c>
      <c r="BJ216" s="81">
        <v>53</v>
      </c>
      <c r="BK216" s="81"/>
      <c r="BL216" s="81">
        <v>0</v>
      </c>
      <c r="BM216" s="81">
        <v>19</v>
      </c>
      <c r="BN216" s="81">
        <v>320</v>
      </c>
      <c r="BO216" s="83">
        <v>320</v>
      </c>
      <c r="BP216" s="81">
        <v>120</v>
      </c>
      <c r="BQ216" s="81">
        <v>2</v>
      </c>
      <c r="BR216" s="81"/>
      <c r="BS216" s="81">
        <v>58</v>
      </c>
      <c r="BT216" s="81">
        <v>1</v>
      </c>
      <c r="BU216" s="81">
        <v>1</v>
      </c>
      <c r="BV216" s="81"/>
      <c r="BW216" s="81">
        <v>6</v>
      </c>
      <c r="BX216" s="81">
        <v>0</v>
      </c>
      <c r="BY216" s="81">
        <v>39</v>
      </c>
      <c r="BZ216" s="81">
        <v>9</v>
      </c>
      <c r="CA216" s="81">
        <v>226</v>
      </c>
      <c r="CB216" s="83">
        <v>236</v>
      </c>
      <c r="CC216" s="81">
        <v>66</v>
      </c>
      <c r="CD216" s="81">
        <v>44</v>
      </c>
      <c r="CE216" s="81">
        <v>110</v>
      </c>
      <c r="CF216" s="81">
        <v>110</v>
      </c>
    </row>
    <row r="217" spans="1:84">
      <c r="A217" s="82">
        <v>41579</v>
      </c>
      <c r="B217" s="81">
        <v>155</v>
      </c>
      <c r="C217" s="81">
        <v>2</v>
      </c>
      <c r="D217" s="81">
        <v>0</v>
      </c>
      <c r="E217" s="81"/>
      <c r="F217" s="81">
        <v>230</v>
      </c>
      <c r="G217" s="81">
        <v>8</v>
      </c>
      <c r="H217" s="81">
        <v>14</v>
      </c>
      <c r="I217" s="81"/>
      <c r="J217" s="81"/>
      <c r="K217" s="81">
        <v>0</v>
      </c>
      <c r="L217" s="81">
        <v>26</v>
      </c>
      <c r="M217" s="81">
        <v>435</v>
      </c>
      <c r="N217" s="83">
        <v>435</v>
      </c>
      <c r="O217" s="85">
        <v>192</v>
      </c>
      <c r="P217" s="85">
        <v>1</v>
      </c>
      <c r="Q217" s="85">
        <v>247</v>
      </c>
      <c r="R217" s="85">
        <v>32</v>
      </c>
      <c r="S217" s="85">
        <v>3</v>
      </c>
      <c r="T217" s="85"/>
      <c r="U217" s="85"/>
      <c r="V217" s="85"/>
      <c r="W217" s="85"/>
      <c r="X217" s="85">
        <v>1</v>
      </c>
      <c r="Y217" s="85">
        <v>477</v>
      </c>
      <c r="Z217" s="83">
        <v>476</v>
      </c>
      <c r="AA217" s="85">
        <v>32</v>
      </c>
      <c r="AB217" s="85">
        <v>0</v>
      </c>
      <c r="AC217" s="81"/>
      <c r="AD217" s="81"/>
      <c r="AE217" s="85">
        <v>102</v>
      </c>
      <c r="AF217" s="85">
        <v>4</v>
      </c>
      <c r="AG217" s="85">
        <v>7</v>
      </c>
      <c r="AH217" s="81"/>
      <c r="AI217" s="81"/>
      <c r="AJ217" s="81"/>
      <c r="AK217" s="81">
        <v>0</v>
      </c>
      <c r="AL217" s="81"/>
      <c r="AM217" s="81"/>
      <c r="AN217" s="81">
        <v>144</v>
      </c>
      <c r="AO217" s="83">
        <v>145</v>
      </c>
      <c r="AP217" s="81">
        <v>29</v>
      </c>
      <c r="AQ217" s="81">
        <v>1</v>
      </c>
      <c r="AR217" s="81">
        <v>3</v>
      </c>
      <c r="AS217" s="81">
        <v>42</v>
      </c>
      <c r="AT217" s="81">
        <v>5</v>
      </c>
      <c r="AU217" s="81">
        <v>4</v>
      </c>
      <c r="AV217" s="81">
        <v>4</v>
      </c>
      <c r="AW217" s="81">
        <v>17</v>
      </c>
      <c r="AX217" s="81">
        <v>2</v>
      </c>
      <c r="AY217" s="81">
        <v>1</v>
      </c>
      <c r="AZ217" s="81">
        <v>1</v>
      </c>
      <c r="BA217" s="81">
        <v>3</v>
      </c>
      <c r="BB217" s="81">
        <v>113</v>
      </c>
      <c r="BC217" s="83">
        <v>112</v>
      </c>
      <c r="BD217" s="81">
        <v>119</v>
      </c>
      <c r="BE217" s="81">
        <v>1</v>
      </c>
      <c r="BF217" s="81"/>
      <c r="BG217" s="81">
        <v>127</v>
      </c>
      <c r="BH217" s="81">
        <v>3</v>
      </c>
      <c r="BI217" s="81">
        <v>8</v>
      </c>
      <c r="BJ217" s="81">
        <v>54</v>
      </c>
      <c r="BK217" s="81"/>
      <c r="BL217" s="81">
        <v>0</v>
      </c>
      <c r="BM217" s="81">
        <v>18</v>
      </c>
      <c r="BN217" s="81">
        <v>331</v>
      </c>
      <c r="BO217" s="83">
        <v>330</v>
      </c>
      <c r="BP217" s="81">
        <v>108</v>
      </c>
      <c r="BQ217" s="81">
        <v>2</v>
      </c>
      <c r="BR217" s="81"/>
      <c r="BS217" s="81">
        <v>73</v>
      </c>
      <c r="BT217" s="81">
        <v>1</v>
      </c>
      <c r="BU217" s="81">
        <v>1</v>
      </c>
      <c r="BV217" s="81"/>
      <c r="BW217" s="81">
        <v>5</v>
      </c>
      <c r="BX217" s="81">
        <v>0</v>
      </c>
      <c r="BY217" s="81">
        <v>42</v>
      </c>
      <c r="BZ217" s="81">
        <v>9</v>
      </c>
      <c r="CA217" s="81">
        <v>232</v>
      </c>
      <c r="CB217" s="83">
        <v>241</v>
      </c>
      <c r="CC217" s="81">
        <v>60</v>
      </c>
      <c r="CD217" s="81">
        <v>56</v>
      </c>
      <c r="CE217" s="81">
        <v>117</v>
      </c>
      <c r="CF217" s="81">
        <v>116</v>
      </c>
    </row>
    <row r="218" spans="1:84">
      <c r="A218" s="82">
        <v>41609</v>
      </c>
      <c r="B218" s="81">
        <v>165</v>
      </c>
      <c r="C218" s="81">
        <v>2</v>
      </c>
      <c r="D218" s="81">
        <v>0</v>
      </c>
      <c r="E218" s="81"/>
      <c r="F218" s="81">
        <v>190</v>
      </c>
      <c r="G218" s="81">
        <v>7</v>
      </c>
      <c r="H218" s="81">
        <v>13</v>
      </c>
      <c r="I218" s="81"/>
      <c r="J218" s="81"/>
      <c r="K218" s="81">
        <v>1</v>
      </c>
      <c r="L218" s="81">
        <v>28</v>
      </c>
      <c r="M218" s="81">
        <v>407</v>
      </c>
      <c r="N218" s="83">
        <v>406</v>
      </c>
      <c r="O218" s="85">
        <v>143</v>
      </c>
      <c r="P218" s="85">
        <v>1</v>
      </c>
      <c r="Q218" s="85">
        <v>233</v>
      </c>
      <c r="R218" s="85">
        <v>30</v>
      </c>
      <c r="S218" s="85">
        <v>3</v>
      </c>
      <c r="T218" s="85"/>
      <c r="U218" s="85"/>
      <c r="V218" s="85"/>
      <c r="W218" s="85"/>
      <c r="X218" s="85">
        <v>2</v>
      </c>
      <c r="Y218" s="85">
        <v>412</v>
      </c>
      <c r="Z218" s="83">
        <v>412</v>
      </c>
      <c r="AA218" s="85">
        <v>32</v>
      </c>
      <c r="AB218" s="85">
        <v>0</v>
      </c>
      <c r="AC218" s="81"/>
      <c r="AD218" s="81"/>
      <c r="AE218" s="85">
        <v>83</v>
      </c>
      <c r="AF218" s="85">
        <v>4</v>
      </c>
      <c r="AG218" s="85">
        <v>6</v>
      </c>
      <c r="AH218" s="81"/>
      <c r="AI218" s="81"/>
      <c r="AJ218" s="81"/>
      <c r="AK218" s="81">
        <v>0</v>
      </c>
      <c r="AL218" s="81"/>
      <c r="AM218" s="81"/>
      <c r="AN218" s="81">
        <v>126</v>
      </c>
      <c r="AO218" s="83">
        <v>125</v>
      </c>
      <c r="AP218" s="81">
        <v>27</v>
      </c>
      <c r="AQ218" s="81">
        <v>1</v>
      </c>
      <c r="AR218" s="81">
        <v>3</v>
      </c>
      <c r="AS218" s="81">
        <v>30</v>
      </c>
      <c r="AT218" s="81">
        <v>5</v>
      </c>
      <c r="AU218" s="81">
        <v>4</v>
      </c>
      <c r="AV218" s="81">
        <v>4</v>
      </c>
      <c r="AW218" s="81">
        <v>15</v>
      </c>
      <c r="AX218" s="81">
        <v>1</v>
      </c>
      <c r="AY218" s="81">
        <v>0</v>
      </c>
      <c r="AZ218" s="81">
        <v>1</v>
      </c>
      <c r="BA218" s="81">
        <v>2</v>
      </c>
      <c r="BB218" s="81">
        <v>94</v>
      </c>
      <c r="BC218" s="83">
        <v>93</v>
      </c>
      <c r="BD218" s="81">
        <v>125</v>
      </c>
      <c r="BE218" s="81">
        <v>1</v>
      </c>
      <c r="BF218" s="81"/>
      <c r="BG218" s="81">
        <v>106</v>
      </c>
      <c r="BH218" s="81">
        <v>3</v>
      </c>
      <c r="BI218" s="81">
        <v>7</v>
      </c>
      <c r="BJ218" s="81">
        <v>51</v>
      </c>
      <c r="BK218" s="81"/>
      <c r="BL218" s="81">
        <v>0</v>
      </c>
      <c r="BM218" s="81">
        <v>17</v>
      </c>
      <c r="BN218" s="81">
        <v>311</v>
      </c>
      <c r="BO218" s="83">
        <v>310</v>
      </c>
      <c r="BP218" s="81">
        <v>104</v>
      </c>
      <c r="BQ218" s="81"/>
      <c r="BR218" s="81"/>
      <c r="BS218" s="81">
        <v>64</v>
      </c>
      <c r="BT218" s="81"/>
      <c r="BU218" s="81"/>
      <c r="BV218" s="81"/>
      <c r="BW218" s="81"/>
      <c r="BX218" s="81"/>
      <c r="BY218" s="81">
        <v>36</v>
      </c>
      <c r="BZ218" s="81"/>
      <c r="CA218" s="81">
        <v>212</v>
      </c>
      <c r="CB218" s="83">
        <v>204</v>
      </c>
      <c r="CC218" s="81">
        <v>45</v>
      </c>
      <c r="CD218" s="81">
        <v>47</v>
      </c>
      <c r="CE218" s="81">
        <v>92</v>
      </c>
      <c r="CF218" s="81">
        <v>92</v>
      </c>
    </row>
    <row r="219" spans="1:84">
      <c r="A219" s="82">
        <v>41643</v>
      </c>
      <c r="B219" s="81">
        <v>186</v>
      </c>
      <c r="C219" s="81">
        <v>2</v>
      </c>
      <c r="D219" s="81">
        <v>0</v>
      </c>
      <c r="E219" s="81"/>
      <c r="F219" s="81">
        <v>186</v>
      </c>
      <c r="G219" s="81">
        <v>7</v>
      </c>
      <c r="H219" s="81">
        <v>13</v>
      </c>
      <c r="I219" s="81"/>
      <c r="J219" s="81"/>
      <c r="K219" s="81">
        <v>1</v>
      </c>
      <c r="L219" s="81">
        <v>25</v>
      </c>
      <c r="M219" s="81">
        <v>420</v>
      </c>
      <c r="N219" s="83">
        <v>420</v>
      </c>
      <c r="O219" s="85">
        <v>165</v>
      </c>
      <c r="P219" s="85">
        <v>1</v>
      </c>
      <c r="Q219" s="85">
        <v>125</v>
      </c>
      <c r="R219" s="85">
        <v>28</v>
      </c>
      <c r="S219" s="85">
        <v>4</v>
      </c>
      <c r="T219" s="85"/>
      <c r="U219" s="85"/>
      <c r="V219" s="85"/>
      <c r="W219" s="85"/>
      <c r="X219" s="85">
        <v>1</v>
      </c>
      <c r="Y219" s="85">
        <v>324</v>
      </c>
      <c r="Z219" s="83">
        <v>324</v>
      </c>
      <c r="AA219" s="85">
        <v>35</v>
      </c>
      <c r="AB219" s="85">
        <v>0</v>
      </c>
      <c r="AC219" s="85">
        <v>0</v>
      </c>
      <c r="AD219" s="81"/>
      <c r="AE219" s="85">
        <v>81</v>
      </c>
      <c r="AF219" s="85">
        <v>3</v>
      </c>
      <c r="AG219" s="85">
        <v>6</v>
      </c>
      <c r="AH219" s="81"/>
      <c r="AI219" s="81"/>
      <c r="AJ219" s="81"/>
      <c r="AK219" s="81">
        <v>0</v>
      </c>
      <c r="AL219" s="81"/>
      <c r="AM219" s="81"/>
      <c r="AN219" s="81">
        <v>126</v>
      </c>
      <c r="AO219" s="83">
        <v>125</v>
      </c>
      <c r="AP219" s="81">
        <v>31</v>
      </c>
      <c r="AQ219" s="81">
        <v>1</v>
      </c>
      <c r="AR219" s="81">
        <v>4</v>
      </c>
      <c r="AS219" s="81">
        <v>33</v>
      </c>
      <c r="AT219" s="81">
        <v>5</v>
      </c>
      <c r="AU219" s="81">
        <v>4</v>
      </c>
      <c r="AV219" s="81">
        <v>3</v>
      </c>
      <c r="AW219" s="81">
        <v>16</v>
      </c>
      <c r="AX219" s="81">
        <v>1</v>
      </c>
      <c r="AY219" s="81">
        <v>3</v>
      </c>
      <c r="AZ219" s="81">
        <v>0</v>
      </c>
      <c r="BA219" s="81">
        <v>2</v>
      </c>
      <c r="BB219" s="81">
        <v>103</v>
      </c>
      <c r="BC219" s="83">
        <v>103</v>
      </c>
      <c r="BD219" s="81">
        <v>140</v>
      </c>
      <c r="BE219" s="81">
        <v>1</v>
      </c>
      <c r="BF219" s="81">
        <v>0</v>
      </c>
      <c r="BG219" s="81">
        <v>102</v>
      </c>
      <c r="BH219" s="81">
        <v>3</v>
      </c>
      <c r="BI219" s="81">
        <v>7</v>
      </c>
      <c r="BJ219" s="81">
        <v>51</v>
      </c>
      <c r="BK219" s="81"/>
      <c r="BL219" s="81">
        <v>0</v>
      </c>
      <c r="BM219" s="81">
        <v>13</v>
      </c>
      <c r="BN219" s="81">
        <v>318</v>
      </c>
      <c r="BO219" s="83">
        <v>317</v>
      </c>
      <c r="BP219" s="81">
        <v>120</v>
      </c>
      <c r="BQ219" s="81"/>
      <c r="BR219" s="81"/>
      <c r="BS219" s="81">
        <v>56</v>
      </c>
      <c r="BT219" s="81"/>
      <c r="BU219" s="81"/>
      <c r="BV219" s="81"/>
      <c r="BW219" s="81"/>
      <c r="BX219" s="81"/>
      <c r="BY219" s="81">
        <v>27</v>
      </c>
      <c r="BZ219" s="81"/>
      <c r="CA219" s="81">
        <v>211</v>
      </c>
      <c r="CB219" s="83">
        <v>203</v>
      </c>
      <c r="CC219" s="81">
        <v>60</v>
      </c>
      <c r="CD219" s="81">
        <v>41</v>
      </c>
      <c r="CE219" s="81">
        <v>101</v>
      </c>
      <c r="CF219" s="81">
        <v>101</v>
      </c>
    </row>
    <row r="220" spans="1:84">
      <c r="A220" s="82">
        <v>41671</v>
      </c>
      <c r="B220" s="81">
        <v>132</v>
      </c>
      <c r="C220" s="81">
        <v>2</v>
      </c>
      <c r="D220" s="81">
        <v>0</v>
      </c>
      <c r="E220" s="81"/>
      <c r="F220" s="81">
        <v>177</v>
      </c>
      <c r="G220" s="81">
        <v>7</v>
      </c>
      <c r="H220" s="81">
        <v>14</v>
      </c>
      <c r="I220" s="81"/>
      <c r="J220" s="81"/>
      <c r="K220" s="81">
        <v>1</v>
      </c>
      <c r="L220" s="81">
        <v>24</v>
      </c>
      <c r="M220" s="81">
        <v>357</v>
      </c>
      <c r="N220" s="83">
        <v>357</v>
      </c>
      <c r="O220" s="85">
        <v>163</v>
      </c>
      <c r="P220" s="85">
        <v>2</v>
      </c>
      <c r="Q220" s="85">
        <v>87</v>
      </c>
      <c r="R220" s="85">
        <v>26</v>
      </c>
      <c r="S220" s="85">
        <v>3</v>
      </c>
      <c r="T220" s="85"/>
      <c r="U220" s="85"/>
      <c r="V220" s="85"/>
      <c r="W220" s="85"/>
      <c r="X220" s="85">
        <v>1</v>
      </c>
      <c r="Y220" s="85">
        <v>282</v>
      </c>
      <c r="Z220" s="83">
        <v>282</v>
      </c>
      <c r="AA220" s="85">
        <v>25</v>
      </c>
      <c r="AB220" s="85">
        <v>0</v>
      </c>
      <c r="AC220" s="85">
        <v>0</v>
      </c>
      <c r="AD220" s="81"/>
      <c r="AE220" s="85">
        <v>78</v>
      </c>
      <c r="AF220" s="85">
        <v>3</v>
      </c>
      <c r="AG220" s="85">
        <v>6</v>
      </c>
      <c r="AH220" s="81"/>
      <c r="AI220" s="81"/>
      <c r="AJ220" s="81"/>
      <c r="AK220" s="81">
        <v>0</v>
      </c>
      <c r="AL220" s="81"/>
      <c r="AM220" s="81"/>
      <c r="AN220" s="81">
        <v>113</v>
      </c>
      <c r="AO220" s="83">
        <v>112</v>
      </c>
      <c r="AP220" s="81">
        <v>28</v>
      </c>
      <c r="AQ220" s="81">
        <v>1</v>
      </c>
      <c r="AR220" s="81">
        <v>3</v>
      </c>
      <c r="AS220" s="81">
        <v>33</v>
      </c>
      <c r="AT220" s="81">
        <v>5</v>
      </c>
      <c r="AU220" s="81">
        <v>4</v>
      </c>
      <c r="AV220" s="81">
        <v>4</v>
      </c>
      <c r="AW220" s="81">
        <v>23</v>
      </c>
      <c r="AX220" s="81">
        <v>2</v>
      </c>
      <c r="AY220" s="81">
        <v>3</v>
      </c>
      <c r="AZ220" s="81">
        <v>1</v>
      </c>
      <c r="BA220" s="81">
        <v>1</v>
      </c>
      <c r="BB220" s="81">
        <v>108</v>
      </c>
      <c r="BC220" s="83">
        <v>108</v>
      </c>
      <c r="BD220" s="81">
        <v>100</v>
      </c>
      <c r="BE220" s="81">
        <v>1</v>
      </c>
      <c r="BF220" s="81">
        <v>0</v>
      </c>
      <c r="BG220" s="81">
        <v>99</v>
      </c>
      <c r="BH220" s="81">
        <v>3</v>
      </c>
      <c r="BI220" s="81">
        <v>8</v>
      </c>
      <c r="BJ220" s="81">
        <v>52</v>
      </c>
      <c r="BK220" s="81"/>
      <c r="BL220" s="81">
        <v>1</v>
      </c>
      <c r="BM220" s="81">
        <v>13</v>
      </c>
      <c r="BN220" s="81">
        <v>276</v>
      </c>
      <c r="BO220" s="83">
        <v>277</v>
      </c>
      <c r="BP220" s="81">
        <v>94</v>
      </c>
      <c r="BQ220" s="81"/>
      <c r="BR220" s="81"/>
      <c r="BS220" s="81">
        <v>51</v>
      </c>
      <c r="BT220" s="81"/>
      <c r="BU220" s="81"/>
      <c r="BV220" s="81"/>
      <c r="BW220" s="81"/>
      <c r="BX220" s="81"/>
      <c r="BY220" s="81">
        <v>17</v>
      </c>
      <c r="BZ220" s="81">
        <v>8</v>
      </c>
      <c r="CA220" s="81">
        <v>170</v>
      </c>
      <c r="CB220" s="83">
        <v>170</v>
      </c>
      <c r="CC220" s="81">
        <v>48</v>
      </c>
      <c r="CD220" s="81">
        <v>37</v>
      </c>
      <c r="CE220" s="81">
        <v>85</v>
      </c>
      <c r="CF220" s="81">
        <v>85</v>
      </c>
    </row>
    <row r="221" spans="1:84">
      <c r="A221" s="82">
        <v>41699</v>
      </c>
      <c r="B221" s="81">
        <v>178</v>
      </c>
      <c r="C221" s="81">
        <v>2</v>
      </c>
      <c r="D221" s="81">
        <v>0</v>
      </c>
      <c r="E221" s="81"/>
      <c r="F221" s="81">
        <v>220</v>
      </c>
      <c r="G221" s="81">
        <v>9</v>
      </c>
      <c r="H221" s="81">
        <v>17</v>
      </c>
      <c r="I221" s="81"/>
      <c r="J221" s="81"/>
      <c r="K221" s="81">
        <v>0</v>
      </c>
      <c r="L221" s="81">
        <v>31</v>
      </c>
      <c r="M221" s="81">
        <v>456</v>
      </c>
      <c r="N221" s="83">
        <v>457</v>
      </c>
      <c r="O221" s="85">
        <v>160</v>
      </c>
      <c r="P221" s="85">
        <v>1</v>
      </c>
      <c r="Q221" s="85">
        <v>116</v>
      </c>
      <c r="R221" s="85">
        <v>22</v>
      </c>
      <c r="S221" s="85">
        <v>3</v>
      </c>
      <c r="T221" s="85"/>
      <c r="U221" s="85"/>
      <c r="V221" s="85"/>
      <c r="W221" s="85"/>
      <c r="X221" s="85">
        <v>2</v>
      </c>
      <c r="Y221" s="85">
        <v>304</v>
      </c>
      <c r="Z221" s="83">
        <v>304</v>
      </c>
      <c r="AA221" s="85">
        <v>34</v>
      </c>
      <c r="AB221" s="85">
        <v>0</v>
      </c>
      <c r="AC221" s="85">
        <v>0</v>
      </c>
      <c r="AD221" s="81"/>
      <c r="AE221" s="85">
        <v>96</v>
      </c>
      <c r="AF221" s="85">
        <v>4</v>
      </c>
      <c r="AG221" s="85">
        <v>8</v>
      </c>
      <c r="AH221" s="81"/>
      <c r="AI221" s="81"/>
      <c r="AJ221" s="81"/>
      <c r="AK221" s="81">
        <v>0</v>
      </c>
      <c r="AL221" s="81"/>
      <c r="AM221" s="81"/>
      <c r="AN221" s="81">
        <v>143</v>
      </c>
      <c r="AO221" s="83">
        <v>142</v>
      </c>
      <c r="AP221" s="81">
        <v>22</v>
      </c>
      <c r="AQ221" s="81">
        <v>1</v>
      </c>
      <c r="AR221" s="81">
        <v>2</v>
      </c>
      <c r="AS221" s="81">
        <v>25</v>
      </c>
      <c r="AT221" s="81">
        <v>5</v>
      </c>
      <c r="AU221" s="81">
        <v>4</v>
      </c>
      <c r="AV221" s="81">
        <v>3</v>
      </c>
      <c r="AW221" s="81">
        <v>20</v>
      </c>
      <c r="AX221" s="81">
        <v>2</v>
      </c>
      <c r="AY221" s="81">
        <v>1</v>
      </c>
      <c r="AZ221" s="81">
        <v>1</v>
      </c>
      <c r="BA221" s="81">
        <v>2</v>
      </c>
      <c r="BB221" s="81">
        <v>86</v>
      </c>
      <c r="BC221" s="83">
        <v>88</v>
      </c>
      <c r="BD221" s="81">
        <v>135</v>
      </c>
      <c r="BE221" s="81">
        <v>1</v>
      </c>
      <c r="BF221" s="81">
        <v>0</v>
      </c>
      <c r="BG221" s="81">
        <v>122</v>
      </c>
      <c r="BH221" s="81">
        <v>4</v>
      </c>
      <c r="BI221" s="81">
        <v>10</v>
      </c>
      <c r="BJ221" s="81">
        <v>65</v>
      </c>
      <c r="BK221" s="81"/>
      <c r="BL221" s="81">
        <v>0</v>
      </c>
      <c r="BM221" s="81">
        <v>16</v>
      </c>
      <c r="BN221" s="81">
        <v>352</v>
      </c>
      <c r="BO221" s="83">
        <v>353</v>
      </c>
      <c r="BP221" s="81">
        <v>102</v>
      </c>
      <c r="BQ221" s="81"/>
      <c r="BR221" s="81"/>
      <c r="BS221" s="81">
        <v>55</v>
      </c>
      <c r="BT221" s="81"/>
      <c r="BU221" s="81"/>
      <c r="BV221" s="81"/>
      <c r="BW221" s="81"/>
      <c r="BX221" s="81"/>
      <c r="BY221" s="81">
        <v>14</v>
      </c>
      <c r="BZ221" s="81"/>
      <c r="CA221" s="81">
        <v>178</v>
      </c>
      <c r="CB221" s="83">
        <v>171</v>
      </c>
      <c r="CC221" s="81">
        <v>45</v>
      </c>
      <c r="CD221" s="81">
        <v>36</v>
      </c>
      <c r="CE221" s="81">
        <v>81</v>
      </c>
      <c r="CF221" s="81">
        <v>81</v>
      </c>
    </row>
    <row r="222" spans="1:84">
      <c r="A222" s="82">
        <v>41730</v>
      </c>
      <c r="B222" s="81">
        <v>173</v>
      </c>
      <c r="C222" s="81">
        <v>2</v>
      </c>
      <c r="D222" s="81">
        <v>0</v>
      </c>
      <c r="E222" s="81"/>
      <c r="F222" s="81">
        <v>209</v>
      </c>
      <c r="G222" s="81">
        <v>10</v>
      </c>
      <c r="H222" s="81">
        <v>17</v>
      </c>
      <c r="I222" s="81"/>
      <c r="J222" s="81"/>
      <c r="K222" s="81">
        <v>0</v>
      </c>
      <c r="L222" s="81">
        <v>27</v>
      </c>
      <c r="M222" s="81">
        <v>437</v>
      </c>
      <c r="N222" s="83">
        <v>438</v>
      </c>
      <c r="O222" s="85">
        <v>172</v>
      </c>
      <c r="P222" s="85">
        <v>2</v>
      </c>
      <c r="Q222" s="85">
        <v>104</v>
      </c>
      <c r="R222" s="85">
        <v>25</v>
      </c>
      <c r="S222" s="85">
        <v>2</v>
      </c>
      <c r="T222" s="85"/>
      <c r="U222" s="85"/>
      <c r="V222" s="85"/>
      <c r="W222" s="85"/>
      <c r="X222" s="85">
        <v>1</v>
      </c>
      <c r="Y222" s="85">
        <v>306</v>
      </c>
      <c r="Z222" s="83">
        <v>306</v>
      </c>
      <c r="AA222" s="85">
        <v>34</v>
      </c>
      <c r="AB222" s="85">
        <v>0</v>
      </c>
      <c r="AC222" s="81"/>
      <c r="AD222" s="81"/>
      <c r="AE222" s="85">
        <v>92</v>
      </c>
      <c r="AF222" s="85">
        <v>5</v>
      </c>
      <c r="AG222" s="85">
        <v>8</v>
      </c>
      <c r="AH222" s="81"/>
      <c r="AI222" s="81"/>
      <c r="AJ222" s="81"/>
      <c r="AK222" s="81">
        <v>0</v>
      </c>
      <c r="AL222" s="81"/>
      <c r="AM222" s="81"/>
      <c r="AN222" s="81">
        <v>139</v>
      </c>
      <c r="AO222" s="83">
        <v>139</v>
      </c>
      <c r="AP222" s="81">
        <v>19</v>
      </c>
      <c r="AQ222" s="81">
        <v>0</v>
      </c>
      <c r="AR222" s="81">
        <v>1</v>
      </c>
      <c r="AS222" s="81">
        <v>25</v>
      </c>
      <c r="AT222" s="81">
        <v>6</v>
      </c>
      <c r="AU222" s="81">
        <v>5</v>
      </c>
      <c r="AV222" s="81">
        <v>3</v>
      </c>
      <c r="AW222" s="81">
        <v>14</v>
      </c>
      <c r="AX222" s="81">
        <v>2</v>
      </c>
      <c r="AY222" s="81">
        <v>2</v>
      </c>
      <c r="AZ222" s="81">
        <v>1</v>
      </c>
      <c r="BA222" s="81">
        <v>1</v>
      </c>
      <c r="BB222" s="81">
        <v>78</v>
      </c>
      <c r="BC222" s="83">
        <v>79</v>
      </c>
      <c r="BD222" s="81">
        <v>130</v>
      </c>
      <c r="BE222" s="81">
        <v>1</v>
      </c>
      <c r="BF222" s="81"/>
      <c r="BG222" s="81">
        <v>117</v>
      </c>
      <c r="BH222" s="81">
        <v>4</v>
      </c>
      <c r="BI222" s="81">
        <v>9</v>
      </c>
      <c r="BJ222" s="81">
        <v>64</v>
      </c>
      <c r="BK222" s="81"/>
      <c r="BL222" s="81">
        <v>0</v>
      </c>
      <c r="BM222" s="81">
        <v>18</v>
      </c>
      <c r="BN222" s="81">
        <v>343</v>
      </c>
      <c r="BO222" s="83">
        <v>343</v>
      </c>
      <c r="BP222" s="81">
        <v>122</v>
      </c>
      <c r="BQ222" s="81"/>
      <c r="BR222" s="81"/>
      <c r="BS222" s="81">
        <v>62</v>
      </c>
      <c r="BT222" s="81"/>
      <c r="BU222" s="81"/>
      <c r="BV222" s="81"/>
      <c r="BW222" s="81"/>
      <c r="BX222" s="81"/>
      <c r="BY222" s="81">
        <v>15</v>
      </c>
      <c r="BZ222" s="81"/>
      <c r="CA222" s="81">
        <v>204</v>
      </c>
      <c r="CB222" s="83">
        <v>199</v>
      </c>
      <c r="CC222" s="81">
        <v>63</v>
      </c>
      <c r="CD222" s="81">
        <v>44</v>
      </c>
      <c r="CE222" s="81">
        <v>107</v>
      </c>
      <c r="CF222" s="81">
        <v>107</v>
      </c>
    </row>
    <row r="223" spans="1:84">
      <c r="A223" s="82">
        <v>41760</v>
      </c>
      <c r="B223" s="81">
        <v>175</v>
      </c>
      <c r="C223" s="81">
        <v>2</v>
      </c>
      <c r="D223" s="81">
        <v>0</v>
      </c>
      <c r="E223" s="81"/>
      <c r="F223" s="81">
        <v>204</v>
      </c>
      <c r="G223" s="81">
        <v>8</v>
      </c>
      <c r="H223" s="81">
        <v>17</v>
      </c>
      <c r="I223" s="81"/>
      <c r="J223" s="81"/>
      <c r="K223" s="81">
        <v>0</v>
      </c>
      <c r="L223" s="81">
        <v>28</v>
      </c>
      <c r="M223" s="81">
        <v>434</v>
      </c>
      <c r="N223" s="83">
        <v>434</v>
      </c>
      <c r="O223" s="85">
        <v>257</v>
      </c>
      <c r="P223" s="85">
        <v>1</v>
      </c>
      <c r="Q223" s="85">
        <v>164</v>
      </c>
      <c r="R223" s="85">
        <v>29</v>
      </c>
      <c r="S223" s="85">
        <v>3</v>
      </c>
      <c r="T223" s="85"/>
      <c r="U223" s="85"/>
      <c r="V223" s="85"/>
      <c r="W223" s="85"/>
      <c r="X223" s="85">
        <v>3</v>
      </c>
      <c r="Y223" s="85">
        <v>456</v>
      </c>
      <c r="Z223" s="83">
        <v>457</v>
      </c>
      <c r="AA223" s="85">
        <v>34</v>
      </c>
      <c r="AB223" s="85">
        <v>0</v>
      </c>
      <c r="AC223" s="81"/>
      <c r="AD223" s="81"/>
      <c r="AE223" s="85">
        <v>90</v>
      </c>
      <c r="AF223" s="85">
        <v>4</v>
      </c>
      <c r="AG223" s="85">
        <v>8</v>
      </c>
      <c r="AH223" s="81"/>
      <c r="AI223" s="81"/>
      <c r="AJ223" s="81"/>
      <c r="AK223" s="81">
        <v>0</v>
      </c>
      <c r="AL223" s="81"/>
      <c r="AM223" s="81">
        <v>0</v>
      </c>
      <c r="AN223" s="81">
        <v>136</v>
      </c>
      <c r="AO223" s="83">
        <v>136</v>
      </c>
      <c r="AP223" s="81">
        <v>22</v>
      </c>
      <c r="AQ223" s="81">
        <v>1</v>
      </c>
      <c r="AR223" s="81">
        <v>2</v>
      </c>
      <c r="AS223" s="81">
        <v>31</v>
      </c>
      <c r="AT223" s="81">
        <v>6</v>
      </c>
      <c r="AU223" s="81">
        <v>7</v>
      </c>
      <c r="AV223" s="81">
        <v>2</v>
      </c>
      <c r="AW223" s="81">
        <v>22</v>
      </c>
      <c r="AX223" s="81">
        <v>2</v>
      </c>
      <c r="AY223" s="81">
        <v>2</v>
      </c>
      <c r="AZ223" s="81">
        <v>0</v>
      </c>
      <c r="BA223" s="81">
        <v>1</v>
      </c>
      <c r="BB223" s="81">
        <v>99</v>
      </c>
      <c r="BC223" s="83">
        <v>98</v>
      </c>
      <c r="BD223" s="81">
        <v>133</v>
      </c>
      <c r="BE223" s="81">
        <v>1</v>
      </c>
      <c r="BF223" s="81">
        <v>0</v>
      </c>
      <c r="BG223" s="81">
        <v>113</v>
      </c>
      <c r="BH223" s="81">
        <v>3</v>
      </c>
      <c r="BI223" s="81">
        <v>10</v>
      </c>
      <c r="BJ223" s="81">
        <v>67</v>
      </c>
      <c r="BK223" s="81"/>
      <c r="BL223" s="81">
        <v>0</v>
      </c>
      <c r="BM223" s="81">
        <v>18</v>
      </c>
      <c r="BN223" s="81">
        <v>344</v>
      </c>
      <c r="BO223" s="83">
        <v>345</v>
      </c>
      <c r="BP223" s="81">
        <v>97</v>
      </c>
      <c r="BQ223" s="81">
        <v>2</v>
      </c>
      <c r="BR223" s="81">
        <v>0</v>
      </c>
      <c r="BS223" s="81">
        <v>77</v>
      </c>
      <c r="BT223" s="81">
        <v>1</v>
      </c>
      <c r="BU223" s="81">
        <v>2</v>
      </c>
      <c r="BV223" s="81"/>
      <c r="BW223" s="81">
        <v>0</v>
      </c>
      <c r="BX223" s="81"/>
      <c r="BY223" s="81">
        <v>46</v>
      </c>
      <c r="BZ223" s="81">
        <v>7</v>
      </c>
      <c r="CA223" s="81">
        <v>227</v>
      </c>
      <c r="CB223" s="83">
        <v>232</v>
      </c>
      <c r="CC223" s="81">
        <v>84</v>
      </c>
      <c r="CD223" s="81">
        <v>50</v>
      </c>
      <c r="CE223" s="81">
        <v>134</v>
      </c>
      <c r="CF223" s="81">
        <v>134</v>
      </c>
    </row>
    <row r="224" spans="1:84">
      <c r="A224" s="82">
        <v>41791</v>
      </c>
      <c r="B224" s="81">
        <v>163</v>
      </c>
      <c r="C224" s="81">
        <v>2</v>
      </c>
      <c r="D224" s="81">
        <v>0</v>
      </c>
      <c r="E224" s="81"/>
      <c r="F224" s="81">
        <v>218</v>
      </c>
      <c r="G224" s="81">
        <v>9</v>
      </c>
      <c r="H224" s="81">
        <v>16</v>
      </c>
      <c r="I224" s="81"/>
      <c r="J224" s="81"/>
      <c r="K224" s="81">
        <v>1</v>
      </c>
      <c r="L224" s="81">
        <v>26</v>
      </c>
      <c r="M224" s="81">
        <v>435</v>
      </c>
      <c r="N224" s="83">
        <v>435</v>
      </c>
      <c r="O224" s="85">
        <v>248</v>
      </c>
      <c r="P224" s="85">
        <v>1</v>
      </c>
      <c r="Q224" s="85">
        <v>162</v>
      </c>
      <c r="R224" s="85">
        <v>29</v>
      </c>
      <c r="S224" s="85">
        <v>4</v>
      </c>
      <c r="T224" s="85"/>
      <c r="U224" s="85"/>
      <c r="V224" s="85"/>
      <c r="W224" s="85"/>
      <c r="X224" s="85">
        <v>1</v>
      </c>
      <c r="Y224" s="85">
        <v>445</v>
      </c>
      <c r="Z224" s="83">
        <v>445</v>
      </c>
      <c r="AA224" s="85">
        <v>32</v>
      </c>
      <c r="AB224" s="85">
        <v>0</v>
      </c>
      <c r="AC224" s="85">
        <v>0</v>
      </c>
      <c r="AD224" s="81"/>
      <c r="AE224" s="85">
        <v>96</v>
      </c>
      <c r="AF224" s="85">
        <v>4</v>
      </c>
      <c r="AG224" s="85">
        <v>8</v>
      </c>
      <c r="AH224" s="81"/>
      <c r="AI224" s="81"/>
      <c r="AJ224" s="81"/>
      <c r="AK224" s="81">
        <v>0</v>
      </c>
      <c r="AL224" s="81"/>
      <c r="AM224" s="81">
        <v>1</v>
      </c>
      <c r="AN224" s="81">
        <v>141</v>
      </c>
      <c r="AO224" s="83">
        <v>140</v>
      </c>
      <c r="AP224" s="81">
        <v>21</v>
      </c>
      <c r="AQ224" s="81">
        <v>0</v>
      </c>
      <c r="AR224" s="81">
        <v>3</v>
      </c>
      <c r="AS224" s="81">
        <v>35</v>
      </c>
      <c r="AT224" s="81">
        <v>5</v>
      </c>
      <c r="AU224" s="81">
        <v>7</v>
      </c>
      <c r="AV224" s="81">
        <v>1</v>
      </c>
      <c r="AW224" s="81">
        <v>18</v>
      </c>
      <c r="AX224" s="81">
        <v>2</v>
      </c>
      <c r="AY224" s="81">
        <v>1</v>
      </c>
      <c r="AZ224" s="81">
        <v>0</v>
      </c>
      <c r="BA224" s="81">
        <v>2</v>
      </c>
      <c r="BB224" s="81">
        <v>97</v>
      </c>
      <c r="BC224" s="83">
        <v>95</v>
      </c>
      <c r="BD224" s="81">
        <v>123</v>
      </c>
      <c r="BE224" s="81">
        <v>1</v>
      </c>
      <c r="BF224" s="81">
        <v>0</v>
      </c>
      <c r="BG224" s="81">
        <v>121</v>
      </c>
      <c r="BH224" s="81">
        <v>4</v>
      </c>
      <c r="BI224" s="81">
        <v>9</v>
      </c>
      <c r="BJ224" s="81">
        <v>62</v>
      </c>
      <c r="BK224" s="81"/>
      <c r="BL224" s="81">
        <v>1</v>
      </c>
      <c r="BM224" s="81">
        <v>18</v>
      </c>
      <c r="BN224" s="81">
        <v>339</v>
      </c>
      <c r="BO224" s="83">
        <v>339</v>
      </c>
      <c r="BP224" s="81">
        <v>174</v>
      </c>
      <c r="BQ224" s="81">
        <v>2</v>
      </c>
      <c r="BR224" s="81">
        <v>0</v>
      </c>
      <c r="BS224" s="81">
        <v>74</v>
      </c>
      <c r="BT224" s="81">
        <v>1</v>
      </c>
      <c r="BU224" s="81">
        <v>2</v>
      </c>
      <c r="BV224" s="81"/>
      <c r="BW224" s="81">
        <v>0</v>
      </c>
      <c r="BX224" s="81"/>
      <c r="BY224" s="81">
        <v>27</v>
      </c>
      <c r="BZ224" s="81">
        <v>6</v>
      </c>
      <c r="CA224" s="81">
        <v>281</v>
      </c>
      <c r="CB224" s="83">
        <v>286</v>
      </c>
      <c r="CC224" s="81">
        <v>92</v>
      </c>
      <c r="CD224" s="81">
        <v>56</v>
      </c>
      <c r="CE224" s="81">
        <v>148</v>
      </c>
      <c r="CF224" s="81">
        <v>148</v>
      </c>
    </row>
    <row r="225" spans="1:84">
      <c r="A225" s="82">
        <v>41821</v>
      </c>
      <c r="B225" s="81">
        <v>139</v>
      </c>
      <c r="C225" s="81">
        <v>2</v>
      </c>
      <c r="D225" s="81">
        <v>0</v>
      </c>
      <c r="E225" s="81"/>
      <c r="F225" s="81">
        <v>199</v>
      </c>
      <c r="G225" s="81">
        <v>9</v>
      </c>
      <c r="H225" s="81">
        <v>17</v>
      </c>
      <c r="I225" s="81"/>
      <c r="J225" s="81"/>
      <c r="K225" s="81">
        <v>0</v>
      </c>
      <c r="L225" s="81">
        <v>27</v>
      </c>
      <c r="M225" s="81">
        <v>394</v>
      </c>
      <c r="N225" s="83">
        <v>393</v>
      </c>
      <c r="O225" s="85">
        <v>270</v>
      </c>
      <c r="P225" s="85">
        <v>1</v>
      </c>
      <c r="Q225" s="85">
        <v>153</v>
      </c>
      <c r="R225" s="85">
        <v>26</v>
      </c>
      <c r="S225" s="85">
        <v>2</v>
      </c>
      <c r="T225" s="85"/>
      <c r="U225" s="85"/>
      <c r="V225" s="85"/>
      <c r="W225" s="85"/>
      <c r="X225" s="85">
        <v>1</v>
      </c>
      <c r="Y225" s="85">
        <v>453</v>
      </c>
      <c r="Z225" s="83">
        <v>453</v>
      </c>
      <c r="AA225" s="85">
        <v>29</v>
      </c>
      <c r="AB225" s="85">
        <v>0</v>
      </c>
      <c r="AC225" s="85">
        <v>0</v>
      </c>
      <c r="AD225" s="81"/>
      <c r="AE225" s="85">
        <v>88</v>
      </c>
      <c r="AF225" s="85">
        <v>4</v>
      </c>
      <c r="AG225" s="85">
        <v>8</v>
      </c>
      <c r="AH225" s="81"/>
      <c r="AI225" s="81"/>
      <c r="AJ225" s="81"/>
      <c r="AK225" s="81">
        <v>0</v>
      </c>
      <c r="AL225" s="81"/>
      <c r="AM225" s="81"/>
      <c r="AN225" s="81">
        <v>129</v>
      </c>
      <c r="AO225" s="83">
        <v>129</v>
      </c>
      <c r="AP225" s="81">
        <v>19</v>
      </c>
      <c r="AQ225" s="81">
        <v>1</v>
      </c>
      <c r="AR225" s="81">
        <v>3</v>
      </c>
      <c r="AS225" s="81">
        <v>36</v>
      </c>
      <c r="AT225" s="81">
        <v>6</v>
      </c>
      <c r="AU225" s="81">
        <v>8</v>
      </c>
      <c r="AV225" s="81">
        <v>3</v>
      </c>
      <c r="AW225" s="81">
        <v>25</v>
      </c>
      <c r="AX225" s="81">
        <v>3</v>
      </c>
      <c r="AY225" s="81">
        <v>2</v>
      </c>
      <c r="AZ225" s="81">
        <v>1</v>
      </c>
      <c r="BA225" s="81">
        <v>2</v>
      </c>
      <c r="BB225" s="81">
        <v>109</v>
      </c>
      <c r="BC225" s="83">
        <v>109</v>
      </c>
      <c r="BD225" s="81">
        <v>106</v>
      </c>
      <c r="BE225" s="81">
        <v>1</v>
      </c>
      <c r="BF225" s="81"/>
      <c r="BG225" s="81">
        <v>110</v>
      </c>
      <c r="BH225" s="81">
        <v>4</v>
      </c>
      <c r="BI225" s="81">
        <v>9</v>
      </c>
      <c r="BJ225" s="81">
        <v>66</v>
      </c>
      <c r="BK225" s="81"/>
      <c r="BL225" s="81">
        <v>0</v>
      </c>
      <c r="BM225" s="81">
        <v>17</v>
      </c>
      <c r="BN225" s="81">
        <v>313</v>
      </c>
      <c r="BO225" s="83">
        <v>313</v>
      </c>
      <c r="BP225" s="81">
        <v>164</v>
      </c>
      <c r="BQ225" s="81"/>
      <c r="BR225" s="81"/>
      <c r="BS225" s="81">
        <v>97</v>
      </c>
      <c r="BT225" s="81"/>
      <c r="BU225" s="81"/>
      <c r="BV225" s="81"/>
      <c r="BW225" s="81"/>
      <c r="BX225" s="81"/>
      <c r="BY225" s="81">
        <v>32</v>
      </c>
      <c r="BZ225" s="81">
        <v>6</v>
      </c>
      <c r="CA225" s="81">
        <v>299</v>
      </c>
      <c r="CB225" s="83">
        <v>299</v>
      </c>
      <c r="CC225" s="81">
        <v>102</v>
      </c>
      <c r="CD225" s="81">
        <v>87</v>
      </c>
      <c r="CE225" s="81">
        <v>188</v>
      </c>
      <c r="CF225" s="81">
        <v>189</v>
      </c>
    </row>
    <row r="226" spans="1:84">
      <c r="A226" s="82">
        <v>41852</v>
      </c>
      <c r="B226" s="81">
        <v>155</v>
      </c>
      <c r="C226" s="81">
        <v>2</v>
      </c>
      <c r="D226" s="81">
        <v>0</v>
      </c>
      <c r="E226" s="81"/>
      <c r="F226" s="81">
        <v>162</v>
      </c>
      <c r="G226" s="81">
        <v>6</v>
      </c>
      <c r="H226" s="81">
        <v>15</v>
      </c>
      <c r="I226" s="81"/>
      <c r="J226" s="81"/>
      <c r="K226" s="81">
        <v>0</v>
      </c>
      <c r="L226" s="81">
        <v>26</v>
      </c>
      <c r="M226" s="81">
        <v>366</v>
      </c>
      <c r="N226" s="83">
        <v>366</v>
      </c>
      <c r="O226" s="85">
        <v>319</v>
      </c>
      <c r="P226" s="85">
        <v>0</v>
      </c>
      <c r="Q226" s="85">
        <v>166</v>
      </c>
      <c r="R226" s="85">
        <v>22</v>
      </c>
      <c r="S226" s="85">
        <v>3</v>
      </c>
      <c r="T226" s="85"/>
      <c r="U226" s="85"/>
      <c r="V226" s="85"/>
      <c r="W226" s="85"/>
      <c r="X226" s="85">
        <v>2</v>
      </c>
      <c r="Y226" s="85">
        <v>512</v>
      </c>
      <c r="Z226" s="83">
        <v>512</v>
      </c>
      <c r="AA226" s="85">
        <v>30</v>
      </c>
      <c r="AB226" s="85">
        <v>0</v>
      </c>
      <c r="AC226" s="85">
        <v>0</v>
      </c>
      <c r="AD226" s="81"/>
      <c r="AE226" s="85">
        <v>71</v>
      </c>
      <c r="AF226" s="85">
        <v>3</v>
      </c>
      <c r="AG226" s="85">
        <v>7</v>
      </c>
      <c r="AH226" s="81"/>
      <c r="AI226" s="81"/>
      <c r="AJ226" s="81"/>
      <c r="AK226" s="81">
        <v>0</v>
      </c>
      <c r="AL226" s="81"/>
      <c r="AM226" s="81"/>
      <c r="AN226" s="81">
        <v>112</v>
      </c>
      <c r="AO226" s="83">
        <v>111</v>
      </c>
      <c r="AP226" s="81">
        <v>20</v>
      </c>
      <c r="AQ226" s="81">
        <v>1</v>
      </c>
      <c r="AR226" s="81">
        <v>3</v>
      </c>
      <c r="AS226" s="81">
        <v>30</v>
      </c>
      <c r="AT226" s="81">
        <v>6</v>
      </c>
      <c r="AU226" s="81">
        <v>7</v>
      </c>
      <c r="AV226" s="81">
        <v>3</v>
      </c>
      <c r="AW226" s="81">
        <v>20</v>
      </c>
      <c r="AX226" s="81">
        <v>2</v>
      </c>
      <c r="AY226" s="81">
        <v>1</v>
      </c>
      <c r="AZ226" s="81">
        <v>1</v>
      </c>
      <c r="BA226" s="81">
        <v>3</v>
      </c>
      <c r="BB226" s="81">
        <v>96</v>
      </c>
      <c r="BC226" s="83">
        <v>97</v>
      </c>
      <c r="BD226" s="81">
        <v>113</v>
      </c>
      <c r="BE226" s="81">
        <v>1</v>
      </c>
      <c r="BF226" s="81"/>
      <c r="BG226" s="81">
        <v>89</v>
      </c>
      <c r="BH226" s="81">
        <v>3</v>
      </c>
      <c r="BI226" s="81">
        <v>8</v>
      </c>
      <c r="BJ226" s="81">
        <v>57</v>
      </c>
      <c r="BK226" s="81"/>
      <c r="BL226" s="81">
        <v>0</v>
      </c>
      <c r="BM226" s="81">
        <v>17</v>
      </c>
      <c r="BN226" s="81">
        <v>288</v>
      </c>
      <c r="BO226" s="83">
        <v>288</v>
      </c>
      <c r="BP226" s="81">
        <v>149</v>
      </c>
      <c r="BQ226" s="81"/>
      <c r="BR226" s="81"/>
      <c r="BS226" s="81">
        <v>91</v>
      </c>
      <c r="BT226" s="81"/>
      <c r="BU226" s="81"/>
      <c r="BV226" s="81"/>
      <c r="BW226" s="81"/>
      <c r="BX226" s="81"/>
      <c r="BY226" s="81">
        <v>39</v>
      </c>
      <c r="BZ226" s="81">
        <v>6</v>
      </c>
      <c r="CA226" s="81">
        <v>285</v>
      </c>
      <c r="CB226" s="83">
        <v>285</v>
      </c>
      <c r="CC226" s="81">
        <v>104</v>
      </c>
      <c r="CD226" s="81">
        <v>81</v>
      </c>
      <c r="CE226" s="81">
        <v>185</v>
      </c>
      <c r="CF226" s="81">
        <v>185</v>
      </c>
    </row>
    <row r="227" spans="1:84">
      <c r="A227" s="82">
        <v>41883</v>
      </c>
      <c r="B227" s="81">
        <v>170</v>
      </c>
      <c r="C227" s="81">
        <v>2</v>
      </c>
      <c r="D227" s="81">
        <v>0</v>
      </c>
      <c r="E227" s="81"/>
      <c r="F227" s="81">
        <v>223</v>
      </c>
      <c r="G227" s="81">
        <v>8</v>
      </c>
      <c r="H227" s="81">
        <v>13</v>
      </c>
      <c r="I227" s="81"/>
      <c r="J227" s="81"/>
      <c r="K227" s="81">
        <v>0</v>
      </c>
      <c r="L227" s="81">
        <v>27</v>
      </c>
      <c r="M227" s="81">
        <v>444</v>
      </c>
      <c r="N227" s="83">
        <v>443</v>
      </c>
      <c r="O227" s="85">
        <v>252</v>
      </c>
      <c r="P227" s="85">
        <v>0</v>
      </c>
      <c r="Q227" s="85">
        <v>183</v>
      </c>
      <c r="R227" s="85">
        <v>22</v>
      </c>
      <c r="S227" s="85">
        <v>4</v>
      </c>
      <c r="T227" s="85"/>
      <c r="U227" s="85"/>
      <c r="V227" s="85"/>
      <c r="W227" s="85"/>
      <c r="X227" s="85">
        <v>2</v>
      </c>
      <c r="Y227" s="85">
        <v>462</v>
      </c>
      <c r="Z227" s="83">
        <v>463</v>
      </c>
      <c r="AA227" s="85">
        <v>34</v>
      </c>
      <c r="AB227" s="85">
        <v>0</v>
      </c>
      <c r="AC227" s="81"/>
      <c r="AD227" s="81"/>
      <c r="AE227" s="85">
        <v>98</v>
      </c>
      <c r="AF227" s="85">
        <v>4</v>
      </c>
      <c r="AG227" s="85">
        <v>6</v>
      </c>
      <c r="AH227" s="81"/>
      <c r="AI227" s="81"/>
      <c r="AJ227" s="81"/>
      <c r="AK227" s="81">
        <v>0</v>
      </c>
      <c r="AL227" s="81"/>
      <c r="AM227" s="81">
        <v>1</v>
      </c>
      <c r="AN227" s="81">
        <v>143</v>
      </c>
      <c r="AO227" s="83">
        <v>143</v>
      </c>
      <c r="AP227" s="81">
        <v>18</v>
      </c>
      <c r="AQ227" s="81">
        <v>1</v>
      </c>
      <c r="AR227" s="81">
        <v>3</v>
      </c>
      <c r="AS227" s="81">
        <v>33</v>
      </c>
      <c r="AT227" s="81">
        <v>6</v>
      </c>
      <c r="AU227" s="81">
        <v>6</v>
      </c>
      <c r="AV227" s="81">
        <v>4</v>
      </c>
      <c r="AW227" s="81">
        <v>20</v>
      </c>
      <c r="AX227" s="81">
        <v>2</v>
      </c>
      <c r="AY227" s="81">
        <v>1</v>
      </c>
      <c r="AZ227" s="81">
        <v>1</v>
      </c>
      <c r="BA227" s="81">
        <v>2</v>
      </c>
      <c r="BB227" s="81">
        <v>98</v>
      </c>
      <c r="BC227" s="83">
        <v>97</v>
      </c>
      <c r="BD227" s="81">
        <v>129</v>
      </c>
      <c r="BE227" s="81">
        <v>1</v>
      </c>
      <c r="BF227" s="81"/>
      <c r="BG227" s="81">
        <v>124</v>
      </c>
      <c r="BH227" s="81">
        <v>4</v>
      </c>
      <c r="BI227" s="81">
        <v>7</v>
      </c>
      <c r="BJ227" s="81">
        <v>50</v>
      </c>
      <c r="BK227" s="81"/>
      <c r="BL227" s="81">
        <v>0</v>
      </c>
      <c r="BM227" s="81">
        <v>17</v>
      </c>
      <c r="BN227" s="81">
        <v>332</v>
      </c>
      <c r="BO227" s="83">
        <v>332</v>
      </c>
      <c r="BP227" s="81">
        <v>140</v>
      </c>
      <c r="BQ227" s="81"/>
      <c r="BR227" s="81"/>
      <c r="BS227" s="81">
        <v>96</v>
      </c>
      <c r="BT227" s="81"/>
      <c r="BU227" s="81"/>
      <c r="BV227" s="81"/>
      <c r="BW227" s="81"/>
      <c r="BX227" s="81"/>
      <c r="BY227" s="81">
        <v>45</v>
      </c>
      <c r="BZ227" s="81">
        <v>5</v>
      </c>
      <c r="CA227" s="81">
        <v>286</v>
      </c>
      <c r="CB227" s="83">
        <v>286</v>
      </c>
      <c r="CC227" s="81">
        <v>91</v>
      </c>
      <c r="CD227" s="81">
        <v>84</v>
      </c>
      <c r="CE227" s="81">
        <v>176</v>
      </c>
      <c r="CF227" s="81">
        <v>175</v>
      </c>
    </row>
    <row r="228" spans="1:84">
      <c r="A228" s="82">
        <v>41913</v>
      </c>
      <c r="B228" s="81">
        <v>179</v>
      </c>
      <c r="C228" s="81">
        <v>3</v>
      </c>
      <c r="D228" s="81">
        <v>0</v>
      </c>
      <c r="E228" s="81"/>
      <c r="F228" s="81">
        <v>203</v>
      </c>
      <c r="G228" s="81">
        <v>9</v>
      </c>
      <c r="H228" s="81">
        <v>13</v>
      </c>
      <c r="I228" s="81"/>
      <c r="J228" s="81"/>
      <c r="K228" s="81">
        <v>0</v>
      </c>
      <c r="L228" s="81">
        <v>29</v>
      </c>
      <c r="M228" s="81">
        <v>435</v>
      </c>
      <c r="N228" s="83">
        <v>436</v>
      </c>
      <c r="O228" s="85">
        <v>221</v>
      </c>
      <c r="P228" s="85">
        <v>0</v>
      </c>
      <c r="Q228" s="85">
        <v>171</v>
      </c>
      <c r="R228" s="85">
        <v>29</v>
      </c>
      <c r="S228" s="85">
        <v>4</v>
      </c>
      <c r="T228" s="85"/>
      <c r="U228" s="85"/>
      <c r="V228" s="85"/>
      <c r="W228" s="85"/>
      <c r="X228" s="85">
        <v>1</v>
      </c>
      <c r="Y228" s="85">
        <v>427</v>
      </c>
      <c r="Z228" s="83">
        <v>426</v>
      </c>
      <c r="AA228" s="85">
        <v>35</v>
      </c>
      <c r="AB228" s="85">
        <v>0</v>
      </c>
      <c r="AC228" s="81"/>
      <c r="AD228" s="81"/>
      <c r="AE228" s="85">
        <v>89</v>
      </c>
      <c r="AF228" s="85">
        <v>4</v>
      </c>
      <c r="AG228" s="85">
        <v>6</v>
      </c>
      <c r="AH228" s="81"/>
      <c r="AI228" s="81"/>
      <c r="AJ228" s="81"/>
      <c r="AK228" s="81">
        <v>0</v>
      </c>
      <c r="AL228" s="81"/>
      <c r="AM228" s="81">
        <v>1</v>
      </c>
      <c r="AN228" s="81">
        <v>135</v>
      </c>
      <c r="AO228" s="83">
        <v>135</v>
      </c>
      <c r="AP228" s="81">
        <v>23</v>
      </c>
      <c r="AQ228" s="81">
        <v>1</v>
      </c>
      <c r="AR228" s="81">
        <v>3</v>
      </c>
      <c r="AS228" s="81">
        <v>30</v>
      </c>
      <c r="AT228" s="81">
        <v>6</v>
      </c>
      <c r="AU228" s="81">
        <v>6</v>
      </c>
      <c r="AV228" s="81">
        <v>3</v>
      </c>
      <c r="AW228" s="81">
        <v>19</v>
      </c>
      <c r="AX228" s="81">
        <v>2</v>
      </c>
      <c r="AY228" s="81">
        <v>1</v>
      </c>
      <c r="AZ228" s="81">
        <v>0</v>
      </c>
      <c r="BA228" s="81">
        <v>3</v>
      </c>
      <c r="BB228" s="81">
        <v>96</v>
      </c>
      <c r="BC228" s="83">
        <v>97</v>
      </c>
      <c r="BD228" s="81">
        <v>135</v>
      </c>
      <c r="BE228" s="81">
        <v>1</v>
      </c>
      <c r="BF228" s="81"/>
      <c r="BG228" s="81">
        <v>113</v>
      </c>
      <c r="BH228" s="81">
        <v>4</v>
      </c>
      <c r="BI228" s="81">
        <v>7</v>
      </c>
      <c r="BJ228" s="81">
        <v>50</v>
      </c>
      <c r="BK228" s="81"/>
      <c r="BL228" s="81">
        <v>0</v>
      </c>
      <c r="BM228" s="81">
        <v>17</v>
      </c>
      <c r="BN228" s="81">
        <v>326</v>
      </c>
      <c r="BO228" s="83">
        <v>327</v>
      </c>
      <c r="BP228" s="81">
        <v>124</v>
      </c>
      <c r="BQ228" s="81"/>
      <c r="BR228" s="81"/>
      <c r="BS228" s="81">
        <v>105</v>
      </c>
      <c r="BT228" s="81"/>
      <c r="BU228" s="81"/>
      <c r="BV228" s="81"/>
      <c r="BW228" s="81"/>
      <c r="BX228" s="81"/>
      <c r="BY228" s="81">
        <v>60</v>
      </c>
      <c r="BZ228" s="81">
        <v>5</v>
      </c>
      <c r="CA228" s="81">
        <v>294</v>
      </c>
      <c r="CB228" s="83">
        <v>294</v>
      </c>
      <c r="CC228" s="81">
        <v>76</v>
      </c>
      <c r="CD228" s="81">
        <v>95</v>
      </c>
      <c r="CE228" s="81">
        <v>171</v>
      </c>
      <c r="CF228" s="81">
        <v>171</v>
      </c>
    </row>
    <row r="229" spans="1:84">
      <c r="A229" s="82">
        <v>41944</v>
      </c>
      <c r="B229" s="81">
        <v>181</v>
      </c>
      <c r="C229" s="81">
        <v>2</v>
      </c>
      <c r="D229" s="81">
        <v>0</v>
      </c>
      <c r="E229" s="81"/>
      <c r="F229" s="81">
        <v>236</v>
      </c>
      <c r="G229" s="81">
        <v>7</v>
      </c>
      <c r="H229" s="81">
        <v>14</v>
      </c>
      <c r="I229" s="81"/>
      <c r="J229" s="81"/>
      <c r="K229" s="81">
        <v>1</v>
      </c>
      <c r="L229" s="81">
        <v>24</v>
      </c>
      <c r="M229" s="81">
        <v>465</v>
      </c>
      <c r="N229" s="83">
        <v>465</v>
      </c>
      <c r="O229" s="85">
        <v>157</v>
      </c>
      <c r="P229" s="85">
        <v>1</v>
      </c>
      <c r="Q229" s="85">
        <v>184</v>
      </c>
      <c r="R229" s="85">
        <v>34</v>
      </c>
      <c r="S229" s="85">
        <v>3</v>
      </c>
      <c r="T229" s="85"/>
      <c r="U229" s="85"/>
      <c r="V229" s="85"/>
      <c r="W229" s="85"/>
      <c r="X229" s="85">
        <v>2</v>
      </c>
      <c r="Y229" s="85">
        <v>381</v>
      </c>
      <c r="Z229" s="83">
        <v>381</v>
      </c>
      <c r="AA229" s="85">
        <v>37</v>
      </c>
      <c r="AB229" s="85">
        <v>0</v>
      </c>
      <c r="AC229" s="85">
        <v>0</v>
      </c>
      <c r="AD229" s="81"/>
      <c r="AE229" s="85">
        <v>102</v>
      </c>
      <c r="AF229" s="85">
        <v>4</v>
      </c>
      <c r="AG229" s="85">
        <v>6</v>
      </c>
      <c r="AH229" s="81"/>
      <c r="AI229" s="81"/>
      <c r="AJ229" s="81"/>
      <c r="AK229" s="81">
        <v>0</v>
      </c>
      <c r="AL229" s="81"/>
      <c r="AM229" s="81"/>
      <c r="AN229" s="81">
        <v>149</v>
      </c>
      <c r="AO229" s="83">
        <v>149</v>
      </c>
      <c r="AP229" s="81">
        <v>24</v>
      </c>
      <c r="AQ229" s="81">
        <v>1</v>
      </c>
      <c r="AR229" s="81">
        <v>2</v>
      </c>
      <c r="AS229" s="81">
        <v>30</v>
      </c>
      <c r="AT229" s="81">
        <v>6</v>
      </c>
      <c r="AU229" s="81">
        <v>5</v>
      </c>
      <c r="AV229" s="81">
        <v>2</v>
      </c>
      <c r="AW229" s="81">
        <v>21</v>
      </c>
      <c r="AX229" s="81">
        <v>2</v>
      </c>
      <c r="AY229" s="81">
        <v>2</v>
      </c>
      <c r="AZ229" s="81">
        <v>0</v>
      </c>
      <c r="BA229" s="81">
        <v>2</v>
      </c>
      <c r="BB229" s="81">
        <v>98</v>
      </c>
      <c r="BC229" s="83">
        <v>97</v>
      </c>
      <c r="BD229" s="81">
        <v>138</v>
      </c>
      <c r="BE229" s="81">
        <v>1</v>
      </c>
      <c r="BF229" s="81"/>
      <c r="BG229" s="81">
        <v>131</v>
      </c>
      <c r="BH229" s="81">
        <v>3</v>
      </c>
      <c r="BI229" s="81">
        <v>7</v>
      </c>
      <c r="BJ229" s="81">
        <v>52</v>
      </c>
      <c r="BK229" s="81"/>
      <c r="BL229" s="81">
        <v>1</v>
      </c>
      <c r="BM229" s="81">
        <v>17</v>
      </c>
      <c r="BN229" s="81">
        <v>350</v>
      </c>
      <c r="BO229" s="83">
        <v>350</v>
      </c>
      <c r="BP229" s="81">
        <v>100</v>
      </c>
      <c r="BQ229" s="81"/>
      <c r="BR229" s="81"/>
      <c r="BS229" s="81">
        <v>120</v>
      </c>
      <c r="BT229" s="81"/>
      <c r="BU229" s="81"/>
      <c r="BV229" s="81"/>
      <c r="BW229" s="81"/>
      <c r="BX229" s="81"/>
      <c r="BY229" s="81">
        <v>52</v>
      </c>
      <c r="BZ229" s="81">
        <v>6</v>
      </c>
      <c r="CA229" s="81">
        <v>278</v>
      </c>
      <c r="CB229" s="83">
        <v>278</v>
      </c>
      <c r="CC229" s="81">
        <v>61</v>
      </c>
      <c r="CD229" s="81">
        <v>110</v>
      </c>
      <c r="CE229" s="81">
        <v>171</v>
      </c>
      <c r="CF229" s="81">
        <v>171</v>
      </c>
    </row>
    <row r="230" spans="1:84">
      <c r="A230" s="82">
        <v>41974</v>
      </c>
      <c r="B230" s="81">
        <v>161</v>
      </c>
      <c r="C230" s="81">
        <v>2</v>
      </c>
      <c r="D230" s="81">
        <v>0</v>
      </c>
      <c r="E230" s="81"/>
      <c r="F230" s="81">
        <v>215</v>
      </c>
      <c r="G230" s="81">
        <v>7</v>
      </c>
      <c r="H230" s="81">
        <v>12</v>
      </c>
      <c r="I230" s="81"/>
      <c r="J230" s="81"/>
      <c r="K230" s="81">
        <v>0</v>
      </c>
      <c r="L230" s="81">
        <v>29</v>
      </c>
      <c r="M230" s="81">
        <v>425</v>
      </c>
      <c r="N230" s="83">
        <v>426</v>
      </c>
      <c r="O230" s="85">
        <v>192</v>
      </c>
      <c r="P230" s="85">
        <v>2</v>
      </c>
      <c r="Q230" s="85">
        <v>208</v>
      </c>
      <c r="R230" s="85">
        <v>35</v>
      </c>
      <c r="S230" s="85">
        <v>3</v>
      </c>
      <c r="T230" s="85"/>
      <c r="U230" s="85"/>
      <c r="V230" s="85"/>
      <c r="W230" s="85"/>
      <c r="X230" s="85">
        <v>2</v>
      </c>
      <c r="Y230" s="85">
        <v>442</v>
      </c>
      <c r="Z230" s="83">
        <v>442</v>
      </c>
      <c r="AA230" s="85">
        <v>32</v>
      </c>
      <c r="AB230" s="85">
        <v>0</v>
      </c>
      <c r="AC230" s="85">
        <v>0</v>
      </c>
      <c r="AD230" s="81"/>
      <c r="AE230" s="85">
        <v>93</v>
      </c>
      <c r="AF230" s="85">
        <v>3</v>
      </c>
      <c r="AG230" s="85">
        <v>6</v>
      </c>
      <c r="AH230" s="81"/>
      <c r="AI230" s="81"/>
      <c r="AJ230" s="81"/>
      <c r="AK230" s="81">
        <v>0</v>
      </c>
      <c r="AL230" s="81"/>
      <c r="AM230" s="81"/>
      <c r="AN230" s="81">
        <v>134</v>
      </c>
      <c r="AO230" s="83">
        <v>134</v>
      </c>
      <c r="AP230" s="81">
        <v>20</v>
      </c>
      <c r="AQ230" s="81"/>
      <c r="AR230" s="81"/>
      <c r="AS230" s="81">
        <v>28</v>
      </c>
      <c r="AT230" s="81"/>
      <c r="AU230" s="81"/>
      <c r="AV230" s="81"/>
      <c r="AW230" s="81">
        <v>22</v>
      </c>
      <c r="AX230" s="81"/>
      <c r="AY230" s="81"/>
      <c r="AZ230" s="81"/>
      <c r="BA230" s="81"/>
      <c r="BB230" s="81">
        <v>90</v>
      </c>
      <c r="BC230" s="83">
        <v>70</v>
      </c>
      <c r="BD230" s="81">
        <v>120</v>
      </c>
      <c r="BE230" s="81">
        <v>1</v>
      </c>
      <c r="BF230" s="81"/>
      <c r="BG230" s="81">
        <v>120</v>
      </c>
      <c r="BH230" s="81">
        <v>3</v>
      </c>
      <c r="BI230" s="81">
        <v>7</v>
      </c>
      <c r="BJ230" s="81">
        <v>51</v>
      </c>
      <c r="BK230" s="81"/>
      <c r="BL230" s="81">
        <v>0</v>
      </c>
      <c r="BM230" s="81">
        <v>17</v>
      </c>
      <c r="BN230" s="81">
        <v>319</v>
      </c>
      <c r="BO230" s="83">
        <v>319</v>
      </c>
      <c r="BP230" s="81">
        <v>85</v>
      </c>
      <c r="BQ230" s="81"/>
      <c r="BR230" s="81"/>
      <c r="BS230" s="81">
        <v>98</v>
      </c>
      <c r="BT230" s="81"/>
      <c r="BU230" s="81"/>
      <c r="BV230" s="81"/>
      <c r="BW230" s="81"/>
      <c r="BX230" s="81"/>
      <c r="BY230" s="81">
        <v>56</v>
      </c>
      <c r="BZ230" s="81"/>
      <c r="CA230" s="81">
        <v>244</v>
      </c>
      <c r="CB230" s="83">
        <v>239</v>
      </c>
      <c r="CC230" s="81">
        <v>36</v>
      </c>
      <c r="CD230" s="81">
        <v>85</v>
      </c>
      <c r="CE230" s="81">
        <v>121</v>
      </c>
      <c r="CF230" s="81">
        <v>121</v>
      </c>
    </row>
    <row r="231" spans="1:84">
      <c r="A231" s="82">
        <v>42005</v>
      </c>
      <c r="B231" s="81">
        <v>182</v>
      </c>
      <c r="C231" s="81">
        <v>2</v>
      </c>
      <c r="D231" s="81">
        <v>0</v>
      </c>
      <c r="E231" s="81"/>
      <c r="F231" s="81">
        <v>207</v>
      </c>
      <c r="G231" s="81">
        <v>7</v>
      </c>
      <c r="H231" s="81">
        <v>13</v>
      </c>
      <c r="I231" s="81"/>
      <c r="J231" s="81"/>
      <c r="K231" s="81">
        <v>1</v>
      </c>
      <c r="L231" s="81">
        <v>26</v>
      </c>
      <c r="M231" s="81">
        <v>437</v>
      </c>
      <c r="N231" s="83">
        <v>438</v>
      </c>
      <c r="O231" s="85">
        <v>147</v>
      </c>
      <c r="P231" s="85">
        <v>2</v>
      </c>
      <c r="Q231" s="85">
        <v>178</v>
      </c>
      <c r="R231" s="85">
        <v>32</v>
      </c>
      <c r="S231" s="85">
        <v>3</v>
      </c>
      <c r="T231" s="85"/>
      <c r="U231" s="85"/>
      <c r="V231" s="85"/>
      <c r="W231" s="85"/>
      <c r="X231" s="85">
        <v>2</v>
      </c>
      <c r="Y231" s="85">
        <v>364</v>
      </c>
      <c r="Z231" s="83">
        <v>364</v>
      </c>
      <c r="AA231" s="85">
        <v>35</v>
      </c>
      <c r="AB231" s="85">
        <v>0</v>
      </c>
      <c r="AC231" s="81"/>
      <c r="AD231" s="81"/>
      <c r="AE231" s="85">
        <v>89</v>
      </c>
      <c r="AF231" s="85">
        <v>3</v>
      </c>
      <c r="AG231" s="85">
        <v>6</v>
      </c>
      <c r="AH231" s="81"/>
      <c r="AI231" s="81"/>
      <c r="AJ231" s="81"/>
      <c r="AK231" s="81">
        <v>0</v>
      </c>
      <c r="AL231" s="81"/>
      <c r="AM231" s="81"/>
      <c r="AN231" s="81">
        <v>134</v>
      </c>
      <c r="AO231" s="83">
        <v>133</v>
      </c>
      <c r="AP231" s="81">
        <v>21</v>
      </c>
      <c r="AQ231" s="81">
        <v>1</v>
      </c>
      <c r="AR231" s="81">
        <v>3</v>
      </c>
      <c r="AS231" s="81">
        <v>34</v>
      </c>
      <c r="AT231" s="81">
        <v>6</v>
      </c>
      <c r="AU231" s="81">
        <v>4</v>
      </c>
      <c r="AV231" s="81">
        <v>2</v>
      </c>
      <c r="AW231" s="81">
        <v>24</v>
      </c>
      <c r="AX231" s="81">
        <v>2</v>
      </c>
      <c r="AY231" s="81">
        <v>2</v>
      </c>
      <c r="AZ231" s="81">
        <v>1</v>
      </c>
      <c r="BA231" s="81">
        <v>1</v>
      </c>
      <c r="BB231" s="81">
        <v>101</v>
      </c>
      <c r="BC231" s="83">
        <v>101</v>
      </c>
      <c r="BD231" s="81">
        <v>136</v>
      </c>
      <c r="BE231" s="81">
        <v>1</v>
      </c>
      <c r="BF231" s="81"/>
      <c r="BG231" s="81">
        <v>114</v>
      </c>
      <c r="BH231" s="81">
        <v>3</v>
      </c>
      <c r="BI231" s="81">
        <v>7</v>
      </c>
      <c r="BJ231" s="81">
        <v>48</v>
      </c>
      <c r="BK231" s="81"/>
      <c r="BL231" s="81">
        <v>1</v>
      </c>
      <c r="BM231" s="81">
        <v>13</v>
      </c>
      <c r="BN231" s="81">
        <v>323</v>
      </c>
      <c r="BO231" s="83">
        <v>323</v>
      </c>
      <c r="BP231" s="81">
        <v>118</v>
      </c>
      <c r="BQ231" s="81"/>
      <c r="BR231" s="81"/>
      <c r="BS231" s="81">
        <v>120</v>
      </c>
      <c r="BT231" s="81"/>
      <c r="BU231" s="81"/>
      <c r="BV231" s="81"/>
      <c r="BW231" s="81"/>
      <c r="BX231" s="81"/>
      <c r="BY231" s="81">
        <v>54</v>
      </c>
      <c r="BZ231" s="81">
        <v>6</v>
      </c>
      <c r="CA231" s="81">
        <v>298</v>
      </c>
      <c r="CB231" s="83">
        <v>298</v>
      </c>
      <c r="CC231" s="81">
        <v>56</v>
      </c>
      <c r="CD231" s="81">
        <v>105</v>
      </c>
      <c r="CE231" s="81">
        <v>162</v>
      </c>
      <c r="CF231" s="81">
        <v>161</v>
      </c>
    </row>
    <row r="232" spans="1:84">
      <c r="A232" s="82">
        <v>42036</v>
      </c>
      <c r="B232" s="81">
        <v>152</v>
      </c>
      <c r="C232" s="81">
        <v>2</v>
      </c>
      <c r="D232" s="81">
        <v>0</v>
      </c>
      <c r="E232" s="81"/>
      <c r="F232" s="81">
        <v>174</v>
      </c>
      <c r="G232" s="81">
        <v>8</v>
      </c>
      <c r="H232" s="81">
        <v>13</v>
      </c>
      <c r="I232" s="81"/>
      <c r="J232" s="81"/>
      <c r="K232" s="81">
        <v>1</v>
      </c>
      <c r="L232" s="81">
        <v>26</v>
      </c>
      <c r="M232" s="81">
        <v>375</v>
      </c>
      <c r="N232" s="83">
        <v>376</v>
      </c>
      <c r="O232" s="85">
        <v>202</v>
      </c>
      <c r="P232" s="85">
        <v>2</v>
      </c>
      <c r="Q232" s="85">
        <v>186</v>
      </c>
      <c r="R232" s="85">
        <v>30</v>
      </c>
      <c r="S232" s="85">
        <v>3</v>
      </c>
      <c r="T232" s="85"/>
      <c r="U232" s="85"/>
      <c r="V232" s="85"/>
      <c r="W232" s="85"/>
      <c r="X232" s="85">
        <v>2</v>
      </c>
      <c r="Y232" s="85">
        <v>426</v>
      </c>
      <c r="Z232" s="83">
        <v>425</v>
      </c>
      <c r="AA232" s="85">
        <v>28</v>
      </c>
      <c r="AB232" s="85">
        <v>0</v>
      </c>
      <c r="AC232" s="85">
        <v>0</v>
      </c>
      <c r="AD232" s="81"/>
      <c r="AE232" s="85">
        <v>75</v>
      </c>
      <c r="AF232" s="85">
        <v>4</v>
      </c>
      <c r="AG232" s="85">
        <v>6</v>
      </c>
      <c r="AH232" s="81"/>
      <c r="AI232" s="81"/>
      <c r="AJ232" s="81"/>
      <c r="AK232" s="81">
        <v>0</v>
      </c>
      <c r="AL232" s="81"/>
      <c r="AM232" s="81"/>
      <c r="AN232" s="81">
        <v>114</v>
      </c>
      <c r="AO232" s="83">
        <v>113</v>
      </c>
      <c r="AP232" s="81">
        <v>18</v>
      </c>
      <c r="AQ232" s="81">
        <v>1</v>
      </c>
      <c r="AR232" s="81">
        <v>3</v>
      </c>
      <c r="AS232" s="81">
        <v>29</v>
      </c>
      <c r="AT232" s="81">
        <v>6</v>
      </c>
      <c r="AU232" s="81">
        <v>4</v>
      </c>
      <c r="AV232" s="81">
        <v>2</v>
      </c>
      <c r="AW232" s="81">
        <v>21</v>
      </c>
      <c r="AX232" s="81">
        <v>2</v>
      </c>
      <c r="AY232" s="81">
        <v>1</v>
      </c>
      <c r="AZ232" s="81">
        <v>1</v>
      </c>
      <c r="BA232" s="81">
        <v>1</v>
      </c>
      <c r="BB232" s="81">
        <v>90</v>
      </c>
      <c r="BC232" s="83">
        <v>89</v>
      </c>
      <c r="BD232" s="81">
        <v>115</v>
      </c>
      <c r="BE232" s="81">
        <v>1</v>
      </c>
      <c r="BF232" s="81"/>
      <c r="BG232" s="81">
        <v>97</v>
      </c>
      <c r="BH232" s="81">
        <v>3</v>
      </c>
      <c r="BI232" s="81">
        <v>7</v>
      </c>
      <c r="BJ232" s="81">
        <v>50</v>
      </c>
      <c r="BK232" s="81"/>
      <c r="BL232" s="81">
        <v>1</v>
      </c>
      <c r="BM232" s="81">
        <v>13</v>
      </c>
      <c r="BN232" s="81">
        <v>287</v>
      </c>
      <c r="BO232" s="83">
        <v>287</v>
      </c>
      <c r="BP232" s="81">
        <v>124</v>
      </c>
      <c r="BQ232" s="81"/>
      <c r="BR232" s="81"/>
      <c r="BS232" s="81">
        <v>105</v>
      </c>
      <c r="BT232" s="81"/>
      <c r="BU232" s="81"/>
      <c r="BV232" s="81"/>
      <c r="BW232" s="81"/>
      <c r="BX232" s="81"/>
      <c r="BY232" s="81">
        <v>54</v>
      </c>
      <c r="BZ232" s="81">
        <v>2</v>
      </c>
      <c r="CA232" s="81">
        <v>288</v>
      </c>
      <c r="CB232" s="83">
        <v>285</v>
      </c>
      <c r="CC232" s="81">
        <v>76</v>
      </c>
      <c r="CD232" s="81">
        <v>95</v>
      </c>
      <c r="CE232" s="81">
        <v>171</v>
      </c>
      <c r="CF232" s="81">
        <v>171</v>
      </c>
    </row>
    <row r="233" spans="1:84">
      <c r="A233" s="82">
        <v>42064</v>
      </c>
      <c r="B233" s="81">
        <v>199</v>
      </c>
      <c r="C233" s="81">
        <v>2</v>
      </c>
      <c r="D233" s="81">
        <v>0</v>
      </c>
      <c r="E233" s="81"/>
      <c r="F233" s="81">
        <v>214</v>
      </c>
      <c r="G233" s="81">
        <v>9</v>
      </c>
      <c r="H233" s="81">
        <v>16</v>
      </c>
      <c r="I233" s="81"/>
      <c r="J233" s="81"/>
      <c r="K233" s="81">
        <v>0</v>
      </c>
      <c r="L233" s="81">
        <v>29</v>
      </c>
      <c r="M233" s="81">
        <v>469</v>
      </c>
      <c r="N233" s="83">
        <v>469</v>
      </c>
      <c r="O233" s="85">
        <v>214</v>
      </c>
      <c r="P233" s="85">
        <v>0</v>
      </c>
      <c r="Q233" s="85">
        <v>162</v>
      </c>
      <c r="R233" s="85">
        <v>35</v>
      </c>
      <c r="S233" s="85">
        <v>3</v>
      </c>
      <c r="T233" s="85"/>
      <c r="U233" s="85"/>
      <c r="V233" s="85"/>
      <c r="W233" s="85"/>
      <c r="X233" s="85">
        <v>2</v>
      </c>
      <c r="Y233" s="85">
        <v>417</v>
      </c>
      <c r="Z233" s="83">
        <v>416</v>
      </c>
      <c r="AA233" s="85">
        <v>38</v>
      </c>
      <c r="AB233" s="85">
        <v>0</v>
      </c>
      <c r="AC233" s="85">
        <v>0</v>
      </c>
      <c r="AD233" s="81"/>
      <c r="AE233" s="85">
        <v>93</v>
      </c>
      <c r="AF233" s="85">
        <v>4</v>
      </c>
      <c r="AG233" s="85">
        <v>8</v>
      </c>
      <c r="AH233" s="81"/>
      <c r="AI233" s="81"/>
      <c r="AJ233" s="81"/>
      <c r="AK233" s="81">
        <v>0</v>
      </c>
      <c r="AL233" s="81"/>
      <c r="AM233" s="81"/>
      <c r="AN233" s="81">
        <v>143</v>
      </c>
      <c r="AO233" s="83">
        <v>143</v>
      </c>
      <c r="AP233" s="81">
        <v>14</v>
      </c>
      <c r="AQ233" s="81"/>
      <c r="AR233" s="81">
        <v>2</v>
      </c>
      <c r="AS233" s="81">
        <v>23</v>
      </c>
      <c r="AT233" s="81">
        <v>6</v>
      </c>
      <c r="AU233" s="81">
        <v>4</v>
      </c>
      <c r="AV233" s="81">
        <v>2</v>
      </c>
      <c r="AW233" s="81">
        <v>20</v>
      </c>
      <c r="AX233" s="81"/>
      <c r="AY233" s="81"/>
      <c r="AZ233" s="81"/>
      <c r="BA233" s="81"/>
      <c r="BB233" s="81">
        <v>76</v>
      </c>
      <c r="BC233" s="83">
        <v>71</v>
      </c>
      <c r="BD233" s="81">
        <v>151</v>
      </c>
      <c r="BE233" s="81">
        <v>1</v>
      </c>
      <c r="BF233" s="81"/>
      <c r="BG233" s="81">
        <v>119</v>
      </c>
      <c r="BH233" s="81">
        <v>4</v>
      </c>
      <c r="BI233" s="81">
        <v>9</v>
      </c>
      <c r="BJ233" s="81">
        <v>63</v>
      </c>
      <c r="BK233" s="81"/>
      <c r="BL233" s="81">
        <v>0</v>
      </c>
      <c r="BM233" s="81">
        <v>16</v>
      </c>
      <c r="BN233" s="81">
        <v>363</v>
      </c>
      <c r="BO233" s="83">
        <v>363</v>
      </c>
      <c r="BP233" s="81">
        <v>108</v>
      </c>
      <c r="BQ233" s="81"/>
      <c r="BR233" s="81"/>
      <c r="BS233" s="81">
        <v>76</v>
      </c>
      <c r="BT233" s="81"/>
      <c r="BU233" s="81"/>
      <c r="BV233" s="81"/>
      <c r="BW233" s="81"/>
      <c r="BX233" s="81"/>
      <c r="BY233" s="81">
        <v>50</v>
      </c>
      <c r="BZ233" s="81"/>
      <c r="CA233" s="81">
        <v>241</v>
      </c>
      <c r="CB233" s="83">
        <v>234</v>
      </c>
      <c r="CC233" s="81">
        <v>50</v>
      </c>
      <c r="CD233" s="81">
        <v>51</v>
      </c>
      <c r="CE233" s="81">
        <v>101</v>
      </c>
      <c r="CF233" s="81">
        <v>101</v>
      </c>
    </row>
    <row r="234" spans="1:84">
      <c r="A234" s="82">
        <v>42095</v>
      </c>
      <c r="B234" s="81">
        <v>190</v>
      </c>
      <c r="C234" s="81">
        <v>1</v>
      </c>
      <c r="D234" s="81">
        <v>0</v>
      </c>
      <c r="E234" s="81"/>
      <c r="F234" s="81">
        <v>208</v>
      </c>
      <c r="G234" s="81">
        <v>10</v>
      </c>
      <c r="H234" s="81">
        <v>16</v>
      </c>
      <c r="I234" s="81"/>
      <c r="J234" s="81"/>
      <c r="K234" s="81">
        <v>0</v>
      </c>
      <c r="L234" s="81">
        <v>28</v>
      </c>
      <c r="M234" s="81">
        <v>453</v>
      </c>
      <c r="N234" s="83">
        <v>453</v>
      </c>
      <c r="O234" s="85">
        <v>203</v>
      </c>
      <c r="P234" s="85">
        <v>1</v>
      </c>
      <c r="Q234" s="85">
        <v>210</v>
      </c>
      <c r="R234" s="85">
        <v>34</v>
      </c>
      <c r="S234" s="85">
        <v>2</v>
      </c>
      <c r="T234" s="85"/>
      <c r="U234" s="85"/>
      <c r="V234" s="85"/>
      <c r="W234" s="85"/>
      <c r="X234" s="85">
        <v>3</v>
      </c>
      <c r="Y234" s="85">
        <v>454</v>
      </c>
      <c r="Z234" s="83">
        <v>453</v>
      </c>
      <c r="AA234" s="85">
        <v>33</v>
      </c>
      <c r="AB234" s="85">
        <v>0</v>
      </c>
      <c r="AC234" s="81"/>
      <c r="AD234" s="81"/>
      <c r="AE234" s="85">
        <v>81</v>
      </c>
      <c r="AF234" s="85">
        <v>5</v>
      </c>
      <c r="AG234" s="85">
        <v>8</v>
      </c>
      <c r="AH234" s="81"/>
      <c r="AI234" s="81"/>
      <c r="AJ234" s="81"/>
      <c r="AK234" s="81">
        <v>0</v>
      </c>
      <c r="AL234" s="81"/>
      <c r="AM234" s="81"/>
      <c r="AN234" s="81">
        <v>127</v>
      </c>
      <c r="AO234" s="83">
        <v>127</v>
      </c>
      <c r="AP234" s="81">
        <v>15</v>
      </c>
      <c r="AQ234" s="81"/>
      <c r="AR234" s="81">
        <v>3</v>
      </c>
      <c r="AS234" s="81">
        <v>22</v>
      </c>
      <c r="AT234" s="81">
        <v>6</v>
      </c>
      <c r="AU234" s="81">
        <v>4</v>
      </c>
      <c r="AV234" s="81">
        <v>2</v>
      </c>
      <c r="AW234" s="81">
        <v>20</v>
      </c>
      <c r="AX234" s="81"/>
      <c r="AY234" s="81"/>
      <c r="AZ234" s="81"/>
      <c r="BA234" s="81"/>
      <c r="BB234" s="81">
        <v>78</v>
      </c>
      <c r="BC234" s="83">
        <v>72</v>
      </c>
      <c r="BD234" s="81">
        <v>143</v>
      </c>
      <c r="BE234" s="81">
        <v>1</v>
      </c>
      <c r="BF234" s="81"/>
      <c r="BG234" s="81">
        <v>116</v>
      </c>
      <c r="BH234" s="81">
        <v>4</v>
      </c>
      <c r="BI234" s="81">
        <v>9</v>
      </c>
      <c r="BJ234" s="81">
        <v>60</v>
      </c>
      <c r="BK234" s="81"/>
      <c r="BL234" s="81">
        <v>0</v>
      </c>
      <c r="BM234" s="81">
        <v>18</v>
      </c>
      <c r="BN234" s="81">
        <v>351</v>
      </c>
      <c r="BO234" s="83">
        <v>351</v>
      </c>
      <c r="BP234" s="81">
        <v>118</v>
      </c>
      <c r="BQ234" s="81"/>
      <c r="BR234" s="81"/>
      <c r="BS234" s="81">
        <v>79</v>
      </c>
      <c r="BT234" s="81"/>
      <c r="BU234" s="81"/>
      <c r="BV234" s="81"/>
      <c r="BW234" s="81"/>
      <c r="BX234" s="81"/>
      <c r="BY234" s="81">
        <v>46</v>
      </c>
      <c r="BZ234" s="81">
        <v>7</v>
      </c>
      <c r="CA234" s="81">
        <v>250</v>
      </c>
      <c r="CB234" s="83">
        <v>250</v>
      </c>
      <c r="CC234" s="81">
        <v>52</v>
      </c>
      <c r="CD234" s="81">
        <v>63</v>
      </c>
      <c r="CE234" s="81">
        <v>116</v>
      </c>
      <c r="CF234" s="81">
        <v>115</v>
      </c>
    </row>
    <row r="235" spans="1:84">
      <c r="A235" s="82">
        <v>42125</v>
      </c>
      <c r="B235" s="81">
        <v>190</v>
      </c>
      <c r="C235" s="81">
        <v>1</v>
      </c>
      <c r="D235" s="81">
        <v>0</v>
      </c>
      <c r="E235" s="81"/>
      <c r="F235" s="81">
        <v>203</v>
      </c>
      <c r="G235" s="81">
        <v>6</v>
      </c>
      <c r="H235" s="81">
        <v>15</v>
      </c>
      <c r="I235" s="81"/>
      <c r="J235" s="81"/>
      <c r="K235" s="81">
        <v>0</v>
      </c>
      <c r="L235" s="81">
        <v>27</v>
      </c>
      <c r="M235" s="81">
        <v>443</v>
      </c>
      <c r="N235" s="83">
        <v>442</v>
      </c>
      <c r="O235" s="85">
        <v>175</v>
      </c>
      <c r="P235" s="85">
        <v>1</v>
      </c>
      <c r="Q235" s="85">
        <v>175</v>
      </c>
      <c r="R235" s="85">
        <v>39</v>
      </c>
      <c r="S235" s="85">
        <v>3</v>
      </c>
      <c r="T235" s="85"/>
      <c r="U235" s="85"/>
      <c r="V235" s="85"/>
      <c r="W235" s="85"/>
      <c r="X235" s="85">
        <v>1</v>
      </c>
      <c r="Y235" s="85">
        <v>396</v>
      </c>
      <c r="Z235" s="83">
        <v>394</v>
      </c>
      <c r="AA235" s="85">
        <v>36</v>
      </c>
      <c r="AB235" s="85">
        <v>0</v>
      </c>
      <c r="AC235" s="81"/>
      <c r="AD235" s="81"/>
      <c r="AE235" s="85">
        <v>88</v>
      </c>
      <c r="AF235" s="85">
        <v>3</v>
      </c>
      <c r="AG235" s="85">
        <v>7</v>
      </c>
      <c r="AH235" s="81"/>
      <c r="AI235" s="81"/>
      <c r="AJ235" s="81"/>
      <c r="AK235" s="81">
        <v>0</v>
      </c>
      <c r="AL235" s="81"/>
      <c r="AM235" s="81"/>
      <c r="AN235" s="81">
        <v>134</v>
      </c>
      <c r="AO235" s="83">
        <v>134</v>
      </c>
      <c r="AP235" s="81">
        <v>19</v>
      </c>
      <c r="AQ235" s="81"/>
      <c r="AR235" s="81">
        <v>4</v>
      </c>
      <c r="AS235" s="81">
        <v>30</v>
      </c>
      <c r="AT235" s="81">
        <v>6</v>
      </c>
      <c r="AU235" s="81">
        <v>5</v>
      </c>
      <c r="AV235" s="81">
        <v>2</v>
      </c>
      <c r="AW235" s="81">
        <v>23</v>
      </c>
      <c r="AX235" s="81">
        <v>2</v>
      </c>
      <c r="AY235" s="81"/>
      <c r="AZ235" s="81"/>
      <c r="BA235" s="81">
        <v>2</v>
      </c>
      <c r="BB235" s="81">
        <v>95</v>
      </c>
      <c r="BC235" s="83">
        <v>93</v>
      </c>
      <c r="BD235" s="81">
        <v>145</v>
      </c>
      <c r="BE235" s="81">
        <v>1</v>
      </c>
      <c r="BF235" s="81"/>
      <c r="BG235" s="81">
        <v>114</v>
      </c>
      <c r="BH235" s="81">
        <v>3</v>
      </c>
      <c r="BI235" s="81">
        <v>9</v>
      </c>
      <c r="BJ235" s="81">
        <v>59</v>
      </c>
      <c r="BK235" s="81"/>
      <c r="BL235" s="81">
        <v>0</v>
      </c>
      <c r="BM235" s="81">
        <v>17</v>
      </c>
      <c r="BN235" s="81">
        <v>347</v>
      </c>
      <c r="BO235" s="83">
        <v>348</v>
      </c>
      <c r="BP235" s="81">
        <v>118</v>
      </c>
      <c r="BQ235" s="81"/>
      <c r="BR235" s="81"/>
      <c r="BS235" s="81">
        <v>74</v>
      </c>
      <c r="BT235" s="81"/>
      <c r="BU235" s="81"/>
      <c r="BV235" s="81"/>
      <c r="BW235" s="81"/>
      <c r="BX235" s="81"/>
      <c r="BY235" s="81">
        <v>46</v>
      </c>
      <c r="BZ235" s="81">
        <v>7</v>
      </c>
      <c r="CA235" s="81">
        <v>245</v>
      </c>
      <c r="CB235" s="83">
        <v>245</v>
      </c>
      <c r="CC235" s="81">
        <v>65</v>
      </c>
      <c r="CD235" s="81">
        <v>66</v>
      </c>
      <c r="CE235" s="81">
        <v>131</v>
      </c>
      <c r="CF235" s="81">
        <v>131</v>
      </c>
    </row>
    <row r="236" spans="1:84">
      <c r="A236" s="82">
        <v>42156</v>
      </c>
      <c r="B236" s="81">
        <v>193</v>
      </c>
      <c r="C236" s="81">
        <v>2</v>
      </c>
      <c r="D236" s="81">
        <v>0</v>
      </c>
      <c r="E236" s="81"/>
      <c r="F236" s="81">
        <v>216</v>
      </c>
      <c r="G236" s="81">
        <v>9</v>
      </c>
      <c r="H236" s="81">
        <v>17</v>
      </c>
      <c r="I236" s="81"/>
      <c r="J236" s="81"/>
      <c r="K236" s="81">
        <v>1</v>
      </c>
      <c r="L236" s="81">
        <v>29</v>
      </c>
      <c r="M236" s="81">
        <v>467</v>
      </c>
      <c r="N236" s="83">
        <v>467</v>
      </c>
      <c r="O236" s="85">
        <v>188</v>
      </c>
      <c r="P236" s="85">
        <v>2</v>
      </c>
      <c r="Q236" s="85">
        <v>177</v>
      </c>
      <c r="R236" s="85">
        <v>47</v>
      </c>
      <c r="S236" s="85">
        <v>3</v>
      </c>
      <c r="T236" s="85"/>
      <c r="U236" s="85"/>
      <c r="V236" s="85"/>
      <c r="W236" s="85"/>
      <c r="X236" s="85">
        <v>1</v>
      </c>
      <c r="Y236" s="85">
        <v>418</v>
      </c>
      <c r="Z236" s="83">
        <v>418</v>
      </c>
      <c r="AA236" s="85">
        <v>36</v>
      </c>
      <c r="AB236" s="85">
        <v>0</v>
      </c>
      <c r="AC236" s="81"/>
      <c r="AD236" s="81"/>
      <c r="AE236" s="85">
        <v>94</v>
      </c>
      <c r="AF236" s="85">
        <v>4</v>
      </c>
      <c r="AG236" s="85">
        <v>8</v>
      </c>
      <c r="AH236" s="81"/>
      <c r="AI236" s="81"/>
      <c r="AJ236" s="81"/>
      <c r="AK236" s="81">
        <v>0</v>
      </c>
      <c r="AL236" s="81"/>
      <c r="AM236" s="81"/>
      <c r="AN236" s="81">
        <v>143</v>
      </c>
      <c r="AO236" s="83">
        <v>142</v>
      </c>
      <c r="AP236" s="81">
        <v>21</v>
      </c>
      <c r="AQ236" s="81"/>
      <c r="AR236" s="81">
        <v>3</v>
      </c>
      <c r="AS236" s="81">
        <v>33</v>
      </c>
      <c r="AT236" s="81">
        <v>6</v>
      </c>
      <c r="AU236" s="81">
        <v>6</v>
      </c>
      <c r="AV236" s="81">
        <v>2</v>
      </c>
      <c r="AW236" s="81">
        <v>21</v>
      </c>
      <c r="AX236" s="81">
        <v>3</v>
      </c>
      <c r="AY236" s="81"/>
      <c r="AZ236" s="81">
        <v>1</v>
      </c>
      <c r="BA236" s="81">
        <v>3</v>
      </c>
      <c r="BB236" s="81">
        <v>99</v>
      </c>
      <c r="BC236" s="83">
        <v>99</v>
      </c>
      <c r="BD236" s="81">
        <v>147</v>
      </c>
      <c r="BE236" s="81">
        <v>1</v>
      </c>
      <c r="BF236" s="81"/>
      <c r="BG236" s="81">
        <v>121</v>
      </c>
      <c r="BH236" s="81">
        <v>4</v>
      </c>
      <c r="BI236" s="81">
        <v>10</v>
      </c>
      <c r="BJ236" s="81">
        <v>67</v>
      </c>
      <c r="BK236" s="81"/>
      <c r="BL236" s="81">
        <v>1</v>
      </c>
      <c r="BM236" s="81">
        <v>18</v>
      </c>
      <c r="BN236" s="81">
        <v>367</v>
      </c>
      <c r="BO236" s="83">
        <v>369</v>
      </c>
      <c r="BP236" s="81">
        <v>122</v>
      </c>
      <c r="BQ236" s="81"/>
      <c r="BR236" s="81"/>
      <c r="BS236" s="81">
        <v>63</v>
      </c>
      <c r="BT236" s="81"/>
      <c r="BU236" s="81"/>
      <c r="BV236" s="81"/>
      <c r="BW236" s="81"/>
      <c r="BX236" s="81"/>
      <c r="BY236" s="81">
        <v>45</v>
      </c>
      <c r="BZ236" s="81">
        <v>8</v>
      </c>
      <c r="CA236" s="81">
        <v>238</v>
      </c>
      <c r="CB236" s="83">
        <v>238</v>
      </c>
      <c r="CC236" s="81">
        <v>56</v>
      </c>
      <c r="CD236" s="81">
        <v>47</v>
      </c>
      <c r="CE236" s="81">
        <v>103</v>
      </c>
      <c r="CF236" s="81">
        <v>103</v>
      </c>
    </row>
    <row r="237" spans="1:84">
      <c r="A237" s="82">
        <v>42186</v>
      </c>
      <c r="B237" s="81">
        <v>188</v>
      </c>
      <c r="C237" s="81">
        <v>2</v>
      </c>
      <c r="D237" s="81">
        <v>0</v>
      </c>
      <c r="E237" s="81"/>
      <c r="F237" s="81">
        <v>196</v>
      </c>
      <c r="G237" s="81">
        <v>8</v>
      </c>
      <c r="H237" s="81">
        <v>16</v>
      </c>
      <c r="I237" s="81"/>
      <c r="J237" s="81"/>
      <c r="K237" s="81">
        <v>0</v>
      </c>
      <c r="L237" s="81">
        <v>28</v>
      </c>
      <c r="M237" s="81">
        <v>439</v>
      </c>
      <c r="N237" s="83">
        <v>438</v>
      </c>
      <c r="O237" s="85">
        <v>200</v>
      </c>
      <c r="P237" s="85">
        <v>2</v>
      </c>
      <c r="Q237" s="85">
        <v>146</v>
      </c>
      <c r="R237" s="85">
        <v>49</v>
      </c>
      <c r="S237" s="85">
        <v>3</v>
      </c>
      <c r="T237" s="85"/>
      <c r="U237" s="85"/>
      <c r="V237" s="85"/>
      <c r="W237" s="85"/>
      <c r="X237" s="85">
        <v>1</v>
      </c>
      <c r="Y237" s="85">
        <v>400</v>
      </c>
      <c r="Z237" s="83">
        <v>401</v>
      </c>
      <c r="AA237" s="85">
        <v>36</v>
      </c>
      <c r="AB237" s="85">
        <v>0</v>
      </c>
      <c r="AC237" s="81"/>
      <c r="AD237" s="81"/>
      <c r="AE237" s="85">
        <v>86</v>
      </c>
      <c r="AF237" s="85">
        <v>4</v>
      </c>
      <c r="AG237" s="85">
        <v>8</v>
      </c>
      <c r="AH237" s="81"/>
      <c r="AI237" s="81"/>
      <c r="AJ237" s="81"/>
      <c r="AK237" s="81">
        <v>0</v>
      </c>
      <c r="AL237" s="81"/>
      <c r="AM237" s="81"/>
      <c r="AN237" s="81">
        <v>134</v>
      </c>
      <c r="AO237" s="83">
        <v>134</v>
      </c>
      <c r="AP237" s="81">
        <v>18</v>
      </c>
      <c r="AQ237" s="81">
        <v>1</v>
      </c>
      <c r="AR237" s="81">
        <v>4</v>
      </c>
      <c r="AS237" s="81">
        <v>29</v>
      </c>
      <c r="AT237" s="81">
        <v>6</v>
      </c>
      <c r="AU237" s="81">
        <v>6</v>
      </c>
      <c r="AV237" s="81">
        <v>3</v>
      </c>
      <c r="AW237" s="81">
        <v>26</v>
      </c>
      <c r="AX237" s="81">
        <v>3</v>
      </c>
      <c r="AY237" s="81">
        <v>2</v>
      </c>
      <c r="AZ237" s="81">
        <v>1</v>
      </c>
      <c r="BA237" s="81">
        <v>3</v>
      </c>
      <c r="BB237" s="81">
        <v>101</v>
      </c>
      <c r="BC237" s="83">
        <v>102</v>
      </c>
      <c r="BD237" s="81">
        <v>142</v>
      </c>
      <c r="BE237" s="81">
        <v>1</v>
      </c>
      <c r="BF237" s="81"/>
      <c r="BG237" s="81">
        <v>108</v>
      </c>
      <c r="BH237" s="81">
        <v>4</v>
      </c>
      <c r="BI237" s="81">
        <v>9</v>
      </c>
      <c r="BJ237" s="81">
        <v>63</v>
      </c>
      <c r="BK237" s="81"/>
      <c r="BL237" s="81">
        <v>0</v>
      </c>
      <c r="BM237" s="81">
        <v>18</v>
      </c>
      <c r="BN237" s="81">
        <v>345</v>
      </c>
      <c r="BO237" s="83">
        <v>345</v>
      </c>
      <c r="BP237" s="81">
        <v>135</v>
      </c>
      <c r="BQ237" s="81"/>
      <c r="BR237" s="81"/>
      <c r="BS237" s="81">
        <v>65</v>
      </c>
      <c r="BT237" s="81"/>
      <c r="BU237" s="81"/>
      <c r="BV237" s="81"/>
      <c r="BW237" s="81"/>
      <c r="BX237" s="81"/>
      <c r="BY237" s="81">
        <v>45</v>
      </c>
      <c r="BZ237" s="81">
        <v>8</v>
      </c>
      <c r="CA237" s="81">
        <v>253</v>
      </c>
      <c r="CB237" s="83">
        <v>253</v>
      </c>
      <c r="CC237" s="81">
        <v>75</v>
      </c>
      <c r="CD237" s="81">
        <v>52</v>
      </c>
      <c r="CE237" s="81">
        <v>127</v>
      </c>
      <c r="CF237" s="81">
        <v>127</v>
      </c>
    </row>
    <row r="238" spans="1:84">
      <c r="A238" s="82">
        <v>42217</v>
      </c>
      <c r="B238" s="81">
        <v>154</v>
      </c>
      <c r="C238" s="81">
        <v>2</v>
      </c>
      <c r="D238" s="81">
        <v>0</v>
      </c>
      <c r="E238" s="81"/>
      <c r="F238" s="81">
        <v>159</v>
      </c>
      <c r="G238" s="81">
        <v>7</v>
      </c>
      <c r="H238" s="81">
        <v>15</v>
      </c>
      <c r="I238" s="81"/>
      <c r="J238" s="81"/>
      <c r="K238" s="81">
        <v>0</v>
      </c>
      <c r="L238" s="81">
        <v>25</v>
      </c>
      <c r="M238" s="81">
        <v>362</v>
      </c>
      <c r="N238" s="83">
        <v>362</v>
      </c>
      <c r="O238" s="85">
        <v>229</v>
      </c>
      <c r="P238" s="85">
        <v>2</v>
      </c>
      <c r="Q238" s="85">
        <v>232</v>
      </c>
      <c r="R238" s="85">
        <v>51</v>
      </c>
      <c r="S238" s="85">
        <v>3</v>
      </c>
      <c r="T238" s="85"/>
      <c r="U238" s="85"/>
      <c r="V238" s="85"/>
      <c r="W238" s="85"/>
      <c r="X238" s="85">
        <v>1</v>
      </c>
      <c r="Y238" s="85">
        <v>518</v>
      </c>
      <c r="Z238" s="83">
        <v>518</v>
      </c>
      <c r="AA238" s="85">
        <v>29</v>
      </c>
      <c r="AB238" s="85">
        <v>0</v>
      </c>
      <c r="AC238" s="81"/>
      <c r="AD238" s="81"/>
      <c r="AE238" s="85">
        <v>70</v>
      </c>
      <c r="AF238" s="85">
        <v>3</v>
      </c>
      <c r="AG238" s="85">
        <v>7</v>
      </c>
      <c r="AH238" s="81"/>
      <c r="AI238" s="81"/>
      <c r="AJ238" s="81"/>
      <c r="AK238" s="81">
        <v>0</v>
      </c>
      <c r="AL238" s="81"/>
      <c r="AM238" s="81"/>
      <c r="AN238" s="81">
        <v>109</v>
      </c>
      <c r="AO238" s="83">
        <v>109</v>
      </c>
      <c r="AP238" s="81">
        <v>16</v>
      </c>
      <c r="AQ238" s="81">
        <v>1</v>
      </c>
      <c r="AR238" s="81">
        <v>3</v>
      </c>
      <c r="AS238" s="81">
        <v>26</v>
      </c>
      <c r="AT238" s="81">
        <v>6</v>
      </c>
      <c r="AU238" s="81">
        <v>5</v>
      </c>
      <c r="AV238" s="81">
        <v>2</v>
      </c>
      <c r="AW238" s="81">
        <v>28</v>
      </c>
      <c r="AX238" s="81">
        <v>3</v>
      </c>
      <c r="AY238" s="81">
        <v>1</v>
      </c>
      <c r="AZ238" s="81">
        <v>1</v>
      </c>
      <c r="BA238" s="81">
        <v>3</v>
      </c>
      <c r="BB238" s="81">
        <v>95</v>
      </c>
      <c r="BC238" s="83">
        <v>95</v>
      </c>
      <c r="BD238" s="81">
        <v>115</v>
      </c>
      <c r="BE238" s="81">
        <v>1</v>
      </c>
      <c r="BF238" s="81"/>
      <c r="BG238" s="81">
        <v>88</v>
      </c>
      <c r="BH238" s="81">
        <v>3</v>
      </c>
      <c r="BI238" s="81">
        <v>8</v>
      </c>
      <c r="BJ238" s="81">
        <v>57</v>
      </c>
      <c r="BK238" s="81"/>
      <c r="BL238" s="81">
        <v>0</v>
      </c>
      <c r="BM238" s="81">
        <v>17</v>
      </c>
      <c r="BN238" s="81">
        <v>290</v>
      </c>
      <c r="BO238" s="83">
        <v>289</v>
      </c>
      <c r="BP238" s="81">
        <v>127</v>
      </c>
      <c r="BQ238" s="81"/>
      <c r="BR238" s="81"/>
      <c r="BS238" s="81">
        <v>53</v>
      </c>
      <c r="BT238" s="81"/>
      <c r="BU238" s="81"/>
      <c r="BV238" s="81"/>
      <c r="BW238" s="81"/>
      <c r="BX238" s="81"/>
      <c r="BY238" s="81">
        <v>46</v>
      </c>
      <c r="BZ238" s="81">
        <v>7</v>
      </c>
      <c r="CA238" s="81">
        <v>230</v>
      </c>
      <c r="CB238" s="83">
        <v>233</v>
      </c>
      <c r="CC238" s="81">
        <v>67</v>
      </c>
      <c r="CD238" s="81">
        <v>40</v>
      </c>
      <c r="CE238" s="81">
        <v>107</v>
      </c>
      <c r="CF238" s="81">
        <v>107</v>
      </c>
    </row>
    <row r="239" spans="1:84">
      <c r="A239" s="82">
        <v>42248</v>
      </c>
      <c r="B239" s="81">
        <v>183</v>
      </c>
      <c r="C239" s="81">
        <v>2</v>
      </c>
      <c r="D239" s="81">
        <v>0</v>
      </c>
      <c r="E239" s="81"/>
      <c r="F239" s="81">
        <v>242</v>
      </c>
      <c r="G239" s="81">
        <v>7</v>
      </c>
      <c r="H239" s="81">
        <v>15</v>
      </c>
      <c r="I239" s="81"/>
      <c r="J239" s="81"/>
      <c r="K239" s="81">
        <v>0</v>
      </c>
      <c r="L239" s="81">
        <v>27</v>
      </c>
      <c r="M239" s="81">
        <v>477</v>
      </c>
      <c r="N239" s="83">
        <v>476</v>
      </c>
      <c r="O239" s="85">
        <v>206</v>
      </c>
      <c r="P239" s="85">
        <v>2</v>
      </c>
      <c r="Q239" s="85">
        <v>200</v>
      </c>
      <c r="R239" s="85">
        <v>54</v>
      </c>
      <c r="S239" s="85">
        <v>2</v>
      </c>
      <c r="T239" s="85"/>
      <c r="U239" s="85"/>
      <c r="V239" s="85"/>
      <c r="W239" s="85"/>
      <c r="X239" s="85">
        <v>2</v>
      </c>
      <c r="Y239" s="85">
        <v>465</v>
      </c>
      <c r="Z239" s="83">
        <v>466</v>
      </c>
      <c r="AA239" s="85">
        <v>36</v>
      </c>
      <c r="AB239" s="85">
        <v>0</v>
      </c>
      <c r="AC239" s="81"/>
      <c r="AD239" s="81"/>
      <c r="AE239" s="85">
        <v>106</v>
      </c>
      <c r="AF239" s="85">
        <v>4</v>
      </c>
      <c r="AG239" s="85">
        <v>7</v>
      </c>
      <c r="AH239" s="81"/>
      <c r="AI239" s="81"/>
      <c r="AJ239" s="81"/>
      <c r="AK239" s="81">
        <v>0</v>
      </c>
      <c r="AL239" s="81"/>
      <c r="AM239" s="81"/>
      <c r="AN239" s="81">
        <v>152</v>
      </c>
      <c r="AO239" s="83">
        <v>153</v>
      </c>
      <c r="AP239" s="81">
        <v>14</v>
      </c>
      <c r="AQ239" s="81"/>
      <c r="AR239" s="81">
        <v>3</v>
      </c>
      <c r="AS239" s="81">
        <v>37</v>
      </c>
      <c r="AT239" s="81">
        <v>6</v>
      </c>
      <c r="AU239" s="81">
        <v>6</v>
      </c>
      <c r="AV239" s="81">
        <v>3</v>
      </c>
      <c r="AW239" s="81">
        <v>23</v>
      </c>
      <c r="AX239" s="81"/>
      <c r="AY239" s="81"/>
      <c r="AZ239" s="81"/>
      <c r="BA239" s="81">
        <v>4</v>
      </c>
      <c r="BB239" s="81">
        <v>100</v>
      </c>
      <c r="BC239" s="83">
        <v>96</v>
      </c>
      <c r="BD239" s="81">
        <v>141</v>
      </c>
      <c r="BE239" s="81">
        <v>1</v>
      </c>
      <c r="BF239" s="81"/>
      <c r="BG239" s="81">
        <v>134</v>
      </c>
      <c r="BH239" s="81">
        <v>3</v>
      </c>
      <c r="BI239" s="81">
        <v>8</v>
      </c>
      <c r="BJ239" s="81">
        <v>58</v>
      </c>
      <c r="BK239" s="81"/>
      <c r="BL239" s="81">
        <v>0</v>
      </c>
      <c r="BM239" s="81">
        <v>17</v>
      </c>
      <c r="BN239" s="81">
        <v>363</v>
      </c>
      <c r="BO239" s="83">
        <v>362</v>
      </c>
      <c r="BP239" s="81">
        <v>114</v>
      </c>
      <c r="BQ239" s="81"/>
      <c r="BR239" s="81"/>
      <c r="BS239" s="81">
        <v>54</v>
      </c>
      <c r="BT239" s="81"/>
      <c r="BU239" s="81"/>
      <c r="BV239" s="81"/>
      <c r="BW239" s="81"/>
      <c r="BX239" s="81"/>
      <c r="BY239" s="81">
        <v>45</v>
      </c>
      <c r="BZ239" s="81">
        <v>3</v>
      </c>
      <c r="CA239" s="81">
        <v>220</v>
      </c>
      <c r="CB239" s="83">
        <v>216</v>
      </c>
      <c r="CC239" s="81">
        <v>56</v>
      </c>
      <c r="CD239" s="81">
        <v>36</v>
      </c>
      <c r="CE239" s="81">
        <v>93</v>
      </c>
      <c r="CF239" s="81">
        <v>92</v>
      </c>
    </row>
    <row r="240" spans="1:84">
      <c r="A240" s="82">
        <v>42278</v>
      </c>
      <c r="B240" s="81">
        <v>208</v>
      </c>
      <c r="C240" s="81">
        <v>2</v>
      </c>
      <c r="D240" s="81">
        <v>0</v>
      </c>
      <c r="E240" s="81"/>
      <c r="F240" s="81">
        <v>204</v>
      </c>
      <c r="G240" s="81">
        <v>8</v>
      </c>
      <c r="H240" s="81">
        <v>13</v>
      </c>
      <c r="I240" s="81"/>
      <c r="J240" s="81"/>
      <c r="K240" s="81">
        <v>1</v>
      </c>
      <c r="L240" s="81">
        <v>29</v>
      </c>
      <c r="M240" s="81">
        <v>466</v>
      </c>
      <c r="N240" s="83">
        <v>465</v>
      </c>
      <c r="O240" s="85">
        <v>241</v>
      </c>
      <c r="P240" s="85">
        <v>2</v>
      </c>
      <c r="Q240" s="85">
        <v>212</v>
      </c>
      <c r="R240" s="85">
        <v>57</v>
      </c>
      <c r="S240" s="85">
        <v>3</v>
      </c>
      <c r="T240" s="85"/>
      <c r="U240" s="85"/>
      <c r="V240" s="85"/>
      <c r="W240" s="85"/>
      <c r="X240" s="85">
        <v>1</v>
      </c>
      <c r="Y240" s="85">
        <v>515</v>
      </c>
      <c r="Z240" s="83">
        <v>516</v>
      </c>
      <c r="AA240" s="85">
        <v>41</v>
      </c>
      <c r="AB240" s="85">
        <v>0</v>
      </c>
      <c r="AC240" s="81"/>
      <c r="AD240" s="81"/>
      <c r="AE240" s="85">
        <v>89</v>
      </c>
      <c r="AF240" s="85">
        <v>4</v>
      </c>
      <c r="AG240" s="85">
        <v>6</v>
      </c>
      <c r="AH240" s="81"/>
      <c r="AI240" s="81"/>
      <c r="AJ240" s="81"/>
      <c r="AK240" s="81">
        <v>0</v>
      </c>
      <c r="AL240" s="81"/>
      <c r="AM240" s="81"/>
      <c r="AN240" s="81">
        <v>140</v>
      </c>
      <c r="AO240" s="83">
        <v>140</v>
      </c>
      <c r="AP240" s="81">
        <v>19</v>
      </c>
      <c r="AQ240" s="81">
        <v>1</v>
      </c>
      <c r="AR240" s="81">
        <v>3</v>
      </c>
      <c r="AS240" s="81">
        <v>41</v>
      </c>
      <c r="AT240" s="81">
        <v>5</v>
      </c>
      <c r="AU240" s="81">
        <v>6</v>
      </c>
      <c r="AV240" s="81">
        <v>2</v>
      </c>
      <c r="AW240" s="81">
        <v>24</v>
      </c>
      <c r="AX240" s="81">
        <v>2</v>
      </c>
      <c r="AY240" s="81"/>
      <c r="AZ240" s="81"/>
      <c r="BA240" s="81">
        <v>3</v>
      </c>
      <c r="BB240" s="81">
        <v>109</v>
      </c>
      <c r="BC240" s="83">
        <v>106</v>
      </c>
      <c r="BD240" s="81">
        <v>157</v>
      </c>
      <c r="BE240" s="81">
        <v>1</v>
      </c>
      <c r="BF240" s="81"/>
      <c r="BG240" s="81">
        <v>114</v>
      </c>
      <c r="BH240" s="81">
        <v>4</v>
      </c>
      <c r="BI240" s="81">
        <v>7</v>
      </c>
      <c r="BJ240" s="81">
        <v>50</v>
      </c>
      <c r="BK240" s="81"/>
      <c r="BL240" s="81">
        <v>1</v>
      </c>
      <c r="BM240" s="81">
        <v>17</v>
      </c>
      <c r="BN240" s="81">
        <v>351</v>
      </c>
      <c r="BO240" s="83">
        <v>351</v>
      </c>
      <c r="BP240" s="81">
        <v>123</v>
      </c>
      <c r="BQ240" s="81"/>
      <c r="BR240" s="81"/>
      <c r="BS240" s="81">
        <v>49</v>
      </c>
      <c r="BT240" s="81"/>
      <c r="BU240" s="81"/>
      <c r="BV240" s="81"/>
      <c r="BW240" s="81"/>
      <c r="BX240" s="81"/>
      <c r="BY240" s="81">
        <v>48</v>
      </c>
      <c r="BZ240" s="81">
        <v>6</v>
      </c>
      <c r="CA240" s="81">
        <v>226</v>
      </c>
      <c r="CB240" s="83">
        <v>226</v>
      </c>
      <c r="CC240" s="81">
        <v>71</v>
      </c>
      <c r="CD240" s="81">
        <v>32</v>
      </c>
      <c r="CE240" s="81">
        <v>103</v>
      </c>
      <c r="CF240" s="81">
        <v>103</v>
      </c>
    </row>
    <row r="241" spans="1:84">
      <c r="A241" s="82">
        <v>42309</v>
      </c>
      <c r="B241" s="81">
        <v>219</v>
      </c>
      <c r="C241" s="81">
        <v>2</v>
      </c>
      <c r="D241" s="81">
        <v>0</v>
      </c>
      <c r="E241" s="81"/>
      <c r="F241" s="81">
        <v>221</v>
      </c>
      <c r="G241" s="81">
        <v>8</v>
      </c>
      <c r="H241" s="81">
        <v>13</v>
      </c>
      <c r="I241" s="81"/>
      <c r="J241" s="81"/>
      <c r="K241" s="81">
        <v>0</v>
      </c>
      <c r="L241" s="81">
        <v>25</v>
      </c>
      <c r="M241" s="81">
        <v>488</v>
      </c>
      <c r="N241" s="83">
        <v>488</v>
      </c>
      <c r="O241" s="85">
        <v>198</v>
      </c>
      <c r="P241" s="85">
        <v>2</v>
      </c>
      <c r="Q241" s="85">
        <v>171</v>
      </c>
      <c r="R241" s="85">
        <v>59</v>
      </c>
      <c r="S241" s="85">
        <v>3</v>
      </c>
      <c r="T241" s="85"/>
      <c r="U241" s="85"/>
      <c r="V241" s="85"/>
      <c r="W241" s="85"/>
      <c r="X241" s="85">
        <v>2</v>
      </c>
      <c r="Y241" s="85">
        <v>435</v>
      </c>
      <c r="Z241" s="83">
        <v>435</v>
      </c>
      <c r="AA241" s="85">
        <v>43</v>
      </c>
      <c r="AB241" s="85">
        <v>0</v>
      </c>
      <c r="AC241" s="81"/>
      <c r="AD241" s="81"/>
      <c r="AE241" s="85">
        <v>95</v>
      </c>
      <c r="AF241" s="85">
        <v>4</v>
      </c>
      <c r="AG241" s="85">
        <v>6</v>
      </c>
      <c r="AH241" s="81"/>
      <c r="AI241" s="81"/>
      <c r="AJ241" s="81"/>
      <c r="AK241" s="81">
        <v>0</v>
      </c>
      <c r="AL241" s="81"/>
      <c r="AM241" s="81"/>
      <c r="AN241" s="81">
        <v>149</v>
      </c>
      <c r="AO241" s="83">
        <v>148</v>
      </c>
      <c r="AP241" s="81">
        <v>23</v>
      </c>
      <c r="AQ241" s="81">
        <v>1</v>
      </c>
      <c r="AR241" s="81">
        <v>3</v>
      </c>
      <c r="AS241" s="81">
        <v>43</v>
      </c>
      <c r="AT241" s="81">
        <v>6</v>
      </c>
      <c r="AU241" s="81">
        <v>5</v>
      </c>
      <c r="AV241" s="81">
        <v>4</v>
      </c>
      <c r="AW241" s="81">
        <v>22</v>
      </c>
      <c r="AX241" s="81">
        <v>1</v>
      </c>
      <c r="AY241" s="81"/>
      <c r="AZ241" s="81"/>
      <c r="BA241" s="81"/>
      <c r="BB241" s="81">
        <v>113</v>
      </c>
      <c r="BC241" s="83">
        <v>108</v>
      </c>
      <c r="BD241" s="81">
        <v>164</v>
      </c>
      <c r="BE241" s="81">
        <v>1</v>
      </c>
      <c r="BF241" s="81"/>
      <c r="BG241" s="81">
        <v>122</v>
      </c>
      <c r="BH241" s="81">
        <v>3</v>
      </c>
      <c r="BI241" s="81">
        <v>7</v>
      </c>
      <c r="BJ241" s="81">
        <v>51</v>
      </c>
      <c r="BK241" s="81"/>
      <c r="BL241" s="81">
        <v>0</v>
      </c>
      <c r="BM241" s="81">
        <v>17</v>
      </c>
      <c r="BN241" s="81">
        <v>366</v>
      </c>
      <c r="BO241" s="83">
        <v>365</v>
      </c>
      <c r="BP241" s="81">
        <v>122</v>
      </c>
      <c r="BQ241" s="81"/>
      <c r="BR241" s="81"/>
      <c r="BS241" s="81">
        <v>59</v>
      </c>
      <c r="BT241" s="81"/>
      <c r="BU241" s="81"/>
      <c r="BV241" s="81"/>
      <c r="BW241" s="81"/>
      <c r="BX241" s="81"/>
      <c r="BY241" s="81">
        <v>42</v>
      </c>
      <c r="BZ241" s="81">
        <v>7</v>
      </c>
      <c r="CA241" s="81">
        <v>230</v>
      </c>
      <c r="CB241" s="83">
        <v>230</v>
      </c>
      <c r="CC241" s="81">
        <v>76</v>
      </c>
      <c r="CD241" s="81">
        <v>44</v>
      </c>
      <c r="CE241" s="81">
        <v>120</v>
      </c>
      <c r="CF241" s="81">
        <v>120</v>
      </c>
    </row>
    <row r="242" spans="1:84">
      <c r="A242" s="82">
        <v>42339</v>
      </c>
      <c r="B242" s="81">
        <v>192</v>
      </c>
      <c r="C242" s="81">
        <v>2</v>
      </c>
      <c r="D242" s="81">
        <v>0</v>
      </c>
      <c r="E242" s="81"/>
      <c r="F242" s="81">
        <v>213</v>
      </c>
      <c r="G242" s="81">
        <v>8</v>
      </c>
      <c r="H242" s="81">
        <v>13</v>
      </c>
      <c r="I242" s="81"/>
      <c r="J242" s="81"/>
      <c r="K242" s="81">
        <v>0</v>
      </c>
      <c r="L242" s="81">
        <v>29</v>
      </c>
      <c r="M242" s="81">
        <v>458</v>
      </c>
      <c r="N242" s="83">
        <v>457</v>
      </c>
      <c r="O242" s="85">
        <v>191</v>
      </c>
      <c r="P242" s="85">
        <v>3</v>
      </c>
      <c r="Q242" s="85">
        <v>173</v>
      </c>
      <c r="R242" s="85">
        <v>61</v>
      </c>
      <c r="S242" s="85">
        <v>2</v>
      </c>
      <c r="T242" s="85"/>
      <c r="U242" s="85"/>
      <c r="V242" s="85"/>
      <c r="W242" s="85"/>
      <c r="X242" s="85">
        <v>2</v>
      </c>
      <c r="Y242" s="85">
        <v>432</v>
      </c>
      <c r="Z242" s="83">
        <v>432</v>
      </c>
      <c r="AA242" s="85">
        <v>38</v>
      </c>
      <c r="AB242" s="85">
        <v>0</v>
      </c>
      <c r="AC242" s="81"/>
      <c r="AD242" s="81"/>
      <c r="AE242" s="85">
        <v>91</v>
      </c>
      <c r="AF242" s="85">
        <v>4</v>
      </c>
      <c r="AG242" s="85">
        <v>6</v>
      </c>
      <c r="AH242" s="81"/>
      <c r="AI242" s="81"/>
      <c r="AJ242" s="81"/>
      <c r="AK242" s="81">
        <v>0</v>
      </c>
      <c r="AL242" s="81"/>
      <c r="AM242" s="81"/>
      <c r="AN242" s="81">
        <v>140</v>
      </c>
      <c r="AO242" s="83">
        <v>139</v>
      </c>
      <c r="AP242" s="81">
        <v>20</v>
      </c>
      <c r="AQ242" s="81"/>
      <c r="AR242" s="81">
        <v>2</v>
      </c>
      <c r="AS242" s="81">
        <v>39</v>
      </c>
      <c r="AT242" s="81">
        <v>6</v>
      </c>
      <c r="AU242" s="81">
        <v>5</v>
      </c>
      <c r="AV242" s="81">
        <v>3</v>
      </c>
      <c r="AW242" s="81">
        <v>24</v>
      </c>
      <c r="AX242" s="81">
        <v>3</v>
      </c>
      <c r="AY242" s="81"/>
      <c r="AZ242" s="81"/>
      <c r="BA242" s="81">
        <v>3</v>
      </c>
      <c r="BB242" s="81">
        <v>109</v>
      </c>
      <c r="BC242" s="83">
        <v>105</v>
      </c>
      <c r="BD242" s="81">
        <v>144</v>
      </c>
      <c r="BE242" s="81">
        <v>1</v>
      </c>
      <c r="BF242" s="81"/>
      <c r="BG242" s="81">
        <v>119</v>
      </c>
      <c r="BH242" s="81">
        <v>4</v>
      </c>
      <c r="BI242" s="81">
        <v>7</v>
      </c>
      <c r="BJ242" s="81">
        <v>50</v>
      </c>
      <c r="BK242" s="81"/>
      <c r="BL242" s="81">
        <v>0</v>
      </c>
      <c r="BM242" s="81">
        <v>17</v>
      </c>
      <c r="BN242" s="81">
        <v>342</v>
      </c>
      <c r="BO242" s="83">
        <v>342</v>
      </c>
      <c r="BP242" s="81">
        <v>130</v>
      </c>
      <c r="BQ242" s="81"/>
      <c r="BR242" s="81"/>
      <c r="BS242" s="81">
        <v>60</v>
      </c>
      <c r="BT242" s="81"/>
      <c r="BU242" s="81"/>
      <c r="BV242" s="81"/>
      <c r="BW242" s="81"/>
      <c r="BX242" s="81"/>
      <c r="BY242" s="81">
        <v>38</v>
      </c>
      <c r="BZ242" s="81">
        <v>3</v>
      </c>
      <c r="CA242" s="81">
        <v>235</v>
      </c>
      <c r="CB242" s="83">
        <v>231</v>
      </c>
      <c r="CC242" s="81">
        <v>43</v>
      </c>
      <c r="CD242" s="81">
        <v>33</v>
      </c>
      <c r="CE242" s="81">
        <v>76</v>
      </c>
      <c r="CF242" s="81">
        <v>76</v>
      </c>
    </row>
    <row r="243" spans="1:84">
      <c r="A243" s="82">
        <v>42370</v>
      </c>
      <c r="B243" s="81">
        <v>187</v>
      </c>
      <c r="C243" s="81">
        <v>2</v>
      </c>
      <c r="D243" s="81">
        <v>0</v>
      </c>
      <c r="E243" s="81"/>
      <c r="F243" s="81">
        <v>182</v>
      </c>
      <c r="G243" s="81">
        <v>7</v>
      </c>
      <c r="H243" s="81">
        <v>12</v>
      </c>
      <c r="I243" s="81"/>
      <c r="J243" s="81"/>
      <c r="K243" s="81">
        <v>1</v>
      </c>
      <c r="L243" s="81">
        <v>25</v>
      </c>
      <c r="M243" s="81">
        <v>415</v>
      </c>
      <c r="N243" s="83">
        <v>416</v>
      </c>
      <c r="O243" s="85">
        <v>175</v>
      </c>
      <c r="P243" s="85">
        <v>3</v>
      </c>
      <c r="Q243" s="85">
        <v>147</v>
      </c>
      <c r="R243" s="85">
        <v>58</v>
      </c>
      <c r="S243" s="85">
        <v>3</v>
      </c>
      <c r="T243" s="85"/>
      <c r="U243" s="85"/>
      <c r="V243" s="85"/>
      <c r="W243" s="85"/>
      <c r="X243" s="85">
        <v>2</v>
      </c>
      <c r="Y243" s="85">
        <v>388</v>
      </c>
      <c r="Z243" s="83">
        <v>388</v>
      </c>
      <c r="AA243" s="85">
        <v>36</v>
      </c>
      <c r="AB243" s="85">
        <v>0</v>
      </c>
      <c r="AC243" s="85">
        <v>0</v>
      </c>
      <c r="AD243" s="81"/>
      <c r="AE243" s="85">
        <v>77</v>
      </c>
      <c r="AF243" s="85">
        <v>3</v>
      </c>
      <c r="AG243" s="85">
        <v>6</v>
      </c>
      <c r="AH243" s="81"/>
      <c r="AI243" s="81"/>
      <c r="AJ243" s="81"/>
      <c r="AK243" s="81">
        <v>0</v>
      </c>
      <c r="AL243" s="81"/>
      <c r="AM243" s="81"/>
      <c r="AN243" s="81">
        <v>123</v>
      </c>
      <c r="AO243" s="83">
        <v>122</v>
      </c>
      <c r="AP243" s="81">
        <v>25</v>
      </c>
      <c r="AQ243" s="81">
        <v>1</v>
      </c>
      <c r="AR243" s="81">
        <v>3</v>
      </c>
      <c r="AS243" s="81">
        <v>42</v>
      </c>
      <c r="AT243" s="81">
        <v>5</v>
      </c>
      <c r="AU243" s="81">
        <v>4</v>
      </c>
      <c r="AV243" s="81">
        <v>4</v>
      </c>
      <c r="AW243" s="81">
        <v>17</v>
      </c>
      <c r="AX243" s="81">
        <v>2</v>
      </c>
      <c r="AY243" s="81"/>
      <c r="AZ243" s="81"/>
      <c r="BA243" s="81">
        <v>3</v>
      </c>
      <c r="BB243" s="81">
        <v>108</v>
      </c>
      <c r="BC243" s="83">
        <v>106</v>
      </c>
      <c r="BD243" s="81">
        <v>140</v>
      </c>
      <c r="BE243" s="81">
        <v>1</v>
      </c>
      <c r="BF243" s="81"/>
      <c r="BG243" s="81">
        <v>101</v>
      </c>
      <c r="BH243" s="81">
        <v>3</v>
      </c>
      <c r="BI243" s="81">
        <v>7</v>
      </c>
      <c r="BJ243" s="81">
        <v>47</v>
      </c>
      <c r="BK243" s="81"/>
      <c r="BL243" s="81">
        <v>1</v>
      </c>
      <c r="BM243" s="81">
        <v>12</v>
      </c>
      <c r="BN243" s="81">
        <v>311</v>
      </c>
      <c r="BO243" s="83">
        <v>312</v>
      </c>
      <c r="BP243" s="81">
        <v>124</v>
      </c>
      <c r="BQ243" s="81"/>
      <c r="BR243" s="81"/>
      <c r="BS243" s="81">
        <v>65</v>
      </c>
      <c r="BT243" s="81"/>
      <c r="BU243" s="81"/>
      <c r="BV243" s="81"/>
      <c r="BW243" s="81"/>
      <c r="BX243" s="81"/>
      <c r="BY243" s="81">
        <v>27</v>
      </c>
      <c r="BZ243" s="81">
        <v>8</v>
      </c>
      <c r="CA243" s="81">
        <v>224</v>
      </c>
      <c r="CB243" s="83">
        <v>224</v>
      </c>
      <c r="CC243" s="81">
        <v>49</v>
      </c>
      <c r="CD243" s="81">
        <v>44</v>
      </c>
      <c r="CE243" s="81">
        <v>93</v>
      </c>
      <c r="CF243" s="81">
        <v>93</v>
      </c>
    </row>
    <row r="244" spans="1:84">
      <c r="A244" s="82">
        <v>42401</v>
      </c>
      <c r="B244" s="81">
        <v>174</v>
      </c>
      <c r="C244" s="81">
        <v>2</v>
      </c>
      <c r="D244" s="81">
        <v>0</v>
      </c>
      <c r="E244" s="81"/>
      <c r="F244" s="81">
        <v>188</v>
      </c>
      <c r="G244" s="81">
        <v>8</v>
      </c>
      <c r="H244" s="81">
        <v>14</v>
      </c>
      <c r="I244" s="81"/>
      <c r="J244" s="81"/>
      <c r="K244" s="81">
        <v>0</v>
      </c>
      <c r="L244" s="81">
        <v>26</v>
      </c>
      <c r="M244" s="81">
        <v>412</v>
      </c>
      <c r="N244" s="83">
        <v>412</v>
      </c>
      <c r="O244" s="85">
        <v>214</v>
      </c>
      <c r="P244" s="85">
        <v>0</v>
      </c>
      <c r="Q244" s="85">
        <v>162</v>
      </c>
      <c r="R244" s="85">
        <v>35</v>
      </c>
      <c r="S244" s="85">
        <v>3</v>
      </c>
      <c r="T244" s="85"/>
      <c r="U244" s="85"/>
      <c r="V244" s="85"/>
      <c r="W244" s="85"/>
      <c r="X244" s="85">
        <v>2</v>
      </c>
      <c r="Y244" s="85">
        <v>417</v>
      </c>
      <c r="Z244" s="83">
        <v>416</v>
      </c>
      <c r="AA244" s="85">
        <v>33</v>
      </c>
      <c r="AB244" s="85">
        <v>0</v>
      </c>
      <c r="AC244" s="85">
        <v>0</v>
      </c>
      <c r="AD244" s="81"/>
      <c r="AE244" s="85">
        <v>80</v>
      </c>
      <c r="AF244" s="85">
        <v>4</v>
      </c>
      <c r="AG244" s="85">
        <v>6</v>
      </c>
      <c r="AH244" s="81"/>
      <c r="AI244" s="81"/>
      <c r="AJ244" s="81"/>
      <c r="AK244" s="81">
        <v>0</v>
      </c>
      <c r="AL244" s="81"/>
      <c r="AM244" s="81"/>
      <c r="AN244" s="81">
        <v>125</v>
      </c>
      <c r="AO244" s="83">
        <v>123</v>
      </c>
      <c r="AP244" s="81">
        <v>24</v>
      </c>
      <c r="AQ244" s="81"/>
      <c r="AR244" s="81"/>
      <c r="AS244" s="81">
        <v>44</v>
      </c>
      <c r="AT244" s="81"/>
      <c r="AU244" s="81"/>
      <c r="AV244" s="81"/>
      <c r="AW244" s="81">
        <v>26</v>
      </c>
      <c r="AX244" s="81"/>
      <c r="AY244" s="81"/>
      <c r="AZ244" s="81"/>
      <c r="BA244" s="81"/>
      <c r="BB244" s="81"/>
      <c r="BC244" s="83">
        <v>94</v>
      </c>
      <c r="BD244" s="81">
        <v>131</v>
      </c>
      <c r="BE244" s="81">
        <v>1</v>
      </c>
      <c r="BF244" s="81"/>
      <c r="BG244" s="81">
        <v>104</v>
      </c>
      <c r="BH244" s="81">
        <v>3</v>
      </c>
      <c r="BI244" s="81">
        <v>8</v>
      </c>
      <c r="BJ244" s="81">
        <v>54</v>
      </c>
      <c r="BK244" s="81"/>
      <c r="BL244" s="81">
        <v>0</v>
      </c>
      <c r="BM244" s="81">
        <v>11</v>
      </c>
      <c r="BN244" s="81">
        <v>313</v>
      </c>
      <c r="BO244" s="83">
        <v>312</v>
      </c>
      <c r="BP244" s="81">
        <v>100</v>
      </c>
      <c r="BQ244" s="81"/>
      <c r="BR244" s="81"/>
      <c r="BS244" s="81">
        <v>62</v>
      </c>
      <c r="BT244" s="81"/>
      <c r="BU244" s="81"/>
      <c r="BV244" s="81"/>
      <c r="BW244" s="81"/>
      <c r="BX244" s="81"/>
      <c r="BY244" s="81">
        <v>26</v>
      </c>
      <c r="BZ244" s="81">
        <v>7</v>
      </c>
      <c r="CA244" s="81">
        <v>195</v>
      </c>
      <c r="CB244" s="83">
        <v>195</v>
      </c>
      <c r="CC244" s="81">
        <v>44</v>
      </c>
      <c r="CD244" s="81">
        <v>42</v>
      </c>
      <c r="CE244" s="81">
        <v>86</v>
      </c>
      <c r="CF244" s="81">
        <v>86</v>
      </c>
    </row>
    <row r="245" spans="1:84">
      <c r="A245" s="82">
        <v>42430</v>
      </c>
      <c r="B245" s="81">
        <v>194</v>
      </c>
      <c r="C245" s="81">
        <v>2</v>
      </c>
      <c r="D245" s="81">
        <v>0</v>
      </c>
      <c r="E245" s="81"/>
      <c r="F245" s="81">
        <v>195</v>
      </c>
      <c r="G245" s="81">
        <v>8</v>
      </c>
      <c r="H245" s="81">
        <v>16</v>
      </c>
      <c r="I245" s="81"/>
      <c r="J245" s="81"/>
      <c r="K245" s="81">
        <v>0</v>
      </c>
      <c r="L245" s="81">
        <v>29</v>
      </c>
      <c r="M245" s="81">
        <v>444</v>
      </c>
      <c r="N245" s="83">
        <v>444</v>
      </c>
      <c r="O245" s="85">
        <v>203</v>
      </c>
      <c r="P245" s="85">
        <v>0</v>
      </c>
      <c r="Q245" s="85">
        <v>210</v>
      </c>
      <c r="R245" s="85">
        <v>34</v>
      </c>
      <c r="S245" s="85"/>
      <c r="T245" s="85"/>
      <c r="U245" s="85"/>
      <c r="V245" s="85"/>
      <c r="W245" s="85"/>
      <c r="X245" s="85">
        <v>6</v>
      </c>
      <c r="Y245" s="85">
        <v>454</v>
      </c>
      <c r="Z245" s="83">
        <v>453</v>
      </c>
      <c r="AA245" s="85">
        <v>37</v>
      </c>
      <c r="AB245" s="85">
        <v>0</v>
      </c>
      <c r="AC245" s="85">
        <v>0</v>
      </c>
      <c r="AD245" s="81"/>
      <c r="AE245" s="85">
        <v>83</v>
      </c>
      <c r="AF245" s="85">
        <v>4</v>
      </c>
      <c r="AG245" s="85">
        <v>7</v>
      </c>
      <c r="AH245" s="81"/>
      <c r="AI245" s="81"/>
      <c r="AJ245" s="81"/>
      <c r="AK245" s="81">
        <v>0</v>
      </c>
      <c r="AL245" s="81"/>
      <c r="AM245" s="81"/>
      <c r="AN245" s="81">
        <v>132</v>
      </c>
      <c r="AO245" s="83">
        <v>131</v>
      </c>
      <c r="AP245" s="81">
        <v>22</v>
      </c>
      <c r="AQ245" s="81"/>
      <c r="AR245" s="81">
        <v>3</v>
      </c>
      <c r="AS245" s="81">
        <v>34</v>
      </c>
      <c r="AT245" s="81">
        <v>6</v>
      </c>
      <c r="AU245" s="81">
        <v>4</v>
      </c>
      <c r="AV245" s="81">
        <v>3</v>
      </c>
      <c r="AW245" s="81">
        <v>17</v>
      </c>
      <c r="AX245" s="81">
        <v>2</v>
      </c>
      <c r="AY245" s="81"/>
      <c r="AZ245" s="81"/>
      <c r="BA245" s="81"/>
      <c r="BB245" s="81">
        <v>99</v>
      </c>
      <c r="BC245" s="83">
        <v>91</v>
      </c>
      <c r="BD245" s="81">
        <v>146</v>
      </c>
      <c r="BE245" s="81">
        <v>1</v>
      </c>
      <c r="BF245" s="81"/>
      <c r="BG245" s="81">
        <v>108</v>
      </c>
      <c r="BH245" s="81">
        <v>4</v>
      </c>
      <c r="BI245" s="81">
        <v>9</v>
      </c>
      <c r="BJ245" s="81">
        <v>60</v>
      </c>
      <c r="BK245" s="81"/>
      <c r="BL245" s="81">
        <v>0</v>
      </c>
      <c r="BM245" s="81">
        <v>16</v>
      </c>
      <c r="BN245" s="81">
        <v>344</v>
      </c>
      <c r="BO245" s="83">
        <v>344</v>
      </c>
      <c r="BP245" s="81">
        <v>90</v>
      </c>
      <c r="BQ245" s="81"/>
      <c r="BR245" s="81"/>
      <c r="BS245" s="81">
        <v>58</v>
      </c>
      <c r="BT245" s="81"/>
      <c r="BU245" s="81"/>
      <c r="BV245" s="81"/>
      <c r="BW245" s="81"/>
      <c r="BX245" s="81"/>
      <c r="BY245" s="81">
        <v>21</v>
      </c>
      <c r="BZ245" s="81">
        <v>6</v>
      </c>
      <c r="CA245" s="81">
        <v>175</v>
      </c>
      <c r="CB245" s="83">
        <v>175</v>
      </c>
      <c r="CC245" s="81">
        <v>34</v>
      </c>
      <c r="CD245" s="81">
        <v>39</v>
      </c>
      <c r="CE245" s="81">
        <v>74</v>
      </c>
      <c r="CF245" s="81">
        <v>73</v>
      </c>
    </row>
    <row r="246" spans="1:84">
      <c r="A246" s="82">
        <v>42461</v>
      </c>
      <c r="B246" s="81">
        <v>215</v>
      </c>
      <c r="C246" s="81">
        <v>2</v>
      </c>
      <c r="D246" s="81">
        <v>0</v>
      </c>
      <c r="E246" s="81"/>
      <c r="F246" s="81">
        <v>200</v>
      </c>
      <c r="G246" s="81">
        <v>8</v>
      </c>
      <c r="H246" s="81">
        <v>16</v>
      </c>
      <c r="I246" s="81"/>
      <c r="J246" s="81"/>
      <c r="K246" s="81">
        <v>1</v>
      </c>
      <c r="L246" s="81">
        <v>27</v>
      </c>
      <c r="M246" s="81">
        <v>470</v>
      </c>
      <c r="N246" s="83">
        <v>469</v>
      </c>
      <c r="O246" s="85">
        <v>185</v>
      </c>
      <c r="P246" s="85">
        <v>2</v>
      </c>
      <c r="Q246" s="85">
        <v>141</v>
      </c>
      <c r="R246" s="85">
        <v>52</v>
      </c>
      <c r="S246" s="85">
        <v>2</v>
      </c>
      <c r="T246" s="85"/>
      <c r="U246" s="85"/>
      <c r="V246" s="85"/>
      <c r="W246" s="85"/>
      <c r="X246" s="85">
        <v>2</v>
      </c>
      <c r="Y246" s="85">
        <v>385</v>
      </c>
      <c r="Z246" s="83">
        <v>384</v>
      </c>
      <c r="AA246" s="85">
        <v>41</v>
      </c>
      <c r="AB246" s="85">
        <v>0</v>
      </c>
      <c r="AC246" s="85">
        <v>0</v>
      </c>
      <c r="AD246" s="81"/>
      <c r="AE246" s="85">
        <v>86</v>
      </c>
      <c r="AF246" s="85">
        <v>4</v>
      </c>
      <c r="AG246" s="85">
        <v>7</v>
      </c>
      <c r="AH246" s="81"/>
      <c r="AI246" s="81"/>
      <c r="AJ246" s="81"/>
      <c r="AK246" s="81">
        <v>0</v>
      </c>
      <c r="AL246" s="81"/>
      <c r="AM246" s="81"/>
      <c r="AN246" s="81">
        <v>139</v>
      </c>
      <c r="AO246" s="83">
        <v>138</v>
      </c>
      <c r="AP246" s="81">
        <v>25</v>
      </c>
      <c r="AQ246" s="81"/>
      <c r="AR246" s="81">
        <v>2</v>
      </c>
      <c r="AS246" s="81">
        <v>28</v>
      </c>
      <c r="AT246" s="81">
        <v>6</v>
      </c>
      <c r="AU246" s="81">
        <v>4</v>
      </c>
      <c r="AV246" s="81">
        <v>3</v>
      </c>
      <c r="AW246" s="81">
        <v>22</v>
      </c>
      <c r="AX246" s="81">
        <v>2</v>
      </c>
      <c r="AY246" s="81"/>
      <c r="AZ246" s="81"/>
      <c r="BA246" s="81">
        <v>3</v>
      </c>
      <c r="BB246" s="81">
        <v>97</v>
      </c>
      <c r="BC246" s="83">
        <v>95</v>
      </c>
      <c r="BD246" s="81">
        <v>162</v>
      </c>
      <c r="BE246" s="81">
        <v>1</v>
      </c>
      <c r="BF246" s="81"/>
      <c r="BG246" s="81">
        <v>111</v>
      </c>
      <c r="BH246" s="81">
        <v>4</v>
      </c>
      <c r="BI246" s="81">
        <v>9</v>
      </c>
      <c r="BJ246" s="81">
        <v>60</v>
      </c>
      <c r="BK246" s="81"/>
      <c r="BL246" s="81">
        <v>1</v>
      </c>
      <c r="BM246" s="81">
        <v>17</v>
      </c>
      <c r="BN246" s="81">
        <v>363</v>
      </c>
      <c r="BO246" s="83">
        <v>365</v>
      </c>
      <c r="BP246" s="81">
        <v>102</v>
      </c>
      <c r="BQ246" s="81"/>
      <c r="BR246" s="81"/>
      <c r="BS246" s="81">
        <v>64</v>
      </c>
      <c r="BT246" s="81"/>
      <c r="BU246" s="81"/>
      <c r="BV246" s="81"/>
      <c r="BW246" s="81"/>
      <c r="BX246" s="81"/>
      <c r="BY246" s="81">
        <v>16</v>
      </c>
      <c r="BZ246" s="81">
        <v>7</v>
      </c>
      <c r="CA246" s="81">
        <v>189</v>
      </c>
      <c r="CB246" s="83">
        <v>189</v>
      </c>
      <c r="CC246" s="81">
        <v>41</v>
      </c>
      <c r="CD246" s="81">
        <v>46</v>
      </c>
      <c r="CE246" s="81">
        <v>86</v>
      </c>
      <c r="CF246" s="81">
        <v>87</v>
      </c>
    </row>
    <row r="247" spans="1:84">
      <c r="A247" s="82">
        <v>42491</v>
      </c>
      <c r="B247" s="81">
        <v>190</v>
      </c>
      <c r="C247" s="81">
        <v>2</v>
      </c>
      <c r="D247" s="81">
        <v>0</v>
      </c>
      <c r="E247" s="81"/>
      <c r="F247" s="81">
        <v>193</v>
      </c>
      <c r="G247" s="81">
        <v>8</v>
      </c>
      <c r="H247" s="81">
        <v>15</v>
      </c>
      <c r="I247" s="81"/>
      <c r="J247" s="81"/>
      <c r="K247" s="81">
        <v>0</v>
      </c>
      <c r="L247" s="81">
        <v>27</v>
      </c>
      <c r="M247" s="81">
        <v>435</v>
      </c>
      <c r="N247" s="83">
        <v>435</v>
      </c>
      <c r="O247" s="85">
        <v>220</v>
      </c>
      <c r="P247" s="85">
        <v>1</v>
      </c>
      <c r="Q247" s="85">
        <v>187</v>
      </c>
      <c r="R247" s="85">
        <v>58</v>
      </c>
      <c r="S247" s="85">
        <v>5</v>
      </c>
      <c r="T247" s="85"/>
      <c r="U247" s="85"/>
      <c r="V247" s="85"/>
      <c r="W247" s="85"/>
      <c r="X247" s="85">
        <v>3</v>
      </c>
      <c r="Y247" s="85">
        <v>474</v>
      </c>
      <c r="Z247" s="83">
        <v>474</v>
      </c>
      <c r="AA247" s="85">
        <v>36</v>
      </c>
      <c r="AB247" s="85">
        <v>0</v>
      </c>
      <c r="AC247" s="85">
        <v>0</v>
      </c>
      <c r="AD247" s="81"/>
      <c r="AE247" s="85">
        <v>82</v>
      </c>
      <c r="AF247" s="85">
        <v>4</v>
      </c>
      <c r="AG247" s="85">
        <v>7</v>
      </c>
      <c r="AH247" s="81"/>
      <c r="AI247" s="81"/>
      <c r="AJ247" s="81"/>
      <c r="AK247" s="81">
        <v>0</v>
      </c>
      <c r="AL247" s="81"/>
      <c r="AM247" s="81"/>
      <c r="AN247" s="81">
        <v>129</v>
      </c>
      <c r="AO247" s="83">
        <v>129</v>
      </c>
      <c r="AP247" s="81">
        <v>24</v>
      </c>
      <c r="AQ247" s="81"/>
      <c r="AR247" s="81">
        <v>5</v>
      </c>
      <c r="AS247" s="81">
        <v>29</v>
      </c>
      <c r="AT247" s="81">
        <v>6</v>
      </c>
      <c r="AU247" s="81">
        <v>5</v>
      </c>
      <c r="AV247" s="81">
        <v>3</v>
      </c>
      <c r="AW247" s="81">
        <v>19</v>
      </c>
      <c r="AX247" s="81"/>
      <c r="AY247" s="81"/>
      <c r="AZ247" s="81"/>
      <c r="BA247" s="81">
        <v>3</v>
      </c>
      <c r="BB247" s="81">
        <v>99</v>
      </c>
      <c r="BC247" s="83">
        <v>94</v>
      </c>
      <c r="BD247" s="81">
        <v>143</v>
      </c>
      <c r="BE247" s="81">
        <v>1</v>
      </c>
      <c r="BF247" s="81"/>
      <c r="BG247" s="81">
        <v>107</v>
      </c>
      <c r="BH247" s="81">
        <v>3</v>
      </c>
      <c r="BI247" s="81">
        <v>9</v>
      </c>
      <c r="BJ247" s="81">
        <v>58</v>
      </c>
      <c r="BK247" s="81"/>
      <c r="BL247" s="81">
        <v>0</v>
      </c>
      <c r="BM247" s="81">
        <v>17</v>
      </c>
      <c r="BN247" s="81">
        <v>338</v>
      </c>
      <c r="BO247" s="83">
        <v>338</v>
      </c>
      <c r="BP247" s="81">
        <v>135</v>
      </c>
      <c r="BQ247" s="81"/>
      <c r="BR247" s="81"/>
      <c r="BS247" s="81">
        <v>57</v>
      </c>
      <c r="BT247" s="81"/>
      <c r="BU247" s="81"/>
      <c r="BV247" s="81"/>
      <c r="BW247" s="81"/>
      <c r="BX247" s="81"/>
      <c r="BY247" s="81">
        <v>12</v>
      </c>
      <c r="BZ247" s="81">
        <v>7</v>
      </c>
      <c r="CA247" s="81">
        <v>211</v>
      </c>
      <c r="CB247" s="83">
        <v>211</v>
      </c>
      <c r="CC247" s="81">
        <v>52</v>
      </c>
      <c r="CD247" s="81">
        <v>49</v>
      </c>
      <c r="CE247" s="81">
        <v>100</v>
      </c>
      <c r="CF247" s="81">
        <v>101</v>
      </c>
    </row>
    <row r="248" spans="1:84">
      <c r="A248" s="82">
        <v>42522</v>
      </c>
      <c r="B248" s="81">
        <v>201</v>
      </c>
      <c r="C248" s="81">
        <v>2</v>
      </c>
      <c r="D248" s="81">
        <v>0</v>
      </c>
      <c r="E248" s="81"/>
      <c r="F248" s="81">
        <v>226</v>
      </c>
      <c r="G248" s="81">
        <v>8</v>
      </c>
      <c r="H248" s="81">
        <v>16</v>
      </c>
      <c r="I248" s="81"/>
      <c r="J248" s="81"/>
      <c r="K248" s="81">
        <v>0</v>
      </c>
      <c r="L248" s="81">
        <v>27</v>
      </c>
      <c r="M248" s="81">
        <v>481</v>
      </c>
      <c r="N248" s="83">
        <v>480</v>
      </c>
      <c r="O248" s="85">
        <v>270</v>
      </c>
      <c r="P248" s="85">
        <v>2</v>
      </c>
      <c r="Q248" s="85">
        <v>175</v>
      </c>
      <c r="R248" s="85">
        <v>58</v>
      </c>
      <c r="S248" s="85">
        <v>3</v>
      </c>
      <c r="T248" s="85"/>
      <c r="U248" s="85"/>
      <c r="V248" s="85"/>
      <c r="W248" s="85"/>
      <c r="X248" s="85">
        <v>3</v>
      </c>
      <c r="Y248" s="85">
        <v>511</v>
      </c>
      <c r="Z248" s="83">
        <v>511</v>
      </c>
      <c r="AA248" s="85">
        <v>40</v>
      </c>
      <c r="AB248" s="85">
        <v>0</v>
      </c>
      <c r="AC248" s="85">
        <v>0</v>
      </c>
      <c r="AD248" s="81"/>
      <c r="AE248" s="85">
        <v>97</v>
      </c>
      <c r="AF248" s="85">
        <v>4</v>
      </c>
      <c r="AG248" s="85">
        <v>7</v>
      </c>
      <c r="AH248" s="81"/>
      <c r="AI248" s="81"/>
      <c r="AJ248" s="81"/>
      <c r="AK248" s="81">
        <v>0</v>
      </c>
      <c r="AL248" s="81"/>
      <c r="AM248" s="81"/>
      <c r="AN248" s="81">
        <v>149</v>
      </c>
      <c r="AO248" s="83">
        <v>148</v>
      </c>
      <c r="AP248" s="81">
        <v>27</v>
      </c>
      <c r="AQ248" s="81"/>
      <c r="AR248" s="81">
        <v>4</v>
      </c>
      <c r="AS248" s="81">
        <v>36</v>
      </c>
      <c r="AT248" s="81">
        <v>5</v>
      </c>
      <c r="AU248" s="81">
        <v>5</v>
      </c>
      <c r="AV248" s="81">
        <v>3</v>
      </c>
      <c r="AW248" s="81">
        <v>19</v>
      </c>
      <c r="AX248" s="81"/>
      <c r="AY248" s="81"/>
      <c r="AZ248" s="81"/>
      <c r="BA248" s="81">
        <v>4</v>
      </c>
      <c r="BB248" s="81">
        <v>109</v>
      </c>
      <c r="BC248" s="83">
        <v>103</v>
      </c>
      <c r="BD248" s="81">
        <v>153</v>
      </c>
      <c r="BE248" s="81">
        <v>1</v>
      </c>
      <c r="BF248" s="81"/>
      <c r="BG248" s="81">
        <v>126</v>
      </c>
      <c r="BH248" s="81">
        <v>3</v>
      </c>
      <c r="BI248" s="81">
        <v>9</v>
      </c>
      <c r="BJ248" s="81">
        <v>62</v>
      </c>
      <c r="BK248" s="81"/>
      <c r="BL248" s="81">
        <v>0</v>
      </c>
      <c r="BM248" s="81">
        <v>17</v>
      </c>
      <c r="BN248" s="81">
        <v>373</v>
      </c>
      <c r="BO248" s="83">
        <v>371</v>
      </c>
      <c r="BP248" s="81">
        <v>140</v>
      </c>
      <c r="BQ248" s="81"/>
      <c r="BR248" s="81"/>
      <c r="BS248" s="81">
        <v>66</v>
      </c>
      <c r="BT248" s="81"/>
      <c r="BU248" s="81"/>
      <c r="BV248" s="81"/>
      <c r="BW248" s="81"/>
      <c r="BX248" s="81"/>
      <c r="BY248" s="81">
        <v>14</v>
      </c>
      <c r="BZ248" s="81">
        <v>6</v>
      </c>
      <c r="CA248" s="81">
        <v>226</v>
      </c>
      <c r="CB248" s="83">
        <v>226</v>
      </c>
      <c r="CC248" s="81">
        <v>48</v>
      </c>
      <c r="CD248" s="81">
        <v>55</v>
      </c>
      <c r="CE248" s="81">
        <v>103</v>
      </c>
      <c r="CF248" s="81">
        <v>103</v>
      </c>
    </row>
    <row r="249" spans="1:84">
      <c r="A249" s="82">
        <v>42552</v>
      </c>
      <c r="B249" s="81">
        <v>192</v>
      </c>
      <c r="C249" s="81">
        <v>2</v>
      </c>
      <c r="D249" s="81">
        <v>0</v>
      </c>
      <c r="E249" s="81"/>
      <c r="F249" s="81">
        <v>223</v>
      </c>
      <c r="G249" s="81">
        <v>10</v>
      </c>
      <c r="H249" s="81">
        <v>16</v>
      </c>
      <c r="I249" s="81"/>
      <c r="J249" s="81"/>
      <c r="K249" s="81">
        <v>1</v>
      </c>
      <c r="L249" s="81">
        <v>26</v>
      </c>
      <c r="M249" s="81">
        <v>470</v>
      </c>
      <c r="N249" s="83">
        <v>470</v>
      </c>
      <c r="O249" s="85">
        <v>243</v>
      </c>
      <c r="P249" s="85">
        <v>1</v>
      </c>
      <c r="Q249" s="85">
        <v>149</v>
      </c>
      <c r="R249" s="85">
        <v>57</v>
      </c>
      <c r="S249" s="85">
        <v>2</v>
      </c>
      <c r="T249" s="85"/>
      <c r="U249" s="85"/>
      <c r="V249" s="85"/>
      <c r="W249" s="85"/>
      <c r="X249" s="85">
        <v>2</v>
      </c>
      <c r="Y249" s="85">
        <v>454</v>
      </c>
      <c r="Z249" s="83">
        <v>454</v>
      </c>
      <c r="AA249" s="85">
        <v>38</v>
      </c>
      <c r="AB249" s="85">
        <v>0</v>
      </c>
      <c r="AC249" s="85">
        <v>0</v>
      </c>
      <c r="AD249" s="81"/>
      <c r="AE249" s="85">
        <v>97</v>
      </c>
      <c r="AF249" s="85">
        <v>5</v>
      </c>
      <c r="AG249" s="85">
        <v>7</v>
      </c>
      <c r="AH249" s="81"/>
      <c r="AI249" s="81"/>
      <c r="AJ249" s="81"/>
      <c r="AK249" s="81">
        <v>0</v>
      </c>
      <c r="AL249" s="81"/>
      <c r="AM249" s="81"/>
      <c r="AN249" s="81">
        <v>147</v>
      </c>
      <c r="AO249" s="83">
        <v>147</v>
      </c>
      <c r="AP249" s="81">
        <v>25</v>
      </c>
      <c r="AQ249" s="81"/>
      <c r="AR249" s="81">
        <v>3</v>
      </c>
      <c r="AS249" s="81">
        <v>37</v>
      </c>
      <c r="AT249" s="81">
        <v>6</v>
      </c>
      <c r="AU249" s="81">
        <v>6</v>
      </c>
      <c r="AV249" s="81">
        <v>3</v>
      </c>
      <c r="AW249" s="81">
        <v>19</v>
      </c>
      <c r="AX249" s="81"/>
      <c r="AY249" s="81"/>
      <c r="AZ249" s="81"/>
      <c r="BA249" s="91">
        <v>4</v>
      </c>
      <c r="BB249" s="81">
        <v>108</v>
      </c>
      <c r="BC249" s="83">
        <v>103</v>
      </c>
      <c r="BD249" s="81">
        <v>147</v>
      </c>
      <c r="BE249" s="81">
        <v>1</v>
      </c>
      <c r="BF249" s="81"/>
      <c r="BG249" s="81">
        <v>124</v>
      </c>
      <c r="BH249" s="81">
        <v>4</v>
      </c>
      <c r="BI249" s="81">
        <v>9</v>
      </c>
      <c r="BJ249" s="81">
        <v>60</v>
      </c>
      <c r="BK249" s="81"/>
      <c r="BL249" s="81">
        <v>1</v>
      </c>
      <c r="BM249" s="81">
        <v>18</v>
      </c>
      <c r="BN249" s="81">
        <v>363</v>
      </c>
      <c r="BO249" s="83">
        <v>364</v>
      </c>
      <c r="BP249" s="81">
        <v>155</v>
      </c>
      <c r="BQ249" s="81"/>
      <c r="BR249" s="81"/>
      <c r="BS249" s="81">
        <v>94</v>
      </c>
      <c r="BT249" s="81"/>
      <c r="BU249" s="81"/>
      <c r="BV249" s="81"/>
      <c r="BW249" s="81"/>
      <c r="BX249" s="81"/>
      <c r="BY249" s="81">
        <v>17</v>
      </c>
      <c r="BZ249" s="81">
        <v>6</v>
      </c>
      <c r="CA249" s="81">
        <v>272</v>
      </c>
      <c r="CB249" s="83">
        <v>272</v>
      </c>
      <c r="CC249" s="81">
        <v>73</v>
      </c>
      <c r="CD249" s="81">
        <v>85</v>
      </c>
      <c r="CE249" s="81">
        <v>158</v>
      </c>
      <c r="CF249" s="81">
        <v>158</v>
      </c>
    </row>
    <row r="250" spans="1:84">
      <c r="A250" s="82">
        <v>42583</v>
      </c>
      <c r="B250" s="81">
        <v>147</v>
      </c>
      <c r="C250" s="81">
        <v>2</v>
      </c>
      <c r="D250" s="81">
        <v>0</v>
      </c>
      <c r="E250" s="81"/>
      <c r="F250" s="81">
        <v>153</v>
      </c>
      <c r="G250" s="81">
        <v>8</v>
      </c>
      <c r="H250" s="81">
        <v>15</v>
      </c>
      <c r="I250" s="81"/>
      <c r="J250" s="81"/>
      <c r="K250" s="81">
        <v>0</v>
      </c>
      <c r="L250" s="81">
        <v>26</v>
      </c>
      <c r="M250" s="81">
        <v>352</v>
      </c>
      <c r="N250" s="83">
        <v>351</v>
      </c>
      <c r="O250" s="85">
        <v>198</v>
      </c>
      <c r="P250" s="85">
        <v>1</v>
      </c>
      <c r="Q250" s="85">
        <v>195</v>
      </c>
      <c r="R250" s="85">
        <v>57</v>
      </c>
      <c r="S250" s="85">
        <v>3</v>
      </c>
      <c r="T250" s="85"/>
      <c r="U250" s="85"/>
      <c r="V250" s="85"/>
      <c r="W250" s="85"/>
      <c r="X250" s="85">
        <v>8</v>
      </c>
      <c r="Y250" s="85">
        <v>461</v>
      </c>
      <c r="Z250" s="83">
        <v>462</v>
      </c>
      <c r="AA250" s="85">
        <v>29</v>
      </c>
      <c r="AB250" s="85">
        <v>0</v>
      </c>
      <c r="AC250" s="85">
        <v>0</v>
      </c>
      <c r="AD250" s="81"/>
      <c r="AE250" s="85">
        <v>66</v>
      </c>
      <c r="AF250" s="85">
        <v>4</v>
      </c>
      <c r="AG250" s="85">
        <v>7</v>
      </c>
      <c r="AH250" s="81"/>
      <c r="AI250" s="81"/>
      <c r="AJ250" s="81"/>
      <c r="AK250" s="81">
        <v>0</v>
      </c>
      <c r="AL250" s="81"/>
      <c r="AM250" s="81"/>
      <c r="AN250" s="81">
        <v>106</v>
      </c>
      <c r="AO250" s="83">
        <v>106</v>
      </c>
      <c r="AP250" s="81">
        <v>20</v>
      </c>
      <c r="AQ250" s="81"/>
      <c r="AR250" s="81">
        <v>2</v>
      </c>
      <c r="AS250" s="81">
        <v>27</v>
      </c>
      <c r="AT250" s="81">
        <v>6</v>
      </c>
      <c r="AU250" s="81">
        <v>6</v>
      </c>
      <c r="AV250" s="81">
        <v>3</v>
      </c>
      <c r="AW250" s="81">
        <v>19</v>
      </c>
      <c r="AX250" s="81"/>
      <c r="AY250" s="81"/>
      <c r="AZ250" s="81"/>
      <c r="BA250" s="81">
        <v>4</v>
      </c>
      <c r="BB250" s="81">
        <v>92</v>
      </c>
      <c r="BC250" s="83">
        <v>87</v>
      </c>
      <c r="BD250" s="81">
        <v>112</v>
      </c>
      <c r="BE250" s="81">
        <v>1</v>
      </c>
      <c r="BF250" s="81"/>
      <c r="BG250" s="81">
        <v>85</v>
      </c>
      <c r="BH250" s="81">
        <v>4</v>
      </c>
      <c r="BI250" s="81">
        <v>8</v>
      </c>
      <c r="BJ250" s="81">
        <v>58</v>
      </c>
      <c r="BK250" s="81"/>
      <c r="BL250" s="81">
        <v>0</v>
      </c>
      <c r="BM250" s="81">
        <v>18</v>
      </c>
      <c r="BN250" s="81">
        <v>286</v>
      </c>
      <c r="BO250" s="83">
        <v>286</v>
      </c>
      <c r="BP250" s="81">
        <v>125</v>
      </c>
      <c r="BQ250" s="81"/>
      <c r="BR250" s="81"/>
      <c r="BS250" s="81">
        <v>80</v>
      </c>
      <c r="BT250" s="81"/>
      <c r="BU250" s="81"/>
      <c r="BV250" s="81"/>
      <c r="BW250" s="81"/>
      <c r="BX250" s="81"/>
      <c r="BY250" s="81">
        <v>25</v>
      </c>
      <c r="BZ250" s="81">
        <v>5</v>
      </c>
      <c r="CA250" s="81">
        <v>235</v>
      </c>
      <c r="CB250" s="83">
        <v>235</v>
      </c>
      <c r="CC250" s="81">
        <v>63</v>
      </c>
      <c r="CD250" s="81">
        <v>72</v>
      </c>
      <c r="CE250" s="81">
        <v>135</v>
      </c>
      <c r="CF250" s="81">
        <v>135</v>
      </c>
    </row>
    <row r="251" spans="1:84">
      <c r="A251" s="82">
        <v>42614</v>
      </c>
      <c r="B251" s="81">
        <v>165</v>
      </c>
      <c r="C251" s="81">
        <v>2</v>
      </c>
      <c r="D251" s="81">
        <v>0</v>
      </c>
      <c r="E251" s="81"/>
      <c r="F251" s="81">
        <v>216</v>
      </c>
      <c r="G251" s="81">
        <v>9</v>
      </c>
      <c r="H251" s="81">
        <v>14</v>
      </c>
      <c r="I251" s="81"/>
      <c r="J251" s="81"/>
      <c r="K251" s="81">
        <v>0</v>
      </c>
      <c r="L251" s="81">
        <v>27</v>
      </c>
      <c r="M251" s="81">
        <v>433</v>
      </c>
      <c r="N251" s="83">
        <v>433</v>
      </c>
      <c r="O251" s="85">
        <v>255</v>
      </c>
      <c r="P251" s="85">
        <v>2</v>
      </c>
      <c r="Q251" s="85">
        <v>174</v>
      </c>
      <c r="R251" s="85">
        <v>57</v>
      </c>
      <c r="S251" s="85">
        <v>3</v>
      </c>
      <c r="T251" s="85"/>
      <c r="U251" s="85"/>
      <c r="V251" s="85"/>
      <c r="W251" s="85"/>
      <c r="X251" s="85">
        <v>2</v>
      </c>
      <c r="Y251" s="85">
        <v>493</v>
      </c>
      <c r="Z251" s="83">
        <v>493</v>
      </c>
      <c r="AA251" s="85">
        <v>32</v>
      </c>
      <c r="AB251" s="85">
        <v>0</v>
      </c>
      <c r="AC251" s="81"/>
      <c r="AD251" s="81"/>
      <c r="AE251" s="85">
        <v>93</v>
      </c>
      <c r="AF251" s="85">
        <v>4</v>
      </c>
      <c r="AG251" s="85">
        <v>7</v>
      </c>
      <c r="AH251" s="81"/>
      <c r="AI251" s="81"/>
      <c r="AJ251" s="81"/>
      <c r="AK251" s="81">
        <v>0</v>
      </c>
      <c r="AL251" s="81"/>
      <c r="AM251" s="81"/>
      <c r="AN251" s="81">
        <v>137</v>
      </c>
      <c r="AO251" s="83">
        <v>136</v>
      </c>
      <c r="AP251" s="81">
        <v>15</v>
      </c>
      <c r="AQ251" s="81"/>
      <c r="AR251" s="81">
        <v>2</v>
      </c>
      <c r="AS251" s="81">
        <v>30</v>
      </c>
      <c r="AT251" s="81">
        <v>6</v>
      </c>
      <c r="AU251" s="81">
        <v>6</v>
      </c>
      <c r="AV251" s="81">
        <v>4</v>
      </c>
      <c r="AW251" s="81">
        <v>22</v>
      </c>
      <c r="AX251" s="81"/>
      <c r="AY251" s="81"/>
      <c r="AZ251" s="81"/>
      <c r="BA251" s="81">
        <v>4</v>
      </c>
      <c r="BB251" s="81">
        <v>95</v>
      </c>
      <c r="BC251" s="83">
        <v>89</v>
      </c>
      <c r="BD251" s="81">
        <v>124</v>
      </c>
      <c r="BE251" s="81">
        <v>1</v>
      </c>
      <c r="BF251" s="81"/>
      <c r="BG251" s="81">
        <v>120</v>
      </c>
      <c r="BH251" s="81">
        <v>4</v>
      </c>
      <c r="BI251" s="81">
        <v>8</v>
      </c>
      <c r="BJ251" s="81">
        <v>53</v>
      </c>
      <c r="BK251" s="81"/>
      <c r="BL251" s="81">
        <v>0</v>
      </c>
      <c r="BM251" s="81">
        <v>19</v>
      </c>
      <c r="BN251" s="81">
        <v>330</v>
      </c>
      <c r="BO251" s="83">
        <v>329</v>
      </c>
      <c r="BP251" s="81">
        <v>106</v>
      </c>
      <c r="BQ251" s="81"/>
      <c r="BR251" s="81"/>
      <c r="BS251" s="81">
        <v>72</v>
      </c>
      <c r="BT251" s="81"/>
      <c r="BU251" s="81"/>
      <c r="BV251" s="81"/>
      <c r="BW251" s="81"/>
      <c r="BX251" s="81"/>
      <c r="BY251" s="81">
        <v>34</v>
      </c>
      <c r="BZ251" s="81">
        <v>5</v>
      </c>
      <c r="CA251" s="81">
        <v>217</v>
      </c>
      <c r="CB251" s="83">
        <v>217</v>
      </c>
      <c r="CC251" s="81">
        <v>47</v>
      </c>
      <c r="CD251" s="81">
        <v>61</v>
      </c>
      <c r="CE251" s="81">
        <v>109</v>
      </c>
      <c r="CF251" s="81">
        <v>108</v>
      </c>
    </row>
    <row r="252" spans="1:84">
      <c r="A252" s="82">
        <v>42644</v>
      </c>
      <c r="B252" s="81">
        <v>221</v>
      </c>
      <c r="C252" s="81">
        <v>2</v>
      </c>
      <c r="D252" s="81">
        <v>0</v>
      </c>
      <c r="E252" s="81"/>
      <c r="F252" s="81">
        <v>203</v>
      </c>
      <c r="G252" s="81">
        <v>9</v>
      </c>
      <c r="H252" s="81">
        <v>13</v>
      </c>
      <c r="I252" s="81"/>
      <c r="J252" s="81"/>
      <c r="K252" s="81">
        <v>1</v>
      </c>
      <c r="L252" s="81">
        <v>28</v>
      </c>
      <c r="M252" s="81">
        <v>477</v>
      </c>
      <c r="N252" s="83">
        <v>477</v>
      </c>
      <c r="O252" s="85">
        <v>198</v>
      </c>
      <c r="P252" s="85">
        <v>2</v>
      </c>
      <c r="Q252" s="85">
        <v>171</v>
      </c>
      <c r="R252" s="85">
        <v>59</v>
      </c>
      <c r="S252" s="85">
        <v>3</v>
      </c>
      <c r="T252" s="85"/>
      <c r="U252" s="85"/>
      <c r="V252" s="85"/>
      <c r="W252" s="85"/>
      <c r="X252" s="85">
        <v>2</v>
      </c>
      <c r="Y252" s="85">
        <v>435</v>
      </c>
      <c r="Z252" s="83">
        <v>435</v>
      </c>
      <c r="AA252" s="85">
        <v>43</v>
      </c>
      <c r="AB252" s="85">
        <v>0</v>
      </c>
      <c r="AC252" s="81"/>
      <c r="AD252" s="81"/>
      <c r="AE252" s="85">
        <v>87</v>
      </c>
      <c r="AF252" s="85">
        <v>4</v>
      </c>
      <c r="AG252" s="81"/>
      <c r="AH252" s="81"/>
      <c r="AI252" s="81"/>
      <c r="AJ252" s="81"/>
      <c r="AK252" s="81">
        <v>0</v>
      </c>
      <c r="AL252" s="81"/>
      <c r="AM252" s="81"/>
      <c r="AN252" s="81">
        <v>140</v>
      </c>
      <c r="AO252" s="83">
        <v>134</v>
      </c>
      <c r="AP252" s="81">
        <v>19</v>
      </c>
      <c r="AQ252" s="81"/>
      <c r="AR252" s="81">
        <v>3</v>
      </c>
      <c r="AS252" s="81">
        <v>27</v>
      </c>
      <c r="AT252" s="81">
        <v>6</v>
      </c>
      <c r="AU252" s="81"/>
      <c r="AV252" s="81">
        <v>4</v>
      </c>
      <c r="AW252" s="81">
        <v>22</v>
      </c>
      <c r="AX252" s="81"/>
      <c r="AY252" s="81"/>
      <c r="AZ252" s="81"/>
      <c r="BA252" s="81">
        <v>4</v>
      </c>
      <c r="BB252" s="81">
        <v>91</v>
      </c>
      <c r="BC252" s="83">
        <v>85</v>
      </c>
      <c r="BD252" s="81">
        <v>167</v>
      </c>
      <c r="BE252" s="81">
        <v>1</v>
      </c>
      <c r="BF252" s="81"/>
      <c r="BG252" s="81">
        <v>113</v>
      </c>
      <c r="BH252" s="81">
        <v>4</v>
      </c>
      <c r="BI252" s="81">
        <v>7</v>
      </c>
      <c r="BJ252" s="81">
        <v>50</v>
      </c>
      <c r="BK252" s="81"/>
      <c r="BL252" s="81">
        <v>1</v>
      </c>
      <c r="BM252" s="81">
        <v>17</v>
      </c>
      <c r="BN252" s="81">
        <v>359</v>
      </c>
      <c r="BO252" s="83">
        <v>360</v>
      </c>
      <c r="BP252" s="81">
        <v>110</v>
      </c>
      <c r="BQ252" s="81"/>
      <c r="BR252" s="81"/>
      <c r="BS252" s="81">
        <v>83</v>
      </c>
      <c r="BT252" s="81"/>
      <c r="BU252" s="81"/>
      <c r="BV252" s="81"/>
      <c r="BW252" s="81"/>
      <c r="BX252" s="81"/>
      <c r="BY252" s="81">
        <v>36</v>
      </c>
      <c r="BZ252" s="81">
        <v>6</v>
      </c>
      <c r="CA252" s="81">
        <v>235</v>
      </c>
      <c r="CB252" s="83">
        <v>235</v>
      </c>
      <c r="CC252" s="81">
        <v>76</v>
      </c>
      <c r="CD252" s="81">
        <v>44</v>
      </c>
      <c r="CE252" s="81">
        <v>120</v>
      </c>
      <c r="CF252" s="81">
        <v>240</v>
      </c>
    </row>
    <row r="253" spans="1:84">
      <c r="A253" s="82">
        <v>42675</v>
      </c>
      <c r="B253" s="81">
        <v>198</v>
      </c>
      <c r="C253" s="81">
        <v>2</v>
      </c>
      <c r="D253" s="81">
        <v>0</v>
      </c>
      <c r="E253" s="81"/>
      <c r="F253" s="81">
        <v>231</v>
      </c>
      <c r="G253" s="81">
        <v>9</v>
      </c>
      <c r="H253" s="81">
        <v>14</v>
      </c>
      <c r="I253" s="81"/>
      <c r="J253" s="81"/>
      <c r="K253" s="81">
        <v>0</v>
      </c>
      <c r="L253" s="81">
        <v>27</v>
      </c>
      <c r="M253" s="81">
        <v>481</v>
      </c>
      <c r="N253" s="83">
        <v>481</v>
      </c>
      <c r="O253" s="85">
        <v>184</v>
      </c>
      <c r="P253" s="85">
        <v>2</v>
      </c>
      <c r="Q253" s="85">
        <v>157</v>
      </c>
      <c r="R253" s="85">
        <v>57</v>
      </c>
      <c r="S253" s="85">
        <v>4</v>
      </c>
      <c r="T253" s="85"/>
      <c r="U253" s="85"/>
      <c r="V253" s="85"/>
      <c r="W253" s="85"/>
      <c r="X253" s="85">
        <v>2</v>
      </c>
      <c r="Y253" s="85">
        <v>405</v>
      </c>
      <c r="Z253" s="83">
        <v>406</v>
      </c>
      <c r="AA253" s="85">
        <v>39</v>
      </c>
      <c r="AB253" s="85">
        <v>0</v>
      </c>
      <c r="AC253" s="81"/>
      <c r="AD253" s="81"/>
      <c r="AE253" s="85">
        <v>100</v>
      </c>
      <c r="AF253" s="85">
        <v>4</v>
      </c>
      <c r="AG253" s="81"/>
      <c r="AH253" s="81"/>
      <c r="AI253" s="81"/>
      <c r="AJ253" s="81"/>
      <c r="AK253" s="81">
        <v>0</v>
      </c>
      <c r="AL253" s="81"/>
      <c r="AM253" s="81"/>
      <c r="AN253" s="81">
        <v>147</v>
      </c>
      <c r="AO253" s="83">
        <v>143</v>
      </c>
      <c r="AP253" s="81">
        <v>21</v>
      </c>
      <c r="AQ253" s="81"/>
      <c r="AR253" s="81">
        <v>2</v>
      </c>
      <c r="AS253" s="81">
        <v>33</v>
      </c>
      <c r="AT253" s="81">
        <v>6</v>
      </c>
      <c r="AU253" s="81"/>
      <c r="AV253" s="81">
        <v>4</v>
      </c>
      <c r="AW253" s="81">
        <v>21</v>
      </c>
      <c r="AX253" s="81"/>
      <c r="AY253" s="81"/>
      <c r="AZ253" s="81"/>
      <c r="BA253" s="81">
        <v>4</v>
      </c>
      <c r="BB253" s="81">
        <v>96</v>
      </c>
      <c r="BC253" s="83">
        <v>91</v>
      </c>
      <c r="BD253" s="81">
        <v>150</v>
      </c>
      <c r="BE253" s="81">
        <v>1</v>
      </c>
      <c r="BF253" s="81"/>
      <c r="BG253" s="81">
        <v>127</v>
      </c>
      <c r="BH253" s="81">
        <v>4</v>
      </c>
      <c r="BI253" s="81">
        <v>8</v>
      </c>
      <c r="BJ253" s="81">
        <v>53</v>
      </c>
      <c r="BK253" s="81"/>
      <c r="BL253" s="81">
        <v>0</v>
      </c>
      <c r="BM253" s="81">
        <v>17</v>
      </c>
      <c r="BN253" s="81">
        <v>360</v>
      </c>
      <c r="BO253" s="83">
        <v>360</v>
      </c>
      <c r="BP253" s="81">
        <v>112</v>
      </c>
      <c r="BQ253" s="81"/>
      <c r="BR253" s="81"/>
      <c r="BS253" s="81">
        <v>92</v>
      </c>
      <c r="BT253" s="81"/>
      <c r="BU253" s="81"/>
      <c r="BV253" s="81"/>
      <c r="BW253" s="81"/>
      <c r="BX253" s="81"/>
      <c r="BY253" s="81">
        <v>35</v>
      </c>
      <c r="BZ253" s="81">
        <v>6</v>
      </c>
      <c r="CA253" s="81">
        <v>245</v>
      </c>
      <c r="CB253" s="83">
        <v>245</v>
      </c>
      <c r="CC253" s="81">
        <v>54</v>
      </c>
      <c r="CD253" s="81">
        <v>79</v>
      </c>
      <c r="CE253" s="81">
        <v>133</v>
      </c>
      <c r="CF253" s="81">
        <v>266</v>
      </c>
    </row>
    <row r="254" spans="1:84">
      <c r="A254" s="82">
        <v>42705</v>
      </c>
      <c r="B254" s="81">
        <v>189</v>
      </c>
      <c r="C254" s="81">
        <v>2</v>
      </c>
      <c r="D254" s="81">
        <v>0</v>
      </c>
      <c r="E254" s="81"/>
      <c r="F254" s="81">
        <v>205</v>
      </c>
      <c r="G254" s="81">
        <v>8</v>
      </c>
      <c r="H254" s="81">
        <v>12</v>
      </c>
      <c r="I254" s="81"/>
      <c r="J254" s="81"/>
      <c r="K254" s="81">
        <v>0</v>
      </c>
      <c r="L254" s="81">
        <v>30</v>
      </c>
      <c r="M254" s="81">
        <v>447</v>
      </c>
      <c r="N254" s="83">
        <v>446</v>
      </c>
      <c r="O254" s="85">
        <v>185</v>
      </c>
      <c r="P254" s="85">
        <v>2</v>
      </c>
      <c r="Q254" s="85">
        <v>157</v>
      </c>
      <c r="R254" s="85">
        <v>57</v>
      </c>
      <c r="S254" s="85">
        <v>4</v>
      </c>
      <c r="T254" s="85"/>
      <c r="U254" s="85"/>
      <c r="V254" s="85"/>
      <c r="W254" s="85"/>
      <c r="X254" s="85">
        <v>2</v>
      </c>
      <c r="Y254" s="85">
        <v>405</v>
      </c>
      <c r="Z254" s="83">
        <v>407</v>
      </c>
      <c r="AA254" s="85">
        <v>37</v>
      </c>
      <c r="AB254" s="85">
        <v>0</v>
      </c>
      <c r="AC254" s="81"/>
      <c r="AD254" s="81"/>
      <c r="AE254" s="85">
        <v>89</v>
      </c>
      <c r="AF254" s="85">
        <v>4</v>
      </c>
      <c r="AG254" s="85">
        <v>6</v>
      </c>
      <c r="AH254" s="81"/>
      <c r="AI254" s="81"/>
      <c r="AJ254" s="81"/>
      <c r="AK254" s="81">
        <v>0</v>
      </c>
      <c r="AL254" s="81"/>
      <c r="AM254" s="81"/>
      <c r="AN254" s="81">
        <v>135</v>
      </c>
      <c r="AO254" s="83">
        <v>136</v>
      </c>
      <c r="AP254" s="81">
        <v>17</v>
      </c>
      <c r="AQ254" s="81"/>
      <c r="AR254" s="81">
        <v>3</v>
      </c>
      <c r="AS254" s="81">
        <v>28</v>
      </c>
      <c r="AT254" s="81">
        <v>6</v>
      </c>
      <c r="AU254" s="81">
        <v>6</v>
      </c>
      <c r="AV254" s="81">
        <v>3</v>
      </c>
      <c r="AW254" s="81">
        <v>20</v>
      </c>
      <c r="AX254" s="81">
        <v>2</v>
      </c>
      <c r="AY254" s="81"/>
      <c r="AZ254" s="81"/>
      <c r="BA254" s="81">
        <v>3</v>
      </c>
      <c r="BB254" s="81">
        <v>86</v>
      </c>
      <c r="BC254" s="83">
        <v>88</v>
      </c>
      <c r="BD254" s="81">
        <v>141</v>
      </c>
      <c r="BE254" s="81">
        <v>1</v>
      </c>
      <c r="BF254" s="81"/>
      <c r="BG254" s="81">
        <v>113</v>
      </c>
      <c r="BH254" s="81">
        <v>3</v>
      </c>
      <c r="BI254" s="81">
        <v>7</v>
      </c>
      <c r="BJ254" s="81">
        <v>47</v>
      </c>
      <c r="BK254" s="81"/>
      <c r="BL254" s="81">
        <v>0</v>
      </c>
      <c r="BM254" s="81">
        <v>17</v>
      </c>
      <c r="BN254" s="81">
        <v>329</v>
      </c>
      <c r="BO254" s="83">
        <v>329</v>
      </c>
      <c r="BP254" s="81">
        <v>100</v>
      </c>
      <c r="BQ254" s="81"/>
      <c r="BR254" s="81"/>
      <c r="BS254" s="81">
        <v>68</v>
      </c>
      <c r="BT254" s="81"/>
      <c r="BU254" s="81"/>
      <c r="BV254" s="81"/>
      <c r="BW254" s="81"/>
      <c r="BX254" s="81"/>
      <c r="BY254" s="81">
        <v>32</v>
      </c>
      <c r="BZ254" s="81">
        <v>4</v>
      </c>
      <c r="CA254" s="81">
        <v>204</v>
      </c>
      <c r="CB254" s="83">
        <v>204</v>
      </c>
      <c r="CC254" s="81">
        <v>49</v>
      </c>
      <c r="CD254" s="81">
        <v>44</v>
      </c>
      <c r="CE254" s="81">
        <v>88</v>
      </c>
      <c r="CF254" s="81">
        <v>181</v>
      </c>
    </row>
    <row r="255" spans="1:84">
      <c r="A255" s="82">
        <v>42736</v>
      </c>
      <c r="B255" s="81">
        <v>213</v>
      </c>
      <c r="C255" s="81">
        <v>2</v>
      </c>
      <c r="D255" s="81">
        <v>0</v>
      </c>
      <c r="E255" s="81"/>
      <c r="F255" s="81">
        <v>207</v>
      </c>
      <c r="G255" s="81">
        <v>8</v>
      </c>
      <c r="H255" s="81">
        <v>12</v>
      </c>
      <c r="I255" s="81"/>
      <c r="J255" s="81"/>
      <c r="K255" s="81">
        <v>1</v>
      </c>
      <c r="L255" s="81">
        <v>25</v>
      </c>
      <c r="M255" s="81">
        <v>468</v>
      </c>
      <c r="N255" s="83">
        <v>468</v>
      </c>
      <c r="O255" s="85">
        <v>120</v>
      </c>
      <c r="P255" s="85">
        <v>2</v>
      </c>
      <c r="Q255" s="85">
        <v>150</v>
      </c>
      <c r="R255" s="85">
        <v>51</v>
      </c>
      <c r="S255" s="85">
        <v>3</v>
      </c>
      <c r="T255" s="85"/>
      <c r="U255" s="85"/>
      <c r="V255" s="85"/>
      <c r="W255" s="85"/>
      <c r="X255" s="85">
        <v>2</v>
      </c>
      <c r="Y255" s="85">
        <v>328</v>
      </c>
      <c r="Z255" s="83">
        <v>328</v>
      </c>
      <c r="AA255" s="85">
        <v>41</v>
      </c>
      <c r="AB255" s="85">
        <v>0</v>
      </c>
      <c r="AC255" s="81"/>
      <c r="AD255" s="81"/>
      <c r="AE255" s="85">
        <v>89</v>
      </c>
      <c r="AF255" s="85">
        <v>4</v>
      </c>
      <c r="AG255" s="85">
        <v>5</v>
      </c>
      <c r="AH255" s="81"/>
      <c r="AI255" s="81"/>
      <c r="AJ255" s="81"/>
      <c r="AK255" s="81">
        <v>0</v>
      </c>
      <c r="AL255" s="81"/>
      <c r="AM255" s="81"/>
      <c r="AN255" s="81">
        <v>140</v>
      </c>
      <c r="AO255" s="83">
        <v>139</v>
      </c>
      <c r="AP255" s="81">
        <v>22</v>
      </c>
      <c r="AQ255" s="81"/>
      <c r="AR255" s="81">
        <v>2</v>
      </c>
      <c r="AS255" s="81">
        <v>33</v>
      </c>
      <c r="AT255" s="81">
        <v>6</v>
      </c>
      <c r="AU255" s="81">
        <v>6</v>
      </c>
      <c r="AV255" s="81">
        <v>3</v>
      </c>
      <c r="AW255" s="81">
        <v>17</v>
      </c>
      <c r="AX255" s="81"/>
      <c r="AY255" s="81"/>
      <c r="AZ255" s="81"/>
      <c r="BA255" s="81">
        <v>3</v>
      </c>
      <c r="BB255" s="81">
        <v>99</v>
      </c>
      <c r="BC255" s="83">
        <v>92</v>
      </c>
      <c r="BD255" s="81">
        <v>159</v>
      </c>
      <c r="BE255" s="81">
        <v>1</v>
      </c>
      <c r="BF255" s="81"/>
      <c r="BG255" s="81">
        <v>113</v>
      </c>
      <c r="BH255" s="81">
        <v>3</v>
      </c>
      <c r="BI255" s="81">
        <v>6</v>
      </c>
      <c r="BJ255" s="81">
        <v>44</v>
      </c>
      <c r="BK255" s="81"/>
      <c r="BL255" s="81">
        <v>1</v>
      </c>
      <c r="BM255" s="81">
        <v>11</v>
      </c>
      <c r="BN255" s="81">
        <v>339</v>
      </c>
      <c r="BO255" s="83">
        <v>338</v>
      </c>
      <c r="BP255" s="81">
        <v>141</v>
      </c>
      <c r="BQ255" s="81"/>
      <c r="BR255" s="81"/>
      <c r="BS255" s="81">
        <v>77</v>
      </c>
      <c r="BT255" s="81"/>
      <c r="BU255" s="81"/>
      <c r="BV255" s="81"/>
      <c r="BW255" s="81"/>
      <c r="BX255" s="81"/>
      <c r="BY255" s="81">
        <v>26</v>
      </c>
      <c r="BZ255" s="81">
        <v>5</v>
      </c>
      <c r="CA255" s="81">
        <v>249</v>
      </c>
      <c r="CB255" s="83">
        <v>249</v>
      </c>
      <c r="CC255" s="81">
        <v>71</v>
      </c>
      <c r="CD255" s="81">
        <v>62</v>
      </c>
      <c r="CE255" s="81">
        <v>133</v>
      </c>
      <c r="CF255" s="81">
        <v>133</v>
      </c>
    </row>
    <row r="256" spans="1:84">
      <c r="A256" s="82">
        <v>42767</v>
      </c>
      <c r="B256" s="81">
        <v>159</v>
      </c>
      <c r="C256" s="81">
        <v>2</v>
      </c>
      <c r="D256" s="81">
        <v>0</v>
      </c>
      <c r="E256" s="81"/>
      <c r="F256" s="81">
        <v>177</v>
      </c>
      <c r="G256" s="81">
        <v>8</v>
      </c>
      <c r="H256" s="81">
        <v>14</v>
      </c>
      <c r="I256" s="81"/>
      <c r="J256" s="81"/>
      <c r="K256" s="81">
        <v>0</v>
      </c>
      <c r="L256" s="81">
        <v>26</v>
      </c>
      <c r="M256" s="81">
        <v>387</v>
      </c>
      <c r="N256" s="83">
        <v>386</v>
      </c>
      <c r="O256" s="85">
        <v>191</v>
      </c>
      <c r="P256" s="85">
        <v>3</v>
      </c>
      <c r="Q256" s="85">
        <v>171</v>
      </c>
      <c r="R256" s="85">
        <v>52</v>
      </c>
      <c r="S256" s="85">
        <v>2</v>
      </c>
      <c r="T256" s="85"/>
      <c r="U256" s="85"/>
      <c r="V256" s="85"/>
      <c r="W256" s="85"/>
      <c r="X256" s="85">
        <v>2</v>
      </c>
      <c r="Y256" s="85">
        <v>421</v>
      </c>
      <c r="Z256" s="83">
        <v>421</v>
      </c>
      <c r="AA256" s="85">
        <v>30</v>
      </c>
      <c r="AB256" s="85">
        <v>0</v>
      </c>
      <c r="AC256" s="81"/>
      <c r="AD256" s="81"/>
      <c r="AE256" s="85">
        <v>77</v>
      </c>
      <c r="AF256" s="85">
        <v>4</v>
      </c>
      <c r="AG256" s="85">
        <v>6</v>
      </c>
      <c r="AH256" s="81"/>
      <c r="AI256" s="81"/>
      <c r="AJ256" s="81"/>
      <c r="AK256" s="81">
        <v>0</v>
      </c>
      <c r="AL256" s="81"/>
      <c r="AM256" s="81"/>
      <c r="AN256" s="81">
        <v>118</v>
      </c>
      <c r="AO256" s="83">
        <v>117</v>
      </c>
      <c r="AP256" s="81">
        <v>16</v>
      </c>
      <c r="AQ256" s="81"/>
      <c r="AR256" s="81">
        <v>3</v>
      </c>
      <c r="AS256" s="81">
        <v>32</v>
      </c>
      <c r="AT256" s="81">
        <v>6</v>
      </c>
      <c r="AU256" s="81">
        <v>5</v>
      </c>
      <c r="AV256" s="81">
        <v>3</v>
      </c>
      <c r="AW256" s="81">
        <v>21</v>
      </c>
      <c r="AX256" s="81"/>
      <c r="AY256" s="81"/>
      <c r="AZ256" s="81"/>
      <c r="BA256" s="81">
        <v>3</v>
      </c>
      <c r="BB256" s="81">
        <v>96</v>
      </c>
      <c r="BC256" s="83">
        <v>89</v>
      </c>
      <c r="BD256" s="81">
        <v>120</v>
      </c>
      <c r="BE256" s="81">
        <v>1</v>
      </c>
      <c r="BF256" s="81"/>
      <c r="BG256" s="81">
        <v>97</v>
      </c>
      <c r="BH256" s="81">
        <v>3</v>
      </c>
      <c r="BI256" s="81">
        <v>8</v>
      </c>
      <c r="BJ256" s="81">
        <v>52</v>
      </c>
      <c r="BK256" s="81"/>
      <c r="BL256" s="81">
        <v>0</v>
      </c>
      <c r="BM256" s="81">
        <v>12</v>
      </c>
      <c r="BN256" s="81">
        <v>293</v>
      </c>
      <c r="BO256" s="83">
        <v>293</v>
      </c>
      <c r="BP256" s="81">
        <v>107</v>
      </c>
      <c r="BQ256" s="81"/>
      <c r="BR256" s="81"/>
      <c r="BS256" s="81">
        <v>67</v>
      </c>
      <c r="BT256" s="81"/>
      <c r="BU256" s="81"/>
      <c r="BV256" s="81"/>
      <c r="BW256" s="81"/>
      <c r="BX256" s="81"/>
      <c r="BY256" s="81">
        <v>20</v>
      </c>
      <c r="BZ256" s="81">
        <v>4</v>
      </c>
      <c r="CA256" s="81">
        <v>198</v>
      </c>
      <c r="CB256" s="83">
        <v>198</v>
      </c>
      <c r="CC256" s="81">
        <v>57</v>
      </c>
      <c r="CD256" s="81">
        <v>51</v>
      </c>
      <c r="CE256" s="81">
        <v>109</v>
      </c>
      <c r="CF256" s="81">
        <v>108</v>
      </c>
    </row>
    <row r="257" spans="1:84">
      <c r="A257" s="82">
        <v>42795</v>
      </c>
      <c r="B257" s="81">
        <v>200</v>
      </c>
      <c r="C257" s="81">
        <v>2</v>
      </c>
      <c r="D257" s="81">
        <v>0</v>
      </c>
      <c r="E257" s="81"/>
      <c r="F257" s="81">
        <v>212</v>
      </c>
      <c r="G257" s="81">
        <v>10</v>
      </c>
      <c r="H257" s="81">
        <v>15</v>
      </c>
      <c r="I257" s="81"/>
      <c r="J257" s="81"/>
      <c r="K257" s="81">
        <v>0</v>
      </c>
      <c r="L257" s="81">
        <v>30</v>
      </c>
      <c r="M257" s="81">
        <v>469</v>
      </c>
      <c r="N257" s="83">
        <v>469</v>
      </c>
      <c r="O257" s="85">
        <v>204</v>
      </c>
      <c r="P257" s="85">
        <v>3</v>
      </c>
      <c r="Q257" s="85">
        <v>167</v>
      </c>
      <c r="R257" s="85">
        <v>48</v>
      </c>
      <c r="S257" s="85">
        <v>3</v>
      </c>
      <c r="T257" s="85"/>
      <c r="U257" s="85"/>
      <c r="V257" s="85"/>
      <c r="W257" s="85"/>
      <c r="X257" s="85">
        <v>2</v>
      </c>
      <c r="Y257" s="85">
        <v>426</v>
      </c>
      <c r="Z257" s="83">
        <v>427</v>
      </c>
      <c r="AA257" s="85">
        <v>39</v>
      </c>
      <c r="AB257" s="85">
        <v>0</v>
      </c>
      <c r="AC257" s="81"/>
      <c r="AD257" s="81"/>
      <c r="AE257" s="85">
        <v>92</v>
      </c>
      <c r="AF257" s="85">
        <v>5</v>
      </c>
      <c r="AG257" s="85">
        <v>7</v>
      </c>
      <c r="AH257" s="81"/>
      <c r="AI257" s="81"/>
      <c r="AJ257" s="81"/>
      <c r="AK257" s="81">
        <v>0</v>
      </c>
      <c r="AL257" s="81"/>
      <c r="AM257" s="81"/>
      <c r="AN257" s="81">
        <v>142</v>
      </c>
      <c r="AO257" s="83">
        <v>143</v>
      </c>
      <c r="AP257" s="81">
        <v>14</v>
      </c>
      <c r="AQ257" s="81"/>
      <c r="AR257" s="81">
        <v>3</v>
      </c>
      <c r="AS257" s="81">
        <v>27</v>
      </c>
      <c r="AT257" s="81">
        <v>6</v>
      </c>
      <c r="AU257" s="81">
        <v>5</v>
      </c>
      <c r="AV257" s="81">
        <v>2</v>
      </c>
      <c r="AW257" s="81">
        <v>19</v>
      </c>
      <c r="AX257" s="81"/>
      <c r="AY257" s="81"/>
      <c r="AZ257" s="81"/>
      <c r="BA257" s="81">
        <v>3</v>
      </c>
      <c r="BB257" s="81">
        <v>85</v>
      </c>
      <c r="BC257" s="83">
        <v>79</v>
      </c>
      <c r="BD257" s="81">
        <v>153</v>
      </c>
      <c r="BE257" s="81">
        <v>1</v>
      </c>
      <c r="BF257" s="81"/>
      <c r="BG257" s="81">
        <v>116</v>
      </c>
      <c r="BH257" s="81">
        <v>4</v>
      </c>
      <c r="BI257" s="81">
        <v>8</v>
      </c>
      <c r="BJ257" s="81">
        <v>57</v>
      </c>
      <c r="BK257" s="81"/>
      <c r="BL257" s="81">
        <v>0</v>
      </c>
      <c r="BM257" s="81">
        <v>14</v>
      </c>
      <c r="BN257" s="81">
        <v>353</v>
      </c>
      <c r="BO257" s="83">
        <v>353</v>
      </c>
      <c r="BP257" s="81">
        <v>105</v>
      </c>
      <c r="BQ257" s="81"/>
      <c r="BR257" s="81"/>
      <c r="BS257" s="81">
        <v>59</v>
      </c>
      <c r="BT257" s="81"/>
      <c r="BU257" s="81"/>
      <c r="BV257" s="81"/>
      <c r="BW257" s="81"/>
      <c r="BX257" s="81"/>
      <c r="BY257" s="81">
        <v>16</v>
      </c>
      <c r="BZ257" s="81">
        <v>3</v>
      </c>
      <c r="CA257" s="81">
        <v>183</v>
      </c>
      <c r="CB257" s="83">
        <v>183</v>
      </c>
      <c r="CC257" s="81">
        <v>46</v>
      </c>
      <c r="CD257" s="81">
        <v>39</v>
      </c>
      <c r="CE257" s="81">
        <v>85</v>
      </c>
      <c r="CF257" s="81">
        <v>85</v>
      </c>
    </row>
    <row r="258" spans="1:84">
      <c r="A258" s="82">
        <v>42826</v>
      </c>
      <c r="B258" s="81">
        <v>227</v>
      </c>
      <c r="C258" s="81">
        <v>2</v>
      </c>
      <c r="D258" s="81">
        <v>0</v>
      </c>
      <c r="E258" s="81"/>
      <c r="F258" s="81">
        <v>215</v>
      </c>
      <c r="G258" s="81">
        <v>9</v>
      </c>
      <c r="H258" s="81">
        <v>15</v>
      </c>
      <c r="I258" s="81"/>
      <c r="J258" s="81"/>
      <c r="K258" s="81">
        <v>1</v>
      </c>
      <c r="L258" s="81">
        <v>28</v>
      </c>
      <c r="M258" s="81">
        <v>497</v>
      </c>
      <c r="N258" s="83">
        <v>497</v>
      </c>
      <c r="O258" s="85">
        <v>230</v>
      </c>
      <c r="P258" s="85">
        <v>3</v>
      </c>
      <c r="Q258" s="85">
        <v>130</v>
      </c>
      <c r="R258" s="85">
        <v>45</v>
      </c>
      <c r="S258" s="85">
        <v>3</v>
      </c>
      <c r="T258" s="85"/>
      <c r="U258" s="85"/>
      <c r="V258" s="85"/>
      <c r="W258" s="85"/>
      <c r="X258" s="85">
        <v>2</v>
      </c>
      <c r="Y258" s="85">
        <v>413</v>
      </c>
      <c r="Z258" s="83">
        <v>413</v>
      </c>
      <c r="AA258" s="85">
        <v>44</v>
      </c>
      <c r="AB258" s="85">
        <v>0</v>
      </c>
      <c r="AC258" s="81"/>
      <c r="AD258" s="81"/>
      <c r="AE258" s="85">
        <v>96</v>
      </c>
      <c r="AF258" s="85">
        <v>4</v>
      </c>
      <c r="AG258" s="85">
        <v>7</v>
      </c>
      <c r="AH258" s="81"/>
      <c r="AI258" s="81"/>
      <c r="AJ258" s="81"/>
      <c r="AK258" s="81">
        <v>0</v>
      </c>
      <c r="AL258" s="81"/>
      <c r="AM258" s="81"/>
      <c r="AN258" s="81">
        <v>151</v>
      </c>
      <c r="AO258" s="83">
        <v>151</v>
      </c>
      <c r="AP258" s="81">
        <v>16</v>
      </c>
      <c r="AQ258" s="81"/>
      <c r="AR258" s="81">
        <v>2</v>
      </c>
      <c r="AS258" s="81">
        <v>29</v>
      </c>
      <c r="AT258" s="81">
        <v>6</v>
      </c>
      <c r="AU258" s="81">
        <v>6</v>
      </c>
      <c r="AV258" s="81">
        <v>3</v>
      </c>
      <c r="AW258" s="81">
        <v>13</v>
      </c>
      <c r="AX258" s="81"/>
      <c r="AY258" s="81"/>
      <c r="AZ258" s="81"/>
      <c r="BA258" s="81">
        <v>3</v>
      </c>
      <c r="BB258" s="81">
        <v>82</v>
      </c>
      <c r="BC258" s="83">
        <v>78</v>
      </c>
      <c r="BD258" s="81">
        <v>173</v>
      </c>
      <c r="BE258" s="81">
        <v>1</v>
      </c>
      <c r="BF258" s="81"/>
      <c r="BG258" s="81">
        <v>118</v>
      </c>
      <c r="BH258" s="81">
        <v>4</v>
      </c>
      <c r="BI258" s="81">
        <v>8</v>
      </c>
      <c r="BJ258" s="81">
        <v>57</v>
      </c>
      <c r="BK258" s="81"/>
      <c r="BL258" s="81">
        <v>1</v>
      </c>
      <c r="BM258" s="81">
        <v>17</v>
      </c>
      <c r="BN258" s="81">
        <v>379</v>
      </c>
      <c r="BO258" s="83">
        <v>379</v>
      </c>
      <c r="BP258" s="81">
        <v>122</v>
      </c>
      <c r="BQ258" s="81"/>
      <c r="BR258" s="81"/>
      <c r="BS258" s="81">
        <v>65</v>
      </c>
      <c r="BT258" s="81"/>
      <c r="BU258" s="81"/>
      <c r="BV258" s="81"/>
      <c r="BW258" s="81"/>
      <c r="BX258" s="81"/>
      <c r="BY258" s="81">
        <v>16</v>
      </c>
      <c r="BZ258" s="81">
        <v>3</v>
      </c>
      <c r="CA258" s="81">
        <v>206</v>
      </c>
      <c r="CB258" s="83">
        <v>206</v>
      </c>
      <c r="CC258" s="81">
        <v>78</v>
      </c>
      <c r="CD258" s="81">
        <v>46</v>
      </c>
      <c r="CE258" s="81">
        <v>124</v>
      </c>
      <c r="CF258" s="81">
        <v>124</v>
      </c>
    </row>
    <row r="259" spans="1:84">
      <c r="A259" s="82">
        <v>42856</v>
      </c>
      <c r="B259" s="81">
        <v>200</v>
      </c>
      <c r="C259" s="81">
        <v>2</v>
      </c>
      <c r="D259" s="81">
        <v>0</v>
      </c>
      <c r="E259" s="81"/>
      <c r="F259" s="81">
        <v>204</v>
      </c>
      <c r="G259" s="81">
        <v>8</v>
      </c>
      <c r="H259" s="81">
        <v>16</v>
      </c>
      <c r="I259" s="81"/>
      <c r="J259" s="81"/>
      <c r="K259" s="81">
        <v>0</v>
      </c>
      <c r="L259" s="81">
        <v>29</v>
      </c>
      <c r="M259" s="81">
        <v>459</v>
      </c>
      <c r="N259" s="83">
        <v>459</v>
      </c>
      <c r="O259" s="85">
        <v>249</v>
      </c>
      <c r="P259" s="85">
        <v>3</v>
      </c>
      <c r="Q259" s="85">
        <v>173</v>
      </c>
      <c r="R259" s="85">
        <v>42</v>
      </c>
      <c r="S259" s="85">
        <v>3</v>
      </c>
      <c r="T259" s="85"/>
      <c r="U259" s="85"/>
      <c r="V259" s="85"/>
      <c r="W259" s="85"/>
      <c r="X259" s="85">
        <v>1</v>
      </c>
      <c r="Y259" s="85">
        <v>472</v>
      </c>
      <c r="Z259" s="83">
        <v>471</v>
      </c>
      <c r="AA259" s="85">
        <v>39</v>
      </c>
      <c r="AB259" s="85">
        <v>0</v>
      </c>
      <c r="AC259" s="81"/>
      <c r="AD259" s="81"/>
      <c r="AE259" s="85">
        <v>89</v>
      </c>
      <c r="AF259" s="85">
        <v>4</v>
      </c>
      <c r="AG259" s="85">
        <v>7</v>
      </c>
      <c r="AH259" s="81"/>
      <c r="AI259" s="81"/>
      <c r="AJ259" s="81"/>
      <c r="AK259" s="81">
        <v>0</v>
      </c>
      <c r="AL259" s="81"/>
      <c r="AM259" s="81"/>
      <c r="AN259" s="81">
        <v>139</v>
      </c>
      <c r="AO259" s="83">
        <v>139</v>
      </c>
      <c r="AP259" s="81">
        <v>18</v>
      </c>
      <c r="AQ259" s="81"/>
      <c r="AR259" s="81">
        <v>3</v>
      </c>
      <c r="AS259" s="81">
        <v>34</v>
      </c>
      <c r="AT259" s="81">
        <v>6</v>
      </c>
      <c r="AU259" s="81">
        <v>6</v>
      </c>
      <c r="AV259" s="81"/>
      <c r="AW259" s="81">
        <v>16</v>
      </c>
      <c r="AX259" s="81"/>
      <c r="AY259" s="81"/>
      <c r="AZ259" s="81"/>
      <c r="BA259" s="81">
        <v>4</v>
      </c>
      <c r="BB259" s="81">
        <v>95</v>
      </c>
      <c r="BC259" s="83">
        <v>87</v>
      </c>
      <c r="BD259" s="81">
        <v>152</v>
      </c>
      <c r="BE259" s="81">
        <v>1</v>
      </c>
      <c r="BF259" s="81"/>
      <c r="BG259" s="81">
        <v>112</v>
      </c>
      <c r="BH259" s="81">
        <v>3</v>
      </c>
      <c r="BI259" s="81">
        <v>9</v>
      </c>
      <c r="BJ259" s="81">
        <v>61</v>
      </c>
      <c r="BK259" s="81"/>
      <c r="BL259" s="81">
        <v>0</v>
      </c>
      <c r="BM259" s="81">
        <v>16</v>
      </c>
      <c r="BN259" s="81">
        <v>355</v>
      </c>
      <c r="BO259" s="83">
        <v>354</v>
      </c>
      <c r="BP259" s="81">
        <v>129</v>
      </c>
      <c r="BQ259" s="81"/>
      <c r="BR259" s="81"/>
      <c r="BS259" s="81">
        <v>58</v>
      </c>
      <c r="BT259" s="81"/>
      <c r="BU259" s="81"/>
      <c r="BV259" s="81"/>
      <c r="BW259" s="81"/>
      <c r="BX259" s="81"/>
      <c r="BY259" s="81">
        <v>17</v>
      </c>
      <c r="BZ259" s="81">
        <v>4</v>
      </c>
      <c r="CA259" s="81">
        <v>208</v>
      </c>
      <c r="CB259" s="83">
        <v>208</v>
      </c>
      <c r="CC259" s="81">
        <v>82</v>
      </c>
      <c r="CD259" s="81">
        <v>45</v>
      </c>
      <c r="CE259" s="81">
        <v>127</v>
      </c>
      <c r="CF259" s="81">
        <v>127</v>
      </c>
    </row>
    <row r="260" spans="1:84">
      <c r="A260" s="82">
        <v>42887</v>
      </c>
      <c r="B260" s="81">
        <v>201</v>
      </c>
      <c r="C260" s="81">
        <v>3</v>
      </c>
      <c r="D260" s="81">
        <v>0</v>
      </c>
      <c r="E260" s="81"/>
      <c r="F260" s="81">
        <v>209</v>
      </c>
      <c r="G260" s="81">
        <v>10</v>
      </c>
      <c r="H260" s="81">
        <v>17</v>
      </c>
      <c r="I260" s="81"/>
      <c r="J260" s="81"/>
      <c r="K260" s="81">
        <v>0</v>
      </c>
      <c r="L260" s="81">
        <v>28</v>
      </c>
      <c r="M260" s="81">
        <v>467</v>
      </c>
      <c r="N260" s="83">
        <v>468</v>
      </c>
      <c r="O260" s="85">
        <v>247</v>
      </c>
      <c r="P260" s="85">
        <v>2</v>
      </c>
      <c r="Q260" s="85">
        <v>193</v>
      </c>
      <c r="R260" s="85">
        <v>43</v>
      </c>
      <c r="S260" s="85">
        <v>3</v>
      </c>
      <c r="T260" s="85"/>
      <c r="U260" s="85"/>
      <c r="V260" s="85"/>
      <c r="W260" s="85"/>
      <c r="X260" s="85">
        <v>1</v>
      </c>
      <c r="Y260" s="85">
        <v>489</v>
      </c>
      <c r="Z260" s="83">
        <v>489</v>
      </c>
      <c r="AA260" s="85">
        <v>39</v>
      </c>
      <c r="AB260" s="85">
        <v>1</v>
      </c>
      <c r="AC260" s="81"/>
      <c r="AD260" s="81"/>
      <c r="AE260" s="85">
        <v>91</v>
      </c>
      <c r="AF260" s="85">
        <v>5</v>
      </c>
      <c r="AG260" s="85">
        <v>7</v>
      </c>
      <c r="AH260" s="81"/>
      <c r="AI260" s="81"/>
      <c r="AJ260" s="81"/>
      <c r="AK260" s="81">
        <v>0</v>
      </c>
      <c r="AL260" s="81"/>
      <c r="AM260" s="81"/>
      <c r="AN260" s="81">
        <v>143</v>
      </c>
      <c r="AO260" s="83">
        <v>143</v>
      </c>
      <c r="AP260" s="81">
        <v>16</v>
      </c>
      <c r="AQ260" s="81"/>
      <c r="AR260" s="81">
        <v>2</v>
      </c>
      <c r="AS260" s="81">
        <v>35</v>
      </c>
      <c r="AT260" s="81">
        <v>6</v>
      </c>
      <c r="AU260" s="81">
        <v>6</v>
      </c>
      <c r="AV260" s="81"/>
      <c r="AW260" s="81">
        <v>18</v>
      </c>
      <c r="AX260" s="81"/>
      <c r="AY260" s="81"/>
      <c r="AZ260" s="81"/>
      <c r="BA260" s="81">
        <v>3</v>
      </c>
      <c r="BB260" s="81">
        <v>96</v>
      </c>
      <c r="BC260" s="83">
        <v>86</v>
      </c>
      <c r="BD260" s="81">
        <v>151</v>
      </c>
      <c r="BE260" s="81">
        <v>1</v>
      </c>
      <c r="BF260" s="81"/>
      <c r="BG260" s="81">
        <v>114</v>
      </c>
      <c r="BH260" s="81">
        <v>4</v>
      </c>
      <c r="BI260" s="81">
        <v>10</v>
      </c>
      <c r="BJ260" s="81">
        <v>61</v>
      </c>
      <c r="BK260" s="81"/>
      <c r="BL260" s="81">
        <v>0</v>
      </c>
      <c r="BM260" s="81">
        <v>17</v>
      </c>
      <c r="BN260" s="81">
        <v>360</v>
      </c>
      <c r="BO260" s="83">
        <v>358</v>
      </c>
      <c r="BP260" s="81">
        <v>110</v>
      </c>
      <c r="BQ260" s="81"/>
      <c r="BR260" s="81"/>
      <c r="BS260" s="81">
        <v>53</v>
      </c>
      <c r="BT260" s="81"/>
      <c r="BU260" s="81"/>
      <c r="BV260" s="81"/>
      <c r="BW260" s="81"/>
      <c r="BX260" s="81"/>
      <c r="BY260" s="81">
        <v>19</v>
      </c>
      <c r="BZ260" s="81">
        <v>4</v>
      </c>
      <c r="CA260" s="81">
        <v>186</v>
      </c>
      <c r="CB260" s="83">
        <v>186</v>
      </c>
      <c r="CC260" s="81">
        <v>60</v>
      </c>
      <c r="CD260" s="81">
        <v>41</v>
      </c>
      <c r="CE260" s="81">
        <v>100</v>
      </c>
      <c r="CF260" s="81">
        <v>101</v>
      </c>
    </row>
    <row r="261" spans="1:84">
      <c r="A261" s="82">
        <v>42917</v>
      </c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</row>
    <row r="262" spans="1:84">
      <c r="A262" s="82">
        <v>42948</v>
      </c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</row>
    <row r="263" spans="1:84">
      <c r="A263" s="82">
        <v>42979</v>
      </c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</row>
    <row r="264" spans="1:84">
      <c r="A264" s="82">
        <v>43009</v>
      </c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</row>
    <row r="265" spans="1:84">
      <c r="A265" s="82">
        <v>43040</v>
      </c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</row>
    <row r="266" spans="1:84">
      <c r="A266" s="82">
        <v>43070</v>
      </c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</row>
    <row r="267" spans="1:84">
      <c r="A267" s="82">
        <v>43101</v>
      </c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</row>
    <row r="268" spans="1:84">
      <c r="A268" s="82">
        <v>43132</v>
      </c>
    </row>
    <row r="269" spans="1:84">
      <c r="A269" s="82">
        <v>43160</v>
      </c>
    </row>
    <row r="270" spans="1:84">
      <c r="A270" s="82">
        <v>43191</v>
      </c>
    </row>
    <row r="271" spans="1:84">
      <c r="A271" s="82">
        <v>43221</v>
      </c>
    </row>
    <row r="272" spans="1:84">
      <c r="A272" s="82">
        <v>43252</v>
      </c>
    </row>
    <row r="273" spans="1:1">
      <c r="A273" s="82">
        <v>43282</v>
      </c>
    </row>
    <row r="274" spans="1:1">
      <c r="A274" s="82">
        <v>43313</v>
      </c>
    </row>
    <row r="275" spans="1:1">
      <c r="A275" s="82">
        <v>43344</v>
      </c>
    </row>
    <row r="276" spans="1:1">
      <c r="A276" s="82">
        <v>43374</v>
      </c>
    </row>
    <row r="277" spans="1:1">
      <c r="A277" s="82">
        <v>43405</v>
      </c>
    </row>
    <row r="278" spans="1:1">
      <c r="A278" s="82">
        <v>43435</v>
      </c>
    </row>
    <row r="279" spans="1:1">
      <c r="A279" s="82">
        <v>43466</v>
      </c>
    </row>
    <row r="280" spans="1:1">
      <c r="A280" s="82">
        <v>43497</v>
      </c>
    </row>
    <row r="281" spans="1:1">
      <c r="A281" s="82">
        <v>43525</v>
      </c>
    </row>
    <row r="282" spans="1:1">
      <c r="A282" s="82">
        <v>43556</v>
      </c>
    </row>
    <row r="283" spans="1:1">
      <c r="A283" s="82">
        <v>43586</v>
      </c>
    </row>
    <row r="284" spans="1:1">
      <c r="A284" s="82">
        <v>43617</v>
      </c>
    </row>
    <row r="285" spans="1:1">
      <c r="A285" s="82">
        <v>43647</v>
      </c>
    </row>
    <row r="286" spans="1:1">
      <c r="A286" s="82">
        <v>43678</v>
      </c>
    </row>
    <row r="287" spans="1:1">
      <c r="A287" s="82">
        <v>43709</v>
      </c>
    </row>
    <row r="288" spans="1:1">
      <c r="A288" s="82">
        <v>43739</v>
      </c>
    </row>
    <row r="289" spans="1:26">
      <c r="A289" s="82">
        <v>43770</v>
      </c>
    </row>
    <row r="290" spans="1:26">
      <c r="A290" s="82">
        <v>43800</v>
      </c>
    </row>
    <row r="291" spans="1:26">
      <c r="A291" s="82">
        <v>43831</v>
      </c>
    </row>
    <row r="292" spans="1:26">
      <c r="A292" s="82">
        <v>43862</v>
      </c>
    </row>
    <row r="293" spans="1:26">
      <c r="A293" s="82">
        <v>43891</v>
      </c>
    </row>
    <row r="294" spans="1:26">
      <c r="A294" s="82">
        <v>43922</v>
      </c>
    </row>
    <row r="295" spans="1:26">
      <c r="A295" s="82">
        <v>43952</v>
      </c>
    </row>
    <row r="296" spans="1:26">
      <c r="A296" s="82">
        <v>43983</v>
      </c>
    </row>
    <row r="297" spans="1:26">
      <c r="A297" s="82">
        <v>44013</v>
      </c>
      <c r="O297" s="70">
        <v>227</v>
      </c>
      <c r="P297" s="70">
        <v>3</v>
      </c>
      <c r="Q297" s="70">
        <v>127</v>
      </c>
      <c r="R297" s="70">
        <v>73</v>
      </c>
      <c r="S297" s="70">
        <v>3</v>
      </c>
      <c r="V297" s="70">
        <v>0</v>
      </c>
      <c r="X297" s="70">
        <v>2</v>
      </c>
      <c r="Y297" s="70">
        <v>484</v>
      </c>
      <c r="Z297" s="70">
        <f>SUM(O297:X297)</f>
        <v>435</v>
      </c>
    </row>
    <row r="298" spans="1:26">
      <c r="A298" s="82">
        <v>44044</v>
      </c>
    </row>
    <row r="299" spans="1:26">
      <c r="A299" s="82">
        <v>44075</v>
      </c>
    </row>
    <row r="300" spans="1:26">
      <c r="A300" s="82">
        <v>44105</v>
      </c>
    </row>
    <row r="301" spans="1:26">
      <c r="A301" s="82">
        <v>44136</v>
      </c>
    </row>
    <row r="302" spans="1:26">
      <c r="A302" s="82">
        <v>44166</v>
      </c>
    </row>
    <row r="303" spans="1:26">
      <c r="A303" s="82">
        <v>44197</v>
      </c>
    </row>
    <row r="304" spans="1:26">
      <c r="A304" s="82">
        <v>44228</v>
      </c>
    </row>
    <row r="305" spans="1:80">
      <c r="A305" s="82">
        <v>44256</v>
      </c>
    </row>
    <row r="306" spans="1:80">
      <c r="A306" s="82">
        <v>44287</v>
      </c>
    </row>
    <row r="307" spans="1:80">
      <c r="A307" s="82">
        <v>44317</v>
      </c>
    </row>
    <row r="308" spans="1:80">
      <c r="A308" s="82">
        <v>44348</v>
      </c>
    </row>
    <row r="309" spans="1:80">
      <c r="A309" s="82">
        <v>44378</v>
      </c>
      <c r="B309" s="70">
        <v>229</v>
      </c>
      <c r="C309" s="70">
        <v>3</v>
      </c>
      <c r="D309" s="70">
        <v>0</v>
      </c>
      <c r="F309" s="70">
        <v>195</v>
      </c>
      <c r="G309" s="70">
        <v>12</v>
      </c>
      <c r="H309" s="70">
        <v>15</v>
      </c>
      <c r="K309" s="70">
        <v>0</v>
      </c>
      <c r="L309" s="70">
        <v>29</v>
      </c>
      <c r="M309" s="70">
        <v>482</v>
      </c>
      <c r="N309" s="70">
        <f>SUM(B309:L309)</f>
        <v>483</v>
      </c>
      <c r="O309" s="70">
        <v>236</v>
      </c>
      <c r="P309" s="70">
        <v>1</v>
      </c>
      <c r="Q309" s="70">
        <v>180</v>
      </c>
      <c r="R309" s="70">
        <v>54</v>
      </c>
      <c r="S309" s="70">
        <v>2</v>
      </c>
      <c r="V309" s="70">
        <v>1</v>
      </c>
      <c r="X309" s="70">
        <v>2</v>
      </c>
      <c r="Y309" s="70">
        <v>475</v>
      </c>
      <c r="Z309" s="70">
        <f>SUM(O309:X309)</f>
        <v>476</v>
      </c>
      <c r="AA309" s="70">
        <v>45</v>
      </c>
      <c r="AE309" s="70">
        <v>83</v>
      </c>
      <c r="AF309" s="70">
        <v>5</v>
      </c>
      <c r="AG309" s="70">
        <v>7</v>
      </c>
      <c r="AN309" s="70">
        <v>141</v>
      </c>
      <c r="AO309" s="70">
        <f>SUM(AA309:AM309)</f>
        <v>140</v>
      </c>
      <c r="AP309" s="70">
        <v>15</v>
      </c>
      <c r="AR309" s="70">
        <v>1</v>
      </c>
      <c r="AS309" s="70">
        <v>21</v>
      </c>
      <c r="AT309" s="70">
        <v>7</v>
      </c>
      <c r="AU309" s="70">
        <v>6</v>
      </c>
      <c r="AV309" s="70">
        <v>2</v>
      </c>
      <c r="AW309" s="70">
        <v>7</v>
      </c>
      <c r="BA309" s="70">
        <v>4</v>
      </c>
      <c r="BB309" s="70">
        <v>64</v>
      </c>
      <c r="BC309" s="70">
        <f>SUM(AP309:BA309)</f>
        <v>63</v>
      </c>
      <c r="BD309" s="70">
        <v>171</v>
      </c>
      <c r="BE309" s="70">
        <v>1</v>
      </c>
      <c r="BF309" s="70">
        <v>0</v>
      </c>
      <c r="BG309" s="70">
        <v>110</v>
      </c>
      <c r="BH309" s="70">
        <v>5</v>
      </c>
      <c r="BI309" s="70">
        <v>8</v>
      </c>
      <c r="BJ309" s="70">
        <v>56</v>
      </c>
      <c r="BL309" s="70">
        <v>0</v>
      </c>
      <c r="BM309" s="70">
        <v>16</v>
      </c>
      <c r="BN309" s="70">
        <v>368</v>
      </c>
      <c r="BO309" s="70">
        <f>SUM(BD309:BM309)</f>
        <v>367</v>
      </c>
      <c r="BP309" s="70">
        <v>124</v>
      </c>
      <c r="BS309" s="70">
        <v>69</v>
      </c>
      <c r="BT309" s="70">
        <v>1</v>
      </c>
      <c r="BU309" s="70">
        <v>1</v>
      </c>
      <c r="BX309" s="70">
        <v>0</v>
      </c>
      <c r="BY309" s="70">
        <v>22</v>
      </c>
      <c r="CA309" s="70">
        <v>223</v>
      </c>
      <c r="CB309" s="70">
        <f>SUM(BP309:BZ309)</f>
        <v>217</v>
      </c>
    </row>
    <row r="310" spans="1:80">
      <c r="A310" s="82">
        <v>44409</v>
      </c>
    </row>
    <row r="311" spans="1:80">
      <c r="A311" s="82">
        <v>44440</v>
      </c>
    </row>
    <row r="312" spans="1:80">
      <c r="A312" s="82">
        <v>44470</v>
      </c>
    </row>
    <row r="313" spans="1:80">
      <c r="A313" s="82">
        <v>44501</v>
      </c>
    </row>
    <row r="314" spans="1:80">
      <c r="A314" s="82">
        <v>44531</v>
      </c>
    </row>
    <row r="315" spans="1:80">
      <c r="A315" s="82">
        <v>44562</v>
      </c>
    </row>
    <row r="316" spans="1:80">
      <c r="A316" s="82">
        <v>44593</v>
      </c>
    </row>
    <row r="317" spans="1:80">
      <c r="A317" s="82">
        <v>44621</v>
      </c>
    </row>
    <row r="318" spans="1:80">
      <c r="A318" s="82">
        <v>44652</v>
      </c>
    </row>
    <row r="319" spans="1:80">
      <c r="A319" s="82">
        <v>44682</v>
      </c>
    </row>
    <row r="320" spans="1:80">
      <c r="A320" s="82">
        <v>44713</v>
      </c>
      <c r="B320" s="70">
        <v>238</v>
      </c>
      <c r="C320" s="70">
        <v>2</v>
      </c>
      <c r="D320" s="70">
        <v>0</v>
      </c>
      <c r="F320" s="70">
        <v>183</v>
      </c>
      <c r="G320" s="70">
        <v>11</v>
      </c>
      <c r="H320" s="70">
        <v>15</v>
      </c>
      <c r="K320" s="70">
        <v>1</v>
      </c>
      <c r="L320" s="70">
        <v>28</v>
      </c>
      <c r="M320" s="70">
        <v>478</v>
      </c>
      <c r="N320" s="70">
        <f>SUM(B320:L320)</f>
        <v>478</v>
      </c>
      <c r="O320" s="70">
        <v>201</v>
      </c>
      <c r="P320" s="70">
        <v>4</v>
      </c>
      <c r="Q320" s="70">
        <v>165</v>
      </c>
      <c r="R320" s="70">
        <v>53</v>
      </c>
      <c r="S320" s="70">
        <v>2</v>
      </c>
      <c r="T320" s="70">
        <v>0</v>
      </c>
      <c r="V320" s="70">
        <v>0</v>
      </c>
      <c r="X320" s="70">
        <v>1</v>
      </c>
      <c r="Y320" s="70">
        <v>427</v>
      </c>
      <c r="Z320" s="70">
        <f>SUM(O320:X320)</f>
        <v>426</v>
      </c>
      <c r="AA320" s="70">
        <v>48</v>
      </c>
      <c r="AE320" s="70">
        <v>78</v>
      </c>
      <c r="AF320" s="70">
        <v>5</v>
      </c>
      <c r="AG320" s="70">
        <v>7</v>
      </c>
      <c r="AN320" s="70">
        <v>138</v>
      </c>
      <c r="AO320" s="70">
        <f>SUM(AA320:AM320)</f>
        <v>138</v>
      </c>
      <c r="AP320" s="70">
        <v>13</v>
      </c>
      <c r="AR320" s="70">
        <v>1</v>
      </c>
      <c r="AS320" s="70">
        <v>43</v>
      </c>
      <c r="AT320" s="70">
        <v>7</v>
      </c>
      <c r="AU320" s="70">
        <v>6</v>
      </c>
      <c r="AV320" s="70">
        <v>1</v>
      </c>
      <c r="AW320" s="70">
        <v>6</v>
      </c>
      <c r="AX320" s="70">
        <v>1</v>
      </c>
      <c r="AZ320" s="70">
        <v>2</v>
      </c>
      <c r="BA320" s="70">
        <v>4</v>
      </c>
      <c r="BB320" s="70">
        <v>83</v>
      </c>
      <c r="BC320" s="70">
        <f>SUM(AP320:BA320)</f>
        <v>84</v>
      </c>
      <c r="BD320" s="70">
        <v>178</v>
      </c>
      <c r="BE320" s="70">
        <v>1</v>
      </c>
      <c r="BF320" s="70">
        <v>0</v>
      </c>
      <c r="BG320" s="70">
        <v>104</v>
      </c>
      <c r="BH320" s="70">
        <v>5</v>
      </c>
      <c r="BI320" s="70">
        <v>8</v>
      </c>
      <c r="BJ320" s="70">
        <v>57</v>
      </c>
      <c r="BL320" s="70">
        <v>1</v>
      </c>
      <c r="BM320" s="70">
        <v>17</v>
      </c>
      <c r="BN320" s="70">
        <v>369</v>
      </c>
      <c r="BO320" s="70">
        <f>SUM(BD320:BM320)</f>
        <v>371</v>
      </c>
      <c r="BP320" s="70">
        <v>100</v>
      </c>
      <c r="BS320" s="70">
        <v>50</v>
      </c>
      <c r="BT320" s="70">
        <v>1</v>
      </c>
      <c r="BU320" s="70">
        <v>1</v>
      </c>
      <c r="BX320" s="70">
        <v>1</v>
      </c>
      <c r="BY320" s="70">
        <v>22</v>
      </c>
      <c r="CA320" s="70">
        <v>175</v>
      </c>
      <c r="CB320" s="70">
        <f>SUM(BP320:BZ320)</f>
        <v>175</v>
      </c>
    </row>
    <row r="321" spans="1:80">
      <c r="A321" s="82">
        <v>44743</v>
      </c>
      <c r="B321" s="70">
        <v>242</v>
      </c>
      <c r="C321" s="70">
        <v>1</v>
      </c>
      <c r="D321" s="70">
        <v>0</v>
      </c>
      <c r="F321" s="70">
        <v>154</v>
      </c>
      <c r="G321" s="70">
        <v>12</v>
      </c>
      <c r="H321" s="70">
        <v>14</v>
      </c>
      <c r="K321" s="70">
        <v>0</v>
      </c>
      <c r="L321" s="70">
        <v>28</v>
      </c>
      <c r="M321" s="70">
        <v>451</v>
      </c>
      <c r="N321" s="70">
        <f>SUM(B321:L321)</f>
        <v>451</v>
      </c>
      <c r="O321" s="70">
        <v>184</v>
      </c>
      <c r="P321" s="70">
        <v>3</v>
      </c>
      <c r="Q321" s="70">
        <v>207</v>
      </c>
      <c r="R321" s="70">
        <v>49</v>
      </c>
      <c r="S321" s="70">
        <v>3</v>
      </c>
      <c r="T321" s="70">
        <v>1</v>
      </c>
      <c r="V321" s="70">
        <v>1</v>
      </c>
      <c r="X321" s="70">
        <v>1</v>
      </c>
      <c r="Y321" s="70">
        <v>449</v>
      </c>
      <c r="Z321" s="70">
        <f>SUM(O321:X321)</f>
        <v>449</v>
      </c>
      <c r="AA321" s="70">
        <v>49</v>
      </c>
      <c r="AE321" s="70">
        <v>65</v>
      </c>
      <c r="AF321" s="70">
        <v>6</v>
      </c>
      <c r="AG321" s="70">
        <v>7</v>
      </c>
      <c r="AN321" s="70">
        <v>127</v>
      </c>
      <c r="AO321" s="70">
        <f>SUM(AA321:AM321)</f>
        <v>127</v>
      </c>
      <c r="AP321" s="70">
        <v>12</v>
      </c>
      <c r="AR321" s="70">
        <v>1</v>
      </c>
      <c r="AS321" s="70">
        <v>37</v>
      </c>
      <c r="AT321" s="70">
        <v>7</v>
      </c>
      <c r="AU321" s="70">
        <v>6</v>
      </c>
      <c r="AV321" s="70">
        <v>2</v>
      </c>
      <c r="AW321" s="70">
        <v>5</v>
      </c>
      <c r="AX321" s="70">
        <v>1</v>
      </c>
      <c r="AZ321" s="70">
        <v>2</v>
      </c>
      <c r="BA321" s="70">
        <v>3</v>
      </c>
      <c r="BB321" s="70">
        <v>75</v>
      </c>
      <c r="BC321" s="70">
        <f>SUM(AP321:BA321)</f>
        <v>76</v>
      </c>
      <c r="BD321" s="70">
        <v>181</v>
      </c>
      <c r="BE321" s="70">
        <v>0</v>
      </c>
      <c r="BF321" s="70">
        <v>0</v>
      </c>
      <c r="BG321" s="70">
        <v>88</v>
      </c>
      <c r="BH321" s="70">
        <v>5</v>
      </c>
      <c r="BI321" s="70">
        <v>8</v>
      </c>
      <c r="BJ321" s="70">
        <v>55</v>
      </c>
      <c r="BL321" s="70">
        <v>0</v>
      </c>
      <c r="BM321" s="70">
        <v>17</v>
      </c>
      <c r="BN321" s="70">
        <v>355</v>
      </c>
      <c r="BO321" s="70">
        <f>SUM(BD321:BM321)</f>
        <v>354</v>
      </c>
      <c r="BP321" s="70">
        <v>135</v>
      </c>
      <c r="BS321" s="70">
        <v>55</v>
      </c>
      <c r="BT321" s="70">
        <v>1</v>
      </c>
      <c r="BU321" s="70">
        <v>1</v>
      </c>
      <c r="BX321" s="70">
        <v>1</v>
      </c>
      <c r="BY321" s="70">
        <v>21</v>
      </c>
      <c r="CA321" s="70">
        <v>215</v>
      </c>
      <c r="CB321" s="70">
        <f>SUM(BP321:BZ321)</f>
        <v>214</v>
      </c>
    </row>
    <row r="322" spans="1:80">
      <c r="A322" s="82">
        <v>44774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rx>
  <Cntr/>
</Prx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10BE37ED0A674AAABCCCF211CFB64F" ma:contentTypeVersion="17" ma:contentTypeDescription="Create a new document." ma:contentTypeScope="" ma:versionID="43ac8e53e895da205b544cf6d4eda163">
  <xsd:schema xmlns:xsd="http://www.w3.org/2001/XMLSchema" xmlns:xs="http://www.w3.org/2001/XMLSchema" xmlns:p="http://schemas.microsoft.com/office/2006/metadata/properties" xmlns:ns2="cf2ac421-1284-4088-96c3-18e1d2d8f03a" xmlns:ns3="0052aaab-b9fb-4904-b07b-fd4c19a80e9a" targetNamespace="http://schemas.microsoft.com/office/2006/metadata/properties" ma:root="true" ma:fieldsID="813406d17645c8e8092f648697e30892" ns2:_="" ns3:_="">
    <xsd:import namespace="cf2ac421-1284-4088-96c3-18e1d2d8f03a"/>
    <xsd:import namespace="0052aaab-b9fb-4904-b07b-fd4c19a80e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ac421-1284-4088-96c3-18e1d2d8f0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4598ee4-d5e5-4f6c-b9da-4d48f8cc1368}" ma:internalName="TaxCatchAll" ma:showField="CatchAllData" ma:web="cf2ac421-1284-4088-96c3-18e1d2d8f0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2aaab-b9fb-4904-b07b-fd4c19a80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ddd575e-f966-4c21-8ccb-2dbfe9c82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2ac421-1284-4088-96c3-18e1d2d8f03a" xsi:nil="true"/>
    <lcf76f155ced4ddcb4097134ff3c332f xmlns="0052aaab-b9fb-4904-b07b-fd4c19a80e9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71ACF5-AB0D-4757-A63C-B8EEA5DC36FA}">
  <ds:schemaRefs/>
</ds:datastoreItem>
</file>

<file path=customXml/itemProps2.xml><?xml version="1.0" encoding="utf-8"?>
<ds:datastoreItem xmlns:ds="http://schemas.openxmlformats.org/officeDocument/2006/customXml" ds:itemID="{1A5F36CA-3CF8-4966-91E9-FB067E74B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2ac421-1284-4088-96c3-18e1d2d8f03a"/>
    <ds:schemaRef ds:uri="0052aaab-b9fb-4904-b07b-fd4c19a80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450AD5-D568-4ED5-99E6-B65CC13E9B08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cf2ac421-1284-4088-96c3-18e1d2d8f03a"/>
    <ds:schemaRef ds:uri="http://schemas.openxmlformats.org/package/2006/metadata/core-properties"/>
    <ds:schemaRef ds:uri="0052aaab-b9fb-4904-b07b-fd4c19a80e9a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D3C059CD-9401-4761-A8A3-6D6BE0D0E0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9</vt:i4>
      </vt:variant>
    </vt:vector>
  </HeadingPairs>
  <TitlesOfParts>
    <vt:vector size="18" baseType="lpstr">
      <vt:lpstr>NOPA Crush</vt:lpstr>
      <vt:lpstr>NASS Crush</vt:lpstr>
      <vt:lpstr>Census Crush</vt:lpstr>
      <vt:lpstr>COPA Weekly Crush</vt:lpstr>
      <vt:lpstr>NASS Low CI</vt:lpstr>
      <vt:lpstr>NASS Other Veg Oils</vt:lpstr>
      <vt:lpstr>China Weekly</vt:lpstr>
      <vt:lpstr>China Monthly</vt:lpstr>
      <vt:lpstr>Japan</vt:lpstr>
      <vt:lpstr>NOPA Crush chart</vt:lpstr>
      <vt:lpstr>Chart1</vt:lpstr>
      <vt:lpstr>Chart3</vt:lpstr>
      <vt:lpstr>Chart4</vt:lpstr>
      <vt:lpstr>Chart5</vt:lpstr>
      <vt:lpstr>Chart9</vt:lpstr>
      <vt:lpstr>Weekly Crush Vol - Port Stks</vt:lpstr>
      <vt:lpstr>Crush Margin - Dalian - Import</vt:lpstr>
      <vt:lpstr>SBO Production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Tore M. Alden</dc:creator>
  <cp:keywords/>
  <dc:description/>
  <cp:lastModifiedBy>Tore Alden</cp:lastModifiedBy>
  <cp:revision/>
  <dcterms:created xsi:type="dcterms:W3CDTF">2017-11-04T13:10:11Z</dcterms:created>
  <dcterms:modified xsi:type="dcterms:W3CDTF">2025-09-06T11:35:35Z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3810ff83-0143-46e9-a2dd-142737927096</vt:lpwstr>
  </property>
  <property fmtid="{D5CDD505-2E9C-101B-9397-08002B2CF9AE}" pid="3" name="LINKTEK-CHUNK-1">
    <vt:lpwstr>010048{"F":5,"I":"48B5-40D2-1177-2C53","M":"98d5b4d991ea08217be5ca95cf078257"}H4sIAAAAAAAEAKtW8snMyy5WsoquVvJUslKycDYw1rU0cLXQNTI3MdO1cDU1VtJRCgDKlBbnZ+YUp6amJCXm6FXkFFco1cbWAgAMb26YPwAAAA==</vt:lpwstr>
  </property>
  <property fmtid="{D5CDD505-2E9C-101B-9397-08002B2CF9AE}" pid="4" name="ContentTypeId">
    <vt:lpwstr>0x010100C810BE37ED0A674AAABCCCF211CFB64F</vt:lpwstr>
  </property>
  <property fmtid="{D5CDD505-2E9C-101B-9397-08002B2CF9AE}" pid="5" name="Order">
    <vt:r8>2700</vt:r8>
  </property>
  <property fmtid="{D5CDD505-2E9C-101B-9397-08002B2CF9AE}" pid="6" name="MediaServiceImageTags">
    <vt:lpwstr/>
  </property>
</Properties>
</file>